
<file path=[Content_Types].xml><?xml version="1.0" encoding="utf-8"?>
<Types xmlns="http://schemas.openxmlformats.org/package/2006/content-types">
  <Default Extension="bin" ContentType="application/vnd.openxmlformats-officedocument.spreadsheetml.printerSettings"/>
  <Default Extension="gif" ContentType="image/gi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drawings/drawing3.xml" ContentType="application/vnd.openxmlformats-officedocument.drawing+xml"/>
  <Override PartName="/xl/comments2.xml" ContentType="application/vnd.openxmlformats-officedocument.spreadsheetml.comments+xml"/>
  <Override PartName="/xl/charts/chart1.xml" ContentType="application/vnd.openxmlformats-officedocument.drawingml.chart+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426"/>
  <workbookPr codeName="ThisWorkbook" defaultThemeVersion="166925"/>
  <mc:AlternateContent xmlns:mc="http://schemas.openxmlformats.org/markup-compatibility/2006">
    <mc:Choice Requires="x15">
      <x15ac:absPath xmlns:x15ac="http://schemas.microsoft.com/office/spreadsheetml/2010/11/ac" url="C:\SysAdmin\Log\Research2\prime8_temp_downloads\model_checkouts\"/>
    </mc:Choice>
  </mc:AlternateContent>
  <xr:revisionPtr revIDLastSave="0" documentId="13_ncr:1_{AC5D639F-0606-490D-8115-7AAA273B039A}" xr6:coauthVersionLast="47" xr6:coauthVersionMax="47" xr10:uidLastSave="{00000000-0000-0000-0000-000000000000}"/>
  <bookViews>
    <workbookView xWindow="22932" yWindow="-108" windowWidth="23256" windowHeight="13176" firstSheet="1" activeTab="1" xr2:uid="{DC558D76-696B-4492-985A-5A42B329672C}"/>
  </bookViews>
  <sheets>
    <sheet name="CircularReferenceAlert" sheetId="27" r:id="rId1"/>
    <sheet name="ImportantDisclosures" sheetId="24" r:id="rId2"/>
    <sheet name="SUMMARY" sheetId="3" r:id="rId3"/>
    <sheet name="MODEL" sheetId="4" r:id="rId4"/>
    <sheet name="Bull Bear" sheetId="9" r:id="rId5"/>
    <sheet name="Price Target" sheetId="10" r:id="rId6"/>
    <sheet name="Valuation" sheetId="12" r:id="rId7"/>
    <sheet name="IndexInformation" sheetId="25" r:id="rId8"/>
    <sheet name="ModPubIndex" sheetId="26" r:id="rId9"/>
  </sheets>
  <externalReferences>
    <externalReference r:id="rId10"/>
  </externalReferences>
  <definedNames>
    <definedName name="africa">0</definedName>
    <definedName name="africaCountries">'[1]MW GEG'!$J$25:$J$26</definedName>
    <definedName name="allRegions">#REF!</definedName>
    <definedName name="americaRegion">#REF!</definedName>
    <definedName name="americas">0</definedName>
    <definedName name="americasStates">#REF!</definedName>
    <definedName name="AppVersion">"GEG-1.0"</definedName>
    <definedName name="asiaPacific">1</definedName>
    <definedName name="asiaPacificExJapan">1</definedName>
    <definedName name="asiaPacificExJapanCountries">'[1]MW GEG'!$J$32:$J$36</definedName>
    <definedName name="asiaPacificRegion">#REF!</definedName>
    <definedName name="asiaPacificStates">'[1]MW GEG'!$H$28:$H$31</definedName>
    <definedName name="australasia">1</definedName>
    <definedName name="BRICS">0</definedName>
    <definedName name="centralEasternEurope">0</definedName>
    <definedName name="centralEasternEuropeCountries">'[1]MW GEG'!$J$20:$J$21</definedName>
    <definedName name="china">0</definedName>
    <definedName name="consumerDemandExposure">'[1]MW GEG'!$F$63:$F$67</definedName>
    <definedName name="consumersExposure">'[1]MW GEG'!$F$60</definedName>
    <definedName name="countryList">"Country Mapping"</definedName>
    <definedName name="developedEuropeExUK">0</definedName>
    <definedName name="developedEuropeExUKCountries">'[1]MW GEG'!$J$14:$J$18</definedName>
    <definedName name="domesticAndForeignExposure">'[1]MW GEG'!$F$54:$F$55</definedName>
    <definedName name="domesticCostExposure">'[1]MW GEG'!$F$76:$F$77</definedName>
    <definedName name="EEMEA">0</definedName>
    <definedName name="endDemandExposure">'[1]MW GEG'!$F$58:$F$60</definedName>
    <definedName name="europe">0</definedName>
    <definedName name="europeRegion">#REF!</definedName>
    <definedName name="europeStates">#REF!</definedName>
    <definedName name="india">0</definedName>
    <definedName name="instructions">#REF!</definedName>
    <definedName name="italy">0</definedName>
    <definedName name="japan">0</definedName>
    <definedName name="latinAmerica">0</definedName>
    <definedName name="latinAmericaCountries">'[1]MW GEG'!$J$42:$J$46</definedName>
    <definedName name="Linking_1" localSheetId="5">'Price Target'!$B$3:$D$41</definedName>
    <definedName name="Linking_1">#REF!</definedName>
    <definedName name="Linking_10">'Bull Bear'!$X$226:$BF$237</definedName>
    <definedName name="Linking_11">#REF!</definedName>
    <definedName name="Linking_12">SUMMARY!$C$2:$CV$83</definedName>
    <definedName name="Linking_13">'Bull Bear'!$AT$167:$AX$178</definedName>
    <definedName name="Linking_14">SUMMARY!$C$2:$CZ$83</definedName>
    <definedName name="Linking_15">#REF!</definedName>
    <definedName name="Linking_16">#REF!</definedName>
    <definedName name="Linking_17">#REF!</definedName>
    <definedName name="Linking_18">#REF!</definedName>
    <definedName name="Linking_19">SUMMARY!$C$4:$CZ$82</definedName>
    <definedName name="Linking_2">#REF!</definedName>
    <definedName name="Linking_20">SUMMARY!$C$2:$CZ$83</definedName>
    <definedName name="Linking_21">SUMMARY!$C$4:$CZ$83</definedName>
    <definedName name="Linking_22">SUMMARY!$C$2:$CZ$85</definedName>
    <definedName name="Linking_23">SUMMARY!$C$4:$CZ$85</definedName>
    <definedName name="Linking_24">SUMMARY!$C$4:$DD$85</definedName>
    <definedName name="Linking_25">#REF!</definedName>
    <definedName name="Linking_26">#REF!</definedName>
    <definedName name="Linking_27">SUMMARY!$C$4:$DH$85</definedName>
    <definedName name="Linking_28">SUMMARY!$C$4:$DH$83</definedName>
    <definedName name="Linking_29">#REF!</definedName>
    <definedName name="Linking_3">SUMMARY!$C$4:$CR$82</definedName>
    <definedName name="Linking_30">#REF!</definedName>
    <definedName name="Linking_31">SUMMARY!$C$4:$DL$82</definedName>
    <definedName name="Linking_32">#REF!</definedName>
    <definedName name="Linking_33">#REF!</definedName>
    <definedName name="Linking_34">#REF!</definedName>
    <definedName name="Linking_35">SUMMARY!$C$4:$DP$82</definedName>
    <definedName name="Linking_36">SUMMARY!$FF$9:$FW$20</definedName>
    <definedName name="Linking_37">#REF!</definedName>
    <definedName name="Linking_38">#REF!</definedName>
    <definedName name="Linking_39">#REF!</definedName>
    <definedName name="Linking_4">SUMMARY!$C$4:$CR$79</definedName>
    <definedName name="Linking_40">#REF!</definedName>
    <definedName name="Linking_41">#REF!</definedName>
    <definedName name="Linking_42">#REF!</definedName>
    <definedName name="Linking_43">SUMMARY!$C$5:$DP$82</definedName>
    <definedName name="Linking_44">#REF!</definedName>
    <definedName name="Linking_45">SUMMARY!$C$4:$DT$82</definedName>
    <definedName name="Linking_46">#REF!</definedName>
    <definedName name="Linking_47">#REF!</definedName>
    <definedName name="Linking_48">SUMMARY!$C$4:$DX$82</definedName>
    <definedName name="Linking_49">#REF!</definedName>
    <definedName name="Linking_5">#REF!</definedName>
    <definedName name="Linking_50">#REF!</definedName>
    <definedName name="Linking_51">#REF!</definedName>
    <definedName name="Linking_52">#REF!</definedName>
    <definedName name="Linking_53">#REF!</definedName>
    <definedName name="Linking_54">#REF!</definedName>
    <definedName name="Linking_55">#REF!</definedName>
    <definedName name="Linking_56">#REF!</definedName>
    <definedName name="Linking_57">#REF!</definedName>
    <definedName name="Linking_58">#REF!</definedName>
    <definedName name="Linking_59">SUMMARY!$C$4:$EF$82</definedName>
    <definedName name="Linking_6">#REF!</definedName>
    <definedName name="Linking_60">#REF!</definedName>
    <definedName name="Linking_61">#REF!</definedName>
    <definedName name="Linking_62">#REF!</definedName>
    <definedName name="Linking_63">#REF!</definedName>
    <definedName name="Linking_64">#REF!</definedName>
    <definedName name="Linking_65">'Price Target'!$B$3:$D$23</definedName>
    <definedName name="Linking_66">'Price Target'!$B$25:$D$41</definedName>
    <definedName name="Linking_67">#REF!</definedName>
    <definedName name="Linking_68">#REF!</definedName>
    <definedName name="Linking_69">'Price Target'!$J$25:$M$41</definedName>
    <definedName name="Linking_7">SUMMARY!$C$4:$CV$82</definedName>
    <definedName name="Linking_70">#REF!</definedName>
    <definedName name="Linking_8">SUMMARY!$C$4:$CV$83</definedName>
    <definedName name="Linking_9">#REF!</definedName>
    <definedName name="Linking_Range_11" localSheetId="5">'Price Target'!$B$3:$D$38</definedName>
    <definedName name="Linking_Range_12" localSheetId="5">'Price Target'!$B$4:$D$38</definedName>
    <definedName name="Linking_Range_14">#REF!</definedName>
    <definedName name="Linking_Range_15" localSheetId="5">'Price Target'!$B$4:$D$41</definedName>
    <definedName name="Linking_Range_17">SUMMARY!$C$2:$CJ$82</definedName>
    <definedName name="Linking_Range_18">SUMMARY!$C$4:$CJ$82</definedName>
    <definedName name="Linking_Range_19">SUMMARY!$C$4:$CJ$79</definedName>
    <definedName name="Linking_Range_2">#REF!</definedName>
    <definedName name="Linking_Range_20">SUMMARY!$C$4:$CJ$79</definedName>
    <definedName name="Linking_Range_21" localSheetId="5">'Price Target'!$B$4:$D$41</definedName>
    <definedName name="Linking_Range_21">#REF!</definedName>
    <definedName name="Linking_Range_22">#REF!</definedName>
    <definedName name="Linking_Range_23" localSheetId="5">'Price Target'!$B$4:$D$38</definedName>
    <definedName name="Linking_Range_23">#REF!</definedName>
    <definedName name="Linking_Range_24">SUMMARY!$C$4:$CN$82</definedName>
    <definedName name="Linking_Range_25">#REF!</definedName>
    <definedName name="Linking_Range_26">SUMMARY!$C$4:$CN$79</definedName>
    <definedName name="Linking_Range_27">#REF!</definedName>
    <definedName name="Linking_Range_5">#REF!</definedName>
    <definedName name="Linking_Range_7">#REF!</definedName>
    <definedName name="middleEast">0</definedName>
    <definedName name="middleEastAfrica">0</definedName>
    <definedName name="middleEastAfricaRegion">#REF!</definedName>
    <definedName name="middleEastAfricaStates">'[1]MW GEG'!$H$23:$H$24</definedName>
    <definedName name="northAmerica">0</definedName>
    <definedName name="northAmericaCountries">'[1]MW GEG'!$J$39:$J$40</definedName>
    <definedName name="otherAfrica">0</definedName>
    <definedName name="otherAsiaPacific">0</definedName>
    <definedName name="otherCentralEasternEurope">0</definedName>
    <definedName name="otherDevelopedEurope">0</definedName>
    <definedName name="otherLATAM">0</definedName>
    <definedName name="_xlnm.Print_Area" localSheetId="2">SUMMARY!$C$2:$EF$82</definedName>
    <definedName name="regionalCostExposure">'[1]MW GEG'!$F$70:$F$74</definedName>
    <definedName name="rngBRICS">#REF!,#REF!,#REF!,#REF!</definedName>
    <definedName name="rngContinentWiseValue">#REF!</definedName>
    <definedName name="rngCountryWiseValue">#REF!</definedName>
    <definedName name="rngEEMEA">#REF!,#REF!,#REF!,#REF!</definedName>
    <definedName name="rngStateWiseValue">#REF!</definedName>
    <definedName name="rngTotalRegionExposure">'[1]MW GEG'!$D$10</definedName>
    <definedName name="showVersionCheckMessage">1</definedName>
    <definedName name="socioEconomicRegion">#REF!</definedName>
    <definedName name="socioEconomicRegions">'[1]MW GEG'!$D$48:$D$51</definedName>
    <definedName name="spain">0</definedName>
    <definedName name="totalConsumerDemandExposure">1</definedName>
    <definedName name="totalDomesticCostExposure">#REF!</definedName>
    <definedName name="totalDomesticRevenueExposure">#REF!</definedName>
    <definedName name="totalEndDemandRevenueExposure">#REF!</definedName>
    <definedName name="totalRegionCostExposure">#REF!</definedName>
    <definedName name="totalRegionRevenueExposure">#REF!</definedName>
    <definedName name="uk">'[1]MW GEG'!$H$12</definedName>
    <definedName name="ValidDateTable">#REF!</definedName>
  </definedNames>
  <calcPr calcId="191029" calcMode="manual" iterate="1" calcOnSave="0"/>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K35" i="10" l="1"/>
  <c r="K33" i="10"/>
  <c r="K32" i="10"/>
  <c r="K31" i="10"/>
  <c r="K29" i="10"/>
  <c r="M29" i="10" s="1"/>
  <c r="K27" i="10"/>
  <c r="J41" i="10"/>
  <c r="J40" i="10"/>
  <c r="J39" i="10"/>
  <c r="J38" i="10"/>
  <c r="J37" i="10"/>
  <c r="J36" i="10"/>
  <c r="J35" i="10"/>
  <c r="J34" i="10"/>
  <c r="J33" i="10"/>
  <c r="J32" i="10"/>
  <c r="J31" i="10"/>
  <c r="J30" i="10"/>
  <c r="J29" i="10"/>
  <c r="J28" i="10"/>
  <c r="J27" i="10"/>
  <c r="J26" i="10"/>
  <c r="M27" i="10"/>
  <c r="DU1102" i="4"/>
  <c r="DL954" i="4"/>
  <c r="DM954" i="4"/>
  <c r="DN954" i="4"/>
  <c r="DP954" i="4"/>
  <c r="DQ954" i="4"/>
  <c r="DR954" i="4" l="1"/>
  <c r="DL655" i="4"/>
  <c r="DM655" i="4" s="1"/>
  <c r="DP655" i="4" s="1"/>
  <c r="DQ655" i="4" s="1"/>
  <c r="DH653" i="4"/>
  <c r="DH1373" i="4" l="1"/>
  <c r="DH1323" i="4"/>
  <c r="DH1317" i="4"/>
  <c r="DH1315" i="4"/>
  <c r="DH1194" i="4"/>
  <c r="DI1167" i="4"/>
  <c r="DL1167" i="4" s="1"/>
  <c r="DM1167" i="4" s="1"/>
  <c r="DP1167" i="4" s="1"/>
  <c r="DQ1167" i="4" s="1"/>
  <c r="DI1163" i="4"/>
  <c r="DL1163" i="4" s="1"/>
  <c r="DM1163" i="4" s="1"/>
  <c r="DP1163" i="4" s="1"/>
  <c r="DQ1163" i="4" s="1"/>
  <c r="DH955" i="4"/>
  <c r="DH489" i="4" l="1"/>
  <c r="DH487" i="4"/>
  <c r="DH365" i="4"/>
  <c r="DH472" i="4" s="1"/>
  <c r="DH316" i="4"/>
  <c r="DH297" i="4"/>
  <c r="DH266" i="4"/>
  <c r="DH39" i="4"/>
  <c r="DH29" i="4"/>
  <c r="DH30" i="4" s="1"/>
  <c r="DH83" i="4" s="1"/>
  <c r="DH15" i="4"/>
  <c r="DH18" i="4" s="1"/>
  <c r="DH19" i="4" s="1"/>
  <c r="DE1080" i="4"/>
  <c r="DH995" i="4" s="1"/>
  <c r="DH996" i="4" s="1"/>
  <c r="DE1082" i="4"/>
  <c r="DH1108" i="4"/>
  <c r="DH1398" i="4"/>
  <c r="DH1390" i="4"/>
  <c r="DH1386" i="4"/>
  <c r="DH1385" i="4"/>
  <c r="DH1384" i="4"/>
  <c r="DH1383" i="4"/>
  <c r="DH1377" i="4"/>
  <c r="DH1375" i="4"/>
  <c r="DH1374" i="4"/>
  <c r="DH1378" i="4"/>
  <c r="DH1367" i="4"/>
  <c r="DH1364" i="4"/>
  <c r="DH1363" i="4"/>
  <c r="DH1362" i="4"/>
  <c r="DH1351" i="4"/>
  <c r="DH1344" i="4"/>
  <c r="DH1329" i="4"/>
  <c r="DH1338" i="4" s="1"/>
  <c r="DH1337" i="4" s="1"/>
  <c r="DH1342" i="4" s="1"/>
  <c r="DH1352" i="4"/>
  <c r="DH1310" i="4"/>
  <c r="DH1298" i="4"/>
  <c r="DH1283" i="4"/>
  <c r="DH1282" i="4"/>
  <c r="DH898" i="4" s="1"/>
  <c r="DH1266" i="4"/>
  <c r="DH1265" i="4"/>
  <c r="DH1264" i="4"/>
  <c r="DH1263" i="4"/>
  <c r="DH1259" i="4"/>
  <c r="DH1255" i="4"/>
  <c r="DH1250" i="4"/>
  <c r="DH1247" i="4"/>
  <c r="DH1249" i="4"/>
  <c r="DH1251" i="4" s="1"/>
  <c r="DH1243" i="4"/>
  <c r="DH1235" i="4"/>
  <c r="DH1242" i="4" s="1"/>
  <c r="DH1244" i="4" s="1"/>
  <c r="DH1233" i="4"/>
  <c r="DH1234" i="4" s="1"/>
  <c r="DH1229" i="4"/>
  <c r="DH1221" i="4"/>
  <c r="DH1217" i="4"/>
  <c r="DH1216" i="4"/>
  <c r="DH1212" i="4"/>
  <c r="DH1206" i="4"/>
  <c r="DH1202" i="4"/>
  <c r="DH1199" i="4"/>
  <c r="DH1195" i="4"/>
  <c r="DH1184" i="4"/>
  <c r="DH1137" i="4"/>
  <c r="DH1135" i="4"/>
  <c r="DH1131" i="4"/>
  <c r="DH1128" i="4"/>
  <c r="DH1120" i="4"/>
  <c r="DH1136" i="4" s="1"/>
  <c r="DH1107" i="4"/>
  <c r="DH1046" i="4"/>
  <c r="DH1049" i="4" s="1"/>
  <c r="DH1034" i="4"/>
  <c r="DH1036" i="4" s="1"/>
  <c r="DH1033" i="4"/>
  <c r="DH1025" i="4"/>
  <c r="DH1009" i="4"/>
  <c r="DH1026" i="4" s="1"/>
  <c r="DH1003" i="4"/>
  <c r="DH1004" i="4" s="1"/>
  <c r="DH1001" i="4"/>
  <c r="DH1114" i="4" s="1"/>
  <c r="DH993" i="4"/>
  <c r="DH987" i="4"/>
  <c r="DH982" i="4"/>
  <c r="DH977" i="4"/>
  <c r="DH970" i="4"/>
  <c r="DH966" i="4"/>
  <c r="DH957" i="4"/>
  <c r="DH1203" i="4" s="1"/>
  <c r="DH952" i="4"/>
  <c r="DH944" i="4"/>
  <c r="DH1181" i="4" s="1"/>
  <c r="DH936" i="4"/>
  <c r="DH928" i="4"/>
  <c r="DH927" i="4"/>
  <c r="DH919" i="4"/>
  <c r="DH918" i="4"/>
  <c r="DH922" i="4" s="1"/>
  <c r="DH924" i="4" s="1"/>
  <c r="DH912" i="4"/>
  <c r="DH911" i="4"/>
  <c r="DH903" i="4"/>
  <c r="DH902" i="4"/>
  <c r="DH893" i="4"/>
  <c r="DH895" i="4" s="1"/>
  <c r="DH886" i="4"/>
  <c r="DH883" i="4"/>
  <c r="DH861" i="4"/>
  <c r="DH854" i="4"/>
  <c r="DH864" i="4" s="1"/>
  <c r="DH822" i="4"/>
  <c r="DH821" i="4"/>
  <c r="DH820" i="4"/>
  <c r="DH823" i="4" s="1"/>
  <c r="DH813" i="4"/>
  <c r="DH812" i="4"/>
  <c r="DH796" i="4"/>
  <c r="DH795" i="4"/>
  <c r="DH785" i="4"/>
  <c r="DH784" i="4"/>
  <c r="DH783" i="4"/>
  <c r="DH782" i="4"/>
  <c r="DH781" i="4"/>
  <c r="DH779" i="4"/>
  <c r="DH829" i="4" s="1"/>
  <c r="DH825" i="4" s="1"/>
  <c r="DH778" i="4"/>
  <c r="DH810" i="4" s="1"/>
  <c r="DH777" i="4"/>
  <c r="DH801" i="4" s="1"/>
  <c r="DH776" i="4"/>
  <c r="DH793" i="4" s="1"/>
  <c r="DH771" i="4"/>
  <c r="DH692" i="4"/>
  <c r="DH689" i="4"/>
  <c r="DH670" i="4"/>
  <c r="DH668" i="4"/>
  <c r="DH686" i="4" s="1"/>
  <c r="DH684" i="4" s="1"/>
  <c r="DH667" i="4"/>
  <c r="DH683" i="4" s="1"/>
  <c r="DH654" i="4"/>
  <c r="DH647" i="4"/>
  <c r="DH646" i="4"/>
  <c r="DH643" i="4"/>
  <c r="DH642" i="4"/>
  <c r="DH622" i="4"/>
  <c r="DH614" i="4"/>
  <c r="DH611" i="4"/>
  <c r="DH621" i="4" s="1"/>
  <c r="DH610" i="4"/>
  <c r="DH640" i="4" s="1"/>
  <c r="DH599" i="4"/>
  <c r="DH593" i="4"/>
  <c r="DH587" i="4"/>
  <c r="DH585" i="4"/>
  <c r="DH565" i="4"/>
  <c r="DH554" i="4"/>
  <c r="DH553" i="4"/>
  <c r="DH538" i="4"/>
  <c r="DH535" i="4"/>
  <c r="DH531" i="4"/>
  <c r="DH525" i="4"/>
  <c r="DH517" i="4"/>
  <c r="DH492" i="4"/>
  <c r="DH488" i="4"/>
  <c r="DH566" i="4" s="1"/>
  <c r="DH592" i="4"/>
  <c r="DH467" i="4"/>
  <c r="DH466" i="4"/>
  <c r="DH459" i="4"/>
  <c r="DH458" i="4"/>
  <c r="DH438" i="4"/>
  <c r="DH437" i="4"/>
  <c r="DH439" i="4" s="1"/>
  <c r="DH435" i="4"/>
  <c r="DH432" i="4"/>
  <c r="DH429" i="4"/>
  <c r="DH421" i="4"/>
  <c r="DH1220" i="4" s="1"/>
  <c r="DH411" i="4"/>
  <c r="DH398" i="4"/>
  <c r="DH400" i="4" s="1"/>
  <c r="DH383" i="4"/>
  <c r="DH391" i="4" s="1"/>
  <c r="DH367" i="4"/>
  <c r="DH368" i="4" s="1"/>
  <c r="DH363" i="4"/>
  <c r="DH362" i="4"/>
  <c r="DH360" i="4"/>
  <c r="DH357" i="4"/>
  <c r="DH355" i="4"/>
  <c r="DH354" i="4"/>
  <c r="DH353" i="4"/>
  <c r="DH351" i="4"/>
  <c r="DH344" i="4"/>
  <c r="DH324" i="4"/>
  <c r="DH322" i="4"/>
  <c r="DH320" i="4"/>
  <c r="DH313" i="4"/>
  <c r="DH309" i="4"/>
  <c r="DH306" i="4"/>
  <c r="DH305" i="4"/>
  <c r="DH303" i="4"/>
  <c r="DH298" i="4"/>
  <c r="DH294" i="4"/>
  <c r="DH284" i="4"/>
  <c r="DH265" i="4"/>
  <c r="DH257" i="4"/>
  <c r="DH274" i="4" s="1"/>
  <c r="DH254" i="4"/>
  <c r="DH248" i="4"/>
  <c r="DH250" i="4" s="1"/>
  <c r="DH245" i="4"/>
  <c r="DH244" i="4"/>
  <c r="DH853" i="4" s="1"/>
  <c r="DH243" i="4"/>
  <c r="DH852" i="4" s="1"/>
  <c r="DH225" i="4"/>
  <c r="DH224" i="4"/>
  <c r="DH222" i="4"/>
  <c r="DH219" i="4"/>
  <c r="DH185" i="4"/>
  <c r="DH183" i="4"/>
  <c r="DH1346" i="4" s="1"/>
  <c r="DH172" i="4"/>
  <c r="DH174" i="4" s="1"/>
  <c r="DH171" i="4"/>
  <c r="DH169" i="4"/>
  <c r="DH166" i="4"/>
  <c r="DH151" i="4"/>
  <c r="DH153" i="4" s="1"/>
  <c r="DH150" i="4"/>
  <c r="DH148" i="4"/>
  <c r="DH145" i="4"/>
  <c r="DH139" i="4"/>
  <c r="DH138" i="4"/>
  <c r="DH128" i="4"/>
  <c r="DH126" i="4"/>
  <c r="DH131" i="4" s="1"/>
  <c r="DH123" i="4"/>
  <c r="DH136" i="4" s="1"/>
  <c r="DH135" i="4" s="1"/>
  <c r="DH88" i="4"/>
  <c r="DH87" i="4"/>
  <c r="DH85" i="4"/>
  <c r="DH77" i="4"/>
  <c r="DH59" i="4"/>
  <c r="DH57" i="4"/>
  <c r="DH50" i="4"/>
  <c r="DH47" i="4"/>
  <c r="DH23" i="4"/>
  <c r="DH12" i="4"/>
  <c r="DH1185" i="4" l="1"/>
  <c r="DH1387" i="4"/>
  <c r="DH555" i="4"/>
  <c r="DH556" i="4" s="1"/>
  <c r="DH557" i="4" s="1"/>
  <c r="DH237" i="4"/>
  <c r="DH998" i="4"/>
  <c r="DH865" i="4"/>
  <c r="DH866" i="4" s="1"/>
  <c r="DH609" i="4"/>
  <c r="DH348" i="4"/>
  <c r="DH1087" i="4"/>
  <c r="DH1237" i="4"/>
  <c r="DH1238" i="4" s="1"/>
  <c r="DH270" i="4"/>
  <c r="DH273" i="4" s="1"/>
  <c r="DE1083" i="4"/>
  <c r="DH1218" i="4"/>
  <c r="DH1370" i="4"/>
  <c r="DH389" i="4"/>
  <c r="DH395" i="4" s="1"/>
  <c r="DH223" i="4"/>
  <c r="DH278" i="4" s="1"/>
  <c r="DH285" i="4" s="1"/>
  <c r="DH286" i="4" s="1"/>
  <c r="DH175" i="4"/>
  <c r="DH155" i="4"/>
  <c r="DH154" i="4" s="1"/>
  <c r="DH325" i="4"/>
  <c r="DH333" i="4" s="1"/>
  <c r="DH780" i="4"/>
  <c r="DH787" i="4" s="1"/>
  <c r="DH623" i="4"/>
  <c r="DH1103" i="4"/>
  <c r="DH1104" i="4" s="1"/>
  <c r="DH232" i="4"/>
  <c r="DH267" i="4"/>
  <c r="DH381" i="4" s="1"/>
  <c r="DH1214" i="4"/>
  <c r="DH669" i="4"/>
  <c r="DH176" i="4"/>
  <c r="DH1366" i="4"/>
  <c r="DH1035" i="4"/>
  <c r="DH187" i="4"/>
  <c r="DH279" i="4" s="1"/>
  <c r="DH1160" i="4"/>
  <c r="DH1368" i="4"/>
  <c r="DH1196" i="4"/>
  <c r="DH1312" i="4" s="1"/>
  <c r="DH89" i="4"/>
  <c r="DH90" i="4" s="1"/>
  <c r="DH509" i="4"/>
  <c r="DH1222" i="4"/>
  <c r="DH1369" i="4"/>
  <c r="DH1236" i="4"/>
  <c r="DH469" i="4"/>
  <c r="DH1332" i="4"/>
  <c r="DH81" i="4"/>
  <c r="DH770" i="4"/>
  <c r="DH774" i="4"/>
  <c r="DH1204" i="4"/>
  <c r="DH639" i="4"/>
  <c r="DH655" i="4"/>
  <c r="DH807" i="4"/>
  <c r="DH1348" i="4"/>
  <c r="DH947" i="4"/>
  <c r="DH1340" i="4"/>
  <c r="DH25" i="4"/>
  <c r="DH327" i="4"/>
  <c r="DH361" i="4"/>
  <c r="DH1043" i="4"/>
  <c r="DH1231" i="4"/>
  <c r="DH1341" i="4"/>
  <c r="DH422" i="4"/>
  <c r="DH1321" i="4"/>
  <c r="DH1316" i="4"/>
  <c r="DH184" i="4"/>
  <c r="DH230" i="4"/>
  <c r="DH287" i="4"/>
  <c r="DH310" i="4"/>
  <c r="DH510" i="4"/>
  <c r="DI510" i="4" s="1"/>
  <c r="DH612" i="4"/>
  <c r="DH630" i="4"/>
  <c r="DH629" i="4" s="1"/>
  <c r="DH681" i="4"/>
  <c r="DH1248" i="4"/>
  <c r="DH330" i="4"/>
  <c r="DH364" i="4"/>
  <c r="DH380" i="4"/>
  <c r="DH511" i="4"/>
  <c r="DH1345" i="4"/>
  <c r="DH233" i="4"/>
  <c r="DH490" i="4"/>
  <c r="DH663" i="4"/>
  <c r="DH662" i="4" s="1"/>
  <c r="DH1347" i="4"/>
  <c r="DH24" i="4"/>
  <c r="DH514" i="4"/>
  <c r="DH1037" i="4"/>
  <c r="DH1376" i="4"/>
  <c r="DH1381" i="4" s="1"/>
  <c r="DH1389" i="4" s="1"/>
  <c r="DH317" i="4"/>
  <c r="DH262" i="4"/>
  <c r="DH259" i="4" s="1"/>
  <c r="DH407" i="4"/>
  <c r="DH1350" i="4"/>
  <c r="DH369" i="4"/>
  <c r="DH476" i="4"/>
  <c r="DL582" i="4"/>
  <c r="DM582" i="4" s="1"/>
  <c r="DP582" i="4" s="1"/>
  <c r="DQ582" i="4" s="1"/>
  <c r="DH1240" i="4" l="1"/>
  <c r="DH1239" i="4"/>
  <c r="DH465" i="4"/>
  <c r="DH608" i="4"/>
  <c r="DH328" i="4"/>
  <c r="DH341" i="4" s="1"/>
  <c r="DH329" i="4"/>
  <c r="DH842" i="4"/>
  <c r="DH843" i="4" s="1"/>
  <c r="DH110" i="4"/>
  <c r="DH111" i="4" s="1"/>
  <c r="DH98" i="4"/>
  <c r="DH1059" i="4"/>
  <c r="DH331" i="4"/>
  <c r="DH671" i="4"/>
  <c r="DH281" i="4"/>
  <c r="DH521" i="4"/>
  <c r="DH515" i="4"/>
  <c r="DH1200" i="4"/>
  <c r="DH1159" i="4" s="1"/>
  <c r="DH1161" i="4" s="1"/>
  <c r="DH235" i="4"/>
  <c r="DH1086" i="4"/>
  <c r="DH1157" i="4"/>
  <c r="DH1072" i="4" s="1"/>
  <c r="DH236" i="4"/>
  <c r="DH282" i="4"/>
  <c r="DH868" i="4"/>
  <c r="DH74" i="4"/>
  <c r="DH545" i="4"/>
  <c r="DH31" i="4"/>
  <c r="DH1070" i="4"/>
  <c r="DH1064" i="4"/>
  <c r="DH1050" i="4"/>
  <c r="DH1076" i="4"/>
  <c r="DH1078" i="4" s="1"/>
  <c r="DH1006" i="4"/>
  <c r="DH468" i="4"/>
  <c r="DH470" i="4" s="1"/>
  <c r="DH399" i="4"/>
  <c r="DH408" i="4"/>
  <c r="DH382" i="4"/>
  <c r="DH404" i="4"/>
  <c r="DH443" i="4"/>
  <c r="DH449" i="4" s="1"/>
  <c r="DH1055" i="4"/>
  <c r="DH288" i="4"/>
  <c r="DH99" i="4"/>
  <c r="DH789" i="4"/>
  <c r="DH899" i="4"/>
  <c r="DH896" i="4"/>
  <c r="DH897" i="4"/>
  <c r="DH461" i="4"/>
  <c r="DH280" i="4"/>
  <c r="DH234" i="4"/>
  <c r="DH528" i="4"/>
  <c r="DH231" i="4"/>
  <c r="DH1355" i="4"/>
  <c r="DH238" i="4"/>
  <c r="DH1326" i="4"/>
  <c r="DH1325" i="4" s="1"/>
  <c r="DH1353" i="4" s="1"/>
  <c r="DH1357" i="4"/>
  <c r="DH477" i="4"/>
  <c r="DH478" i="4"/>
  <c r="DH366" i="4"/>
  <c r="DH500" i="4"/>
  <c r="DH503" i="4" s="1"/>
  <c r="DH513" i="4"/>
  <c r="DH512" i="4"/>
  <c r="DH1407" i="4"/>
  <c r="DH1361" i="4"/>
  <c r="DH1322" i="4"/>
  <c r="DH269" i="4"/>
  <c r="DH271" i="4" s="1"/>
  <c r="DH409" i="4"/>
  <c r="DH332" i="4"/>
  <c r="DH1082" i="4" l="1"/>
  <c r="DH1071" i="4" s="1"/>
  <c r="DH1073" i="4" s="1"/>
  <c r="DH1166" i="4" s="1"/>
  <c r="DH1168" i="4" s="1"/>
  <c r="DH1080" i="4"/>
  <c r="DH1083" i="4" s="1"/>
  <c r="DH1391" i="4"/>
  <c r="DH1164" i="4"/>
  <c r="DH1170" i="4"/>
  <c r="DH100" i="4"/>
  <c r="DH876" i="4"/>
  <c r="DH1088" i="4"/>
  <c r="DH1158" i="4"/>
  <c r="DH900" i="4"/>
  <c r="DH1313" i="4"/>
  <c r="DH471" i="4"/>
  <c r="DH481" i="4"/>
  <c r="DH1395" i="4"/>
  <c r="DH1397" i="4" s="1"/>
  <c r="DH1399" i="4" s="1"/>
  <c r="DH844" i="4"/>
  <c r="DH1017" i="4"/>
  <c r="DH1020" i="4" s="1"/>
  <c r="DH1021" i="4" s="1"/>
  <c r="DH1008" i="4"/>
  <c r="DH403" i="4"/>
  <c r="DH386" i="4"/>
  <c r="DH1333" i="4"/>
  <c r="DH1358" i="4"/>
  <c r="DH1151" i="4"/>
  <c r="DH33" i="4"/>
  <c r="DH1057" i="4"/>
  <c r="DH1356" i="4"/>
  <c r="DH546" i="4"/>
  <c r="DH94" i="4"/>
  <c r="DH107" i="4"/>
  <c r="DH78" i="4"/>
  <c r="DH480" i="4"/>
  <c r="DH448" i="4"/>
  <c r="DH447" i="4"/>
  <c r="DH446" i="4"/>
  <c r="DH445" i="4"/>
  <c r="DH482" i="4"/>
  <c r="DH444" i="4"/>
  <c r="DH1176" i="4" l="1"/>
  <c r="DH1175" i="4" s="1"/>
  <c r="DH114" i="4"/>
  <c r="DH884" i="4"/>
  <c r="DH36" i="4"/>
  <c r="DH1054" i="4"/>
  <c r="DH1056" i="4" s="1"/>
  <c r="DH95" i="4"/>
  <c r="DH406" i="4"/>
  <c r="DH405" i="4"/>
  <c r="DH1012" i="4"/>
  <c r="DH1010" i="4"/>
  <c r="DH1013" i="4" s="1"/>
  <c r="DH790" i="4"/>
  <c r="DH1359" i="4"/>
  <c r="DH1360" i="4"/>
  <c r="DH97" i="4" l="1"/>
  <c r="DH42" i="4"/>
  <c r="DH44" i="4" s="1"/>
  <c r="DH102" i="4"/>
  <c r="DH38" i="4"/>
  <c r="DH885" i="4"/>
  <c r="DH887" i="4"/>
  <c r="DH888" i="4" s="1"/>
  <c r="DH1063" i="4" s="1"/>
  <c r="DH1062" i="4" s="1"/>
  <c r="DH1061" i="4" s="1"/>
  <c r="DH1060" i="4" s="1"/>
  <c r="AP73" i="12"/>
  <c r="AQ73" i="12" s="1"/>
  <c r="AR73" i="12" s="1"/>
  <c r="AS73" i="12" s="1"/>
  <c r="AT73" i="12" s="1"/>
  <c r="AU73" i="12" s="1"/>
  <c r="DH1122" i="4" l="1"/>
  <c r="DH1402" i="4"/>
  <c r="DH1150" i="4"/>
  <c r="DH1038" i="4"/>
  <c r="DH40" i="4"/>
  <c r="DH1123" i="4"/>
  <c r="DH1125" i="4" s="1"/>
  <c r="DH1144" i="4" s="1"/>
  <c r="DH101" i="4"/>
  <c r="DH889" i="4" s="1"/>
  <c r="DH1130" i="4" l="1"/>
  <c r="DH1132" i="4" s="1"/>
  <c r="DH964" i="4"/>
  <c r="DH1051" i="4"/>
  <c r="DH1052" i="4"/>
  <c r="DH1044" i="4"/>
  <c r="DH1045" i="4" s="1"/>
  <c r="DH1039" i="4"/>
  <c r="DH1040" i="4"/>
  <c r="DH1041" i="4"/>
  <c r="DH1042" i="4"/>
  <c r="DH1143" i="4"/>
  <c r="DH1141" i="4"/>
  <c r="DH1148" i="4" l="1"/>
  <c r="DH1146" i="4"/>
  <c r="DI1368" i="4"/>
  <c r="DL1368" i="4" s="1"/>
  <c r="DM1368" i="4" s="1"/>
  <c r="DP1368" i="4" s="1"/>
  <c r="DQ1368" i="4" s="1"/>
  <c r="DE1390" i="4" l="1"/>
  <c r="DD1390" i="4"/>
  <c r="DE1310" i="4"/>
  <c r="DH1408" i="4" s="1"/>
  <c r="DD1310" i="4"/>
  <c r="DF1309" i="4"/>
  <c r="DA1310" i="4"/>
  <c r="CZ1310" i="4"/>
  <c r="DB1309" i="4"/>
  <c r="CW1310" i="4"/>
  <c r="CV1310" i="4"/>
  <c r="CX1309" i="4"/>
  <c r="CS1310" i="4"/>
  <c r="CR1310" i="4"/>
  <c r="CT1309" i="4"/>
  <c r="CO1310" i="4"/>
  <c r="CN1310" i="4"/>
  <c r="CP1309" i="4"/>
  <c r="CK1310" i="4"/>
  <c r="CJ1310" i="4"/>
  <c r="CL1309" i="4"/>
  <c r="CG1310" i="4"/>
  <c r="CF1310" i="4"/>
  <c r="CH1309" i="4"/>
  <c r="CC1310" i="4"/>
  <c r="CB1310" i="4"/>
  <c r="CD1309" i="4"/>
  <c r="BY1310" i="4"/>
  <c r="BX1310" i="4"/>
  <c r="BZ1309" i="4"/>
  <c r="BU1310" i="4"/>
  <c r="BT1310" i="4"/>
  <c r="BV1309" i="4"/>
  <c r="BQ1310" i="4"/>
  <c r="BP1310" i="4"/>
  <c r="BR1309" i="4"/>
  <c r="BM1310" i="4"/>
  <c r="BL1310" i="4"/>
  <c r="BN1309" i="4"/>
  <c r="BJ1309" i="4"/>
  <c r="BI1310" i="4"/>
  <c r="BH1310" i="4"/>
  <c r="BF1309" i="4"/>
  <c r="BE1310" i="4"/>
  <c r="DE1383" i="4"/>
  <c r="DE1384" i="4"/>
  <c r="DE1385" i="4"/>
  <c r="DE1386" i="4"/>
  <c r="DD1384" i="4"/>
  <c r="DD1385" i="4"/>
  <c r="DD1386" i="4"/>
  <c r="DD1383" i="4"/>
  <c r="DE1375" i="4"/>
  <c r="DD1375" i="4"/>
  <c r="DE1374" i="4"/>
  <c r="DD1374" i="4"/>
  <c r="DD1373" i="4"/>
  <c r="DE1373" i="4"/>
  <c r="DE1387" i="4" l="1"/>
  <c r="DQ162" i="4"/>
  <c r="DP162" i="4"/>
  <c r="DM162" i="4"/>
  <c r="DL162" i="4"/>
  <c r="DI162" i="4"/>
  <c r="DR161" i="4"/>
  <c r="DN161" i="4"/>
  <c r="DJ161" i="4"/>
  <c r="DF161" i="4"/>
  <c r="DB161" i="4"/>
  <c r="CX161" i="4"/>
  <c r="DD1387" i="4"/>
  <c r="DI1380" i="4"/>
  <c r="DF1380" i="4"/>
  <c r="DE1377" i="4"/>
  <c r="DD1377" i="4"/>
  <c r="DD1378" i="4" s="1"/>
  <c r="DF1375" i="4"/>
  <c r="DF1374" i="4"/>
  <c r="DF1373" i="4"/>
  <c r="DF1376" i="4" l="1"/>
  <c r="DF1381" i="4" s="1"/>
  <c r="DL1380" i="4"/>
  <c r="DM1380" i="4" s="1"/>
  <c r="DJ1380" i="4"/>
  <c r="DE1376" i="4"/>
  <c r="DE1381" i="4" s="1"/>
  <c r="DE1389" i="4" s="1"/>
  <c r="DE1378" i="4"/>
  <c r="DI1378" i="4" s="1"/>
  <c r="DL1378" i="4" s="1"/>
  <c r="DM1378" i="4" s="1"/>
  <c r="DP1378" i="4" s="1"/>
  <c r="DD1376" i="4"/>
  <c r="DD1381" i="4" s="1"/>
  <c r="DD1389" i="4" s="1"/>
  <c r="DP1380" i="4" l="1"/>
  <c r="DQ1380" i="4" s="1"/>
  <c r="DR1380" i="4" s="1"/>
  <c r="DN1380" i="4"/>
  <c r="DQ1378" i="4"/>
  <c r="DR130" i="4" l="1"/>
  <c r="DN130" i="4"/>
  <c r="DJ130" i="4"/>
  <c r="DF130" i="4"/>
  <c r="R115" i="12"/>
  <c r="AP76" i="12" l="1"/>
  <c r="AQ76" i="12" s="1"/>
  <c r="AR76" i="12" s="1"/>
  <c r="O73" i="12"/>
  <c r="AU76" i="12" l="1"/>
  <c r="AO10" i="12"/>
  <c r="O10" i="12" s="1"/>
  <c r="O76" i="12"/>
  <c r="O5" i="12"/>
  <c r="DQ84" i="4" l="1"/>
  <c r="DP84" i="4"/>
  <c r="DM84" i="4"/>
  <c r="DL84" i="4"/>
  <c r="DI84" i="4"/>
  <c r="DE660" i="4" l="1"/>
  <c r="DE626" i="4" l="1"/>
  <c r="DE628" i="4"/>
  <c r="DH633" i="4" s="1"/>
  <c r="DA1266" i="4"/>
  <c r="DA1265" i="4"/>
  <c r="DA1264" i="4"/>
  <c r="DA1263" i="4"/>
  <c r="DE1323" i="4"/>
  <c r="DA1317" i="4"/>
  <c r="DD1317" i="4"/>
  <c r="DE1317" i="4"/>
  <c r="DE1315" i="4"/>
  <c r="DE1283" i="4"/>
  <c r="DE1266" i="4"/>
  <c r="DD1266" i="4"/>
  <c r="DE1265" i="4"/>
  <c r="DD1265" i="4"/>
  <c r="DE1264" i="4"/>
  <c r="DD1264" i="4"/>
  <c r="DE1263" i="4"/>
  <c r="DD1263" i="4"/>
  <c r="DE1194" i="4" l="1"/>
  <c r="DH1267" i="4" s="1"/>
  <c r="DE955" i="4"/>
  <c r="DE795" i="4"/>
  <c r="DF489" i="4"/>
  <c r="DE489" i="4"/>
  <c r="DE487" i="4"/>
  <c r="DH493" i="4" s="1"/>
  <c r="DE365" i="4"/>
  <c r="DH374" i="4" s="1"/>
  <c r="DE344" i="4" l="1"/>
  <c r="DE316" i="4"/>
  <c r="DE313" i="4"/>
  <c r="DH321" i="4" s="1"/>
  <c r="DE297" i="4"/>
  <c r="DE294" i="4"/>
  <c r="DH304" i="4" s="1"/>
  <c r="DE284" i="4"/>
  <c r="DE266" i="4"/>
  <c r="DE298" i="4" l="1"/>
  <c r="DH308" i="4" s="1"/>
  <c r="DH307" i="4"/>
  <c r="DE348" i="4"/>
  <c r="DH356" i="4" s="1"/>
  <c r="DH352" i="4"/>
  <c r="DE317" i="4"/>
  <c r="DE840" i="4"/>
  <c r="DF840" i="4" s="1"/>
  <c r="DF785" i="4" s="1"/>
  <c r="DE29" i="4"/>
  <c r="DE30" i="4" s="1"/>
  <c r="DE83" i="4" s="1"/>
  <c r="DE39" i="4"/>
  <c r="DE919" i="4" s="1"/>
  <c r="DE15" i="4"/>
  <c r="DE18" i="4" s="1"/>
  <c r="DE1398" i="4"/>
  <c r="DF1396" i="4"/>
  <c r="DE1367" i="4"/>
  <c r="DE1364" i="4"/>
  <c r="DE1363" i="4"/>
  <c r="DE1362" i="4"/>
  <c r="DE1351" i="4"/>
  <c r="DE1344" i="4"/>
  <c r="DF1336" i="4"/>
  <c r="DF1335" i="4"/>
  <c r="DF1330" i="4"/>
  <c r="DF1377" i="4" s="1"/>
  <c r="DF1378" i="4" s="1"/>
  <c r="DE1329" i="4"/>
  <c r="DF1328" i="4"/>
  <c r="DF1344" i="4" s="1"/>
  <c r="DF1324" i="4"/>
  <c r="DE1350" i="4"/>
  <c r="DF1320" i="4"/>
  <c r="DF1319" i="4"/>
  <c r="DF1318" i="4"/>
  <c r="DF1317" i="4"/>
  <c r="DF1308" i="4"/>
  <c r="DF1386" i="4" s="1"/>
  <c r="DF1307" i="4"/>
  <c r="DF1385" i="4" s="1"/>
  <c r="DF1306" i="4"/>
  <c r="DF1384" i="4" s="1"/>
  <c r="DF1305" i="4"/>
  <c r="DF1301" i="4"/>
  <c r="DE1259" i="4"/>
  <c r="DH1254" i="4" s="1"/>
  <c r="DH1258" i="4" s="1"/>
  <c r="DH1260" i="4" s="1"/>
  <c r="DF1257" i="4"/>
  <c r="DF1256" i="4"/>
  <c r="DE1255" i="4"/>
  <c r="DE1250" i="4"/>
  <c r="DE1247" i="4"/>
  <c r="DE1248" i="4" s="1"/>
  <c r="DE1249" i="4"/>
  <c r="DF1245" i="4"/>
  <c r="DE1243" i="4"/>
  <c r="DF1243" i="4" s="1"/>
  <c r="DE1235" i="4"/>
  <c r="DE1242" i="4" s="1"/>
  <c r="DE1233" i="4"/>
  <c r="DE1234" i="4" s="1"/>
  <c r="DE1229" i="4"/>
  <c r="DH1225" i="4" s="1"/>
  <c r="DH1226" i="4" s="1"/>
  <c r="DF1228" i="4"/>
  <c r="DF1227" i="4"/>
  <c r="DE1221" i="4"/>
  <c r="DE1217" i="4"/>
  <c r="DE1216" i="4"/>
  <c r="DE1212" i="4"/>
  <c r="DH1208" i="4" s="1"/>
  <c r="DH1211" i="4" s="1"/>
  <c r="DF1210" i="4"/>
  <c r="DF1209" i="4"/>
  <c r="DE1206" i="4"/>
  <c r="DE1202" i="4"/>
  <c r="DE1199" i="4"/>
  <c r="DF1198" i="4"/>
  <c r="DF1197" i="4"/>
  <c r="DF1194" i="4"/>
  <c r="DF1193" i="4"/>
  <c r="DF1250" i="4" s="1"/>
  <c r="DF1192" i="4"/>
  <c r="DF1233" i="4" s="1"/>
  <c r="DF1234" i="4" s="1"/>
  <c r="DF1191" i="4"/>
  <c r="DF1190" i="4"/>
  <c r="DF1259" i="4" s="1"/>
  <c r="DF1189" i="4"/>
  <c r="DF1217" i="4" s="1"/>
  <c r="DF1188" i="4"/>
  <c r="DF1187" i="4"/>
  <c r="DF1221" i="4" s="1"/>
  <c r="DF1186" i="4"/>
  <c r="DF1212" i="4" s="1"/>
  <c r="DE1184" i="4"/>
  <c r="DF1183" i="4"/>
  <c r="DF1182" i="4"/>
  <c r="DF1174" i="4"/>
  <c r="DF1173" i="4"/>
  <c r="DF1172" i="4"/>
  <c r="DF1171" i="4"/>
  <c r="DF1139" i="4"/>
  <c r="DF1135" i="4" s="1"/>
  <c r="DE1137" i="4"/>
  <c r="DE1135" i="4"/>
  <c r="DE1131" i="4"/>
  <c r="DF1128" i="4"/>
  <c r="DE1128" i="4"/>
  <c r="DF1124" i="4"/>
  <c r="DF1120" i="4"/>
  <c r="DE1120" i="4"/>
  <c r="DE1136" i="4" s="1"/>
  <c r="DD1082" i="4"/>
  <c r="DD1080" i="4"/>
  <c r="DE995" i="4" s="1"/>
  <c r="DE996" i="4" s="1"/>
  <c r="DE1046" i="4"/>
  <c r="DE1049" i="4" s="1"/>
  <c r="DE1034" i="4"/>
  <c r="DE1036" i="4" s="1"/>
  <c r="DE1033" i="4"/>
  <c r="DF1032" i="4"/>
  <c r="DF1031" i="4"/>
  <c r="DF1046" i="4" s="1"/>
  <c r="DF1022" i="4"/>
  <c r="DF1019" i="4"/>
  <c r="DF1018" i="4"/>
  <c r="DF1007" i="4"/>
  <c r="DE1003" i="4"/>
  <c r="DE1004" i="4" s="1"/>
  <c r="DE1001" i="4"/>
  <c r="DE1114" i="4" s="1"/>
  <c r="DH1115" i="4" s="1"/>
  <c r="DH1116" i="4" s="1"/>
  <c r="DF1000" i="4"/>
  <c r="DF997" i="4"/>
  <c r="DF994" i="4"/>
  <c r="DE993" i="4"/>
  <c r="DE987" i="4"/>
  <c r="DE982" i="4"/>
  <c r="DE977" i="4"/>
  <c r="DH973" i="4" s="1"/>
  <c r="DH976" i="4" s="1"/>
  <c r="DF975" i="4"/>
  <c r="DF974" i="4"/>
  <c r="DE970" i="4"/>
  <c r="DH960" i="4" s="1"/>
  <c r="DH965" i="4" s="1"/>
  <c r="DH969" i="4" s="1"/>
  <c r="DF968" i="4"/>
  <c r="DF967" i="4"/>
  <c r="DF963" i="4"/>
  <c r="DF962" i="4"/>
  <c r="DF961" i="4"/>
  <c r="DE957" i="4"/>
  <c r="DF954" i="4"/>
  <c r="DF953" i="4"/>
  <c r="DE952" i="4"/>
  <c r="DF951" i="4"/>
  <c r="DF946" i="4"/>
  <c r="DF987" i="4" s="1"/>
  <c r="DH985" i="4" s="1"/>
  <c r="DH986" i="4" s="1"/>
  <c r="DF945" i="4"/>
  <c r="DF982" i="4" s="1"/>
  <c r="DH980" i="4" s="1"/>
  <c r="DH981" i="4" s="1"/>
  <c r="DE944" i="4"/>
  <c r="DF943" i="4"/>
  <c r="DF942" i="4"/>
  <c r="DF977" i="4" s="1"/>
  <c r="DF941" i="4"/>
  <c r="DF937" i="4"/>
  <c r="DF37" i="4" s="1"/>
  <c r="AR36" i="9" s="1"/>
  <c r="AR80" i="9" s="1"/>
  <c r="DE936" i="4"/>
  <c r="DF935" i="4"/>
  <c r="DF934" i="4"/>
  <c r="DF933" i="4"/>
  <c r="DF932" i="4"/>
  <c r="DF931" i="4"/>
  <c r="DE928" i="4"/>
  <c r="DE927" i="4"/>
  <c r="DE918" i="4"/>
  <c r="DF917" i="4"/>
  <c r="DF916" i="4"/>
  <c r="DF915" i="4"/>
  <c r="DF914" i="4"/>
  <c r="DE912" i="4"/>
  <c r="DE911" i="4"/>
  <c r="DE893" i="4"/>
  <c r="DE895" i="4" s="1"/>
  <c r="DE886" i="4"/>
  <c r="DE883" i="4"/>
  <c r="DE861" i="4"/>
  <c r="DH858" i="4" s="1"/>
  <c r="DH860" i="4" s="1"/>
  <c r="DH862" i="4" s="1"/>
  <c r="DF859" i="4"/>
  <c r="DE854" i="4"/>
  <c r="DF848" i="4"/>
  <c r="DF86" i="4" s="1"/>
  <c r="DF847" i="4"/>
  <c r="DF846" i="4"/>
  <c r="DF828" i="4"/>
  <c r="DF782" i="4" s="1"/>
  <c r="DF827" i="4"/>
  <c r="DF784" i="4" s="1"/>
  <c r="DF826" i="4"/>
  <c r="DF87" i="4" s="1"/>
  <c r="DE822" i="4"/>
  <c r="DE821" i="4"/>
  <c r="DE820" i="4"/>
  <c r="DF819" i="4"/>
  <c r="DE813" i="4"/>
  <c r="DE812" i="4"/>
  <c r="DF809" i="4"/>
  <c r="DF771" i="4" s="1"/>
  <c r="DF808" i="4"/>
  <c r="DF783" i="4" s="1"/>
  <c r="DF806" i="4"/>
  <c r="DF805" i="4"/>
  <c r="DE796" i="4"/>
  <c r="DF794" i="4"/>
  <c r="DF786" i="4"/>
  <c r="DE784" i="4"/>
  <c r="DE783" i="4"/>
  <c r="DE782" i="4"/>
  <c r="DE781" i="4"/>
  <c r="DE778" i="4"/>
  <c r="DE810" i="4" s="1"/>
  <c r="DH816" i="4" s="1"/>
  <c r="DE777" i="4"/>
  <c r="DE801" i="4" s="1"/>
  <c r="DH802" i="4" s="1"/>
  <c r="DE776" i="4"/>
  <c r="DE793" i="4" s="1"/>
  <c r="DE771" i="4"/>
  <c r="DE692" i="4"/>
  <c r="DE689" i="4"/>
  <c r="DF685" i="4"/>
  <c r="DF682" i="4"/>
  <c r="DE680" i="4"/>
  <c r="DE670" i="4"/>
  <c r="DE668" i="4"/>
  <c r="DE667" i="4"/>
  <c r="DH673" i="4" s="1"/>
  <c r="DF661" i="4"/>
  <c r="DF660" i="4"/>
  <c r="DF659" i="4"/>
  <c r="DF658" i="4"/>
  <c r="DE653" i="4"/>
  <c r="DF652" i="4"/>
  <c r="DF651" i="4"/>
  <c r="DE647" i="4"/>
  <c r="DE646" i="4"/>
  <c r="DE643" i="4"/>
  <c r="DE642" i="4"/>
  <c r="DF638" i="4"/>
  <c r="DF637" i="4"/>
  <c r="DF627" i="4"/>
  <c r="DF626" i="4"/>
  <c r="DF625" i="4"/>
  <c r="DE622" i="4"/>
  <c r="DE614" i="4"/>
  <c r="DE611" i="4"/>
  <c r="DH618" i="4" s="1"/>
  <c r="DE610" i="4"/>
  <c r="DH617" i="4" s="1"/>
  <c r="DF607" i="4"/>
  <c r="DF599" i="4"/>
  <c r="DE599" i="4"/>
  <c r="DE593" i="4"/>
  <c r="DF592" i="4"/>
  <c r="DF588" i="4"/>
  <c r="DF587" i="4"/>
  <c r="DE587" i="4"/>
  <c r="DE585" i="4"/>
  <c r="DF584" i="4"/>
  <c r="DF583" i="4"/>
  <c r="DF582" i="4"/>
  <c r="DE565" i="4"/>
  <c r="DF561" i="4"/>
  <c r="DE554" i="4"/>
  <c r="DE553" i="4"/>
  <c r="DF538" i="4"/>
  <c r="DE538" i="4"/>
  <c r="DE535" i="4"/>
  <c r="DH536" i="4" s="1"/>
  <c r="DH537" i="4" s="1"/>
  <c r="DE531" i="4"/>
  <c r="DH532" i="4" s="1"/>
  <c r="DH533" i="4" s="1"/>
  <c r="DF525" i="4"/>
  <c r="DE525" i="4"/>
  <c r="DE517" i="4"/>
  <c r="DF510" i="4"/>
  <c r="DE492" i="4"/>
  <c r="DF488" i="4"/>
  <c r="DF511" i="4" s="1"/>
  <c r="DG487" i="4"/>
  <c r="DE488" i="4"/>
  <c r="DH494" i="4" s="1"/>
  <c r="DG486" i="4"/>
  <c r="DE473" i="4"/>
  <c r="DE467" i="4"/>
  <c r="DE466" i="4"/>
  <c r="DE462" i="4"/>
  <c r="DF459" i="4"/>
  <c r="DF458" i="4"/>
  <c r="DE457" i="4"/>
  <c r="DE456" i="4"/>
  <c r="DE455" i="4"/>
  <c r="DE454" i="4"/>
  <c r="DF438" i="4"/>
  <c r="DF437" i="4"/>
  <c r="DF439" i="4" s="1"/>
  <c r="DE436" i="4"/>
  <c r="DF435" i="4"/>
  <c r="DE434" i="4"/>
  <c r="DE432" i="4"/>
  <c r="DE429" i="4"/>
  <c r="DF428" i="4"/>
  <c r="DF427" i="4"/>
  <c r="DE421" i="4"/>
  <c r="DE422" i="4" s="1"/>
  <c r="DF420" i="4"/>
  <c r="DF419" i="4"/>
  <c r="DF418" i="4"/>
  <c r="DF417" i="4"/>
  <c r="DF416" i="4"/>
  <c r="DF429" i="4" s="1"/>
  <c r="DH425" i="4" s="1"/>
  <c r="DF415" i="4"/>
  <c r="DF1206" i="4" s="1"/>
  <c r="DE411" i="4"/>
  <c r="DH412" i="4" s="1"/>
  <c r="DE398" i="4"/>
  <c r="DE400" i="4" s="1"/>
  <c r="DH401" i="4" s="1"/>
  <c r="DH1400" i="4" s="1"/>
  <c r="DF396" i="4"/>
  <c r="DF394" i="4"/>
  <c r="DF467" i="4" s="1"/>
  <c r="DF393" i="4"/>
  <c r="DF392" i="4"/>
  <c r="DF466" i="4" s="1"/>
  <c r="DF390" i="4"/>
  <c r="DF387" i="4"/>
  <c r="DF1364" i="4" s="1"/>
  <c r="DF385" i="4"/>
  <c r="DF1009" i="4" s="1"/>
  <c r="DF384" i="4"/>
  <c r="DF411" i="4" s="1"/>
  <c r="DE383" i="4"/>
  <c r="DE391" i="4" s="1"/>
  <c r="DE367" i="4"/>
  <c r="DE364" i="4"/>
  <c r="DE363" i="4"/>
  <c r="DF363" i="4" s="1"/>
  <c r="DE361" i="4"/>
  <c r="DH372" i="4" s="1"/>
  <c r="DE360" i="4"/>
  <c r="DH371" i="4" s="1"/>
  <c r="DE357" i="4"/>
  <c r="DE355" i="4"/>
  <c r="DE354" i="4"/>
  <c r="DE351" i="4"/>
  <c r="DF349" i="4"/>
  <c r="DF347" i="4"/>
  <c r="DF346" i="4"/>
  <c r="DF344" i="4"/>
  <c r="DF343" i="4"/>
  <c r="DE324" i="4"/>
  <c r="DE322" i="4"/>
  <c r="DE320" i="4"/>
  <c r="DF318" i="4"/>
  <c r="DF316" i="4"/>
  <c r="DF315" i="4"/>
  <c r="DF314" i="4"/>
  <c r="DF313" i="4"/>
  <c r="DF312" i="4"/>
  <c r="DE310" i="4"/>
  <c r="DE309" i="4"/>
  <c r="DE306" i="4"/>
  <c r="DE303" i="4"/>
  <c r="DF300" i="4"/>
  <c r="DF299" i="4"/>
  <c r="DF297" i="4"/>
  <c r="DF296" i="4"/>
  <c r="DE305" i="4"/>
  <c r="DF294" i="4"/>
  <c r="DF293" i="4"/>
  <c r="DE265" i="4"/>
  <c r="DE267" i="4" s="1"/>
  <c r="DE381" i="4" s="1"/>
  <c r="DF381" i="4" s="1"/>
  <c r="DF263" i="4"/>
  <c r="DF261" i="4"/>
  <c r="DF260" i="4"/>
  <c r="DF258" i="4"/>
  <c r="DE257" i="4"/>
  <c r="DE274" i="4" s="1"/>
  <c r="DE254" i="4"/>
  <c r="DF254" i="4" s="1"/>
  <c r="DF253" i="4"/>
  <c r="DF251" i="4"/>
  <c r="DF249" i="4"/>
  <c r="DE248" i="4"/>
  <c r="DE250" i="4" s="1"/>
  <c r="DE245" i="4"/>
  <c r="DE244" i="4"/>
  <c r="DE853" i="4" s="1"/>
  <c r="DF227" i="4"/>
  <c r="DF284" i="4" s="1"/>
  <c r="DE225" i="4"/>
  <c r="DF225" i="4" s="1"/>
  <c r="DE224" i="4"/>
  <c r="DE222" i="4"/>
  <c r="DF222" i="4" s="1"/>
  <c r="DF221" i="4"/>
  <c r="DF220" i="4"/>
  <c r="DE219" i="4"/>
  <c r="DF218" i="4"/>
  <c r="DF217" i="4"/>
  <c r="DF186" i="4"/>
  <c r="DF517" i="4" s="1"/>
  <c r="DH518" i="4" s="1"/>
  <c r="DH519" i="4" s="1"/>
  <c r="DE185" i="4"/>
  <c r="DE183" i="4"/>
  <c r="DE172" i="4"/>
  <c r="DE174" i="4" s="1"/>
  <c r="DH178" i="4" s="1"/>
  <c r="DE171" i="4"/>
  <c r="DE169" i="4"/>
  <c r="DF167" i="4"/>
  <c r="DE166" i="4"/>
  <c r="DH170" i="4" s="1"/>
  <c r="DF165" i="4"/>
  <c r="DE151" i="4"/>
  <c r="DE153" i="4" s="1"/>
  <c r="DH157" i="4" s="1"/>
  <c r="DH162" i="4" s="1"/>
  <c r="DE150" i="4"/>
  <c r="DE148" i="4"/>
  <c r="DF146" i="4"/>
  <c r="DE145" i="4"/>
  <c r="DH149" i="4" s="1"/>
  <c r="DF144" i="4"/>
  <c r="DE139" i="4"/>
  <c r="DF134" i="4"/>
  <c r="DE128" i="4"/>
  <c r="DE126" i="4"/>
  <c r="DE131" i="4" s="1"/>
  <c r="DF124" i="4"/>
  <c r="DE123" i="4"/>
  <c r="DF122" i="4"/>
  <c r="DF106" i="4"/>
  <c r="DE88" i="4"/>
  <c r="DE86" i="4"/>
  <c r="DE85" i="4"/>
  <c r="DF84" i="4"/>
  <c r="DE77" i="4"/>
  <c r="DF76" i="4"/>
  <c r="DF75" i="4"/>
  <c r="DF66" i="4"/>
  <c r="DF64" i="4"/>
  <c r="DE59" i="4"/>
  <c r="DE57" i="4"/>
  <c r="DE50" i="4"/>
  <c r="DE47" i="4"/>
  <c r="DF43" i="4"/>
  <c r="AR40" i="9" s="1"/>
  <c r="AR142" i="9" s="1"/>
  <c r="DF35" i="4"/>
  <c r="DF912" i="4" s="1"/>
  <c r="DF34" i="4"/>
  <c r="AR31" i="9" s="1"/>
  <c r="AR133" i="9" s="1"/>
  <c r="DF32" i="4"/>
  <c r="AR27" i="9" s="1"/>
  <c r="AR71" i="9" s="1"/>
  <c r="DF28" i="4"/>
  <c r="DF27" i="4"/>
  <c r="DF26" i="4"/>
  <c r="DE23" i="4"/>
  <c r="DF22" i="4"/>
  <c r="DF21" i="4"/>
  <c r="DF20" i="4"/>
  <c r="DF622" i="4" s="1"/>
  <c r="DF17" i="4"/>
  <c r="DF611" i="4" s="1"/>
  <c r="DF16" i="4"/>
  <c r="DF610" i="4" s="1"/>
  <c r="DF14" i="4"/>
  <c r="DF565" i="4" s="1"/>
  <c r="DF13" i="4"/>
  <c r="DE12" i="4"/>
  <c r="EE77" i="3"/>
  <c r="ED77" i="3"/>
  <c r="EE49" i="3"/>
  <c r="EE15" i="3"/>
  <c r="ED15" i="3"/>
  <c r="EA77" i="3"/>
  <c r="DZ77" i="3"/>
  <c r="EA49" i="3"/>
  <c r="EA15" i="3"/>
  <c r="DZ15" i="3"/>
  <c r="AR11" i="9"/>
  <c r="AR57" i="9" s="1"/>
  <c r="AR10" i="9"/>
  <c r="AR110" i="9" s="1"/>
  <c r="AR2" i="9"/>
  <c r="AR150" i="9" s="1"/>
  <c r="AK5" i="12"/>
  <c r="B27" i="12"/>
  <c r="B26" i="12"/>
  <c r="B25" i="12"/>
  <c r="DR1257" i="4"/>
  <c r="DR1256" i="4"/>
  <c r="DR1244" i="4"/>
  <c r="DR1228" i="4"/>
  <c r="DR1227" i="4"/>
  <c r="DR1210" i="4"/>
  <c r="DR1209" i="4"/>
  <c r="DR1160" i="4"/>
  <c r="DR1139" i="4"/>
  <c r="DR1118" i="4"/>
  <c r="DQ1107" i="4"/>
  <c r="DQ998" i="4" s="1"/>
  <c r="DP1107" i="4"/>
  <c r="DP998" i="4" s="1"/>
  <c r="DQ1101" i="4"/>
  <c r="DQ1098" i="4"/>
  <c r="DQ1089" i="4"/>
  <c r="DQ1058" i="4"/>
  <c r="DP1058" i="4"/>
  <c r="DR986" i="4"/>
  <c r="DR981" i="4"/>
  <c r="DR976" i="4"/>
  <c r="DR975" i="4"/>
  <c r="DR974" i="4"/>
  <c r="DR969" i="4"/>
  <c r="DQ966" i="4"/>
  <c r="DP966" i="4"/>
  <c r="DR963" i="4"/>
  <c r="DR962" i="4"/>
  <c r="DR961" i="4"/>
  <c r="DR955" i="4"/>
  <c r="DQ937" i="4"/>
  <c r="DQ37" i="4" s="1"/>
  <c r="DP937" i="4"/>
  <c r="DR936" i="4"/>
  <c r="DR935" i="4"/>
  <c r="DR934" i="4"/>
  <c r="DR933" i="4"/>
  <c r="DR932" i="4"/>
  <c r="DR931" i="4"/>
  <c r="DR927" i="4"/>
  <c r="DR917" i="4"/>
  <c r="DR914" i="4"/>
  <c r="DR911" i="4"/>
  <c r="DQ886" i="4"/>
  <c r="DP886" i="4"/>
  <c r="DR859" i="4"/>
  <c r="DR848" i="4"/>
  <c r="DR86" i="4" s="1"/>
  <c r="DR847" i="4"/>
  <c r="DR846" i="4"/>
  <c r="DR840" i="4"/>
  <c r="DR828" i="4"/>
  <c r="DR88" i="4" s="1"/>
  <c r="DR827" i="4"/>
  <c r="DR784" i="4" s="1"/>
  <c r="DR826" i="4"/>
  <c r="DR886" i="4" s="1"/>
  <c r="DQ822" i="4"/>
  <c r="DP822" i="4"/>
  <c r="DQ821" i="4"/>
  <c r="DP821" i="4"/>
  <c r="DR819" i="4"/>
  <c r="DR809" i="4"/>
  <c r="DR771" i="4" s="1"/>
  <c r="DR808" i="4"/>
  <c r="DR783" i="4" s="1"/>
  <c r="DR786" i="4"/>
  <c r="DQ784" i="4"/>
  <c r="DP784" i="4"/>
  <c r="DQ783" i="4"/>
  <c r="DP783" i="4"/>
  <c r="DQ782" i="4"/>
  <c r="DP782" i="4"/>
  <c r="DQ781" i="4"/>
  <c r="DP781" i="4"/>
  <c r="DQ785" i="4"/>
  <c r="DP785" i="4"/>
  <c r="DQ771" i="4"/>
  <c r="DP771" i="4"/>
  <c r="DQ684" i="4"/>
  <c r="DP684" i="4"/>
  <c r="DR680" i="4"/>
  <c r="DQ670" i="4"/>
  <c r="DQ22" i="4" s="1"/>
  <c r="DP670" i="4"/>
  <c r="DP22" i="4" s="1"/>
  <c r="DQ668" i="4"/>
  <c r="DQ21" i="4" s="1"/>
  <c r="DP668" i="4"/>
  <c r="DR661" i="4"/>
  <c r="DR659" i="4"/>
  <c r="DR658" i="4"/>
  <c r="DR639" i="4"/>
  <c r="DR627" i="4"/>
  <c r="DR626" i="4"/>
  <c r="DQ553" i="4"/>
  <c r="DP553" i="4"/>
  <c r="DQ428" i="4"/>
  <c r="DP428" i="4"/>
  <c r="DR420" i="4"/>
  <c r="DR417" i="4"/>
  <c r="DR329" i="4"/>
  <c r="DR259" i="4"/>
  <c r="DR249" i="4"/>
  <c r="DQ131" i="4"/>
  <c r="DP131" i="4"/>
  <c r="DR106" i="4"/>
  <c r="DQ88" i="4"/>
  <c r="DP88" i="4"/>
  <c r="DQ87" i="4"/>
  <c r="DP87" i="4"/>
  <c r="DQ86" i="4"/>
  <c r="DP86" i="4"/>
  <c r="DQ85" i="4"/>
  <c r="DP85" i="4"/>
  <c r="DR84" i="4"/>
  <c r="DR75" i="4"/>
  <c r="DQ43" i="4"/>
  <c r="DP43" i="4"/>
  <c r="DQ35" i="4"/>
  <c r="DP35" i="4"/>
  <c r="BP20" i="3" s="1"/>
  <c r="DE233" i="4" l="1"/>
  <c r="DH189" i="4"/>
  <c r="DH524" i="4"/>
  <c r="DH526" i="4" s="1"/>
  <c r="DH191" i="4"/>
  <c r="DE947" i="4"/>
  <c r="DE1006" i="4" s="1"/>
  <c r="DH506" i="4"/>
  <c r="DH507" i="4" s="1"/>
  <c r="DH863" i="4"/>
  <c r="DE136" i="4"/>
  <c r="DE135" i="4" s="1"/>
  <c r="DH140" i="4" s="1"/>
  <c r="DH127" i="4"/>
  <c r="DF317" i="4"/>
  <c r="DH323" i="4"/>
  <c r="DE1203" i="4"/>
  <c r="DE1204" i="4" s="1"/>
  <c r="DH950" i="4"/>
  <c r="DF364" i="4"/>
  <c r="DH373" i="4"/>
  <c r="DE389" i="4"/>
  <c r="DF389" i="4" s="1"/>
  <c r="DH376" i="4"/>
  <c r="DH426" i="4"/>
  <c r="DE1366" i="4"/>
  <c r="DH1365" i="4"/>
  <c r="DE785" i="4"/>
  <c r="DE87" i="4"/>
  <c r="DE81" i="4" s="1"/>
  <c r="DF88" i="4"/>
  <c r="DF1383" i="4"/>
  <c r="DF1387" i="4" s="1"/>
  <c r="DF1310" i="4"/>
  <c r="DF1247" i="4"/>
  <c r="DE1370" i="4"/>
  <c r="DF1370" i="4" s="1"/>
  <c r="BQ22" i="3"/>
  <c r="AK89" i="12"/>
  <c r="DF1136" i="4"/>
  <c r="DF1199" i="4"/>
  <c r="AR12" i="9"/>
  <c r="DF77" i="4"/>
  <c r="DE465" i="4"/>
  <c r="DE899" i="4" s="1"/>
  <c r="DR966" i="4"/>
  <c r="DE555" i="4"/>
  <c r="DE556" i="4" s="1"/>
  <c r="DF1329" i="4"/>
  <c r="DR822" i="4"/>
  <c r="DE458" i="4"/>
  <c r="DE1195" i="4"/>
  <c r="DR87" i="4"/>
  <c r="DF310" i="4"/>
  <c r="AR128" i="9"/>
  <c r="AR156" i="9" s="1"/>
  <c r="DF383" i="4"/>
  <c r="DR684" i="4"/>
  <c r="DR937" i="4"/>
  <c r="DF883" i="4"/>
  <c r="DR668" i="4"/>
  <c r="DF1323" i="4"/>
  <c r="DF1350" i="4" s="1"/>
  <c r="DF1351" i="4"/>
  <c r="DE1345" i="4"/>
  <c r="DF854" i="4"/>
  <c r="DF864" i="4" s="1"/>
  <c r="DF566" i="4"/>
  <c r="DE1218" i="4"/>
  <c r="DF398" i="4"/>
  <c r="DF400" i="4" s="1"/>
  <c r="DF265" i="4"/>
  <c r="DE1236" i="4"/>
  <c r="DE243" i="4"/>
  <c r="DE287" i="4" s="1"/>
  <c r="DE223" i="4"/>
  <c r="DF219" i="4"/>
  <c r="DF223" i="4" s="1"/>
  <c r="DF123" i="4"/>
  <c r="DE612" i="4"/>
  <c r="DH619" i="4" s="1"/>
  <c r="DF640" i="4"/>
  <c r="DF655" i="4" s="1"/>
  <c r="DE1251" i="4"/>
  <c r="DF1249" i="4"/>
  <c r="DF1251" i="4" s="1"/>
  <c r="DF630" i="4"/>
  <c r="DF621" i="4"/>
  <c r="DF623" i="4" s="1"/>
  <c r="DE566" i="4"/>
  <c r="AR33" i="9"/>
  <c r="DF1131" i="4"/>
  <c r="DF1235" i="4"/>
  <c r="DF1242" i="4" s="1"/>
  <c r="DF1369" i="4"/>
  <c r="AR91" i="9"/>
  <c r="BQ20" i="3"/>
  <c r="DE184" i="4"/>
  <c r="DE779" i="4"/>
  <c r="DE829" i="4" s="1"/>
  <c r="DH830" i="4" s="1"/>
  <c r="DE1352" i="4"/>
  <c r="DE369" i="4"/>
  <c r="DE459" i="4"/>
  <c r="DE469" i="4" s="1"/>
  <c r="DE592" i="4"/>
  <c r="DE609" i="4"/>
  <c r="DH616" i="4" s="1"/>
  <c r="DF781" i="4"/>
  <c r="DF861" i="4"/>
  <c r="DF918" i="4"/>
  <c r="DF928" i="4"/>
  <c r="DF944" i="4"/>
  <c r="DE1220" i="4"/>
  <c r="DE1222" i="4" s="1"/>
  <c r="DE1321" i="4"/>
  <c r="DE1322" i="4" s="1"/>
  <c r="DR821" i="4"/>
  <c r="DF1216" i="4"/>
  <c r="DF1218" i="4" s="1"/>
  <c r="DP37" i="4"/>
  <c r="DF360" i="4"/>
  <c r="DF367" i="4"/>
  <c r="DE510" i="4"/>
  <c r="DE669" i="4"/>
  <c r="DE865" i="4"/>
  <c r="DF1137" i="4"/>
  <c r="DF1315" i="4"/>
  <c r="DF1345" i="4" s="1"/>
  <c r="DE1346" i="4"/>
  <c r="DE1332" i="4" s="1"/>
  <c r="DE1181" i="4"/>
  <c r="DE1185" i="4" s="1"/>
  <c r="DF1366" i="4"/>
  <c r="DF1214" i="4"/>
  <c r="AR15" i="9"/>
  <c r="AR115" i="9" s="1"/>
  <c r="DF12" i="4"/>
  <c r="DE1244" i="4"/>
  <c r="DF1244" i="4" s="1"/>
  <c r="DF1362" i="4"/>
  <c r="DF1363" i="4"/>
  <c r="DE1368" i="4"/>
  <c r="DE1369" i="4"/>
  <c r="DF1368" i="4"/>
  <c r="DE1316" i="4"/>
  <c r="DF1367" i="4"/>
  <c r="DE1237" i="4"/>
  <c r="DE1238" i="4" s="1"/>
  <c r="DE1338" i="4"/>
  <c r="DE1231" i="4"/>
  <c r="DF1195" i="4"/>
  <c r="DF1184" i="4"/>
  <c r="DF1202" i="4"/>
  <c r="DE1214" i="4"/>
  <c r="DD1083" i="4"/>
  <c r="DE998" i="4"/>
  <c r="DE1068" i="4"/>
  <c r="DF1033" i="4"/>
  <c r="DF1034" i="4"/>
  <c r="DE1035" i="4"/>
  <c r="DE823" i="4"/>
  <c r="DF653" i="4"/>
  <c r="DE922" i="4"/>
  <c r="DE924" i="4" s="1"/>
  <c r="DE640" i="4"/>
  <c r="DE1017" i="4"/>
  <c r="DE1008" i="4"/>
  <c r="DE621" i="4"/>
  <c r="DE623" i="4" s="1"/>
  <c r="DE663" i="4"/>
  <c r="DE662" i="4" s="1"/>
  <c r="DE686" i="4"/>
  <c r="DE684" i="4" s="1"/>
  <c r="DE807" i="4"/>
  <c r="DH814" i="4" s="1"/>
  <c r="DE864" i="4"/>
  <c r="DE683" i="4"/>
  <c r="DH690" i="4" s="1"/>
  <c r="DF921" i="4"/>
  <c r="DE630" i="4"/>
  <c r="DE629" i="4" s="1"/>
  <c r="DH634" i="4" s="1"/>
  <c r="DF174" i="4"/>
  <c r="DF166" i="4"/>
  <c r="DE176" i="4"/>
  <c r="DE237" i="4"/>
  <c r="DE511" i="4"/>
  <c r="DF185" i="4"/>
  <c r="AR111" i="9"/>
  <c r="AR112" i="9" s="1"/>
  <c r="DF224" i="4"/>
  <c r="DE380" i="4"/>
  <c r="DE443" i="4" s="1"/>
  <c r="DF509" i="4"/>
  <c r="DE230" i="4"/>
  <c r="DF535" i="4"/>
  <c r="DF348" i="4"/>
  <c r="DE477" i="4"/>
  <c r="DF23" i="4"/>
  <c r="DE187" i="4"/>
  <c r="DE155" i="4"/>
  <c r="DF421" i="4"/>
  <c r="DF133" i="4"/>
  <c r="DF183" i="4"/>
  <c r="DF245" i="4"/>
  <c r="DF345" i="4"/>
  <c r="DE353" i="4"/>
  <c r="DE490" i="4"/>
  <c r="DE1407" i="4" s="1"/>
  <c r="DE175" i="4"/>
  <c r="DH179" i="4" s="1"/>
  <c r="DF266" i="4"/>
  <c r="DF298" i="4"/>
  <c r="DE362" i="4"/>
  <c r="DF362" i="4" s="1"/>
  <c r="DE19" i="4"/>
  <c r="DE24" i="4"/>
  <c r="DF153" i="4"/>
  <c r="DE514" i="4"/>
  <c r="DE438" i="4"/>
  <c r="DF145" i="4"/>
  <c r="DE395" i="4"/>
  <c r="DE476" i="4"/>
  <c r="DE368" i="4"/>
  <c r="DF368" i="4" s="1"/>
  <c r="DE509" i="4"/>
  <c r="DE232" i="4"/>
  <c r="DF295" i="4"/>
  <c r="DF361" i="4"/>
  <c r="DF365" i="4"/>
  <c r="DF391" i="4"/>
  <c r="DE478" i="4"/>
  <c r="DF514" i="4"/>
  <c r="DF29" i="4"/>
  <c r="DF30" i="4" s="1"/>
  <c r="DE325" i="4"/>
  <c r="DF531" i="4"/>
  <c r="DF490" i="4"/>
  <c r="AR97" i="9"/>
  <c r="AR75" i="9"/>
  <c r="AR84" i="9"/>
  <c r="AR139" i="9"/>
  <c r="AR56" i="9"/>
  <c r="AR58" i="9" s="1"/>
  <c r="DR22" i="4"/>
  <c r="DP89" i="4"/>
  <c r="DR782" i="4"/>
  <c r="DR85" i="4"/>
  <c r="DR785" i="4"/>
  <c r="DP21" i="4"/>
  <c r="DQ912" i="4"/>
  <c r="DR428" i="4"/>
  <c r="DQ842" i="4"/>
  <c r="DQ843" i="4" s="1"/>
  <c r="DR670" i="4"/>
  <c r="DR781" i="4"/>
  <c r="DP912" i="4"/>
  <c r="DR35" i="4"/>
  <c r="DP1131" i="4"/>
  <c r="DP928" i="4"/>
  <c r="DR43" i="4"/>
  <c r="DQ89" i="4"/>
  <c r="DQ1131" i="4"/>
  <c r="DQ928" i="4"/>
  <c r="DR553" i="4"/>
  <c r="DR582" i="4"/>
  <c r="DQ583" i="4"/>
  <c r="DP842" i="4"/>
  <c r="DR998" i="4"/>
  <c r="DP583" i="4"/>
  <c r="DE1043" i="4" l="1"/>
  <c r="DE89" i="4"/>
  <c r="DF176" i="4"/>
  <c r="DF175" i="4" s="1"/>
  <c r="DH180" i="4"/>
  <c r="DH440" i="4"/>
  <c r="DF136" i="4"/>
  <c r="DH141" i="4"/>
  <c r="DE671" i="4"/>
  <c r="DH677" i="4" s="1"/>
  <c r="DH675" i="4"/>
  <c r="DE278" i="4"/>
  <c r="DE285" i="4" s="1"/>
  <c r="DE286" i="4" s="1"/>
  <c r="DE288" i="4" s="1"/>
  <c r="DH277" i="4"/>
  <c r="DH1109" i="4"/>
  <c r="DH956" i="4"/>
  <c r="DE654" i="4"/>
  <c r="DH644" i="4"/>
  <c r="DF155" i="4"/>
  <c r="DF154" i="4" s="1"/>
  <c r="DH159" i="4"/>
  <c r="DE407" i="4"/>
  <c r="DE521" i="4"/>
  <c r="DH522" i="4" s="1"/>
  <c r="DH523" i="4" s="1"/>
  <c r="DH193" i="4"/>
  <c r="DE528" i="4"/>
  <c r="DH529" i="4" s="1"/>
  <c r="DH190" i="4"/>
  <c r="DF369" i="4"/>
  <c r="DF1389" i="4"/>
  <c r="DE461" i="4"/>
  <c r="DE482" i="4" s="1"/>
  <c r="BP22" i="3"/>
  <c r="BQ27" i="3"/>
  <c r="BP27" i="3"/>
  <c r="DE897" i="4"/>
  <c r="DE896" i="4"/>
  <c r="DE262" i="4"/>
  <c r="DE259" i="4" s="1"/>
  <c r="DE852" i="4"/>
  <c r="DI278" i="4"/>
  <c r="DL278" i="4" s="1"/>
  <c r="DE1196" i="4"/>
  <c r="DE1200" i="4" s="1"/>
  <c r="DE1159" i="4" s="1"/>
  <c r="DF1321" i="4"/>
  <c r="DF1361" i="4" s="1"/>
  <c r="DE1239" i="4"/>
  <c r="DE1361" i="4"/>
  <c r="DE1240" i="4"/>
  <c r="DR89" i="4"/>
  <c r="DF1352" i="4"/>
  <c r="DF469" i="4"/>
  <c r="DF184" i="4"/>
  <c r="DF234" i="4" s="1"/>
  <c r="DF232" i="4"/>
  <c r="DR37" i="4"/>
  <c r="DF472" i="4"/>
  <c r="DE472" i="4" s="1"/>
  <c r="DE515" i="4"/>
  <c r="DF1220" i="4"/>
  <c r="DF1222" i="4" s="1"/>
  <c r="DE154" i="4"/>
  <c r="DH158" i="4" s="1"/>
  <c r="DE238" i="4"/>
  <c r="DE408" i="4"/>
  <c r="DE280" i="4"/>
  <c r="DE231" i="4"/>
  <c r="DF639" i="4"/>
  <c r="DF654" i="4"/>
  <c r="DE825" i="4"/>
  <c r="DH832" i="4" s="1"/>
  <c r="AR77" i="9"/>
  <c r="AR135" i="9"/>
  <c r="DE608" i="4"/>
  <c r="DH615" i="4" s="1"/>
  <c r="DF1246" i="4"/>
  <c r="DF1346" i="4"/>
  <c r="DF1332" i="4" s="1"/>
  <c r="DF947" i="4"/>
  <c r="DF1006" i="4" s="1"/>
  <c r="DF1008" i="4" s="1"/>
  <c r="DF1010" i="4" s="1"/>
  <c r="DF1181" i="4"/>
  <c r="DF1185" i="4" s="1"/>
  <c r="DF1196" i="4" s="1"/>
  <c r="DF1312" i="4" s="1"/>
  <c r="BD40" i="9"/>
  <c r="DF476" i="4"/>
  <c r="DF187" i="4"/>
  <c r="DF235" i="4" s="1"/>
  <c r="AR61" i="9"/>
  <c r="DF380" i="4"/>
  <c r="DF404" i="4" s="1"/>
  <c r="AN55" i="12"/>
  <c r="BR20" i="3"/>
  <c r="BD33" i="9"/>
  <c r="DF515" i="4"/>
  <c r="DF1407" i="4"/>
  <c r="DE366" i="4"/>
  <c r="DE279" i="4"/>
  <c r="DE868" i="4"/>
  <c r="DE876" i="4" s="1"/>
  <c r="DE1059" i="4"/>
  <c r="DE780" i="4"/>
  <c r="DE774" i="4" s="1"/>
  <c r="DF1236" i="4"/>
  <c r="DE1348" i="4"/>
  <c r="DE1347" i="4"/>
  <c r="DF1347" i="4" s="1"/>
  <c r="DE234" i="4"/>
  <c r="DE1355" i="4"/>
  <c r="DE1356" i="4" s="1"/>
  <c r="DF1356" i="4" s="1"/>
  <c r="DF1237" i="4"/>
  <c r="DG1228" i="4"/>
  <c r="DE1326" i="4"/>
  <c r="DF1316" i="4"/>
  <c r="DE1357" i="4"/>
  <c r="DE1340" i="4"/>
  <c r="DF1338" i="4"/>
  <c r="DE1337" i="4"/>
  <c r="DE1341" i="4"/>
  <c r="DE1037" i="4"/>
  <c r="DE557" i="4"/>
  <c r="DE1012" i="4"/>
  <c r="DF1017" i="4"/>
  <c r="DE1020" i="4"/>
  <c r="DE98" i="4"/>
  <c r="DE842" i="4"/>
  <c r="DE655" i="4"/>
  <c r="DE866" i="4"/>
  <c r="DF922" i="4"/>
  <c r="DF924" i="4" s="1"/>
  <c r="DE409" i="4"/>
  <c r="DE404" i="4"/>
  <c r="DE236" i="4"/>
  <c r="DE382" i="4"/>
  <c r="DE282" i="4"/>
  <c r="DE235" i="4"/>
  <c r="DE281" i="4"/>
  <c r="DF83" i="4"/>
  <c r="AR24" i="9"/>
  <c r="DF500" i="4"/>
  <c r="DF503" i="4" s="1"/>
  <c r="DF1395" i="4" s="1"/>
  <c r="DF1397" i="4" s="1"/>
  <c r="DF512" i="4"/>
  <c r="DF513" i="4"/>
  <c r="DE333" i="4"/>
  <c r="DH340" i="4" s="1"/>
  <c r="DE330" i="4"/>
  <c r="DH337" i="4" s="1"/>
  <c r="DE327" i="4"/>
  <c r="DH335" i="4" s="1"/>
  <c r="DE332" i="4"/>
  <c r="DH339" i="4" s="1"/>
  <c r="DE329" i="4"/>
  <c r="DF329" i="4" s="1"/>
  <c r="DE328" i="4"/>
  <c r="DH336" i="4" s="1"/>
  <c r="DE331" i="4"/>
  <c r="DH338" i="4" s="1"/>
  <c r="DF395" i="4"/>
  <c r="DE449" i="4"/>
  <c r="DF135" i="4"/>
  <c r="AR4" i="9"/>
  <c r="DE447" i="4"/>
  <c r="DE446" i="4"/>
  <c r="DE448" i="4"/>
  <c r="DE445" i="4"/>
  <c r="DF477" i="4"/>
  <c r="DF478" i="4"/>
  <c r="DE25" i="4"/>
  <c r="DF267" i="4"/>
  <c r="DE110" i="4"/>
  <c r="DE111" i="4" s="1"/>
  <c r="DE90" i="4"/>
  <c r="DF278" i="4"/>
  <c r="DF285" i="4" s="1"/>
  <c r="DF286" i="4" s="1"/>
  <c r="DF230" i="4"/>
  <c r="DF237" i="4"/>
  <c r="DE512" i="4"/>
  <c r="DE500" i="4"/>
  <c r="DE503" i="4" s="1"/>
  <c r="DE1395" i="4" s="1"/>
  <c r="DE1397" i="4" s="1"/>
  <c r="DE1399" i="4" s="1"/>
  <c r="DE513" i="4"/>
  <c r="DF407" i="4"/>
  <c r="DF465" i="4"/>
  <c r="DE444" i="4"/>
  <c r="DF233" i="4"/>
  <c r="DQ110" i="4"/>
  <c r="DR21" i="4"/>
  <c r="DP110" i="4"/>
  <c r="DR912" i="4"/>
  <c r="DP843" i="4"/>
  <c r="DR842" i="4"/>
  <c r="DR583" i="4"/>
  <c r="DR1131" i="4"/>
  <c r="DR928" i="4"/>
  <c r="DQ844" i="4"/>
  <c r="DM1101" i="4"/>
  <c r="DD284" i="4"/>
  <c r="DF366" i="4" l="1"/>
  <c r="DH375" i="4"/>
  <c r="DI440" i="4"/>
  <c r="DL440" i="4"/>
  <c r="DF521" i="4"/>
  <c r="DF528" i="4"/>
  <c r="DF408" i="4"/>
  <c r="BD36" i="9"/>
  <c r="BD139" i="9" s="1"/>
  <c r="BR27" i="3"/>
  <c r="DE1312" i="4"/>
  <c r="DE1157" i="4"/>
  <c r="DF409" i="4"/>
  <c r="DF280" i="4"/>
  <c r="DF231" i="4"/>
  <c r="DM278" i="4"/>
  <c r="DZ69" i="3"/>
  <c r="DF238" i="4"/>
  <c r="DR110" i="4"/>
  <c r="DF1240" i="4"/>
  <c r="DF443" i="4"/>
  <c r="DF444" i="4" s="1"/>
  <c r="DF382" i="4"/>
  <c r="DF403" i="4" s="1"/>
  <c r="DF1200" i="4"/>
  <c r="DF1159" i="4" s="1"/>
  <c r="DF236" i="4"/>
  <c r="DF1157" i="4"/>
  <c r="BR22" i="3"/>
  <c r="DF279" i="4"/>
  <c r="DF281" i="4"/>
  <c r="AR8" i="9"/>
  <c r="AR6" i="9" s="1"/>
  <c r="DF282" i="4"/>
  <c r="DF1348" i="4"/>
  <c r="DE770" i="4"/>
  <c r="DH772" i="4" s="1"/>
  <c r="BD84" i="9"/>
  <c r="BD142" i="9"/>
  <c r="DE545" i="4"/>
  <c r="BD135" i="9"/>
  <c r="BD77" i="9"/>
  <c r="DE1055" i="4"/>
  <c r="DF1355" i="4"/>
  <c r="DF1333" i="4" s="1"/>
  <c r="DE1333" i="4"/>
  <c r="DE787" i="4"/>
  <c r="DE789" i="4"/>
  <c r="DF1059" i="4"/>
  <c r="DF868" i="4"/>
  <c r="DF876" i="4" s="1"/>
  <c r="DE1358" i="4"/>
  <c r="DF1326" i="4"/>
  <c r="DE1325" i="4"/>
  <c r="DF1337" i="4"/>
  <c r="DF1342" i="4" s="1"/>
  <c r="DE1342" i="4"/>
  <c r="DF1340" i="4"/>
  <c r="DF1341" i="4"/>
  <c r="DF1239" i="4"/>
  <c r="DF1238" i="4"/>
  <c r="DF1357" i="4"/>
  <c r="DE1050" i="4"/>
  <c r="DE1070" i="4"/>
  <c r="DF923" i="4"/>
  <c r="DE843" i="4"/>
  <c r="DF1020" i="4"/>
  <c r="DE1021" i="4"/>
  <c r="DE403" i="4"/>
  <c r="DE386" i="4"/>
  <c r="DF461" i="4"/>
  <c r="DF333" i="4"/>
  <c r="AR50" i="9"/>
  <c r="AR104" i="9"/>
  <c r="DE341" i="4"/>
  <c r="DF328" i="4"/>
  <c r="DF332" i="4"/>
  <c r="DF331" i="4"/>
  <c r="DE74" i="4"/>
  <c r="DE31" i="4"/>
  <c r="DF327" i="4"/>
  <c r="DF330" i="4"/>
  <c r="DF81" i="4"/>
  <c r="DR843" i="4"/>
  <c r="DR844" i="4" s="1"/>
  <c r="DP844" i="4"/>
  <c r="CW622" i="4"/>
  <c r="CV622" i="4"/>
  <c r="DD622" i="4"/>
  <c r="DA622" i="4"/>
  <c r="CZ622" i="4"/>
  <c r="DP440" i="4" l="1"/>
  <c r="DQ440" i="4" s="1"/>
  <c r="DM440" i="4"/>
  <c r="BD80" i="9"/>
  <c r="DF1170" i="4"/>
  <c r="DF1391" i="4"/>
  <c r="DE1313" i="4"/>
  <c r="DE1391" i="4"/>
  <c r="DF449" i="4"/>
  <c r="DE1158" i="4"/>
  <c r="DE1170" i="4"/>
  <c r="DE1176" i="4" s="1"/>
  <c r="DE1175" i="4" s="1"/>
  <c r="DF1175" i="4" s="1"/>
  <c r="DF1176" i="4" s="1"/>
  <c r="DF1177" i="4" s="1"/>
  <c r="DP278" i="4"/>
  <c r="EA69" i="3"/>
  <c r="DF447" i="4"/>
  <c r="DF1158" i="4"/>
  <c r="DF446" i="4"/>
  <c r="DF448" i="4"/>
  <c r="DF482" i="4"/>
  <c r="AR54" i="9"/>
  <c r="AR72" i="9" s="1"/>
  <c r="DF1313" i="4"/>
  <c r="DF445" i="4"/>
  <c r="AR28" i="9"/>
  <c r="AR108" i="9"/>
  <c r="AR129" i="9" s="1"/>
  <c r="DF1358" i="4"/>
  <c r="DE1359" i="4"/>
  <c r="DF1359" i="4" s="1"/>
  <c r="DE1360" i="4"/>
  <c r="DF1360" i="4" s="1"/>
  <c r="DE1057" i="4"/>
  <c r="DE1151" i="4"/>
  <c r="DE546" i="4"/>
  <c r="DE790" i="4" s="1"/>
  <c r="DE1353" i="4"/>
  <c r="DF1325" i="4"/>
  <c r="DE844" i="4"/>
  <c r="DE405" i="4"/>
  <c r="DI405" i="4" s="1"/>
  <c r="DL405" i="4" s="1"/>
  <c r="DF386" i="4"/>
  <c r="DE406" i="4"/>
  <c r="DE33" i="4"/>
  <c r="AR29" i="9"/>
  <c r="AR106" i="9"/>
  <c r="AR52" i="9"/>
  <c r="DE78" i="4"/>
  <c r="DE1054" i="4" s="1"/>
  <c r="DE1056" i="4" s="1"/>
  <c r="DE94" i="4"/>
  <c r="DE107" i="4"/>
  <c r="DD225" i="4"/>
  <c r="DD224" i="4"/>
  <c r="DA224" i="4"/>
  <c r="DB224" i="4" s="1"/>
  <c r="DA225" i="4"/>
  <c r="DB225" i="4" s="1"/>
  <c r="CZ225" i="4"/>
  <c r="CZ224" i="4"/>
  <c r="AR157" i="9" l="1"/>
  <c r="DP405" i="4"/>
  <c r="DQ405" i="4" s="1"/>
  <c r="DM405" i="4"/>
  <c r="DQ278" i="4"/>
  <c r="ED69" i="3"/>
  <c r="DP285" i="4"/>
  <c r="AR98" i="9"/>
  <c r="DE884" i="4"/>
  <c r="DF1353" i="4"/>
  <c r="DF405" i="4"/>
  <c r="DF406" i="4"/>
  <c r="DE114" i="4"/>
  <c r="AR73" i="9"/>
  <c r="DE95" i="4"/>
  <c r="AR130" i="9"/>
  <c r="DE36" i="4"/>
  <c r="DD1323" i="4"/>
  <c r="DD1315" i="4"/>
  <c r="EE69" i="3" l="1"/>
  <c r="DQ285" i="4"/>
  <c r="DE887" i="4"/>
  <c r="DE888" i="4" s="1"/>
  <c r="DE885" i="4"/>
  <c r="DE38" i="4"/>
  <c r="DE42" i="4"/>
  <c r="DE44" i="4" s="1"/>
  <c r="DE97" i="4"/>
  <c r="DD1246" i="4"/>
  <c r="DD1194" i="4"/>
  <c r="DD955" i="4"/>
  <c r="DF955" i="4" s="1"/>
  <c r="DD628" i="4"/>
  <c r="DF628" i="4" s="1"/>
  <c r="DD489" i="4"/>
  <c r="DD487" i="4"/>
  <c r="DE493" i="4" s="1"/>
  <c r="DD462" i="4"/>
  <c r="CZ363" i="4"/>
  <c r="DA363" i="4"/>
  <c r="DB363" i="4" s="1"/>
  <c r="DD363" i="4"/>
  <c r="DD362" i="4"/>
  <c r="DD313" i="4"/>
  <c r="DE321" i="4" s="1"/>
  <c r="DD294" i="4"/>
  <c r="DE304" i="4" s="1"/>
  <c r="DD365" i="4"/>
  <c r="DA365" i="4"/>
  <c r="DB365" i="4" s="1"/>
  <c r="DD344" i="4"/>
  <c r="DE352" i="4" s="1"/>
  <c r="A353" i="4"/>
  <c r="DA354" i="4"/>
  <c r="DD354" i="4"/>
  <c r="DA345" i="4"/>
  <c r="DB345" i="4" s="1"/>
  <c r="CZ345" i="4"/>
  <c r="DB346" i="4"/>
  <c r="DN329" i="4"/>
  <c r="DJ329" i="4"/>
  <c r="DD322" i="4"/>
  <c r="DA322" i="4"/>
  <c r="DA314" i="4"/>
  <c r="DB314" i="4" s="1"/>
  <c r="CZ314" i="4"/>
  <c r="DB315" i="4"/>
  <c r="DD316" i="4"/>
  <c r="DA298" i="4"/>
  <c r="DB298" i="4" s="1"/>
  <c r="DG298" i="4" s="1"/>
  <c r="CZ298" i="4"/>
  <c r="DD306" i="4"/>
  <c r="DA306" i="4"/>
  <c r="DA295" i="4"/>
  <c r="DB295" i="4" s="1"/>
  <c r="CZ295" i="4"/>
  <c r="DB296" i="4"/>
  <c r="DD297" i="4"/>
  <c r="DD266" i="4"/>
  <c r="DQ61" i="3"/>
  <c r="DQ62" i="3"/>
  <c r="DQ63" i="3"/>
  <c r="DQ64" i="3"/>
  <c r="DQ65" i="3"/>
  <c r="DR65" i="3"/>
  <c r="DE1267" i="4" l="1"/>
  <c r="DD472" i="4"/>
  <c r="DE374" i="4"/>
  <c r="DE1122" i="4"/>
  <c r="DE1402" i="4"/>
  <c r="DD298" i="4"/>
  <c r="DE308" i="4" s="1"/>
  <c r="DE307" i="4"/>
  <c r="DE40" i="4"/>
  <c r="DE1038" i="4"/>
  <c r="DE1150" i="4"/>
  <c r="DE1123" i="4"/>
  <c r="DE1125" i="4" s="1"/>
  <c r="DE1144" i="4" s="1"/>
  <c r="CZ362" i="4"/>
  <c r="DA362" i="4"/>
  <c r="DB362" i="4" s="1"/>
  <c r="DA353" i="4"/>
  <c r="DD353" i="4"/>
  <c r="DA305" i="4"/>
  <c r="DD305" i="4"/>
  <c r="DI345" i="4"/>
  <c r="DJ345" i="4" s="1"/>
  <c r="DB227" i="4"/>
  <c r="DD222" i="4"/>
  <c r="DD219" i="4"/>
  <c r="DB221" i="4"/>
  <c r="DB220" i="4"/>
  <c r="DA222" i="4"/>
  <c r="CZ222" i="4"/>
  <c r="DB218" i="4"/>
  <c r="DB217" i="4"/>
  <c r="DA219" i="4"/>
  <c r="CZ219" i="4"/>
  <c r="CZ133" i="4"/>
  <c r="DE138" i="4"/>
  <c r="DE964" i="4" l="1"/>
  <c r="DE1130" i="4"/>
  <c r="DE1132" i="4" s="1"/>
  <c r="DE1051" i="4"/>
  <c r="DE1143" i="4"/>
  <c r="DE1141" i="4"/>
  <c r="DE1044" i="4"/>
  <c r="DE1045" i="4" s="1"/>
  <c r="DE1040" i="4"/>
  <c r="DE1039" i="4"/>
  <c r="DE1041" i="4"/>
  <c r="DL345" i="4"/>
  <c r="DM345" i="4" s="1"/>
  <c r="DI295" i="4"/>
  <c r="DJ295" i="4" s="1"/>
  <c r="DK295" i="4" s="1"/>
  <c r="DP65" i="3"/>
  <c r="DB219" i="4"/>
  <c r="DD223" i="4"/>
  <c r="DE277" i="4" s="1"/>
  <c r="DA223" i="4"/>
  <c r="DB222" i="4"/>
  <c r="CZ223" i="4"/>
  <c r="CZ278" i="4" s="1"/>
  <c r="DD39" i="4"/>
  <c r="DD15" i="4"/>
  <c r="DD1398" i="4"/>
  <c r="DF1398" i="4" s="1"/>
  <c r="DF1399" i="4" s="1"/>
  <c r="DD1367" i="4"/>
  <c r="DD1364" i="4"/>
  <c r="DD1363" i="4"/>
  <c r="DD1362" i="4"/>
  <c r="DD1351" i="4"/>
  <c r="DD1344" i="4"/>
  <c r="DD1345" i="4" s="1"/>
  <c r="DD1329" i="4"/>
  <c r="DD1338" i="4" s="1"/>
  <c r="DD1352" i="4"/>
  <c r="DD1321" i="4"/>
  <c r="DD1298" i="4"/>
  <c r="DE1298" i="4" s="1"/>
  <c r="DF1298" i="4" s="1"/>
  <c r="DD1283" i="4"/>
  <c r="DD1282" i="4"/>
  <c r="DD898" i="4" s="1"/>
  <c r="DD1259" i="4"/>
  <c r="DE1254" i="4" s="1"/>
  <c r="DE1258" i="4" s="1"/>
  <c r="DD1255" i="4"/>
  <c r="DF1255" i="4" s="1"/>
  <c r="DD1250" i="4"/>
  <c r="DD1247" i="4"/>
  <c r="DD1249" i="4"/>
  <c r="DD1251" i="4" s="1"/>
  <c r="DD1243" i="4"/>
  <c r="DD1235" i="4"/>
  <c r="DD1242" i="4" s="1"/>
  <c r="DD1233" i="4"/>
  <c r="DD1234" i="4" s="1"/>
  <c r="DD1229" i="4"/>
  <c r="DE1225" i="4" s="1"/>
  <c r="DE1226" i="4" s="1"/>
  <c r="DD1221" i="4"/>
  <c r="DD1217" i="4"/>
  <c r="DD1216" i="4"/>
  <c r="DD1212" i="4"/>
  <c r="DE1208" i="4" s="1"/>
  <c r="DE1211" i="4" s="1"/>
  <c r="DD1206" i="4"/>
  <c r="DD1202" i="4"/>
  <c r="DD1199" i="4"/>
  <c r="DD1195" i="4"/>
  <c r="DD1184" i="4"/>
  <c r="DD1137" i="4"/>
  <c r="DD1135" i="4"/>
  <c r="DD1131" i="4"/>
  <c r="DD1128" i="4"/>
  <c r="DD1120" i="4"/>
  <c r="DD1136" i="4" s="1"/>
  <c r="DD1046" i="4"/>
  <c r="DD1034" i="4"/>
  <c r="DD1036" i="4" s="1"/>
  <c r="DF1036" i="4" s="1"/>
  <c r="DD1033" i="4"/>
  <c r="DD1025" i="4"/>
  <c r="DE1025" i="4" s="1"/>
  <c r="DD1009" i="4"/>
  <c r="DD1026" i="4" s="1"/>
  <c r="DE1026" i="4" s="1"/>
  <c r="DE1009" i="4" s="1"/>
  <c r="DE1010" i="4" s="1"/>
  <c r="DD1003" i="4"/>
  <c r="DD1004" i="4" s="1"/>
  <c r="DD1001" i="4"/>
  <c r="DD1114" i="4" s="1"/>
  <c r="DE1115" i="4" s="1"/>
  <c r="DE1116" i="4" s="1"/>
  <c r="DD993" i="4"/>
  <c r="DF993" i="4" s="1"/>
  <c r="DD987" i="4"/>
  <c r="DE985" i="4" s="1"/>
  <c r="DE986" i="4" s="1"/>
  <c r="DD982" i="4"/>
  <c r="DE980" i="4" s="1"/>
  <c r="DE981" i="4" s="1"/>
  <c r="DD977" i="4"/>
  <c r="DE973" i="4" s="1"/>
  <c r="DE976" i="4" s="1"/>
  <c r="DD970" i="4"/>
  <c r="DE960" i="4" s="1"/>
  <c r="DD966" i="4"/>
  <c r="DF966" i="4" s="1"/>
  <c r="DD957" i="4"/>
  <c r="DD944" i="4"/>
  <c r="DD947" i="4" s="1"/>
  <c r="DD1006" i="4" s="1"/>
  <c r="DD936" i="4"/>
  <c r="DF936" i="4" s="1"/>
  <c r="DD928" i="4"/>
  <c r="DD927" i="4"/>
  <c r="DF927" i="4" s="1"/>
  <c r="DD918" i="4"/>
  <c r="DD912" i="4"/>
  <c r="DD911" i="4"/>
  <c r="DF911" i="4" s="1"/>
  <c r="DD903" i="4"/>
  <c r="DD902" i="4"/>
  <c r="DD893" i="4"/>
  <c r="DD895" i="4" s="1"/>
  <c r="DD886" i="4"/>
  <c r="DF886" i="4" s="1"/>
  <c r="DD883" i="4"/>
  <c r="DD861" i="4"/>
  <c r="DE858" i="4" s="1"/>
  <c r="DE860" i="4" s="1"/>
  <c r="DE862" i="4" s="1"/>
  <c r="DD854" i="4"/>
  <c r="DD822" i="4"/>
  <c r="DF822" i="4" s="1"/>
  <c r="DD821" i="4"/>
  <c r="DF821" i="4" s="1"/>
  <c r="DD820" i="4"/>
  <c r="DF820" i="4" s="1"/>
  <c r="DD813" i="4"/>
  <c r="DD812" i="4"/>
  <c r="DD796" i="4"/>
  <c r="DF796" i="4" s="1"/>
  <c r="DD795" i="4"/>
  <c r="DD784" i="4"/>
  <c r="DD783" i="4"/>
  <c r="DD782" i="4"/>
  <c r="DD781" i="4"/>
  <c r="DD779" i="4"/>
  <c r="DD778" i="4"/>
  <c r="DD777" i="4"/>
  <c r="DD776" i="4"/>
  <c r="DF776" i="4" s="1"/>
  <c r="DD785" i="4"/>
  <c r="DD771" i="4"/>
  <c r="DD692" i="4"/>
  <c r="DD689" i="4"/>
  <c r="DD670" i="4"/>
  <c r="DF670" i="4" s="1"/>
  <c r="DD668" i="4"/>
  <c r="DD667" i="4"/>
  <c r="DD653" i="4"/>
  <c r="DD647" i="4"/>
  <c r="DD646" i="4"/>
  <c r="DD643" i="4"/>
  <c r="DD642" i="4"/>
  <c r="DD614" i="4"/>
  <c r="DD611" i="4"/>
  <c r="DE618" i="4" s="1"/>
  <c r="DD610" i="4"/>
  <c r="DE617" i="4" s="1"/>
  <c r="DD599" i="4"/>
  <c r="DD593" i="4"/>
  <c r="DF593" i="4" s="1"/>
  <c r="DD587" i="4"/>
  <c r="DD585" i="4"/>
  <c r="DD565" i="4"/>
  <c r="DD554" i="4"/>
  <c r="DF554" i="4" s="1"/>
  <c r="DD553" i="4"/>
  <c r="DF553" i="4" s="1"/>
  <c r="DD538" i="4"/>
  <c r="DD535" i="4"/>
  <c r="DE536" i="4" s="1"/>
  <c r="DE537" i="4" s="1"/>
  <c r="DD531" i="4"/>
  <c r="DE532" i="4" s="1"/>
  <c r="DE533" i="4" s="1"/>
  <c r="DD525" i="4"/>
  <c r="DD517" i="4"/>
  <c r="DE518" i="4" s="1"/>
  <c r="DE519" i="4" s="1"/>
  <c r="DD492" i="4"/>
  <c r="DD592" i="4"/>
  <c r="DD467" i="4"/>
  <c r="DD466" i="4"/>
  <c r="DD459" i="4"/>
  <c r="DD458" i="4"/>
  <c r="DD438" i="4"/>
  <c r="DD437" i="4"/>
  <c r="DD435" i="4"/>
  <c r="DD432" i="4"/>
  <c r="DD429" i="4"/>
  <c r="DE425" i="4" s="1"/>
  <c r="DE426" i="4" s="1"/>
  <c r="DD421" i="4"/>
  <c r="DD422" i="4" s="1"/>
  <c r="DD411" i="4"/>
  <c r="DE412" i="4" s="1"/>
  <c r="DD398" i="4"/>
  <c r="DD400" i="4" s="1"/>
  <c r="DE401" i="4" s="1"/>
  <c r="DD383" i="4"/>
  <c r="DD391" i="4" s="1"/>
  <c r="DD367" i="4"/>
  <c r="DE376" i="4" s="1"/>
  <c r="DD374" i="4"/>
  <c r="DD364" i="4"/>
  <c r="DE373" i="4" s="1"/>
  <c r="DD360" i="4"/>
  <c r="DE371" i="4" s="1"/>
  <c r="DD357" i="4"/>
  <c r="DD355" i="4"/>
  <c r="DD352" i="4"/>
  <c r="DD351" i="4"/>
  <c r="DD348" i="4"/>
  <c r="DE356" i="4" s="1"/>
  <c r="DD324" i="4"/>
  <c r="DD321" i="4"/>
  <c r="DD320" i="4"/>
  <c r="DD317" i="4"/>
  <c r="DE323" i="4" s="1"/>
  <c r="DD309" i="4"/>
  <c r="DD307" i="4"/>
  <c r="DD303" i="4"/>
  <c r="DD265" i="4"/>
  <c r="DD257" i="4"/>
  <c r="DD274" i="4" s="1"/>
  <c r="DD254" i="4"/>
  <c r="DD248" i="4"/>
  <c r="DD250" i="4" s="1"/>
  <c r="DD245" i="4"/>
  <c r="DD244" i="4"/>
  <c r="DD185" i="4"/>
  <c r="DD183" i="4"/>
  <c r="DD172" i="4"/>
  <c r="DD176" i="4" s="1"/>
  <c r="DE180" i="4" s="1"/>
  <c r="DD171" i="4"/>
  <c r="DD169" i="4"/>
  <c r="DD166" i="4"/>
  <c r="DE170" i="4" s="1"/>
  <c r="DD151" i="4"/>
  <c r="DD325" i="4" s="1"/>
  <c r="DD330" i="4" s="1"/>
  <c r="DE337" i="4" s="1"/>
  <c r="DD150" i="4"/>
  <c r="DD148" i="4"/>
  <c r="DD145" i="4"/>
  <c r="DE149" i="4" s="1"/>
  <c r="DD139" i="4"/>
  <c r="DF139" i="4" s="1"/>
  <c r="DD128" i="4"/>
  <c r="DD126" i="4"/>
  <c r="DD123" i="4"/>
  <c r="DE127" i="4" s="1"/>
  <c r="DD88" i="4"/>
  <c r="DD85" i="4"/>
  <c r="DF85" i="4" s="1"/>
  <c r="DD87" i="4"/>
  <c r="DD77" i="4"/>
  <c r="DD59" i="4"/>
  <c r="DD57" i="4"/>
  <c r="DD50" i="4"/>
  <c r="DD47" i="4"/>
  <c r="DD30" i="4"/>
  <c r="DD23" i="4"/>
  <c r="DH53" i="4" s="1"/>
  <c r="DD12" i="4"/>
  <c r="DD83" i="4" l="1"/>
  <c r="DH55" i="4"/>
  <c r="DE1013" i="4"/>
  <c r="DE1148" i="4"/>
  <c r="DE1146" i="4"/>
  <c r="DE965" i="4"/>
  <c r="DE969" i="4" s="1"/>
  <c r="DD609" i="4"/>
  <c r="DF15" i="4"/>
  <c r="DE863" i="4"/>
  <c r="DD919" i="4"/>
  <c r="DF39" i="4"/>
  <c r="DF919" i="4" s="1"/>
  <c r="DE1260" i="4"/>
  <c r="DD1087" i="4"/>
  <c r="DE1408" i="4"/>
  <c r="DD1366" i="4"/>
  <c r="DE1365" i="4"/>
  <c r="DE1400" i="4"/>
  <c r="DD801" i="4"/>
  <c r="DH803" i="4" s="1"/>
  <c r="DF777" i="4"/>
  <c r="DE440" i="4"/>
  <c r="DD686" i="4"/>
  <c r="DD684" i="4" s="1"/>
  <c r="DF684" i="4" s="1"/>
  <c r="DF668" i="4"/>
  <c r="DF686" i="4" s="1"/>
  <c r="DD810" i="4"/>
  <c r="DE816" i="4" s="1"/>
  <c r="DF778" i="4"/>
  <c r="DD1049" i="4"/>
  <c r="DF1049" i="4" s="1"/>
  <c r="DF1047" i="4"/>
  <c r="DF1043" i="4"/>
  <c r="DF89" i="4"/>
  <c r="DD829" i="4"/>
  <c r="DH831" i="4" s="1"/>
  <c r="DF779" i="4"/>
  <c r="DD853" i="4"/>
  <c r="DF244" i="4"/>
  <c r="DF853" i="4" s="1"/>
  <c r="DF667" i="4"/>
  <c r="DE673" i="4"/>
  <c r="DD439" i="4"/>
  <c r="DE437" i="4"/>
  <c r="DE439" i="4" s="1"/>
  <c r="DD1203" i="4"/>
  <c r="DD1204" i="4" s="1"/>
  <c r="DE950" i="4"/>
  <c r="DE956" i="4" s="1"/>
  <c r="DD237" i="4"/>
  <c r="DE189" i="4"/>
  <c r="DD187" i="4"/>
  <c r="DE193" i="4" s="1"/>
  <c r="DE191" i="4"/>
  <c r="DE524" i="4"/>
  <c r="DN345" i="4"/>
  <c r="DP345" i="4"/>
  <c r="DQ345" i="4" s="1"/>
  <c r="DR345" i="4" s="1"/>
  <c r="DD630" i="4"/>
  <c r="DD629" i="4" s="1"/>
  <c r="DE634" i="4" s="1"/>
  <c r="DD621" i="4"/>
  <c r="DD623" i="4" s="1"/>
  <c r="DA278" i="4"/>
  <c r="DD277" i="4"/>
  <c r="DR61" i="3"/>
  <c r="DD278" i="4"/>
  <c r="DD285" i="4" s="1"/>
  <c r="DD286" i="4" s="1"/>
  <c r="DL295" i="4"/>
  <c r="DM295" i="4" s="1"/>
  <c r="DP295" i="4" s="1"/>
  <c r="DQ295" i="4" s="1"/>
  <c r="DD18" i="4"/>
  <c r="DD389" i="4"/>
  <c r="DD465" i="4" s="1"/>
  <c r="DD369" i="4"/>
  <c r="DD329" i="4"/>
  <c r="DD232" i="4"/>
  <c r="DR62" i="3" s="1"/>
  <c r="DB223" i="4"/>
  <c r="DF277" i="4" s="1"/>
  <c r="DD1346" i="4"/>
  <c r="DD1347" i="4" s="1"/>
  <c r="DD233" i="4"/>
  <c r="DD230" i="4"/>
  <c r="DD1370" i="4"/>
  <c r="DD1035" i="4"/>
  <c r="DD243" i="4"/>
  <c r="DD267" i="4"/>
  <c r="DD381" i="4" s="1"/>
  <c r="DD1218" i="4"/>
  <c r="DD1043" i="4"/>
  <c r="DD1181" i="4"/>
  <c r="DD1185" i="4" s="1"/>
  <c r="DD1196" i="4" s="1"/>
  <c r="DD555" i="4"/>
  <c r="DD469" i="4"/>
  <c r="DD184" i="4"/>
  <c r="DE190" i="4" s="1"/>
  <c r="DD175" i="4"/>
  <c r="DE179" i="4" s="1"/>
  <c r="DD174" i="4"/>
  <c r="DE178" i="4" s="1"/>
  <c r="DD153" i="4"/>
  <c r="DE157" i="4" s="1"/>
  <c r="DE162" i="4" s="1"/>
  <c r="DD332" i="4"/>
  <c r="DE339" i="4" s="1"/>
  <c r="DD663" i="4"/>
  <c r="DD662" i="4" s="1"/>
  <c r="DF662" i="4" s="1"/>
  <c r="DF663" i="4" s="1"/>
  <c r="DD131" i="4"/>
  <c r="DD640" i="4"/>
  <c r="DH648" i="4" s="1"/>
  <c r="DD669" i="4"/>
  <c r="DD780" i="4"/>
  <c r="DD793" i="4"/>
  <c r="DF793" i="4" s="1"/>
  <c r="DD1248" i="4"/>
  <c r="DD823" i="4"/>
  <c r="DF823" i="4" s="1"/>
  <c r="DD922" i="4"/>
  <c r="DD924" i="4" s="1"/>
  <c r="DD1220" i="4"/>
  <c r="DD1222" i="4" s="1"/>
  <c r="DD1316" i="4"/>
  <c r="DD1357" i="4" s="1"/>
  <c r="DD865" i="4"/>
  <c r="DD1244" i="4"/>
  <c r="DD1337" i="4"/>
  <c r="DD1342" i="4" s="1"/>
  <c r="DD1341" i="4"/>
  <c r="DD1340" i="4"/>
  <c r="DD1236" i="4"/>
  <c r="DD1322" i="4"/>
  <c r="DD1361" i="4"/>
  <c r="DD1368" i="4"/>
  <c r="DD1350" i="4"/>
  <c r="DD1231" i="4"/>
  <c r="DD1160" i="4"/>
  <c r="DD1214" i="4"/>
  <c r="DD1237" i="4"/>
  <c r="DD1238" i="4" s="1"/>
  <c r="DD1369" i="4"/>
  <c r="DD1017" i="4"/>
  <c r="DD1020" i="4" s="1"/>
  <c r="DD1021" i="4" s="1"/>
  <c r="DD1008" i="4"/>
  <c r="DD89" i="4"/>
  <c r="DD864" i="4"/>
  <c r="DD683" i="4"/>
  <c r="DE690" i="4" s="1"/>
  <c r="DD333" i="4"/>
  <c r="DE340" i="4" s="1"/>
  <c r="DD327" i="4"/>
  <c r="DE335" i="4" s="1"/>
  <c r="DD328" i="4"/>
  <c r="DE336" i="4" s="1"/>
  <c r="DD331" i="4"/>
  <c r="DE338" i="4" s="1"/>
  <c r="DD510" i="4"/>
  <c r="DD488" i="4"/>
  <c r="DD81" i="4"/>
  <c r="DD136" i="4"/>
  <c r="DE141" i="4" s="1"/>
  <c r="DD155" i="4"/>
  <c r="DE159" i="4" s="1"/>
  <c r="DD368" i="4"/>
  <c r="DD380" i="4"/>
  <c r="DD476" i="4"/>
  <c r="DD612" i="4" l="1"/>
  <c r="DE619" i="4" s="1"/>
  <c r="DH48" i="4"/>
  <c r="DD807" i="4"/>
  <c r="DF807" i="4" s="1"/>
  <c r="DD774" i="4"/>
  <c r="DD787" i="4"/>
  <c r="DD868" i="4"/>
  <c r="DD876" i="4" s="1"/>
  <c r="DD281" i="4"/>
  <c r="DD521" i="4"/>
  <c r="DE522" i="4" s="1"/>
  <c r="DE523" i="4" s="1"/>
  <c r="DD1037" i="4"/>
  <c r="DD1076" i="4" s="1"/>
  <c r="DD1077" i="4" s="1"/>
  <c r="DF1035" i="4"/>
  <c r="DD556" i="4"/>
  <c r="DF555" i="4"/>
  <c r="DF629" i="4"/>
  <c r="DF683" i="4"/>
  <c r="DF669" i="4"/>
  <c r="DF671" i="4" s="1"/>
  <c r="DF810" i="4"/>
  <c r="DF801" i="4"/>
  <c r="DE802" i="4"/>
  <c r="DF780" i="4"/>
  <c r="DD825" i="4"/>
  <c r="DE832" i="4" s="1"/>
  <c r="DF829" i="4"/>
  <c r="DE830" i="4"/>
  <c r="DD282" i="4"/>
  <c r="DD1157" i="4"/>
  <c r="DD1086" i="4"/>
  <c r="DF110" i="4"/>
  <c r="DF111" i="4" s="1"/>
  <c r="DF98" i="4"/>
  <c r="DF90" i="4"/>
  <c r="DF609" i="4"/>
  <c r="DF18" i="4"/>
  <c r="DD279" i="4"/>
  <c r="DD608" i="4"/>
  <c r="DE615" i="4" s="1"/>
  <c r="DE616" i="4"/>
  <c r="DD566" i="4"/>
  <c r="DE494" i="4"/>
  <c r="DD671" i="4"/>
  <c r="DE677" i="4" s="1"/>
  <c r="DE675" i="4"/>
  <c r="DD639" i="4"/>
  <c r="DE639" i="4" s="1"/>
  <c r="DE644" i="4"/>
  <c r="DD262" i="4"/>
  <c r="DF243" i="4"/>
  <c r="DF287" i="4" s="1"/>
  <c r="DF288" i="4" s="1"/>
  <c r="DE526" i="4"/>
  <c r="DD235" i="4"/>
  <c r="DR63" i="3" s="1"/>
  <c r="DD236" i="4"/>
  <c r="DR64" i="3" s="1"/>
  <c r="DD1059" i="4"/>
  <c r="DR295" i="4"/>
  <c r="DD24" i="4"/>
  <c r="DF24" i="4" s="1"/>
  <c r="DD19" i="4"/>
  <c r="DD280" i="4"/>
  <c r="DD238" i="4"/>
  <c r="DD409" i="4"/>
  <c r="DD395" i="4"/>
  <c r="DD407" i="4"/>
  <c r="DN295" i="4"/>
  <c r="DO295" i="4" s="1"/>
  <c r="DD1348" i="4"/>
  <c r="DD1332" i="4"/>
  <c r="DP61" i="3"/>
  <c r="DD1355" i="4"/>
  <c r="DD1358" i="4" s="1"/>
  <c r="DD1359" i="4" s="1"/>
  <c r="DD231" i="4"/>
  <c r="DD234" i="4"/>
  <c r="DD1200" i="4"/>
  <c r="DD1159" i="4" s="1"/>
  <c r="DD1312" i="4"/>
  <c r="DD287" i="4"/>
  <c r="DD288" i="4" s="1"/>
  <c r="DD655" i="4"/>
  <c r="DD852" i="4"/>
  <c r="DD654" i="4"/>
  <c r="DD528" i="4"/>
  <c r="DE529" i="4" s="1"/>
  <c r="DD1326" i="4"/>
  <c r="DD1325" i="4" s="1"/>
  <c r="DD1353" i="4" s="1"/>
  <c r="DD770" i="4"/>
  <c r="DD896" i="4"/>
  <c r="DD899" i="4"/>
  <c r="DD897" i="4"/>
  <c r="DD1239" i="4"/>
  <c r="DD1240" i="4"/>
  <c r="DD1010" i="4"/>
  <c r="DD1013" i="4" s="1"/>
  <c r="DD1012" i="4"/>
  <c r="DD110" i="4"/>
  <c r="DD111" i="4" s="1"/>
  <c r="DH112" i="4" s="1"/>
  <c r="DD842" i="4"/>
  <c r="DF842" i="4" s="1"/>
  <c r="DD90" i="4"/>
  <c r="DH92" i="4" s="1"/>
  <c r="DD98" i="4"/>
  <c r="DD866" i="4"/>
  <c r="DD681" i="4"/>
  <c r="DF681" i="4" s="1"/>
  <c r="DD509" i="4"/>
  <c r="DD490" i="4"/>
  <c r="DD1407" i="4" s="1"/>
  <c r="DD514" i="4"/>
  <c r="DD461" i="4"/>
  <c r="DD154" i="4"/>
  <c r="DE158" i="4" s="1"/>
  <c r="DD511" i="4"/>
  <c r="DD341" i="4"/>
  <c r="DD135" i="4"/>
  <c r="DE140" i="4" s="1"/>
  <c r="DD408" i="4"/>
  <c r="DD404" i="4"/>
  <c r="DD443" i="4"/>
  <c r="DD382" i="4"/>
  <c r="DD25" i="4" l="1"/>
  <c r="DH54" i="4" s="1"/>
  <c r="DH49" i="4"/>
  <c r="DE772" i="4"/>
  <c r="DH773" i="4"/>
  <c r="DD1088" i="4"/>
  <c r="DD1391" i="4"/>
  <c r="DD1161" i="4"/>
  <c r="DE814" i="4"/>
  <c r="DD1064" i="4"/>
  <c r="DD1050" i="4"/>
  <c r="DF1050" i="4" s="1"/>
  <c r="DD1070" i="4"/>
  <c r="DF608" i="4"/>
  <c r="DD1164" i="4"/>
  <c r="DF1055" i="4"/>
  <c r="AR21" i="9"/>
  <c r="DD557" i="4"/>
  <c r="DF557" i="4" s="1"/>
  <c r="DF556" i="4"/>
  <c r="DD1313" i="4"/>
  <c r="DD1170" i="4"/>
  <c r="DD1176" i="4" s="1"/>
  <c r="DD1175" i="4" s="1"/>
  <c r="DD259" i="4"/>
  <c r="DF259" i="4" s="1"/>
  <c r="DF262" i="4"/>
  <c r="DF825" i="4"/>
  <c r="DF612" i="4"/>
  <c r="DF19" i="4"/>
  <c r="AR16" i="9"/>
  <c r="DF852" i="4"/>
  <c r="DF1037" i="4"/>
  <c r="DF770" i="4"/>
  <c r="DF787" i="4"/>
  <c r="DF774" i="4"/>
  <c r="DS295" i="4"/>
  <c r="DD449" i="4"/>
  <c r="DD1071" i="4"/>
  <c r="DD1158" i="4"/>
  <c r="DD1360" i="4"/>
  <c r="DD1356" i="4"/>
  <c r="DD1333" i="4"/>
  <c r="DD900" i="4"/>
  <c r="DD1055" i="4"/>
  <c r="DD545" i="4"/>
  <c r="DH549" i="4" s="1"/>
  <c r="DD789" i="4"/>
  <c r="DD843" i="4"/>
  <c r="DD482" i="4"/>
  <c r="DD446" i="4"/>
  <c r="DD445" i="4"/>
  <c r="DD448" i="4"/>
  <c r="DD447" i="4"/>
  <c r="DD444" i="4"/>
  <c r="DD74" i="4"/>
  <c r="DD31" i="4"/>
  <c r="DH56" i="4" s="1"/>
  <c r="DD513" i="4"/>
  <c r="DD500" i="4"/>
  <c r="DD503" i="4" s="1"/>
  <c r="DD1395" i="4" s="1"/>
  <c r="DD1397" i="4" s="1"/>
  <c r="DD1399" i="4" s="1"/>
  <c r="DD512" i="4"/>
  <c r="DD515" i="4"/>
  <c r="DD403" i="4"/>
  <c r="DD386" i="4"/>
  <c r="DF25" i="4" l="1"/>
  <c r="DD844" i="4"/>
  <c r="DF843" i="4"/>
  <c r="DF844" i="4" s="1"/>
  <c r="DF1064" i="4"/>
  <c r="AR121" i="9"/>
  <c r="AR65" i="9"/>
  <c r="AR23" i="9"/>
  <c r="AR116" i="9"/>
  <c r="AR62" i="9"/>
  <c r="AR18" i="9"/>
  <c r="DD1057" i="4"/>
  <c r="DD1151" i="4"/>
  <c r="DD546" i="4"/>
  <c r="DH550" i="4" s="1"/>
  <c r="DD33" i="4"/>
  <c r="DH58" i="4" s="1"/>
  <c r="DD405" i="4"/>
  <c r="DD406" i="4"/>
  <c r="DD107" i="4"/>
  <c r="DH108" i="4" s="1"/>
  <c r="DD78" i="4"/>
  <c r="DD94" i="4"/>
  <c r="DD1054" i="4" l="1"/>
  <c r="DD1056" i="4" s="1"/>
  <c r="DH79" i="4"/>
  <c r="AR119" i="9"/>
  <c r="AR26" i="9"/>
  <c r="AR63" i="9"/>
  <c r="DF545" i="4"/>
  <c r="DF31" i="4"/>
  <c r="DF74" i="4"/>
  <c r="DF789" i="4"/>
  <c r="AR123" i="9"/>
  <c r="AR124" i="9" s="1"/>
  <c r="AR67" i="9"/>
  <c r="AR68" i="9" s="1"/>
  <c r="DD884" i="4"/>
  <c r="DD790" i="4"/>
  <c r="DD95" i="4"/>
  <c r="DH96" i="4" s="1"/>
  <c r="DD114" i="4"/>
  <c r="DH115" i="4" s="1"/>
  <c r="DD36" i="4"/>
  <c r="DH60" i="4" s="1"/>
  <c r="DF1057" i="4" l="1"/>
  <c r="DF1151" i="4"/>
  <c r="DF33" i="4"/>
  <c r="DF546" i="4"/>
  <c r="AR95" i="9"/>
  <c r="AR154" i="9"/>
  <c r="AR93" i="9"/>
  <c r="AR70" i="9"/>
  <c r="AR96" i="9" s="1"/>
  <c r="AR152" i="9"/>
  <c r="AR126" i="9"/>
  <c r="AR155" i="9" s="1"/>
  <c r="DF107" i="4"/>
  <c r="DF78" i="4"/>
  <c r="DF94" i="4"/>
  <c r="DD887" i="4"/>
  <c r="DD888" i="4" s="1"/>
  <c r="DD1063" i="4" s="1"/>
  <c r="DD1062" i="4" s="1"/>
  <c r="DD1061" i="4" s="1"/>
  <c r="DD1060" i="4" s="1"/>
  <c r="DD885" i="4"/>
  <c r="DD38" i="4"/>
  <c r="DD42" i="4"/>
  <c r="DD44" i="4" s="1"/>
  <c r="DD97" i="4"/>
  <c r="DF884" i="4" l="1"/>
  <c r="DF36" i="4"/>
  <c r="AR30" i="9"/>
  <c r="DF1054" i="4"/>
  <c r="DF1056" i="4" s="1"/>
  <c r="DF95" i="4"/>
  <c r="AR17" i="9"/>
  <c r="AR20" i="9" s="1"/>
  <c r="AR117" i="9" s="1"/>
  <c r="AR118" i="9" s="1"/>
  <c r="AR127" i="9" s="1"/>
  <c r="AR132" i="9" s="1"/>
  <c r="DF790" i="4"/>
  <c r="DF114" i="4"/>
  <c r="DD1402" i="4"/>
  <c r="DD1122" i="4"/>
  <c r="DD40" i="4"/>
  <c r="DD1123" i="4"/>
  <c r="DD1125" i="4" s="1"/>
  <c r="DD1144" i="4" s="1"/>
  <c r="DD1038" i="4"/>
  <c r="DD1150" i="4"/>
  <c r="DF97" i="4" l="1"/>
  <c r="AR131" i="9"/>
  <c r="AR74" i="9"/>
  <c r="AR32" i="9"/>
  <c r="DF38" i="4"/>
  <c r="DF42" i="4"/>
  <c r="DF44" i="4" s="1"/>
  <c r="AR34" i="9"/>
  <c r="DF885" i="4"/>
  <c r="DF887" i="4"/>
  <c r="DF888" i="4" s="1"/>
  <c r="DF1063" i="4" s="1"/>
  <c r="DD964" i="4"/>
  <c r="DF964" i="4" s="1"/>
  <c r="DD1130" i="4"/>
  <c r="DD1132" i="4" s="1"/>
  <c r="DD1051" i="4"/>
  <c r="DD1052" i="4"/>
  <c r="DD1041" i="4"/>
  <c r="DD1039" i="4"/>
  <c r="DD1040" i="4"/>
  <c r="DD1044" i="4"/>
  <c r="DD1045" i="4" s="1"/>
  <c r="DD1042" i="4"/>
  <c r="DD1141" i="4"/>
  <c r="DD1143" i="4"/>
  <c r="DA1102" i="4"/>
  <c r="DF40" i="4" l="1"/>
  <c r="DF1038" i="4"/>
  <c r="DF1123" i="4"/>
  <c r="DF1125" i="4" s="1"/>
  <c r="DF1144" i="4" s="1"/>
  <c r="DF1150" i="4"/>
  <c r="DE1063" i="4"/>
  <c r="DF1062" i="4"/>
  <c r="AR38" i="9"/>
  <c r="AR136" i="9"/>
  <c r="AR78" i="9"/>
  <c r="AR134" i="9"/>
  <c r="AR76" i="9"/>
  <c r="AR83" i="9" s="1"/>
  <c r="AR85" i="9" s="1"/>
  <c r="DF1122" i="4"/>
  <c r="DF1402" i="4"/>
  <c r="DA1104" i="4"/>
  <c r="DD1146" i="4"/>
  <c r="DD1148" i="4"/>
  <c r="AR41" i="9" l="1"/>
  <c r="AR143" i="9" s="1"/>
  <c r="DF1141" i="4"/>
  <c r="DF1143" i="4"/>
  <c r="AR99" i="9"/>
  <c r="AR81" i="9"/>
  <c r="DF1044" i="4"/>
  <c r="DF1045" i="4" s="1"/>
  <c r="DF1040" i="4"/>
  <c r="DF1039" i="4"/>
  <c r="DF1041" i="4"/>
  <c r="AR158" i="9"/>
  <c r="AR140" i="9"/>
  <c r="DF1130" i="4"/>
  <c r="DF1132" i="4" s="1"/>
  <c r="DF1051" i="4"/>
  <c r="DF1146" i="4" l="1"/>
  <c r="DF1148" i="4"/>
  <c r="R29" i="3"/>
  <c r="Q29" i="3"/>
  <c r="P29" i="3"/>
  <c r="N29" i="3"/>
  <c r="M29" i="3"/>
  <c r="L29" i="3"/>
  <c r="J29" i="3"/>
  <c r="I29" i="3"/>
  <c r="H29" i="3"/>
  <c r="F29" i="3"/>
  <c r="E29" i="3"/>
  <c r="D29" i="3"/>
  <c r="AC54" i="12"/>
  <c r="C7" i="12"/>
  <c r="C21" i="12" s="1"/>
  <c r="H2" i="12"/>
  <c r="H78" i="12" s="1"/>
  <c r="D150" i="9"/>
  <c r="H122" i="9"/>
  <c r="D122" i="9"/>
  <c r="AA121" i="9"/>
  <c r="Z121" i="9"/>
  <c r="Y121" i="9"/>
  <c r="D91" i="9"/>
  <c r="H66" i="9"/>
  <c r="D66" i="9"/>
  <c r="AA65" i="9"/>
  <c r="Z65" i="9"/>
  <c r="AS47" i="9"/>
  <c r="AO47" i="9"/>
  <c r="AK47" i="9"/>
  <c r="AG47" i="9"/>
  <c r="AC47" i="9"/>
  <c r="Y47" i="9"/>
  <c r="U47" i="9"/>
  <c r="Q47" i="9"/>
  <c r="M47" i="9"/>
  <c r="D39" i="9"/>
  <c r="Y37" i="9"/>
  <c r="Y137" i="9" s="1"/>
  <c r="U37" i="9"/>
  <c r="U137" i="9" s="1"/>
  <c r="Q37" i="9"/>
  <c r="Q137" i="9" s="1"/>
  <c r="M37" i="9"/>
  <c r="M137" i="9" s="1"/>
  <c r="L37" i="9"/>
  <c r="L137" i="9" s="1"/>
  <c r="H37" i="9"/>
  <c r="D37" i="9"/>
  <c r="Y36" i="9"/>
  <c r="Y80" i="9" s="1"/>
  <c r="Y81" i="9" s="1"/>
  <c r="U36" i="9"/>
  <c r="Q36" i="9"/>
  <c r="M36" i="9"/>
  <c r="H36" i="9"/>
  <c r="D36" i="9"/>
  <c r="L31" i="9"/>
  <c r="H22" i="9"/>
  <c r="D22" i="9"/>
  <c r="AG21" i="9"/>
  <c r="AG121" i="9" s="1"/>
  <c r="AC21" i="9"/>
  <c r="AC23" i="9" s="1"/>
  <c r="Y21" i="9"/>
  <c r="Y23" i="9" s="1"/>
  <c r="U21" i="9"/>
  <c r="Q21" i="9"/>
  <c r="Q22" i="9" s="1"/>
  <c r="L15" i="9"/>
  <c r="AN11" i="9"/>
  <c r="AB11" i="9"/>
  <c r="X11" i="9"/>
  <c r="T11" i="9"/>
  <c r="P11" i="9"/>
  <c r="L11" i="9"/>
  <c r="AN10" i="9"/>
  <c r="AJ10" i="9"/>
  <c r="AF10" i="9"/>
  <c r="AB10" i="9"/>
  <c r="X10" i="9"/>
  <c r="T10" i="9"/>
  <c r="P10" i="9"/>
  <c r="L10" i="9"/>
  <c r="D10" i="9"/>
  <c r="AN2" i="9"/>
  <c r="AJ2" i="9"/>
  <c r="AF2" i="9"/>
  <c r="AB2" i="9"/>
  <c r="X2" i="9"/>
  <c r="T2" i="9"/>
  <c r="P2" i="9"/>
  <c r="L2" i="9"/>
  <c r="H2" i="9"/>
  <c r="D2" i="9"/>
  <c r="DP81" i="3"/>
  <c r="DO81" i="3"/>
  <c r="DN81" i="3"/>
  <c r="DL81" i="3"/>
  <c r="DK81" i="3"/>
  <c r="DJ81" i="3"/>
  <c r="DH81" i="3"/>
  <c r="DG81" i="3"/>
  <c r="DF81" i="3"/>
  <c r="DD81" i="3"/>
  <c r="DC81" i="3"/>
  <c r="DB81" i="3"/>
  <c r="CZ81" i="3"/>
  <c r="CY81" i="3"/>
  <c r="CX81" i="3"/>
  <c r="CV81" i="3"/>
  <c r="CU81" i="3"/>
  <c r="CT81" i="3"/>
  <c r="CG81" i="3"/>
  <c r="CC81" i="3"/>
  <c r="AP80" i="3"/>
  <c r="AO80" i="3"/>
  <c r="AN80" i="3"/>
  <c r="CG79" i="3"/>
  <c r="CG78" i="3"/>
  <c r="DW77" i="3"/>
  <c r="CG77" i="3"/>
  <c r="CG76" i="3"/>
  <c r="BA75" i="3"/>
  <c r="AZ75" i="3"/>
  <c r="AW75" i="3"/>
  <c r="AV75" i="3"/>
  <c r="AS75" i="3"/>
  <c r="AR75" i="3"/>
  <c r="AO75" i="3"/>
  <c r="AN75" i="3"/>
  <c r="AK75" i="3"/>
  <c r="AJ75" i="3"/>
  <c r="AG75" i="3"/>
  <c r="AF75" i="3"/>
  <c r="AC75" i="3"/>
  <c r="AB75" i="3"/>
  <c r="Y75" i="3"/>
  <c r="X75" i="3"/>
  <c r="U75" i="3"/>
  <c r="T75" i="3"/>
  <c r="Q75" i="3"/>
  <c r="P75" i="3"/>
  <c r="M75" i="3"/>
  <c r="L75" i="3"/>
  <c r="CG73" i="3"/>
  <c r="CG72" i="3"/>
  <c r="CG71" i="3"/>
  <c r="DO70" i="3"/>
  <c r="DN70" i="3"/>
  <c r="DK70" i="3"/>
  <c r="DJ70" i="3"/>
  <c r="DG70" i="3"/>
  <c r="DF70" i="3"/>
  <c r="DC70" i="3"/>
  <c r="DB70" i="3"/>
  <c r="CY70" i="3"/>
  <c r="CX70" i="3"/>
  <c r="CU70" i="3"/>
  <c r="CT70" i="3"/>
  <c r="CQ70" i="3"/>
  <c r="CP70" i="3"/>
  <c r="CM70" i="3"/>
  <c r="CL70" i="3"/>
  <c r="CI70" i="3"/>
  <c r="CH70" i="3"/>
  <c r="CG70" i="3"/>
  <c r="CE70" i="3"/>
  <c r="CD70" i="3"/>
  <c r="CA70" i="3"/>
  <c r="BZ70" i="3"/>
  <c r="BW70" i="3"/>
  <c r="BV70" i="3"/>
  <c r="DW69" i="3"/>
  <c r="DS69" i="3"/>
  <c r="DR69" i="3"/>
  <c r="CG69" i="3"/>
  <c r="DO68" i="3"/>
  <c r="DN68" i="3"/>
  <c r="DK68" i="3"/>
  <c r="DJ68" i="3"/>
  <c r="DG68" i="3"/>
  <c r="DF68" i="3"/>
  <c r="DC68" i="3"/>
  <c r="DB68" i="3"/>
  <c r="CY68" i="3"/>
  <c r="CX68" i="3"/>
  <c r="CU68" i="3"/>
  <c r="CT68" i="3"/>
  <c r="CQ68" i="3"/>
  <c r="CP68" i="3"/>
  <c r="CM68" i="3"/>
  <c r="CL68" i="3"/>
  <c r="CI68" i="3"/>
  <c r="CH68" i="3"/>
  <c r="CG68" i="3"/>
  <c r="CE68" i="3"/>
  <c r="CD68" i="3"/>
  <c r="CA68" i="3"/>
  <c r="BZ68" i="3"/>
  <c r="BW68" i="3"/>
  <c r="BV68" i="3"/>
  <c r="CG67" i="3"/>
  <c r="CG66" i="3"/>
  <c r="CG57" i="3"/>
  <c r="CG56" i="3"/>
  <c r="CG55" i="3"/>
  <c r="S52" i="3"/>
  <c r="O52" i="3"/>
  <c r="K52" i="3"/>
  <c r="DI50" i="3"/>
  <c r="DE50" i="3"/>
  <c r="DA50" i="3"/>
  <c r="S49" i="3"/>
  <c r="O49" i="3"/>
  <c r="K49" i="3"/>
  <c r="CG48" i="3"/>
  <c r="AI48" i="3"/>
  <c r="AE48" i="3"/>
  <c r="S48" i="3"/>
  <c r="O48" i="3"/>
  <c r="K48" i="3"/>
  <c r="CG46" i="3"/>
  <c r="CG45" i="3"/>
  <c r="CG44" i="3"/>
  <c r="CG43" i="3"/>
  <c r="BA43" i="3"/>
  <c r="AZ43" i="3"/>
  <c r="AW43" i="3"/>
  <c r="AV43" i="3"/>
  <c r="AS43" i="3"/>
  <c r="AR43" i="3"/>
  <c r="AO43" i="3"/>
  <c r="AN43" i="3"/>
  <c r="AK43" i="3"/>
  <c r="AJ43" i="3"/>
  <c r="AG43" i="3"/>
  <c r="AF43" i="3"/>
  <c r="AC43" i="3"/>
  <c r="AB43" i="3"/>
  <c r="Y43" i="3"/>
  <c r="X43" i="3"/>
  <c r="U43" i="3"/>
  <c r="T43" i="3"/>
  <c r="Q43" i="3"/>
  <c r="P43" i="3"/>
  <c r="M43" i="3"/>
  <c r="L43" i="3"/>
  <c r="I43" i="3"/>
  <c r="H43" i="3"/>
  <c r="DI41" i="3"/>
  <c r="DE41" i="3"/>
  <c r="DA41" i="3"/>
  <c r="CW41" i="3"/>
  <c r="CG41" i="3"/>
  <c r="BT41" i="3"/>
  <c r="AQ40" i="3"/>
  <c r="AM40" i="3"/>
  <c r="AI40" i="3"/>
  <c r="DO38" i="3"/>
  <c r="DN38" i="3"/>
  <c r="DK38" i="3"/>
  <c r="DJ38" i="3"/>
  <c r="DG38" i="3"/>
  <c r="DF38" i="3"/>
  <c r="DC38" i="3"/>
  <c r="DB38" i="3"/>
  <c r="CY38" i="3"/>
  <c r="CX38" i="3"/>
  <c r="CU38" i="3"/>
  <c r="CT38" i="3"/>
  <c r="CQ38" i="3"/>
  <c r="CP38" i="3"/>
  <c r="CM38" i="3"/>
  <c r="CL38" i="3"/>
  <c r="CI38" i="3"/>
  <c r="CH38" i="3"/>
  <c r="CE38" i="3"/>
  <c r="CD38" i="3"/>
  <c r="CA38" i="3"/>
  <c r="BZ38" i="3"/>
  <c r="BW38" i="3"/>
  <c r="BA38" i="3"/>
  <c r="AZ38" i="3"/>
  <c r="AW38" i="3"/>
  <c r="AV38" i="3"/>
  <c r="AS38" i="3"/>
  <c r="AR38" i="3"/>
  <c r="AO38" i="3"/>
  <c r="AN38" i="3"/>
  <c r="AK38" i="3"/>
  <c r="AJ38" i="3"/>
  <c r="AG38" i="3"/>
  <c r="AF38" i="3"/>
  <c r="AQ36" i="3"/>
  <c r="AM36" i="3"/>
  <c r="AI36" i="3"/>
  <c r="AQ35" i="3"/>
  <c r="AM35" i="3"/>
  <c r="AI35" i="3"/>
  <c r="CG34" i="3"/>
  <c r="F32" i="3"/>
  <c r="E32" i="3"/>
  <c r="D32" i="3"/>
  <c r="CG31" i="3"/>
  <c r="AI31" i="3"/>
  <c r="AE31" i="3"/>
  <c r="R31" i="3"/>
  <c r="Q31" i="3"/>
  <c r="P31" i="3"/>
  <c r="N31" i="3"/>
  <c r="M31" i="3"/>
  <c r="L31" i="3"/>
  <c r="J31" i="3"/>
  <c r="I31" i="3"/>
  <c r="H31" i="3"/>
  <c r="F31" i="3"/>
  <c r="E31" i="3"/>
  <c r="D31" i="3"/>
  <c r="CG30" i="3"/>
  <c r="F30" i="3"/>
  <c r="E30" i="3"/>
  <c r="D30" i="3"/>
  <c r="CG29" i="3"/>
  <c r="CG28" i="3"/>
  <c r="AQ28" i="3"/>
  <c r="AM28" i="3"/>
  <c r="AI28" i="3"/>
  <c r="CG27" i="3"/>
  <c r="AQ27" i="3"/>
  <c r="AM27" i="3"/>
  <c r="AI27" i="3"/>
  <c r="CG26" i="3"/>
  <c r="AQ26" i="3"/>
  <c r="CG25" i="3"/>
  <c r="CG24" i="3"/>
  <c r="AK24" i="3"/>
  <c r="AJ24" i="3"/>
  <c r="BA22" i="3"/>
  <c r="AZ22" i="3"/>
  <c r="AW22" i="3"/>
  <c r="AV22" i="3"/>
  <c r="AS22" i="3"/>
  <c r="AR22" i="3"/>
  <c r="BA20" i="3"/>
  <c r="AZ20" i="3"/>
  <c r="AW20" i="3"/>
  <c r="AV20" i="3"/>
  <c r="AS20" i="3"/>
  <c r="AR20" i="3"/>
  <c r="AO20" i="3"/>
  <c r="AN20" i="3"/>
  <c r="AK20" i="3"/>
  <c r="AJ20" i="3"/>
  <c r="AG20" i="3"/>
  <c r="AF20" i="3"/>
  <c r="AC20" i="3"/>
  <c r="AB20" i="3"/>
  <c r="Y20" i="3"/>
  <c r="X20" i="3"/>
  <c r="U20" i="3"/>
  <c r="T20" i="3"/>
  <c r="Q20" i="3"/>
  <c r="P20" i="3"/>
  <c r="M20" i="3"/>
  <c r="L20" i="3"/>
  <c r="I20" i="3"/>
  <c r="H20" i="3"/>
  <c r="DP19" i="3"/>
  <c r="DO19" i="3"/>
  <c r="DN19" i="3"/>
  <c r="DL19" i="3"/>
  <c r="DK19" i="3"/>
  <c r="DJ19" i="3"/>
  <c r="DH19" i="3"/>
  <c r="DG19" i="3"/>
  <c r="DF19" i="3"/>
  <c r="DD19" i="3"/>
  <c r="DC19" i="3"/>
  <c r="DB19" i="3"/>
  <c r="CZ19" i="3"/>
  <c r="CY19" i="3"/>
  <c r="CX19" i="3"/>
  <c r="CV19" i="3"/>
  <c r="CU19" i="3"/>
  <c r="CT19" i="3"/>
  <c r="CR19" i="3"/>
  <c r="CQ19" i="3"/>
  <c r="CP19" i="3"/>
  <c r="CN19" i="3"/>
  <c r="CM19" i="3"/>
  <c r="CL19" i="3"/>
  <c r="CJ19" i="3"/>
  <c r="CI19" i="3"/>
  <c r="CH19" i="3"/>
  <c r="CG19" i="3"/>
  <c r="CF19" i="3"/>
  <c r="CE19" i="3"/>
  <c r="CD19" i="3"/>
  <c r="CB19" i="3"/>
  <c r="CA19" i="3"/>
  <c r="BZ19" i="3"/>
  <c r="BX19" i="3"/>
  <c r="BW19" i="3"/>
  <c r="BV19" i="3"/>
  <c r="BA19" i="3"/>
  <c r="AZ19" i="3"/>
  <c r="AW19" i="3"/>
  <c r="AV19" i="3"/>
  <c r="AS19" i="3"/>
  <c r="AR19" i="3"/>
  <c r="AO19" i="3"/>
  <c r="AG19" i="3"/>
  <c r="AF19" i="3"/>
  <c r="AC19" i="3"/>
  <c r="AB19" i="3"/>
  <c r="Z19" i="3"/>
  <c r="X19" i="3"/>
  <c r="Q19" i="3"/>
  <c r="P19" i="3"/>
  <c r="M19" i="3"/>
  <c r="L19" i="3"/>
  <c r="I19" i="3"/>
  <c r="H19" i="3"/>
  <c r="DO18" i="3"/>
  <c r="DN18" i="3"/>
  <c r="DK18" i="3"/>
  <c r="DJ18" i="3"/>
  <c r="DG18" i="3"/>
  <c r="DF18" i="3"/>
  <c r="DC18" i="3"/>
  <c r="DB18" i="3"/>
  <c r="CY18" i="3"/>
  <c r="CX18" i="3"/>
  <c r="CU18" i="3"/>
  <c r="CT18" i="3"/>
  <c r="CQ18" i="3"/>
  <c r="CP18" i="3"/>
  <c r="CM18" i="3"/>
  <c r="CL18" i="3"/>
  <c r="CI18" i="3"/>
  <c r="CH18" i="3"/>
  <c r="CE18" i="3"/>
  <c r="CD18" i="3"/>
  <c r="CA18" i="3"/>
  <c r="BZ18" i="3"/>
  <c r="BW18" i="3"/>
  <c r="BV18" i="3"/>
  <c r="BA17" i="3"/>
  <c r="AZ17" i="3"/>
  <c r="AW17" i="3"/>
  <c r="AV17" i="3"/>
  <c r="AS17" i="3"/>
  <c r="AR17" i="3"/>
  <c r="AO17" i="3"/>
  <c r="AN17" i="3"/>
  <c r="AK17" i="3"/>
  <c r="AJ17" i="3"/>
  <c r="AG17" i="3"/>
  <c r="AF17" i="3"/>
  <c r="AC17" i="3"/>
  <c r="AB17" i="3"/>
  <c r="Y17" i="3"/>
  <c r="X17" i="3"/>
  <c r="U17" i="3"/>
  <c r="T17" i="3"/>
  <c r="Q17" i="3"/>
  <c r="P17" i="3"/>
  <c r="M17" i="3"/>
  <c r="L17" i="3"/>
  <c r="I17" i="3"/>
  <c r="I65" i="3" s="1"/>
  <c r="H17" i="3"/>
  <c r="H65" i="3" s="1"/>
  <c r="CG16" i="3"/>
  <c r="DW15" i="3"/>
  <c r="DV15" i="3"/>
  <c r="DS15" i="3"/>
  <c r="DR15" i="3"/>
  <c r="DO15" i="3"/>
  <c r="DN15" i="3"/>
  <c r="DK15" i="3"/>
  <c r="DJ15" i="3"/>
  <c r="DG15" i="3"/>
  <c r="DF15" i="3"/>
  <c r="DC15" i="3"/>
  <c r="DB15" i="3"/>
  <c r="CY15" i="3"/>
  <c r="CX15" i="3"/>
  <c r="CU15" i="3"/>
  <c r="CT15" i="3"/>
  <c r="CQ15" i="3"/>
  <c r="CP15" i="3"/>
  <c r="CM15" i="3"/>
  <c r="CL15" i="3"/>
  <c r="CI15" i="3"/>
  <c r="CH15" i="3"/>
  <c r="CG15" i="3"/>
  <c r="CE15" i="3"/>
  <c r="CD15" i="3"/>
  <c r="CA15" i="3"/>
  <c r="BZ15" i="3"/>
  <c r="BW15" i="3"/>
  <c r="BV15" i="3"/>
  <c r="DO14" i="3"/>
  <c r="DN14" i="3"/>
  <c r="DK14" i="3"/>
  <c r="DJ14" i="3"/>
  <c r="DG14" i="3"/>
  <c r="DF14" i="3"/>
  <c r="DC14" i="3"/>
  <c r="DB14" i="3"/>
  <c r="CY14" i="3"/>
  <c r="CX14" i="3"/>
  <c r="CU14" i="3"/>
  <c r="CT14" i="3"/>
  <c r="CQ14" i="3"/>
  <c r="CP14" i="3"/>
  <c r="CM14" i="3"/>
  <c r="CL14" i="3"/>
  <c r="CI14" i="3"/>
  <c r="CH14" i="3"/>
  <c r="CG14" i="3"/>
  <c r="CE14" i="3"/>
  <c r="CD14" i="3"/>
  <c r="CA14" i="3"/>
  <c r="BZ14" i="3"/>
  <c r="BW14" i="3"/>
  <c r="BV14" i="3"/>
  <c r="CG11" i="3"/>
  <c r="CG10" i="3"/>
  <c r="BA10" i="3"/>
  <c r="AZ10" i="3"/>
  <c r="AR10" i="3"/>
  <c r="AO10" i="3"/>
  <c r="AN10" i="3"/>
  <c r="AK10" i="3"/>
  <c r="AJ10" i="3"/>
  <c r="AG10" i="3"/>
  <c r="AF10" i="3"/>
  <c r="X10" i="3"/>
  <c r="P10" i="3"/>
  <c r="M10" i="3"/>
  <c r="L10" i="3"/>
  <c r="I10" i="3"/>
  <c r="H10" i="3"/>
  <c r="BA9" i="3"/>
  <c r="AZ9" i="3"/>
  <c r="AW9" i="3"/>
  <c r="AV9" i="3"/>
  <c r="AS9" i="3"/>
  <c r="AR9" i="3"/>
  <c r="AO9" i="3"/>
  <c r="AN9" i="3"/>
  <c r="AK9" i="3"/>
  <c r="AJ9" i="3"/>
  <c r="AG9" i="3"/>
  <c r="AF9" i="3"/>
  <c r="AC9" i="3"/>
  <c r="AB9" i="3"/>
  <c r="Y9" i="3"/>
  <c r="X9" i="3"/>
  <c r="U9" i="3"/>
  <c r="T9" i="3"/>
  <c r="Q9" i="3"/>
  <c r="P9" i="3"/>
  <c r="M9" i="3"/>
  <c r="L9" i="3"/>
  <c r="I9" i="3"/>
  <c r="H9" i="3"/>
  <c r="X8" i="3"/>
  <c r="BA6" i="3"/>
  <c r="AZ6" i="3"/>
  <c r="AW6" i="3"/>
  <c r="AV6" i="3"/>
  <c r="AS6" i="3"/>
  <c r="AR6" i="3"/>
  <c r="AK6" i="3"/>
  <c r="AJ6" i="3"/>
  <c r="AG6" i="3"/>
  <c r="AF6" i="3"/>
  <c r="AC6" i="3"/>
  <c r="AB6" i="3"/>
  <c r="Z6" i="3"/>
  <c r="X6" i="3"/>
  <c r="U6" i="3"/>
  <c r="T6" i="3"/>
  <c r="M6" i="3"/>
  <c r="L6" i="3"/>
  <c r="I6" i="3"/>
  <c r="I58" i="3" s="1"/>
  <c r="H6" i="3"/>
  <c r="H58" i="3" s="1"/>
  <c r="DP5" i="3"/>
  <c r="DO5" i="3"/>
  <c r="DN5" i="3"/>
  <c r="DL5" i="3"/>
  <c r="DK5" i="3"/>
  <c r="DJ5" i="3"/>
  <c r="DH5" i="3"/>
  <c r="DG5" i="3"/>
  <c r="DF5" i="3"/>
  <c r="DD5" i="3"/>
  <c r="DC5" i="3"/>
  <c r="DB5" i="3"/>
  <c r="CZ5" i="3"/>
  <c r="CY5" i="3"/>
  <c r="CX5" i="3"/>
  <c r="CV5" i="3"/>
  <c r="CU5" i="3"/>
  <c r="CT5" i="3"/>
  <c r="CR5" i="3"/>
  <c r="CQ5" i="3"/>
  <c r="CP5" i="3"/>
  <c r="CN5" i="3"/>
  <c r="CM5" i="3"/>
  <c r="CL5" i="3"/>
  <c r="CJ5" i="3"/>
  <c r="CI5" i="3"/>
  <c r="CH5" i="3"/>
  <c r="CF5" i="3"/>
  <c r="CE5" i="3"/>
  <c r="CD5" i="3"/>
  <c r="CB5" i="3"/>
  <c r="CA5" i="3"/>
  <c r="BZ5" i="3"/>
  <c r="BX5" i="3"/>
  <c r="BW5" i="3"/>
  <c r="BV5" i="3"/>
  <c r="BB5" i="3"/>
  <c r="FW9" i="3" s="1"/>
  <c r="BA5" i="3"/>
  <c r="AZ5" i="3"/>
  <c r="AX5" i="3"/>
  <c r="FS9" i="3" s="1"/>
  <c r="AW5" i="3"/>
  <c r="AV5" i="3"/>
  <c r="AT5" i="3"/>
  <c r="FO9" i="3" s="1"/>
  <c r="AS5" i="3"/>
  <c r="AR5" i="3"/>
  <c r="AP5" i="3"/>
  <c r="FK9" i="3" s="1"/>
  <c r="AO5" i="3"/>
  <c r="AN5" i="3"/>
  <c r="AL5" i="3"/>
  <c r="FG9" i="3" s="1"/>
  <c r="AK5" i="3"/>
  <c r="AJ5" i="3"/>
  <c r="AH5" i="3"/>
  <c r="FC9" i="3" s="1"/>
  <c r="AG5" i="3"/>
  <c r="AF5" i="3"/>
  <c r="AD5" i="3"/>
  <c r="AC5" i="3"/>
  <c r="AB5" i="3"/>
  <c r="Z5" i="3"/>
  <c r="Y5" i="3"/>
  <c r="X5" i="3"/>
  <c r="V5" i="3"/>
  <c r="U5" i="3"/>
  <c r="T5" i="3"/>
  <c r="R5" i="3"/>
  <c r="Q5" i="3"/>
  <c r="P5" i="3"/>
  <c r="N5" i="3"/>
  <c r="M5" i="3"/>
  <c r="L5" i="3"/>
  <c r="J5" i="3"/>
  <c r="I5" i="3"/>
  <c r="H5" i="3"/>
  <c r="F5" i="3"/>
  <c r="E5" i="3"/>
  <c r="D5" i="3"/>
  <c r="AH147" i="12"/>
  <c r="AI147" i="12" s="1"/>
  <c r="AJ147" i="12" s="1"/>
  <c r="AK147" i="12" s="1"/>
  <c r="AL147" i="12" s="1"/>
  <c r="AH145" i="12"/>
  <c r="AI145" i="12" s="1"/>
  <c r="AJ145" i="12" s="1"/>
  <c r="AK145" i="12" s="1"/>
  <c r="AL145" i="12" s="1"/>
  <c r="AH144" i="12"/>
  <c r="AI144" i="12" s="1"/>
  <c r="AJ144" i="12" s="1"/>
  <c r="AK144" i="12" s="1"/>
  <c r="AL144" i="12" s="1"/>
  <c r="W134" i="12"/>
  <c r="V134" i="12"/>
  <c r="W127" i="12"/>
  <c r="V127" i="12"/>
  <c r="AO99" i="12"/>
  <c r="AP99" i="12" s="1"/>
  <c r="AQ99" i="12" s="1"/>
  <c r="AR99" i="12" s="1"/>
  <c r="AS99" i="12" s="1"/>
  <c r="AT99" i="12" s="1"/>
  <c r="AU99" i="12" s="1"/>
  <c r="AV99" i="12" s="1"/>
  <c r="AW99" i="12" s="1"/>
  <c r="AX99" i="12" s="1"/>
  <c r="AY99" i="12" s="1"/>
  <c r="AZ99" i="12" s="1"/>
  <c r="BA99" i="12" s="1"/>
  <c r="BB99" i="12" s="1"/>
  <c r="BC99" i="12" s="1"/>
  <c r="BD99" i="12" s="1"/>
  <c r="BE99" i="12" s="1"/>
  <c r="BF99" i="12" s="1"/>
  <c r="BG99" i="12" s="1"/>
  <c r="BH99" i="12" s="1"/>
  <c r="BI99" i="12" s="1"/>
  <c r="BJ99" i="12" s="1"/>
  <c r="BK99" i="12" s="1"/>
  <c r="BL99" i="12" s="1"/>
  <c r="BM99" i="12" s="1"/>
  <c r="BN99" i="12" s="1"/>
  <c r="BO99" i="12" s="1"/>
  <c r="BP99" i="12" s="1"/>
  <c r="BQ99" i="12" s="1"/>
  <c r="BR99" i="12" s="1"/>
  <c r="BS99" i="12" s="1"/>
  <c r="BT99" i="12" s="1"/>
  <c r="BU99" i="12" s="1"/>
  <c r="BV99" i="12" s="1"/>
  <c r="BW99" i="12" s="1"/>
  <c r="BX99" i="12" s="1"/>
  <c r="BY99" i="12" s="1"/>
  <c r="BZ99" i="12" s="1"/>
  <c r="CA99" i="12" s="1"/>
  <c r="CB99" i="12" s="1"/>
  <c r="CC99" i="12" s="1"/>
  <c r="CD99" i="12" s="1"/>
  <c r="CE99" i="12" s="1"/>
  <c r="CF99" i="12" s="1"/>
  <c r="CG99" i="12" s="1"/>
  <c r="CH99" i="12" s="1"/>
  <c r="CI99" i="12" s="1"/>
  <c r="CJ99" i="12" s="1"/>
  <c r="BA93" i="12"/>
  <c r="BB93" i="12" s="1"/>
  <c r="BC93" i="12" s="1"/>
  <c r="BD93" i="12" s="1"/>
  <c r="BE93" i="12" s="1"/>
  <c r="BF93" i="12" s="1"/>
  <c r="BG93" i="12" s="1"/>
  <c r="BH93" i="12" s="1"/>
  <c r="BI93" i="12" s="1"/>
  <c r="BJ93" i="12" s="1"/>
  <c r="BK93" i="12" s="1"/>
  <c r="BL93" i="12" s="1"/>
  <c r="BM93" i="12" s="1"/>
  <c r="BN93" i="12" s="1"/>
  <c r="BO93" i="12" s="1"/>
  <c r="BP93" i="12" s="1"/>
  <c r="BQ93" i="12" s="1"/>
  <c r="BR93" i="12" s="1"/>
  <c r="BS93" i="12" s="1"/>
  <c r="BT93" i="12" s="1"/>
  <c r="BU93" i="12" s="1"/>
  <c r="BV93" i="12" s="1"/>
  <c r="BW93" i="12" s="1"/>
  <c r="BX93" i="12" s="1"/>
  <c r="BY93" i="12" s="1"/>
  <c r="BZ93" i="12" s="1"/>
  <c r="CA93" i="12" s="1"/>
  <c r="CB93" i="12" s="1"/>
  <c r="CC93" i="12" s="1"/>
  <c r="CD93" i="12" s="1"/>
  <c r="CE93" i="12" s="1"/>
  <c r="CF93" i="12" s="1"/>
  <c r="CG93" i="12" s="1"/>
  <c r="CH93" i="12" s="1"/>
  <c r="CI93" i="12" s="1"/>
  <c r="CJ93" i="12" s="1"/>
  <c r="C60" i="12"/>
  <c r="AV57" i="12"/>
  <c r="AW57" i="12" s="1"/>
  <c r="AX57" i="12" s="1"/>
  <c r="AY57" i="12" s="1"/>
  <c r="AZ57" i="12" s="1"/>
  <c r="BA57" i="12" s="1"/>
  <c r="BB57" i="12" s="1"/>
  <c r="BC57" i="12" s="1"/>
  <c r="BD57" i="12" s="1"/>
  <c r="BE57" i="12" s="1"/>
  <c r="BF57" i="12" s="1"/>
  <c r="BG57" i="12" s="1"/>
  <c r="BH57" i="12" s="1"/>
  <c r="BI57" i="12" s="1"/>
  <c r="BJ57" i="12" s="1"/>
  <c r="BK57" i="12" s="1"/>
  <c r="BL57" i="12" s="1"/>
  <c r="BM57" i="12" s="1"/>
  <c r="BN57" i="12" s="1"/>
  <c r="BO57" i="12" s="1"/>
  <c r="BP57" i="12" s="1"/>
  <c r="BQ57" i="12" s="1"/>
  <c r="BR57" i="12" s="1"/>
  <c r="BS57" i="12" s="1"/>
  <c r="BT57" i="12" s="1"/>
  <c r="BU57" i="12" s="1"/>
  <c r="BV57" i="12" s="1"/>
  <c r="BW57" i="12" s="1"/>
  <c r="BX57" i="12" s="1"/>
  <c r="BY57" i="12" s="1"/>
  <c r="BZ57" i="12" s="1"/>
  <c r="CA57" i="12" s="1"/>
  <c r="CB57" i="12" s="1"/>
  <c r="CC57" i="12" s="1"/>
  <c r="CD57" i="12" s="1"/>
  <c r="CE57" i="12" s="1"/>
  <c r="CF57" i="12" s="1"/>
  <c r="CG57" i="12" s="1"/>
  <c r="CH57" i="12" s="1"/>
  <c r="CI57" i="12" s="1"/>
  <c r="CJ57" i="12" s="1"/>
  <c r="D30" i="12"/>
  <c r="D29" i="12"/>
  <c r="G40" i="12"/>
  <c r="R138" i="12" s="1"/>
  <c r="G38" i="12"/>
  <c r="AP23" i="12"/>
  <c r="AQ23" i="12" s="1"/>
  <c r="AR23" i="12" s="1"/>
  <c r="AS23" i="12" s="1"/>
  <c r="AT23" i="12" s="1"/>
  <c r="AU23" i="12" s="1"/>
  <c r="AV23" i="12" s="1"/>
  <c r="AW23" i="12" s="1"/>
  <c r="AX23" i="12" s="1"/>
  <c r="AY23" i="12" s="1"/>
  <c r="AZ23" i="12" s="1"/>
  <c r="BA23" i="12" s="1"/>
  <c r="BB23" i="12" s="1"/>
  <c r="BC23" i="12" s="1"/>
  <c r="BD23" i="12" s="1"/>
  <c r="BE23" i="12" s="1"/>
  <c r="BF23" i="12" s="1"/>
  <c r="BG23" i="12" s="1"/>
  <c r="BH23" i="12" s="1"/>
  <c r="BI23" i="12" s="1"/>
  <c r="BJ23" i="12" s="1"/>
  <c r="BK23" i="12" s="1"/>
  <c r="BL23" i="12" s="1"/>
  <c r="BM23" i="12" s="1"/>
  <c r="BN23" i="12" s="1"/>
  <c r="BO23" i="12" s="1"/>
  <c r="BP23" i="12" s="1"/>
  <c r="BQ23" i="12" s="1"/>
  <c r="BR23" i="12" s="1"/>
  <c r="BS23" i="12" s="1"/>
  <c r="BT23" i="12" s="1"/>
  <c r="BU23" i="12" s="1"/>
  <c r="BV23" i="12" s="1"/>
  <c r="BW23" i="12" s="1"/>
  <c r="BX23" i="12" s="1"/>
  <c r="BY23" i="12" s="1"/>
  <c r="BZ23" i="12" s="1"/>
  <c r="CA23" i="12" s="1"/>
  <c r="CB23" i="12" s="1"/>
  <c r="CC23" i="12" s="1"/>
  <c r="CD23" i="12" s="1"/>
  <c r="CE23" i="12" s="1"/>
  <c r="CF23" i="12" s="1"/>
  <c r="CG23" i="12" s="1"/>
  <c r="CH23" i="12" s="1"/>
  <c r="CI23" i="12" s="1"/>
  <c r="CJ23" i="12" s="1"/>
  <c r="AP22" i="12"/>
  <c r="AQ22" i="12" s="1"/>
  <c r="AR22" i="12" s="1"/>
  <c r="AS22" i="12" s="1"/>
  <c r="AT22" i="12" s="1"/>
  <c r="AU22" i="12" s="1"/>
  <c r="AV22" i="12" s="1"/>
  <c r="AW22" i="12" s="1"/>
  <c r="AX22" i="12" s="1"/>
  <c r="AY22" i="12" s="1"/>
  <c r="AZ22" i="12" s="1"/>
  <c r="BA22" i="12" s="1"/>
  <c r="BB22" i="12" s="1"/>
  <c r="BC22" i="12" s="1"/>
  <c r="BD22" i="12" s="1"/>
  <c r="BE22" i="12" s="1"/>
  <c r="BF22" i="12" s="1"/>
  <c r="BG22" i="12" s="1"/>
  <c r="BH22" i="12" s="1"/>
  <c r="BI22" i="12" s="1"/>
  <c r="BJ22" i="12" s="1"/>
  <c r="BK22" i="12" s="1"/>
  <c r="BL22" i="12" s="1"/>
  <c r="BM22" i="12" s="1"/>
  <c r="BN22" i="12" s="1"/>
  <c r="BO22" i="12" s="1"/>
  <c r="BP22" i="12" s="1"/>
  <c r="BQ22" i="12" s="1"/>
  <c r="BR22" i="12" s="1"/>
  <c r="BS22" i="12" s="1"/>
  <c r="BT22" i="12" s="1"/>
  <c r="BU22" i="12" s="1"/>
  <c r="BV22" i="12" s="1"/>
  <c r="BW22" i="12" s="1"/>
  <c r="BX22" i="12" s="1"/>
  <c r="BY22" i="12" s="1"/>
  <c r="BZ22" i="12" s="1"/>
  <c r="CA22" i="12" s="1"/>
  <c r="CB22" i="12" s="1"/>
  <c r="CC22" i="12" s="1"/>
  <c r="CD22" i="12" s="1"/>
  <c r="CE22" i="12" s="1"/>
  <c r="CF22" i="12" s="1"/>
  <c r="CG22" i="12" s="1"/>
  <c r="CH22" i="12" s="1"/>
  <c r="CI22" i="12" s="1"/>
  <c r="CJ22" i="12" s="1"/>
  <c r="C15" i="12"/>
  <c r="AP14" i="12"/>
  <c r="AQ14" i="12" s="1"/>
  <c r="AR14" i="12" s="1"/>
  <c r="AS14" i="12" s="1"/>
  <c r="AT14" i="12" s="1"/>
  <c r="AU14" i="12" s="1"/>
  <c r="AO11" i="12"/>
  <c r="AP10" i="12"/>
  <c r="D9" i="12"/>
  <c r="BB4" i="12"/>
  <c r="BC4" i="12" s="1"/>
  <c r="BD4" i="12" s="1"/>
  <c r="BE4" i="12" s="1"/>
  <c r="BF4" i="12" s="1"/>
  <c r="BG4" i="12" s="1"/>
  <c r="BH4" i="12" s="1"/>
  <c r="BI4" i="12" s="1"/>
  <c r="BJ4" i="12" s="1"/>
  <c r="BK4" i="12" s="1"/>
  <c r="BL4" i="12" s="1"/>
  <c r="BM4" i="12" s="1"/>
  <c r="BN4" i="12" s="1"/>
  <c r="BO4" i="12" s="1"/>
  <c r="BP4" i="12" s="1"/>
  <c r="BQ4" i="12" s="1"/>
  <c r="BR4" i="12" s="1"/>
  <c r="BS4" i="12" s="1"/>
  <c r="BT4" i="12" s="1"/>
  <c r="BU4" i="12" s="1"/>
  <c r="BV4" i="12" s="1"/>
  <c r="BW4" i="12" s="1"/>
  <c r="BX4" i="12" s="1"/>
  <c r="BY4" i="12" s="1"/>
  <c r="BZ4" i="12" s="1"/>
  <c r="CA4" i="12" s="1"/>
  <c r="CB4" i="12" s="1"/>
  <c r="CC4" i="12" s="1"/>
  <c r="CD4" i="12" s="1"/>
  <c r="CE4" i="12" s="1"/>
  <c r="CF4" i="12" s="1"/>
  <c r="CG4" i="12" s="1"/>
  <c r="CH4" i="12" s="1"/>
  <c r="CI4" i="12" s="1"/>
  <c r="CJ4" i="12" s="1"/>
  <c r="CK4" i="12" s="1"/>
  <c r="CL4" i="12" s="1"/>
  <c r="CM4" i="12" s="1"/>
  <c r="CN4" i="12" s="1"/>
  <c r="CO4" i="12" s="1"/>
  <c r="CP4" i="12" s="1"/>
  <c r="CQ4" i="12" s="1"/>
  <c r="CR4" i="12" s="1"/>
  <c r="CS4" i="12" s="1"/>
  <c r="CT4" i="12" s="1"/>
  <c r="CU4" i="12" s="1"/>
  <c r="CV4" i="12" s="1"/>
  <c r="CW4" i="12" s="1"/>
  <c r="CX4" i="12" s="1"/>
  <c r="CY4" i="12" s="1"/>
  <c r="CZ4" i="12" s="1"/>
  <c r="DA4" i="12" s="1"/>
  <c r="DB4" i="12" s="1"/>
  <c r="DC4" i="12" s="1"/>
  <c r="DD4" i="12" s="1"/>
  <c r="DE4" i="12" s="1"/>
  <c r="DF4" i="12" s="1"/>
  <c r="DG4" i="12" s="1"/>
  <c r="DH4" i="12" s="1"/>
  <c r="DI4" i="12" s="1"/>
  <c r="DJ4" i="12" s="1"/>
  <c r="DK4" i="12" s="1"/>
  <c r="DL4" i="12" s="1"/>
  <c r="DM4" i="12" s="1"/>
  <c r="DN4" i="12" s="1"/>
  <c r="DO4" i="12" s="1"/>
  <c r="DP4" i="12" s="1"/>
  <c r="DQ4" i="12" s="1"/>
  <c r="DR4" i="12" s="1"/>
  <c r="DS4" i="12" s="1"/>
  <c r="DT4" i="12" s="1"/>
  <c r="DU4" i="12" s="1"/>
  <c r="DV4" i="12" s="1"/>
  <c r="DW4" i="12" s="1"/>
  <c r="DX4" i="12" s="1"/>
  <c r="DY4" i="12" s="1"/>
  <c r="DZ4" i="12" s="1"/>
  <c r="EA4" i="12" s="1"/>
  <c r="EB4" i="12" s="1"/>
  <c r="EC4" i="12" s="1"/>
  <c r="ED4" i="12" s="1"/>
  <c r="EE4" i="12" s="1"/>
  <c r="EF4" i="12" s="1"/>
  <c r="EG4" i="12" s="1"/>
  <c r="EH4" i="12" s="1"/>
  <c r="EI4" i="12" s="1"/>
  <c r="EJ4" i="12" s="1"/>
  <c r="EK4" i="12" s="1"/>
  <c r="EL4" i="12" s="1"/>
  <c r="EM4" i="12" s="1"/>
  <c r="EN4" i="12" s="1"/>
  <c r="EO4" i="12" s="1"/>
  <c r="EP4" i="12" s="1"/>
  <c r="EQ4" i="12" s="1"/>
  <c r="ER4" i="12" s="1"/>
  <c r="AW4" i="12"/>
  <c r="AX4" i="12" s="1"/>
  <c r="AY4" i="12" s="1"/>
  <c r="AZ4" i="12" s="1"/>
  <c r="AL4" i="12"/>
  <c r="U2" i="12"/>
  <c r="V2" i="12" s="1"/>
  <c r="W2" i="12" s="1"/>
  <c r="X2" i="12" s="1"/>
  <c r="Y2" i="12" s="1"/>
  <c r="Z2" i="12" s="1"/>
  <c r="AA2" i="12" s="1"/>
  <c r="AB2" i="12" s="1"/>
  <c r="AC2" i="12" s="1"/>
  <c r="AD2" i="12" s="1"/>
  <c r="AE2" i="12" s="1"/>
  <c r="AF2" i="12" s="1"/>
  <c r="AG2" i="12" s="1"/>
  <c r="AH2" i="12" s="1"/>
  <c r="AI2" i="12" s="1"/>
  <c r="AJ2" i="12" s="1"/>
  <c r="AL1" i="12"/>
  <c r="O159" i="9"/>
  <c r="N159" i="9"/>
  <c r="M159" i="9"/>
  <c r="K159" i="9"/>
  <c r="J159" i="9"/>
  <c r="I159" i="9"/>
  <c r="G159" i="9"/>
  <c r="F159" i="9"/>
  <c r="E159" i="9"/>
  <c r="C159" i="9"/>
  <c r="O158" i="9"/>
  <c r="N158" i="9"/>
  <c r="M158" i="9"/>
  <c r="K158" i="9"/>
  <c r="J158" i="9"/>
  <c r="I158" i="9"/>
  <c r="G158" i="9"/>
  <c r="F158" i="9"/>
  <c r="E158" i="9"/>
  <c r="C158" i="9"/>
  <c r="O157" i="9"/>
  <c r="N157" i="9"/>
  <c r="M157" i="9"/>
  <c r="K157" i="9"/>
  <c r="J157" i="9"/>
  <c r="I157" i="9"/>
  <c r="G157" i="9"/>
  <c r="F157" i="9"/>
  <c r="E157" i="9"/>
  <c r="O156" i="9"/>
  <c r="N156" i="9"/>
  <c r="M156" i="9"/>
  <c r="K156" i="9"/>
  <c r="J156" i="9"/>
  <c r="I156" i="9"/>
  <c r="G156" i="9"/>
  <c r="F156" i="9"/>
  <c r="E156" i="9"/>
  <c r="C156" i="9"/>
  <c r="K155" i="9"/>
  <c r="J155" i="9"/>
  <c r="I155" i="9"/>
  <c r="G155" i="9"/>
  <c r="F155" i="9"/>
  <c r="E155" i="9"/>
  <c r="C155" i="9"/>
  <c r="K154" i="9"/>
  <c r="J154" i="9"/>
  <c r="I154" i="9"/>
  <c r="G154" i="9"/>
  <c r="F154" i="9"/>
  <c r="E154" i="9"/>
  <c r="C154" i="9"/>
  <c r="O153" i="9"/>
  <c r="N153" i="9"/>
  <c r="M153" i="9"/>
  <c r="K153" i="9"/>
  <c r="J153" i="9"/>
  <c r="I153" i="9"/>
  <c r="G153" i="9"/>
  <c r="F153" i="9"/>
  <c r="E153" i="9"/>
  <c r="O152" i="9"/>
  <c r="N152" i="9"/>
  <c r="M152" i="9"/>
  <c r="K152" i="9"/>
  <c r="J152" i="9"/>
  <c r="I152" i="9"/>
  <c r="G152" i="9"/>
  <c r="F152" i="9"/>
  <c r="E152" i="9"/>
  <c r="C152" i="9"/>
  <c r="AU148" i="9"/>
  <c r="AT148" i="9"/>
  <c r="AS148" i="9"/>
  <c r="AQ148" i="9"/>
  <c r="AP148" i="9"/>
  <c r="AO148" i="9"/>
  <c r="AM148" i="9"/>
  <c r="AL148" i="9"/>
  <c r="AK148" i="9"/>
  <c r="AE148" i="9"/>
  <c r="AD148" i="9"/>
  <c r="AC148" i="9"/>
  <c r="AA148" i="9"/>
  <c r="Z148" i="9"/>
  <c r="Y148" i="9"/>
  <c r="W148" i="9"/>
  <c r="V148" i="9"/>
  <c r="U148" i="9"/>
  <c r="S148" i="9"/>
  <c r="R148" i="9"/>
  <c r="Q148" i="9"/>
  <c r="O148" i="9"/>
  <c r="N148" i="9"/>
  <c r="M148" i="9"/>
  <c r="K148" i="9"/>
  <c r="J148" i="9"/>
  <c r="I148" i="9"/>
  <c r="H148" i="9"/>
  <c r="AI147" i="9"/>
  <c r="AH147" i="9"/>
  <c r="AG147" i="9"/>
  <c r="AI146" i="9"/>
  <c r="AI148" i="9" s="1"/>
  <c r="AH146" i="9"/>
  <c r="AH148" i="9" s="1"/>
  <c r="AG146" i="9"/>
  <c r="AG148" i="9" s="1"/>
  <c r="AI144" i="9"/>
  <c r="AH144" i="9"/>
  <c r="AG144" i="9"/>
  <c r="AE144" i="9"/>
  <c r="AD144" i="9"/>
  <c r="AC144" i="9"/>
  <c r="AA144" i="9"/>
  <c r="Z144" i="9"/>
  <c r="Y144" i="9"/>
  <c r="AI143" i="9"/>
  <c r="AH143" i="9"/>
  <c r="AG143" i="9"/>
  <c r="AI142" i="9"/>
  <c r="AH142" i="9"/>
  <c r="AG142" i="9"/>
  <c r="AI141" i="9"/>
  <c r="AH141" i="9"/>
  <c r="AG141" i="9"/>
  <c r="AI139" i="9"/>
  <c r="AH139" i="9"/>
  <c r="AG139" i="9"/>
  <c r="AA139" i="9"/>
  <c r="AA140" i="9" s="1"/>
  <c r="AA143" i="9" s="1"/>
  <c r="Z139" i="9"/>
  <c r="Z140" i="9" s="1"/>
  <c r="Z143" i="9" s="1"/>
  <c r="Y139" i="9"/>
  <c r="Y140" i="9" s="1"/>
  <c r="Y143" i="9" s="1"/>
  <c r="W139" i="9"/>
  <c r="W140" i="9" s="1"/>
  <c r="W143" i="9" s="1"/>
  <c r="V139" i="9"/>
  <c r="V140" i="9" s="1"/>
  <c r="V143" i="9" s="1"/>
  <c r="U139" i="9"/>
  <c r="U140" i="9" s="1"/>
  <c r="U143" i="9" s="1"/>
  <c r="S139" i="9"/>
  <c r="S140" i="9" s="1"/>
  <c r="R139" i="9"/>
  <c r="R140" i="9" s="1"/>
  <c r="Q139" i="9"/>
  <c r="Q140" i="9" s="1"/>
  <c r="O139" i="9"/>
  <c r="O140" i="9" s="1"/>
  <c r="N139" i="9"/>
  <c r="N140" i="9" s="1"/>
  <c r="M139" i="9"/>
  <c r="M140" i="9" s="1"/>
  <c r="AI138" i="9"/>
  <c r="AH138" i="9"/>
  <c r="AG138" i="9"/>
  <c r="AI137" i="9"/>
  <c r="AH137" i="9"/>
  <c r="AG137" i="9"/>
  <c r="AI136" i="9"/>
  <c r="AH136" i="9"/>
  <c r="AG136" i="9"/>
  <c r="AI135" i="9"/>
  <c r="AH135" i="9"/>
  <c r="AG135" i="9"/>
  <c r="AI134" i="9"/>
  <c r="AH134" i="9"/>
  <c r="AG134" i="9"/>
  <c r="AI133" i="9"/>
  <c r="AH133" i="9"/>
  <c r="AG133" i="9"/>
  <c r="AI131" i="9"/>
  <c r="AH131" i="9"/>
  <c r="AG131" i="9"/>
  <c r="AI128" i="9"/>
  <c r="AH128" i="9"/>
  <c r="AG128" i="9"/>
  <c r="O121" i="9"/>
  <c r="N121" i="9"/>
  <c r="M121" i="9"/>
  <c r="AI119" i="9"/>
  <c r="AI120" i="9" s="1"/>
  <c r="AH119" i="9"/>
  <c r="AG119" i="9"/>
  <c r="AI116" i="9"/>
  <c r="AH116" i="9"/>
  <c r="AG116" i="9"/>
  <c r="AI115" i="9"/>
  <c r="AH115" i="9"/>
  <c r="AG115" i="9"/>
  <c r="AI114" i="9"/>
  <c r="AH114" i="9"/>
  <c r="AG114" i="9"/>
  <c r="AI113" i="9"/>
  <c r="AH113" i="9"/>
  <c r="AG113" i="9"/>
  <c r="AI111" i="9"/>
  <c r="AH111" i="9"/>
  <c r="AG111" i="9"/>
  <c r="AI110" i="9"/>
  <c r="AH110" i="9"/>
  <c r="AG110" i="9"/>
  <c r="AI109" i="9"/>
  <c r="AH109" i="9"/>
  <c r="AG109" i="9"/>
  <c r="AI108" i="9"/>
  <c r="AH108" i="9"/>
  <c r="AG108" i="9"/>
  <c r="AI106" i="9"/>
  <c r="AH106" i="9"/>
  <c r="AH107" i="9" s="1"/>
  <c r="AG106" i="9"/>
  <c r="AG107" i="9" s="1"/>
  <c r="AI104" i="9"/>
  <c r="AI105" i="9" s="1"/>
  <c r="AH104" i="9"/>
  <c r="AH105" i="9" s="1"/>
  <c r="AG104" i="9"/>
  <c r="AG105" i="9" s="1"/>
  <c r="O100" i="9"/>
  <c r="N100" i="9"/>
  <c r="M100" i="9"/>
  <c r="K100" i="9"/>
  <c r="J100" i="9"/>
  <c r="I100" i="9"/>
  <c r="G100" i="9"/>
  <c r="F100" i="9"/>
  <c r="E100" i="9"/>
  <c r="C100" i="9"/>
  <c r="O99" i="9"/>
  <c r="N99" i="9"/>
  <c r="M99" i="9"/>
  <c r="K99" i="9"/>
  <c r="J99" i="9"/>
  <c r="I99" i="9"/>
  <c r="G99" i="9"/>
  <c r="F99" i="9"/>
  <c r="E99" i="9"/>
  <c r="C99" i="9"/>
  <c r="O98" i="9"/>
  <c r="N98" i="9"/>
  <c r="M98" i="9"/>
  <c r="K98" i="9"/>
  <c r="J98" i="9"/>
  <c r="I98" i="9"/>
  <c r="G98" i="9"/>
  <c r="F98" i="9"/>
  <c r="E98" i="9"/>
  <c r="O97" i="9"/>
  <c r="N97" i="9"/>
  <c r="M97" i="9"/>
  <c r="K97" i="9"/>
  <c r="J97" i="9"/>
  <c r="I97" i="9"/>
  <c r="G97" i="9"/>
  <c r="F97" i="9"/>
  <c r="E97" i="9"/>
  <c r="C97" i="9"/>
  <c r="K96" i="9"/>
  <c r="J96" i="9"/>
  <c r="I96" i="9"/>
  <c r="G96" i="9"/>
  <c r="F96" i="9"/>
  <c r="E96" i="9"/>
  <c r="C96" i="9"/>
  <c r="K95" i="9"/>
  <c r="J95" i="9"/>
  <c r="I95" i="9"/>
  <c r="G95" i="9"/>
  <c r="F95" i="9"/>
  <c r="E95" i="9"/>
  <c r="C95" i="9"/>
  <c r="O94" i="9"/>
  <c r="N94" i="9"/>
  <c r="M94" i="9"/>
  <c r="K94" i="9"/>
  <c r="J94" i="9"/>
  <c r="I94" i="9"/>
  <c r="G94" i="9"/>
  <c r="F94" i="9"/>
  <c r="E94" i="9"/>
  <c r="O93" i="9"/>
  <c r="N93" i="9"/>
  <c r="M93" i="9"/>
  <c r="K93" i="9"/>
  <c r="J93" i="9"/>
  <c r="I93" i="9"/>
  <c r="G93" i="9"/>
  <c r="F93" i="9"/>
  <c r="E93" i="9"/>
  <c r="C93" i="9"/>
  <c r="AU89" i="9"/>
  <c r="AT89" i="9"/>
  <c r="AS89" i="9"/>
  <c r="AQ89" i="9"/>
  <c r="AP89" i="9"/>
  <c r="AO89" i="9"/>
  <c r="AM89" i="9"/>
  <c r="AL89" i="9"/>
  <c r="AK89" i="9"/>
  <c r="AI89" i="9"/>
  <c r="AH89" i="9"/>
  <c r="AG89" i="9"/>
  <c r="AE89" i="9"/>
  <c r="AD89" i="9"/>
  <c r="AC89" i="9"/>
  <c r="AA89" i="9"/>
  <c r="Z89" i="9"/>
  <c r="Y89" i="9"/>
  <c r="W89" i="9"/>
  <c r="V89" i="9"/>
  <c r="U89" i="9"/>
  <c r="S89" i="9"/>
  <c r="R89" i="9"/>
  <c r="Q89" i="9"/>
  <c r="O89" i="9"/>
  <c r="N89" i="9"/>
  <c r="M89" i="9"/>
  <c r="K89" i="9"/>
  <c r="J89" i="9"/>
  <c r="I89" i="9"/>
  <c r="H89" i="9"/>
  <c r="AI83" i="9"/>
  <c r="AI85" i="9" s="1"/>
  <c r="AH83" i="9"/>
  <c r="AH85" i="9" s="1"/>
  <c r="AG83" i="9"/>
  <c r="AG85" i="9" s="1"/>
  <c r="AE83" i="9"/>
  <c r="AE85" i="9" s="1"/>
  <c r="AD83" i="9"/>
  <c r="AD85" i="9" s="1"/>
  <c r="AC83" i="9"/>
  <c r="AC85" i="9" s="1"/>
  <c r="L69" i="9"/>
  <c r="O65" i="9"/>
  <c r="N65" i="9"/>
  <c r="M65" i="9"/>
  <c r="K47" i="9"/>
  <c r="J47" i="9"/>
  <c r="I47" i="9"/>
  <c r="AU43" i="9"/>
  <c r="AT43" i="9"/>
  <c r="AS43" i="9"/>
  <c r="AQ43" i="9"/>
  <c r="AP43" i="9"/>
  <c r="AO43" i="9"/>
  <c r="AM43" i="9"/>
  <c r="AL43" i="9"/>
  <c r="AK43" i="9"/>
  <c r="AI43" i="9"/>
  <c r="AI145" i="9" s="1"/>
  <c r="AH43" i="9"/>
  <c r="AH145" i="9" s="1"/>
  <c r="AG43" i="9"/>
  <c r="AG145" i="9" s="1"/>
  <c r="AE43" i="9"/>
  <c r="AD43" i="9"/>
  <c r="AC43" i="9"/>
  <c r="S41" i="9"/>
  <c r="R41" i="9"/>
  <c r="Q41" i="9"/>
  <c r="O41" i="9"/>
  <c r="N41" i="9"/>
  <c r="M41" i="9"/>
  <c r="AI26" i="9"/>
  <c r="AH26" i="9"/>
  <c r="AG26" i="9"/>
  <c r="AE26" i="9"/>
  <c r="AD26" i="9"/>
  <c r="AC26" i="9"/>
  <c r="AA26" i="9"/>
  <c r="Z26" i="9"/>
  <c r="Y26" i="9"/>
  <c r="W26" i="9"/>
  <c r="V26" i="9"/>
  <c r="U26" i="9"/>
  <c r="S26" i="9"/>
  <c r="R26" i="9"/>
  <c r="Q26" i="9"/>
  <c r="O26" i="9"/>
  <c r="N26" i="9"/>
  <c r="M26" i="9"/>
  <c r="AI25" i="9"/>
  <c r="AI66" i="9" s="1"/>
  <c r="AH25" i="9"/>
  <c r="AH66" i="9" s="1"/>
  <c r="AG25" i="9"/>
  <c r="AG66" i="9" s="1"/>
  <c r="AE25" i="9"/>
  <c r="AD25" i="9"/>
  <c r="AC25" i="9"/>
  <c r="AA25" i="9"/>
  <c r="Z25" i="9"/>
  <c r="Y25" i="9"/>
  <c r="W25" i="9"/>
  <c r="V25" i="9"/>
  <c r="U25" i="9"/>
  <c r="S25" i="9"/>
  <c r="R25" i="9"/>
  <c r="Q25" i="9"/>
  <c r="O23" i="9"/>
  <c r="N23" i="9"/>
  <c r="M23" i="9"/>
  <c r="AU20" i="9"/>
  <c r="AU117" i="9" s="1"/>
  <c r="AU118" i="9" s="1"/>
  <c r="AU127" i="9" s="1"/>
  <c r="AU132" i="9" s="1"/>
  <c r="AU137" i="9" s="1"/>
  <c r="AU145" i="9" s="1"/>
  <c r="AT20" i="9"/>
  <c r="AT117" i="9" s="1"/>
  <c r="AT118" i="9" s="1"/>
  <c r="AT127" i="9" s="1"/>
  <c r="AT132" i="9" s="1"/>
  <c r="AT137" i="9" s="1"/>
  <c r="AT145" i="9" s="1"/>
  <c r="AS20" i="9"/>
  <c r="AS117" i="9" s="1"/>
  <c r="AS118" i="9" s="1"/>
  <c r="AS127" i="9" s="1"/>
  <c r="AS132" i="9" s="1"/>
  <c r="AS137" i="9" s="1"/>
  <c r="AS145" i="9" s="1"/>
  <c r="AQ20" i="9"/>
  <c r="AQ117" i="9" s="1"/>
  <c r="AQ118" i="9" s="1"/>
  <c r="AQ127" i="9" s="1"/>
  <c r="AQ132" i="9" s="1"/>
  <c r="AQ137" i="9" s="1"/>
  <c r="AQ145" i="9" s="1"/>
  <c r="AP20" i="9"/>
  <c r="AP117" i="9" s="1"/>
  <c r="AP118" i="9" s="1"/>
  <c r="AP127" i="9" s="1"/>
  <c r="AP132" i="9" s="1"/>
  <c r="AP137" i="9" s="1"/>
  <c r="AP145" i="9" s="1"/>
  <c r="AO20" i="9"/>
  <c r="AO117" i="9" s="1"/>
  <c r="AO118" i="9" s="1"/>
  <c r="AO127" i="9" s="1"/>
  <c r="AO132" i="9" s="1"/>
  <c r="AO137" i="9" s="1"/>
  <c r="AO145" i="9" s="1"/>
  <c r="AM20" i="9"/>
  <c r="AM117" i="9" s="1"/>
  <c r="AM118" i="9" s="1"/>
  <c r="AM127" i="9" s="1"/>
  <c r="AM132" i="9" s="1"/>
  <c r="AM137" i="9" s="1"/>
  <c r="AM145" i="9" s="1"/>
  <c r="AL20" i="9"/>
  <c r="AL117" i="9" s="1"/>
  <c r="AL118" i="9" s="1"/>
  <c r="AL127" i="9" s="1"/>
  <c r="AL132" i="9" s="1"/>
  <c r="AL137" i="9" s="1"/>
  <c r="AL145" i="9" s="1"/>
  <c r="AK20" i="9"/>
  <c r="AK117" i="9" s="1"/>
  <c r="AK118" i="9" s="1"/>
  <c r="AK127" i="9" s="1"/>
  <c r="AK132" i="9" s="1"/>
  <c r="AK137" i="9" s="1"/>
  <c r="AK145" i="9" s="1"/>
  <c r="AI20" i="9"/>
  <c r="AI117" i="9" s="1"/>
  <c r="AH20" i="9"/>
  <c r="AH117" i="9" s="1"/>
  <c r="AG20" i="9"/>
  <c r="AG117" i="9" s="1"/>
  <c r="AE20" i="9"/>
  <c r="AE117" i="9" s="1"/>
  <c r="AE118" i="9" s="1"/>
  <c r="AE127" i="9" s="1"/>
  <c r="AE132" i="9" s="1"/>
  <c r="AE137" i="9" s="1"/>
  <c r="AD20" i="9"/>
  <c r="AD117" i="9" s="1"/>
  <c r="AD118" i="9" s="1"/>
  <c r="AD127" i="9" s="1"/>
  <c r="AD132" i="9" s="1"/>
  <c r="AD137" i="9" s="1"/>
  <c r="AC20" i="9"/>
  <c r="AC117" i="9" s="1"/>
  <c r="AC118" i="9" s="1"/>
  <c r="AC127" i="9" s="1"/>
  <c r="AC132" i="9" s="1"/>
  <c r="AC137" i="9" s="1"/>
  <c r="AA20" i="9"/>
  <c r="AA117" i="9" s="1"/>
  <c r="AA118" i="9" s="1"/>
  <c r="Z20" i="9"/>
  <c r="Z117" i="9" s="1"/>
  <c r="Z118" i="9" s="1"/>
  <c r="Y20" i="9"/>
  <c r="Y117" i="9" s="1"/>
  <c r="Y118" i="9" s="1"/>
  <c r="W20" i="9"/>
  <c r="W117" i="9" s="1"/>
  <c r="W118" i="9" s="1"/>
  <c r="V20" i="9"/>
  <c r="V117" i="9" s="1"/>
  <c r="V118" i="9" s="1"/>
  <c r="U20" i="9"/>
  <c r="U117" i="9" s="1"/>
  <c r="U118" i="9" s="1"/>
  <c r="S20" i="9"/>
  <c r="S117" i="9" s="1"/>
  <c r="S118" i="9" s="1"/>
  <c r="R20" i="9"/>
  <c r="R117" i="9" s="1"/>
  <c r="R118" i="9" s="1"/>
  <c r="Q20" i="9"/>
  <c r="Q117" i="9" s="1"/>
  <c r="Q118" i="9" s="1"/>
  <c r="O20" i="9"/>
  <c r="O117" i="9" s="1"/>
  <c r="O118" i="9" s="1"/>
  <c r="N20" i="9"/>
  <c r="N117" i="9" s="1"/>
  <c r="N118" i="9" s="1"/>
  <c r="M20" i="9"/>
  <c r="M117" i="9" s="1"/>
  <c r="M118" i="9" s="1"/>
  <c r="DA1398" i="4"/>
  <c r="CZ1398" i="4"/>
  <c r="CW1398" i="4"/>
  <c r="CV1398" i="4"/>
  <c r="CS1398" i="4"/>
  <c r="CR1398" i="4"/>
  <c r="CO1398" i="4"/>
  <c r="CN1398" i="4"/>
  <c r="CK1398" i="4"/>
  <c r="CJ1398" i="4"/>
  <c r="CG1398" i="4"/>
  <c r="CF1398" i="4"/>
  <c r="CC1398" i="4"/>
  <c r="CB1398" i="4"/>
  <c r="BY1398" i="4"/>
  <c r="BX1398" i="4"/>
  <c r="BU1398" i="4"/>
  <c r="BT1398" i="4"/>
  <c r="BQ1398" i="4"/>
  <c r="BP1398" i="4"/>
  <c r="BM1398" i="4"/>
  <c r="BL1398" i="4"/>
  <c r="BI1398" i="4"/>
  <c r="BH1398" i="4"/>
  <c r="DI1396" i="4"/>
  <c r="DL1396" i="4" s="1"/>
  <c r="DB1396" i="4"/>
  <c r="CX1396" i="4"/>
  <c r="CT1396" i="4"/>
  <c r="CP1396" i="4"/>
  <c r="CL1396" i="4"/>
  <c r="CH1396" i="4"/>
  <c r="CD1396" i="4"/>
  <c r="DA1367" i="4"/>
  <c r="CZ1367" i="4"/>
  <c r="CW1367" i="4"/>
  <c r="CV1367" i="4"/>
  <c r="CS1367" i="4"/>
  <c r="CR1367" i="4"/>
  <c r="DA1364" i="4"/>
  <c r="DD1365" i="4" s="1"/>
  <c r="CZ1364" i="4"/>
  <c r="CZ1366" i="4" s="1"/>
  <c r="CW1364" i="4"/>
  <c r="CV1364" i="4"/>
  <c r="CS1364" i="4"/>
  <c r="CR1364" i="4"/>
  <c r="CO1364" i="4"/>
  <c r="CN1364" i="4"/>
  <c r="CK1364" i="4"/>
  <c r="CJ1364" i="4"/>
  <c r="CJ1366" i="4" s="1"/>
  <c r="CG1364" i="4"/>
  <c r="CG1369" i="4" s="1"/>
  <c r="CF1364" i="4"/>
  <c r="CC1364" i="4"/>
  <c r="CC1366" i="4" s="1"/>
  <c r="CB1364" i="4"/>
  <c r="CB1369" i="4" s="1"/>
  <c r="BY1364" i="4"/>
  <c r="BX1364" i="4"/>
  <c r="BX1368" i="4" s="1"/>
  <c r="BU1364" i="4"/>
  <c r="BU1366" i="4" s="1"/>
  <c r="BT1364" i="4"/>
  <c r="BT1366" i="4" s="1"/>
  <c r="BQ1364" i="4"/>
  <c r="BQ1369" i="4" s="1"/>
  <c r="BP1364" i="4"/>
  <c r="BM1364" i="4"/>
  <c r="BL1364" i="4"/>
  <c r="BL1369" i="4" s="1"/>
  <c r="BI1364" i="4"/>
  <c r="BH1364" i="4"/>
  <c r="DA1363" i="4"/>
  <c r="CZ1363" i="4"/>
  <c r="CW1363" i="4"/>
  <c r="CV1363" i="4"/>
  <c r="CS1363" i="4"/>
  <c r="CR1363" i="4"/>
  <c r="CO1363" i="4"/>
  <c r="CN1363" i="4"/>
  <c r="CK1363" i="4"/>
  <c r="CJ1363" i="4"/>
  <c r="CG1363" i="4"/>
  <c r="CF1363" i="4"/>
  <c r="CC1363" i="4"/>
  <c r="CB1363" i="4"/>
  <c r="BY1363" i="4"/>
  <c r="BX1363" i="4"/>
  <c r="BU1363" i="4"/>
  <c r="BT1363" i="4"/>
  <c r="BQ1363" i="4"/>
  <c r="BP1363" i="4"/>
  <c r="BM1363" i="4"/>
  <c r="BL1363" i="4"/>
  <c r="BI1363" i="4"/>
  <c r="BH1363" i="4"/>
  <c r="BE1363" i="4"/>
  <c r="DA1362" i="4"/>
  <c r="CZ1362" i="4"/>
  <c r="CW1362" i="4"/>
  <c r="CV1362" i="4"/>
  <c r="CS1362" i="4"/>
  <c r="CR1362" i="4"/>
  <c r="CO1362" i="4"/>
  <c r="CN1362" i="4"/>
  <c r="CK1362" i="4"/>
  <c r="CJ1362" i="4"/>
  <c r="CG1362" i="4"/>
  <c r="CF1362" i="4"/>
  <c r="CC1362" i="4"/>
  <c r="CB1362" i="4"/>
  <c r="BY1362" i="4"/>
  <c r="BX1362" i="4"/>
  <c r="BU1362" i="4"/>
  <c r="BT1362" i="4"/>
  <c r="BQ1362" i="4"/>
  <c r="BP1362" i="4"/>
  <c r="BM1362" i="4"/>
  <c r="BL1362" i="4"/>
  <c r="BI1362" i="4"/>
  <c r="BH1362" i="4"/>
  <c r="BE1362" i="4"/>
  <c r="DA1351" i="4"/>
  <c r="DI1351" i="4" s="1"/>
  <c r="DL1351" i="4" s="1"/>
  <c r="DM1351" i="4" s="1"/>
  <c r="DP1351" i="4" s="1"/>
  <c r="DQ1351" i="4" s="1"/>
  <c r="CZ1351" i="4"/>
  <c r="CW1351" i="4"/>
  <c r="CV1351" i="4"/>
  <c r="CS1351" i="4"/>
  <c r="CR1351" i="4"/>
  <c r="CO1351" i="4"/>
  <c r="CN1351" i="4"/>
  <c r="CK1351" i="4"/>
  <c r="CJ1351" i="4"/>
  <c r="CG1351" i="4"/>
  <c r="CF1351" i="4"/>
  <c r="DA1344" i="4"/>
  <c r="CZ1344" i="4"/>
  <c r="CW1344" i="4"/>
  <c r="CV1344" i="4"/>
  <c r="CS1344" i="4"/>
  <c r="CR1344" i="4"/>
  <c r="CJ1344" i="4"/>
  <c r="A1342" i="4"/>
  <c r="A1341" i="4"/>
  <c r="A1340" i="4"/>
  <c r="DB1336" i="4"/>
  <c r="CX1336" i="4"/>
  <c r="CT1336" i="4"/>
  <c r="CP1336" i="4"/>
  <c r="CL1336" i="4"/>
  <c r="CH1336" i="4"/>
  <c r="DB1335" i="4"/>
  <c r="CX1335" i="4"/>
  <c r="CV1335" i="4"/>
  <c r="CS1335" i="4"/>
  <c r="CR1335" i="4"/>
  <c r="CO1335" i="4"/>
  <c r="CN1335" i="4"/>
  <c r="CK1335" i="4"/>
  <c r="CJ1335" i="4"/>
  <c r="CG1335" i="4"/>
  <c r="CF1335" i="4"/>
  <c r="DB1330" i="4"/>
  <c r="CX1330" i="4"/>
  <c r="CT1330" i="4"/>
  <c r="CP1330" i="4"/>
  <c r="CL1330" i="4"/>
  <c r="CG1330" i="4"/>
  <c r="CD1330" i="4"/>
  <c r="BZ1330" i="4"/>
  <c r="BV1330" i="4"/>
  <c r="BR1330" i="4"/>
  <c r="BN1330" i="4"/>
  <c r="BJ1330" i="4"/>
  <c r="BF1330" i="4"/>
  <c r="DA1329" i="4"/>
  <c r="CZ1329" i="4"/>
  <c r="CW1329" i="4"/>
  <c r="CV1329" i="4"/>
  <c r="CS1329" i="4"/>
  <c r="CR1329" i="4"/>
  <c r="CJ1329" i="4"/>
  <c r="DB1328" i="4"/>
  <c r="CX1328" i="4"/>
  <c r="CT1328" i="4"/>
  <c r="CO1328" i="4"/>
  <c r="CN1328" i="4"/>
  <c r="CN1329" i="4" s="1"/>
  <c r="CK1328" i="4"/>
  <c r="CK1329" i="4" s="1"/>
  <c r="CG1328" i="4"/>
  <c r="CF1328" i="4"/>
  <c r="CC1328" i="4"/>
  <c r="CB1328" i="4"/>
  <c r="BY1328" i="4"/>
  <c r="BZ1328" i="4" s="1"/>
  <c r="BX1328" i="4"/>
  <c r="BU1328" i="4"/>
  <c r="BT1328" i="4"/>
  <c r="BQ1328" i="4"/>
  <c r="BR1328" i="4" s="1"/>
  <c r="BP1328" i="4"/>
  <c r="BM1328" i="4"/>
  <c r="BL1328" i="4"/>
  <c r="BL1344" i="4" s="1"/>
  <c r="BI1328" i="4"/>
  <c r="BH1328" i="4"/>
  <c r="BE1328" i="4"/>
  <c r="DB1324" i="4"/>
  <c r="CX1324" i="4"/>
  <c r="CT1324" i="4"/>
  <c r="CP1324" i="4"/>
  <c r="CL1324" i="4"/>
  <c r="CH1324" i="4"/>
  <c r="DA1323" i="4"/>
  <c r="CZ1323" i="4"/>
  <c r="CW1323" i="4"/>
  <c r="CV1323" i="4"/>
  <c r="CS1323" i="4"/>
  <c r="CR1323" i="4"/>
  <c r="CO1323" i="4"/>
  <c r="CN1323" i="4"/>
  <c r="CK1323" i="4"/>
  <c r="CJ1323" i="4"/>
  <c r="CG1323" i="4"/>
  <c r="CF1323" i="4"/>
  <c r="DB1320" i="4"/>
  <c r="CX1320" i="4"/>
  <c r="CT1320" i="4"/>
  <c r="CP1320" i="4"/>
  <c r="CL1320" i="4"/>
  <c r="CH1320" i="4"/>
  <c r="CD1320" i="4"/>
  <c r="BZ1320" i="4"/>
  <c r="BV1320" i="4"/>
  <c r="BR1320" i="4"/>
  <c r="BN1320" i="4"/>
  <c r="BJ1320" i="4"/>
  <c r="BF1320" i="4"/>
  <c r="DB1319" i="4"/>
  <c r="CX1319" i="4"/>
  <c r="CT1319" i="4"/>
  <c r="CP1319" i="4"/>
  <c r="CL1319" i="4"/>
  <c r="CH1319" i="4"/>
  <c r="CD1319" i="4"/>
  <c r="BZ1319" i="4"/>
  <c r="BV1319" i="4"/>
  <c r="BR1319" i="4"/>
  <c r="BN1319" i="4"/>
  <c r="BJ1319" i="4"/>
  <c r="BF1319" i="4"/>
  <c r="DB1318" i="4"/>
  <c r="CX1318" i="4"/>
  <c r="CT1318" i="4"/>
  <c r="CP1318" i="4"/>
  <c r="CL1318" i="4"/>
  <c r="CH1318" i="4"/>
  <c r="CD1318" i="4"/>
  <c r="BZ1318" i="4"/>
  <c r="BV1318" i="4"/>
  <c r="BR1318" i="4"/>
  <c r="BN1318" i="4"/>
  <c r="BJ1318" i="4"/>
  <c r="BF1318" i="4"/>
  <c r="CZ1317" i="4"/>
  <c r="CW1317" i="4"/>
  <c r="CV1317" i="4"/>
  <c r="CS1317" i="4"/>
  <c r="CT1317" i="4" s="1"/>
  <c r="CR1317" i="4"/>
  <c r="CO1317" i="4"/>
  <c r="CN1317" i="4"/>
  <c r="CK1317" i="4"/>
  <c r="CJ1317" i="4"/>
  <c r="CG1317" i="4"/>
  <c r="CF1317" i="4"/>
  <c r="CC1317" i="4"/>
  <c r="CB1317" i="4"/>
  <c r="BY1317" i="4"/>
  <c r="BX1317" i="4"/>
  <c r="BX1321" i="4" s="1"/>
  <c r="BX269" i="4" s="1"/>
  <c r="BX271" i="4" s="1"/>
  <c r="BU1317" i="4"/>
  <c r="BT1317" i="4"/>
  <c r="BQ1317" i="4"/>
  <c r="BP1317" i="4"/>
  <c r="BM1317" i="4"/>
  <c r="BL1317" i="4"/>
  <c r="BI1317" i="4"/>
  <c r="BH1317" i="4"/>
  <c r="BH1321" i="4" s="1"/>
  <c r="BE1317" i="4"/>
  <c r="DA1315" i="4"/>
  <c r="CZ1315" i="4"/>
  <c r="CW1315" i="4"/>
  <c r="CV1315" i="4"/>
  <c r="CS1315" i="4"/>
  <c r="CR1315" i="4"/>
  <c r="CO1315" i="4"/>
  <c r="CN1315" i="4"/>
  <c r="CK1315" i="4"/>
  <c r="CJ1315" i="4"/>
  <c r="CG1315" i="4"/>
  <c r="CF1315" i="4"/>
  <c r="CC1315" i="4"/>
  <c r="CB1315" i="4"/>
  <c r="BY1315" i="4"/>
  <c r="BX1315" i="4"/>
  <c r="BU1315" i="4"/>
  <c r="BT1315" i="4"/>
  <c r="BQ1315" i="4"/>
  <c r="BP1315" i="4"/>
  <c r="BM1315" i="4"/>
  <c r="BL1315" i="4"/>
  <c r="BI1315" i="4"/>
  <c r="BH1315" i="4"/>
  <c r="BE1315" i="4"/>
  <c r="BF1313" i="4"/>
  <c r="BE1313" i="4"/>
  <c r="CZ270" i="4"/>
  <c r="CW1237" i="4"/>
  <c r="CS1087" i="4"/>
  <c r="DC39" i="3"/>
  <c r="DB39" i="3"/>
  <c r="CK1160" i="4"/>
  <c r="CJ1160" i="4"/>
  <c r="CG1237" i="4"/>
  <c r="CF1237" i="4"/>
  <c r="CC1237" i="4"/>
  <c r="CB270" i="4"/>
  <c r="BY1160" i="4"/>
  <c r="BX1237" i="4"/>
  <c r="BU270" i="4"/>
  <c r="BQ1237" i="4"/>
  <c r="BP1160" i="4"/>
  <c r="BM1160" i="4"/>
  <c r="BL270" i="4"/>
  <c r="BW39" i="3"/>
  <c r="BH1157" i="4"/>
  <c r="DB1308" i="4"/>
  <c r="DG1308" i="4" s="1"/>
  <c r="CX1308" i="4"/>
  <c r="CT1308" i="4"/>
  <c r="CP1308" i="4"/>
  <c r="CL1308" i="4"/>
  <c r="CH1308" i="4"/>
  <c r="CD1308" i="4"/>
  <c r="BZ1308" i="4"/>
  <c r="BV1308" i="4"/>
  <c r="BR1308" i="4"/>
  <c r="BN1308" i="4"/>
  <c r="BJ1308" i="4"/>
  <c r="BF1308" i="4"/>
  <c r="DB1307" i="4"/>
  <c r="DG1307" i="4" s="1"/>
  <c r="CX1307" i="4"/>
  <c r="CT1307" i="4"/>
  <c r="CP1307" i="4"/>
  <c r="CL1307" i="4"/>
  <c r="CH1307" i="4"/>
  <c r="CD1307" i="4"/>
  <c r="BZ1307" i="4"/>
  <c r="BV1307" i="4"/>
  <c r="BR1307" i="4"/>
  <c r="BN1307" i="4"/>
  <c r="BJ1307" i="4"/>
  <c r="BF1307" i="4"/>
  <c r="DB1306" i="4"/>
  <c r="DG1306" i="4" s="1"/>
  <c r="CX1306" i="4"/>
  <c r="CT1306" i="4"/>
  <c r="CP1306" i="4"/>
  <c r="CL1306" i="4"/>
  <c r="CH1306" i="4"/>
  <c r="CD1306" i="4"/>
  <c r="BZ1306" i="4"/>
  <c r="BV1306" i="4"/>
  <c r="BR1306" i="4"/>
  <c r="BN1306" i="4"/>
  <c r="BJ1306" i="4"/>
  <c r="BF1306" i="4"/>
  <c r="DB1305" i="4"/>
  <c r="CX1305" i="4"/>
  <c r="CT1305" i="4"/>
  <c r="CP1305" i="4"/>
  <c r="CL1305" i="4"/>
  <c r="CH1305" i="4"/>
  <c r="CD1305" i="4"/>
  <c r="BZ1305" i="4"/>
  <c r="BV1305" i="4"/>
  <c r="BR1305" i="4"/>
  <c r="BN1305" i="4"/>
  <c r="BJ1305" i="4"/>
  <c r="BF1305" i="4"/>
  <c r="DB1301" i="4"/>
  <c r="CX1301" i="4"/>
  <c r="CT1301" i="4"/>
  <c r="CP1301" i="4"/>
  <c r="CL1301" i="4"/>
  <c r="CH1301" i="4"/>
  <c r="CZ1298" i="4"/>
  <c r="DA1298" i="4" s="1"/>
  <c r="CV1298" i="4"/>
  <c r="CW1298" i="4" s="1"/>
  <c r="CX1298" i="4" s="1"/>
  <c r="CS1298" i="4"/>
  <c r="CT1298" i="4" s="1"/>
  <c r="CR1298" i="4"/>
  <c r="CO1298" i="4"/>
  <c r="CP1298" i="4" s="1"/>
  <c r="CN1298" i="4"/>
  <c r="CK1298" i="4"/>
  <c r="CL1298" i="4" s="1"/>
  <c r="CJ1298" i="4"/>
  <c r="BT1298" i="4"/>
  <c r="CS1296" i="4"/>
  <c r="CR1296" i="4"/>
  <c r="CR1295" i="4" s="1"/>
  <c r="CO1296" i="4"/>
  <c r="CO1295" i="4" s="1"/>
  <c r="CP1295" i="4" s="1"/>
  <c r="CN1296" i="4"/>
  <c r="CN1295" i="4" s="1"/>
  <c r="CK1296" i="4"/>
  <c r="CJ1296" i="4"/>
  <c r="CJ1295" i="4" s="1"/>
  <c r="BT1296" i="4"/>
  <c r="BT1295" i="4" s="1"/>
  <c r="BQ1296" i="4"/>
  <c r="BQ1295" i="4" s="1"/>
  <c r="BR1295" i="4" s="1"/>
  <c r="BP1296" i="4"/>
  <c r="BP1295" i="4" s="1"/>
  <c r="BM1296" i="4"/>
  <c r="BL1296" i="4"/>
  <c r="BI1296" i="4"/>
  <c r="BJ1296" i="4" s="1"/>
  <c r="BI1294" i="4"/>
  <c r="BJ1294" i="4" s="1"/>
  <c r="CS1292" i="4"/>
  <c r="CT1292" i="4" s="1"/>
  <c r="CO1292" i="4"/>
  <c r="CP1292" i="4" s="1"/>
  <c r="CK1292" i="4"/>
  <c r="CL1292" i="4" s="1"/>
  <c r="CT1291" i="4"/>
  <c r="CR1291" i="4"/>
  <c r="CR1292" i="4" s="1"/>
  <c r="CP1291" i="4"/>
  <c r="CN1291" i="4"/>
  <c r="CN1292" i="4" s="1"/>
  <c r="CL1291" i="4"/>
  <c r="CJ1291" i="4"/>
  <c r="CJ1292" i="4" s="1"/>
  <c r="CG1291" i="4"/>
  <c r="CG1292" i="4" s="1"/>
  <c r="CH1292" i="4" s="1"/>
  <c r="CF1291" i="4"/>
  <c r="CC1291" i="4"/>
  <c r="CB1291" i="4"/>
  <c r="BY1291" i="4"/>
  <c r="BZ1291" i="4" s="1"/>
  <c r="BX1291" i="4"/>
  <c r="BU1291" i="4"/>
  <c r="BV1291" i="4" s="1"/>
  <c r="BT1291" i="4"/>
  <c r="BQ1291" i="4"/>
  <c r="BR1291" i="4" s="1"/>
  <c r="BP1291" i="4"/>
  <c r="BM1291" i="4"/>
  <c r="BN1291" i="4" s="1"/>
  <c r="BL1291" i="4"/>
  <c r="BJ1291" i="4"/>
  <c r="CT1290" i="4"/>
  <c r="CP1290" i="4"/>
  <c r="CL1290" i="4"/>
  <c r="CH1290" i="4"/>
  <c r="CF1290" i="4"/>
  <c r="CD1290" i="4"/>
  <c r="CB1290" i="4"/>
  <c r="BZ1290" i="4"/>
  <c r="BX1290" i="4"/>
  <c r="BU1290" i="4"/>
  <c r="BV1290" i="4" s="1"/>
  <c r="BT1290" i="4"/>
  <c r="BQ1290" i="4"/>
  <c r="BR1290" i="4" s="1"/>
  <c r="BP1290" i="4"/>
  <c r="BM1290" i="4"/>
  <c r="BN1290" i="4" s="1"/>
  <c r="BL1290" i="4"/>
  <c r="BI1290" i="4"/>
  <c r="BH1290" i="4"/>
  <c r="BH1293" i="4" s="1"/>
  <c r="BH1295" i="4" s="1"/>
  <c r="CT1289" i="4"/>
  <c r="CP1289" i="4"/>
  <c r="CL1289" i="4"/>
  <c r="CH1289" i="4"/>
  <c r="CD1289" i="4"/>
  <c r="BZ1289" i="4"/>
  <c r="BV1289" i="4"/>
  <c r="BR1289" i="4"/>
  <c r="BN1289" i="4"/>
  <c r="BJ1289" i="4"/>
  <c r="CT1288" i="4"/>
  <c r="CP1288" i="4"/>
  <c r="CL1288" i="4"/>
  <c r="CH1288" i="4"/>
  <c r="CD1288" i="4"/>
  <c r="BZ1288" i="4"/>
  <c r="BV1288" i="4"/>
  <c r="BR1288" i="4"/>
  <c r="BN1288" i="4"/>
  <c r="BJ1288" i="4"/>
  <c r="CT1287" i="4"/>
  <c r="CP1287" i="4"/>
  <c r="CL1287" i="4"/>
  <c r="CH1287" i="4"/>
  <c r="CD1287" i="4"/>
  <c r="BZ1287" i="4"/>
  <c r="BV1287" i="4"/>
  <c r="BR1287" i="4"/>
  <c r="BN1287" i="4"/>
  <c r="BJ1287" i="4"/>
  <c r="CT1286" i="4"/>
  <c r="CP1286" i="4"/>
  <c r="CL1286" i="4"/>
  <c r="CH1286" i="4"/>
  <c r="CD1286" i="4"/>
  <c r="BZ1286" i="4"/>
  <c r="BV1286" i="4"/>
  <c r="BR1286" i="4"/>
  <c r="BN1286" i="4"/>
  <c r="BJ1286" i="4"/>
  <c r="DA1283" i="4"/>
  <c r="CZ1283" i="4"/>
  <c r="CW1283" i="4"/>
  <c r="CV1283" i="4"/>
  <c r="CS1283" i="4"/>
  <c r="CR1283" i="4"/>
  <c r="CO1283" i="4"/>
  <c r="CN1283" i="4"/>
  <c r="CK1283" i="4"/>
  <c r="CJ1283" i="4"/>
  <c r="CG1283" i="4"/>
  <c r="CF1283" i="4"/>
  <c r="CC1283" i="4"/>
  <c r="CB1283" i="4"/>
  <c r="BY1283" i="4"/>
  <c r="BX1283" i="4"/>
  <c r="BU1283" i="4"/>
  <c r="BT1283" i="4"/>
  <c r="DA1282" i="4"/>
  <c r="DA898" i="4" s="1"/>
  <c r="CZ1282" i="4"/>
  <c r="CZ898" i="4" s="1"/>
  <c r="CV1282" i="4"/>
  <c r="CV898" i="4" s="1"/>
  <c r="CS1282" i="4"/>
  <c r="CS898" i="4" s="1"/>
  <c r="CR1282" i="4"/>
  <c r="CR898" i="4" s="1"/>
  <c r="CO1282" i="4"/>
  <c r="CO898" i="4" s="1"/>
  <c r="CN1282" i="4"/>
  <c r="CN898" i="4" s="1"/>
  <c r="CK1282" i="4"/>
  <c r="CK898" i="4" s="1"/>
  <c r="CJ1282" i="4"/>
  <c r="CJ898" i="4" s="1"/>
  <c r="CG1282" i="4"/>
  <c r="CG898" i="4" s="1"/>
  <c r="CF1282" i="4"/>
  <c r="CF898" i="4" s="1"/>
  <c r="CC1282" i="4"/>
  <c r="CC898" i="4" s="1"/>
  <c r="CB1282" i="4"/>
  <c r="CB898" i="4" s="1"/>
  <c r="BY1282" i="4"/>
  <c r="BX1282" i="4"/>
  <c r="BU1282" i="4"/>
  <c r="BQ1282" i="4"/>
  <c r="BM1282" i="4"/>
  <c r="BL1282" i="4"/>
  <c r="BI1282" i="4"/>
  <c r="BH1282" i="4"/>
  <c r="DB1281" i="4"/>
  <c r="CW1281" i="4"/>
  <c r="CX1281" i="4" s="1"/>
  <c r="CT1281" i="4"/>
  <c r="CP1281" i="4"/>
  <c r="CL1281" i="4"/>
  <c r="CH1281" i="4"/>
  <c r="CD1281" i="4"/>
  <c r="BZ1281" i="4"/>
  <c r="BV1281" i="4"/>
  <c r="BR1281" i="4"/>
  <c r="BN1281" i="4"/>
  <c r="BJ1281" i="4"/>
  <c r="DI1280" i="4"/>
  <c r="DJ1280" i="4" s="1"/>
  <c r="DB1280" i="4"/>
  <c r="CX1280" i="4"/>
  <c r="DB1279" i="4"/>
  <c r="CW1279" i="4"/>
  <c r="CX1279" i="4" s="1"/>
  <c r="DB1278" i="4"/>
  <c r="CW1278" i="4"/>
  <c r="CX1278" i="4" s="1"/>
  <c r="CT1278" i="4"/>
  <c r="DB1277" i="4"/>
  <c r="CW1277" i="4"/>
  <c r="CX1277" i="4" s="1"/>
  <c r="CT1277" i="4"/>
  <c r="CP1277" i="4"/>
  <c r="DI1276" i="4"/>
  <c r="DB1276" i="4"/>
  <c r="CW1276" i="4"/>
  <c r="CX1276" i="4" s="1"/>
  <c r="CT1276" i="4"/>
  <c r="CP1276" i="4"/>
  <c r="CL1276" i="4"/>
  <c r="CH1276" i="4"/>
  <c r="CD1276" i="4"/>
  <c r="DE1275" i="4"/>
  <c r="DF1275" i="4" s="1"/>
  <c r="DB1275" i="4"/>
  <c r="CW1275" i="4"/>
  <c r="CX1275" i="4" s="1"/>
  <c r="CT1275" i="4"/>
  <c r="CP1275" i="4"/>
  <c r="CL1275" i="4"/>
  <c r="CH1275" i="4"/>
  <c r="CD1275" i="4"/>
  <c r="DB1274" i="4"/>
  <c r="CW1274" i="4"/>
  <c r="CX1274" i="4" s="1"/>
  <c r="CT1274" i="4"/>
  <c r="CP1274" i="4"/>
  <c r="CL1274" i="4"/>
  <c r="CH1274" i="4"/>
  <c r="CD1274" i="4"/>
  <c r="DB1273" i="4"/>
  <c r="CW1273" i="4"/>
  <c r="CX1273" i="4" s="1"/>
  <c r="CT1273" i="4"/>
  <c r="CP1273" i="4"/>
  <c r="CL1273" i="4"/>
  <c r="CH1273" i="4"/>
  <c r="CD1273" i="4"/>
  <c r="BZ1273" i="4"/>
  <c r="BV1273" i="4"/>
  <c r="BR1273" i="4"/>
  <c r="BN1273" i="4"/>
  <c r="BJ1273" i="4"/>
  <c r="DF1272" i="4"/>
  <c r="DB1272" i="4"/>
  <c r="CW1272" i="4"/>
  <c r="CX1272" i="4" s="1"/>
  <c r="CT1272" i="4"/>
  <c r="CP1272" i="4"/>
  <c r="CL1272" i="4"/>
  <c r="CH1272" i="4"/>
  <c r="CD1272" i="4"/>
  <c r="BZ1272" i="4"/>
  <c r="BV1272" i="4"/>
  <c r="BR1272" i="4"/>
  <c r="BN1272" i="4"/>
  <c r="BJ1272" i="4"/>
  <c r="DF1271" i="4"/>
  <c r="DB1271" i="4"/>
  <c r="CW1271" i="4"/>
  <c r="CX1271" i="4" s="1"/>
  <c r="CT1271" i="4"/>
  <c r="CP1271" i="4"/>
  <c r="CL1271" i="4"/>
  <c r="CH1271" i="4"/>
  <c r="CD1271" i="4"/>
  <c r="BZ1271" i="4"/>
  <c r="BV1271" i="4"/>
  <c r="BR1271" i="4"/>
  <c r="BN1271" i="4"/>
  <c r="BJ1271" i="4"/>
  <c r="DB1270" i="4"/>
  <c r="CW1270" i="4"/>
  <c r="CX1270" i="4" s="1"/>
  <c r="CT1270" i="4"/>
  <c r="CP1270" i="4"/>
  <c r="CL1270" i="4"/>
  <c r="CH1270" i="4"/>
  <c r="CD1270" i="4"/>
  <c r="BZ1270" i="4"/>
  <c r="BV1270" i="4"/>
  <c r="BT1270" i="4"/>
  <c r="BT1282" i="4" s="1"/>
  <c r="BR1270" i="4"/>
  <c r="BP1270" i="4"/>
  <c r="BP1282" i="4" s="1"/>
  <c r="BN1270" i="4"/>
  <c r="BJ1270" i="4"/>
  <c r="A1267" i="4"/>
  <c r="CZ1266" i="4"/>
  <c r="CW1266" i="4"/>
  <c r="CV1266" i="4"/>
  <c r="CS1266" i="4"/>
  <c r="CR1266" i="4"/>
  <c r="CO1266" i="4"/>
  <c r="CN1266" i="4"/>
  <c r="CK1266" i="4"/>
  <c r="CJ1266" i="4"/>
  <c r="CG1266" i="4"/>
  <c r="CF1266" i="4"/>
  <c r="CC1266" i="4"/>
  <c r="CB1266" i="4"/>
  <c r="BY1266" i="4"/>
  <c r="BX1266" i="4"/>
  <c r="BU1266" i="4"/>
  <c r="BT1266" i="4"/>
  <c r="BQ1266" i="4"/>
  <c r="BP1266" i="4"/>
  <c r="BM1266" i="4"/>
  <c r="BL1266" i="4"/>
  <c r="A1266" i="4"/>
  <c r="CZ1265" i="4"/>
  <c r="CW1265" i="4"/>
  <c r="CV1265" i="4"/>
  <c r="CS1265" i="4"/>
  <c r="CR1265" i="4"/>
  <c r="CO1265" i="4"/>
  <c r="CN1265" i="4"/>
  <c r="CK1265" i="4"/>
  <c r="CJ1265" i="4"/>
  <c r="CG1265" i="4"/>
  <c r="CF1265" i="4"/>
  <c r="CC1265" i="4"/>
  <c r="CB1265" i="4"/>
  <c r="BY1265" i="4"/>
  <c r="BX1265" i="4"/>
  <c r="BU1265" i="4"/>
  <c r="BT1265" i="4"/>
  <c r="BQ1265" i="4"/>
  <c r="BP1265" i="4"/>
  <c r="BM1265" i="4"/>
  <c r="BL1265" i="4"/>
  <c r="A1265" i="4"/>
  <c r="CZ1264" i="4"/>
  <c r="CW1264" i="4"/>
  <c r="CV1264" i="4"/>
  <c r="CS1264" i="4"/>
  <c r="CR1264" i="4"/>
  <c r="CO1264" i="4"/>
  <c r="CN1264" i="4"/>
  <c r="CK1264" i="4"/>
  <c r="CJ1264" i="4"/>
  <c r="CG1264" i="4"/>
  <c r="CF1264" i="4"/>
  <c r="CC1264" i="4"/>
  <c r="CB1264" i="4"/>
  <c r="BY1264" i="4"/>
  <c r="BX1264" i="4"/>
  <c r="BU1264" i="4"/>
  <c r="BT1264" i="4"/>
  <c r="BQ1264" i="4"/>
  <c r="BP1264" i="4"/>
  <c r="BM1264" i="4"/>
  <c r="BL1264" i="4"/>
  <c r="A1264" i="4"/>
  <c r="CZ1263" i="4"/>
  <c r="CW1263" i="4"/>
  <c r="CV1263" i="4"/>
  <c r="CS1263" i="4"/>
  <c r="CR1263" i="4"/>
  <c r="A1263" i="4"/>
  <c r="DA1259" i="4"/>
  <c r="DD1254" i="4" s="1"/>
  <c r="CZ1259" i="4"/>
  <c r="CW1259" i="4"/>
  <c r="CZ1254" i="4" s="1"/>
  <c r="DB1254" i="4" s="1"/>
  <c r="CV1259" i="4"/>
  <c r="CW1254" i="4" s="1"/>
  <c r="CS1259" i="4"/>
  <c r="CV1254" i="4" s="1"/>
  <c r="CR1259" i="4"/>
  <c r="CS1254" i="4" s="1"/>
  <c r="CO1259" i="4"/>
  <c r="CN1259" i="4"/>
  <c r="CO1254" i="4" s="1"/>
  <c r="CK1259" i="4"/>
  <c r="CN1254" i="4" s="1"/>
  <c r="CJ1259" i="4"/>
  <c r="CK1254" i="4" s="1"/>
  <c r="CG1259" i="4"/>
  <c r="CF1259" i="4"/>
  <c r="CG1254" i="4" s="1"/>
  <c r="CC1259" i="4"/>
  <c r="CF1254" i="4" s="1"/>
  <c r="CB1259" i="4"/>
  <c r="CC1254" i="4" s="1"/>
  <c r="BY1259" i="4"/>
  <c r="CB1254" i="4" s="1"/>
  <c r="CD1254" i="4" s="1"/>
  <c r="BX1259" i="4"/>
  <c r="BY1254" i="4" s="1"/>
  <c r="BU1259" i="4"/>
  <c r="BX1254" i="4" s="1"/>
  <c r="BT1259" i="4"/>
  <c r="BU1254" i="4" s="1"/>
  <c r="BQ1259" i="4"/>
  <c r="BT1254" i="4" s="1"/>
  <c r="BP1259" i="4"/>
  <c r="BQ1254" i="4" s="1"/>
  <c r="BM1259" i="4"/>
  <c r="BP1254" i="4" s="1"/>
  <c r="BL1259" i="4"/>
  <c r="BM1254" i="4" s="1"/>
  <c r="BI1259" i="4"/>
  <c r="BL1254" i="4" s="1"/>
  <c r="BN1254" i="4" s="1"/>
  <c r="BH1259" i="4"/>
  <c r="DN1257" i="4"/>
  <c r="DJ1257" i="4"/>
  <c r="DB1257" i="4"/>
  <c r="CX1257" i="4"/>
  <c r="CS1257" i="4"/>
  <c r="CT1257" i="4" s="1"/>
  <c r="CO1257" i="4"/>
  <c r="CP1257" i="4" s="1"/>
  <c r="CJ1257" i="4"/>
  <c r="CL1257" i="4" s="1"/>
  <c r="CH1257" i="4"/>
  <c r="CD1257" i="4"/>
  <c r="BZ1257" i="4"/>
  <c r="BV1257" i="4"/>
  <c r="BR1257" i="4"/>
  <c r="BN1257" i="4"/>
  <c r="DN1256" i="4"/>
  <c r="DJ1256" i="4"/>
  <c r="DB1256" i="4"/>
  <c r="CX1256" i="4"/>
  <c r="CT1256" i="4"/>
  <c r="CP1256" i="4"/>
  <c r="CL1256" i="4"/>
  <c r="CH1256" i="4"/>
  <c r="CD1256" i="4"/>
  <c r="BZ1256" i="4"/>
  <c r="BV1256" i="4"/>
  <c r="BR1256" i="4"/>
  <c r="BN1256" i="4"/>
  <c r="DA1255" i="4"/>
  <c r="CZ1255" i="4"/>
  <c r="CW1255" i="4"/>
  <c r="CV1255" i="4"/>
  <c r="CR1255" i="4"/>
  <c r="CO1255" i="4"/>
  <c r="CN1255" i="4"/>
  <c r="CK1255" i="4"/>
  <c r="CJ1255" i="4"/>
  <c r="CG1255" i="4"/>
  <c r="CF1255" i="4"/>
  <c r="CC1255" i="4"/>
  <c r="CB1255" i="4"/>
  <c r="BX1255" i="4"/>
  <c r="BU1255" i="4"/>
  <c r="BT1255" i="4"/>
  <c r="BQ1255" i="4"/>
  <c r="BP1255" i="4"/>
  <c r="BM1255" i="4"/>
  <c r="BL1255" i="4"/>
  <c r="DA1250" i="4"/>
  <c r="CZ1250" i="4"/>
  <c r="CW1250" i="4"/>
  <c r="CV1250" i="4"/>
  <c r="CS1250" i="4"/>
  <c r="CR1250" i="4"/>
  <c r="CO1250" i="4"/>
  <c r="CN1250" i="4"/>
  <c r="CK1250" i="4"/>
  <c r="CJ1250" i="4"/>
  <c r="CG1250" i="4"/>
  <c r="CF1250" i="4"/>
  <c r="CC1250" i="4"/>
  <c r="CB1250" i="4"/>
  <c r="BY1250" i="4"/>
  <c r="BX1250" i="4"/>
  <c r="BU1250" i="4"/>
  <c r="BT1250" i="4"/>
  <c r="BQ1250" i="4"/>
  <c r="BP1250" i="4"/>
  <c r="BM1250" i="4"/>
  <c r="BL1250" i="4"/>
  <c r="CV1249" i="4"/>
  <c r="CV1251" i="4" s="1"/>
  <c r="CS1249" i="4"/>
  <c r="CT1249" i="4" s="1"/>
  <c r="CR1249" i="4"/>
  <c r="CR1251" i="4" s="1"/>
  <c r="CO1249" i="4"/>
  <c r="CN1249" i="4"/>
  <c r="CN1251" i="4" s="1"/>
  <c r="CK1249" i="4"/>
  <c r="CL1249" i="4" s="1"/>
  <c r="CJ1249" i="4"/>
  <c r="CJ1251" i="4" s="1"/>
  <c r="CG1249" i="4"/>
  <c r="CG1251" i="4" s="1"/>
  <c r="CF1249" i="4"/>
  <c r="CF1251" i="4" s="1"/>
  <c r="CC1249" i="4"/>
  <c r="CB1249" i="4"/>
  <c r="CB1251" i="4" s="1"/>
  <c r="DA1247" i="4"/>
  <c r="CZ1247" i="4"/>
  <c r="CW1247" i="4"/>
  <c r="CV1247" i="4"/>
  <c r="CV1248" i="4" s="1"/>
  <c r="CS1247" i="4"/>
  <c r="CS1248" i="4" s="1"/>
  <c r="CR1247" i="4"/>
  <c r="CR1248" i="4" s="1"/>
  <c r="CO1247" i="4"/>
  <c r="CO1248" i="4" s="1"/>
  <c r="CN1247" i="4"/>
  <c r="CN1248" i="4" s="1"/>
  <c r="CK1247" i="4"/>
  <c r="CK1248" i="4" s="1"/>
  <c r="CJ1247" i="4"/>
  <c r="CJ1248" i="4" s="1"/>
  <c r="CG1247" i="4"/>
  <c r="CG1248" i="4" s="1"/>
  <c r="CF1247" i="4"/>
  <c r="CF1248" i="4" s="1"/>
  <c r="CC1247" i="4"/>
  <c r="CC1248" i="4" s="1"/>
  <c r="CB1247" i="4"/>
  <c r="CB1248" i="4" s="1"/>
  <c r="BY1247" i="4"/>
  <c r="BY1248" i="4" s="1"/>
  <c r="BX1247" i="4"/>
  <c r="BX1248" i="4" s="1"/>
  <c r="BU1247" i="4"/>
  <c r="BT1247" i="4"/>
  <c r="BQ1247" i="4"/>
  <c r="BP1247" i="4"/>
  <c r="BM1247" i="4"/>
  <c r="BL1247" i="4"/>
  <c r="BI1247" i="4"/>
  <c r="DA1246" i="4"/>
  <c r="DA1249" i="4" s="1"/>
  <c r="DB1249" i="4" s="1"/>
  <c r="DB1251" i="4" s="1"/>
  <c r="CZ1246" i="4"/>
  <c r="CW1246" i="4"/>
  <c r="CW1249" i="4" s="1"/>
  <c r="CW1251" i="4" s="1"/>
  <c r="CD1246" i="4"/>
  <c r="BZ1246" i="4"/>
  <c r="DB1245" i="4"/>
  <c r="CX1245" i="4"/>
  <c r="CT1245" i="4"/>
  <c r="CP1245" i="4"/>
  <c r="CL1245" i="4"/>
  <c r="CH1245" i="4"/>
  <c r="CD1245" i="4"/>
  <c r="BZ1245" i="4"/>
  <c r="DN1244" i="4"/>
  <c r="DJ1244" i="4"/>
  <c r="DA1243" i="4"/>
  <c r="DB1243" i="4" s="1"/>
  <c r="CZ1243" i="4"/>
  <c r="CW1243" i="4"/>
  <c r="CX1243" i="4" s="1"/>
  <c r="CV1243" i="4"/>
  <c r="CS1243" i="4"/>
  <c r="CT1243" i="4" s="1"/>
  <c r="CR1243" i="4"/>
  <c r="CO1243" i="4"/>
  <c r="CP1243" i="4" s="1"/>
  <c r="CN1243" i="4"/>
  <c r="CK1243" i="4"/>
  <c r="CL1243" i="4" s="1"/>
  <c r="CJ1243" i="4"/>
  <c r="CG1243" i="4"/>
  <c r="CH1243" i="4" s="1"/>
  <c r="CF1243" i="4"/>
  <c r="CC1243" i="4"/>
  <c r="CD1243" i="4" s="1"/>
  <c r="CB1243" i="4"/>
  <c r="BY1243" i="4"/>
  <c r="BZ1243" i="4" s="1"/>
  <c r="BX1243" i="4"/>
  <c r="DA1235" i="4"/>
  <c r="DA1242" i="4" s="1"/>
  <c r="CZ1235" i="4"/>
  <c r="CZ1242" i="4" s="1"/>
  <c r="CW1235" i="4"/>
  <c r="CV1235" i="4"/>
  <c r="CV1242" i="4" s="1"/>
  <c r="CS1235" i="4"/>
  <c r="CS1242" i="4" s="1"/>
  <c r="CR1235" i="4"/>
  <c r="CR1242" i="4" s="1"/>
  <c r="CO1235" i="4"/>
  <c r="CN1235" i="4"/>
  <c r="CK1235" i="4"/>
  <c r="CK1242" i="4" s="1"/>
  <c r="CJ1235" i="4"/>
  <c r="CJ1242" i="4" s="1"/>
  <c r="CG1235" i="4"/>
  <c r="CF1235" i="4"/>
  <c r="CF1242" i="4" s="1"/>
  <c r="CC1235" i="4"/>
  <c r="CC1242" i="4" s="1"/>
  <c r="CB1235" i="4"/>
  <c r="CB1242" i="4" s="1"/>
  <c r="BY1235" i="4"/>
  <c r="BX1235" i="4"/>
  <c r="BU1235" i="4"/>
  <c r="BU1242" i="4" s="1"/>
  <c r="BU1246" i="4" s="1"/>
  <c r="BT1235" i="4"/>
  <c r="BT1242" i="4" s="1"/>
  <c r="BT1246" i="4" s="1"/>
  <c r="BQ1235" i="4"/>
  <c r="BP1235" i="4"/>
  <c r="BP1242" i="4" s="1"/>
  <c r="BP1246" i="4" s="1"/>
  <c r="BM1235" i="4"/>
  <c r="BM1242" i="4" s="1"/>
  <c r="BM1246" i="4" s="1"/>
  <c r="BL1235" i="4"/>
  <c r="BL1242" i="4" s="1"/>
  <c r="BL1246" i="4" s="1"/>
  <c r="BI1235" i="4"/>
  <c r="BI1242" i="4" s="1"/>
  <c r="BI1246" i="4" s="1"/>
  <c r="BH1235" i="4"/>
  <c r="DA1233" i="4"/>
  <c r="CZ1233" i="4"/>
  <c r="CW1233" i="4"/>
  <c r="CV1233" i="4"/>
  <c r="CS1233" i="4"/>
  <c r="CR1233" i="4"/>
  <c r="CO1233" i="4"/>
  <c r="CN1233" i="4"/>
  <c r="CK1233" i="4"/>
  <c r="CJ1233" i="4"/>
  <c r="CG1233" i="4"/>
  <c r="CF1233" i="4"/>
  <c r="CC1233" i="4"/>
  <c r="CB1233" i="4"/>
  <c r="BY1233" i="4"/>
  <c r="BX1233" i="4"/>
  <c r="BU1233" i="4"/>
  <c r="BT1233" i="4"/>
  <c r="BQ1233" i="4"/>
  <c r="BP1233" i="4"/>
  <c r="BM1233" i="4"/>
  <c r="BL1233" i="4"/>
  <c r="BI1233" i="4"/>
  <c r="BH1233" i="4"/>
  <c r="BH1234" i="4" s="1"/>
  <c r="DA1229" i="4"/>
  <c r="DD1225" i="4" s="1"/>
  <c r="CZ1229" i="4"/>
  <c r="CW1229" i="4"/>
  <c r="CZ1225" i="4" s="1"/>
  <c r="DB1225" i="4" s="1"/>
  <c r="CV1229" i="4"/>
  <c r="CS1229" i="4"/>
  <c r="CV1225" i="4" s="1"/>
  <c r="CR1229" i="4"/>
  <c r="CO1229" i="4"/>
  <c r="CN1229" i="4"/>
  <c r="CK1229" i="4"/>
  <c r="CN1225" i="4" s="1"/>
  <c r="CJ1229" i="4"/>
  <c r="CG1229" i="4"/>
  <c r="CF1229" i="4"/>
  <c r="CC1229" i="4"/>
  <c r="CF1225" i="4" s="1"/>
  <c r="CB1229" i="4"/>
  <c r="BY1229" i="4"/>
  <c r="CB1225" i="4" s="1"/>
  <c r="CD1225" i="4" s="1"/>
  <c r="BX1229" i="4"/>
  <c r="BU1229" i="4"/>
  <c r="BX1225" i="4" s="1"/>
  <c r="BT1229" i="4"/>
  <c r="BQ1229" i="4"/>
  <c r="BT1225" i="4" s="1"/>
  <c r="BV1225" i="4" s="1"/>
  <c r="BP1229" i="4"/>
  <c r="BM1229" i="4"/>
  <c r="BP1225" i="4" s="1"/>
  <c r="BL1229" i="4"/>
  <c r="BM1225" i="4" s="1"/>
  <c r="BI1229" i="4"/>
  <c r="BI1226" i="4" s="1"/>
  <c r="DN1228" i="4"/>
  <c r="DJ1228" i="4"/>
  <c r="DB1228" i="4"/>
  <c r="CX1228" i="4"/>
  <c r="CT1228" i="4"/>
  <c r="CP1228" i="4"/>
  <c r="CL1228" i="4"/>
  <c r="CH1228" i="4"/>
  <c r="CD1228" i="4"/>
  <c r="BZ1228" i="4"/>
  <c r="BV1228" i="4"/>
  <c r="BR1228" i="4"/>
  <c r="BN1228" i="4"/>
  <c r="DN1227" i="4"/>
  <c r="DJ1227" i="4"/>
  <c r="DB1227" i="4"/>
  <c r="CX1227" i="4"/>
  <c r="CT1227" i="4"/>
  <c r="CP1227" i="4"/>
  <c r="CL1227" i="4"/>
  <c r="CH1227" i="4"/>
  <c r="CD1227" i="4"/>
  <c r="BZ1227" i="4"/>
  <c r="BV1227" i="4"/>
  <c r="BR1227" i="4"/>
  <c r="BN1227" i="4"/>
  <c r="DA1221" i="4"/>
  <c r="CZ1221" i="4"/>
  <c r="CW1221" i="4"/>
  <c r="CV1221" i="4"/>
  <c r="CS1221" i="4"/>
  <c r="CR1221" i="4"/>
  <c r="CO1221" i="4"/>
  <c r="CN1221" i="4"/>
  <c r="CK1221" i="4"/>
  <c r="CJ1221" i="4"/>
  <c r="CG1221" i="4"/>
  <c r="CF1221" i="4"/>
  <c r="CC1221" i="4"/>
  <c r="CB1221" i="4"/>
  <c r="BY1221" i="4"/>
  <c r="BX1221" i="4"/>
  <c r="BU1221" i="4"/>
  <c r="BT1221" i="4"/>
  <c r="BQ1221" i="4"/>
  <c r="BP1221" i="4"/>
  <c r="BM1221" i="4"/>
  <c r="BL1221" i="4"/>
  <c r="BI1221" i="4"/>
  <c r="DA1217" i="4"/>
  <c r="CZ1217" i="4"/>
  <c r="CW1217" i="4"/>
  <c r="CV1217" i="4"/>
  <c r="CS1217" i="4"/>
  <c r="CR1217" i="4"/>
  <c r="CO1217" i="4"/>
  <c r="CN1217" i="4"/>
  <c r="CK1217" i="4"/>
  <c r="CJ1217" i="4"/>
  <c r="CG1217" i="4"/>
  <c r="CF1217" i="4"/>
  <c r="CC1217" i="4"/>
  <c r="CB1217" i="4"/>
  <c r="BY1217" i="4"/>
  <c r="BX1217" i="4"/>
  <c r="BU1217" i="4"/>
  <c r="BT1217" i="4"/>
  <c r="BQ1217" i="4"/>
  <c r="BP1217" i="4"/>
  <c r="BM1217" i="4"/>
  <c r="BL1217" i="4"/>
  <c r="BI1217" i="4"/>
  <c r="DA1216" i="4"/>
  <c r="CZ1216" i="4"/>
  <c r="CW1216" i="4"/>
  <c r="CV1216" i="4"/>
  <c r="CS1216" i="4"/>
  <c r="CR1216" i="4"/>
  <c r="CO1216" i="4"/>
  <c r="CN1216" i="4"/>
  <c r="CK1216" i="4"/>
  <c r="CJ1216" i="4"/>
  <c r="CG1216" i="4"/>
  <c r="CF1216" i="4"/>
  <c r="CC1216" i="4"/>
  <c r="CB1216" i="4"/>
  <c r="BY1216" i="4"/>
  <c r="BX1216" i="4"/>
  <c r="BU1216" i="4"/>
  <c r="BT1216" i="4"/>
  <c r="BQ1216" i="4"/>
  <c r="BP1216" i="4"/>
  <c r="BM1216" i="4"/>
  <c r="BL1216" i="4"/>
  <c r="BI1216" i="4"/>
  <c r="DA1212" i="4"/>
  <c r="DD1208" i="4" s="1"/>
  <c r="CZ1212" i="4"/>
  <c r="DA1208" i="4" s="1"/>
  <c r="CW1212" i="4"/>
  <c r="CZ1208" i="4" s="1"/>
  <c r="CV1212" i="4"/>
  <c r="CS1212" i="4"/>
  <c r="CV1208" i="4" s="1"/>
  <c r="CR1212" i="4"/>
  <c r="CS1208" i="4" s="1"/>
  <c r="CO1212" i="4"/>
  <c r="CN1212" i="4"/>
  <c r="CO1208" i="4" s="1"/>
  <c r="CK1212" i="4"/>
  <c r="CJ1212" i="4"/>
  <c r="CK1208" i="4" s="1"/>
  <c r="CG1212" i="4"/>
  <c r="CJ1208" i="4" s="1"/>
  <c r="CF1212" i="4"/>
  <c r="CC1212" i="4"/>
  <c r="CB1212" i="4"/>
  <c r="CC1208" i="4" s="1"/>
  <c r="BY1212" i="4"/>
  <c r="BX1212" i="4"/>
  <c r="BY1208" i="4" s="1"/>
  <c r="BU1212" i="4"/>
  <c r="BT1212" i="4"/>
  <c r="BU1208" i="4" s="1"/>
  <c r="BQ1212" i="4"/>
  <c r="BP1212" i="4"/>
  <c r="BM1212" i="4"/>
  <c r="BL1212" i="4"/>
  <c r="BM1208" i="4" s="1"/>
  <c r="BI1212" i="4"/>
  <c r="DN1210" i="4"/>
  <c r="DJ1210" i="4"/>
  <c r="DB1210" i="4"/>
  <c r="CX1210" i="4"/>
  <c r="CT1210" i="4"/>
  <c r="CP1210" i="4"/>
  <c r="CL1210" i="4"/>
  <c r="CH1210" i="4"/>
  <c r="CD1210" i="4"/>
  <c r="BZ1210" i="4"/>
  <c r="BV1210" i="4"/>
  <c r="BR1210" i="4"/>
  <c r="BN1210" i="4"/>
  <c r="DN1209" i="4"/>
  <c r="DJ1209" i="4"/>
  <c r="DB1209" i="4"/>
  <c r="CX1209" i="4"/>
  <c r="CT1209" i="4"/>
  <c r="CP1209" i="4"/>
  <c r="CL1209" i="4"/>
  <c r="CH1209" i="4"/>
  <c r="CD1209" i="4"/>
  <c r="BZ1209" i="4"/>
  <c r="BV1209" i="4"/>
  <c r="BR1209" i="4"/>
  <c r="BN1209" i="4"/>
  <c r="DA1206" i="4"/>
  <c r="CZ1206" i="4"/>
  <c r="CW1206" i="4"/>
  <c r="CV1206" i="4"/>
  <c r="CS1206" i="4"/>
  <c r="CR1206" i="4"/>
  <c r="CO1206" i="4"/>
  <c r="CN1206" i="4"/>
  <c r="CK1206" i="4"/>
  <c r="CJ1206" i="4"/>
  <c r="CG1206" i="4"/>
  <c r="CF1206" i="4"/>
  <c r="CC1206" i="4"/>
  <c r="CB1206" i="4"/>
  <c r="BY1206" i="4"/>
  <c r="BX1206" i="4"/>
  <c r="BU1206" i="4"/>
  <c r="BT1206" i="4"/>
  <c r="BQ1206" i="4"/>
  <c r="BP1206" i="4"/>
  <c r="BM1206" i="4"/>
  <c r="BL1206" i="4"/>
  <c r="BI1206" i="4"/>
  <c r="DA1202" i="4"/>
  <c r="CZ1202" i="4"/>
  <c r="CW1202" i="4"/>
  <c r="CV1202" i="4"/>
  <c r="CS1202" i="4"/>
  <c r="CR1202" i="4"/>
  <c r="CO1202" i="4"/>
  <c r="CN1202" i="4"/>
  <c r="CK1202" i="4"/>
  <c r="CJ1202" i="4"/>
  <c r="CG1202" i="4"/>
  <c r="CF1202" i="4"/>
  <c r="CC1202" i="4"/>
  <c r="CB1202" i="4"/>
  <c r="BY1202" i="4"/>
  <c r="BX1202" i="4"/>
  <c r="BU1202" i="4"/>
  <c r="BT1202" i="4"/>
  <c r="BQ1202" i="4"/>
  <c r="BP1202" i="4"/>
  <c r="BM1202" i="4"/>
  <c r="BL1202" i="4"/>
  <c r="BI1202" i="4"/>
  <c r="DA1199" i="4"/>
  <c r="DO44" i="3" s="1"/>
  <c r="CZ1199" i="4"/>
  <c r="DN44" i="3" s="1"/>
  <c r="CW1199" i="4"/>
  <c r="DK44" i="3" s="1"/>
  <c r="CV1199" i="4"/>
  <c r="DJ44" i="3" s="1"/>
  <c r="CS1199" i="4"/>
  <c r="DG44" i="3" s="1"/>
  <c r="CR1199" i="4"/>
  <c r="DF44" i="3" s="1"/>
  <c r="CO1199" i="4"/>
  <c r="DC44" i="3" s="1"/>
  <c r="CN1199" i="4"/>
  <c r="DB44" i="3" s="1"/>
  <c r="CK1199" i="4"/>
  <c r="CY44" i="3" s="1"/>
  <c r="CJ1199" i="4"/>
  <c r="CX44" i="3" s="1"/>
  <c r="BT1199" i="4"/>
  <c r="CH44" i="3" s="1"/>
  <c r="BQ1199" i="4"/>
  <c r="CE44" i="3" s="1"/>
  <c r="BP1199" i="4"/>
  <c r="CD44" i="3" s="1"/>
  <c r="BM1199" i="4"/>
  <c r="CA44" i="3" s="1"/>
  <c r="BL1199" i="4"/>
  <c r="BZ44" i="3" s="1"/>
  <c r="BI1199" i="4"/>
  <c r="BW44" i="3" s="1"/>
  <c r="BH1199" i="4"/>
  <c r="BH1200" i="4" s="1"/>
  <c r="DB1198" i="4"/>
  <c r="CX1198" i="4"/>
  <c r="CT1198" i="4"/>
  <c r="CP1198" i="4"/>
  <c r="CL1198" i="4"/>
  <c r="CG1198" i="4"/>
  <c r="CG1199" i="4" s="1"/>
  <c r="CU44" i="3" s="1"/>
  <c r="CF1198" i="4"/>
  <c r="CF1199" i="4" s="1"/>
  <c r="CT44" i="3" s="1"/>
  <c r="CC1198" i="4"/>
  <c r="CB1198" i="4"/>
  <c r="CB1199" i="4" s="1"/>
  <c r="CP44" i="3" s="1"/>
  <c r="BY1198" i="4"/>
  <c r="BZ1198" i="4" s="1"/>
  <c r="BX1198" i="4"/>
  <c r="BU1198" i="4"/>
  <c r="BU1199" i="4" s="1"/>
  <c r="CI44" i="3" s="1"/>
  <c r="BR1198" i="4"/>
  <c r="BN1198" i="4"/>
  <c r="BJ1198" i="4"/>
  <c r="DB1197" i="4"/>
  <c r="CX1197" i="4"/>
  <c r="CT1197" i="4"/>
  <c r="CP1197" i="4"/>
  <c r="CP1283" i="4" s="1"/>
  <c r="CL1197" i="4"/>
  <c r="CH1197" i="4"/>
  <c r="CD1197" i="4"/>
  <c r="CD1283" i="4" s="1"/>
  <c r="BZ1197" i="4"/>
  <c r="BZ1283" i="4" s="1"/>
  <c r="BV1197" i="4"/>
  <c r="BV1283" i="4" s="1"/>
  <c r="BR1197" i="4"/>
  <c r="BN1197" i="4"/>
  <c r="BJ1197" i="4"/>
  <c r="DA1194" i="4"/>
  <c r="CZ1194" i="4"/>
  <c r="CW1194" i="4"/>
  <c r="CV1194" i="4"/>
  <c r="CS1194" i="4"/>
  <c r="CR1194" i="4"/>
  <c r="CR1195" i="4" s="1"/>
  <c r="CO1194" i="4"/>
  <c r="CN1194" i="4"/>
  <c r="CN1195" i="4" s="1"/>
  <c r="CK1194" i="4"/>
  <c r="CL1194" i="4" s="1"/>
  <c r="CJ1194" i="4"/>
  <c r="CG1194" i="4"/>
  <c r="CH1194" i="4" s="1"/>
  <c r="CF1194" i="4"/>
  <c r="CC1194" i="4"/>
  <c r="CB1194" i="4"/>
  <c r="BY1194" i="4"/>
  <c r="BX1194" i="4"/>
  <c r="BX1195" i="4" s="1"/>
  <c r="BU1194" i="4"/>
  <c r="BT1194" i="4"/>
  <c r="BT1195" i="4" s="1"/>
  <c r="BQ1194" i="4"/>
  <c r="BR1194" i="4" s="1"/>
  <c r="BP1194" i="4"/>
  <c r="BM1194" i="4"/>
  <c r="BL1194" i="4"/>
  <c r="BI1194" i="4"/>
  <c r="BI1195" i="4" s="1"/>
  <c r="BE1194" i="4"/>
  <c r="BE1195" i="4" s="1"/>
  <c r="DB1193" i="4"/>
  <c r="DB1250" i="4" s="1"/>
  <c r="CX1193" i="4"/>
  <c r="CX1250" i="4" s="1"/>
  <c r="CT1193" i="4"/>
  <c r="CT1250" i="4" s="1"/>
  <c r="CP1193" i="4"/>
  <c r="CP1250" i="4" s="1"/>
  <c r="CL1193" i="4"/>
  <c r="CL1250" i="4" s="1"/>
  <c r="CI1193" i="4"/>
  <c r="CH1193" i="4"/>
  <c r="CH1250" i="4" s="1"/>
  <c r="CD1193" i="4"/>
  <c r="CD1250" i="4" s="1"/>
  <c r="BZ1193" i="4"/>
  <c r="BZ1250" i="4" s="1"/>
  <c r="BV1193" i="4"/>
  <c r="BV1250" i="4" s="1"/>
  <c r="BR1193" i="4"/>
  <c r="BR1250" i="4" s="1"/>
  <c r="BN1193" i="4"/>
  <c r="BN1250" i="4" s="1"/>
  <c r="BJ1193" i="4"/>
  <c r="BF1193" i="4"/>
  <c r="DB1192" i="4"/>
  <c r="CX1192" i="4"/>
  <c r="CT1192" i="4"/>
  <c r="CP1192" i="4"/>
  <c r="CL1192" i="4"/>
  <c r="CI1192" i="4"/>
  <c r="CH1192" i="4"/>
  <c r="CD1192" i="4"/>
  <c r="BZ1192" i="4"/>
  <c r="BV1192" i="4"/>
  <c r="BR1192" i="4"/>
  <c r="BN1192" i="4"/>
  <c r="BJ1192" i="4"/>
  <c r="BF1192" i="4"/>
  <c r="DB1191" i="4"/>
  <c r="CX1191" i="4"/>
  <c r="CT1191" i="4"/>
  <c r="CP1191" i="4"/>
  <c r="CL1191" i="4"/>
  <c r="CI1191" i="4"/>
  <c r="CH1191" i="4"/>
  <c r="CD1191" i="4"/>
  <c r="BZ1191" i="4"/>
  <c r="BV1191" i="4"/>
  <c r="BR1191" i="4"/>
  <c r="BN1191" i="4"/>
  <c r="BJ1191" i="4"/>
  <c r="BF1191" i="4"/>
  <c r="DB1190" i="4"/>
  <c r="CX1190" i="4"/>
  <c r="CT1190" i="4"/>
  <c r="CP1190" i="4"/>
  <c r="CL1190" i="4"/>
  <c r="CI1190" i="4"/>
  <c r="CH1190" i="4"/>
  <c r="CD1190" i="4"/>
  <c r="BZ1190" i="4"/>
  <c r="BV1190" i="4"/>
  <c r="BR1190" i="4"/>
  <c r="BN1190" i="4"/>
  <c r="BJ1190" i="4"/>
  <c r="BF1190" i="4"/>
  <c r="DB1189" i="4"/>
  <c r="CX1189" i="4"/>
  <c r="CT1189" i="4"/>
  <c r="CP1189" i="4"/>
  <c r="CL1189" i="4"/>
  <c r="CI1189" i="4"/>
  <c r="CH1189" i="4"/>
  <c r="CD1189" i="4"/>
  <c r="BZ1189" i="4"/>
  <c r="BV1189" i="4"/>
  <c r="BR1189" i="4"/>
  <c r="BN1189" i="4"/>
  <c r="BJ1189" i="4"/>
  <c r="BF1189" i="4"/>
  <c r="DB1188" i="4"/>
  <c r="CX1188" i="4"/>
  <c r="CT1188" i="4"/>
  <c r="CP1188" i="4"/>
  <c r="CL1188" i="4"/>
  <c r="CI1188" i="4"/>
  <c r="CH1188" i="4"/>
  <c r="CD1188" i="4"/>
  <c r="BZ1188" i="4"/>
  <c r="BV1188" i="4"/>
  <c r="BR1188" i="4"/>
  <c r="BN1188" i="4"/>
  <c r="BJ1188" i="4"/>
  <c r="BF1188" i="4"/>
  <c r="DB1187" i="4"/>
  <c r="CX1187" i="4"/>
  <c r="CT1187" i="4"/>
  <c r="CP1187" i="4"/>
  <c r="CL1187" i="4"/>
  <c r="CI1187" i="4"/>
  <c r="CH1187" i="4"/>
  <c r="CD1187" i="4"/>
  <c r="BZ1187" i="4"/>
  <c r="BV1187" i="4"/>
  <c r="BR1187" i="4"/>
  <c r="BN1187" i="4"/>
  <c r="BJ1187" i="4"/>
  <c r="BF1187" i="4"/>
  <c r="DB1186" i="4"/>
  <c r="CX1186" i="4"/>
  <c r="CT1186" i="4"/>
  <c r="CP1186" i="4"/>
  <c r="CL1186" i="4"/>
  <c r="CI1186" i="4"/>
  <c r="CH1186" i="4"/>
  <c r="CD1186" i="4"/>
  <c r="BZ1186" i="4"/>
  <c r="BV1186" i="4"/>
  <c r="BR1186" i="4"/>
  <c r="BN1186" i="4"/>
  <c r="BJ1186" i="4"/>
  <c r="BF1186" i="4"/>
  <c r="DA1184" i="4"/>
  <c r="CZ1184" i="4"/>
  <c r="CW1184" i="4"/>
  <c r="CX1184" i="4" s="1"/>
  <c r="CV1184" i="4"/>
  <c r="CS1184" i="4"/>
  <c r="CT1184" i="4" s="1"/>
  <c r="CR1184" i="4"/>
  <c r="CO1184" i="4"/>
  <c r="CP1184" i="4" s="1"/>
  <c r="CN1184" i="4"/>
  <c r="CK1184" i="4"/>
  <c r="CL1184" i="4" s="1"/>
  <c r="CJ1184" i="4"/>
  <c r="CG1184" i="4"/>
  <c r="CH1184" i="4" s="1"/>
  <c r="CD1184" i="4"/>
  <c r="BZ1184" i="4"/>
  <c r="BV1184" i="4"/>
  <c r="BR1184" i="4"/>
  <c r="BP1184" i="4"/>
  <c r="BM1184" i="4"/>
  <c r="BN1184" i="4" s="1"/>
  <c r="BL1184" i="4"/>
  <c r="BI1184" i="4"/>
  <c r="BJ1184" i="4" s="1"/>
  <c r="DB1183" i="4"/>
  <c r="CX1183" i="4"/>
  <c r="CT1183" i="4"/>
  <c r="CP1183" i="4"/>
  <c r="CN1183" i="4"/>
  <c r="CK1183" i="4"/>
  <c r="CL1183" i="4" s="1"/>
  <c r="CJ1183" i="4"/>
  <c r="CG1183" i="4"/>
  <c r="CF1183" i="4"/>
  <c r="CC1183" i="4"/>
  <c r="CD1183" i="4" s="1"/>
  <c r="CB1183" i="4"/>
  <c r="BY1183" i="4"/>
  <c r="BX1183" i="4"/>
  <c r="BU1183" i="4"/>
  <c r="BV1183" i="4" s="1"/>
  <c r="BT1183" i="4"/>
  <c r="BQ1183" i="4"/>
  <c r="BP1183" i="4"/>
  <c r="BM1183" i="4"/>
  <c r="BN1183" i="4" s="1"/>
  <c r="BL1183" i="4"/>
  <c r="BI1183" i="4"/>
  <c r="BJ1183" i="4" s="1"/>
  <c r="DB1182" i="4"/>
  <c r="DB1202" i="4" s="1"/>
  <c r="CX1182" i="4"/>
  <c r="CX1202" i="4" s="1"/>
  <c r="CT1182" i="4"/>
  <c r="CT1202" i="4" s="1"/>
  <c r="CP1182" i="4"/>
  <c r="CP1202" i="4" s="1"/>
  <c r="CL1182" i="4"/>
  <c r="CL1202" i="4" s="1"/>
  <c r="CH1182" i="4"/>
  <c r="CH1202" i="4" s="1"/>
  <c r="CD1182" i="4"/>
  <c r="CD1202" i="4" s="1"/>
  <c r="BZ1182" i="4"/>
  <c r="BZ1202" i="4" s="1"/>
  <c r="BV1182" i="4"/>
  <c r="BV1202" i="4" s="1"/>
  <c r="BR1182" i="4"/>
  <c r="BR1202" i="4" s="1"/>
  <c r="BN1182" i="4"/>
  <c r="BN1202" i="4" s="1"/>
  <c r="BJ1182" i="4"/>
  <c r="BJ1202" i="4" s="1"/>
  <c r="CG1175" i="4"/>
  <c r="CC1175" i="4"/>
  <c r="CB1175" i="4"/>
  <c r="BY1175" i="4"/>
  <c r="BX1175" i="4"/>
  <c r="BU1175" i="4"/>
  <c r="BT1175" i="4"/>
  <c r="BQ1175" i="4"/>
  <c r="BP1175" i="4"/>
  <c r="BM1175" i="4"/>
  <c r="BN1175" i="4" s="1"/>
  <c r="DB1174" i="4"/>
  <c r="CX1174" i="4"/>
  <c r="CS1174" i="4"/>
  <c r="CP1174" i="4"/>
  <c r="CL1174" i="4"/>
  <c r="CH1174" i="4"/>
  <c r="CD1174" i="4"/>
  <c r="BZ1174" i="4"/>
  <c r="BV1174" i="4"/>
  <c r="BR1174" i="4"/>
  <c r="BN1174" i="4"/>
  <c r="DB1173" i="4"/>
  <c r="CX1173" i="4"/>
  <c r="CS1173" i="4"/>
  <c r="CP1173" i="4"/>
  <c r="CL1173" i="4"/>
  <c r="CH1173" i="4"/>
  <c r="CF1173" i="4"/>
  <c r="CD1173" i="4"/>
  <c r="BZ1173" i="4"/>
  <c r="BV1173" i="4"/>
  <c r="BR1173" i="4"/>
  <c r="BP1173" i="4"/>
  <c r="BM1173" i="4"/>
  <c r="DB1172" i="4"/>
  <c r="CX1172" i="4"/>
  <c r="CS1172" i="4"/>
  <c r="CP1172" i="4"/>
  <c r="CL1172" i="4"/>
  <c r="CH1172" i="4"/>
  <c r="CF1172" i="4"/>
  <c r="CD1172" i="4"/>
  <c r="BZ1172" i="4"/>
  <c r="BV1172" i="4"/>
  <c r="BR1172" i="4"/>
  <c r="BN1172" i="4"/>
  <c r="DB1171" i="4"/>
  <c r="CX1171" i="4"/>
  <c r="CS1171" i="4"/>
  <c r="CP1171" i="4"/>
  <c r="CL1171" i="4"/>
  <c r="CH1171" i="4"/>
  <c r="CF1171" i="4"/>
  <c r="CD1171" i="4"/>
  <c r="BZ1171" i="4"/>
  <c r="BV1171" i="4"/>
  <c r="BR1171" i="4"/>
  <c r="BN1171" i="4"/>
  <c r="DN1160" i="4"/>
  <c r="DJ1160" i="4"/>
  <c r="CX1149" i="4"/>
  <c r="CX1147" i="4"/>
  <c r="BY1147" i="4"/>
  <c r="BJ1147" i="4"/>
  <c r="BJ1145" i="4"/>
  <c r="CX1142" i="4"/>
  <c r="BY1142" i="4"/>
  <c r="BJ1142" i="4"/>
  <c r="DN1139" i="4"/>
  <c r="DJ1139" i="4"/>
  <c r="DB1139" i="4"/>
  <c r="CX1139" i="4"/>
  <c r="CT1139" i="4"/>
  <c r="CP1139" i="4"/>
  <c r="CL1139" i="4"/>
  <c r="CH1139" i="4"/>
  <c r="CH1135" i="4" s="1"/>
  <c r="CD1139" i="4"/>
  <c r="BZ1139" i="4"/>
  <c r="BV1139" i="4"/>
  <c r="BR1139" i="4"/>
  <c r="BR1135" i="4" s="1"/>
  <c r="BN1139" i="4"/>
  <c r="BJ1139" i="4"/>
  <c r="DA1137" i="4"/>
  <c r="CZ1137" i="4"/>
  <c r="CW1137" i="4"/>
  <c r="CV1137" i="4"/>
  <c r="CS1137" i="4"/>
  <c r="CR1137" i="4"/>
  <c r="CO1137" i="4"/>
  <c r="CN1137" i="4"/>
  <c r="CK1137" i="4"/>
  <c r="CJ1137" i="4"/>
  <c r="CG1137" i="4"/>
  <c r="CF1137" i="4"/>
  <c r="CC1137" i="4"/>
  <c r="CB1137" i="4"/>
  <c r="BY1137" i="4"/>
  <c r="BX1137" i="4"/>
  <c r="BU1137" i="4"/>
  <c r="BT1137" i="4"/>
  <c r="BQ1137" i="4"/>
  <c r="BP1137" i="4"/>
  <c r="BM1137" i="4"/>
  <c r="BL1137" i="4"/>
  <c r="BI1137" i="4"/>
  <c r="BH1137" i="4"/>
  <c r="DA1135" i="4"/>
  <c r="CZ1135" i="4"/>
  <c r="CW1135" i="4"/>
  <c r="CV1135" i="4"/>
  <c r="CS1135" i="4"/>
  <c r="CR1135" i="4"/>
  <c r="CO1135" i="4"/>
  <c r="CN1135" i="4"/>
  <c r="CK1135" i="4"/>
  <c r="CJ1135" i="4"/>
  <c r="CG1135" i="4"/>
  <c r="CF1135" i="4"/>
  <c r="CC1135" i="4"/>
  <c r="CB1135" i="4"/>
  <c r="BY1135" i="4"/>
  <c r="BX1135" i="4"/>
  <c r="BU1135" i="4"/>
  <c r="BT1135" i="4"/>
  <c r="BQ1135" i="4"/>
  <c r="BP1135" i="4"/>
  <c r="BM1135" i="4"/>
  <c r="BL1135" i="4"/>
  <c r="BI1135" i="4"/>
  <c r="BH1135" i="4"/>
  <c r="DA1131" i="4"/>
  <c r="CZ1131" i="4"/>
  <c r="CW1131" i="4"/>
  <c r="CV1131" i="4"/>
  <c r="CS1131" i="4"/>
  <c r="CR1131" i="4"/>
  <c r="CO1131" i="4"/>
  <c r="CN1131" i="4"/>
  <c r="CK1131" i="4"/>
  <c r="CJ1131" i="4"/>
  <c r="CG1131" i="4"/>
  <c r="CF1131" i="4"/>
  <c r="CC1131" i="4"/>
  <c r="CB1131" i="4"/>
  <c r="BY1131" i="4"/>
  <c r="BX1131" i="4"/>
  <c r="BU1131" i="4"/>
  <c r="BT1131" i="4"/>
  <c r="BQ1131" i="4"/>
  <c r="BP1131" i="4"/>
  <c r="BM1131" i="4"/>
  <c r="BL1131" i="4"/>
  <c r="BI1131" i="4"/>
  <c r="BH1131" i="4"/>
  <c r="DB1128" i="4"/>
  <c r="DA1128" i="4"/>
  <c r="CZ1128" i="4"/>
  <c r="CX1128" i="4"/>
  <c r="CW1128" i="4"/>
  <c r="CV1128" i="4"/>
  <c r="CT1128" i="4"/>
  <c r="CS1128" i="4"/>
  <c r="CR1128" i="4"/>
  <c r="CP1128" i="4"/>
  <c r="CO1128" i="4"/>
  <c r="CN1128" i="4"/>
  <c r="CL1128" i="4"/>
  <c r="CK1128" i="4"/>
  <c r="CJ1128" i="4"/>
  <c r="CH1128" i="4"/>
  <c r="CG1128" i="4"/>
  <c r="CF1128" i="4"/>
  <c r="CD1128" i="4"/>
  <c r="CC1128" i="4"/>
  <c r="CB1128" i="4"/>
  <c r="BZ1128" i="4"/>
  <c r="BY1128" i="4"/>
  <c r="BX1128" i="4"/>
  <c r="BV1128" i="4"/>
  <c r="BU1128" i="4"/>
  <c r="BT1128" i="4"/>
  <c r="BR1128" i="4"/>
  <c r="BQ1128" i="4"/>
  <c r="BP1128" i="4"/>
  <c r="BN1128" i="4"/>
  <c r="BM1128" i="4"/>
  <c r="BL1128" i="4"/>
  <c r="BI1128" i="4"/>
  <c r="BH1128" i="4"/>
  <c r="BJ1127" i="4"/>
  <c r="DB1124" i="4"/>
  <c r="CX1124" i="4"/>
  <c r="CT1124" i="4"/>
  <c r="CP1124" i="4"/>
  <c r="CL1124" i="4"/>
  <c r="CH1124" i="4"/>
  <c r="CD1124" i="4"/>
  <c r="BZ1124" i="4"/>
  <c r="BU1124" i="4"/>
  <c r="BV1124" i="4" s="1"/>
  <c r="BR1124" i="4"/>
  <c r="BM1124" i="4"/>
  <c r="BL1124" i="4"/>
  <c r="BJ1124" i="4"/>
  <c r="DB1120" i="4"/>
  <c r="DA1120" i="4"/>
  <c r="CZ1120" i="4"/>
  <c r="CX1120" i="4"/>
  <c r="CW1120" i="4"/>
  <c r="CV1120" i="4"/>
  <c r="CT1120" i="4"/>
  <c r="CS1120" i="4"/>
  <c r="CR1120" i="4"/>
  <c r="CP1120" i="4"/>
  <c r="CO1120" i="4"/>
  <c r="CN1120" i="4"/>
  <c r="CL1120" i="4"/>
  <c r="CK1120" i="4"/>
  <c r="CJ1120" i="4"/>
  <c r="CH1120" i="4"/>
  <c r="CG1120" i="4"/>
  <c r="CF1120" i="4"/>
  <c r="CD1120" i="4"/>
  <c r="CC1120" i="4"/>
  <c r="CB1120" i="4"/>
  <c r="BZ1120" i="4"/>
  <c r="BY1120" i="4"/>
  <c r="BX1120" i="4"/>
  <c r="BT1120" i="4"/>
  <c r="BR1120" i="4"/>
  <c r="BQ1120" i="4"/>
  <c r="BP1120" i="4"/>
  <c r="BL1120" i="4"/>
  <c r="BJ1120" i="4"/>
  <c r="BI1120" i="4"/>
  <c r="BI1136" i="4" s="1"/>
  <c r="BH1120" i="4"/>
  <c r="BH1136" i="4" s="1"/>
  <c r="DI1119" i="4"/>
  <c r="DL1119" i="4" s="1"/>
  <c r="BV1119" i="4"/>
  <c r="BV1120" i="4" s="1"/>
  <c r="BU1119" i="4"/>
  <c r="BU1120" i="4" s="1"/>
  <c r="BN1119" i="4"/>
  <c r="BN1120" i="4" s="1"/>
  <c r="BM1119" i="4"/>
  <c r="BM1120" i="4" s="1"/>
  <c r="DN1118" i="4"/>
  <c r="DJ1118" i="4"/>
  <c r="DA1108" i="4"/>
  <c r="CZ1108" i="4"/>
  <c r="CW1108" i="4"/>
  <c r="CV1108" i="4"/>
  <c r="CS1108" i="4"/>
  <c r="CR1108" i="4"/>
  <c r="CO1108" i="4"/>
  <c r="CN1108" i="4"/>
  <c r="CK1108" i="4"/>
  <c r="CJ1108" i="4"/>
  <c r="CG1108" i="4"/>
  <c r="CF1108" i="4"/>
  <c r="CC1108" i="4"/>
  <c r="CB1108" i="4"/>
  <c r="BY1108" i="4"/>
  <c r="BX1108" i="4"/>
  <c r="BU1108" i="4"/>
  <c r="BT1108" i="4"/>
  <c r="BQ1108" i="4"/>
  <c r="BP1108" i="4"/>
  <c r="BM1108" i="4"/>
  <c r="DM1107" i="4"/>
  <c r="DM998" i="4" s="1"/>
  <c r="DL1107" i="4"/>
  <c r="DL998" i="4" s="1"/>
  <c r="DI1107" i="4"/>
  <c r="DI998" i="4" s="1"/>
  <c r="DE1107" i="4"/>
  <c r="DD1107" i="4"/>
  <c r="DA1107" i="4"/>
  <c r="CW1107" i="4"/>
  <c r="CS1107" i="4"/>
  <c r="CZ1104" i="4"/>
  <c r="CW1104" i="4"/>
  <c r="CS1104" i="4"/>
  <c r="CR1104" i="4"/>
  <c r="CO1103" i="4"/>
  <c r="CO1104" i="4" s="1"/>
  <c r="CV1102" i="4"/>
  <c r="CV1104" i="4" s="1"/>
  <c r="DM1098" i="4"/>
  <c r="BQ1093" i="4"/>
  <c r="DI1092" i="4"/>
  <c r="DL1092" i="4" s="1"/>
  <c r="DM1092" i="4" s="1"/>
  <c r="DP1092" i="4" s="1"/>
  <c r="DQ1092" i="4" s="1"/>
  <c r="DM1089" i="4"/>
  <c r="CN1083" i="4"/>
  <c r="CK1083" i="4"/>
  <c r="CJ1083" i="4"/>
  <c r="CG1083" i="4"/>
  <c r="CF1083" i="4"/>
  <c r="CC1083" i="4"/>
  <c r="CB1083" i="4"/>
  <c r="BY1083" i="4"/>
  <c r="BX1083" i="4"/>
  <c r="BU1083" i="4"/>
  <c r="BT1083" i="4"/>
  <c r="BQ1083" i="4"/>
  <c r="BP1083" i="4"/>
  <c r="BH1083" i="4"/>
  <c r="BE1083" i="4"/>
  <c r="BD1083" i="4"/>
  <c r="CZ1082" i="4"/>
  <c r="CW1082" i="4"/>
  <c r="CZ1080" i="4"/>
  <c r="CW1080" i="4"/>
  <c r="BL1080" i="4"/>
  <c r="BL1083" i="4" s="1"/>
  <c r="DD1103" i="4"/>
  <c r="DD1104" i="4" s="1"/>
  <c r="CN1078" i="4"/>
  <c r="CK1078" i="4"/>
  <c r="CN952" i="4" s="1"/>
  <c r="CJ1078" i="4"/>
  <c r="CK952" i="4" s="1"/>
  <c r="CG1078" i="4"/>
  <c r="CJ952" i="4" s="1"/>
  <c r="CF1078" i="4"/>
  <c r="CC1078" i="4"/>
  <c r="CF952" i="4" s="1"/>
  <c r="CB1078" i="4"/>
  <c r="BY1078" i="4"/>
  <c r="CB952" i="4" s="1"/>
  <c r="BX1078" i="4"/>
  <c r="BU1078" i="4"/>
  <c r="BT1078" i="4"/>
  <c r="BQ1078" i="4"/>
  <c r="BP1078" i="4"/>
  <c r="BQ952" i="4" s="1"/>
  <c r="BH1078" i="4"/>
  <c r="BI952" i="4" s="1"/>
  <c r="BE1078" i="4"/>
  <c r="BE1082" i="4" s="1"/>
  <c r="BD1078" i="4"/>
  <c r="BD1082" i="4" s="1"/>
  <c r="DM1058" i="4"/>
  <c r="DL1058" i="4"/>
  <c r="DI1058" i="4"/>
  <c r="DA1046" i="4"/>
  <c r="CZ1046" i="4"/>
  <c r="CW1046" i="4"/>
  <c r="CV1046" i="4"/>
  <c r="CS1046" i="4"/>
  <c r="CR1046" i="4"/>
  <c r="AR33" i="3" s="1"/>
  <c r="CO1046" i="4"/>
  <c r="CN1046" i="4"/>
  <c r="CK1046" i="4"/>
  <c r="CJ1046" i="4"/>
  <c r="CG1046" i="4"/>
  <c r="AG33" i="3" s="1"/>
  <c r="CF1046" i="4"/>
  <c r="CC1046" i="4"/>
  <c r="CB1046" i="4"/>
  <c r="BY1046" i="4"/>
  <c r="BX1046" i="4"/>
  <c r="BU1046" i="4"/>
  <c r="BT1046" i="4"/>
  <c r="BQ1046" i="4"/>
  <c r="BP1046" i="4"/>
  <c r="BM1046" i="4"/>
  <c r="BL1046" i="4"/>
  <c r="BI1046" i="4"/>
  <c r="BH1046" i="4"/>
  <c r="BE1046" i="4"/>
  <c r="BD1046" i="4"/>
  <c r="BF1038" i="4"/>
  <c r="BE1038" i="4"/>
  <c r="BD1038" i="4"/>
  <c r="DA1034" i="4"/>
  <c r="CZ1034" i="4"/>
  <c r="CW1034" i="4"/>
  <c r="CV1034" i="4"/>
  <c r="CV1035" i="4" s="1"/>
  <c r="CS1034" i="4"/>
  <c r="CR1034" i="4"/>
  <c r="CO1034" i="4"/>
  <c r="CP1034" i="4" s="1"/>
  <c r="CN1034" i="4"/>
  <c r="CK1034" i="4"/>
  <c r="CJ1034" i="4"/>
  <c r="CG1034" i="4"/>
  <c r="CF1034" i="4"/>
  <c r="CC1034" i="4"/>
  <c r="CB1034" i="4"/>
  <c r="BY1034" i="4"/>
  <c r="BX1034" i="4"/>
  <c r="BU1034" i="4"/>
  <c r="BT1034" i="4"/>
  <c r="BQ1034" i="4"/>
  <c r="BP1034" i="4"/>
  <c r="BM1034" i="4"/>
  <c r="BL1034" i="4"/>
  <c r="BI1034" i="4"/>
  <c r="BJ1034" i="4" s="1"/>
  <c r="BH1034" i="4"/>
  <c r="BE1034" i="4"/>
  <c r="BE1035" i="4" s="1"/>
  <c r="BD1034" i="4"/>
  <c r="DA1033" i="4"/>
  <c r="CZ1033" i="4"/>
  <c r="CW1033" i="4"/>
  <c r="CV1033" i="4"/>
  <c r="CS1033" i="4"/>
  <c r="CR1033" i="4"/>
  <c r="CO1033" i="4"/>
  <c r="CN1033" i="4"/>
  <c r="CK1033" i="4"/>
  <c r="CJ1033" i="4"/>
  <c r="CG1033" i="4"/>
  <c r="CF1033" i="4"/>
  <c r="CC1033" i="4"/>
  <c r="CB1033" i="4"/>
  <c r="BY1033" i="4"/>
  <c r="BX1033" i="4"/>
  <c r="BU1033" i="4"/>
  <c r="BT1033" i="4"/>
  <c r="BQ1033" i="4"/>
  <c r="BP1033" i="4"/>
  <c r="BM1033" i="4"/>
  <c r="BL1033" i="4"/>
  <c r="BI1033" i="4"/>
  <c r="BH1033" i="4"/>
  <c r="BE1033" i="4"/>
  <c r="BD1033" i="4"/>
  <c r="DB1032" i="4"/>
  <c r="CX1032" i="4"/>
  <c r="CT1032" i="4"/>
  <c r="CP1032" i="4"/>
  <c r="CL1032" i="4"/>
  <c r="CH1032" i="4"/>
  <c r="CD1032" i="4"/>
  <c r="BZ1032" i="4"/>
  <c r="BV1032" i="4"/>
  <c r="BR1032" i="4"/>
  <c r="BN1032" i="4"/>
  <c r="BJ1032" i="4"/>
  <c r="BF1032" i="4"/>
  <c r="DB1031" i="4"/>
  <c r="CX1031" i="4"/>
  <c r="CT1031" i="4"/>
  <c r="CP1031" i="4"/>
  <c r="CL1031" i="4"/>
  <c r="CH1031" i="4"/>
  <c r="CD1031" i="4"/>
  <c r="BZ1031" i="4"/>
  <c r="BV1031" i="4"/>
  <c r="BR1031" i="4"/>
  <c r="BN1031" i="4"/>
  <c r="BJ1031" i="4"/>
  <c r="BF1031" i="4"/>
  <c r="A1026" i="4"/>
  <c r="CZ1025" i="4"/>
  <c r="DA1025" i="4" s="1"/>
  <c r="DI1025" i="4" s="1"/>
  <c r="DL1025" i="4" s="1"/>
  <c r="DM1025" i="4" s="1"/>
  <c r="DP1025" i="4" s="1"/>
  <c r="DQ1025" i="4" s="1"/>
  <c r="CV1025" i="4"/>
  <c r="CW1025" i="4" s="1"/>
  <c r="CW1007" i="4" s="1"/>
  <c r="CX1007" i="4" s="1"/>
  <c r="CR1025" i="4"/>
  <c r="CS1025" i="4" s="1"/>
  <c r="CS1007" i="4" s="1"/>
  <c r="CT1007" i="4" s="1"/>
  <c r="CN1025" i="4"/>
  <c r="CO1025" i="4" s="1"/>
  <c r="CO1007" i="4" s="1"/>
  <c r="CP1007" i="4" s="1"/>
  <c r="CJ1025" i="4"/>
  <c r="CK1025" i="4" s="1"/>
  <c r="CK1007" i="4" s="1"/>
  <c r="CL1007" i="4" s="1"/>
  <c r="CF1025" i="4"/>
  <c r="CG1025" i="4" s="1"/>
  <c r="CG1007" i="4" s="1"/>
  <c r="CH1007" i="4" s="1"/>
  <c r="CC1025" i="4"/>
  <c r="CB1025" i="4"/>
  <c r="A1025" i="4"/>
  <c r="DB1022" i="4"/>
  <c r="CX1022" i="4"/>
  <c r="CT1022" i="4"/>
  <c r="CP1022" i="4"/>
  <c r="CL1022" i="4"/>
  <c r="CH1022" i="4"/>
  <c r="CD1022" i="4"/>
  <c r="DB1019" i="4"/>
  <c r="CX1019" i="4"/>
  <c r="CT1019" i="4"/>
  <c r="CP1019" i="4"/>
  <c r="CL1019" i="4"/>
  <c r="CH1019" i="4"/>
  <c r="CD1019" i="4"/>
  <c r="DB1018" i="4"/>
  <c r="CX1018" i="4"/>
  <c r="CT1018" i="4"/>
  <c r="CP1018" i="4"/>
  <c r="CL1018" i="4"/>
  <c r="CH1018" i="4"/>
  <c r="CD1018" i="4"/>
  <c r="CD1014" i="4"/>
  <c r="BZ1014" i="4"/>
  <c r="BV1014" i="4"/>
  <c r="BR1014" i="4"/>
  <c r="BN1014" i="4"/>
  <c r="CZ1009" i="4"/>
  <c r="CZ1026" i="4" s="1"/>
  <c r="DA1026" i="4" s="1"/>
  <c r="CV1009" i="4"/>
  <c r="CV1026" i="4" s="1"/>
  <c r="CW1026" i="4" s="1"/>
  <c r="CW1009" i="4" s="1"/>
  <c r="CR1009" i="4"/>
  <c r="CR1026" i="4" s="1"/>
  <c r="CS1026" i="4" s="1"/>
  <c r="CS1009" i="4" s="1"/>
  <c r="CN1009" i="4"/>
  <c r="CN1026" i="4" s="1"/>
  <c r="CO1026" i="4" s="1"/>
  <c r="CO1009" i="4" s="1"/>
  <c r="CJ1009" i="4"/>
  <c r="CJ1026" i="4" s="1"/>
  <c r="CK1026" i="4" s="1"/>
  <c r="CK1009" i="4" s="1"/>
  <c r="CF1009" i="4"/>
  <c r="CF1026" i="4" s="1"/>
  <c r="CG1026" i="4" s="1"/>
  <c r="CG1009" i="4" s="1"/>
  <c r="CC1009" i="4"/>
  <c r="CC1026" i="4" s="1"/>
  <c r="CB1009" i="4"/>
  <c r="CB1026" i="4" s="1"/>
  <c r="BY1009" i="4"/>
  <c r="BX1009" i="4"/>
  <c r="BU1009" i="4"/>
  <c r="BT1009" i="4"/>
  <c r="BQ1009" i="4"/>
  <c r="BP1009" i="4"/>
  <c r="BM1009" i="4"/>
  <c r="BL1009" i="4"/>
  <c r="BI1009" i="4"/>
  <c r="BH1009" i="4"/>
  <c r="DB1007" i="4"/>
  <c r="CD1007" i="4"/>
  <c r="DA1003" i="4"/>
  <c r="DA1004" i="4" s="1"/>
  <c r="DI1004" i="4" s="1"/>
  <c r="DL1004" i="4" s="1"/>
  <c r="DM1004" i="4" s="1"/>
  <c r="DP1004" i="4" s="1"/>
  <c r="DQ1004" i="4" s="1"/>
  <c r="CZ1003" i="4"/>
  <c r="CZ1004" i="4" s="1"/>
  <c r="CW1003" i="4"/>
  <c r="CW1004" i="4" s="1"/>
  <c r="CV1003" i="4"/>
  <c r="CV1004" i="4" s="1"/>
  <c r="CS1003" i="4"/>
  <c r="CS1004" i="4" s="1"/>
  <c r="CR1003" i="4"/>
  <c r="CR1004" i="4" s="1"/>
  <c r="CO1003" i="4"/>
  <c r="CO1004" i="4" s="1"/>
  <c r="CN1003" i="4"/>
  <c r="CN1004" i="4" s="1"/>
  <c r="CK1003" i="4"/>
  <c r="CK1004" i="4" s="1"/>
  <c r="CJ1003" i="4"/>
  <c r="CJ1004" i="4" s="1"/>
  <c r="CG1003" i="4"/>
  <c r="CG1004" i="4" s="1"/>
  <c r="CF1003" i="4"/>
  <c r="CF1004" i="4" s="1"/>
  <c r="CC1003" i="4"/>
  <c r="CC1004" i="4" s="1"/>
  <c r="CB1003" i="4"/>
  <c r="CB1004" i="4" s="1"/>
  <c r="BY1003" i="4"/>
  <c r="BY1004" i="4" s="1"/>
  <c r="BX1003" i="4"/>
  <c r="BX1004" i="4" s="1"/>
  <c r="BU1003" i="4"/>
  <c r="BU1004" i="4" s="1"/>
  <c r="BT1003" i="4"/>
  <c r="BT1004" i="4" s="1"/>
  <c r="BQ1003" i="4"/>
  <c r="BQ1004" i="4" s="1"/>
  <c r="BP1003" i="4"/>
  <c r="BP1004" i="4" s="1"/>
  <c r="BM1003" i="4"/>
  <c r="BM1004" i="4" s="1"/>
  <c r="BL1003" i="4"/>
  <c r="BL1004" i="4" s="1"/>
  <c r="BI1003" i="4"/>
  <c r="BI1004" i="4" s="1"/>
  <c r="BH1003" i="4"/>
  <c r="BH1004" i="4" s="1"/>
  <c r="DA1001" i="4"/>
  <c r="DA1114" i="4" s="1"/>
  <c r="DD1115" i="4" s="1"/>
  <c r="DD1116" i="4" s="1"/>
  <c r="CZ1001" i="4"/>
  <c r="CZ1114" i="4" s="1"/>
  <c r="CW1001" i="4"/>
  <c r="CW1114" i="4" s="1"/>
  <c r="CV1001" i="4"/>
  <c r="CV1114" i="4" s="1"/>
  <c r="CS1001" i="4"/>
  <c r="CS1114" i="4" s="1"/>
  <c r="CR1001" i="4"/>
  <c r="CR1114" i="4" s="1"/>
  <c r="CO1001" i="4"/>
  <c r="CO1114" i="4" s="1"/>
  <c r="CN1001" i="4"/>
  <c r="CN1114" i="4" s="1"/>
  <c r="CK1001" i="4"/>
  <c r="CK1114" i="4" s="1"/>
  <c r="CJ1001" i="4"/>
  <c r="CJ1114" i="4" s="1"/>
  <c r="CG1001" i="4"/>
  <c r="CG1114" i="4" s="1"/>
  <c r="CF1001" i="4"/>
  <c r="CF1114" i="4" s="1"/>
  <c r="CC1001" i="4"/>
  <c r="CC1114" i="4" s="1"/>
  <c r="CB1001" i="4"/>
  <c r="CB1114" i="4" s="1"/>
  <c r="BY1001" i="4"/>
  <c r="BY1114" i="4" s="1"/>
  <c r="BX1001" i="4"/>
  <c r="BX1114" i="4" s="1"/>
  <c r="BU1001" i="4"/>
  <c r="BU1114" i="4" s="1"/>
  <c r="BT1001" i="4"/>
  <c r="BT1114" i="4" s="1"/>
  <c r="BQ1001" i="4"/>
  <c r="BQ1114" i="4" s="1"/>
  <c r="BP1001" i="4"/>
  <c r="BP1114" i="4" s="1"/>
  <c r="BM1001" i="4"/>
  <c r="BM1114" i="4" s="1"/>
  <c r="BL1001" i="4"/>
  <c r="BL1114" i="4" s="1"/>
  <c r="BI1001" i="4"/>
  <c r="BI1114" i="4" s="1"/>
  <c r="BH1001" i="4"/>
  <c r="BH1114" i="4" s="1"/>
  <c r="DB1000" i="4"/>
  <c r="CX1000" i="4"/>
  <c r="CT1000" i="4"/>
  <c r="CP1000" i="4"/>
  <c r="CL1000" i="4"/>
  <c r="CH1000" i="4"/>
  <c r="CD1000" i="4"/>
  <c r="BZ1000" i="4"/>
  <c r="BV1000" i="4"/>
  <c r="BR1000" i="4"/>
  <c r="BN1000" i="4"/>
  <c r="BJ1000" i="4"/>
  <c r="DB997" i="4"/>
  <c r="CX997" i="4"/>
  <c r="CT997" i="4"/>
  <c r="CP997" i="4"/>
  <c r="CL997" i="4"/>
  <c r="CH997" i="4"/>
  <c r="CD997" i="4"/>
  <c r="BZ997" i="4"/>
  <c r="BV997" i="4"/>
  <c r="BR997" i="4"/>
  <c r="BN997" i="4"/>
  <c r="BJ997" i="4"/>
  <c r="CD996" i="4"/>
  <c r="BZ996" i="4"/>
  <c r="BV996" i="4"/>
  <c r="BR996" i="4"/>
  <c r="BN996" i="4"/>
  <c r="BJ996" i="4"/>
  <c r="CO995" i="4"/>
  <c r="CO996" i="4" s="1"/>
  <c r="CN995" i="4"/>
  <c r="CN996" i="4" s="1"/>
  <c r="CK995" i="4"/>
  <c r="CK996" i="4" s="1"/>
  <c r="CJ995" i="4"/>
  <c r="CG995" i="4"/>
  <c r="CG996" i="4" s="1"/>
  <c r="CH996" i="4" s="1"/>
  <c r="CD995" i="4"/>
  <c r="BZ995" i="4"/>
  <c r="BV995" i="4"/>
  <c r="BR995" i="4"/>
  <c r="BN995" i="4"/>
  <c r="BJ995" i="4"/>
  <c r="DB994" i="4"/>
  <c r="CX994" i="4"/>
  <c r="CT994" i="4"/>
  <c r="CP994" i="4"/>
  <c r="CL994" i="4"/>
  <c r="CH994" i="4"/>
  <c r="CD994" i="4"/>
  <c r="BZ994" i="4"/>
  <c r="BV994" i="4"/>
  <c r="BR994" i="4"/>
  <c r="BN994" i="4"/>
  <c r="BJ994" i="4"/>
  <c r="DA993" i="4"/>
  <c r="CZ993" i="4"/>
  <c r="CW993" i="4"/>
  <c r="CV993" i="4"/>
  <c r="CX993" i="4" s="1"/>
  <c r="CS993" i="4"/>
  <c r="CR993" i="4"/>
  <c r="CT993" i="4" s="1"/>
  <c r="CO993" i="4"/>
  <c r="CN993" i="4"/>
  <c r="CK993" i="4"/>
  <c r="CJ993" i="4"/>
  <c r="CG993" i="4"/>
  <c r="CF993" i="4"/>
  <c r="CH993" i="4" s="1"/>
  <c r="CC993" i="4"/>
  <c r="CC998" i="4" s="1"/>
  <c r="CC1107" i="4" s="1"/>
  <c r="CB993" i="4"/>
  <c r="BY993" i="4"/>
  <c r="BY998" i="4" s="1"/>
  <c r="BY1107" i="4" s="1"/>
  <c r="BX993" i="4"/>
  <c r="BX998" i="4" s="1"/>
  <c r="BU993" i="4"/>
  <c r="BU998" i="4" s="1"/>
  <c r="BU1107" i="4" s="1"/>
  <c r="BT993" i="4"/>
  <c r="BT998" i="4" s="1"/>
  <c r="BQ993" i="4"/>
  <c r="BQ998" i="4" s="1"/>
  <c r="BQ1107" i="4" s="1"/>
  <c r="BP993" i="4"/>
  <c r="BR993" i="4" s="1"/>
  <c r="BM993" i="4"/>
  <c r="BM998" i="4" s="1"/>
  <c r="BM1107" i="4" s="1"/>
  <c r="BL993" i="4"/>
  <c r="BI993" i="4"/>
  <c r="BI998" i="4" s="1"/>
  <c r="BI1107" i="4" s="1"/>
  <c r="BH993" i="4"/>
  <c r="BH998" i="4" s="1"/>
  <c r="DA987" i="4"/>
  <c r="CZ987" i="4"/>
  <c r="DA985" i="4" s="1"/>
  <c r="CW987" i="4"/>
  <c r="CV987" i="4"/>
  <c r="CS987" i="4"/>
  <c r="CR987" i="4"/>
  <c r="CO987" i="4"/>
  <c r="CN987" i="4"/>
  <c r="CO985" i="4" s="1"/>
  <c r="CK987" i="4"/>
  <c r="CJ987" i="4"/>
  <c r="CK985" i="4" s="1"/>
  <c r="CG987" i="4"/>
  <c r="CF987" i="4"/>
  <c r="CC987" i="4"/>
  <c r="CB987" i="4"/>
  <c r="BY987" i="4"/>
  <c r="BX987" i="4"/>
  <c r="BY985" i="4" s="1"/>
  <c r="BU987" i="4"/>
  <c r="BT987" i="4"/>
  <c r="BU985" i="4" s="1"/>
  <c r="BQ987" i="4"/>
  <c r="BP987" i="4"/>
  <c r="BM987" i="4"/>
  <c r="BL987" i="4"/>
  <c r="BI987" i="4"/>
  <c r="BH987" i="4"/>
  <c r="BI985" i="4" s="1"/>
  <c r="DN986" i="4"/>
  <c r="DJ986" i="4"/>
  <c r="BJ985" i="4"/>
  <c r="DA982" i="4"/>
  <c r="CZ982" i="4"/>
  <c r="DA980" i="4" s="1"/>
  <c r="CW982" i="4"/>
  <c r="CV982" i="4"/>
  <c r="CS982" i="4"/>
  <c r="CR982" i="4"/>
  <c r="CO982" i="4"/>
  <c r="CN982" i="4"/>
  <c r="CO980" i="4" s="1"/>
  <c r="CK982" i="4"/>
  <c r="CJ982" i="4"/>
  <c r="CK980" i="4" s="1"/>
  <c r="CG982" i="4"/>
  <c r="CF982" i="4"/>
  <c r="CC982" i="4"/>
  <c r="CB982" i="4"/>
  <c r="BY982" i="4"/>
  <c r="BX982" i="4"/>
  <c r="BY980" i="4" s="1"/>
  <c r="BU982" i="4"/>
  <c r="BT982" i="4"/>
  <c r="BU980" i="4" s="1"/>
  <c r="BQ982" i="4"/>
  <c r="BP982" i="4"/>
  <c r="BM982" i="4"/>
  <c r="BL982" i="4"/>
  <c r="BI982" i="4"/>
  <c r="BH982" i="4"/>
  <c r="BI980" i="4" s="1"/>
  <c r="DN981" i="4"/>
  <c r="DJ981" i="4"/>
  <c r="BJ980" i="4"/>
  <c r="DA977" i="4"/>
  <c r="DD973" i="4" s="1"/>
  <c r="CZ977" i="4"/>
  <c r="DA973" i="4" s="1"/>
  <c r="CW977" i="4"/>
  <c r="CV977" i="4"/>
  <c r="CW973" i="4" s="1"/>
  <c r="CS977" i="4"/>
  <c r="CV973" i="4" s="1"/>
  <c r="CX973" i="4" s="1"/>
  <c r="CR977" i="4"/>
  <c r="CS973" i="4" s="1"/>
  <c r="CO977" i="4"/>
  <c r="CR973" i="4" s="1"/>
  <c r="CT973" i="4" s="1"/>
  <c r="CN977" i="4"/>
  <c r="CO973" i="4" s="1"/>
  <c r="CK977" i="4"/>
  <c r="CJ977" i="4"/>
  <c r="CK973" i="4" s="1"/>
  <c r="CG977" i="4"/>
  <c r="CF977" i="4"/>
  <c r="CG973" i="4" s="1"/>
  <c r="CC977" i="4"/>
  <c r="CF973" i="4" s="1"/>
  <c r="CH973" i="4" s="1"/>
  <c r="CB977" i="4"/>
  <c r="CC973" i="4" s="1"/>
  <c r="BY977" i="4"/>
  <c r="BX977" i="4"/>
  <c r="BY973" i="4" s="1"/>
  <c r="BU977" i="4"/>
  <c r="BT977" i="4"/>
  <c r="BU973" i="4" s="1"/>
  <c r="BQ977" i="4"/>
  <c r="BP977" i="4"/>
  <c r="BQ973" i="4" s="1"/>
  <c r="BM977" i="4"/>
  <c r="BP973" i="4" s="1"/>
  <c r="BR973" i="4" s="1"/>
  <c r="BL977" i="4"/>
  <c r="BM973" i="4" s="1"/>
  <c r="BI977" i="4"/>
  <c r="BH977" i="4"/>
  <c r="BI973" i="4" s="1"/>
  <c r="DN976" i="4"/>
  <c r="DJ976" i="4"/>
  <c r="DN975" i="4"/>
  <c r="DJ975" i="4"/>
  <c r="DB975" i="4"/>
  <c r="CX975" i="4"/>
  <c r="CT975" i="4"/>
  <c r="CP975" i="4"/>
  <c r="CJ975" i="4"/>
  <c r="CL975" i="4" s="1"/>
  <c r="CG975" i="4"/>
  <c r="CF975" i="4"/>
  <c r="CF966" i="4" s="1"/>
  <c r="CD975" i="4"/>
  <c r="BZ975" i="4"/>
  <c r="BT975" i="4"/>
  <c r="BP975" i="4"/>
  <c r="BR975" i="4" s="1"/>
  <c r="BL975" i="4"/>
  <c r="BN975" i="4" s="1"/>
  <c r="BI975" i="4"/>
  <c r="DN974" i="4"/>
  <c r="DJ974" i="4"/>
  <c r="DB974" i="4"/>
  <c r="CX974" i="4"/>
  <c r="CT974" i="4"/>
  <c r="CP974" i="4"/>
  <c r="CL974" i="4"/>
  <c r="CH974" i="4"/>
  <c r="CD974" i="4"/>
  <c r="BZ974" i="4"/>
  <c r="BV974" i="4"/>
  <c r="BR974" i="4"/>
  <c r="BN974" i="4"/>
  <c r="BJ974" i="4"/>
  <c r="BH973" i="4"/>
  <c r="DA970" i="4"/>
  <c r="CZ970" i="4"/>
  <c r="DA960" i="4" s="1"/>
  <c r="CW970" i="4"/>
  <c r="CZ960" i="4" s="1"/>
  <c r="DB960" i="4" s="1"/>
  <c r="CV970" i="4"/>
  <c r="CW960" i="4" s="1"/>
  <c r="CS970" i="4"/>
  <c r="CV960" i="4" s="1"/>
  <c r="CR970" i="4"/>
  <c r="CS960" i="4" s="1"/>
  <c r="CN970" i="4"/>
  <c r="CO960" i="4" s="1"/>
  <c r="CK970" i="4"/>
  <c r="CN960" i="4" s="1"/>
  <c r="CP960" i="4" s="1"/>
  <c r="CJ970" i="4"/>
  <c r="CK960" i="4" s="1"/>
  <c r="CG970" i="4"/>
  <c r="CJ960" i="4" s="1"/>
  <c r="CF970" i="4"/>
  <c r="CG960" i="4" s="1"/>
  <c r="CC970" i="4"/>
  <c r="CF960" i="4" s="1"/>
  <c r="CB970" i="4"/>
  <c r="CC960" i="4" s="1"/>
  <c r="BY970" i="4"/>
  <c r="CB960" i="4" s="1"/>
  <c r="CD960" i="4" s="1"/>
  <c r="BX970" i="4"/>
  <c r="BY960" i="4" s="1"/>
  <c r="BU970" i="4"/>
  <c r="BX960" i="4" s="1"/>
  <c r="BT970" i="4"/>
  <c r="BU960" i="4" s="1"/>
  <c r="BQ970" i="4"/>
  <c r="BT960" i="4" s="1"/>
  <c r="BP970" i="4"/>
  <c r="BQ960" i="4" s="1"/>
  <c r="BM970" i="4"/>
  <c r="BP960" i="4" s="1"/>
  <c r="BL970" i="4"/>
  <c r="BM960" i="4" s="1"/>
  <c r="BI970" i="4"/>
  <c r="BL960" i="4" s="1"/>
  <c r="BN960" i="4" s="1"/>
  <c r="BH970" i="4"/>
  <c r="BI960" i="4" s="1"/>
  <c r="DN969" i="4"/>
  <c r="DJ969" i="4"/>
  <c r="DB968" i="4"/>
  <c r="CX968" i="4"/>
  <c r="CT968" i="4"/>
  <c r="CP968" i="4"/>
  <c r="CL968" i="4"/>
  <c r="CH968" i="4"/>
  <c r="CD968" i="4"/>
  <c r="BY968" i="4"/>
  <c r="BU968" i="4"/>
  <c r="BR968" i="4"/>
  <c r="BN968" i="4"/>
  <c r="BJ968" i="4"/>
  <c r="DB967" i="4"/>
  <c r="CV967" i="4"/>
  <c r="CT967" i="4"/>
  <c r="CP967" i="4"/>
  <c r="CJ967" i="4"/>
  <c r="CH967" i="4"/>
  <c r="CD967" i="4"/>
  <c r="BZ967" i="4"/>
  <c r="BT967" i="4"/>
  <c r="BR967" i="4"/>
  <c r="BN967" i="4"/>
  <c r="BJ967" i="4"/>
  <c r="DM966" i="4"/>
  <c r="DL966" i="4"/>
  <c r="DI966" i="4"/>
  <c r="CZ966" i="4"/>
  <c r="DB966" i="4" s="1"/>
  <c r="CV966" i="4"/>
  <c r="CX966" i="4" s="1"/>
  <c r="CS966" i="4"/>
  <c r="CR966" i="4"/>
  <c r="CO966" i="4"/>
  <c r="CN966" i="4"/>
  <c r="CK966" i="4"/>
  <c r="CC966" i="4"/>
  <c r="CB966" i="4"/>
  <c r="BY966" i="4"/>
  <c r="BX966" i="4"/>
  <c r="BU966" i="4"/>
  <c r="BQ966" i="4"/>
  <c r="BM966" i="4"/>
  <c r="BH966" i="4"/>
  <c r="DN963" i="4"/>
  <c r="DJ963" i="4"/>
  <c r="DB963" i="4"/>
  <c r="CX963" i="4"/>
  <c r="CT963" i="4"/>
  <c r="CP963" i="4"/>
  <c r="CL963" i="4"/>
  <c r="CH963" i="4"/>
  <c r="CD963" i="4"/>
  <c r="BZ963" i="4"/>
  <c r="BV963" i="4"/>
  <c r="BR963" i="4"/>
  <c r="BN963" i="4"/>
  <c r="BJ963" i="4"/>
  <c r="DN962" i="4"/>
  <c r="DJ962" i="4"/>
  <c r="DB962" i="4"/>
  <c r="CX962" i="4"/>
  <c r="CT962" i="4"/>
  <c r="CP962" i="4"/>
  <c r="CL962" i="4"/>
  <c r="CH962" i="4"/>
  <c r="CD962" i="4"/>
  <c r="BY962" i="4"/>
  <c r="BV962" i="4"/>
  <c r="BR962" i="4"/>
  <c r="BN962" i="4"/>
  <c r="BJ962" i="4"/>
  <c r="DN961" i="4"/>
  <c r="DJ961" i="4"/>
  <c r="DB961" i="4"/>
  <c r="CX961" i="4"/>
  <c r="CT961" i="4"/>
  <c r="CP961" i="4"/>
  <c r="CL961" i="4"/>
  <c r="CH961" i="4"/>
  <c r="CD961" i="4"/>
  <c r="BY961" i="4"/>
  <c r="BV961" i="4"/>
  <c r="BR961" i="4"/>
  <c r="BN961" i="4"/>
  <c r="BJ961" i="4"/>
  <c r="CR960" i="4"/>
  <c r="CT960" i="4" s="1"/>
  <c r="BJ960" i="4"/>
  <c r="DA957" i="4"/>
  <c r="DD950" i="4" s="1"/>
  <c r="DF950" i="4" s="1"/>
  <c r="CZ957" i="4"/>
  <c r="CZ1203" i="4" s="1"/>
  <c r="CW957" i="4"/>
  <c r="CW1203" i="4" s="1"/>
  <c r="CV957" i="4"/>
  <c r="CS957" i="4"/>
  <c r="CR957" i="4"/>
  <c r="CR1203" i="4" s="1"/>
  <c r="CO957" i="4"/>
  <c r="CO1203" i="4" s="1"/>
  <c r="CN957" i="4"/>
  <c r="CK957" i="4"/>
  <c r="CJ957" i="4"/>
  <c r="CJ1203" i="4" s="1"/>
  <c r="CG957" i="4"/>
  <c r="CG1203" i="4" s="1"/>
  <c r="CF957" i="4"/>
  <c r="CC957" i="4"/>
  <c r="CB957" i="4"/>
  <c r="CB1203" i="4" s="1"/>
  <c r="BY957" i="4"/>
  <c r="BY1203" i="4" s="1"/>
  <c r="BX957" i="4"/>
  <c r="BX1203" i="4" s="1"/>
  <c r="BU957" i="4"/>
  <c r="BT957" i="4"/>
  <c r="BT1203" i="4" s="1"/>
  <c r="BQ957" i="4"/>
  <c r="BQ1203" i="4" s="1"/>
  <c r="BP957" i="4"/>
  <c r="BM957" i="4"/>
  <c r="BL957" i="4"/>
  <c r="BL1203" i="4" s="1"/>
  <c r="BI957" i="4"/>
  <c r="BI1203" i="4" s="1"/>
  <c r="BH957" i="4"/>
  <c r="BI950" i="4" s="1"/>
  <c r="DN955" i="4"/>
  <c r="DJ955" i="4"/>
  <c r="DA955" i="4"/>
  <c r="CZ955" i="4"/>
  <c r="CW955" i="4"/>
  <c r="CV955" i="4"/>
  <c r="CS955" i="4"/>
  <c r="CR955" i="4"/>
  <c r="CO955" i="4"/>
  <c r="CN955" i="4"/>
  <c r="CK955" i="4"/>
  <c r="CJ955" i="4"/>
  <c r="CG955" i="4"/>
  <c r="CF955" i="4"/>
  <c r="CC955" i="4"/>
  <c r="CB955" i="4"/>
  <c r="BY955" i="4"/>
  <c r="BX955" i="4"/>
  <c r="BU955" i="4"/>
  <c r="BT955" i="4"/>
  <c r="BQ955" i="4"/>
  <c r="BP955" i="4"/>
  <c r="BM955" i="4"/>
  <c r="BL955" i="4"/>
  <c r="BI955" i="4"/>
  <c r="BH955" i="4"/>
  <c r="DB954" i="4"/>
  <c r="CX954" i="4"/>
  <c r="CT954" i="4"/>
  <c r="CP954" i="4"/>
  <c r="CL954" i="4"/>
  <c r="CH954" i="4"/>
  <c r="CD954" i="4"/>
  <c r="BZ954" i="4"/>
  <c r="BV954" i="4"/>
  <c r="BR954" i="4"/>
  <c r="BN954" i="4"/>
  <c r="BJ954" i="4"/>
  <c r="DB953" i="4"/>
  <c r="CD953" i="4"/>
  <c r="BZ953" i="4"/>
  <c r="BV953" i="4"/>
  <c r="BR953" i="4"/>
  <c r="DA952" i="4"/>
  <c r="CZ952" i="4"/>
  <c r="DB951" i="4"/>
  <c r="CX951" i="4"/>
  <c r="CT951" i="4"/>
  <c r="CP951" i="4"/>
  <c r="CL951" i="4"/>
  <c r="CH951" i="4"/>
  <c r="CD951" i="4"/>
  <c r="BZ951" i="4"/>
  <c r="BV951" i="4"/>
  <c r="BR951" i="4"/>
  <c r="BN951" i="4"/>
  <c r="BJ951" i="4"/>
  <c r="BJ950" i="4"/>
  <c r="DB946" i="4"/>
  <c r="CX946" i="4"/>
  <c r="CT946" i="4"/>
  <c r="CP946" i="4"/>
  <c r="CL946" i="4"/>
  <c r="CH946" i="4"/>
  <c r="CD946" i="4"/>
  <c r="BZ946" i="4"/>
  <c r="BV946" i="4"/>
  <c r="BR946" i="4"/>
  <c r="BN946" i="4"/>
  <c r="BJ946" i="4"/>
  <c r="DB945" i="4"/>
  <c r="CX945" i="4"/>
  <c r="CT945" i="4"/>
  <c r="CP945" i="4"/>
  <c r="CL945" i="4"/>
  <c r="CH945" i="4"/>
  <c r="CD945" i="4"/>
  <c r="BZ945" i="4"/>
  <c r="BV945" i="4"/>
  <c r="BR945" i="4"/>
  <c r="BN945" i="4"/>
  <c r="BJ945" i="4"/>
  <c r="DA944" i="4"/>
  <c r="CZ944" i="4"/>
  <c r="CW944" i="4"/>
  <c r="CV944" i="4"/>
  <c r="CS944" i="4"/>
  <c r="CR944" i="4"/>
  <c r="CO944" i="4"/>
  <c r="CN944" i="4"/>
  <c r="CN947" i="4" s="1"/>
  <c r="CN468" i="4" s="1"/>
  <c r="CK944" i="4"/>
  <c r="CJ944" i="4"/>
  <c r="CG944" i="4"/>
  <c r="CF944" i="4"/>
  <c r="CC944" i="4"/>
  <c r="CC947" i="4" s="1"/>
  <c r="CC399" i="4" s="1"/>
  <c r="CC398" i="4" s="1"/>
  <c r="CC400" i="4" s="1"/>
  <c r="CB944" i="4"/>
  <c r="BY944" i="4"/>
  <c r="BX944" i="4"/>
  <c r="BX947" i="4" s="1"/>
  <c r="BX468" i="4" s="1"/>
  <c r="BU944" i="4"/>
  <c r="BT944" i="4"/>
  <c r="T47" i="3" s="1"/>
  <c r="BQ944" i="4"/>
  <c r="BP944" i="4"/>
  <c r="BM944" i="4"/>
  <c r="BL944" i="4"/>
  <c r="BI944" i="4"/>
  <c r="BH944" i="4"/>
  <c r="BH947" i="4" s="1"/>
  <c r="BH468" i="4" s="1"/>
  <c r="DB943" i="4"/>
  <c r="CX943" i="4"/>
  <c r="CT943" i="4"/>
  <c r="CP943" i="4"/>
  <c r="CL943" i="4"/>
  <c r="CH943" i="4"/>
  <c r="CD943" i="4"/>
  <c r="BZ943" i="4"/>
  <c r="BV943" i="4"/>
  <c r="BR943" i="4"/>
  <c r="BN943" i="4"/>
  <c r="BJ943" i="4"/>
  <c r="DB942" i="4"/>
  <c r="CX942" i="4"/>
  <c r="CT942" i="4"/>
  <c r="CP942" i="4"/>
  <c r="CL942" i="4"/>
  <c r="CH942" i="4"/>
  <c r="CD942" i="4"/>
  <c r="BZ942" i="4"/>
  <c r="BV942" i="4"/>
  <c r="BR942" i="4"/>
  <c r="BN942" i="4"/>
  <c r="BJ942" i="4"/>
  <c r="DB941" i="4"/>
  <c r="CX941" i="4"/>
  <c r="CT941" i="4"/>
  <c r="CP941" i="4"/>
  <c r="CL941" i="4"/>
  <c r="CH941" i="4"/>
  <c r="CD941" i="4"/>
  <c r="BZ941" i="4"/>
  <c r="BV941" i="4"/>
  <c r="BR941" i="4"/>
  <c r="BN941" i="4"/>
  <c r="BJ941" i="4"/>
  <c r="DM937" i="4"/>
  <c r="DL937" i="4"/>
  <c r="DL37" i="4" s="1"/>
  <c r="DI937" i="4"/>
  <c r="DI37" i="4" s="1"/>
  <c r="DB937" i="4"/>
  <c r="CX937" i="4"/>
  <c r="CT937" i="4"/>
  <c r="CN937" i="4"/>
  <c r="CN936" i="4" s="1"/>
  <c r="CK937" i="4"/>
  <c r="CK37" i="4" s="1"/>
  <c r="CJ937" i="4"/>
  <c r="CJ37" i="4" s="1"/>
  <c r="CH937" i="4"/>
  <c r="CD937" i="4"/>
  <c r="BZ937" i="4"/>
  <c r="DN936" i="4"/>
  <c r="DJ936" i="4"/>
  <c r="DA936" i="4"/>
  <c r="CZ936" i="4"/>
  <c r="CW936" i="4"/>
  <c r="CV936" i="4"/>
  <c r="CS936" i="4"/>
  <c r="CR936" i="4"/>
  <c r="CF936" i="4"/>
  <c r="CC936" i="4"/>
  <c r="CB936" i="4"/>
  <c r="DN935" i="4"/>
  <c r="DJ935" i="4"/>
  <c r="DB935" i="4"/>
  <c r="CX935" i="4"/>
  <c r="CT935" i="4"/>
  <c r="CO935" i="4"/>
  <c r="CO936" i="4" s="1"/>
  <c r="CK935" i="4"/>
  <c r="CJ935" i="4"/>
  <c r="CG935" i="4"/>
  <c r="CG936" i="4" s="1"/>
  <c r="DN934" i="4"/>
  <c r="DJ934" i="4"/>
  <c r="DB934" i="4"/>
  <c r="CX934" i="4"/>
  <c r="CT934" i="4"/>
  <c r="CP934" i="4"/>
  <c r="CL934" i="4"/>
  <c r="CH934" i="4"/>
  <c r="CD934" i="4"/>
  <c r="DN933" i="4"/>
  <c r="DJ933" i="4"/>
  <c r="DB933" i="4"/>
  <c r="CX933" i="4"/>
  <c r="CT933" i="4"/>
  <c r="CP933" i="4"/>
  <c r="CL933" i="4"/>
  <c r="CH933" i="4"/>
  <c r="CD933" i="4"/>
  <c r="DN932" i="4"/>
  <c r="DJ932" i="4"/>
  <c r="DB932" i="4"/>
  <c r="CX932" i="4"/>
  <c r="CT932" i="4"/>
  <c r="CP932" i="4"/>
  <c r="CL932" i="4"/>
  <c r="CH932" i="4"/>
  <c r="CD932" i="4"/>
  <c r="DN931" i="4"/>
  <c r="DJ931" i="4"/>
  <c r="DB931" i="4"/>
  <c r="CX931" i="4"/>
  <c r="CT931" i="4"/>
  <c r="CP931" i="4"/>
  <c r="CL931" i="4"/>
  <c r="CH931" i="4"/>
  <c r="CD931" i="4"/>
  <c r="DA928" i="4"/>
  <c r="CZ928" i="4"/>
  <c r="CW928" i="4"/>
  <c r="CV928" i="4"/>
  <c r="CS928" i="4"/>
  <c r="CR928" i="4"/>
  <c r="CO928" i="4"/>
  <c r="CN928" i="4"/>
  <c r="CK928" i="4"/>
  <c r="CJ928" i="4"/>
  <c r="CG928" i="4"/>
  <c r="CF928" i="4"/>
  <c r="CC928" i="4"/>
  <c r="CB928" i="4"/>
  <c r="BY928" i="4"/>
  <c r="BX928" i="4"/>
  <c r="BU928" i="4"/>
  <c r="BT928" i="4"/>
  <c r="BQ928" i="4"/>
  <c r="BP928" i="4"/>
  <c r="BM928" i="4"/>
  <c r="BL928" i="4"/>
  <c r="BI928" i="4"/>
  <c r="BH928" i="4"/>
  <c r="DN927" i="4"/>
  <c r="DJ927" i="4"/>
  <c r="DA927" i="4"/>
  <c r="CZ927" i="4"/>
  <c r="CW927" i="4"/>
  <c r="CV927" i="4"/>
  <c r="CS927" i="4"/>
  <c r="CR927" i="4"/>
  <c r="CO927" i="4"/>
  <c r="CN927" i="4"/>
  <c r="CK927" i="4"/>
  <c r="CJ927" i="4"/>
  <c r="CG927" i="4"/>
  <c r="CF927" i="4"/>
  <c r="CC927" i="4"/>
  <c r="CB927" i="4"/>
  <c r="BY927" i="4"/>
  <c r="BX927" i="4"/>
  <c r="BU927" i="4"/>
  <c r="BT927" i="4"/>
  <c r="BQ927" i="4"/>
  <c r="BP927" i="4"/>
  <c r="BM927" i="4"/>
  <c r="BL927" i="4"/>
  <c r="BI927" i="4"/>
  <c r="BH927" i="4"/>
  <c r="CZ923" i="4"/>
  <c r="CW923" i="4"/>
  <c r="CP922" i="4"/>
  <c r="BJ922" i="4"/>
  <c r="DA921" i="4"/>
  <c r="CZ921" i="4"/>
  <c r="CX921" i="4"/>
  <c r="CT921" i="4"/>
  <c r="CN921" i="4"/>
  <c r="CK921" i="4"/>
  <c r="CG921" i="4"/>
  <c r="CF921" i="4"/>
  <c r="CC921" i="4"/>
  <c r="CB921" i="4"/>
  <c r="BX921" i="4"/>
  <c r="BY921" i="4" s="1"/>
  <c r="BT921" i="4"/>
  <c r="BU921" i="4" s="1"/>
  <c r="BQ921" i="4"/>
  <c r="BP921" i="4"/>
  <c r="BN921" i="4"/>
  <c r="BM921" i="4"/>
  <c r="CK919" i="4"/>
  <c r="CJ919" i="4"/>
  <c r="DA918" i="4"/>
  <c r="CZ918" i="4"/>
  <c r="CW918" i="4"/>
  <c r="CV918" i="4"/>
  <c r="CS918" i="4"/>
  <c r="CR918" i="4"/>
  <c r="CO918" i="4"/>
  <c r="CN918" i="4"/>
  <c r="CK918" i="4"/>
  <c r="CJ918" i="4"/>
  <c r="CG918" i="4"/>
  <c r="CF918" i="4"/>
  <c r="BY918" i="4"/>
  <c r="BX918" i="4"/>
  <c r="BU918" i="4"/>
  <c r="BT918" i="4"/>
  <c r="BQ918" i="4"/>
  <c r="BP918" i="4"/>
  <c r="BL918" i="4"/>
  <c r="BI918" i="4"/>
  <c r="BI924" i="4" s="1"/>
  <c r="BH918" i="4"/>
  <c r="BH924" i="4" s="1"/>
  <c r="DN917" i="4"/>
  <c r="DJ917" i="4"/>
  <c r="DB917" i="4"/>
  <c r="CX917" i="4"/>
  <c r="CT917" i="4"/>
  <c r="CP917" i="4"/>
  <c r="CL917" i="4"/>
  <c r="CH917" i="4"/>
  <c r="CC917" i="4"/>
  <c r="CB917" i="4"/>
  <c r="BZ917" i="4"/>
  <c r="BV917" i="4"/>
  <c r="BR917" i="4"/>
  <c r="BM917" i="4"/>
  <c r="BN917" i="4" s="1"/>
  <c r="BJ917" i="4"/>
  <c r="DB916" i="4"/>
  <c r="CX916" i="4"/>
  <c r="CT916" i="4"/>
  <c r="CP916" i="4"/>
  <c r="CL916" i="4"/>
  <c r="CH916" i="4"/>
  <c r="CD916" i="4"/>
  <c r="BZ916" i="4"/>
  <c r="BV916" i="4"/>
  <c r="BR916" i="4"/>
  <c r="BN916" i="4"/>
  <c r="BJ916" i="4"/>
  <c r="DB915" i="4"/>
  <c r="CX915" i="4"/>
  <c r="CT915" i="4"/>
  <c r="CP915" i="4"/>
  <c r="CL915" i="4"/>
  <c r="CH915" i="4"/>
  <c r="CD915" i="4"/>
  <c r="BZ915" i="4"/>
  <c r="BV915" i="4"/>
  <c r="BR915" i="4"/>
  <c r="BN915" i="4"/>
  <c r="BJ915" i="4"/>
  <c r="DN914" i="4"/>
  <c r="DJ914" i="4"/>
  <c r="DB914" i="4"/>
  <c r="CX914" i="4"/>
  <c r="CT914" i="4"/>
  <c r="CP914" i="4"/>
  <c r="CL914" i="4"/>
  <c r="CH914" i="4"/>
  <c r="CD914" i="4"/>
  <c r="BZ914" i="4"/>
  <c r="BV914" i="4"/>
  <c r="BR914" i="4"/>
  <c r="BN914" i="4"/>
  <c r="BJ914" i="4"/>
  <c r="DA912" i="4"/>
  <c r="CZ912" i="4"/>
  <c r="CW912" i="4"/>
  <c r="CV912" i="4"/>
  <c r="CS912" i="4"/>
  <c r="CR912" i="4"/>
  <c r="CO912" i="4"/>
  <c r="CN912" i="4"/>
  <c r="CK912" i="4"/>
  <c r="CJ912" i="4"/>
  <c r="CG912" i="4"/>
  <c r="CF912" i="4"/>
  <c r="CC912" i="4"/>
  <c r="CB912" i="4"/>
  <c r="BY912" i="4"/>
  <c r="BX912" i="4"/>
  <c r="BU912" i="4"/>
  <c r="BT912" i="4"/>
  <c r="BQ912" i="4"/>
  <c r="BP912" i="4"/>
  <c r="BM912" i="4"/>
  <c r="BL912" i="4"/>
  <c r="BI912" i="4"/>
  <c r="BH912" i="4"/>
  <c r="DN911" i="4"/>
  <c r="DJ911" i="4"/>
  <c r="DA911" i="4"/>
  <c r="CZ911" i="4"/>
  <c r="CW911" i="4"/>
  <c r="CV911" i="4"/>
  <c r="CS911" i="4"/>
  <c r="CR911" i="4"/>
  <c r="CO911" i="4"/>
  <c r="CN911" i="4"/>
  <c r="CK911" i="4"/>
  <c r="CJ911" i="4"/>
  <c r="CG911" i="4"/>
  <c r="CF911" i="4"/>
  <c r="CC911" i="4"/>
  <c r="CB911" i="4"/>
  <c r="BY911" i="4"/>
  <c r="BX911" i="4"/>
  <c r="BU911" i="4"/>
  <c r="BT911" i="4"/>
  <c r="BQ911" i="4"/>
  <c r="BP911" i="4"/>
  <c r="BM911" i="4"/>
  <c r="BL911" i="4"/>
  <c r="BI911" i="4"/>
  <c r="BH911" i="4"/>
  <c r="CG906" i="4"/>
  <c r="CF906" i="4"/>
  <c r="CC906" i="4"/>
  <c r="CB906" i="4"/>
  <c r="BY906" i="4"/>
  <c r="DI903" i="4"/>
  <c r="DL903" i="4" s="1"/>
  <c r="DM903" i="4" s="1"/>
  <c r="DP903" i="4" s="1"/>
  <c r="DQ903" i="4" s="1"/>
  <c r="CZ903" i="4"/>
  <c r="CV903" i="4"/>
  <c r="CR903" i="4"/>
  <c r="CN903" i="4"/>
  <c r="DI902" i="4"/>
  <c r="DL902" i="4" s="1"/>
  <c r="DM902" i="4" s="1"/>
  <c r="DP902" i="4" s="1"/>
  <c r="DQ902" i="4" s="1"/>
  <c r="CZ902" i="4"/>
  <c r="CV902" i="4"/>
  <c r="CR902" i="4"/>
  <c r="CN902" i="4"/>
  <c r="CN901" i="4"/>
  <c r="BY900" i="4"/>
  <c r="BZ900" i="4" s="1"/>
  <c r="DI894" i="4"/>
  <c r="DL894" i="4" s="1"/>
  <c r="DM894" i="4" s="1"/>
  <c r="DP894" i="4" s="1"/>
  <c r="DQ894" i="4" s="1"/>
  <c r="DA893" i="4"/>
  <c r="CZ893" i="4"/>
  <c r="CW893" i="4"/>
  <c r="CV893" i="4"/>
  <c r="CS893" i="4"/>
  <c r="CR893" i="4"/>
  <c r="CO893" i="4"/>
  <c r="CN893" i="4"/>
  <c r="CK893" i="4"/>
  <c r="CJ893" i="4"/>
  <c r="CG893" i="4"/>
  <c r="CF893" i="4"/>
  <c r="CC893" i="4"/>
  <c r="CB893" i="4"/>
  <c r="BX893" i="4"/>
  <c r="BT893" i="4"/>
  <c r="BP893" i="4"/>
  <c r="DM886" i="4"/>
  <c r="DL886" i="4"/>
  <c r="DI886" i="4"/>
  <c r="DA886" i="4"/>
  <c r="CZ886" i="4"/>
  <c r="CW886" i="4"/>
  <c r="CV886" i="4"/>
  <c r="CS886" i="4"/>
  <c r="CR886" i="4"/>
  <c r="CO886" i="4"/>
  <c r="CN886" i="4"/>
  <c r="CK886" i="4"/>
  <c r="CJ886" i="4"/>
  <c r="CG886" i="4"/>
  <c r="CF886" i="4"/>
  <c r="CC886" i="4"/>
  <c r="CB886" i="4"/>
  <c r="BZ886" i="4"/>
  <c r="BV886" i="4"/>
  <c r="BR886" i="4"/>
  <c r="BN886" i="4"/>
  <c r="BJ886" i="4"/>
  <c r="DA883" i="4"/>
  <c r="CZ883" i="4"/>
  <c r="CW883" i="4"/>
  <c r="CV883" i="4"/>
  <c r="CS883" i="4"/>
  <c r="CR883" i="4"/>
  <c r="CO883" i="4"/>
  <c r="CG883" i="4"/>
  <c r="CF883" i="4"/>
  <c r="CC883" i="4"/>
  <c r="CB883" i="4"/>
  <c r="BZ883" i="4"/>
  <c r="BX883" i="4"/>
  <c r="BQ883" i="4"/>
  <c r="BP883" i="4"/>
  <c r="BM883" i="4"/>
  <c r="BL883" i="4"/>
  <c r="BI883" i="4"/>
  <c r="BH883" i="4"/>
  <c r="DA861" i="4"/>
  <c r="DD858" i="4" s="1"/>
  <c r="CZ861" i="4"/>
  <c r="DA858" i="4" s="1"/>
  <c r="CW861" i="4"/>
  <c r="CZ858" i="4" s="1"/>
  <c r="CV861" i="4"/>
  <c r="CW858" i="4" s="1"/>
  <c r="CS861" i="4"/>
  <c r="CV858" i="4" s="1"/>
  <c r="CX858" i="4" s="1"/>
  <c r="CR861" i="4"/>
  <c r="CS858" i="4" s="1"/>
  <c r="CO861" i="4"/>
  <c r="CR858" i="4" s="1"/>
  <c r="CN861" i="4"/>
  <c r="CO858" i="4" s="1"/>
  <c r="CK861" i="4"/>
  <c r="CJ861" i="4"/>
  <c r="CK858" i="4" s="1"/>
  <c r="CG861" i="4"/>
  <c r="CJ858" i="4" s="1"/>
  <c r="CL858" i="4" s="1"/>
  <c r="CF861" i="4"/>
  <c r="CG858" i="4" s="1"/>
  <c r="CC861" i="4"/>
  <c r="CF858" i="4" s="1"/>
  <c r="CH858" i="4" s="1"/>
  <c r="CB861" i="4"/>
  <c r="CC858" i="4" s="1"/>
  <c r="BY861" i="4"/>
  <c r="CB858" i="4" s="1"/>
  <c r="BX861" i="4"/>
  <c r="BY858" i="4" s="1"/>
  <c r="BU861" i="4"/>
  <c r="BT861" i="4"/>
  <c r="BU858" i="4" s="1"/>
  <c r="BQ861" i="4"/>
  <c r="BP861" i="4"/>
  <c r="BQ858" i="4" s="1"/>
  <c r="BM861" i="4"/>
  <c r="BP858" i="4" s="1"/>
  <c r="BR858" i="4" s="1"/>
  <c r="BL861" i="4"/>
  <c r="BM858" i="4" s="1"/>
  <c r="BI861" i="4"/>
  <c r="BL858" i="4" s="1"/>
  <c r="BN858" i="4" s="1"/>
  <c r="BH861" i="4"/>
  <c r="BI858" i="4" s="1"/>
  <c r="DN859" i="4"/>
  <c r="DJ859" i="4"/>
  <c r="DB859" i="4"/>
  <c r="CX859" i="4"/>
  <c r="CT859" i="4"/>
  <c r="CP859" i="4"/>
  <c r="CL859" i="4"/>
  <c r="CH859" i="4"/>
  <c r="CD859" i="4"/>
  <c r="BZ859" i="4"/>
  <c r="BV859" i="4"/>
  <c r="BR859" i="4"/>
  <c r="BN859" i="4"/>
  <c r="BJ859" i="4"/>
  <c r="BH858" i="4"/>
  <c r="BJ858" i="4" s="1"/>
  <c r="DA854" i="4"/>
  <c r="CZ854" i="4"/>
  <c r="CW854" i="4"/>
  <c r="CV854" i="4"/>
  <c r="CS854" i="4"/>
  <c r="CR854" i="4"/>
  <c r="CO854" i="4"/>
  <c r="CN854" i="4"/>
  <c r="CK854" i="4"/>
  <c r="CJ854" i="4"/>
  <c r="CG854" i="4"/>
  <c r="CF854" i="4"/>
  <c r="CC854" i="4"/>
  <c r="CB854" i="4"/>
  <c r="CB864" i="4" s="1"/>
  <c r="BY854" i="4"/>
  <c r="BX854" i="4"/>
  <c r="BU854" i="4"/>
  <c r="BT854" i="4"/>
  <c r="BQ854" i="4"/>
  <c r="BP854" i="4"/>
  <c r="BM854" i="4"/>
  <c r="BL854" i="4"/>
  <c r="BI854" i="4"/>
  <c r="BH854" i="4"/>
  <c r="DN848" i="4"/>
  <c r="DN86" i="4" s="1"/>
  <c r="DJ848" i="4"/>
  <c r="DJ86" i="4" s="1"/>
  <c r="DB848" i="4"/>
  <c r="DB86" i="4" s="1"/>
  <c r="CX848" i="4"/>
  <c r="CX86" i="4" s="1"/>
  <c r="CT848" i="4"/>
  <c r="CP848" i="4"/>
  <c r="CP86" i="4" s="1"/>
  <c r="CL848" i="4"/>
  <c r="CL86" i="4" s="1"/>
  <c r="CH848" i="4"/>
  <c r="CH86" i="4" s="1"/>
  <c r="CC848" i="4"/>
  <c r="CB848" i="4"/>
  <c r="CB86" i="4" s="1"/>
  <c r="BZ848" i="4"/>
  <c r="BV848" i="4"/>
  <c r="BR848" i="4"/>
  <c r="BN848" i="4"/>
  <c r="BJ848" i="4"/>
  <c r="DN847" i="4"/>
  <c r="DJ847" i="4"/>
  <c r="DB847" i="4"/>
  <c r="CX847" i="4"/>
  <c r="CT847" i="4"/>
  <c r="CP847" i="4"/>
  <c r="CL847" i="4"/>
  <c r="CH847" i="4"/>
  <c r="CB847" i="4"/>
  <c r="CB85" i="4" s="1"/>
  <c r="DN846" i="4"/>
  <c r="DJ846" i="4"/>
  <c r="DB846" i="4"/>
  <c r="CX846" i="4"/>
  <c r="CT846" i="4"/>
  <c r="CP846" i="4"/>
  <c r="CL846" i="4"/>
  <c r="CG846" i="4"/>
  <c r="CF846" i="4"/>
  <c r="CJ842" i="4"/>
  <c r="CJ843" i="4" s="1"/>
  <c r="CJ844" i="4" s="1"/>
  <c r="CC842" i="4"/>
  <c r="CC843" i="4" s="1"/>
  <c r="CC99" i="4" s="1"/>
  <c r="CB842" i="4"/>
  <c r="DN840" i="4"/>
  <c r="DJ840" i="4"/>
  <c r="CT840" i="4"/>
  <c r="CN840" i="4"/>
  <c r="CN785" i="4" s="1"/>
  <c r="CK840" i="4"/>
  <c r="CL840" i="4" s="1"/>
  <c r="CL785" i="4" s="1"/>
  <c r="CG840" i="4"/>
  <c r="CG87" i="4" s="1"/>
  <c r="CF840" i="4"/>
  <c r="CF87" i="4" s="1"/>
  <c r="CD840" i="4"/>
  <c r="BZ840" i="4"/>
  <c r="BV840" i="4"/>
  <c r="BR840" i="4"/>
  <c r="BN840" i="4"/>
  <c r="BJ840" i="4"/>
  <c r="BJ785" i="4" s="1"/>
  <c r="CV839" i="4"/>
  <c r="CS839" i="4"/>
  <c r="DN828" i="4"/>
  <c r="DN88" i="4" s="1"/>
  <c r="DJ828" i="4"/>
  <c r="DJ782" i="4" s="1"/>
  <c r="DB828" i="4"/>
  <c r="CX828" i="4"/>
  <c r="CX88" i="4" s="1"/>
  <c r="CT828" i="4"/>
  <c r="CT782" i="4" s="1"/>
  <c r="CP828" i="4"/>
  <c r="CP782" i="4" s="1"/>
  <c r="CL828" i="4"/>
  <c r="CH828" i="4"/>
  <c r="CH88" i="4" s="1"/>
  <c r="CD828" i="4"/>
  <c r="CD782" i="4" s="1"/>
  <c r="BZ828" i="4"/>
  <c r="BZ88" i="4" s="1"/>
  <c r="BV828" i="4"/>
  <c r="BR828" i="4"/>
  <c r="BN828" i="4"/>
  <c r="BJ828" i="4"/>
  <c r="DN827" i="4"/>
  <c r="DN784" i="4" s="1"/>
  <c r="DJ827" i="4"/>
  <c r="DJ784" i="4" s="1"/>
  <c r="DB827" i="4"/>
  <c r="DB784" i="4" s="1"/>
  <c r="CX827" i="4"/>
  <c r="CX784" i="4" s="1"/>
  <c r="CT827" i="4"/>
  <c r="CT784" i="4" s="1"/>
  <c r="CP827" i="4"/>
  <c r="CP784" i="4" s="1"/>
  <c r="DN826" i="4"/>
  <c r="DJ826" i="4"/>
  <c r="DB826" i="4"/>
  <c r="DB781" i="4" s="1"/>
  <c r="CX826" i="4"/>
  <c r="CX781" i="4" s="1"/>
  <c r="CT826" i="4"/>
  <c r="CP826" i="4"/>
  <c r="CL826" i="4"/>
  <c r="CH826" i="4"/>
  <c r="CH781" i="4" s="1"/>
  <c r="CD826" i="4"/>
  <c r="BZ826" i="4"/>
  <c r="BV826" i="4"/>
  <c r="BR826" i="4"/>
  <c r="BN826" i="4"/>
  <c r="BJ826" i="4"/>
  <c r="BJ781" i="4" s="1"/>
  <c r="DM822" i="4"/>
  <c r="DL822" i="4"/>
  <c r="DI822" i="4"/>
  <c r="DA822" i="4"/>
  <c r="CZ822" i="4"/>
  <c r="CW822" i="4"/>
  <c r="CV822" i="4"/>
  <c r="CS822" i="4"/>
  <c r="CR822" i="4"/>
  <c r="CO822" i="4"/>
  <c r="CN822" i="4"/>
  <c r="CK822" i="4"/>
  <c r="CJ822" i="4"/>
  <c r="CG822" i="4"/>
  <c r="CF822" i="4"/>
  <c r="CC822" i="4"/>
  <c r="CB822" i="4"/>
  <c r="DM821" i="4"/>
  <c r="DL821" i="4"/>
  <c r="DI821" i="4"/>
  <c r="DA821" i="4"/>
  <c r="CZ821" i="4"/>
  <c r="CW821" i="4"/>
  <c r="CV821" i="4"/>
  <c r="CS821" i="4"/>
  <c r="CR821" i="4"/>
  <c r="CO821" i="4"/>
  <c r="CN821" i="4"/>
  <c r="CK821" i="4"/>
  <c r="CJ821" i="4"/>
  <c r="CG821" i="4"/>
  <c r="CF821" i="4"/>
  <c r="CC821" i="4"/>
  <c r="CB821" i="4"/>
  <c r="DA820" i="4"/>
  <c r="CZ820" i="4"/>
  <c r="CW820" i="4"/>
  <c r="CV820" i="4"/>
  <c r="CR820" i="4"/>
  <c r="CO820" i="4"/>
  <c r="CC820" i="4"/>
  <c r="CB820" i="4"/>
  <c r="DN819" i="4"/>
  <c r="DJ819" i="4"/>
  <c r="DB819" i="4"/>
  <c r="CX819" i="4"/>
  <c r="CT819" i="4"/>
  <c r="CN819" i="4"/>
  <c r="CN820" i="4" s="1"/>
  <c r="CL819" i="4"/>
  <c r="CH819" i="4"/>
  <c r="CD819" i="4"/>
  <c r="A816" i="4"/>
  <c r="A815" i="4"/>
  <c r="A814" i="4"/>
  <c r="DA813" i="4"/>
  <c r="CZ813" i="4"/>
  <c r="CW813" i="4"/>
  <c r="CV813" i="4"/>
  <c r="CS813" i="4"/>
  <c r="CR813" i="4"/>
  <c r="CO813" i="4"/>
  <c r="CC813" i="4"/>
  <c r="BX813" i="4"/>
  <c r="BU813" i="4"/>
  <c r="BT813" i="4"/>
  <c r="BQ813" i="4"/>
  <c r="BP813" i="4"/>
  <c r="BM813" i="4"/>
  <c r="BL813" i="4"/>
  <c r="BI813" i="4"/>
  <c r="A813" i="4"/>
  <c r="DA812" i="4"/>
  <c r="CZ812" i="4"/>
  <c r="CW812" i="4"/>
  <c r="CR812" i="4"/>
  <c r="CO812" i="4"/>
  <c r="CC812" i="4"/>
  <c r="BU812" i="4"/>
  <c r="BT812" i="4"/>
  <c r="BQ812" i="4"/>
  <c r="BP812" i="4"/>
  <c r="BM812" i="4"/>
  <c r="BL812" i="4"/>
  <c r="BI812" i="4"/>
  <c r="A812" i="4"/>
  <c r="DN809" i="4"/>
  <c r="DJ809" i="4"/>
  <c r="DB809" i="4"/>
  <c r="CX809" i="4"/>
  <c r="CT809" i="4"/>
  <c r="CP809" i="4"/>
  <c r="CL809" i="4"/>
  <c r="CH809" i="4"/>
  <c r="CD809" i="4"/>
  <c r="BZ809" i="4"/>
  <c r="BV809" i="4"/>
  <c r="BR809" i="4"/>
  <c r="BN809" i="4"/>
  <c r="BJ809" i="4"/>
  <c r="DN808" i="4"/>
  <c r="DN783" i="4" s="1"/>
  <c r="DJ808" i="4"/>
  <c r="DJ783" i="4" s="1"/>
  <c r="DB808" i="4"/>
  <c r="DB783" i="4" s="1"/>
  <c r="CX808" i="4"/>
  <c r="CX783" i="4" s="1"/>
  <c r="CT808" i="4"/>
  <c r="CT783" i="4" s="1"/>
  <c r="CP808" i="4"/>
  <c r="CP783" i="4" s="1"/>
  <c r="CL808" i="4"/>
  <c r="CL783" i="4" s="1"/>
  <c r="CH808" i="4"/>
  <c r="CH783" i="4" s="1"/>
  <c r="CD808" i="4"/>
  <c r="CD783" i="4" s="1"/>
  <c r="BZ808" i="4"/>
  <c r="BV808" i="4"/>
  <c r="DB806" i="4"/>
  <c r="DG806" i="4" s="1"/>
  <c r="CX806" i="4"/>
  <c r="CT806" i="4"/>
  <c r="CP806" i="4"/>
  <c r="CK806" i="4"/>
  <c r="CJ806" i="4"/>
  <c r="CG806" i="4"/>
  <c r="CF806" i="4"/>
  <c r="CD806" i="4"/>
  <c r="BZ806" i="4"/>
  <c r="BY806" i="4" s="1"/>
  <c r="BV806" i="4"/>
  <c r="BR806" i="4"/>
  <c r="BN806" i="4"/>
  <c r="BJ806" i="4"/>
  <c r="DB805" i="4"/>
  <c r="CX805" i="4"/>
  <c r="CS805" i="4"/>
  <c r="CP805" i="4"/>
  <c r="CK805" i="4"/>
  <c r="CJ805" i="4"/>
  <c r="CG805" i="4"/>
  <c r="CF805" i="4"/>
  <c r="CD805" i="4"/>
  <c r="BZ805" i="4"/>
  <c r="BX805" i="4"/>
  <c r="BV805" i="4"/>
  <c r="BR805" i="4"/>
  <c r="BN805" i="4"/>
  <c r="BJ805" i="4"/>
  <c r="DA796" i="4"/>
  <c r="CZ796" i="4"/>
  <c r="CW796" i="4"/>
  <c r="CV796" i="4"/>
  <c r="CS796" i="4"/>
  <c r="CR796" i="4"/>
  <c r="CO796" i="4"/>
  <c r="CN796" i="4"/>
  <c r="CK796" i="4"/>
  <c r="CJ796" i="4"/>
  <c r="CG796" i="4"/>
  <c r="CF796" i="4"/>
  <c r="CC796" i="4"/>
  <c r="BX796" i="4"/>
  <c r="BU796" i="4"/>
  <c r="BT796" i="4"/>
  <c r="BQ796" i="4"/>
  <c r="BP796" i="4"/>
  <c r="BM796" i="4"/>
  <c r="BL796" i="4"/>
  <c r="BI796" i="4"/>
  <c r="BH796" i="4"/>
  <c r="DA795" i="4"/>
  <c r="CZ795" i="4"/>
  <c r="CW795" i="4"/>
  <c r="CV795" i="4"/>
  <c r="CS795" i="4"/>
  <c r="CR795" i="4"/>
  <c r="CO795" i="4"/>
  <c r="CN795" i="4"/>
  <c r="CK795" i="4"/>
  <c r="CJ795" i="4"/>
  <c r="CG795" i="4"/>
  <c r="CF795" i="4"/>
  <c r="CC795" i="4"/>
  <c r="BX795" i="4"/>
  <c r="BU795" i="4"/>
  <c r="BT795" i="4"/>
  <c r="BQ795" i="4"/>
  <c r="BP795" i="4"/>
  <c r="BM795" i="4"/>
  <c r="BL795" i="4"/>
  <c r="BI795" i="4"/>
  <c r="BH795" i="4"/>
  <c r="DB794" i="4"/>
  <c r="CX794" i="4"/>
  <c r="CT794" i="4"/>
  <c r="CP794" i="4"/>
  <c r="CL794" i="4"/>
  <c r="CH794" i="4"/>
  <c r="CD794" i="4"/>
  <c r="BZ794" i="4"/>
  <c r="BV794" i="4"/>
  <c r="BR794" i="4"/>
  <c r="BN794" i="4"/>
  <c r="BJ794" i="4"/>
  <c r="CB792" i="4"/>
  <c r="DN786" i="4"/>
  <c r="DJ786" i="4"/>
  <c r="DB786" i="4"/>
  <c r="CX786" i="4"/>
  <c r="CT786" i="4"/>
  <c r="CP786" i="4"/>
  <c r="CL786" i="4"/>
  <c r="CH786" i="4"/>
  <c r="CD786" i="4"/>
  <c r="DM784" i="4"/>
  <c r="DL784" i="4"/>
  <c r="DI784" i="4"/>
  <c r="DA784" i="4"/>
  <c r="CZ784" i="4"/>
  <c r="CW784" i="4"/>
  <c r="CV784" i="4"/>
  <c r="CS784" i="4"/>
  <c r="CR784" i="4"/>
  <c r="CO784" i="4"/>
  <c r="CN784" i="4"/>
  <c r="CL784" i="4"/>
  <c r="CK784" i="4"/>
  <c r="CJ784" i="4"/>
  <c r="DM783" i="4"/>
  <c r="DL783" i="4"/>
  <c r="DI783" i="4"/>
  <c r="DA783" i="4"/>
  <c r="CZ783" i="4"/>
  <c r="CW783" i="4"/>
  <c r="CV783" i="4"/>
  <c r="CS783" i="4"/>
  <c r="CR783" i="4"/>
  <c r="CO783" i="4"/>
  <c r="CN783" i="4"/>
  <c r="CK783" i="4"/>
  <c r="CJ783" i="4"/>
  <c r="CG783" i="4"/>
  <c r="CF783" i="4"/>
  <c r="CC783" i="4"/>
  <c r="CB783" i="4"/>
  <c r="DM782" i="4"/>
  <c r="DL782" i="4"/>
  <c r="DI782" i="4"/>
  <c r="DA782" i="4"/>
  <c r="CZ782" i="4"/>
  <c r="CW782" i="4"/>
  <c r="CV782" i="4"/>
  <c r="CS782" i="4"/>
  <c r="CR782" i="4"/>
  <c r="CO782" i="4"/>
  <c r="CN782" i="4"/>
  <c r="CK782" i="4"/>
  <c r="CJ782" i="4"/>
  <c r="CG782" i="4"/>
  <c r="CF782" i="4"/>
  <c r="CC782" i="4"/>
  <c r="CB782" i="4"/>
  <c r="BY782" i="4"/>
  <c r="BX782" i="4"/>
  <c r="DM781" i="4"/>
  <c r="DL781" i="4"/>
  <c r="DI781" i="4"/>
  <c r="DA781" i="4"/>
  <c r="CZ781" i="4"/>
  <c r="CW781" i="4"/>
  <c r="CV781" i="4"/>
  <c r="CS781" i="4"/>
  <c r="CR781" i="4"/>
  <c r="CO781" i="4"/>
  <c r="CN781" i="4"/>
  <c r="CK781" i="4"/>
  <c r="CJ781" i="4"/>
  <c r="CG781" i="4"/>
  <c r="CF781" i="4"/>
  <c r="CC781" i="4"/>
  <c r="CB781" i="4"/>
  <c r="BY781" i="4"/>
  <c r="BX781" i="4"/>
  <c r="BU781" i="4"/>
  <c r="BT781" i="4"/>
  <c r="BQ781" i="4"/>
  <c r="BP781" i="4"/>
  <c r="BM781" i="4"/>
  <c r="BL781" i="4"/>
  <c r="BI781" i="4"/>
  <c r="BH781" i="4"/>
  <c r="CZ779" i="4"/>
  <c r="CZ829" i="4" s="1"/>
  <c r="DD831" i="4" s="1"/>
  <c r="CW779" i="4"/>
  <c r="CV779" i="4"/>
  <c r="CC779" i="4"/>
  <c r="CB779" i="4"/>
  <c r="BX779" i="4"/>
  <c r="BT779" i="4"/>
  <c r="BQ779" i="4"/>
  <c r="BP779" i="4"/>
  <c r="BM779" i="4"/>
  <c r="BL779" i="4"/>
  <c r="BL829" i="4" s="1"/>
  <c r="BL825" i="4" s="1"/>
  <c r="BI779" i="4"/>
  <c r="BH779" i="4"/>
  <c r="DA778" i="4"/>
  <c r="CZ778" i="4"/>
  <c r="CW778" i="4"/>
  <c r="CV778" i="4"/>
  <c r="CR778" i="4"/>
  <c r="CO778" i="4"/>
  <c r="CO837" i="4" s="1"/>
  <c r="CN778" i="4"/>
  <c r="CC778" i="4"/>
  <c r="CC810" i="4" s="1"/>
  <c r="CB778" i="4"/>
  <c r="BX778" i="4"/>
  <c r="BU778" i="4"/>
  <c r="BT778" i="4"/>
  <c r="BQ778" i="4"/>
  <c r="BP778" i="4"/>
  <c r="BM778" i="4"/>
  <c r="BM810" i="4" s="1"/>
  <c r="DA777" i="4"/>
  <c r="CZ777" i="4"/>
  <c r="CZ801" i="4" s="1"/>
  <c r="DD803" i="4" s="1"/>
  <c r="CW777" i="4"/>
  <c r="CV777" i="4"/>
  <c r="CS777" i="4"/>
  <c r="CR777" i="4"/>
  <c r="CR801" i="4" s="1"/>
  <c r="CO777" i="4"/>
  <c r="CN777" i="4"/>
  <c r="CN801" i="4" s="1"/>
  <c r="CC777" i="4"/>
  <c r="CB777" i="4"/>
  <c r="BX777" i="4"/>
  <c r="BU777" i="4"/>
  <c r="BT777" i="4"/>
  <c r="BQ777" i="4"/>
  <c r="BP777" i="4"/>
  <c r="BM777" i="4"/>
  <c r="DA776" i="4"/>
  <c r="CZ776" i="4"/>
  <c r="CW776" i="4"/>
  <c r="CW793" i="4" s="1"/>
  <c r="CV776" i="4"/>
  <c r="CS776" i="4"/>
  <c r="CR776" i="4"/>
  <c r="CO776" i="4"/>
  <c r="CN776" i="4"/>
  <c r="CC776" i="4"/>
  <c r="CB776" i="4"/>
  <c r="BX776" i="4"/>
  <c r="BX793" i="4" s="1"/>
  <c r="BQ776" i="4"/>
  <c r="BP776" i="4"/>
  <c r="BM776" i="4"/>
  <c r="BM793" i="4" s="1"/>
  <c r="BL776" i="4"/>
  <c r="BI776" i="4"/>
  <c r="BH776" i="4"/>
  <c r="BH793" i="4" s="1"/>
  <c r="DM785" i="4"/>
  <c r="DL785" i="4"/>
  <c r="DI785" i="4"/>
  <c r="DB785" i="4"/>
  <c r="DA785" i="4"/>
  <c r="CZ785" i="4"/>
  <c r="CX785" i="4"/>
  <c r="CW785" i="4"/>
  <c r="CV785" i="4"/>
  <c r="CS785" i="4"/>
  <c r="CR785" i="4"/>
  <c r="CO785" i="4"/>
  <c r="CJ785" i="4"/>
  <c r="CC785" i="4"/>
  <c r="CB785" i="4"/>
  <c r="BY785" i="4"/>
  <c r="BX785" i="4"/>
  <c r="BU785" i="4"/>
  <c r="BT785" i="4"/>
  <c r="BQ785" i="4"/>
  <c r="BP785" i="4"/>
  <c r="BM785" i="4"/>
  <c r="BL785" i="4"/>
  <c r="BI785" i="4"/>
  <c r="BH785" i="4"/>
  <c r="DM771" i="4"/>
  <c r="DL771" i="4"/>
  <c r="DI771" i="4"/>
  <c r="DA771" i="4"/>
  <c r="CZ771" i="4"/>
  <c r="CW771" i="4"/>
  <c r="CV771" i="4"/>
  <c r="CS771" i="4"/>
  <c r="CR771" i="4"/>
  <c r="CO771" i="4"/>
  <c r="CN771" i="4"/>
  <c r="CK771" i="4"/>
  <c r="CJ771" i="4"/>
  <c r="CG771" i="4"/>
  <c r="CF771" i="4"/>
  <c r="CC771" i="4"/>
  <c r="CB771" i="4"/>
  <c r="BY771" i="4"/>
  <c r="BX771" i="4"/>
  <c r="BU771" i="4"/>
  <c r="BT771" i="4"/>
  <c r="BQ771" i="4"/>
  <c r="BP771" i="4"/>
  <c r="BM771" i="4"/>
  <c r="BL771" i="4"/>
  <c r="BI771" i="4"/>
  <c r="BH771" i="4"/>
  <c r="CK766" i="4"/>
  <c r="CJ766" i="4"/>
  <c r="CG766" i="4"/>
  <c r="CF766" i="4"/>
  <c r="CC766" i="4"/>
  <c r="CB766" i="4"/>
  <c r="BY766" i="4"/>
  <c r="BX766" i="4"/>
  <c r="BU766" i="4"/>
  <c r="BT766" i="4"/>
  <c r="BQ766" i="4"/>
  <c r="BP766" i="4"/>
  <c r="BM766" i="4"/>
  <c r="BL766" i="4"/>
  <c r="BI766" i="4"/>
  <c r="BH766" i="4"/>
  <c r="CC764" i="4"/>
  <c r="CB764" i="4"/>
  <c r="BY764" i="4"/>
  <c r="BX764" i="4"/>
  <c r="BU764" i="4"/>
  <c r="BT764" i="4"/>
  <c r="BQ764" i="4"/>
  <c r="BP764" i="4"/>
  <c r="CC763" i="4"/>
  <c r="CB763" i="4"/>
  <c r="BY763" i="4"/>
  <c r="BX763" i="4"/>
  <c r="BU763" i="4"/>
  <c r="BT763" i="4"/>
  <c r="BQ763" i="4"/>
  <c r="BP763" i="4"/>
  <c r="CL762" i="4"/>
  <c r="CJ762" i="4"/>
  <c r="CG762" i="4"/>
  <c r="CF762" i="4"/>
  <c r="CD762" i="4"/>
  <c r="BZ762" i="4"/>
  <c r="BV762" i="4"/>
  <c r="BR762" i="4"/>
  <c r="BN762" i="4"/>
  <c r="BL762" i="4"/>
  <c r="BM764" i="4" s="1"/>
  <c r="BI762" i="4"/>
  <c r="BJ762" i="4" s="1"/>
  <c r="BH762" i="4"/>
  <c r="CK761" i="4"/>
  <c r="CJ761" i="4"/>
  <c r="CG761" i="4"/>
  <c r="CF761" i="4"/>
  <c r="CC761" i="4"/>
  <c r="CB761" i="4"/>
  <c r="BY761" i="4"/>
  <c r="BX761" i="4"/>
  <c r="BU761" i="4"/>
  <c r="BT761" i="4"/>
  <c r="BQ761" i="4"/>
  <c r="BP761" i="4"/>
  <c r="BM761" i="4"/>
  <c r="BL761" i="4"/>
  <c r="BI761" i="4"/>
  <c r="BH761" i="4"/>
  <c r="CL760" i="4"/>
  <c r="CH760" i="4"/>
  <c r="CD760" i="4"/>
  <c r="BZ760" i="4"/>
  <c r="BV760" i="4"/>
  <c r="BR760" i="4"/>
  <c r="BN760" i="4"/>
  <c r="BJ760" i="4"/>
  <c r="CL759" i="4"/>
  <c r="CH759" i="4"/>
  <c r="CD759" i="4"/>
  <c r="BZ759" i="4"/>
  <c r="BV759" i="4"/>
  <c r="BR759" i="4"/>
  <c r="BN759" i="4"/>
  <c r="BJ759" i="4"/>
  <c r="BH748" i="4"/>
  <c r="BY747" i="4"/>
  <c r="BZ747" i="4" s="1"/>
  <c r="BU747" i="4"/>
  <c r="BV747" i="4" s="1"/>
  <c r="BR747" i="4"/>
  <c r="BN747" i="4"/>
  <c r="BJ747" i="4"/>
  <c r="BY746" i="4"/>
  <c r="BU746" i="4"/>
  <c r="BV746" i="4" s="1"/>
  <c r="BR746" i="4"/>
  <c r="BN746" i="4"/>
  <c r="BJ746" i="4"/>
  <c r="BJ745" i="4"/>
  <c r="CR742" i="4"/>
  <c r="CO742" i="4"/>
  <c r="CO741" i="4" s="1"/>
  <c r="CN742" i="4"/>
  <c r="CK742" i="4"/>
  <c r="CK741" i="4" s="1"/>
  <c r="CJ742" i="4"/>
  <c r="CG742" i="4"/>
  <c r="CG741" i="4" s="1"/>
  <c r="CF742" i="4"/>
  <c r="CS741" i="4"/>
  <c r="CF735" i="4"/>
  <c r="CC735" i="4"/>
  <c r="CS732" i="4"/>
  <c r="CG732" i="4"/>
  <c r="CH732" i="4" s="1"/>
  <c r="CD732" i="4"/>
  <c r="BQ725" i="4"/>
  <c r="BP725" i="4"/>
  <c r="BM725" i="4"/>
  <c r="BL725" i="4"/>
  <c r="BI725" i="4"/>
  <c r="BH725" i="4"/>
  <c r="BY722" i="4"/>
  <c r="BZ722" i="4" s="1"/>
  <c r="BU722" i="4"/>
  <c r="BQ722" i="4"/>
  <c r="BP722" i="4"/>
  <c r="BM722" i="4"/>
  <c r="BL722" i="4"/>
  <c r="BI722" i="4"/>
  <c r="BH722" i="4"/>
  <c r="BY721" i="4"/>
  <c r="BU721" i="4"/>
  <c r="BV721" i="4" s="1"/>
  <c r="BQ721" i="4"/>
  <c r="BP721" i="4"/>
  <c r="BM721" i="4"/>
  <c r="BL721" i="4"/>
  <c r="BI721" i="4"/>
  <c r="BH721" i="4"/>
  <c r="BH720" i="4"/>
  <c r="BZ717" i="4"/>
  <c r="BV717" i="4"/>
  <c r="BR717" i="4"/>
  <c r="BN717" i="4"/>
  <c r="BJ717" i="4"/>
  <c r="CL709" i="4"/>
  <c r="CF709" i="4"/>
  <c r="BX709" i="4"/>
  <c r="BH708" i="4"/>
  <c r="CO707" i="4"/>
  <c r="CK707" i="4"/>
  <c r="CG707" i="4"/>
  <c r="BX707" i="4"/>
  <c r="BT707" i="4"/>
  <c r="BR707" i="4"/>
  <c r="BN707" i="4"/>
  <c r="BJ707" i="4"/>
  <c r="CO706" i="4"/>
  <c r="CK706" i="4"/>
  <c r="CG706" i="4"/>
  <c r="BX706" i="4"/>
  <c r="BT706" i="4"/>
  <c r="BR706" i="4"/>
  <c r="BN706" i="4"/>
  <c r="BJ706" i="4"/>
  <c r="CO705" i="4"/>
  <c r="CK705" i="4"/>
  <c r="CF705" i="4"/>
  <c r="BX705" i="4"/>
  <c r="BT705" i="4"/>
  <c r="BR705" i="4"/>
  <c r="BN705" i="4"/>
  <c r="BJ705" i="4"/>
  <c r="BX704" i="4"/>
  <c r="BR704" i="4"/>
  <c r="BJ704" i="4"/>
  <c r="CH703" i="4"/>
  <c r="BJ703" i="4"/>
  <c r="CO701" i="4"/>
  <c r="CN701" i="4"/>
  <c r="CK701" i="4"/>
  <c r="CG699" i="4"/>
  <c r="CF699" i="4"/>
  <c r="CC699" i="4"/>
  <c r="CB699" i="4"/>
  <c r="BY699" i="4"/>
  <c r="BX699" i="4"/>
  <c r="BU699" i="4"/>
  <c r="BT699" i="4"/>
  <c r="BQ699" i="4"/>
  <c r="BP699" i="4"/>
  <c r="BM699" i="4"/>
  <c r="A693" i="4"/>
  <c r="DA692" i="4"/>
  <c r="CZ692" i="4"/>
  <c r="CW692" i="4"/>
  <c r="CV692" i="4"/>
  <c r="CS692" i="4"/>
  <c r="CR692" i="4"/>
  <c r="CO692" i="4"/>
  <c r="CN692" i="4"/>
  <c r="CK692" i="4"/>
  <c r="CJ692" i="4"/>
  <c r="CG692" i="4"/>
  <c r="CF692" i="4"/>
  <c r="CC692" i="4"/>
  <c r="CB692" i="4"/>
  <c r="BY692" i="4"/>
  <c r="BX692" i="4"/>
  <c r="BU692" i="4"/>
  <c r="BT692" i="4"/>
  <c r="BQ692" i="4"/>
  <c r="BP692" i="4"/>
  <c r="BM692" i="4"/>
  <c r="BL692" i="4"/>
  <c r="BI692" i="4"/>
  <c r="A692" i="4"/>
  <c r="A691" i="4"/>
  <c r="A690" i="4"/>
  <c r="DA689" i="4"/>
  <c r="CZ689" i="4"/>
  <c r="CW689" i="4"/>
  <c r="CV689" i="4"/>
  <c r="CS689" i="4"/>
  <c r="CR689" i="4"/>
  <c r="CO689" i="4"/>
  <c r="CN689" i="4"/>
  <c r="CK689" i="4"/>
  <c r="CJ689" i="4"/>
  <c r="CG689" i="4"/>
  <c r="CF689" i="4"/>
  <c r="CC689" i="4"/>
  <c r="CB689" i="4"/>
  <c r="BY689" i="4"/>
  <c r="BX689" i="4"/>
  <c r="BU689" i="4"/>
  <c r="BT689" i="4"/>
  <c r="BQ689" i="4"/>
  <c r="BP689" i="4"/>
  <c r="BM689" i="4"/>
  <c r="BL689" i="4"/>
  <c r="BI689" i="4"/>
  <c r="A689" i="4"/>
  <c r="A688" i="4"/>
  <c r="BI686" i="4"/>
  <c r="BH686" i="4"/>
  <c r="BH684" i="4" s="1"/>
  <c r="DB685" i="4"/>
  <c r="CX685" i="4"/>
  <c r="CT685" i="4"/>
  <c r="CP685" i="4"/>
  <c r="CL685" i="4"/>
  <c r="CH685" i="4"/>
  <c r="CD685" i="4"/>
  <c r="BZ685" i="4"/>
  <c r="BV685" i="4"/>
  <c r="BR685" i="4"/>
  <c r="BN685" i="4"/>
  <c r="BJ685" i="4"/>
  <c r="DM684" i="4"/>
  <c r="DL684" i="4"/>
  <c r="DI684" i="4"/>
  <c r="BI683" i="4"/>
  <c r="BH683" i="4"/>
  <c r="BH681" i="4" s="1"/>
  <c r="DB682" i="4"/>
  <c r="CX682" i="4"/>
  <c r="CT682" i="4"/>
  <c r="CP682" i="4"/>
  <c r="CL682" i="4"/>
  <c r="CH682" i="4"/>
  <c r="CD682" i="4"/>
  <c r="BZ682" i="4"/>
  <c r="BV682" i="4"/>
  <c r="BR682" i="4"/>
  <c r="BN682" i="4"/>
  <c r="BJ682" i="4"/>
  <c r="DN680" i="4"/>
  <c r="DJ680" i="4"/>
  <c r="DA680" i="4"/>
  <c r="CW680" i="4"/>
  <c r="CS680" i="4"/>
  <c r="CO680" i="4"/>
  <c r="CK680" i="4"/>
  <c r="CG680" i="4"/>
  <c r="CC680" i="4"/>
  <c r="BY680" i="4"/>
  <c r="BI676" i="4"/>
  <c r="BI674" i="4"/>
  <c r="BI673" i="4"/>
  <c r="DM670" i="4"/>
  <c r="DM22" i="4" s="1"/>
  <c r="DL670" i="4"/>
  <c r="DL22" i="4" s="1"/>
  <c r="DI670" i="4"/>
  <c r="DI22" i="4" s="1"/>
  <c r="DA670" i="4"/>
  <c r="CZ670" i="4"/>
  <c r="CW670" i="4"/>
  <c r="CV670" i="4"/>
  <c r="CS670" i="4"/>
  <c r="CR670" i="4"/>
  <c r="CO670" i="4"/>
  <c r="CN670" i="4"/>
  <c r="CK670" i="4"/>
  <c r="CJ670" i="4"/>
  <c r="CG670" i="4"/>
  <c r="CF670" i="4"/>
  <c r="CC670" i="4"/>
  <c r="CB670" i="4"/>
  <c r="BY670" i="4"/>
  <c r="BX670" i="4"/>
  <c r="BU670" i="4"/>
  <c r="BT670" i="4"/>
  <c r="BQ670" i="4"/>
  <c r="BP670" i="4"/>
  <c r="BM670" i="4"/>
  <c r="BL670" i="4"/>
  <c r="BL676" i="4" s="1"/>
  <c r="BJ670" i="4"/>
  <c r="BI669" i="4"/>
  <c r="BH669" i="4"/>
  <c r="BH671" i="4" s="1"/>
  <c r="DM668" i="4"/>
  <c r="DM21" i="4" s="1"/>
  <c r="DL668" i="4"/>
  <c r="DL21" i="4" s="1"/>
  <c r="DI668" i="4"/>
  <c r="DI21" i="4" s="1"/>
  <c r="DA668" i="4"/>
  <c r="CZ668" i="4"/>
  <c r="CZ686" i="4" s="1"/>
  <c r="CZ684" i="4" s="1"/>
  <c r="CW668" i="4"/>
  <c r="CW686" i="4" s="1"/>
  <c r="CW684" i="4" s="1"/>
  <c r="CV668" i="4"/>
  <c r="CS668" i="4"/>
  <c r="CS734" i="4" s="1"/>
  <c r="CR668" i="4"/>
  <c r="CO668" i="4"/>
  <c r="CN668" i="4"/>
  <c r="CN686" i="4" s="1"/>
  <c r="CK668" i="4"/>
  <c r="CJ668" i="4"/>
  <c r="CC668" i="4"/>
  <c r="CC686" i="4" s="1"/>
  <c r="CC684" i="4" s="1"/>
  <c r="CB668" i="4"/>
  <c r="BY668" i="4"/>
  <c r="BX668" i="4"/>
  <c r="BX686" i="4" s="1"/>
  <c r="BX684" i="4" s="1"/>
  <c r="BU668" i="4"/>
  <c r="BT668" i="4"/>
  <c r="BT686" i="4" s="1"/>
  <c r="BQ668" i="4"/>
  <c r="BP668" i="4"/>
  <c r="BP686" i="4" s="1"/>
  <c r="BM668" i="4"/>
  <c r="BM686" i="4" s="1"/>
  <c r="BM684" i="4" s="1"/>
  <c r="BL668" i="4"/>
  <c r="BJ668" i="4"/>
  <c r="BJ686" i="4" s="1"/>
  <c r="DA667" i="4"/>
  <c r="CZ667" i="4"/>
  <c r="CZ683" i="4" s="1"/>
  <c r="CW667" i="4"/>
  <c r="CV667" i="4"/>
  <c r="CV683" i="4" s="1"/>
  <c r="CS667" i="4"/>
  <c r="CR667" i="4"/>
  <c r="CR683" i="4" s="1"/>
  <c r="CR681" i="4" s="1"/>
  <c r="CO667" i="4"/>
  <c r="CN667" i="4"/>
  <c r="CN683" i="4" s="1"/>
  <c r="CK667" i="4"/>
  <c r="CJ667" i="4"/>
  <c r="CJ683" i="4" s="1"/>
  <c r="CG667" i="4"/>
  <c r="CG683" i="4" s="1"/>
  <c r="CF667" i="4"/>
  <c r="CC667" i="4"/>
  <c r="CC683" i="4" s="1"/>
  <c r="CB667" i="4"/>
  <c r="CB683" i="4" s="1"/>
  <c r="BY667" i="4"/>
  <c r="BX667" i="4"/>
  <c r="BU667" i="4"/>
  <c r="BU683" i="4" s="1"/>
  <c r="BU681" i="4" s="1"/>
  <c r="BT667" i="4"/>
  <c r="BQ667" i="4"/>
  <c r="BP667" i="4"/>
  <c r="BM667" i="4"/>
  <c r="BM683" i="4" s="1"/>
  <c r="BM681" i="4" s="1"/>
  <c r="BL667" i="4"/>
  <c r="BJ667" i="4"/>
  <c r="DN661" i="4"/>
  <c r="DJ661" i="4"/>
  <c r="CZ661" i="4"/>
  <c r="DB661" i="4" s="1"/>
  <c r="CV661" i="4"/>
  <c r="CX661" i="4" s="1"/>
  <c r="CS661" i="4"/>
  <c r="CR661" i="4"/>
  <c r="CO661" i="4"/>
  <c r="CN661" i="4"/>
  <c r="CK661" i="4"/>
  <c r="CJ661" i="4"/>
  <c r="CG661" i="4"/>
  <c r="CF661" i="4"/>
  <c r="CC661" i="4"/>
  <c r="CB661" i="4"/>
  <c r="BZ661" i="4"/>
  <c r="BX661" i="4"/>
  <c r="BU661" i="4"/>
  <c r="BT661" i="4"/>
  <c r="BQ661" i="4"/>
  <c r="BP661" i="4"/>
  <c r="DB660" i="4"/>
  <c r="CX660" i="4"/>
  <c r="CS660" i="4"/>
  <c r="CP660" i="4"/>
  <c r="CL660" i="4"/>
  <c r="CH660" i="4"/>
  <c r="CD660" i="4"/>
  <c r="BZ660" i="4"/>
  <c r="BY660" i="4" s="1"/>
  <c r="BY1255" i="4" s="1"/>
  <c r="BV660" i="4"/>
  <c r="BR660" i="4"/>
  <c r="DN659" i="4"/>
  <c r="DJ659" i="4"/>
  <c r="DB659" i="4"/>
  <c r="CX659" i="4"/>
  <c r="CT659" i="4"/>
  <c r="CP659" i="4"/>
  <c r="CL659" i="4"/>
  <c r="CH659" i="4"/>
  <c r="CD659" i="4"/>
  <c r="BZ659" i="4"/>
  <c r="BV659" i="4"/>
  <c r="BR659" i="4"/>
  <c r="DN658" i="4"/>
  <c r="DJ658" i="4"/>
  <c r="DB658" i="4"/>
  <c r="CX658" i="4"/>
  <c r="CT658" i="4"/>
  <c r="CP658" i="4"/>
  <c r="CL658" i="4"/>
  <c r="CH658" i="4"/>
  <c r="CD658" i="4"/>
  <c r="BZ658" i="4"/>
  <c r="BV658" i="4"/>
  <c r="BR658" i="4"/>
  <c r="DA653" i="4"/>
  <c r="CZ653" i="4"/>
  <c r="CW653" i="4"/>
  <c r="CV653" i="4"/>
  <c r="CS653" i="4"/>
  <c r="CK653" i="4"/>
  <c r="CJ653" i="4"/>
  <c r="CG653" i="4"/>
  <c r="CF653" i="4"/>
  <c r="CC653" i="4"/>
  <c r="CB653" i="4"/>
  <c r="DB652" i="4"/>
  <c r="CX652" i="4"/>
  <c r="CR652" i="4"/>
  <c r="CO652" i="4"/>
  <c r="CN652" i="4" s="1"/>
  <c r="CL652" i="4"/>
  <c r="CH652" i="4"/>
  <c r="CD652" i="4"/>
  <c r="DB651" i="4"/>
  <c r="CX651" i="4"/>
  <c r="CR651" i="4"/>
  <c r="CO651" i="4"/>
  <c r="CL651" i="4"/>
  <c r="CH651" i="4"/>
  <c r="CD651" i="4"/>
  <c r="DA647" i="4"/>
  <c r="CZ647" i="4"/>
  <c r="CW647" i="4"/>
  <c r="CV647" i="4"/>
  <c r="CS647" i="4"/>
  <c r="CR647" i="4"/>
  <c r="CO647" i="4"/>
  <c r="CN647" i="4"/>
  <c r="CK647" i="4"/>
  <c r="CJ647" i="4"/>
  <c r="CF647" i="4"/>
  <c r="CB647" i="4"/>
  <c r="BZ647" i="4"/>
  <c r="BX647" i="4"/>
  <c r="BV647" i="4"/>
  <c r="BT647" i="4"/>
  <c r="DA646" i="4"/>
  <c r="CZ646" i="4"/>
  <c r="CW646" i="4"/>
  <c r="CV646" i="4"/>
  <c r="CS646" i="4"/>
  <c r="CR646" i="4"/>
  <c r="CO646" i="4"/>
  <c r="CN646" i="4"/>
  <c r="CK646" i="4"/>
  <c r="CJ646" i="4"/>
  <c r="CF646" i="4"/>
  <c r="CB646" i="4"/>
  <c r="BZ646" i="4"/>
  <c r="BX646" i="4"/>
  <c r="BV646" i="4"/>
  <c r="BT646" i="4"/>
  <c r="A644" i="4"/>
  <c r="A648" i="4" s="1"/>
  <c r="DA643" i="4"/>
  <c r="CZ643" i="4"/>
  <c r="CW643" i="4"/>
  <c r="CV643" i="4"/>
  <c r="CS643" i="4"/>
  <c r="CR643" i="4"/>
  <c r="CO643" i="4"/>
  <c r="CN643" i="4"/>
  <c r="CK643" i="4"/>
  <c r="CJ643" i="4"/>
  <c r="CG643" i="4"/>
  <c r="A643" i="4"/>
  <c r="A647" i="4" s="1"/>
  <c r="DA642" i="4"/>
  <c r="CZ642" i="4"/>
  <c r="CW642" i="4"/>
  <c r="CV642" i="4"/>
  <c r="CS642" i="4"/>
  <c r="CR642" i="4"/>
  <c r="CO642" i="4"/>
  <c r="CN642" i="4"/>
  <c r="CK642" i="4"/>
  <c r="CJ642" i="4"/>
  <c r="CG642" i="4"/>
  <c r="A642" i="4"/>
  <c r="A646" i="4" s="1"/>
  <c r="DN639" i="4"/>
  <c r="DJ639" i="4"/>
  <c r="DB638" i="4"/>
  <c r="CX638" i="4"/>
  <c r="CT638" i="4"/>
  <c r="CP638" i="4"/>
  <c r="CL638" i="4"/>
  <c r="CH638" i="4"/>
  <c r="CD638" i="4"/>
  <c r="BY638" i="4"/>
  <c r="BU638" i="4"/>
  <c r="BQ638" i="4"/>
  <c r="BT643" i="4" s="1"/>
  <c r="DB637" i="4"/>
  <c r="CX637" i="4"/>
  <c r="CT637" i="4"/>
  <c r="CP637" i="4"/>
  <c r="CL637" i="4"/>
  <c r="CH637" i="4"/>
  <c r="CD637" i="4"/>
  <c r="BY637" i="4"/>
  <c r="BY642" i="4" s="1"/>
  <c r="BU637" i="4"/>
  <c r="BU642" i="4" s="1"/>
  <c r="BQ637" i="4"/>
  <c r="BQ642" i="4" s="1"/>
  <c r="A634" i="4"/>
  <c r="A633" i="4"/>
  <c r="CC632" i="4"/>
  <c r="A632" i="4"/>
  <c r="A630" i="4"/>
  <c r="DA628" i="4"/>
  <c r="DD633" i="4" s="1"/>
  <c r="CZ628" i="4"/>
  <c r="CW628" i="4"/>
  <c r="CV628" i="4"/>
  <c r="CS628" i="4"/>
  <c r="CR628" i="4"/>
  <c r="CO628" i="4"/>
  <c r="CN628" i="4"/>
  <c r="CL628" i="4"/>
  <c r="DN627" i="4"/>
  <c r="DJ627" i="4"/>
  <c r="DB627" i="4"/>
  <c r="CX627" i="4"/>
  <c r="CT627" i="4"/>
  <c r="CP627" i="4"/>
  <c r="CL627" i="4"/>
  <c r="CH627" i="4"/>
  <c r="CD627" i="4"/>
  <c r="DN626" i="4"/>
  <c r="DJ626" i="4"/>
  <c r="DB626" i="4"/>
  <c r="CX626" i="4"/>
  <c r="CR626" i="4"/>
  <c r="CT626" i="4" s="1"/>
  <c r="CO626" i="4"/>
  <c r="CP626" i="4" s="1"/>
  <c r="CL626" i="4"/>
  <c r="CH626" i="4"/>
  <c r="CD626" i="4"/>
  <c r="DB625" i="4"/>
  <c r="CX625" i="4"/>
  <c r="CT625" i="4"/>
  <c r="CP625" i="4"/>
  <c r="CL625" i="4"/>
  <c r="CH625" i="4"/>
  <c r="CD625" i="4"/>
  <c r="A619" i="4"/>
  <c r="A618" i="4"/>
  <c r="A617" i="4"/>
  <c r="A616" i="4"/>
  <c r="A615" i="4"/>
  <c r="DA614" i="4"/>
  <c r="CZ614" i="4"/>
  <c r="CW614" i="4"/>
  <c r="CV614" i="4"/>
  <c r="CS614" i="4"/>
  <c r="CR614" i="4"/>
  <c r="CO614" i="4"/>
  <c r="CN614" i="4"/>
  <c r="CK614" i="4"/>
  <c r="CC614" i="4"/>
  <c r="BX614" i="4"/>
  <c r="BU614" i="4"/>
  <c r="BT614" i="4"/>
  <c r="BQ614" i="4"/>
  <c r="BP614" i="4"/>
  <c r="BM614" i="4"/>
  <c r="BL614" i="4"/>
  <c r="BI614" i="4"/>
  <c r="A614" i="4"/>
  <c r="DA611" i="4"/>
  <c r="CZ611" i="4"/>
  <c r="CZ621" i="4" s="1"/>
  <c r="CZ623" i="4" s="1"/>
  <c r="CR611" i="4"/>
  <c r="CO611" i="4"/>
  <c r="CN611" i="4"/>
  <c r="CK611" i="4"/>
  <c r="CK630" i="4" s="1"/>
  <c r="CK629" i="4" s="1"/>
  <c r="CJ611" i="4"/>
  <c r="CG611" i="4"/>
  <c r="CF611" i="4"/>
  <c r="BX611" i="4"/>
  <c r="BP611" i="4"/>
  <c r="BM611" i="4"/>
  <c r="BL611" i="4"/>
  <c r="BI611" i="4"/>
  <c r="BH611" i="4"/>
  <c r="DA610" i="4"/>
  <c r="DD617" i="4" s="1"/>
  <c r="CZ610" i="4"/>
  <c r="CW610" i="4"/>
  <c r="CV610" i="4"/>
  <c r="CS610" i="4"/>
  <c r="CS640" i="4" s="1"/>
  <c r="CR610" i="4"/>
  <c r="CO610" i="4"/>
  <c r="CN610" i="4"/>
  <c r="CK610" i="4"/>
  <c r="CJ610" i="4"/>
  <c r="CG610" i="4"/>
  <c r="CG640" i="4" s="1"/>
  <c r="CF610" i="4"/>
  <c r="CC610" i="4"/>
  <c r="CB610" i="4"/>
  <c r="BY610" i="4"/>
  <c r="BX610" i="4"/>
  <c r="BU610" i="4"/>
  <c r="BT610" i="4"/>
  <c r="BQ610" i="4"/>
  <c r="BP610" i="4"/>
  <c r="BM610" i="4"/>
  <c r="BL610" i="4"/>
  <c r="BI610" i="4"/>
  <c r="BH610" i="4"/>
  <c r="BX609" i="4"/>
  <c r="DB607" i="4"/>
  <c r="DG607" i="4" s="1"/>
  <c r="CX607" i="4"/>
  <c r="CT607" i="4"/>
  <c r="CP607" i="4"/>
  <c r="CL607" i="4"/>
  <c r="CG607" i="4"/>
  <c r="CF607" i="4"/>
  <c r="CD607" i="4"/>
  <c r="BZ607" i="4"/>
  <c r="BV607" i="4"/>
  <c r="BR607" i="4"/>
  <c r="BN607" i="4"/>
  <c r="BJ607" i="4"/>
  <c r="DB599" i="4"/>
  <c r="DA599" i="4"/>
  <c r="CZ599" i="4"/>
  <c r="CX599" i="4"/>
  <c r="CW599" i="4"/>
  <c r="CV599" i="4"/>
  <c r="CT599" i="4"/>
  <c r="CS599" i="4"/>
  <c r="CR599" i="4"/>
  <c r="CP599" i="4"/>
  <c r="CO599" i="4"/>
  <c r="CN599" i="4"/>
  <c r="CL599" i="4"/>
  <c r="CK599" i="4"/>
  <c r="CJ599" i="4"/>
  <c r="CH599" i="4"/>
  <c r="CG599" i="4"/>
  <c r="CF599" i="4"/>
  <c r="CD599" i="4"/>
  <c r="CC599" i="4"/>
  <c r="CB599" i="4"/>
  <c r="BZ599" i="4"/>
  <c r="BY599" i="4"/>
  <c r="BX599" i="4"/>
  <c r="BU599" i="4"/>
  <c r="BT599" i="4"/>
  <c r="BQ599" i="4"/>
  <c r="BP599" i="4"/>
  <c r="BN599" i="4"/>
  <c r="BM599" i="4"/>
  <c r="BL599" i="4"/>
  <c r="BI599" i="4"/>
  <c r="BH599" i="4"/>
  <c r="DA593" i="4"/>
  <c r="CZ593" i="4"/>
  <c r="CW593" i="4"/>
  <c r="CV593" i="4"/>
  <c r="CS593" i="4"/>
  <c r="CR593" i="4"/>
  <c r="CO593" i="4"/>
  <c r="CN593" i="4"/>
  <c r="CK593" i="4"/>
  <c r="CJ593" i="4"/>
  <c r="CC593" i="4"/>
  <c r="CB593" i="4"/>
  <c r="BX593" i="4"/>
  <c r="BU593" i="4"/>
  <c r="BT593" i="4"/>
  <c r="BQ593" i="4"/>
  <c r="BN593" i="4"/>
  <c r="BJ593" i="4"/>
  <c r="DB592" i="4"/>
  <c r="CP592" i="4"/>
  <c r="CO592" i="4"/>
  <c r="CN592" i="4"/>
  <c r="CL592" i="4"/>
  <c r="CK592" i="4"/>
  <c r="CJ592" i="4"/>
  <c r="CH592" i="4"/>
  <c r="CG592" i="4"/>
  <c r="CF592" i="4"/>
  <c r="CD592" i="4"/>
  <c r="CC592" i="4"/>
  <c r="CB592" i="4"/>
  <c r="BZ592" i="4"/>
  <c r="BY592" i="4"/>
  <c r="BX592" i="4"/>
  <c r="BU592" i="4"/>
  <c r="BT592" i="4"/>
  <c r="BQ592" i="4"/>
  <c r="BP592" i="4"/>
  <c r="BN592" i="4"/>
  <c r="BM592" i="4"/>
  <c r="BL592" i="4"/>
  <c r="BJ592" i="4"/>
  <c r="BI592" i="4"/>
  <c r="BH592" i="4"/>
  <c r="DB588" i="4"/>
  <c r="CX588" i="4"/>
  <c r="CT588" i="4"/>
  <c r="CP588" i="4"/>
  <c r="CL588" i="4"/>
  <c r="CH588" i="4"/>
  <c r="CD588" i="4"/>
  <c r="BZ588" i="4"/>
  <c r="BV588" i="4"/>
  <c r="BP588" i="4"/>
  <c r="BN588" i="4"/>
  <c r="BJ588" i="4"/>
  <c r="DB587" i="4"/>
  <c r="DA587" i="4"/>
  <c r="CZ587" i="4"/>
  <c r="CX587" i="4"/>
  <c r="CW587" i="4"/>
  <c r="CV587" i="4"/>
  <c r="CT587" i="4"/>
  <c r="CS587" i="4"/>
  <c r="CR587" i="4"/>
  <c r="CP587" i="4"/>
  <c r="CO587" i="4"/>
  <c r="CN587" i="4"/>
  <c r="CL587" i="4"/>
  <c r="CK587" i="4"/>
  <c r="CJ587" i="4"/>
  <c r="CH587" i="4"/>
  <c r="CG587" i="4"/>
  <c r="CF587" i="4"/>
  <c r="CD587" i="4"/>
  <c r="CC587" i="4"/>
  <c r="CB587" i="4"/>
  <c r="BZ587" i="4"/>
  <c r="BY587" i="4"/>
  <c r="BX587" i="4"/>
  <c r="BU587" i="4"/>
  <c r="BT587" i="4"/>
  <c r="BR587" i="4"/>
  <c r="BQ587" i="4"/>
  <c r="BP587" i="4"/>
  <c r="BN587" i="4"/>
  <c r="BM587" i="4"/>
  <c r="BL587" i="4"/>
  <c r="BJ587" i="4"/>
  <c r="BI587" i="4"/>
  <c r="BH587" i="4"/>
  <c r="DA585" i="4"/>
  <c r="CZ585" i="4"/>
  <c r="CW585" i="4"/>
  <c r="CV585" i="4"/>
  <c r="CS585" i="4"/>
  <c r="CR585" i="4"/>
  <c r="CO585" i="4"/>
  <c r="CN585" i="4"/>
  <c r="CK585" i="4"/>
  <c r="CG585" i="4"/>
  <c r="CC585" i="4"/>
  <c r="BY585" i="4"/>
  <c r="BU585" i="4"/>
  <c r="BT585" i="4"/>
  <c r="BQ585" i="4"/>
  <c r="BP585" i="4"/>
  <c r="BM585" i="4"/>
  <c r="BL585" i="4"/>
  <c r="BI585" i="4"/>
  <c r="BH585" i="4"/>
  <c r="DB584" i="4"/>
  <c r="CX584" i="4"/>
  <c r="CT584" i="4"/>
  <c r="CP584" i="4"/>
  <c r="CL584" i="4"/>
  <c r="CH584" i="4"/>
  <c r="CD584" i="4"/>
  <c r="BZ584" i="4"/>
  <c r="BV584" i="4"/>
  <c r="BR584" i="4"/>
  <c r="BN584" i="4"/>
  <c r="BJ584" i="4"/>
  <c r="DB583" i="4"/>
  <c r="CX583" i="4"/>
  <c r="CT583" i="4"/>
  <c r="CP583" i="4"/>
  <c r="CJ583" i="4"/>
  <c r="CJ585" i="4" s="1"/>
  <c r="CF583" i="4"/>
  <c r="CB583" i="4"/>
  <c r="CB585" i="4" s="1"/>
  <c r="BX583" i="4"/>
  <c r="BV583" i="4"/>
  <c r="BR583" i="4"/>
  <c r="BN583" i="4"/>
  <c r="BJ583" i="4"/>
  <c r="DJ582" i="4"/>
  <c r="DB582" i="4"/>
  <c r="CX582" i="4"/>
  <c r="CT582" i="4"/>
  <c r="CP582" i="4"/>
  <c r="CL582" i="4"/>
  <c r="CH582" i="4"/>
  <c r="CD582" i="4"/>
  <c r="BZ582" i="4"/>
  <c r="BV582" i="4"/>
  <c r="BR582" i="4"/>
  <c r="BN582" i="4"/>
  <c r="BJ582" i="4"/>
  <c r="BF582" i="4"/>
  <c r="DA565" i="4"/>
  <c r="CZ565" i="4"/>
  <c r="CW565" i="4"/>
  <c r="CV565" i="4"/>
  <c r="CS565" i="4"/>
  <c r="CR565" i="4"/>
  <c r="CK565" i="4"/>
  <c r="CJ565" i="4"/>
  <c r="CG565" i="4"/>
  <c r="CF565" i="4"/>
  <c r="CC565" i="4"/>
  <c r="CB565" i="4"/>
  <c r="BZ565" i="4"/>
  <c r="BX565" i="4"/>
  <c r="BU565" i="4"/>
  <c r="BT565" i="4"/>
  <c r="BM565" i="4"/>
  <c r="BL565" i="4"/>
  <c r="BI565" i="4"/>
  <c r="BH565" i="4"/>
  <c r="BX564" i="4"/>
  <c r="BV564" i="4"/>
  <c r="BU564" i="4"/>
  <c r="BT564" i="4"/>
  <c r="BR564" i="4"/>
  <c r="BQ564" i="4"/>
  <c r="BP564" i="4"/>
  <c r="BN564" i="4"/>
  <c r="BM564" i="4"/>
  <c r="BL564" i="4"/>
  <c r="BJ564" i="4"/>
  <c r="BI564" i="4"/>
  <c r="BH564" i="4"/>
  <c r="DB561" i="4"/>
  <c r="CX561" i="4"/>
  <c r="CT561" i="4"/>
  <c r="CP561" i="4"/>
  <c r="CL561" i="4"/>
  <c r="CG561" i="4"/>
  <c r="CF561" i="4"/>
  <c r="CD561" i="4"/>
  <c r="BZ561" i="4"/>
  <c r="BV561" i="4"/>
  <c r="BP561" i="4"/>
  <c r="BN561" i="4"/>
  <c r="BJ561" i="4"/>
  <c r="DA554" i="4"/>
  <c r="CZ554" i="4"/>
  <c r="CW554" i="4"/>
  <c r="CV554" i="4"/>
  <c r="CS554" i="4"/>
  <c r="CR554" i="4"/>
  <c r="CO554" i="4"/>
  <c r="CN554" i="4"/>
  <c r="CK554" i="4"/>
  <c r="CJ554" i="4"/>
  <c r="CG554" i="4"/>
  <c r="CF554" i="4"/>
  <c r="CC554" i="4"/>
  <c r="BY554" i="4"/>
  <c r="BX554" i="4"/>
  <c r="BU554" i="4"/>
  <c r="BT554" i="4"/>
  <c r="BQ554" i="4"/>
  <c r="BP554" i="4"/>
  <c r="BM554" i="4"/>
  <c r="BL554" i="4"/>
  <c r="BI554" i="4"/>
  <c r="BH554" i="4"/>
  <c r="BF554" i="4"/>
  <c r="BE554" i="4"/>
  <c r="BD554" i="4"/>
  <c r="DM553" i="4"/>
  <c r="DL553" i="4"/>
  <c r="DI553" i="4"/>
  <c r="DA553" i="4"/>
  <c r="CZ553" i="4"/>
  <c r="CW553" i="4"/>
  <c r="CV553" i="4"/>
  <c r="CS553" i="4"/>
  <c r="CR553" i="4"/>
  <c r="CO553" i="4"/>
  <c r="CN553" i="4"/>
  <c r="CK553" i="4"/>
  <c r="CJ553" i="4"/>
  <c r="CG553" i="4"/>
  <c r="CF553" i="4"/>
  <c r="CC553" i="4"/>
  <c r="CB553" i="4"/>
  <c r="BY553" i="4"/>
  <c r="BX553" i="4"/>
  <c r="BU553" i="4"/>
  <c r="BT553" i="4"/>
  <c r="BQ553" i="4"/>
  <c r="BP553" i="4"/>
  <c r="BM553" i="4"/>
  <c r="BL553" i="4"/>
  <c r="BI553" i="4"/>
  <c r="BH553" i="4"/>
  <c r="BF553" i="4"/>
  <c r="BE553" i="4"/>
  <c r="BD553" i="4"/>
  <c r="A550" i="4"/>
  <c r="A549" i="4"/>
  <c r="BF545" i="4"/>
  <c r="BE545" i="4"/>
  <c r="BD545" i="4"/>
  <c r="DB538" i="4"/>
  <c r="DA538" i="4"/>
  <c r="DI538" i="4" s="1"/>
  <c r="DL538" i="4" s="1"/>
  <c r="DM538" i="4" s="1"/>
  <c r="DP538" i="4" s="1"/>
  <c r="DQ538" i="4" s="1"/>
  <c r="CZ538" i="4"/>
  <c r="CX538" i="4"/>
  <c r="CW538" i="4"/>
  <c r="CV538" i="4"/>
  <c r="CT538" i="4"/>
  <c r="CS538" i="4"/>
  <c r="CR538" i="4"/>
  <c r="CP538" i="4"/>
  <c r="CO538" i="4"/>
  <c r="CN538" i="4"/>
  <c r="CL538" i="4"/>
  <c r="CK538" i="4"/>
  <c r="CJ538" i="4"/>
  <c r="CH538" i="4"/>
  <c r="CG538" i="4"/>
  <c r="CF538" i="4"/>
  <c r="CD538" i="4"/>
  <c r="CC538" i="4"/>
  <c r="CB538" i="4"/>
  <c r="BZ538" i="4"/>
  <c r="BY538" i="4"/>
  <c r="BX538" i="4"/>
  <c r="BU538" i="4"/>
  <c r="BT538" i="4"/>
  <c r="BQ538" i="4"/>
  <c r="BP538" i="4"/>
  <c r="BN538" i="4"/>
  <c r="BM538" i="4"/>
  <c r="BL538" i="4"/>
  <c r="BI538" i="4"/>
  <c r="BH538" i="4"/>
  <c r="DA535" i="4"/>
  <c r="CZ535" i="4"/>
  <c r="CW535" i="4"/>
  <c r="CV535" i="4"/>
  <c r="CS535" i="4"/>
  <c r="CT535" i="4" s="1"/>
  <c r="CR535" i="4"/>
  <c r="CO535" i="4"/>
  <c r="CN535" i="4"/>
  <c r="CK535" i="4"/>
  <c r="CL535" i="4" s="1"/>
  <c r="CJ535" i="4"/>
  <c r="CG535" i="4"/>
  <c r="CH535" i="4" s="1"/>
  <c r="CF535" i="4"/>
  <c r="CC535" i="4"/>
  <c r="CD535" i="4" s="1"/>
  <c r="CB535" i="4"/>
  <c r="BY535" i="4"/>
  <c r="BZ535" i="4" s="1"/>
  <c r="BX535" i="4"/>
  <c r="BU535" i="4"/>
  <c r="BV535" i="4" s="1"/>
  <c r="BT535" i="4"/>
  <c r="BQ535" i="4"/>
  <c r="BR535" i="4" s="1"/>
  <c r="BP535" i="4"/>
  <c r="BM535" i="4"/>
  <c r="BN535" i="4" s="1"/>
  <c r="BL535" i="4"/>
  <c r="BI535" i="4"/>
  <c r="BH535" i="4"/>
  <c r="DA531" i="4"/>
  <c r="CZ531" i="4"/>
  <c r="CW531" i="4"/>
  <c r="CV531" i="4"/>
  <c r="CS531" i="4"/>
  <c r="CT531" i="4" s="1"/>
  <c r="CR531" i="4"/>
  <c r="CO531" i="4"/>
  <c r="CN531" i="4"/>
  <c r="CK531" i="4"/>
  <c r="CL531" i="4" s="1"/>
  <c r="CJ531" i="4"/>
  <c r="CG531" i="4"/>
  <c r="CH531" i="4" s="1"/>
  <c r="CF531" i="4"/>
  <c r="CC531" i="4"/>
  <c r="CD531" i="4" s="1"/>
  <c r="CB531" i="4"/>
  <c r="BY531" i="4"/>
  <c r="BZ531" i="4" s="1"/>
  <c r="BX531" i="4"/>
  <c r="BU531" i="4"/>
  <c r="BV531" i="4" s="1"/>
  <c r="BT531" i="4"/>
  <c r="BQ531" i="4"/>
  <c r="BR531" i="4" s="1"/>
  <c r="BP531" i="4"/>
  <c r="BM531" i="4"/>
  <c r="BL531" i="4"/>
  <c r="BI531" i="4"/>
  <c r="BJ531" i="4" s="1"/>
  <c r="BH531" i="4"/>
  <c r="DB525" i="4"/>
  <c r="DA525" i="4"/>
  <c r="CZ525" i="4"/>
  <c r="CX525" i="4"/>
  <c r="CW525" i="4"/>
  <c r="CV525" i="4"/>
  <c r="CT525" i="4"/>
  <c r="CS525" i="4"/>
  <c r="CR525" i="4"/>
  <c r="CP525" i="4"/>
  <c r="CO525" i="4"/>
  <c r="CN525" i="4"/>
  <c r="CL525" i="4"/>
  <c r="CK525" i="4"/>
  <c r="CJ525" i="4"/>
  <c r="CH525" i="4"/>
  <c r="CG525" i="4"/>
  <c r="CF525" i="4"/>
  <c r="CD525" i="4"/>
  <c r="CC525" i="4"/>
  <c r="CB525" i="4"/>
  <c r="BZ525" i="4"/>
  <c r="BY525" i="4"/>
  <c r="BX525" i="4"/>
  <c r="BU525" i="4"/>
  <c r="BT525" i="4"/>
  <c r="BR525" i="4"/>
  <c r="BQ525" i="4"/>
  <c r="BP525" i="4"/>
  <c r="BN525" i="4"/>
  <c r="BM525" i="4"/>
  <c r="BL525" i="4"/>
  <c r="DA517" i="4"/>
  <c r="CZ517" i="4"/>
  <c r="CW517" i="4"/>
  <c r="CV517" i="4"/>
  <c r="CS517" i="4"/>
  <c r="CR517" i="4"/>
  <c r="CO517" i="4"/>
  <c r="CN517" i="4"/>
  <c r="CK517" i="4"/>
  <c r="CJ517" i="4"/>
  <c r="CG517" i="4"/>
  <c r="CF517" i="4"/>
  <c r="CC517" i="4"/>
  <c r="CB517" i="4"/>
  <c r="BY517" i="4"/>
  <c r="BX517" i="4"/>
  <c r="BU517" i="4"/>
  <c r="BT517" i="4"/>
  <c r="BQ517" i="4"/>
  <c r="BP517" i="4"/>
  <c r="BM517" i="4"/>
  <c r="BL517" i="4"/>
  <c r="BI517" i="4"/>
  <c r="BH517" i="4"/>
  <c r="BE517" i="4"/>
  <c r="BD517" i="4"/>
  <c r="DB510" i="4"/>
  <c r="CP510" i="4"/>
  <c r="CO510" i="4"/>
  <c r="CN510" i="4"/>
  <c r="CL510" i="4"/>
  <c r="CK510" i="4"/>
  <c r="CJ510" i="4"/>
  <c r="CH510" i="4"/>
  <c r="CG510" i="4"/>
  <c r="CF510" i="4"/>
  <c r="CD510" i="4"/>
  <c r="CC510" i="4"/>
  <c r="CB510" i="4"/>
  <c r="BZ510" i="4"/>
  <c r="BY510" i="4"/>
  <c r="BX510" i="4"/>
  <c r="BU510" i="4"/>
  <c r="BT510" i="4"/>
  <c r="BQ510" i="4"/>
  <c r="BP510" i="4"/>
  <c r="BN510" i="4"/>
  <c r="BM510" i="4"/>
  <c r="BL510" i="4"/>
  <c r="BJ510" i="4"/>
  <c r="BI510" i="4"/>
  <c r="BH510" i="4"/>
  <c r="BQ503" i="4"/>
  <c r="CD502" i="4"/>
  <c r="BZ502" i="4"/>
  <c r="BV502" i="4"/>
  <c r="BR502" i="4"/>
  <c r="BN502" i="4"/>
  <c r="BJ502" i="4"/>
  <c r="BR501" i="4"/>
  <c r="BN501" i="4"/>
  <c r="BJ501" i="4"/>
  <c r="BV498" i="4"/>
  <c r="BR498" i="4"/>
  <c r="BJ498" i="4"/>
  <c r="BV497" i="4"/>
  <c r="BR497" i="4"/>
  <c r="BJ497" i="4"/>
  <c r="A494" i="4"/>
  <c r="CO493" i="4"/>
  <c r="CN493" i="4"/>
  <c r="CK493" i="4"/>
  <c r="CJ493" i="4"/>
  <c r="CG493" i="4"/>
  <c r="CF493" i="4"/>
  <c r="CC493" i="4"/>
  <c r="CB493" i="4"/>
  <c r="A493" i="4"/>
  <c r="DA492" i="4"/>
  <c r="CZ492" i="4"/>
  <c r="CW492" i="4"/>
  <c r="CV492" i="4"/>
  <c r="CS492" i="4"/>
  <c r="CR492" i="4"/>
  <c r="CO492" i="4"/>
  <c r="CN492" i="4"/>
  <c r="CK492" i="4"/>
  <c r="CJ492" i="4"/>
  <c r="CG492" i="4"/>
  <c r="CF492" i="4"/>
  <c r="CC492" i="4"/>
  <c r="CB492" i="4"/>
  <c r="A492" i="4"/>
  <c r="DB489" i="4"/>
  <c r="DG489" i="4" s="1"/>
  <c r="DA489" i="4"/>
  <c r="CZ489" i="4"/>
  <c r="CX489" i="4"/>
  <c r="CW489" i="4"/>
  <c r="CV489" i="4"/>
  <c r="CT489" i="4"/>
  <c r="CS489" i="4"/>
  <c r="CR489" i="4"/>
  <c r="CP489" i="4"/>
  <c r="CN489" i="4"/>
  <c r="CL489" i="4"/>
  <c r="CK489" i="4"/>
  <c r="CJ489" i="4"/>
  <c r="CH489" i="4"/>
  <c r="CG489" i="4"/>
  <c r="CF489" i="4"/>
  <c r="CD489" i="4"/>
  <c r="CC489" i="4"/>
  <c r="CB489" i="4"/>
  <c r="BZ489" i="4"/>
  <c r="BV489" i="4"/>
  <c r="BR489" i="4"/>
  <c r="DB488" i="4"/>
  <c r="CP488" i="4"/>
  <c r="CP566" i="4" s="1"/>
  <c r="CO488" i="4"/>
  <c r="AO50" i="3" s="1"/>
  <c r="CN488" i="4"/>
  <c r="CL488" i="4"/>
  <c r="CL509" i="4" s="1"/>
  <c r="CK488" i="4"/>
  <c r="CJ488" i="4"/>
  <c r="CH488" i="4"/>
  <c r="CG488" i="4"/>
  <c r="CF488" i="4"/>
  <c r="CD488" i="4"/>
  <c r="CD509" i="4" s="1"/>
  <c r="CC488" i="4"/>
  <c r="CB488" i="4"/>
  <c r="BZ488" i="4"/>
  <c r="BZ566" i="4" s="1"/>
  <c r="BY488" i="4"/>
  <c r="BY509" i="4" s="1"/>
  <c r="BX488" i="4"/>
  <c r="BX490" i="4" s="1"/>
  <c r="BU488" i="4"/>
  <c r="BT488" i="4"/>
  <c r="T50" i="3" s="1"/>
  <c r="BQ488" i="4"/>
  <c r="BP488" i="4"/>
  <c r="BP566" i="4" s="1"/>
  <c r="BN488" i="4"/>
  <c r="BM488" i="4"/>
  <c r="BL488" i="4"/>
  <c r="BL509" i="4" s="1"/>
  <c r="BJ488" i="4"/>
  <c r="BI488" i="4"/>
  <c r="BH488" i="4"/>
  <c r="BH514" i="4" s="1"/>
  <c r="DA487" i="4"/>
  <c r="DD493" i="4" s="1"/>
  <c r="CZ487" i="4"/>
  <c r="CX487" i="4"/>
  <c r="CX510" i="4" s="1"/>
  <c r="CW487" i="4"/>
  <c r="CW488" i="4" s="1"/>
  <c r="CV487" i="4"/>
  <c r="CT487" i="4"/>
  <c r="CT592" i="4" s="1"/>
  <c r="CS487" i="4"/>
  <c r="CR487" i="4"/>
  <c r="CR493" i="4" s="1"/>
  <c r="CQ487" i="4"/>
  <c r="CM487" i="4"/>
  <c r="CI487" i="4"/>
  <c r="CE487" i="4"/>
  <c r="BV487" i="4"/>
  <c r="CA487" i="4" s="1"/>
  <c r="BR487" i="4"/>
  <c r="BO487" i="4"/>
  <c r="DC486" i="4"/>
  <c r="CY486" i="4"/>
  <c r="CU486" i="4"/>
  <c r="CQ486" i="4"/>
  <c r="CM486" i="4"/>
  <c r="CI486" i="4"/>
  <c r="CE486" i="4"/>
  <c r="BV486" i="4"/>
  <c r="BS486" i="4"/>
  <c r="BO486" i="4"/>
  <c r="DA473" i="4"/>
  <c r="CW473" i="4"/>
  <c r="CS473" i="4"/>
  <c r="CO473" i="4"/>
  <c r="CK473" i="4"/>
  <c r="CG473" i="4"/>
  <c r="CC473" i="4"/>
  <c r="BY473" i="4"/>
  <c r="BU473" i="4"/>
  <c r="CL472" i="4"/>
  <c r="CK472" i="4" s="1"/>
  <c r="CJ472" i="4"/>
  <c r="A472" i="4"/>
  <c r="DA467" i="4"/>
  <c r="CZ467" i="4"/>
  <c r="CW467" i="4"/>
  <c r="CV467" i="4"/>
  <c r="CS467" i="4"/>
  <c r="CR467" i="4"/>
  <c r="CO467" i="4"/>
  <c r="CN467" i="4"/>
  <c r="CK467" i="4"/>
  <c r="CJ467" i="4"/>
  <c r="CG467" i="4"/>
  <c r="CF467" i="4"/>
  <c r="CC467" i="4"/>
  <c r="CB467" i="4"/>
  <c r="BY467" i="4"/>
  <c r="BX467" i="4"/>
  <c r="BU467" i="4"/>
  <c r="BT467" i="4"/>
  <c r="BQ467" i="4"/>
  <c r="BP467" i="4"/>
  <c r="BM467" i="4"/>
  <c r="BL467" i="4"/>
  <c r="BI467" i="4"/>
  <c r="BH467" i="4"/>
  <c r="DA466" i="4"/>
  <c r="CZ466" i="4"/>
  <c r="CW466" i="4"/>
  <c r="CV466" i="4"/>
  <c r="CS466" i="4"/>
  <c r="CR466" i="4"/>
  <c r="CO466" i="4"/>
  <c r="CN466" i="4"/>
  <c r="CK466" i="4"/>
  <c r="CJ466" i="4"/>
  <c r="CG466" i="4"/>
  <c r="CF466" i="4"/>
  <c r="CC466" i="4"/>
  <c r="CB466" i="4"/>
  <c r="BY466" i="4"/>
  <c r="BX466" i="4"/>
  <c r="BU466" i="4"/>
  <c r="BT466" i="4"/>
  <c r="BQ466" i="4"/>
  <c r="BP466" i="4"/>
  <c r="BM466" i="4"/>
  <c r="BL466" i="4"/>
  <c r="BI466" i="4"/>
  <c r="BH466" i="4"/>
  <c r="DA462" i="4"/>
  <c r="CW462" i="4"/>
  <c r="CS462" i="4"/>
  <c r="CO462" i="4"/>
  <c r="CK462" i="4"/>
  <c r="CG462" i="4"/>
  <c r="CC462" i="4"/>
  <c r="DB459" i="4"/>
  <c r="CZ459" i="4"/>
  <c r="CX459" i="4"/>
  <c r="CV459" i="4"/>
  <c r="CT459" i="4"/>
  <c r="CR459" i="4"/>
  <c r="CP459" i="4"/>
  <c r="CN459" i="4"/>
  <c r="CL459" i="4"/>
  <c r="CJ459" i="4"/>
  <c r="CH459" i="4"/>
  <c r="CF459" i="4"/>
  <c r="CD459" i="4"/>
  <c r="CB459" i="4"/>
  <c r="BZ459" i="4"/>
  <c r="BX459" i="4"/>
  <c r="BV459" i="4"/>
  <c r="DB458" i="4"/>
  <c r="CZ458" i="4"/>
  <c r="CX458" i="4"/>
  <c r="CV458" i="4"/>
  <c r="CT458" i="4"/>
  <c r="CR458" i="4"/>
  <c r="CP458" i="4"/>
  <c r="CN458" i="4"/>
  <c r="CL458" i="4"/>
  <c r="CJ458" i="4"/>
  <c r="CH458" i="4"/>
  <c r="CF458" i="4"/>
  <c r="CD458" i="4"/>
  <c r="CB458" i="4"/>
  <c r="DA457" i="4"/>
  <c r="CW457" i="4"/>
  <c r="CS457" i="4"/>
  <c r="CO457" i="4"/>
  <c r="CK457" i="4"/>
  <c r="CG457" i="4"/>
  <c r="CC457" i="4"/>
  <c r="DA456" i="4"/>
  <c r="CW456" i="4"/>
  <c r="CS456" i="4"/>
  <c r="CO456" i="4"/>
  <c r="CK456" i="4"/>
  <c r="CG456" i="4"/>
  <c r="CC456" i="4"/>
  <c r="BY456" i="4"/>
  <c r="BU456" i="4"/>
  <c r="DA455" i="4"/>
  <c r="CW455" i="4"/>
  <c r="CS455" i="4"/>
  <c r="CO455" i="4"/>
  <c r="CK455" i="4"/>
  <c r="CG455" i="4"/>
  <c r="CC455" i="4"/>
  <c r="BY455" i="4"/>
  <c r="BU455" i="4"/>
  <c r="DA454" i="4"/>
  <c r="CW454" i="4"/>
  <c r="CS454" i="4"/>
  <c r="CO454" i="4"/>
  <c r="CK454" i="4"/>
  <c r="CG454" i="4"/>
  <c r="CC454" i="4"/>
  <c r="BY454" i="4"/>
  <c r="BU454" i="4"/>
  <c r="DB438" i="4"/>
  <c r="CZ438" i="4"/>
  <c r="CX438" i="4"/>
  <c r="CV438" i="4"/>
  <c r="CT438" i="4"/>
  <c r="CR438" i="4"/>
  <c r="CP438" i="4"/>
  <c r="CN438" i="4"/>
  <c r="CL438" i="4"/>
  <c r="CJ438" i="4"/>
  <c r="CH438" i="4"/>
  <c r="CF438" i="4"/>
  <c r="CD438" i="4"/>
  <c r="DB437" i="4"/>
  <c r="DB439" i="4" s="1"/>
  <c r="CZ437" i="4"/>
  <c r="CX437" i="4"/>
  <c r="CV437" i="4"/>
  <c r="CV439" i="4" s="1"/>
  <c r="CT437" i="4"/>
  <c r="CR437" i="4"/>
  <c r="CP437" i="4"/>
  <c r="CP439" i="4" s="1"/>
  <c r="CN437" i="4"/>
  <c r="CL437" i="4"/>
  <c r="CJ437" i="4"/>
  <c r="CH437" i="4"/>
  <c r="CF437" i="4"/>
  <c r="CF439" i="4" s="1"/>
  <c r="CD437" i="4"/>
  <c r="DA436" i="4"/>
  <c r="CW436" i="4"/>
  <c r="CS436" i="4"/>
  <c r="CO436" i="4"/>
  <c r="CK436" i="4"/>
  <c r="CG436" i="4"/>
  <c r="DB435" i="4"/>
  <c r="CZ435" i="4"/>
  <c r="CX435" i="4"/>
  <c r="CV435" i="4"/>
  <c r="CT435" i="4"/>
  <c r="CR435" i="4"/>
  <c r="CP435" i="4"/>
  <c r="CN435" i="4"/>
  <c r="DA434" i="4"/>
  <c r="DE435" i="4" s="1"/>
  <c r="CW434" i="4"/>
  <c r="CS434" i="4"/>
  <c r="CO434" i="4"/>
  <c r="CK434" i="4"/>
  <c r="CG434" i="4"/>
  <c r="DA432" i="4"/>
  <c r="CZ432" i="4"/>
  <c r="CW432" i="4"/>
  <c r="CV432" i="4"/>
  <c r="CS432" i="4"/>
  <c r="CR432" i="4"/>
  <c r="CO432" i="4"/>
  <c r="CN432" i="4"/>
  <c r="CK432" i="4"/>
  <c r="CJ432" i="4"/>
  <c r="CG432" i="4"/>
  <c r="CF432" i="4"/>
  <c r="CC432" i="4"/>
  <c r="CB432" i="4"/>
  <c r="BY432" i="4"/>
  <c r="BX432" i="4"/>
  <c r="BU432" i="4"/>
  <c r="BT432" i="4"/>
  <c r="BQ432" i="4"/>
  <c r="BP432" i="4"/>
  <c r="BM432" i="4"/>
  <c r="BL432" i="4"/>
  <c r="BI432" i="4"/>
  <c r="DA429" i="4"/>
  <c r="CZ429" i="4"/>
  <c r="CW429" i="4"/>
  <c r="CV429" i="4"/>
  <c r="CS429" i="4"/>
  <c r="CR429" i="4"/>
  <c r="CO429" i="4"/>
  <c r="CN429" i="4"/>
  <c r="CO425" i="4" s="1"/>
  <c r="CK429" i="4"/>
  <c r="CJ429" i="4"/>
  <c r="CK425" i="4" s="1"/>
  <c r="CG429" i="4"/>
  <c r="CF429" i="4"/>
  <c r="CC429" i="4"/>
  <c r="CB429" i="4"/>
  <c r="BY429" i="4"/>
  <c r="BX429" i="4"/>
  <c r="BU429" i="4"/>
  <c r="BT429" i="4"/>
  <c r="BU425" i="4" s="1"/>
  <c r="BQ429" i="4"/>
  <c r="BP429" i="4"/>
  <c r="BM429" i="4"/>
  <c r="BL429" i="4"/>
  <c r="BI429" i="4"/>
  <c r="BH429" i="4"/>
  <c r="BH426" i="4" s="1"/>
  <c r="DM428" i="4"/>
  <c r="DL428" i="4"/>
  <c r="DI428" i="4"/>
  <c r="DB428" i="4"/>
  <c r="CX428" i="4"/>
  <c r="CT428" i="4"/>
  <c r="CP428" i="4"/>
  <c r="CL428" i="4"/>
  <c r="CH428" i="4"/>
  <c r="CD428" i="4"/>
  <c r="BZ428" i="4"/>
  <c r="BV428" i="4"/>
  <c r="BR428" i="4"/>
  <c r="BN428" i="4"/>
  <c r="BJ428" i="4"/>
  <c r="DB427" i="4"/>
  <c r="CX427" i="4"/>
  <c r="CS427" i="4"/>
  <c r="CP427" i="4"/>
  <c r="CJ427" i="4"/>
  <c r="CH427" i="4"/>
  <c r="CD427" i="4"/>
  <c r="BX427" i="4"/>
  <c r="BV427" i="4"/>
  <c r="BR427" i="4"/>
  <c r="BN427" i="4"/>
  <c r="BJ427" i="4"/>
  <c r="BJ425" i="4"/>
  <c r="DA421" i="4"/>
  <c r="CZ421" i="4"/>
  <c r="CW421" i="4"/>
  <c r="CV421" i="4"/>
  <c r="CS421" i="4"/>
  <c r="CR421" i="4"/>
  <c r="CO421" i="4"/>
  <c r="CN421" i="4"/>
  <c r="CK421" i="4"/>
  <c r="CJ421" i="4"/>
  <c r="CG421" i="4"/>
  <c r="CF421" i="4"/>
  <c r="CC421" i="4"/>
  <c r="CB421" i="4"/>
  <c r="BY421" i="4"/>
  <c r="BX421" i="4"/>
  <c r="BU421" i="4"/>
  <c r="BT421" i="4"/>
  <c r="BQ421" i="4"/>
  <c r="BP421" i="4"/>
  <c r="BM421" i="4"/>
  <c r="BL421" i="4"/>
  <c r="BI421" i="4"/>
  <c r="BH421" i="4"/>
  <c r="DN420" i="4"/>
  <c r="DJ420" i="4"/>
  <c r="DB420" i="4"/>
  <c r="CX420" i="4"/>
  <c r="CT420" i="4"/>
  <c r="CP420" i="4"/>
  <c r="CL420" i="4"/>
  <c r="CH420" i="4"/>
  <c r="CD420" i="4"/>
  <c r="BZ420" i="4"/>
  <c r="BV420" i="4"/>
  <c r="BR420" i="4"/>
  <c r="BN420" i="4"/>
  <c r="BJ420" i="4"/>
  <c r="DB419" i="4"/>
  <c r="CX419" i="4"/>
  <c r="CT419" i="4"/>
  <c r="CP419" i="4"/>
  <c r="CL419" i="4"/>
  <c r="CH419" i="4"/>
  <c r="CD419" i="4"/>
  <c r="BZ419" i="4"/>
  <c r="BV419" i="4"/>
  <c r="BR419" i="4"/>
  <c r="BN419" i="4"/>
  <c r="BJ419" i="4"/>
  <c r="DB418" i="4"/>
  <c r="CX418" i="4"/>
  <c r="CT418" i="4"/>
  <c r="CP418" i="4"/>
  <c r="CL418" i="4"/>
  <c r="CH418" i="4"/>
  <c r="CD418" i="4"/>
  <c r="BZ418" i="4"/>
  <c r="BV418" i="4"/>
  <c r="BR418" i="4"/>
  <c r="BN418" i="4"/>
  <c r="BJ418" i="4"/>
  <c r="DN417" i="4"/>
  <c r="DJ417" i="4"/>
  <c r="DB417" i="4"/>
  <c r="CX417" i="4"/>
  <c r="CT417" i="4"/>
  <c r="CP417" i="4"/>
  <c r="CL417" i="4"/>
  <c r="CH417" i="4"/>
  <c r="CD417" i="4"/>
  <c r="BZ417" i="4"/>
  <c r="BV417" i="4"/>
  <c r="BR417" i="4"/>
  <c r="BN417" i="4"/>
  <c r="BJ417" i="4"/>
  <c r="DB416" i="4"/>
  <c r="DB1216" i="4" s="1"/>
  <c r="CX416" i="4"/>
  <c r="CX1216" i="4" s="1"/>
  <c r="CT416" i="4"/>
  <c r="CT1216" i="4" s="1"/>
  <c r="CP416" i="4"/>
  <c r="CP1216" i="4" s="1"/>
  <c r="CL416" i="4"/>
  <c r="CL1216" i="4" s="1"/>
  <c r="CH416" i="4"/>
  <c r="CH1216" i="4" s="1"/>
  <c r="CD416" i="4"/>
  <c r="CD1216" i="4" s="1"/>
  <c r="BZ416" i="4"/>
  <c r="BZ1216" i="4" s="1"/>
  <c r="BV416" i="4"/>
  <c r="BV1216" i="4" s="1"/>
  <c r="BR416" i="4"/>
  <c r="BR1216" i="4" s="1"/>
  <c r="BN416" i="4"/>
  <c r="BN1216" i="4" s="1"/>
  <c r="BJ416" i="4"/>
  <c r="BJ1216" i="4" s="1"/>
  <c r="DB415" i="4"/>
  <c r="CX415" i="4"/>
  <c r="CT415" i="4"/>
  <c r="CP415" i="4"/>
  <c r="CL415" i="4"/>
  <c r="CH415" i="4"/>
  <c r="CD415" i="4"/>
  <c r="BZ415" i="4"/>
  <c r="BV415" i="4"/>
  <c r="BR415" i="4"/>
  <c r="BN415" i="4"/>
  <c r="BN1206" i="4" s="1"/>
  <c r="BJ415" i="4"/>
  <c r="BJ1206" i="4" s="1"/>
  <c r="DA411" i="4"/>
  <c r="DD412" i="4" s="1"/>
  <c r="CZ411" i="4"/>
  <c r="CW411" i="4"/>
  <c r="CV411" i="4"/>
  <c r="CS411" i="4"/>
  <c r="CR411" i="4"/>
  <c r="CO411" i="4"/>
  <c r="CN411" i="4"/>
  <c r="CK411" i="4"/>
  <c r="CJ411" i="4"/>
  <c r="CG411" i="4"/>
  <c r="CF411" i="4"/>
  <c r="CC411" i="4"/>
  <c r="CB411" i="4"/>
  <c r="BY411" i="4"/>
  <c r="BX411" i="4"/>
  <c r="BU411" i="4"/>
  <c r="BT411" i="4"/>
  <c r="BQ411" i="4"/>
  <c r="BP411" i="4"/>
  <c r="BM411" i="4"/>
  <c r="BL411" i="4"/>
  <c r="BI411" i="4"/>
  <c r="BH411" i="4"/>
  <c r="DA398" i="4"/>
  <c r="DA400" i="4" s="1"/>
  <c r="DD401" i="4" s="1"/>
  <c r="CZ398" i="4"/>
  <c r="CZ400" i="4" s="1"/>
  <c r="CW398" i="4"/>
  <c r="CW400" i="4" s="1"/>
  <c r="CV398" i="4"/>
  <c r="CV400" i="4" s="1"/>
  <c r="CS398" i="4"/>
  <c r="CS400" i="4" s="1"/>
  <c r="CR398" i="4"/>
  <c r="CR400" i="4" s="1"/>
  <c r="CO398" i="4"/>
  <c r="CO400" i="4" s="1"/>
  <c r="CN398" i="4"/>
  <c r="CN400" i="4" s="1"/>
  <c r="CJ398" i="4"/>
  <c r="CJ400" i="4" s="1"/>
  <c r="CF398" i="4"/>
  <c r="CF400" i="4" s="1"/>
  <c r="CB398" i="4"/>
  <c r="CB400" i="4" s="1"/>
  <c r="BX398" i="4"/>
  <c r="BX400" i="4" s="1"/>
  <c r="BU398" i="4"/>
  <c r="BU400" i="4" s="1"/>
  <c r="BT398" i="4"/>
  <c r="BT400" i="4" s="1"/>
  <c r="BQ398" i="4"/>
  <c r="BQ400" i="4" s="1"/>
  <c r="BP398" i="4"/>
  <c r="BP400" i="4" s="1"/>
  <c r="BM398" i="4"/>
  <c r="BM400" i="4" s="1"/>
  <c r="BL398" i="4"/>
  <c r="BL400" i="4" s="1"/>
  <c r="BI398" i="4"/>
  <c r="BI400" i="4" s="1"/>
  <c r="BH398" i="4"/>
  <c r="BH400" i="4" s="1"/>
  <c r="DB396" i="4"/>
  <c r="CX396" i="4"/>
  <c r="CT396" i="4"/>
  <c r="CP396" i="4"/>
  <c r="CL396" i="4"/>
  <c r="CH396" i="4"/>
  <c r="CD396" i="4"/>
  <c r="BZ396" i="4"/>
  <c r="BV396" i="4"/>
  <c r="BR396" i="4"/>
  <c r="BN396" i="4"/>
  <c r="BJ396" i="4"/>
  <c r="DB394" i="4"/>
  <c r="CX394" i="4"/>
  <c r="CT394" i="4"/>
  <c r="CP394" i="4"/>
  <c r="CL394" i="4"/>
  <c r="CH394" i="4"/>
  <c r="CD394" i="4"/>
  <c r="BZ394" i="4"/>
  <c r="BV394" i="4"/>
  <c r="BR394" i="4"/>
  <c r="BN394" i="4"/>
  <c r="BJ394" i="4"/>
  <c r="DB393" i="4"/>
  <c r="CX393" i="4"/>
  <c r="CT393" i="4"/>
  <c r="CP393" i="4"/>
  <c r="CL393" i="4"/>
  <c r="CH393" i="4"/>
  <c r="CD393" i="4"/>
  <c r="BZ393" i="4"/>
  <c r="BV393" i="4"/>
  <c r="BR393" i="4"/>
  <c r="BN393" i="4"/>
  <c r="BJ393" i="4"/>
  <c r="DB392" i="4"/>
  <c r="CX392" i="4"/>
  <c r="CT392" i="4"/>
  <c r="CP392" i="4"/>
  <c r="CL392" i="4"/>
  <c r="CH392" i="4"/>
  <c r="CD392" i="4"/>
  <c r="BZ392" i="4"/>
  <c r="BV392" i="4"/>
  <c r="BR392" i="4"/>
  <c r="BN392" i="4"/>
  <c r="BJ392" i="4"/>
  <c r="DB390" i="4"/>
  <c r="CX390" i="4"/>
  <c r="CT390" i="4"/>
  <c r="CP390" i="4"/>
  <c r="CL390" i="4"/>
  <c r="CH390" i="4"/>
  <c r="CD390" i="4"/>
  <c r="BZ390" i="4"/>
  <c r="BV390" i="4"/>
  <c r="BR390" i="4"/>
  <c r="BN390" i="4"/>
  <c r="BJ390" i="4"/>
  <c r="DB387" i="4"/>
  <c r="CX387" i="4"/>
  <c r="CT387" i="4"/>
  <c r="CP387" i="4"/>
  <c r="CL387" i="4"/>
  <c r="CH387" i="4"/>
  <c r="CD387" i="4"/>
  <c r="BZ387" i="4"/>
  <c r="BV387" i="4"/>
  <c r="BR387" i="4"/>
  <c r="BN387" i="4"/>
  <c r="BJ387" i="4"/>
  <c r="DB385" i="4"/>
  <c r="CX385" i="4"/>
  <c r="CT385" i="4"/>
  <c r="CP385" i="4"/>
  <c r="CL385" i="4"/>
  <c r="CH385" i="4"/>
  <c r="CD385" i="4"/>
  <c r="BZ385" i="4"/>
  <c r="BV385" i="4"/>
  <c r="BR385" i="4"/>
  <c r="BN385" i="4"/>
  <c r="BJ385" i="4"/>
  <c r="DB384" i="4"/>
  <c r="DB411" i="4" s="1"/>
  <c r="CX384" i="4"/>
  <c r="CX411" i="4" s="1"/>
  <c r="CT384" i="4"/>
  <c r="CT411" i="4" s="1"/>
  <c r="CP384" i="4"/>
  <c r="CP411" i="4" s="1"/>
  <c r="CL384" i="4"/>
  <c r="CL411" i="4" s="1"/>
  <c r="CH384" i="4"/>
  <c r="CD384" i="4"/>
  <c r="CD411" i="4" s="1"/>
  <c r="BZ384" i="4"/>
  <c r="BZ411" i="4" s="1"/>
  <c r="BV384" i="4"/>
  <c r="BV411" i="4" s="1"/>
  <c r="BR384" i="4"/>
  <c r="BR411" i="4" s="1"/>
  <c r="BN384" i="4"/>
  <c r="BN411" i="4" s="1"/>
  <c r="BJ384" i="4"/>
  <c r="BJ411" i="4" s="1"/>
  <c r="DA383" i="4"/>
  <c r="CZ383" i="4"/>
  <c r="CW383" i="4"/>
  <c r="CV383" i="4"/>
  <c r="CS383" i="4"/>
  <c r="CR383" i="4"/>
  <c r="CO383" i="4"/>
  <c r="CN383" i="4"/>
  <c r="CK383" i="4"/>
  <c r="CJ383" i="4"/>
  <c r="CG383" i="4"/>
  <c r="CF383" i="4"/>
  <c r="CC383" i="4"/>
  <c r="CB383" i="4"/>
  <c r="BY383" i="4"/>
  <c r="BX383" i="4"/>
  <c r="BU383" i="4"/>
  <c r="BT383" i="4"/>
  <c r="BQ383" i="4"/>
  <c r="BP383" i="4"/>
  <c r="BM383" i="4"/>
  <c r="BL383" i="4"/>
  <c r="BI383" i="4"/>
  <c r="BH383" i="4"/>
  <c r="A376" i="4"/>
  <c r="A375" i="4"/>
  <c r="CC374" i="4"/>
  <c r="CB374" i="4"/>
  <c r="BY374" i="4"/>
  <c r="BX374" i="4"/>
  <c r="A372" i="4"/>
  <c r="A371" i="4"/>
  <c r="DA367" i="4"/>
  <c r="CZ367" i="4"/>
  <c r="CW367" i="4"/>
  <c r="CV367" i="4"/>
  <c r="CS367" i="4"/>
  <c r="CR367" i="4"/>
  <c r="CO367" i="4"/>
  <c r="CN367" i="4"/>
  <c r="CK367" i="4"/>
  <c r="CJ367" i="4"/>
  <c r="CG367" i="4"/>
  <c r="CF367" i="4"/>
  <c r="CC367" i="4"/>
  <c r="CB367" i="4"/>
  <c r="CB368" i="4" s="1"/>
  <c r="BY367" i="4"/>
  <c r="BX367" i="4"/>
  <c r="BU367" i="4"/>
  <c r="BT367" i="4"/>
  <c r="BT389" i="4" s="1"/>
  <c r="BQ367" i="4"/>
  <c r="BP367" i="4"/>
  <c r="BM367" i="4"/>
  <c r="BL367" i="4"/>
  <c r="BI367" i="4"/>
  <c r="BI389" i="4" s="1"/>
  <c r="BH367" i="4"/>
  <c r="CZ365" i="4"/>
  <c r="CW365" i="4"/>
  <c r="CX365" i="4" s="1"/>
  <c r="CV365" i="4"/>
  <c r="CS365" i="4"/>
  <c r="CR365" i="4"/>
  <c r="CO365" i="4"/>
  <c r="CN365" i="4"/>
  <c r="CK365" i="4"/>
  <c r="CJ365" i="4"/>
  <c r="CG365" i="4"/>
  <c r="CH365" i="4" s="1"/>
  <c r="CF365" i="4"/>
  <c r="CD365" i="4"/>
  <c r="BZ365" i="4"/>
  <c r="BV365" i="4"/>
  <c r="BT365" i="4"/>
  <c r="BR365" i="4"/>
  <c r="BP365" i="4"/>
  <c r="BN365" i="4"/>
  <c r="BL365" i="4"/>
  <c r="BI365" i="4"/>
  <c r="BH365" i="4"/>
  <c r="DA364" i="4"/>
  <c r="CZ364" i="4"/>
  <c r="CW364" i="4"/>
  <c r="CV364" i="4"/>
  <c r="CS364" i="4"/>
  <c r="CR364" i="4"/>
  <c r="CO364" i="4"/>
  <c r="CN364" i="4"/>
  <c r="CK364" i="4"/>
  <c r="CJ364" i="4"/>
  <c r="CG364" i="4"/>
  <c r="CF364" i="4"/>
  <c r="CC364" i="4"/>
  <c r="CB364" i="4"/>
  <c r="BY364" i="4"/>
  <c r="BX364" i="4"/>
  <c r="BU364" i="4"/>
  <c r="BT364" i="4"/>
  <c r="BQ364" i="4"/>
  <c r="BP364" i="4"/>
  <c r="BM364" i="4"/>
  <c r="BL364" i="4"/>
  <c r="BI364" i="4"/>
  <c r="BH364" i="4"/>
  <c r="DA361" i="4"/>
  <c r="DB361" i="4" s="1"/>
  <c r="CZ361" i="4"/>
  <c r="CW361" i="4"/>
  <c r="CV361" i="4"/>
  <c r="CS361" i="4"/>
  <c r="CR361" i="4"/>
  <c r="CO361" i="4"/>
  <c r="CN361" i="4"/>
  <c r="CK361" i="4"/>
  <c r="CJ361" i="4"/>
  <c r="CG361" i="4"/>
  <c r="CF361" i="4"/>
  <c r="CC361" i="4"/>
  <c r="CB361" i="4"/>
  <c r="BY361" i="4"/>
  <c r="BX361" i="4"/>
  <c r="BU361" i="4"/>
  <c r="BT361" i="4"/>
  <c r="BQ361" i="4"/>
  <c r="BP361" i="4"/>
  <c r="BM361" i="4"/>
  <c r="BL361" i="4"/>
  <c r="BI361" i="4"/>
  <c r="BH361" i="4"/>
  <c r="DA360" i="4"/>
  <c r="CZ360" i="4"/>
  <c r="CW360" i="4"/>
  <c r="CV360" i="4"/>
  <c r="CS360" i="4"/>
  <c r="CR360" i="4"/>
  <c r="CO360" i="4"/>
  <c r="CN360" i="4"/>
  <c r="CK360" i="4"/>
  <c r="CJ360" i="4"/>
  <c r="CG360" i="4"/>
  <c r="CF360" i="4"/>
  <c r="CC360" i="4"/>
  <c r="CB360" i="4"/>
  <c r="BY360" i="4"/>
  <c r="BX360" i="4"/>
  <c r="BU360" i="4"/>
  <c r="BT360" i="4"/>
  <c r="BQ360" i="4"/>
  <c r="BP360" i="4"/>
  <c r="BM360" i="4"/>
  <c r="BL360" i="4"/>
  <c r="BI360" i="4"/>
  <c r="BH360" i="4"/>
  <c r="DA357" i="4"/>
  <c r="CZ357" i="4"/>
  <c r="CW357" i="4"/>
  <c r="CV357" i="4"/>
  <c r="CS357" i="4"/>
  <c r="CR357" i="4"/>
  <c r="CO357" i="4"/>
  <c r="CN357" i="4"/>
  <c r="CK357" i="4"/>
  <c r="CJ357" i="4"/>
  <c r="CG357" i="4"/>
  <c r="CF357" i="4"/>
  <c r="CC357" i="4"/>
  <c r="CB357" i="4"/>
  <c r="BY357" i="4"/>
  <c r="BX357" i="4"/>
  <c r="BU357" i="4"/>
  <c r="BT357" i="4"/>
  <c r="BQ357" i="4"/>
  <c r="BP357" i="4"/>
  <c r="BM357" i="4"/>
  <c r="BL357" i="4"/>
  <c r="BI357" i="4"/>
  <c r="A357" i="4"/>
  <c r="A356" i="4"/>
  <c r="DA355" i="4"/>
  <c r="CZ355" i="4"/>
  <c r="CW355" i="4"/>
  <c r="CV355" i="4"/>
  <c r="CS355" i="4"/>
  <c r="CR355" i="4"/>
  <c r="CO355" i="4"/>
  <c r="CN355" i="4"/>
  <c r="CK355" i="4"/>
  <c r="CJ355" i="4"/>
  <c r="CG355" i="4"/>
  <c r="CF355" i="4"/>
  <c r="CC355" i="4"/>
  <c r="CB355" i="4"/>
  <c r="BY355" i="4"/>
  <c r="BX355" i="4"/>
  <c r="BU355" i="4"/>
  <c r="BT355" i="4"/>
  <c r="BQ355" i="4"/>
  <c r="BP355" i="4"/>
  <c r="BM355" i="4"/>
  <c r="BL355" i="4"/>
  <c r="BI355" i="4"/>
  <c r="DA352" i="4"/>
  <c r="CZ352" i="4"/>
  <c r="CW352" i="4"/>
  <c r="CV352" i="4"/>
  <c r="CS352" i="4"/>
  <c r="CR352" i="4"/>
  <c r="CO352" i="4"/>
  <c r="CN352" i="4"/>
  <c r="CK352" i="4"/>
  <c r="CJ352" i="4"/>
  <c r="CG352" i="4"/>
  <c r="CF352" i="4"/>
  <c r="CC352" i="4"/>
  <c r="CB352" i="4"/>
  <c r="BY352" i="4"/>
  <c r="BX352" i="4"/>
  <c r="BU352" i="4"/>
  <c r="BT352" i="4"/>
  <c r="BQ352" i="4"/>
  <c r="BP352" i="4"/>
  <c r="BM352" i="4"/>
  <c r="BL352" i="4"/>
  <c r="BI352" i="4"/>
  <c r="A352" i="4"/>
  <c r="DA351" i="4"/>
  <c r="CZ351" i="4"/>
  <c r="CW351" i="4"/>
  <c r="CV351" i="4"/>
  <c r="CS351" i="4"/>
  <c r="CR351" i="4"/>
  <c r="CO351" i="4"/>
  <c r="CN351" i="4"/>
  <c r="CK351" i="4"/>
  <c r="CJ351" i="4"/>
  <c r="CG351" i="4"/>
  <c r="CF351" i="4"/>
  <c r="CC351" i="4"/>
  <c r="CB351" i="4"/>
  <c r="BY351" i="4"/>
  <c r="BX351" i="4"/>
  <c r="BU351" i="4"/>
  <c r="BT351" i="4"/>
  <c r="BQ351" i="4"/>
  <c r="BP351" i="4"/>
  <c r="BM351" i="4"/>
  <c r="BL351" i="4"/>
  <c r="BI351" i="4"/>
  <c r="A351" i="4"/>
  <c r="DB349" i="4"/>
  <c r="DG349" i="4" s="1"/>
  <c r="CX349" i="4"/>
  <c r="CT349" i="4"/>
  <c r="CP349" i="4"/>
  <c r="CL349" i="4"/>
  <c r="CH349" i="4"/>
  <c r="CD349" i="4"/>
  <c r="BZ349" i="4"/>
  <c r="BV349" i="4"/>
  <c r="BR349" i="4"/>
  <c r="BN349" i="4"/>
  <c r="BJ349" i="4"/>
  <c r="DA348" i="4"/>
  <c r="DD356" i="4" s="1"/>
  <c r="CZ348" i="4"/>
  <c r="CW348" i="4"/>
  <c r="CV348" i="4"/>
  <c r="CS348" i="4"/>
  <c r="CR348" i="4"/>
  <c r="CO348" i="4"/>
  <c r="CN348" i="4"/>
  <c r="CK348" i="4"/>
  <c r="CJ348" i="4"/>
  <c r="CG348" i="4"/>
  <c r="CF348" i="4"/>
  <c r="CC348" i="4"/>
  <c r="CB348" i="4"/>
  <c r="BY348" i="4"/>
  <c r="BX348" i="4"/>
  <c r="BU348" i="4"/>
  <c r="BT348" i="4"/>
  <c r="BQ348" i="4"/>
  <c r="BP348" i="4"/>
  <c r="BM348" i="4"/>
  <c r="BL348" i="4"/>
  <c r="BI348" i="4"/>
  <c r="BH348" i="4"/>
  <c r="DB347" i="4"/>
  <c r="CX347" i="4"/>
  <c r="CT347" i="4"/>
  <c r="CP347" i="4"/>
  <c r="CL347" i="4"/>
  <c r="CH347" i="4"/>
  <c r="CD347" i="4"/>
  <c r="BZ347" i="4"/>
  <c r="BV347" i="4"/>
  <c r="BR347" i="4"/>
  <c r="BN347" i="4"/>
  <c r="BJ347" i="4"/>
  <c r="DB344" i="4"/>
  <c r="CX344" i="4"/>
  <c r="CT344" i="4"/>
  <c r="CP344" i="4"/>
  <c r="CL344" i="4"/>
  <c r="CH344" i="4"/>
  <c r="CD344" i="4"/>
  <c r="BZ344" i="4"/>
  <c r="BV344" i="4"/>
  <c r="BR344" i="4"/>
  <c r="BN344" i="4"/>
  <c r="BJ344" i="4"/>
  <c r="DB343" i="4"/>
  <c r="CX343" i="4"/>
  <c r="CT343" i="4"/>
  <c r="CP343" i="4"/>
  <c r="CL343" i="4"/>
  <c r="CH343" i="4"/>
  <c r="CD343" i="4"/>
  <c r="BZ343" i="4"/>
  <c r="BV343" i="4"/>
  <c r="BR343" i="4"/>
  <c r="BN343" i="4"/>
  <c r="BJ343" i="4"/>
  <c r="A333" i="4"/>
  <c r="A340" i="4" s="1"/>
  <c r="A332" i="4"/>
  <c r="A339" i="4" s="1"/>
  <c r="A328" i="4"/>
  <c r="A336" i="4" s="1"/>
  <c r="A327" i="4"/>
  <c r="A335" i="4" s="1"/>
  <c r="DA324" i="4"/>
  <c r="CZ324" i="4"/>
  <c r="CW324" i="4"/>
  <c r="CV324" i="4"/>
  <c r="CS324" i="4"/>
  <c r="CR324" i="4"/>
  <c r="CO324" i="4"/>
  <c r="CN324" i="4"/>
  <c r="CK324" i="4"/>
  <c r="CJ324" i="4"/>
  <c r="CG324" i="4"/>
  <c r="CF324" i="4"/>
  <c r="CC324" i="4"/>
  <c r="CB324" i="4"/>
  <c r="BY324" i="4"/>
  <c r="BX324" i="4"/>
  <c r="BU324" i="4"/>
  <c r="BT324" i="4"/>
  <c r="BQ324" i="4"/>
  <c r="BP324" i="4"/>
  <c r="BM324" i="4"/>
  <c r="BL324" i="4"/>
  <c r="BI324" i="4"/>
  <c r="A324" i="4"/>
  <c r="A323" i="4"/>
  <c r="DA321" i="4"/>
  <c r="CZ321" i="4"/>
  <c r="CW321" i="4"/>
  <c r="CV321" i="4"/>
  <c r="CS321" i="4"/>
  <c r="CR321" i="4"/>
  <c r="CO321" i="4"/>
  <c r="CN321" i="4"/>
  <c r="CK321" i="4"/>
  <c r="CJ321" i="4"/>
  <c r="CG321" i="4"/>
  <c r="CF321" i="4"/>
  <c r="CC321" i="4"/>
  <c r="CB321" i="4"/>
  <c r="BY321" i="4"/>
  <c r="BX321" i="4"/>
  <c r="BU321" i="4"/>
  <c r="BT321" i="4"/>
  <c r="BQ321" i="4"/>
  <c r="BP321" i="4"/>
  <c r="BM321" i="4"/>
  <c r="BL321" i="4"/>
  <c r="BI321" i="4"/>
  <c r="A321" i="4"/>
  <c r="DA320" i="4"/>
  <c r="CZ320" i="4"/>
  <c r="CW320" i="4"/>
  <c r="CV320" i="4"/>
  <c r="CS320" i="4"/>
  <c r="CR320" i="4"/>
  <c r="CO320" i="4"/>
  <c r="CN320" i="4"/>
  <c r="CK320" i="4"/>
  <c r="CJ320" i="4"/>
  <c r="CG320" i="4"/>
  <c r="CF320" i="4"/>
  <c r="CC320" i="4"/>
  <c r="CB320" i="4"/>
  <c r="BY320" i="4"/>
  <c r="BX320" i="4"/>
  <c r="BU320" i="4"/>
  <c r="BT320" i="4"/>
  <c r="BQ320" i="4"/>
  <c r="BP320" i="4"/>
  <c r="BM320" i="4"/>
  <c r="BL320" i="4"/>
  <c r="BI320" i="4"/>
  <c r="A320" i="4"/>
  <c r="DB318" i="4"/>
  <c r="CX318" i="4"/>
  <c r="CT318" i="4"/>
  <c r="CP318" i="4"/>
  <c r="CL318" i="4"/>
  <c r="CH318" i="4"/>
  <c r="CD318" i="4"/>
  <c r="BZ318" i="4"/>
  <c r="BV318" i="4"/>
  <c r="BR318" i="4"/>
  <c r="BN318" i="4"/>
  <c r="BJ318" i="4"/>
  <c r="DA317" i="4"/>
  <c r="CZ317" i="4"/>
  <c r="CW317" i="4"/>
  <c r="CV317" i="4"/>
  <c r="CS317" i="4"/>
  <c r="CR317" i="4"/>
  <c r="CO317" i="4"/>
  <c r="CN317" i="4"/>
  <c r="CK317" i="4"/>
  <c r="CJ317" i="4"/>
  <c r="CG317" i="4"/>
  <c r="CF317" i="4"/>
  <c r="CC317" i="4"/>
  <c r="CB317" i="4"/>
  <c r="BY317" i="4"/>
  <c r="BX317" i="4"/>
  <c r="BU317" i="4"/>
  <c r="BT317" i="4"/>
  <c r="BQ317" i="4"/>
  <c r="BP317" i="4"/>
  <c r="BM317" i="4"/>
  <c r="BL317" i="4"/>
  <c r="BI317" i="4"/>
  <c r="BH317" i="4"/>
  <c r="DB316" i="4"/>
  <c r="CX316" i="4"/>
  <c r="CT316" i="4"/>
  <c r="CP316" i="4"/>
  <c r="CL316" i="4"/>
  <c r="CH316" i="4"/>
  <c r="CD316" i="4"/>
  <c r="BZ316" i="4"/>
  <c r="BV316" i="4"/>
  <c r="BR316" i="4"/>
  <c r="BN316" i="4"/>
  <c r="BJ316" i="4"/>
  <c r="DB313" i="4"/>
  <c r="CX313" i="4"/>
  <c r="CT313" i="4"/>
  <c r="CP313" i="4"/>
  <c r="CL313" i="4"/>
  <c r="CH313" i="4"/>
  <c r="CD313" i="4"/>
  <c r="BZ313" i="4"/>
  <c r="BV313" i="4"/>
  <c r="BR313" i="4"/>
  <c r="BN313" i="4"/>
  <c r="BJ313" i="4"/>
  <c r="DB312" i="4"/>
  <c r="CX312" i="4"/>
  <c r="CT312" i="4"/>
  <c r="CP312" i="4"/>
  <c r="CL312" i="4"/>
  <c r="CH312" i="4"/>
  <c r="CD312" i="4"/>
  <c r="BZ312" i="4"/>
  <c r="BV312" i="4"/>
  <c r="BR312" i="4"/>
  <c r="BN312" i="4"/>
  <c r="BJ312" i="4"/>
  <c r="DA310" i="4"/>
  <c r="CZ310" i="4"/>
  <c r="CW310" i="4"/>
  <c r="CV310" i="4"/>
  <c r="CS310" i="4"/>
  <c r="CR310" i="4"/>
  <c r="CO310" i="4"/>
  <c r="CN310" i="4"/>
  <c r="CK310" i="4"/>
  <c r="CJ310" i="4"/>
  <c r="CG310" i="4"/>
  <c r="CF310" i="4"/>
  <c r="DA309" i="4"/>
  <c r="CZ309" i="4"/>
  <c r="CW309" i="4"/>
  <c r="CV309" i="4"/>
  <c r="CS309" i="4"/>
  <c r="CR309" i="4"/>
  <c r="CO309" i="4"/>
  <c r="CN309" i="4"/>
  <c r="CK309" i="4"/>
  <c r="CJ309" i="4"/>
  <c r="CG309" i="4"/>
  <c r="CF309" i="4"/>
  <c r="CC309" i="4"/>
  <c r="CB309" i="4"/>
  <c r="BY309" i="4"/>
  <c r="BX309" i="4"/>
  <c r="BU309" i="4"/>
  <c r="BT309" i="4"/>
  <c r="BQ309" i="4"/>
  <c r="BP309" i="4"/>
  <c r="BM309" i="4"/>
  <c r="BL309" i="4"/>
  <c r="BI309" i="4"/>
  <c r="A309" i="4"/>
  <c r="A308" i="4"/>
  <c r="DA307" i="4"/>
  <c r="CZ307" i="4"/>
  <c r="CW307" i="4"/>
  <c r="CV307" i="4"/>
  <c r="CS307" i="4"/>
  <c r="CR307" i="4"/>
  <c r="CO307" i="4"/>
  <c r="CN307" i="4"/>
  <c r="CK307" i="4"/>
  <c r="CJ307" i="4"/>
  <c r="CG307" i="4"/>
  <c r="CF307" i="4"/>
  <c r="CC307" i="4"/>
  <c r="CB307" i="4"/>
  <c r="BY307" i="4"/>
  <c r="BX307" i="4"/>
  <c r="BU307" i="4"/>
  <c r="BT307" i="4"/>
  <c r="BQ307" i="4"/>
  <c r="BP307" i="4"/>
  <c r="BM307" i="4"/>
  <c r="BL307" i="4"/>
  <c r="BI307" i="4"/>
  <c r="DA304" i="4"/>
  <c r="CZ304" i="4"/>
  <c r="CW304" i="4"/>
  <c r="CV304" i="4"/>
  <c r="CS304" i="4"/>
  <c r="CR304" i="4"/>
  <c r="CO304" i="4"/>
  <c r="CN304" i="4"/>
  <c r="CK304" i="4"/>
  <c r="CJ304" i="4"/>
  <c r="CG304" i="4"/>
  <c r="CF304" i="4"/>
  <c r="CC304" i="4"/>
  <c r="CB304" i="4"/>
  <c r="BY304" i="4"/>
  <c r="BX304" i="4"/>
  <c r="BU304" i="4"/>
  <c r="BT304" i="4"/>
  <c r="BQ304" i="4"/>
  <c r="BP304" i="4"/>
  <c r="BM304" i="4"/>
  <c r="BL304" i="4"/>
  <c r="BI304" i="4"/>
  <c r="A304" i="4"/>
  <c r="DA303" i="4"/>
  <c r="CZ303" i="4"/>
  <c r="CW303" i="4"/>
  <c r="CV303" i="4"/>
  <c r="CS303" i="4"/>
  <c r="CR303" i="4"/>
  <c r="CO303" i="4"/>
  <c r="CN303" i="4"/>
  <c r="CK303" i="4"/>
  <c r="CJ303" i="4"/>
  <c r="CG303" i="4"/>
  <c r="CF303" i="4"/>
  <c r="CC303" i="4"/>
  <c r="CB303" i="4"/>
  <c r="BY303" i="4"/>
  <c r="BX303" i="4"/>
  <c r="BU303" i="4"/>
  <c r="BT303" i="4"/>
  <c r="BQ303" i="4"/>
  <c r="BP303" i="4"/>
  <c r="BM303" i="4"/>
  <c r="BL303" i="4"/>
  <c r="BI303" i="4"/>
  <c r="A303" i="4"/>
  <c r="DB300" i="4"/>
  <c r="CX300" i="4"/>
  <c r="CT300" i="4"/>
  <c r="CP300" i="4"/>
  <c r="DB299" i="4"/>
  <c r="DG299" i="4" s="1"/>
  <c r="CX299" i="4"/>
  <c r="CT299" i="4"/>
  <c r="CP299" i="4"/>
  <c r="CL299" i="4"/>
  <c r="CH299" i="4"/>
  <c r="CD299" i="4"/>
  <c r="BZ299" i="4"/>
  <c r="BV299" i="4"/>
  <c r="BR299" i="4"/>
  <c r="BN299" i="4"/>
  <c r="BJ299" i="4"/>
  <c r="DD308" i="4"/>
  <c r="CW298" i="4"/>
  <c r="CV298" i="4"/>
  <c r="CS298" i="4"/>
  <c r="CR298" i="4"/>
  <c r="CO298" i="4"/>
  <c r="CN298" i="4"/>
  <c r="CK298" i="4"/>
  <c r="CJ298" i="4"/>
  <c r="CG298" i="4"/>
  <c r="CF298" i="4"/>
  <c r="CC298" i="4"/>
  <c r="CB298" i="4"/>
  <c r="BY298" i="4"/>
  <c r="BX298" i="4"/>
  <c r="BU298" i="4"/>
  <c r="BT298" i="4"/>
  <c r="BQ298" i="4"/>
  <c r="BP298" i="4"/>
  <c r="BM298" i="4"/>
  <c r="BL298" i="4"/>
  <c r="BI298" i="4"/>
  <c r="BH298" i="4"/>
  <c r="DB297" i="4"/>
  <c r="DG297" i="4" s="1"/>
  <c r="CX297" i="4"/>
  <c r="CT297" i="4"/>
  <c r="CP297" i="4"/>
  <c r="CL297" i="4"/>
  <c r="CH297" i="4"/>
  <c r="CD297" i="4"/>
  <c r="BZ297" i="4"/>
  <c r="BV297" i="4"/>
  <c r="BR297" i="4"/>
  <c r="BN297" i="4"/>
  <c r="BJ297" i="4"/>
  <c r="DB294" i="4"/>
  <c r="DG294" i="4" s="1"/>
  <c r="CX294" i="4"/>
  <c r="CT294" i="4"/>
  <c r="CP294" i="4"/>
  <c r="CL294" i="4"/>
  <c r="CH294" i="4"/>
  <c r="CD294" i="4"/>
  <c r="BZ294" i="4"/>
  <c r="BV294" i="4"/>
  <c r="BR294" i="4"/>
  <c r="BN294" i="4"/>
  <c r="BJ294" i="4"/>
  <c r="DB293" i="4"/>
  <c r="DG293" i="4" s="1"/>
  <c r="CX293" i="4"/>
  <c r="CT293" i="4"/>
  <c r="CP293" i="4"/>
  <c r="CL293" i="4"/>
  <c r="CH293" i="4"/>
  <c r="CD293" i="4"/>
  <c r="BZ293" i="4"/>
  <c r="BV293" i="4"/>
  <c r="BR293" i="4"/>
  <c r="BN293" i="4"/>
  <c r="BJ293" i="4"/>
  <c r="DM285" i="4"/>
  <c r="DI285" i="4"/>
  <c r="DA284" i="4"/>
  <c r="CZ284" i="4"/>
  <c r="CW284" i="4"/>
  <c r="CV284" i="4"/>
  <c r="CS284" i="4"/>
  <c r="CR284" i="4"/>
  <c r="CO284" i="4"/>
  <c r="CN284" i="4"/>
  <c r="CK284" i="4"/>
  <c r="CJ284" i="4"/>
  <c r="CG284" i="4"/>
  <c r="CF284" i="4"/>
  <c r="CC284" i="4"/>
  <c r="CB284" i="4"/>
  <c r="BY284" i="4"/>
  <c r="BX284" i="4"/>
  <c r="BU284" i="4"/>
  <c r="BT284" i="4"/>
  <c r="BQ284" i="4"/>
  <c r="BP284" i="4"/>
  <c r="BM284" i="4"/>
  <c r="BL284" i="4"/>
  <c r="BI284" i="4"/>
  <c r="BH284" i="4"/>
  <c r="DA276" i="4"/>
  <c r="CZ276" i="4"/>
  <c r="CW276" i="4"/>
  <c r="CW285" i="4" s="1"/>
  <c r="CV276" i="4"/>
  <c r="CS276" i="4"/>
  <c r="CR276" i="4"/>
  <c r="CO276" i="4"/>
  <c r="CN276" i="4"/>
  <c r="CK276" i="4"/>
  <c r="CJ276" i="4"/>
  <c r="CX69" i="3" s="1"/>
  <c r="CG276" i="4"/>
  <c r="CF276" i="4"/>
  <c r="CC276" i="4"/>
  <c r="CB276" i="4"/>
  <c r="CB285" i="4" s="1"/>
  <c r="BY276" i="4"/>
  <c r="CM69" i="3" s="1"/>
  <c r="BX276" i="4"/>
  <c r="BU276" i="4"/>
  <c r="BT276" i="4"/>
  <c r="BQ276" i="4"/>
  <c r="BQ285" i="4" s="1"/>
  <c r="BP276" i="4"/>
  <c r="BM276" i="4"/>
  <c r="BL276" i="4"/>
  <c r="BI276" i="4"/>
  <c r="BH276" i="4"/>
  <c r="DA275" i="4"/>
  <c r="CZ275" i="4"/>
  <c r="CW275" i="4"/>
  <c r="CV275" i="4"/>
  <c r="CS275" i="4"/>
  <c r="CR275" i="4"/>
  <c r="CO275" i="4"/>
  <c r="CN275" i="4"/>
  <c r="CK275" i="4"/>
  <c r="CJ275" i="4"/>
  <c r="CG275" i="4"/>
  <c r="CF275" i="4"/>
  <c r="CC275" i="4"/>
  <c r="CB275" i="4"/>
  <c r="BY275" i="4"/>
  <c r="BX275" i="4"/>
  <c r="BU275" i="4"/>
  <c r="BT275" i="4"/>
  <c r="BQ275" i="4"/>
  <c r="BP275" i="4"/>
  <c r="BM275" i="4"/>
  <c r="BL275" i="4"/>
  <c r="BI275" i="4"/>
  <c r="BH275" i="4"/>
  <c r="BH273" i="4"/>
  <c r="BV73" i="3" s="1"/>
  <c r="BH271" i="4"/>
  <c r="BV72" i="3" s="1"/>
  <c r="DA266" i="4"/>
  <c r="CZ266" i="4"/>
  <c r="CW266" i="4"/>
  <c r="CV266" i="4"/>
  <c r="CS266" i="4"/>
  <c r="CR266" i="4"/>
  <c r="CO266" i="4"/>
  <c r="CN266" i="4"/>
  <c r="CK266" i="4"/>
  <c r="CJ266" i="4"/>
  <c r="CG266" i="4"/>
  <c r="CF266" i="4"/>
  <c r="CC266" i="4"/>
  <c r="CB266" i="4"/>
  <c r="BY266" i="4"/>
  <c r="BX266" i="4"/>
  <c r="BU266" i="4"/>
  <c r="BT266" i="4"/>
  <c r="BQ266" i="4"/>
  <c r="BP266" i="4"/>
  <c r="BM266" i="4"/>
  <c r="BL266" i="4"/>
  <c r="BI266" i="4"/>
  <c r="BH266" i="4"/>
  <c r="DA265" i="4"/>
  <c r="CZ265" i="4"/>
  <c r="CW265" i="4"/>
  <c r="CV265" i="4"/>
  <c r="CS265" i="4"/>
  <c r="CR265" i="4"/>
  <c r="CO265" i="4"/>
  <c r="CN265" i="4"/>
  <c r="CK265" i="4"/>
  <c r="CJ265" i="4"/>
  <c r="CG265" i="4"/>
  <c r="CF265" i="4"/>
  <c r="CC265" i="4"/>
  <c r="CB265" i="4"/>
  <c r="BY265" i="4"/>
  <c r="BX265" i="4"/>
  <c r="BU265" i="4"/>
  <c r="BT265" i="4"/>
  <c r="BQ265" i="4"/>
  <c r="BP265" i="4"/>
  <c r="BM265" i="4"/>
  <c r="BL265" i="4"/>
  <c r="BI265" i="4"/>
  <c r="BH265" i="4"/>
  <c r="DB263" i="4"/>
  <c r="CX263" i="4"/>
  <c r="DB257" i="4" s="1"/>
  <c r="CT263" i="4"/>
  <c r="DH68" i="3" s="1"/>
  <c r="CP263" i="4"/>
  <c r="CL263" i="4"/>
  <c r="CP257" i="4" s="1"/>
  <c r="CH263" i="4"/>
  <c r="CL257" i="4" s="1"/>
  <c r="CD263" i="4"/>
  <c r="BZ263" i="4"/>
  <c r="BV263" i="4"/>
  <c r="BR263" i="4"/>
  <c r="BV257" i="4" s="1"/>
  <c r="BN263" i="4"/>
  <c r="BR257" i="4" s="1"/>
  <c r="BJ263" i="4"/>
  <c r="BF263" i="4"/>
  <c r="DA261" i="4"/>
  <c r="CZ261" i="4"/>
  <c r="CW261" i="4"/>
  <c r="CV261" i="4"/>
  <c r="CS261" i="4"/>
  <c r="CR261" i="4"/>
  <c r="CO261" i="4"/>
  <c r="CN261" i="4"/>
  <c r="CK261" i="4"/>
  <c r="CJ261" i="4"/>
  <c r="CG261" i="4"/>
  <c r="CF261" i="4"/>
  <c r="CC261" i="4"/>
  <c r="CB261" i="4"/>
  <c r="BY261" i="4"/>
  <c r="BX261" i="4"/>
  <c r="BU261" i="4"/>
  <c r="BT261" i="4"/>
  <c r="BQ261" i="4"/>
  <c r="BP261" i="4"/>
  <c r="BM261" i="4"/>
  <c r="BL261" i="4"/>
  <c r="BI261" i="4"/>
  <c r="BH261" i="4"/>
  <c r="DB260" i="4"/>
  <c r="CX260" i="4"/>
  <c r="CT260" i="4"/>
  <c r="CP260" i="4"/>
  <c r="CL260" i="4"/>
  <c r="CH260" i="4"/>
  <c r="CD260" i="4"/>
  <c r="BZ260" i="4"/>
  <c r="BV260" i="4"/>
  <c r="BR260" i="4"/>
  <c r="BN260" i="4"/>
  <c r="BJ260" i="4"/>
  <c r="DN259" i="4"/>
  <c r="DJ259" i="4"/>
  <c r="DB258" i="4"/>
  <c r="CX258" i="4"/>
  <c r="CT258" i="4"/>
  <c r="CP258" i="4"/>
  <c r="CL258" i="4"/>
  <c r="CH258" i="4"/>
  <c r="CD258" i="4"/>
  <c r="BZ258" i="4"/>
  <c r="BV258" i="4"/>
  <c r="BR258" i="4"/>
  <c r="BN258" i="4"/>
  <c r="BJ258" i="4"/>
  <c r="DA257" i="4"/>
  <c r="DA274" i="4" s="1"/>
  <c r="DI274" i="4" s="1"/>
  <c r="DL274" i="4" s="1"/>
  <c r="DM274" i="4" s="1"/>
  <c r="DP274" i="4" s="1"/>
  <c r="DQ274" i="4" s="1"/>
  <c r="CZ257" i="4"/>
  <c r="CZ274" i="4" s="1"/>
  <c r="CW257" i="4"/>
  <c r="CW274" i="4" s="1"/>
  <c r="CV257" i="4"/>
  <c r="CV274" i="4" s="1"/>
  <c r="CS257" i="4"/>
  <c r="CS274" i="4" s="1"/>
  <c r="CR257" i="4"/>
  <c r="CR274" i="4" s="1"/>
  <c r="CO257" i="4"/>
  <c r="CO274" i="4" s="1"/>
  <c r="CN257" i="4"/>
  <c r="CN274" i="4" s="1"/>
  <c r="CK257" i="4"/>
  <c r="CK274" i="4" s="1"/>
  <c r="CJ257" i="4"/>
  <c r="CJ274" i="4" s="1"/>
  <c r="CG257" i="4"/>
  <c r="CG274" i="4" s="1"/>
  <c r="CF257" i="4"/>
  <c r="CF274" i="4" s="1"/>
  <c r="CC257" i="4"/>
  <c r="CC274" i="4" s="1"/>
  <c r="CB257" i="4"/>
  <c r="CB274" i="4" s="1"/>
  <c r="BY257" i="4"/>
  <c r="BY274" i="4" s="1"/>
  <c r="BX257" i="4"/>
  <c r="BX274" i="4" s="1"/>
  <c r="BU257" i="4"/>
  <c r="BU274" i="4" s="1"/>
  <c r="BT257" i="4"/>
  <c r="BT274" i="4" s="1"/>
  <c r="BQ257" i="4"/>
  <c r="BQ274" i="4" s="1"/>
  <c r="BP257" i="4"/>
  <c r="BP274" i="4" s="1"/>
  <c r="BM257" i="4"/>
  <c r="BM274" i="4" s="1"/>
  <c r="BL257" i="4"/>
  <c r="BL274" i="4" s="1"/>
  <c r="BI257" i="4"/>
  <c r="BI274" i="4" s="1"/>
  <c r="BH257" i="4"/>
  <c r="BH274" i="4" s="1"/>
  <c r="DA254" i="4"/>
  <c r="DB254" i="4" s="1"/>
  <c r="CZ254" i="4"/>
  <c r="CW254" i="4"/>
  <c r="CX254" i="4" s="1"/>
  <c r="CV254" i="4"/>
  <c r="CS254" i="4"/>
  <c r="CT254" i="4" s="1"/>
  <c r="CR254" i="4"/>
  <c r="CO254" i="4"/>
  <c r="CP254" i="4" s="1"/>
  <c r="CN254" i="4"/>
  <c r="CK254" i="4"/>
  <c r="CL254" i="4" s="1"/>
  <c r="CJ254" i="4"/>
  <c r="CG254" i="4"/>
  <c r="CH254" i="4" s="1"/>
  <c r="CF254" i="4"/>
  <c r="DB253" i="4"/>
  <c r="CX253" i="4"/>
  <c r="CT253" i="4"/>
  <c r="CP253" i="4"/>
  <c r="CL253" i="4"/>
  <c r="CH253" i="4"/>
  <c r="DB251" i="4"/>
  <c r="DF248" i="4" s="1"/>
  <c r="DF250" i="4" s="1"/>
  <c r="CX251" i="4"/>
  <c r="CT251" i="4"/>
  <c r="CX248" i="4" s="1"/>
  <c r="CP251" i="4"/>
  <c r="CL251" i="4"/>
  <c r="CH251" i="4"/>
  <c r="CL248" i="4" s="1"/>
  <c r="CD251" i="4"/>
  <c r="BZ251" i="4"/>
  <c r="BV251" i="4"/>
  <c r="BZ248" i="4" s="1"/>
  <c r="BR251" i="4"/>
  <c r="BN251" i="4"/>
  <c r="BR248" i="4" s="1"/>
  <c r="BJ251" i="4"/>
  <c r="BN248" i="4" s="1"/>
  <c r="BF251" i="4"/>
  <c r="BJ248" i="4" s="1"/>
  <c r="DN249" i="4"/>
  <c r="DJ249" i="4"/>
  <c r="DB249" i="4"/>
  <c r="CX249" i="4"/>
  <c r="CT249" i="4"/>
  <c r="CP249" i="4"/>
  <c r="CL249" i="4"/>
  <c r="CH249" i="4"/>
  <c r="CD249" i="4"/>
  <c r="BZ249" i="4"/>
  <c r="BV249" i="4"/>
  <c r="BR249" i="4"/>
  <c r="BN249" i="4"/>
  <c r="BJ249" i="4"/>
  <c r="DA248" i="4"/>
  <c r="DA250" i="4" s="1"/>
  <c r="CZ248" i="4"/>
  <c r="CZ250" i="4" s="1"/>
  <c r="CW248" i="4"/>
  <c r="CW250" i="4" s="1"/>
  <c r="CV248" i="4"/>
  <c r="CV250" i="4" s="1"/>
  <c r="CS248" i="4"/>
  <c r="CS250" i="4" s="1"/>
  <c r="CR248" i="4"/>
  <c r="CR250" i="4" s="1"/>
  <c r="CO248" i="4"/>
  <c r="CO250" i="4" s="1"/>
  <c r="CN248" i="4"/>
  <c r="CN250" i="4" s="1"/>
  <c r="CK248" i="4"/>
  <c r="CK250" i="4" s="1"/>
  <c r="CJ248" i="4"/>
  <c r="CJ250" i="4" s="1"/>
  <c r="CG248" i="4"/>
  <c r="CG250" i="4" s="1"/>
  <c r="CF248" i="4"/>
  <c r="CF250" i="4" s="1"/>
  <c r="CC248" i="4"/>
  <c r="CC250" i="4" s="1"/>
  <c r="CB248" i="4"/>
  <c r="CB250" i="4" s="1"/>
  <c r="BY248" i="4"/>
  <c r="BY250" i="4" s="1"/>
  <c r="BX248" i="4"/>
  <c r="BX250" i="4" s="1"/>
  <c r="BU248" i="4"/>
  <c r="BU250" i="4" s="1"/>
  <c r="BT248" i="4"/>
  <c r="BT250" i="4" s="1"/>
  <c r="BQ248" i="4"/>
  <c r="BQ250" i="4" s="1"/>
  <c r="BP248" i="4"/>
  <c r="BP250" i="4" s="1"/>
  <c r="BM248" i="4"/>
  <c r="BM250" i="4" s="1"/>
  <c r="BL248" i="4"/>
  <c r="BL250" i="4" s="1"/>
  <c r="BI248" i="4"/>
  <c r="BI250" i="4" s="1"/>
  <c r="BH248" i="4"/>
  <c r="BH250" i="4" s="1"/>
  <c r="DA245" i="4"/>
  <c r="CZ245" i="4"/>
  <c r="CW245" i="4"/>
  <c r="CV245" i="4"/>
  <c r="CS245" i="4"/>
  <c r="CR245" i="4"/>
  <c r="CO245" i="4"/>
  <c r="CN245" i="4"/>
  <c r="CK245" i="4"/>
  <c r="CJ245" i="4"/>
  <c r="CG245" i="4"/>
  <c r="CF245" i="4"/>
  <c r="CC245" i="4"/>
  <c r="CB245" i="4"/>
  <c r="BY245" i="4"/>
  <c r="BX245" i="4"/>
  <c r="BU245" i="4"/>
  <c r="BT245" i="4"/>
  <c r="BQ245" i="4"/>
  <c r="BP245" i="4"/>
  <c r="BM245" i="4"/>
  <c r="BL245" i="4"/>
  <c r="BI245" i="4"/>
  <c r="BH245" i="4"/>
  <c r="DA244" i="4"/>
  <c r="CZ244" i="4"/>
  <c r="CZ853" i="4" s="1"/>
  <c r="CW244" i="4"/>
  <c r="CV244" i="4"/>
  <c r="CS244" i="4"/>
  <c r="CR244" i="4"/>
  <c r="CO244" i="4"/>
  <c r="CN244" i="4"/>
  <c r="CK244" i="4"/>
  <c r="CJ244" i="4"/>
  <c r="CG244" i="4"/>
  <c r="CF244" i="4"/>
  <c r="CC244" i="4"/>
  <c r="CB244" i="4"/>
  <c r="BY244" i="4"/>
  <c r="BX244" i="4"/>
  <c r="BU244" i="4"/>
  <c r="BT244" i="4"/>
  <c r="BQ244" i="4"/>
  <c r="BP244" i="4"/>
  <c r="BM244" i="4"/>
  <c r="BL244" i="4"/>
  <c r="BI244" i="4"/>
  <c r="BH244" i="4"/>
  <c r="A214" i="4"/>
  <c r="A213" i="4"/>
  <c r="A212" i="4"/>
  <c r="CV203" i="4"/>
  <c r="CS203" i="4"/>
  <c r="DB202" i="4"/>
  <c r="CX202" i="4"/>
  <c r="CT202" i="4"/>
  <c r="CP202" i="4"/>
  <c r="CL202" i="4"/>
  <c r="CH202" i="4"/>
  <c r="CD202" i="4"/>
  <c r="BZ202" i="4"/>
  <c r="BV202" i="4"/>
  <c r="BR202" i="4"/>
  <c r="BN202" i="4"/>
  <c r="BJ202" i="4"/>
  <c r="BF202" i="4"/>
  <c r="DA201" i="4"/>
  <c r="DA203" i="4" s="1"/>
  <c r="CZ201" i="4"/>
  <c r="CW201" i="4"/>
  <c r="CT201" i="4"/>
  <c r="CR201" i="4"/>
  <c r="CO201" i="4"/>
  <c r="CN201" i="4"/>
  <c r="CK201" i="4"/>
  <c r="CJ201" i="4"/>
  <c r="CG201" i="4"/>
  <c r="CH201" i="4" s="1"/>
  <c r="CF201" i="4"/>
  <c r="CC201" i="4"/>
  <c r="CC203" i="4" s="1"/>
  <c r="CB201" i="4"/>
  <c r="BY201" i="4"/>
  <c r="BZ201" i="4" s="1"/>
  <c r="BX201" i="4"/>
  <c r="BU201" i="4"/>
  <c r="BT201" i="4"/>
  <c r="BQ201" i="4"/>
  <c r="BQ203" i="4" s="1"/>
  <c r="BP201" i="4"/>
  <c r="BM201" i="4"/>
  <c r="BM203" i="4" s="1"/>
  <c r="BL201" i="4"/>
  <c r="BI201" i="4"/>
  <c r="BH201" i="4"/>
  <c r="BH203" i="4" s="1"/>
  <c r="DA199" i="4"/>
  <c r="CZ199" i="4"/>
  <c r="CW199" i="4"/>
  <c r="CV199" i="4"/>
  <c r="CS199" i="4"/>
  <c r="CR199" i="4"/>
  <c r="CO199" i="4"/>
  <c r="CN199" i="4"/>
  <c r="CK199" i="4"/>
  <c r="CJ199" i="4"/>
  <c r="CG199" i="4"/>
  <c r="CF199" i="4"/>
  <c r="CC199" i="4"/>
  <c r="CB199" i="4"/>
  <c r="BY199" i="4"/>
  <c r="BX199" i="4"/>
  <c r="BU199" i="4"/>
  <c r="BT199" i="4"/>
  <c r="DB198" i="4"/>
  <c r="CX198" i="4"/>
  <c r="CX284" i="4" s="1"/>
  <c r="CT198" i="4"/>
  <c r="CP198" i="4"/>
  <c r="CL198" i="4"/>
  <c r="CH198" i="4"/>
  <c r="CD198" i="4"/>
  <c r="BZ198" i="4"/>
  <c r="BV198" i="4"/>
  <c r="BR198" i="4"/>
  <c r="BN198" i="4"/>
  <c r="BJ198" i="4"/>
  <c r="A193" i="4"/>
  <c r="CG192" i="4"/>
  <c r="CF192" i="4"/>
  <c r="CC192" i="4"/>
  <c r="CB192" i="4"/>
  <c r="BY192" i="4"/>
  <c r="BX192" i="4"/>
  <c r="BU192" i="4"/>
  <c r="BT192" i="4"/>
  <c r="BQ192" i="4"/>
  <c r="BP192" i="4"/>
  <c r="BM192" i="4"/>
  <c r="BL192" i="4"/>
  <c r="BI192" i="4"/>
  <c r="A192" i="4"/>
  <c r="A191" i="4"/>
  <c r="A190" i="4"/>
  <c r="A189" i="4"/>
  <c r="DB186" i="4"/>
  <c r="CX186" i="4"/>
  <c r="CT186" i="4"/>
  <c r="CP186" i="4"/>
  <c r="CL186" i="4"/>
  <c r="CH186" i="4"/>
  <c r="CD186" i="4"/>
  <c r="BZ186" i="4"/>
  <c r="BV186" i="4"/>
  <c r="BR186" i="4"/>
  <c r="BN186" i="4"/>
  <c r="BJ186" i="4"/>
  <c r="BF186" i="4"/>
  <c r="BF517" i="4" s="1"/>
  <c r="DA185" i="4"/>
  <c r="DA232" i="4" s="1"/>
  <c r="CZ185" i="4"/>
  <c r="CZ232" i="4" s="1"/>
  <c r="CW185" i="4"/>
  <c r="CV185" i="4"/>
  <c r="CS185" i="4"/>
  <c r="CR185" i="4"/>
  <c r="CO185" i="4"/>
  <c r="CN185" i="4"/>
  <c r="CK185" i="4"/>
  <c r="CJ185" i="4"/>
  <c r="CG185" i="4"/>
  <c r="CF185" i="4"/>
  <c r="CC185" i="4"/>
  <c r="CB185" i="4"/>
  <c r="BY185" i="4"/>
  <c r="BX185" i="4"/>
  <c r="BU185" i="4"/>
  <c r="BT185" i="4"/>
  <c r="BQ185" i="4"/>
  <c r="BP185" i="4"/>
  <c r="BM185" i="4"/>
  <c r="BL185" i="4"/>
  <c r="BI185" i="4"/>
  <c r="BH185" i="4"/>
  <c r="BE185" i="4"/>
  <c r="BE187" i="4" s="1"/>
  <c r="DA183" i="4"/>
  <c r="DA237" i="4" s="1"/>
  <c r="CZ183" i="4"/>
  <c r="CZ237" i="4" s="1"/>
  <c r="CW183" i="4"/>
  <c r="CV183" i="4"/>
  <c r="CS183" i="4"/>
  <c r="CR183" i="4"/>
  <c r="CO183" i="4"/>
  <c r="CN183" i="4"/>
  <c r="CK183" i="4"/>
  <c r="CJ183" i="4"/>
  <c r="CG183" i="4"/>
  <c r="CF183" i="4"/>
  <c r="CC183" i="4"/>
  <c r="CB183" i="4"/>
  <c r="BY183" i="4"/>
  <c r="BX183" i="4"/>
  <c r="BU183" i="4"/>
  <c r="BT183" i="4"/>
  <c r="BQ183" i="4"/>
  <c r="BP183" i="4"/>
  <c r="BM183" i="4"/>
  <c r="BL183" i="4"/>
  <c r="BI183" i="4"/>
  <c r="BH183" i="4"/>
  <c r="BE183" i="4"/>
  <c r="BE1346" i="4" s="1"/>
  <c r="A180" i="4"/>
  <c r="A179" i="4"/>
  <c r="A178" i="4"/>
  <c r="DA172" i="4"/>
  <c r="CZ172" i="4"/>
  <c r="CW172" i="4"/>
  <c r="CW176" i="4" s="1"/>
  <c r="CV172" i="4"/>
  <c r="CV176" i="4" s="1"/>
  <c r="CS172" i="4"/>
  <c r="CS176" i="4" s="1"/>
  <c r="CT176" i="4" s="1"/>
  <c r="CR172" i="4"/>
  <c r="CO172" i="4"/>
  <c r="CO174" i="4" s="1"/>
  <c r="CN172" i="4"/>
  <c r="CN176" i="4" s="1"/>
  <c r="CK172" i="4"/>
  <c r="CK174" i="4" s="1"/>
  <c r="CL174" i="4" s="1"/>
  <c r="CJ172" i="4"/>
  <c r="CG172" i="4"/>
  <c r="CG176" i="4" s="1"/>
  <c r="CF172" i="4"/>
  <c r="CF174" i="4" s="1"/>
  <c r="CC172" i="4"/>
  <c r="CB172" i="4"/>
  <c r="BY172" i="4"/>
  <c r="BY174" i="4" s="1"/>
  <c r="BX172" i="4"/>
  <c r="BX176" i="4" s="1"/>
  <c r="BU172" i="4"/>
  <c r="BU174" i="4" s="1"/>
  <c r="BV174" i="4" s="1"/>
  <c r="BT172" i="4"/>
  <c r="BQ172" i="4"/>
  <c r="BQ176" i="4" s="1"/>
  <c r="BP172" i="4"/>
  <c r="BM172" i="4"/>
  <c r="BL172" i="4"/>
  <c r="BI172" i="4"/>
  <c r="BI174" i="4" s="1"/>
  <c r="BH172" i="4"/>
  <c r="BH176" i="4" s="1"/>
  <c r="DA171" i="4"/>
  <c r="CZ171" i="4"/>
  <c r="CW171" i="4"/>
  <c r="CV171" i="4"/>
  <c r="CS171" i="4"/>
  <c r="CR171" i="4"/>
  <c r="CO171" i="4"/>
  <c r="CN171" i="4"/>
  <c r="CK171" i="4"/>
  <c r="CJ171" i="4"/>
  <c r="CG171" i="4"/>
  <c r="CF171" i="4"/>
  <c r="CC171" i="4"/>
  <c r="CB171" i="4"/>
  <c r="BY171" i="4"/>
  <c r="BX171" i="4"/>
  <c r="BU171" i="4"/>
  <c r="BT171" i="4"/>
  <c r="BQ171" i="4"/>
  <c r="BP171" i="4"/>
  <c r="BM171" i="4"/>
  <c r="BL171" i="4"/>
  <c r="BI171" i="4"/>
  <c r="A171" i="4"/>
  <c r="A170" i="4"/>
  <c r="DA169" i="4"/>
  <c r="CZ169" i="4"/>
  <c r="CW169" i="4"/>
  <c r="CV169" i="4"/>
  <c r="CS169" i="4"/>
  <c r="CR169" i="4"/>
  <c r="CO169" i="4"/>
  <c r="CN169" i="4"/>
  <c r="CK169" i="4"/>
  <c r="CJ169" i="4"/>
  <c r="CG169" i="4"/>
  <c r="CF169" i="4"/>
  <c r="CC169" i="4"/>
  <c r="CB169" i="4"/>
  <c r="BY169" i="4"/>
  <c r="BX169" i="4"/>
  <c r="BU169" i="4"/>
  <c r="BT169" i="4"/>
  <c r="BQ169" i="4"/>
  <c r="BP169" i="4"/>
  <c r="BM169" i="4"/>
  <c r="BL169" i="4"/>
  <c r="BI169" i="4"/>
  <c r="A169" i="4"/>
  <c r="DB167" i="4"/>
  <c r="CX167" i="4"/>
  <c r="CT167" i="4"/>
  <c r="CP167" i="4"/>
  <c r="CL167" i="4"/>
  <c r="CH167" i="4"/>
  <c r="CD167" i="4"/>
  <c r="BZ167" i="4"/>
  <c r="BV167" i="4"/>
  <c r="BR167" i="4"/>
  <c r="BN167" i="4"/>
  <c r="BJ167" i="4"/>
  <c r="BF167" i="4"/>
  <c r="DA166" i="4"/>
  <c r="DD170" i="4" s="1"/>
  <c r="CZ166" i="4"/>
  <c r="CW166" i="4"/>
  <c r="CV166" i="4"/>
  <c r="CS166" i="4"/>
  <c r="CR166" i="4"/>
  <c r="CO166" i="4"/>
  <c r="CN166" i="4"/>
  <c r="CK166" i="4"/>
  <c r="CJ166" i="4"/>
  <c r="CG166" i="4"/>
  <c r="CF166" i="4"/>
  <c r="CC166" i="4"/>
  <c r="CB166" i="4"/>
  <c r="BY166" i="4"/>
  <c r="BX166" i="4"/>
  <c r="BU166" i="4"/>
  <c r="BT166" i="4"/>
  <c r="BQ166" i="4"/>
  <c r="BP166" i="4"/>
  <c r="BM166" i="4"/>
  <c r="BL166" i="4"/>
  <c r="BI166" i="4"/>
  <c r="BH166" i="4"/>
  <c r="BE166" i="4"/>
  <c r="BF166" i="4" s="1"/>
  <c r="DB165" i="4"/>
  <c r="CX165" i="4"/>
  <c r="CT165" i="4"/>
  <c r="CP165" i="4"/>
  <c r="CL165" i="4"/>
  <c r="CH165" i="4"/>
  <c r="CD165" i="4"/>
  <c r="BZ165" i="4"/>
  <c r="BV165" i="4"/>
  <c r="BR165" i="4"/>
  <c r="BN165" i="4"/>
  <c r="BJ165" i="4"/>
  <c r="BF165" i="4"/>
  <c r="A159" i="4"/>
  <c r="A158" i="4"/>
  <c r="A157" i="4"/>
  <c r="DA151" i="4"/>
  <c r="DA153" i="4" s="1"/>
  <c r="DD157" i="4" s="1"/>
  <c r="DD162" i="4" s="1"/>
  <c r="CZ151" i="4"/>
  <c r="CZ153" i="4" s="1"/>
  <c r="CW151" i="4"/>
  <c r="CV151" i="4"/>
  <c r="CS151" i="4"/>
  <c r="CS153" i="4" s="1"/>
  <c r="CR151" i="4"/>
  <c r="CR153" i="4" s="1"/>
  <c r="CO151" i="4"/>
  <c r="CN151" i="4"/>
  <c r="CK151" i="4"/>
  <c r="CK153" i="4" s="1"/>
  <c r="CJ151" i="4"/>
  <c r="CJ153" i="4" s="1"/>
  <c r="CG151" i="4"/>
  <c r="CF151" i="4"/>
  <c r="CC151" i="4"/>
  <c r="CC153" i="4" s="1"/>
  <c r="CB151" i="4"/>
  <c r="CB153" i="4" s="1"/>
  <c r="BY151" i="4"/>
  <c r="BY155" i="4" s="1"/>
  <c r="BX151" i="4"/>
  <c r="BU151" i="4"/>
  <c r="BU155" i="4" s="1"/>
  <c r="BT151" i="4"/>
  <c r="BT155" i="4" s="1"/>
  <c r="BQ151" i="4"/>
  <c r="BQ153" i="4" s="1"/>
  <c r="BP151" i="4"/>
  <c r="BP153" i="4" s="1"/>
  <c r="BM151" i="4"/>
  <c r="BM153" i="4" s="1"/>
  <c r="BL151" i="4"/>
  <c r="BL153" i="4" s="1"/>
  <c r="BI151" i="4"/>
  <c r="BI155" i="4" s="1"/>
  <c r="BH151" i="4"/>
  <c r="BH155" i="4" s="1"/>
  <c r="DA150" i="4"/>
  <c r="CZ150" i="4"/>
  <c r="CW150" i="4"/>
  <c r="CV150" i="4"/>
  <c r="CS150" i="4"/>
  <c r="CR150" i="4"/>
  <c r="CO150" i="4"/>
  <c r="CN150" i="4"/>
  <c r="CK150" i="4"/>
  <c r="CJ150" i="4"/>
  <c r="CG150" i="4"/>
  <c r="CF150" i="4"/>
  <c r="CC150" i="4"/>
  <c r="CB150" i="4"/>
  <c r="BY150" i="4"/>
  <c r="BX150" i="4"/>
  <c r="BU150" i="4"/>
  <c r="BT150" i="4"/>
  <c r="BQ150" i="4"/>
  <c r="BP150" i="4"/>
  <c r="BM150" i="4"/>
  <c r="BL150" i="4"/>
  <c r="BI150" i="4"/>
  <c r="A150" i="4"/>
  <c r="A149" i="4"/>
  <c r="DA148" i="4"/>
  <c r="CZ148" i="4"/>
  <c r="CW148" i="4"/>
  <c r="CV148" i="4"/>
  <c r="CS148" i="4"/>
  <c r="CR148" i="4"/>
  <c r="CO148" i="4"/>
  <c r="CN148" i="4"/>
  <c r="CK148" i="4"/>
  <c r="CJ148" i="4"/>
  <c r="CG148" i="4"/>
  <c r="CF148" i="4"/>
  <c r="CC148" i="4"/>
  <c r="CB148" i="4"/>
  <c r="BY148" i="4"/>
  <c r="BX148" i="4"/>
  <c r="BU148" i="4"/>
  <c r="BT148" i="4"/>
  <c r="BQ148" i="4"/>
  <c r="BP148" i="4"/>
  <c r="BM148" i="4"/>
  <c r="BL148" i="4"/>
  <c r="BI148" i="4"/>
  <c r="A148" i="4"/>
  <c r="DB146" i="4"/>
  <c r="DG146" i="4" s="1"/>
  <c r="CX146" i="4"/>
  <c r="CT146" i="4"/>
  <c r="CP146" i="4"/>
  <c r="CL146" i="4"/>
  <c r="CH146" i="4"/>
  <c r="CD146" i="4"/>
  <c r="BZ146" i="4"/>
  <c r="BV146" i="4"/>
  <c r="BR146" i="4"/>
  <c r="BN146" i="4"/>
  <c r="BJ146" i="4"/>
  <c r="BF146" i="4"/>
  <c r="DA145" i="4"/>
  <c r="DD149" i="4" s="1"/>
  <c r="CZ145" i="4"/>
  <c r="CW145" i="4"/>
  <c r="CV145" i="4"/>
  <c r="CS145" i="4"/>
  <c r="CR145" i="4"/>
  <c r="CO145" i="4"/>
  <c r="CN145" i="4"/>
  <c r="CK145" i="4"/>
  <c r="CJ145" i="4"/>
  <c r="CG145" i="4"/>
  <c r="CF145" i="4"/>
  <c r="CC145" i="4"/>
  <c r="CB145" i="4"/>
  <c r="BY145" i="4"/>
  <c r="BX145" i="4"/>
  <c r="BU145" i="4"/>
  <c r="BT145" i="4"/>
  <c r="BQ145" i="4"/>
  <c r="BP145" i="4"/>
  <c r="BM145" i="4"/>
  <c r="BL145" i="4"/>
  <c r="BI145" i="4"/>
  <c r="BH145" i="4"/>
  <c r="BE145" i="4"/>
  <c r="BF145" i="4" s="1"/>
  <c r="DB144" i="4"/>
  <c r="DG144" i="4" s="1"/>
  <c r="CX144" i="4"/>
  <c r="CT144" i="4"/>
  <c r="CP144" i="4"/>
  <c r="CL144" i="4"/>
  <c r="CH144" i="4"/>
  <c r="CD144" i="4"/>
  <c r="BZ144" i="4"/>
  <c r="BV144" i="4"/>
  <c r="BR144" i="4"/>
  <c r="BN144" i="4"/>
  <c r="BJ144" i="4"/>
  <c r="BF144" i="4"/>
  <c r="A141" i="4"/>
  <c r="A140" i="4"/>
  <c r="DA139" i="4"/>
  <c r="CZ139" i="4"/>
  <c r="CW139" i="4"/>
  <c r="CV139" i="4"/>
  <c r="CS139" i="4"/>
  <c r="CR139" i="4"/>
  <c r="CO139" i="4"/>
  <c r="CN139" i="4"/>
  <c r="CK139" i="4"/>
  <c r="CJ139" i="4"/>
  <c r="CG139" i="4"/>
  <c r="A139" i="4"/>
  <c r="A138" i="4"/>
  <c r="DB134" i="4"/>
  <c r="DG134" i="4" s="1"/>
  <c r="CX134" i="4"/>
  <c r="CT134" i="4"/>
  <c r="CP134" i="4"/>
  <c r="CL134" i="4"/>
  <c r="CH134" i="4"/>
  <c r="DD138" i="4"/>
  <c r="CW133" i="4"/>
  <c r="CX133" i="4" s="1"/>
  <c r="CV133" i="4"/>
  <c r="CS133" i="4"/>
  <c r="CR133" i="4"/>
  <c r="CO133" i="4"/>
  <c r="CP133" i="4" s="1"/>
  <c r="CN133" i="4"/>
  <c r="CK133" i="4"/>
  <c r="CJ133" i="4"/>
  <c r="CG133" i="4"/>
  <c r="CH133" i="4" s="1"/>
  <c r="CF133" i="4"/>
  <c r="DM131" i="4"/>
  <c r="DL131" i="4"/>
  <c r="DI131" i="4"/>
  <c r="DA130" i="4"/>
  <c r="CZ130" i="4"/>
  <c r="CW130" i="4"/>
  <c r="CV130" i="4"/>
  <c r="CS130" i="4"/>
  <c r="CR130" i="4"/>
  <c r="DA128" i="4"/>
  <c r="CZ128" i="4"/>
  <c r="CW128" i="4"/>
  <c r="CV128" i="4"/>
  <c r="CS128" i="4"/>
  <c r="CR128" i="4"/>
  <c r="CO128" i="4"/>
  <c r="CN128" i="4"/>
  <c r="CK128" i="4"/>
  <c r="CJ128" i="4"/>
  <c r="CG128" i="4"/>
  <c r="CF128" i="4"/>
  <c r="CC128" i="4"/>
  <c r="CB128" i="4"/>
  <c r="BY128" i="4"/>
  <c r="BX128" i="4"/>
  <c r="BU128" i="4"/>
  <c r="BT128" i="4"/>
  <c r="BQ128" i="4"/>
  <c r="BP128" i="4"/>
  <c r="BM128" i="4"/>
  <c r="BL128" i="4"/>
  <c r="BI128" i="4"/>
  <c r="A128" i="4"/>
  <c r="A127" i="4"/>
  <c r="DA126" i="4"/>
  <c r="CZ126" i="4"/>
  <c r="CW126" i="4"/>
  <c r="CV126" i="4"/>
  <c r="CS126" i="4"/>
  <c r="CR126" i="4"/>
  <c r="CO126" i="4"/>
  <c r="CN126" i="4"/>
  <c r="CK126" i="4"/>
  <c r="CJ126" i="4"/>
  <c r="CG126" i="4"/>
  <c r="CF126" i="4"/>
  <c r="CC126" i="4"/>
  <c r="CB126" i="4"/>
  <c r="BY126" i="4"/>
  <c r="BX126" i="4"/>
  <c r="BU126" i="4"/>
  <c r="BT126" i="4"/>
  <c r="BQ126" i="4"/>
  <c r="BP126" i="4"/>
  <c r="BM126" i="4"/>
  <c r="BL126" i="4"/>
  <c r="BI126" i="4"/>
  <c r="A126" i="4"/>
  <c r="DB124" i="4"/>
  <c r="DG124" i="4" s="1"/>
  <c r="CX124" i="4"/>
  <c r="CT124" i="4"/>
  <c r="CP124" i="4"/>
  <c r="CL124" i="4"/>
  <c r="CH124" i="4"/>
  <c r="CD124" i="4"/>
  <c r="BZ124" i="4"/>
  <c r="BV124" i="4"/>
  <c r="BR124" i="4"/>
  <c r="BN124" i="4"/>
  <c r="BJ124" i="4"/>
  <c r="BF124" i="4"/>
  <c r="DA123" i="4"/>
  <c r="DD127" i="4" s="1"/>
  <c r="CZ123" i="4"/>
  <c r="CW123" i="4"/>
  <c r="CV123" i="4"/>
  <c r="CS123" i="4"/>
  <c r="CR123" i="4"/>
  <c r="CO123" i="4"/>
  <c r="CN123" i="4"/>
  <c r="CK123" i="4"/>
  <c r="CJ123" i="4"/>
  <c r="CG123" i="4"/>
  <c r="CF123" i="4"/>
  <c r="CC123" i="4"/>
  <c r="CB123" i="4"/>
  <c r="BY123" i="4"/>
  <c r="BX123" i="4"/>
  <c r="BU123" i="4"/>
  <c r="BT123" i="4"/>
  <c r="BQ123" i="4"/>
  <c r="BP123" i="4"/>
  <c r="BM123" i="4"/>
  <c r="BL123" i="4"/>
  <c r="BI123" i="4"/>
  <c r="BH123" i="4"/>
  <c r="BE123" i="4"/>
  <c r="BF123" i="4" s="1"/>
  <c r="DB122" i="4"/>
  <c r="DG122" i="4" s="1"/>
  <c r="CX122" i="4"/>
  <c r="CT122" i="4"/>
  <c r="CP122" i="4"/>
  <c r="CL122" i="4"/>
  <c r="CH122" i="4"/>
  <c r="CD122" i="4"/>
  <c r="BZ122" i="4"/>
  <c r="BV122" i="4"/>
  <c r="BR122" i="4"/>
  <c r="BN122" i="4"/>
  <c r="BJ122" i="4"/>
  <c r="BF122" i="4"/>
  <c r="DN106" i="4"/>
  <c r="DJ106" i="4"/>
  <c r="DB106" i="4"/>
  <c r="CX106" i="4"/>
  <c r="CT106" i="4"/>
  <c r="CP106" i="4"/>
  <c r="CL106" i="4"/>
  <c r="CH106" i="4"/>
  <c r="CD106" i="4"/>
  <c r="BU89" i="4"/>
  <c r="BT89" i="4"/>
  <c r="BQ89" i="4"/>
  <c r="BP89" i="4"/>
  <c r="BM89" i="4"/>
  <c r="BL89" i="4"/>
  <c r="BI89" i="4"/>
  <c r="BH89" i="4"/>
  <c r="DM88" i="4"/>
  <c r="DL88" i="4"/>
  <c r="DI88" i="4"/>
  <c r="DA88" i="4"/>
  <c r="CZ88" i="4"/>
  <c r="CW88" i="4"/>
  <c r="CV88" i="4"/>
  <c r="CS88" i="4"/>
  <c r="CR88" i="4"/>
  <c r="CO88" i="4"/>
  <c r="CN88" i="4"/>
  <c r="CK88" i="4"/>
  <c r="CJ88" i="4"/>
  <c r="CG88" i="4"/>
  <c r="CF88" i="4"/>
  <c r="CC88" i="4"/>
  <c r="CB88" i="4"/>
  <c r="BY88" i="4"/>
  <c r="BX88" i="4"/>
  <c r="DM86" i="4"/>
  <c r="DL86" i="4"/>
  <c r="DI86" i="4"/>
  <c r="DA86" i="4"/>
  <c r="CW86" i="4"/>
  <c r="CS86" i="4"/>
  <c r="CO86" i="4"/>
  <c r="CN86" i="4"/>
  <c r="CK86" i="4"/>
  <c r="CJ86" i="4"/>
  <c r="CG86" i="4"/>
  <c r="CF86" i="4"/>
  <c r="BY86" i="4"/>
  <c r="BX86" i="4"/>
  <c r="DM85" i="4"/>
  <c r="DL85" i="4"/>
  <c r="DI85" i="4"/>
  <c r="DA85" i="4"/>
  <c r="CZ85" i="4"/>
  <c r="CW85" i="4"/>
  <c r="CV85" i="4"/>
  <c r="CS85" i="4"/>
  <c r="CR85" i="4"/>
  <c r="CO85" i="4"/>
  <c r="CN85" i="4"/>
  <c r="CK85" i="4"/>
  <c r="CJ85" i="4"/>
  <c r="CG85" i="4"/>
  <c r="CF85" i="4"/>
  <c r="CC85" i="4"/>
  <c r="BY85" i="4"/>
  <c r="BX85" i="4"/>
  <c r="DN84" i="4"/>
  <c r="DJ84" i="4"/>
  <c r="DB84" i="4"/>
  <c r="CX84" i="4"/>
  <c r="CT84" i="4"/>
  <c r="CP84" i="4"/>
  <c r="CL84" i="4"/>
  <c r="CH84" i="4"/>
  <c r="CD84" i="4"/>
  <c r="BZ84" i="4"/>
  <c r="BV84" i="4"/>
  <c r="BV89" i="4" s="1"/>
  <c r="BR84" i="4"/>
  <c r="BR89" i="4" s="1"/>
  <c r="BN84" i="4"/>
  <c r="BN89" i="4" s="1"/>
  <c r="BJ84" i="4"/>
  <c r="BJ89" i="4" s="1"/>
  <c r="DM87" i="4"/>
  <c r="DL87" i="4"/>
  <c r="DI87" i="4"/>
  <c r="DA87" i="4"/>
  <c r="CZ87" i="4"/>
  <c r="CW87" i="4"/>
  <c r="CV87" i="4"/>
  <c r="CS87" i="4"/>
  <c r="CR87" i="4"/>
  <c r="CO87" i="4"/>
  <c r="CJ87" i="4"/>
  <c r="CC87" i="4"/>
  <c r="CB87" i="4"/>
  <c r="BY87" i="4"/>
  <c r="BX87" i="4"/>
  <c r="DA77" i="4"/>
  <c r="CZ77" i="4"/>
  <c r="CW77" i="4"/>
  <c r="CV77" i="4"/>
  <c r="CS77" i="4"/>
  <c r="CR77" i="4"/>
  <c r="CO77" i="4"/>
  <c r="CN77" i="4"/>
  <c r="CK77" i="4"/>
  <c r="CJ77" i="4"/>
  <c r="CG77" i="4"/>
  <c r="CF77" i="4"/>
  <c r="CC77" i="4"/>
  <c r="BY77" i="4"/>
  <c r="BX77" i="4"/>
  <c r="BU77" i="4"/>
  <c r="BT77" i="4"/>
  <c r="BQ77" i="4"/>
  <c r="BP77" i="4"/>
  <c r="BM77" i="4"/>
  <c r="BL77" i="4"/>
  <c r="BI77" i="4"/>
  <c r="BH77" i="4"/>
  <c r="DB76" i="4"/>
  <c r="CX76" i="4"/>
  <c r="CT76" i="4"/>
  <c r="CP76" i="4"/>
  <c r="CL76" i="4"/>
  <c r="CH76" i="4"/>
  <c r="CB76" i="4"/>
  <c r="BZ76" i="4"/>
  <c r="BV76" i="4"/>
  <c r="BV554" i="4" s="1"/>
  <c r="BR76" i="4"/>
  <c r="BR554" i="4" s="1"/>
  <c r="BN76" i="4"/>
  <c r="BN554" i="4" s="1"/>
  <c r="BJ76" i="4"/>
  <c r="BJ554" i="4" s="1"/>
  <c r="DN75" i="4"/>
  <c r="DJ75" i="4"/>
  <c r="DB75" i="4"/>
  <c r="CX75" i="4"/>
  <c r="CT75" i="4"/>
  <c r="CP75" i="4"/>
  <c r="CL75" i="4"/>
  <c r="CH75" i="4"/>
  <c r="CD75" i="4"/>
  <c r="BZ75" i="4"/>
  <c r="BV75" i="4"/>
  <c r="BR75" i="4"/>
  <c r="BR553" i="4" s="1"/>
  <c r="BN75" i="4"/>
  <c r="BN553" i="4" s="1"/>
  <c r="BJ75" i="4"/>
  <c r="BJ553" i="4" s="1"/>
  <c r="CC67" i="4"/>
  <c r="CB67" i="4"/>
  <c r="BY67" i="4"/>
  <c r="BX67" i="4"/>
  <c r="BU67" i="4"/>
  <c r="BT67" i="4"/>
  <c r="BQ67" i="4"/>
  <c r="BP67" i="4"/>
  <c r="BM67" i="4"/>
  <c r="BL67" i="4"/>
  <c r="BI67" i="4"/>
  <c r="BH67" i="4"/>
  <c r="DB66" i="4"/>
  <c r="CX66" i="4"/>
  <c r="CT66" i="4"/>
  <c r="CP66" i="4"/>
  <c r="CL66" i="4"/>
  <c r="CH66" i="4"/>
  <c r="CD66" i="4"/>
  <c r="BZ66" i="4"/>
  <c r="BV66" i="4"/>
  <c r="BR66" i="4"/>
  <c r="BN66" i="4"/>
  <c r="BJ66" i="4"/>
  <c r="CC65" i="4"/>
  <c r="CB65" i="4"/>
  <c r="BY65" i="4"/>
  <c r="BX65" i="4"/>
  <c r="BU65" i="4"/>
  <c r="BT65" i="4"/>
  <c r="BQ65" i="4"/>
  <c r="BP65" i="4"/>
  <c r="BM65" i="4"/>
  <c r="CA81" i="3" s="1"/>
  <c r="BL65" i="4"/>
  <c r="BI65" i="4"/>
  <c r="BH65" i="4"/>
  <c r="DB64" i="4"/>
  <c r="CX64" i="4"/>
  <c r="CT64" i="4"/>
  <c r="CP64" i="4"/>
  <c r="CL64" i="4"/>
  <c r="CH64" i="4"/>
  <c r="CD64" i="4"/>
  <c r="BZ64" i="4"/>
  <c r="BV64" i="4"/>
  <c r="BR64" i="4"/>
  <c r="BN64" i="4"/>
  <c r="BJ64" i="4"/>
  <c r="A60" i="4"/>
  <c r="DA59" i="4"/>
  <c r="CZ59" i="4"/>
  <c r="CW59" i="4"/>
  <c r="CV59" i="4"/>
  <c r="CS59" i="4"/>
  <c r="CG59" i="4"/>
  <c r="CF59" i="4"/>
  <c r="CB59" i="4"/>
  <c r="BQ59" i="4"/>
  <c r="BP59" i="4"/>
  <c r="BM59" i="4"/>
  <c r="BL59" i="4"/>
  <c r="A59" i="4"/>
  <c r="A58" i="4"/>
  <c r="DA57" i="4"/>
  <c r="CZ57" i="4"/>
  <c r="CW57" i="4"/>
  <c r="CV57" i="4"/>
  <c r="CS57" i="4"/>
  <c r="CR57" i="4"/>
  <c r="CO57" i="4"/>
  <c r="CN57" i="4"/>
  <c r="CK57" i="4"/>
  <c r="CJ57" i="4"/>
  <c r="CG57" i="4"/>
  <c r="CF57" i="4"/>
  <c r="CC57" i="4"/>
  <c r="CB57" i="4"/>
  <c r="BY57" i="4"/>
  <c r="BX57" i="4"/>
  <c r="BU57" i="4"/>
  <c r="BT57" i="4"/>
  <c r="BQ57" i="4"/>
  <c r="BP57" i="4"/>
  <c r="BM57" i="4"/>
  <c r="BL57" i="4"/>
  <c r="A57" i="4"/>
  <c r="A56" i="4"/>
  <c r="A55" i="4"/>
  <c r="A54" i="4"/>
  <c r="A53" i="4"/>
  <c r="CG52" i="4"/>
  <c r="CF52" i="4"/>
  <c r="CC52" i="4"/>
  <c r="CB52" i="4"/>
  <c r="BY52" i="4"/>
  <c r="BX52" i="4"/>
  <c r="BU52" i="4"/>
  <c r="BT52" i="4"/>
  <c r="BQ52" i="4"/>
  <c r="BP52" i="4"/>
  <c r="BM52" i="4"/>
  <c r="BL52" i="4"/>
  <c r="A52" i="4"/>
  <c r="CW51" i="4"/>
  <c r="CV51" i="4"/>
  <c r="CS51" i="4"/>
  <c r="CR51" i="4"/>
  <c r="CO51" i="4"/>
  <c r="CN51" i="4"/>
  <c r="CC51" i="4"/>
  <c r="CB51" i="4"/>
  <c r="BY51" i="4"/>
  <c r="BX51" i="4"/>
  <c r="BU51" i="4"/>
  <c r="BT51" i="4"/>
  <c r="BQ51" i="4"/>
  <c r="BP51" i="4"/>
  <c r="BM51" i="4"/>
  <c r="BL51" i="4"/>
  <c r="A51" i="4"/>
  <c r="DA50" i="4"/>
  <c r="CZ50" i="4"/>
  <c r="CW50" i="4"/>
  <c r="CV50" i="4"/>
  <c r="CS50" i="4"/>
  <c r="CR50" i="4"/>
  <c r="CO50" i="4"/>
  <c r="CN50" i="4"/>
  <c r="CK50" i="4"/>
  <c r="CJ50" i="4"/>
  <c r="CG50" i="4"/>
  <c r="CF50" i="4"/>
  <c r="CC50" i="4"/>
  <c r="CB50" i="4"/>
  <c r="BY50" i="4"/>
  <c r="BX50" i="4"/>
  <c r="BU50" i="4"/>
  <c r="BT50" i="4"/>
  <c r="BQ50" i="4"/>
  <c r="BP50" i="4"/>
  <c r="BM50" i="4"/>
  <c r="BL50" i="4"/>
  <c r="A50" i="4"/>
  <c r="A49" i="4"/>
  <c r="A48" i="4"/>
  <c r="DA47" i="4"/>
  <c r="CZ47" i="4"/>
  <c r="CW47" i="4"/>
  <c r="CV47" i="4"/>
  <c r="CK47" i="4"/>
  <c r="CJ47" i="4"/>
  <c r="CG47" i="4"/>
  <c r="CF47" i="4"/>
  <c r="CB47" i="4"/>
  <c r="BX47" i="4"/>
  <c r="BM47" i="4"/>
  <c r="BL47" i="4"/>
  <c r="A47" i="4"/>
  <c r="DM43" i="4"/>
  <c r="DL43" i="4"/>
  <c r="DI43" i="4"/>
  <c r="DB43" i="4"/>
  <c r="CX43" i="4"/>
  <c r="CT43" i="4"/>
  <c r="CP43" i="4"/>
  <c r="CL43" i="4"/>
  <c r="CH43" i="4"/>
  <c r="CD43" i="4"/>
  <c r="BZ43" i="4"/>
  <c r="BV43" i="4"/>
  <c r="BR43" i="4"/>
  <c r="BN43" i="4"/>
  <c r="BJ43" i="4"/>
  <c r="DA39" i="4"/>
  <c r="CZ39" i="4"/>
  <c r="CW39" i="4"/>
  <c r="CV39" i="4"/>
  <c r="CS39" i="4"/>
  <c r="CR39" i="4"/>
  <c r="CO39" i="4"/>
  <c r="CN39" i="4"/>
  <c r="CL39" i="4"/>
  <c r="CG39" i="4"/>
  <c r="CF39" i="4"/>
  <c r="CC39" i="4"/>
  <c r="CB39" i="4"/>
  <c r="BZ39" i="4"/>
  <c r="BX39" i="4"/>
  <c r="BU39" i="4"/>
  <c r="BT39" i="4"/>
  <c r="BQ39" i="4"/>
  <c r="BP39" i="4"/>
  <c r="P24" i="3" s="1"/>
  <c r="BM39" i="4"/>
  <c r="BL39" i="4"/>
  <c r="BI39" i="4"/>
  <c r="BH39" i="4"/>
  <c r="CO37" i="4"/>
  <c r="CG37" i="4"/>
  <c r="CF37" i="4"/>
  <c r="CC37" i="4"/>
  <c r="CB37" i="4"/>
  <c r="BX37" i="4"/>
  <c r="DM35" i="4"/>
  <c r="DL35" i="4"/>
  <c r="DI35" i="4"/>
  <c r="DB35" i="4"/>
  <c r="CX35" i="4"/>
  <c r="CT35" i="4"/>
  <c r="CP35" i="4"/>
  <c r="CL35" i="4"/>
  <c r="CH35" i="4"/>
  <c r="CD35" i="4"/>
  <c r="BZ35" i="4"/>
  <c r="BV35" i="4"/>
  <c r="BR35" i="4"/>
  <c r="BN35" i="4"/>
  <c r="BJ35" i="4"/>
  <c r="DB34" i="4"/>
  <c r="CX34" i="4"/>
  <c r="CT34" i="4"/>
  <c r="CN34" i="4"/>
  <c r="CK34" i="4"/>
  <c r="CJ34" i="4"/>
  <c r="CJ59" i="4" s="1"/>
  <c r="CH34" i="4"/>
  <c r="CD34" i="4"/>
  <c r="BY34" i="4"/>
  <c r="BU34" i="4"/>
  <c r="U19" i="3" s="1"/>
  <c r="BT34" i="4"/>
  <c r="BT59" i="4" s="1"/>
  <c r="BR34" i="4"/>
  <c r="BN34" i="4"/>
  <c r="N19" i="3" s="1"/>
  <c r="BJ34" i="4"/>
  <c r="DB32" i="4"/>
  <c r="DF57" i="4" s="1"/>
  <c r="CX32" i="4"/>
  <c r="CT32" i="4"/>
  <c r="CP32" i="4"/>
  <c r="CL32" i="4"/>
  <c r="CH32" i="4"/>
  <c r="CD32" i="4"/>
  <c r="BZ32" i="4"/>
  <c r="BV32" i="4"/>
  <c r="H27" i="9" s="1"/>
  <c r="BR32" i="4"/>
  <c r="BN32" i="4"/>
  <c r="BJ32" i="4"/>
  <c r="CZ30" i="4"/>
  <c r="DD55" i="4" s="1"/>
  <c r="CW30" i="4"/>
  <c r="AW15" i="3" s="1"/>
  <c r="CV30" i="4"/>
  <c r="CV83" i="4" s="1"/>
  <c r="CC30" i="4"/>
  <c r="CC83" i="4" s="1"/>
  <c r="CB30" i="4"/>
  <c r="AB15" i="3" s="1"/>
  <c r="BZ30" i="4"/>
  <c r="BX30" i="4"/>
  <c r="BX83" i="4" s="1"/>
  <c r="BQ30" i="4"/>
  <c r="BP30" i="4"/>
  <c r="BP83" i="4" s="1"/>
  <c r="BM30" i="4"/>
  <c r="BM83" i="4" s="1"/>
  <c r="DA29" i="4"/>
  <c r="CX29" i="4"/>
  <c r="CS29" i="4"/>
  <c r="CR29" i="4"/>
  <c r="CO29" i="4"/>
  <c r="CN29" i="4"/>
  <c r="CK29" i="4"/>
  <c r="CJ29" i="4"/>
  <c r="CG29" i="4"/>
  <c r="CF29" i="4"/>
  <c r="CD29" i="4"/>
  <c r="BY29" i="4"/>
  <c r="BR29" i="4"/>
  <c r="BO29" i="4"/>
  <c r="BN29" i="4"/>
  <c r="BJ29" i="4"/>
  <c r="DB28" i="4"/>
  <c r="CX28" i="4"/>
  <c r="CS28" i="4"/>
  <c r="CP28" i="4"/>
  <c r="CK28" i="4"/>
  <c r="CJ28" i="4"/>
  <c r="CG28" i="4"/>
  <c r="CF28" i="4"/>
  <c r="CD28" i="4"/>
  <c r="BY28" i="4"/>
  <c r="BV28" i="4"/>
  <c r="BR28" i="4"/>
  <c r="BL28" i="4"/>
  <c r="BN28" i="4" s="1"/>
  <c r="BI28" i="4"/>
  <c r="BH28" i="4"/>
  <c r="DB27" i="4"/>
  <c r="CX27" i="4"/>
  <c r="CT27" i="4"/>
  <c r="CP27" i="4"/>
  <c r="CK27" i="4"/>
  <c r="CJ27" i="4"/>
  <c r="CG27" i="4"/>
  <c r="CF27" i="4"/>
  <c r="CD27" i="4"/>
  <c r="BY27" i="4"/>
  <c r="BV27" i="4"/>
  <c r="BR27" i="4"/>
  <c r="BL27" i="4"/>
  <c r="BI27" i="4"/>
  <c r="BH27" i="4"/>
  <c r="DB26" i="4"/>
  <c r="CX26" i="4"/>
  <c r="CT26" i="4"/>
  <c r="CP26" i="4"/>
  <c r="CK26" i="4"/>
  <c r="CJ26" i="4"/>
  <c r="CG26" i="4"/>
  <c r="CF26" i="4"/>
  <c r="CD26" i="4"/>
  <c r="BY26" i="4"/>
  <c r="BU26" i="4"/>
  <c r="BT26" i="4"/>
  <c r="BR26" i="4"/>
  <c r="BN26" i="4"/>
  <c r="BJ26" i="4"/>
  <c r="DA23" i="4"/>
  <c r="DE53" i="4" s="1"/>
  <c r="CZ23" i="4"/>
  <c r="DD53" i="4" s="1"/>
  <c r="CW23" i="4"/>
  <c r="CV23" i="4"/>
  <c r="CS23" i="4"/>
  <c r="CR23" i="4"/>
  <c r="CO23" i="4"/>
  <c r="CN23" i="4"/>
  <c r="CK23" i="4"/>
  <c r="CJ23" i="4"/>
  <c r="AJ13" i="3" s="1"/>
  <c r="CC23" i="4"/>
  <c r="CB23" i="4"/>
  <c r="BY23" i="4"/>
  <c r="Y13" i="3" s="1"/>
  <c r="BX23" i="4"/>
  <c r="BU23" i="4"/>
  <c r="BT23" i="4"/>
  <c r="BQ23" i="4"/>
  <c r="BP23" i="4"/>
  <c r="BM23" i="4"/>
  <c r="BL23" i="4"/>
  <c r="BI23" i="4"/>
  <c r="BH23" i="4"/>
  <c r="DB22" i="4"/>
  <c r="CX22" i="4"/>
  <c r="CT22" i="4"/>
  <c r="CP22" i="4"/>
  <c r="CL22" i="4"/>
  <c r="CH22" i="4"/>
  <c r="CD22" i="4"/>
  <c r="BZ22" i="4"/>
  <c r="BV22" i="4"/>
  <c r="BR22" i="4"/>
  <c r="BO22" i="4"/>
  <c r="BN22" i="4"/>
  <c r="BJ22" i="4"/>
  <c r="DB21" i="4"/>
  <c r="CX21" i="4"/>
  <c r="CT21" i="4"/>
  <c r="CP21" i="4"/>
  <c r="CL21" i="4"/>
  <c r="CG21" i="4"/>
  <c r="CG51" i="4" s="1"/>
  <c r="CF21" i="4"/>
  <c r="CD21" i="4"/>
  <c r="BZ21" i="4"/>
  <c r="BV21" i="4"/>
  <c r="BR21" i="4"/>
  <c r="BO21" i="4"/>
  <c r="BN21" i="4"/>
  <c r="BJ21" i="4"/>
  <c r="DB20" i="4"/>
  <c r="CX20" i="4"/>
  <c r="CX622" i="4" s="1"/>
  <c r="CT20" i="4"/>
  <c r="CP20" i="4"/>
  <c r="CL20" i="4"/>
  <c r="CH20" i="4"/>
  <c r="CD20" i="4"/>
  <c r="BZ20" i="4"/>
  <c r="BV20" i="4"/>
  <c r="BR20" i="4"/>
  <c r="BO20" i="4"/>
  <c r="BN20" i="4"/>
  <c r="BJ20" i="4"/>
  <c r="BX18" i="4"/>
  <c r="DB17" i="4"/>
  <c r="CW17" i="4"/>
  <c r="CV17" i="4"/>
  <c r="CS17" i="4"/>
  <c r="CP17" i="4"/>
  <c r="CL17" i="4"/>
  <c r="CH17" i="4"/>
  <c r="CC17" i="4"/>
  <c r="CB17" i="4"/>
  <c r="BZ17" i="4"/>
  <c r="BO17" i="4"/>
  <c r="BN17" i="4"/>
  <c r="BJ17" i="4"/>
  <c r="DB16" i="4"/>
  <c r="CX16" i="4"/>
  <c r="AX9" i="3" s="1"/>
  <c r="CT16" i="4"/>
  <c r="CP16" i="4"/>
  <c r="CL16" i="4"/>
  <c r="CH16" i="4"/>
  <c r="CD16" i="4"/>
  <c r="BZ16" i="4"/>
  <c r="BV16" i="4"/>
  <c r="BR16" i="4"/>
  <c r="BO16" i="4"/>
  <c r="BN16" i="4"/>
  <c r="BJ16" i="4"/>
  <c r="DA15" i="4"/>
  <c r="CZ15" i="4"/>
  <c r="CW15" i="4"/>
  <c r="CV15" i="4"/>
  <c r="CS15" i="4"/>
  <c r="CR15" i="4"/>
  <c r="CR18" i="4" s="1"/>
  <c r="CO15" i="4"/>
  <c r="CN15" i="4"/>
  <c r="CK15" i="4"/>
  <c r="CJ15" i="4"/>
  <c r="AJ8" i="3" s="1"/>
  <c r="CG15" i="4"/>
  <c r="CG18" i="4" s="1"/>
  <c r="CF15" i="4"/>
  <c r="CC15" i="4"/>
  <c r="CB15" i="4"/>
  <c r="BZ15" i="4"/>
  <c r="BY15" i="4" s="1"/>
  <c r="BU15" i="4"/>
  <c r="BU17" i="4" s="1"/>
  <c r="BT15" i="4"/>
  <c r="T8" i="3" s="1"/>
  <c r="BP15" i="4"/>
  <c r="BM15" i="4"/>
  <c r="BL15" i="4"/>
  <c r="BI15" i="4"/>
  <c r="I8" i="3" s="1"/>
  <c r="BH15" i="4"/>
  <c r="DB14" i="4"/>
  <c r="CX14" i="4"/>
  <c r="CT14" i="4"/>
  <c r="CO14" i="4"/>
  <c r="CO47" i="4" s="1"/>
  <c r="CN14" i="4"/>
  <c r="CN12" i="4" s="1"/>
  <c r="CL14" i="4"/>
  <c r="AL6" i="3" s="1"/>
  <c r="CH14" i="4"/>
  <c r="CD14" i="4"/>
  <c r="BY14" i="4"/>
  <c r="BV14" i="4"/>
  <c r="V6" i="3" s="1"/>
  <c r="BQ14" i="4"/>
  <c r="BQ12" i="4" s="1"/>
  <c r="BN14" i="4"/>
  <c r="BJ14" i="4"/>
  <c r="DB13" i="4"/>
  <c r="CX13" i="4"/>
  <c r="CT13" i="4"/>
  <c r="CT906" i="4" s="1"/>
  <c r="CP13" i="4"/>
  <c r="CP906" i="4" s="1"/>
  <c r="CL13" i="4"/>
  <c r="CL906" i="4" s="1"/>
  <c r="CH13" i="4"/>
  <c r="CD13" i="4"/>
  <c r="CD906" i="4" s="1"/>
  <c r="BZ13" i="4"/>
  <c r="BZ906" i="4" s="1"/>
  <c r="BV13" i="4"/>
  <c r="BR13" i="4"/>
  <c r="BN13" i="4"/>
  <c r="BJ13" i="4"/>
  <c r="DA12" i="4"/>
  <c r="CZ12" i="4"/>
  <c r="CW12" i="4"/>
  <c r="CV12" i="4"/>
  <c r="CS12" i="4"/>
  <c r="CR12" i="4"/>
  <c r="CK12" i="4"/>
  <c r="CJ12" i="4"/>
  <c r="CG12" i="4"/>
  <c r="CF12" i="4"/>
  <c r="CC12" i="4"/>
  <c r="CB12" i="4"/>
  <c r="BX12" i="4"/>
  <c r="BU12" i="4"/>
  <c r="BT12" i="4"/>
  <c r="BM12" i="4"/>
  <c r="BL12" i="4"/>
  <c r="BI12" i="4"/>
  <c r="BH12" i="4"/>
  <c r="BD2" i="4"/>
  <c r="BE2" i="4" s="1"/>
  <c r="DJ89" i="3"/>
  <c r="DI89" i="3"/>
  <c r="AG71" i="3"/>
  <c r="AF71" i="3"/>
  <c r="AD71" i="3"/>
  <c r="AC71" i="3"/>
  <c r="AB71" i="3"/>
  <c r="Z71" i="3"/>
  <c r="Y71" i="3"/>
  <c r="X71" i="3"/>
  <c r="V71" i="3"/>
  <c r="U71" i="3"/>
  <c r="T71" i="3"/>
  <c r="R71" i="3"/>
  <c r="Q71" i="3"/>
  <c r="P71" i="3"/>
  <c r="N71" i="3"/>
  <c r="M71" i="3"/>
  <c r="L71" i="3"/>
  <c r="J71" i="3"/>
  <c r="I71" i="3"/>
  <c r="H71" i="3"/>
  <c r="AD70" i="3"/>
  <c r="AC70" i="3"/>
  <c r="AB70" i="3"/>
  <c r="Z70" i="3"/>
  <c r="Y70" i="3"/>
  <c r="X70" i="3"/>
  <c r="V70" i="3"/>
  <c r="U70" i="3"/>
  <c r="T70" i="3"/>
  <c r="R70" i="3"/>
  <c r="Q70" i="3"/>
  <c r="P70" i="3"/>
  <c r="N70" i="3"/>
  <c r="M70" i="3"/>
  <c r="L70" i="3"/>
  <c r="J70" i="3"/>
  <c r="I70" i="3"/>
  <c r="H70" i="3"/>
  <c r="AD69" i="3"/>
  <c r="AC69" i="3"/>
  <c r="AB69" i="3"/>
  <c r="Z69" i="3"/>
  <c r="Y69" i="3"/>
  <c r="X69" i="3"/>
  <c r="V69" i="3"/>
  <c r="U69" i="3"/>
  <c r="T69" i="3"/>
  <c r="R69" i="3"/>
  <c r="Q69" i="3"/>
  <c r="P69" i="3"/>
  <c r="N69" i="3"/>
  <c r="M69" i="3"/>
  <c r="L69" i="3"/>
  <c r="J69" i="3"/>
  <c r="I69" i="3"/>
  <c r="H69" i="3"/>
  <c r="AD68" i="3"/>
  <c r="AC68" i="3"/>
  <c r="AB68" i="3"/>
  <c r="Z68" i="3"/>
  <c r="Y68" i="3"/>
  <c r="X68" i="3"/>
  <c r="V68" i="3"/>
  <c r="U68" i="3"/>
  <c r="T68" i="3"/>
  <c r="R68" i="3"/>
  <c r="Q68" i="3"/>
  <c r="P68" i="3"/>
  <c r="N68" i="3"/>
  <c r="M68" i="3"/>
  <c r="L68" i="3"/>
  <c r="J68" i="3"/>
  <c r="I68" i="3"/>
  <c r="H68" i="3"/>
  <c r="V67" i="3"/>
  <c r="U67" i="3"/>
  <c r="T67" i="3"/>
  <c r="R67" i="3"/>
  <c r="Q67" i="3"/>
  <c r="P67" i="3"/>
  <c r="N67" i="3"/>
  <c r="M67" i="3"/>
  <c r="L67" i="3"/>
  <c r="J67" i="3"/>
  <c r="I67" i="3"/>
  <c r="H67" i="3"/>
  <c r="DS49" i="3"/>
  <c r="DO49" i="3"/>
  <c r="DK49" i="3"/>
  <c r="DJ49" i="3"/>
  <c r="CG49" i="3"/>
  <c r="AD41" i="3"/>
  <c r="AC41" i="3"/>
  <c r="AB41" i="3"/>
  <c r="Z41" i="3"/>
  <c r="Y41" i="3"/>
  <c r="X41" i="3"/>
  <c r="V41" i="3"/>
  <c r="U41" i="3"/>
  <c r="T41" i="3"/>
  <c r="R41" i="3"/>
  <c r="Q41" i="3"/>
  <c r="P41" i="3"/>
  <c r="N41" i="3"/>
  <c r="M41" i="3"/>
  <c r="L41" i="3"/>
  <c r="J41" i="3"/>
  <c r="I41" i="3"/>
  <c r="H41" i="3"/>
  <c r="AQ39" i="3"/>
  <c r="AM39" i="3"/>
  <c r="AI39" i="3"/>
  <c r="AE39" i="3"/>
  <c r="AD39" i="3"/>
  <c r="AC39" i="3"/>
  <c r="AB39" i="3"/>
  <c r="AA39" i="3"/>
  <c r="Z39" i="3"/>
  <c r="Y39" i="3"/>
  <c r="X39" i="3"/>
  <c r="W39" i="3"/>
  <c r="V39" i="3"/>
  <c r="U39" i="3"/>
  <c r="T39" i="3"/>
  <c r="S39" i="3"/>
  <c r="R39" i="3"/>
  <c r="Q39" i="3"/>
  <c r="P39" i="3"/>
  <c r="O39" i="3"/>
  <c r="N39" i="3"/>
  <c r="M39" i="3"/>
  <c r="L39" i="3"/>
  <c r="K39" i="3"/>
  <c r="J39" i="3"/>
  <c r="I39" i="3"/>
  <c r="H39" i="3"/>
  <c r="G39" i="3"/>
  <c r="F39" i="3"/>
  <c r="E39" i="3"/>
  <c r="D39" i="3"/>
  <c r="EF6" i="3"/>
  <c r="EI5" i="3"/>
  <c r="C3" i="3"/>
  <c r="CD1310" i="4" l="1"/>
  <c r="CX1310" i="4"/>
  <c r="BF1310" i="4"/>
  <c r="DG1305" i="4"/>
  <c r="DB1310" i="4"/>
  <c r="BJ1310" i="4"/>
  <c r="BR1247" i="4"/>
  <c r="BR1310" i="4"/>
  <c r="BN1247" i="4"/>
  <c r="BN1310" i="4"/>
  <c r="BV1310" i="4"/>
  <c r="BZ1247" i="4"/>
  <c r="BZ1310" i="4"/>
  <c r="CH1247" i="4"/>
  <c r="CH1310" i="4"/>
  <c r="CL1310" i="4"/>
  <c r="CP1247" i="4"/>
  <c r="CP1310" i="4"/>
  <c r="CT1247" i="4"/>
  <c r="CT1310" i="4"/>
  <c r="BP1292" i="4"/>
  <c r="CX130" i="4"/>
  <c r="DB130" i="4"/>
  <c r="CE112" i="12"/>
  <c r="BW112" i="12"/>
  <c r="BO112" i="12"/>
  <c r="BG112" i="12"/>
  <c r="AY112" i="12"/>
  <c r="AQ112" i="12"/>
  <c r="AI112" i="12"/>
  <c r="CD112" i="12"/>
  <c r="BV112" i="12"/>
  <c r="BN112" i="12"/>
  <c r="BF112" i="12"/>
  <c r="AX112" i="12"/>
  <c r="AP112" i="12"/>
  <c r="AH112" i="12"/>
  <c r="CC112" i="12"/>
  <c r="BU112" i="12"/>
  <c r="BM112" i="12"/>
  <c r="BE112" i="12"/>
  <c r="AW112" i="12"/>
  <c r="AO112" i="12"/>
  <c r="AG112" i="12"/>
  <c r="CJ112" i="12"/>
  <c r="CB112" i="12"/>
  <c r="BT112" i="12"/>
  <c r="BL112" i="12"/>
  <c r="BD112" i="12"/>
  <c r="AV112" i="12"/>
  <c r="AN112" i="12"/>
  <c r="CI112" i="12"/>
  <c r="CA112" i="12"/>
  <c r="BS112" i="12"/>
  <c r="BK112" i="12"/>
  <c r="BC112" i="12"/>
  <c r="AU112" i="12"/>
  <c r="AM112" i="12"/>
  <c r="CH112" i="12"/>
  <c r="BZ112" i="12"/>
  <c r="BR112" i="12"/>
  <c r="BJ112" i="12"/>
  <c r="BB112" i="12"/>
  <c r="AT112" i="12"/>
  <c r="AL112" i="12"/>
  <c r="CG112" i="12"/>
  <c r="BY112" i="12"/>
  <c r="BQ112" i="12"/>
  <c r="BI112" i="12"/>
  <c r="BA112" i="12"/>
  <c r="AS112" i="12"/>
  <c r="AK112" i="12"/>
  <c r="CF112" i="12"/>
  <c r="BP112" i="12"/>
  <c r="BH112" i="12"/>
  <c r="AZ112" i="12"/>
  <c r="AJ112" i="12"/>
  <c r="BX112" i="12"/>
  <c r="AR112" i="12"/>
  <c r="BS122" i="4"/>
  <c r="AP11" i="12"/>
  <c r="AQ11" i="12" s="1"/>
  <c r="AR11" i="12" s="1"/>
  <c r="AS11" i="12" s="1"/>
  <c r="AT11" i="12" s="1"/>
  <c r="AU11" i="12" s="1"/>
  <c r="O11" i="12"/>
  <c r="BS124" i="4"/>
  <c r="AQ10" i="12"/>
  <c r="AR10" i="12" s="1"/>
  <c r="AS10" i="12" s="1"/>
  <c r="AT10" i="12" s="1"/>
  <c r="AU10" i="12" s="1"/>
  <c r="AN106" i="12"/>
  <c r="DA1267" i="4"/>
  <c r="DD1267" i="4"/>
  <c r="DD1400" i="4"/>
  <c r="DF401" i="4"/>
  <c r="DF1400" i="4" s="1"/>
  <c r="AM145" i="12"/>
  <c r="AN145" i="12" s="1"/>
  <c r="AO145" i="12" s="1"/>
  <c r="AP145" i="12" s="1"/>
  <c r="AQ145" i="12" s="1"/>
  <c r="AR145" i="12" s="1"/>
  <c r="AS145" i="12" s="1"/>
  <c r="AT145" i="12" s="1"/>
  <c r="AU145" i="12" s="1"/>
  <c r="DF647" i="4"/>
  <c r="DG638" i="4"/>
  <c r="DD976" i="4"/>
  <c r="DF976" i="4" s="1"/>
  <c r="DF973" i="4"/>
  <c r="DP14" i="3"/>
  <c r="DG1031" i="4"/>
  <c r="DD1258" i="4"/>
  <c r="DF1254" i="4"/>
  <c r="AM147" i="12"/>
  <c r="AN147" i="12" s="1"/>
  <c r="AO147" i="12" s="1"/>
  <c r="AP147" i="12" s="1"/>
  <c r="AQ147" i="12" s="1"/>
  <c r="AR147" i="12" s="1"/>
  <c r="AS147" i="12" s="1"/>
  <c r="AT147" i="12" s="1"/>
  <c r="AU147" i="12" s="1"/>
  <c r="DD860" i="4"/>
  <c r="DD862" i="4" s="1"/>
  <c r="DD863" i="4" s="1"/>
  <c r="DF858" i="4"/>
  <c r="DF860" i="4" s="1"/>
  <c r="DF862" i="4" s="1"/>
  <c r="DD1226" i="4"/>
  <c r="DF1226" i="4" s="1"/>
  <c r="DF1225" i="4"/>
  <c r="DG1324" i="4"/>
  <c r="DB278" i="4"/>
  <c r="DP69" i="3" s="1"/>
  <c r="DF257" i="4"/>
  <c r="DG805" i="4"/>
  <c r="DD1211" i="4"/>
  <c r="DF1211" i="4" s="1"/>
  <c r="DF1208" i="4"/>
  <c r="DB622" i="4"/>
  <c r="DF50" i="4"/>
  <c r="DB511" i="4"/>
  <c r="DG488" i="4"/>
  <c r="DF646" i="4"/>
  <c r="DG637" i="4"/>
  <c r="DF47" i="4"/>
  <c r="AJ54" i="12"/>
  <c r="DF59" i="4"/>
  <c r="AN86" i="12"/>
  <c r="AK2" i="12"/>
  <c r="AL2" i="12" s="1"/>
  <c r="AM2" i="12" s="1"/>
  <c r="AN2" i="12" s="1"/>
  <c r="AO2" i="12" s="1"/>
  <c r="AP2" i="12" s="1"/>
  <c r="AQ2" i="12" s="1"/>
  <c r="AR2" i="12" s="1"/>
  <c r="AS2" i="12" s="1"/>
  <c r="AT2" i="12" s="1"/>
  <c r="AU2" i="12" s="1"/>
  <c r="AV2" i="12" s="1"/>
  <c r="AM144" i="12"/>
  <c r="AN144" i="12" s="1"/>
  <c r="AO144" i="12" s="1"/>
  <c r="AP144" i="12" s="1"/>
  <c r="AQ144" i="12" s="1"/>
  <c r="AR144" i="12" s="1"/>
  <c r="AS144" i="12" s="1"/>
  <c r="AT144" i="12" s="1"/>
  <c r="AU144" i="12" s="1"/>
  <c r="AM1" i="12"/>
  <c r="AN1" i="12" s="1"/>
  <c r="AO1" i="12" s="1"/>
  <c r="AP1" i="12" s="1"/>
  <c r="AQ1" i="12" s="1"/>
  <c r="AR1" i="12" s="1"/>
  <c r="AS1" i="12" s="1"/>
  <c r="AT1" i="12" s="1"/>
  <c r="AU1" i="12" s="1"/>
  <c r="AV1" i="12" s="1"/>
  <c r="AW1" i="12" s="1"/>
  <c r="AX1" i="12" s="1"/>
  <c r="AY1" i="12" s="1"/>
  <c r="AZ1" i="12" s="1"/>
  <c r="BA1" i="12" s="1"/>
  <c r="BB1" i="12" s="1"/>
  <c r="BC1" i="12" s="1"/>
  <c r="BD1" i="12" s="1"/>
  <c r="BE1" i="12" s="1"/>
  <c r="BF1" i="12" s="1"/>
  <c r="BG1" i="12" s="1"/>
  <c r="BH1" i="12" s="1"/>
  <c r="BI1" i="12" s="1"/>
  <c r="BJ1" i="12" s="1"/>
  <c r="BK1" i="12" s="1"/>
  <c r="BL1" i="12" s="1"/>
  <c r="BM1" i="12" s="1"/>
  <c r="BN1" i="12" s="1"/>
  <c r="BO1" i="12" s="1"/>
  <c r="BP1" i="12" s="1"/>
  <c r="BQ1" i="12" s="1"/>
  <c r="BR1" i="12" s="1"/>
  <c r="BS1" i="12" s="1"/>
  <c r="BT1" i="12" s="1"/>
  <c r="BU1" i="12" s="1"/>
  <c r="BV1" i="12" s="1"/>
  <c r="BW1" i="12" s="1"/>
  <c r="BX1" i="12" s="1"/>
  <c r="BY1" i="12" s="1"/>
  <c r="BZ1" i="12" s="1"/>
  <c r="CA1" i="12" s="1"/>
  <c r="CB1" i="12" s="1"/>
  <c r="CC1" i="12" s="1"/>
  <c r="CD1" i="12" s="1"/>
  <c r="CE1" i="12" s="1"/>
  <c r="CF1" i="12" s="1"/>
  <c r="CG1" i="12" s="1"/>
  <c r="CH1" i="12" s="1"/>
  <c r="CI1" i="12" s="1"/>
  <c r="CJ1" i="12" s="1"/>
  <c r="CK1" i="12" s="1"/>
  <c r="CL1" i="12" s="1"/>
  <c r="CM1" i="12" s="1"/>
  <c r="CN1" i="12" s="1"/>
  <c r="CO1" i="12" s="1"/>
  <c r="CP1" i="12" s="1"/>
  <c r="CQ1" i="12" s="1"/>
  <c r="CR1" i="12" s="1"/>
  <c r="CS1" i="12" s="1"/>
  <c r="CT1" i="12" s="1"/>
  <c r="CU1" i="12" s="1"/>
  <c r="CV1" i="12" s="1"/>
  <c r="CW1" i="12" s="1"/>
  <c r="CX1" i="12" s="1"/>
  <c r="CY1" i="12" s="1"/>
  <c r="CZ1" i="12" s="1"/>
  <c r="DA1" i="12" s="1"/>
  <c r="DB1" i="12" s="1"/>
  <c r="DC1" i="12" s="1"/>
  <c r="DD1" i="12" s="1"/>
  <c r="DE1" i="12" s="1"/>
  <c r="DF1" i="12" s="1"/>
  <c r="DG1" i="12" s="1"/>
  <c r="DH1" i="12" s="1"/>
  <c r="DI1" i="12" s="1"/>
  <c r="DJ1" i="12" s="1"/>
  <c r="DK1" i="12" s="1"/>
  <c r="DL1" i="12" s="1"/>
  <c r="DM1" i="12" s="1"/>
  <c r="DN1" i="12" s="1"/>
  <c r="DO1" i="12" s="1"/>
  <c r="DP1" i="12" s="1"/>
  <c r="DQ1" i="12" s="1"/>
  <c r="DR1" i="12" s="1"/>
  <c r="DS1" i="12" s="1"/>
  <c r="DT1" i="12" s="1"/>
  <c r="DU1" i="12" s="1"/>
  <c r="DV1" i="12" s="1"/>
  <c r="DW1" i="12" s="1"/>
  <c r="DX1" i="12" s="1"/>
  <c r="DY1" i="12" s="1"/>
  <c r="DZ1" i="12" s="1"/>
  <c r="EA1" i="12" s="1"/>
  <c r="EB1" i="12" s="1"/>
  <c r="EC1" i="12" s="1"/>
  <c r="ED1" i="12" s="1"/>
  <c r="EE1" i="12" s="1"/>
  <c r="EF1" i="12" s="1"/>
  <c r="EG1" i="12" s="1"/>
  <c r="EH1" i="12" s="1"/>
  <c r="EI1" i="12" s="1"/>
  <c r="EJ1" i="12" s="1"/>
  <c r="EK1" i="12" s="1"/>
  <c r="EL1" i="12" s="1"/>
  <c r="EM1" i="12" s="1"/>
  <c r="EN1" i="12" s="1"/>
  <c r="EO1" i="12" s="1"/>
  <c r="EP1" i="12" s="1"/>
  <c r="EQ1" i="12" s="1"/>
  <c r="ER1" i="12" s="1"/>
  <c r="AM106" i="12"/>
  <c r="AM4" i="12"/>
  <c r="DB1137" i="4"/>
  <c r="BR1199" i="4"/>
  <c r="CF44" i="3" s="1"/>
  <c r="DD618" i="4"/>
  <c r="DA621" i="4"/>
  <c r="DA623" i="4" s="1"/>
  <c r="CT139" i="4"/>
  <c r="DB139" i="4"/>
  <c r="BN12" i="4"/>
  <c r="CP139" i="4"/>
  <c r="CX139" i="4"/>
  <c r="DD376" i="4"/>
  <c r="DA366" i="4"/>
  <c r="DB366" i="4" s="1"/>
  <c r="DA369" i="4"/>
  <c r="DB367" i="4"/>
  <c r="DD371" i="4"/>
  <c r="DB360" i="4"/>
  <c r="DD373" i="4"/>
  <c r="DB364" i="4"/>
  <c r="CV368" i="4"/>
  <c r="CZ389" i="4"/>
  <c r="CZ369" i="4"/>
  <c r="CZ366" i="4"/>
  <c r="BJ1199" i="4"/>
  <c r="BX44" i="3" s="1"/>
  <c r="DD323" i="4"/>
  <c r="DB317" i="4"/>
  <c r="CX301" i="4"/>
  <c r="DD189" i="4"/>
  <c r="DA233" i="4"/>
  <c r="DA230" i="4"/>
  <c r="CZ233" i="4"/>
  <c r="CZ230" i="4"/>
  <c r="BH981" i="4"/>
  <c r="BH986" i="4"/>
  <c r="CS1160" i="4"/>
  <c r="I56" i="3"/>
  <c r="DB535" i="4"/>
  <c r="DF536" i="4" s="1"/>
  <c r="DD536" i="4"/>
  <c r="DD537" i="4" s="1"/>
  <c r="DB531" i="4"/>
  <c r="DF532" i="4" s="1"/>
  <c r="DD532" i="4"/>
  <c r="DD533" i="4" s="1"/>
  <c r="DD191" i="4"/>
  <c r="DD524" i="4"/>
  <c r="DD960" i="4"/>
  <c r="DA683" i="4"/>
  <c r="DD690" i="4" s="1"/>
  <c r="DD673" i="4"/>
  <c r="DA1087" i="4"/>
  <c r="DD1408" i="4"/>
  <c r="L58" i="3"/>
  <c r="AZ58" i="3"/>
  <c r="M80" i="9"/>
  <c r="M81" i="9" s="1"/>
  <c r="N56" i="3"/>
  <c r="DJ88" i="4"/>
  <c r="CG270" i="4"/>
  <c r="CG273" i="4" s="1"/>
  <c r="CU73" i="3" s="1"/>
  <c r="AG58" i="3"/>
  <c r="CS270" i="4"/>
  <c r="CD37" i="4"/>
  <c r="CD88" i="4"/>
  <c r="CC270" i="4"/>
  <c r="BI1220" i="4"/>
  <c r="BQ1220" i="4"/>
  <c r="BQ1222" i="4" s="1"/>
  <c r="BY1220" i="4"/>
  <c r="BY1222" i="4" s="1"/>
  <c r="BZ1255" i="4"/>
  <c r="CK270" i="4"/>
  <c r="CK273" i="4" s="1"/>
  <c r="CY73" i="3" s="1"/>
  <c r="CH49" i="3"/>
  <c r="P65" i="3"/>
  <c r="AF65" i="3"/>
  <c r="Q56" i="3"/>
  <c r="CF270" i="4"/>
  <c r="CF273" i="4" s="1"/>
  <c r="CT73" i="3" s="1"/>
  <c r="CS1237" i="4"/>
  <c r="BP1237" i="4"/>
  <c r="BU1218" i="4"/>
  <c r="DA1218" i="4"/>
  <c r="AN65" i="3"/>
  <c r="CK87" i="4"/>
  <c r="DB87" i="4"/>
  <c r="CT88" i="4"/>
  <c r="BP270" i="4"/>
  <c r="BP273" i="4" s="1"/>
  <c r="CD73" i="3" s="1"/>
  <c r="DA270" i="4"/>
  <c r="DA273" i="4" s="1"/>
  <c r="DO73" i="3" s="1"/>
  <c r="BM1237" i="4"/>
  <c r="AW58" i="3"/>
  <c r="BM270" i="4"/>
  <c r="BD555" i="4"/>
  <c r="BD546" i="4" s="1"/>
  <c r="BQ555" i="4"/>
  <c r="BY555" i="4"/>
  <c r="CS950" i="4"/>
  <c r="CP966" i="4"/>
  <c r="CS976" i="4"/>
  <c r="CD1137" i="4"/>
  <c r="P56" i="3"/>
  <c r="BN1135" i="4"/>
  <c r="CT1398" i="4"/>
  <c r="AB58" i="3"/>
  <c r="U65" i="3"/>
  <c r="AC65" i="3"/>
  <c r="BA65" i="3"/>
  <c r="DW49" i="3"/>
  <c r="DG89" i="3"/>
  <c r="BZ86" i="4"/>
  <c r="CN506" i="4"/>
  <c r="CT1135" i="4"/>
  <c r="AF42" i="9" s="1"/>
  <c r="AF144" i="9" s="1"/>
  <c r="CX37" i="4"/>
  <c r="CT1137" i="4"/>
  <c r="BZ911" i="4"/>
  <c r="CH911" i="4"/>
  <c r="CX911" i="4"/>
  <c r="CV1160" i="4"/>
  <c r="DB1199" i="4"/>
  <c r="DP44" i="3" s="1"/>
  <c r="L56" i="3"/>
  <c r="DF89" i="3"/>
  <c r="CV270" i="4"/>
  <c r="CX87" i="4"/>
  <c r="BX270" i="4"/>
  <c r="BY506" i="4"/>
  <c r="CP777" i="4"/>
  <c r="BZ782" i="4"/>
  <c r="CN1087" i="4"/>
  <c r="BX1160" i="4"/>
  <c r="CV1237" i="4"/>
  <c r="U80" i="9"/>
  <c r="U81" i="9" s="1"/>
  <c r="AK65" i="3"/>
  <c r="DB37" i="4"/>
  <c r="BB22" i="3" s="1"/>
  <c r="CP88" i="4"/>
  <c r="CN270" i="4"/>
  <c r="BP1220" i="4"/>
  <c r="BP1222" i="4" s="1"/>
  <c r="BX1220" i="4"/>
  <c r="BX1222" i="4" s="1"/>
  <c r="CN1220" i="4"/>
  <c r="CN1222" i="4" s="1"/>
  <c r="CT554" i="4"/>
  <c r="BJ721" i="4"/>
  <c r="BR722" i="4"/>
  <c r="BR781" i="4"/>
  <c r="BY794" i="4"/>
  <c r="BJ796" i="4"/>
  <c r="CN998" i="4"/>
  <c r="CN1107" i="4" s="1"/>
  <c r="CF1160" i="4"/>
  <c r="BJ12" i="4"/>
  <c r="CE29" i="4"/>
  <c r="CN1214" i="4"/>
  <c r="CT955" i="4"/>
  <c r="CO127" i="4"/>
  <c r="CS155" i="4"/>
  <c r="CT155" i="4" s="1"/>
  <c r="CT1199" i="4"/>
  <c r="DH44" i="3" s="1"/>
  <c r="BY270" i="4"/>
  <c r="CO511" i="4"/>
  <c r="BR777" i="4"/>
  <c r="DB1135" i="4"/>
  <c r="CH1198" i="4"/>
  <c r="CH1199" i="4" s="1"/>
  <c r="CV44" i="3" s="1"/>
  <c r="AG112" i="9"/>
  <c r="CQ489" i="4"/>
  <c r="BY617" i="4"/>
  <c r="BM950" i="4"/>
  <c r="BP1115" i="4"/>
  <c r="BP1116" i="4" s="1"/>
  <c r="CF1115" i="4"/>
  <c r="CF1116" i="4" s="1"/>
  <c r="CV1115" i="4"/>
  <c r="CV1116" i="4" s="1"/>
  <c r="BM1226" i="4"/>
  <c r="CP1296" i="4"/>
  <c r="BW1305" i="4"/>
  <c r="BI270" i="4"/>
  <c r="BQ270" i="4"/>
  <c r="BR270" i="4" s="1"/>
  <c r="CW270" i="4"/>
  <c r="BY175" i="4"/>
  <c r="CO270" i="4"/>
  <c r="BP412" i="4"/>
  <c r="BY459" i="4"/>
  <c r="CO459" i="4"/>
  <c r="DC489" i="4"/>
  <c r="DJ553" i="4"/>
  <c r="CS506" i="4"/>
  <c r="DA506" i="4"/>
  <c r="CC950" i="4"/>
  <c r="CC956" i="4" s="1"/>
  <c r="CC1109" i="4" s="1"/>
  <c r="CC1110" i="4" s="1"/>
  <c r="BV1135" i="4"/>
  <c r="O127" i="9"/>
  <c r="O132" i="9" s="1"/>
  <c r="CF243" i="4"/>
  <c r="DB274" i="4"/>
  <c r="CJ555" i="4"/>
  <c r="CJ556" i="4" s="1"/>
  <c r="CJ557" i="4" s="1"/>
  <c r="CH886" i="4"/>
  <c r="CL911" i="4"/>
  <c r="CP742" i="4"/>
  <c r="CG860" i="4"/>
  <c r="CG862" i="4" s="1"/>
  <c r="BY986" i="4"/>
  <c r="BI1160" i="4"/>
  <c r="BJ1160" i="4" s="1"/>
  <c r="CD1315" i="4"/>
  <c r="AD30" i="12" s="1"/>
  <c r="BT267" i="4"/>
  <c r="BT381" i="4" s="1"/>
  <c r="CX85" i="4"/>
  <c r="CU487" i="4"/>
  <c r="CY487" i="4"/>
  <c r="CU489" i="4"/>
  <c r="CY489" i="4"/>
  <c r="CO555" i="4"/>
  <c r="CO556" i="4" s="1"/>
  <c r="CO557" i="4" s="1"/>
  <c r="CH955" i="4"/>
  <c r="CO1160" i="4"/>
  <c r="BP1248" i="4"/>
  <c r="DI1272" i="4"/>
  <c r="DL1272" i="4" s="1"/>
  <c r="DM1272" i="4" s="1"/>
  <c r="CL1398" i="4"/>
  <c r="CD276" i="4"/>
  <c r="CU293" i="4"/>
  <c r="BI374" i="4"/>
  <c r="BV771" i="4"/>
  <c r="CT821" i="4"/>
  <c r="CL822" i="4"/>
  <c r="CH935" i="4"/>
  <c r="CN37" i="4"/>
  <c r="BN15" i="4"/>
  <c r="CL26" i="4"/>
  <c r="CV81" i="4"/>
  <c r="CJ189" i="4"/>
  <c r="CQ198" i="4"/>
  <c r="CX250" i="4"/>
  <c r="CF308" i="4"/>
  <c r="DB771" i="4"/>
  <c r="DN886" i="4"/>
  <c r="DN781" i="4"/>
  <c r="CL771" i="4"/>
  <c r="BP14" i="4"/>
  <c r="BP47" i="4" s="1"/>
  <c r="CN87" i="4"/>
  <c r="DN87" i="4"/>
  <c r="BI127" i="4"/>
  <c r="BY127" i="4"/>
  <c r="BZ275" i="4"/>
  <c r="CP275" i="4"/>
  <c r="BR670" i="4"/>
  <c r="CP670" i="4"/>
  <c r="DN785" i="4"/>
  <c r="BM1214" i="4"/>
  <c r="CK1214" i="4"/>
  <c r="CB1226" i="4"/>
  <c r="CL1335" i="4"/>
  <c r="AG129" i="9"/>
  <c r="AI112" i="9"/>
  <c r="BP532" i="4"/>
  <c r="CL536" i="4"/>
  <c r="CR555" i="4"/>
  <c r="DB553" i="4"/>
  <c r="CU637" i="4"/>
  <c r="CC681" i="4"/>
  <c r="BV670" i="4"/>
  <c r="BV761" i="4"/>
  <c r="BL921" i="4"/>
  <c r="BL923" i="4" s="1"/>
  <c r="DJ966" i="4"/>
  <c r="CH995" i="4"/>
  <c r="CV1087" i="4"/>
  <c r="CD1135" i="4"/>
  <c r="BN1137" i="4"/>
  <c r="CB1160" i="4"/>
  <c r="CN1160" i="4"/>
  <c r="CT1173" i="4"/>
  <c r="CT1174" i="4"/>
  <c r="BL1225" i="4"/>
  <c r="CC1225" i="4"/>
  <c r="CC1226" i="4" s="1"/>
  <c r="BL1248" i="4"/>
  <c r="CZ1244" i="4"/>
  <c r="BV1317" i="4"/>
  <c r="CG1344" i="4"/>
  <c r="CG1345" i="4" s="1"/>
  <c r="AH118" i="9"/>
  <c r="CD921" i="4"/>
  <c r="CD927" i="4"/>
  <c r="BL966" i="4"/>
  <c r="BN966" i="4" s="1"/>
  <c r="CC1160" i="4"/>
  <c r="CW1231" i="4"/>
  <c r="CK1237" i="4"/>
  <c r="CK1239" i="4" s="1"/>
  <c r="BU1316" i="4"/>
  <c r="Y127" i="9"/>
  <c r="Y132" i="9" s="1"/>
  <c r="CT23" i="4"/>
  <c r="CD57" i="4"/>
  <c r="BX149" i="4"/>
  <c r="CN149" i="4"/>
  <c r="CW174" i="4"/>
  <c r="CX174" i="4" s="1"/>
  <c r="CZ191" i="4"/>
  <c r="CX257" i="4"/>
  <c r="CX274" i="4" s="1"/>
  <c r="CE297" i="4"/>
  <c r="BX308" i="4"/>
  <c r="CE384" i="4"/>
  <c r="BZ429" i="4"/>
  <c r="CO426" i="4"/>
  <c r="CO437" i="4"/>
  <c r="BQ490" i="4"/>
  <c r="BQ1407" i="4" s="1"/>
  <c r="BP514" i="4"/>
  <c r="CV532" i="4"/>
  <c r="BX536" i="4"/>
  <c r="BX537" i="4" s="1"/>
  <c r="CN1231" i="4"/>
  <c r="CO1225" i="4"/>
  <c r="CO1226" i="4" s="1"/>
  <c r="CA124" i="4"/>
  <c r="CV180" i="4"/>
  <c r="BR201" i="4"/>
  <c r="BR203" i="4" s="1"/>
  <c r="CH257" i="4"/>
  <c r="CH274" i="4" s="1"/>
  <c r="CD15" i="4"/>
  <c r="CD609" i="4" s="1"/>
  <c r="CH26" i="4"/>
  <c r="CH27" i="4"/>
  <c r="BF184" i="4"/>
  <c r="CQ134" i="4"/>
  <c r="DC294" i="4"/>
  <c r="BW384" i="4"/>
  <c r="BS387" i="4"/>
  <c r="BT490" i="4"/>
  <c r="BT513" i="4" s="1"/>
  <c r="CC532" i="4"/>
  <c r="CN536" i="4"/>
  <c r="CN537" i="4" s="1"/>
  <c r="BI562" i="4"/>
  <c r="CG617" i="4"/>
  <c r="CS654" i="4"/>
  <c r="BY669" i="4"/>
  <c r="BY671" i="4" s="1"/>
  <c r="CO683" i="4"/>
  <c r="CR690" i="4" s="1"/>
  <c r="CO673" i="4"/>
  <c r="CW683" i="4"/>
  <c r="CW690" i="4" s="1"/>
  <c r="CX667" i="4"/>
  <c r="CX683" i="4" s="1"/>
  <c r="CG735" i="4"/>
  <c r="BU1214" i="4"/>
  <c r="BX1208" i="4"/>
  <c r="BL511" i="4"/>
  <c r="BU536" i="4"/>
  <c r="BU537" i="4" s="1"/>
  <c r="CV555" i="4"/>
  <c r="CV556" i="4" s="1"/>
  <c r="CV557" i="4" s="1"/>
  <c r="BM563" i="4"/>
  <c r="CC637" i="4"/>
  <c r="CC642" i="4" s="1"/>
  <c r="CU638" i="4"/>
  <c r="CY638" i="4"/>
  <c r="BP1208" i="4"/>
  <c r="BP1211" i="4" s="1"/>
  <c r="BI243" i="4"/>
  <c r="BJ266" i="4"/>
  <c r="BT642" i="4"/>
  <c r="CH742" i="4"/>
  <c r="CF741" i="4"/>
  <c r="CH741" i="4" s="1"/>
  <c r="CD847" i="4"/>
  <c r="CR633" i="4"/>
  <c r="DC638" i="4"/>
  <c r="BR661" i="4"/>
  <c r="CF676" i="4"/>
  <c r="DN684" i="4"/>
  <c r="BN721" i="4"/>
  <c r="BN722" i="4"/>
  <c r="BJ761" i="4"/>
  <c r="BI763" i="4"/>
  <c r="CH796" i="4"/>
  <c r="CH821" i="4"/>
  <c r="CX821" i="4"/>
  <c r="DN821" i="4"/>
  <c r="CX822" i="4"/>
  <c r="BY922" i="4"/>
  <c r="BY923" i="4" s="1"/>
  <c r="BZ966" i="4"/>
  <c r="DN966" i="4"/>
  <c r="CF998" i="4"/>
  <c r="CF1107" i="4" s="1"/>
  <c r="BT1115" i="4"/>
  <c r="BT1116" i="4" s="1"/>
  <c r="CB1115" i="4"/>
  <c r="CB1116" i="4" s="1"/>
  <c r="CR1115" i="4"/>
  <c r="CR1116" i="4" s="1"/>
  <c r="CZ1115" i="4"/>
  <c r="CZ1116" i="4" s="1"/>
  <c r="CW1087" i="4"/>
  <c r="CS1136" i="4"/>
  <c r="BQ1160" i="4"/>
  <c r="BR1160" i="4" s="1"/>
  <c r="CW1160" i="4"/>
  <c r="CS1211" i="4"/>
  <c r="BU1211" i="4"/>
  <c r="CN1218" i="4"/>
  <c r="BI1237" i="4"/>
  <c r="BY1237" i="4"/>
  <c r="CO1258" i="4"/>
  <c r="CO1260" i="4" s="1"/>
  <c r="BL1365" i="4"/>
  <c r="AH140" i="9"/>
  <c r="L54" i="3"/>
  <c r="Q54" i="3"/>
  <c r="BL1368" i="4"/>
  <c r="BT673" i="4"/>
  <c r="BZ87" i="4"/>
  <c r="BY860" i="4"/>
  <c r="BY862" i="4" s="1"/>
  <c r="CO860" i="4"/>
  <c r="CO862" i="4" s="1"/>
  <c r="CW860" i="4"/>
  <c r="CW862" i="4" s="1"/>
  <c r="DB886" i="4"/>
  <c r="CK936" i="4"/>
  <c r="CG506" i="4"/>
  <c r="CO506" i="4"/>
  <c r="CW506" i="4"/>
  <c r="BI976" i="4"/>
  <c r="CG976" i="4"/>
  <c r="CO1087" i="4"/>
  <c r="BJ1136" i="4"/>
  <c r="CG1160" i="4"/>
  <c r="BP1263" i="4"/>
  <c r="CG1195" i="4"/>
  <c r="CB1218" i="4"/>
  <c r="CJ1218" i="4"/>
  <c r="CR1218" i="4"/>
  <c r="CZ1218" i="4"/>
  <c r="BQ1234" i="4"/>
  <c r="CP1255" i="4"/>
  <c r="BP1258" i="4"/>
  <c r="BP1260" i="4" s="1"/>
  <c r="DF1280" i="4"/>
  <c r="BU1321" i="4"/>
  <c r="BU1361" i="4" s="1"/>
  <c r="CZ1368" i="4"/>
  <c r="M127" i="9"/>
  <c r="M132" i="9" s="1"/>
  <c r="BV661" i="4"/>
  <c r="CT670" i="4"/>
  <c r="DJ670" i="4"/>
  <c r="BL763" i="4"/>
  <c r="CJ860" i="4"/>
  <c r="CJ862" i="4" s="1"/>
  <c r="CF922" i="4"/>
  <c r="BR927" i="4"/>
  <c r="CX927" i="4"/>
  <c r="BN955" i="4"/>
  <c r="CD955" i="4"/>
  <c r="CL955" i="4"/>
  <c r="CT966" i="4"/>
  <c r="BP998" i="4"/>
  <c r="BP1107" i="4" s="1"/>
  <c r="CV1036" i="4"/>
  <c r="CV1037" i="4" s="1"/>
  <c r="CH1136" i="4"/>
  <c r="CO1234" i="4"/>
  <c r="BU1248" i="4"/>
  <c r="CO1237" i="4"/>
  <c r="BV1282" i="4"/>
  <c r="CS1316" i="4"/>
  <c r="CF1321" i="4"/>
  <c r="CF1361" i="4" s="1"/>
  <c r="BU1369" i="4"/>
  <c r="AH112" i="9"/>
  <c r="CB998" i="4"/>
  <c r="CB1107" i="4" s="1"/>
  <c r="CD993" i="4"/>
  <c r="CS174" i="4"/>
  <c r="CT174" i="4" s="1"/>
  <c r="CT175" i="4" s="1"/>
  <c r="CZ243" i="4"/>
  <c r="CZ852" i="4" s="1"/>
  <c r="CK243" i="4"/>
  <c r="CK287" i="4" s="1"/>
  <c r="BV274" i="4"/>
  <c r="CL274" i="4"/>
  <c r="CO267" i="4"/>
  <c r="CO381" i="4" s="1"/>
  <c r="CP381" i="4" s="1"/>
  <c r="BM356" i="4"/>
  <c r="BS385" i="4"/>
  <c r="CT646" i="4"/>
  <c r="CQ637" i="4"/>
  <c r="BJ708" i="4"/>
  <c r="BZ936" i="4"/>
  <c r="BZ37" i="4"/>
  <c r="Z22" i="3" s="1"/>
  <c r="BI506" i="4"/>
  <c r="BT506" i="4"/>
  <c r="BQ506" i="4"/>
  <c r="BQ507" i="4" s="1"/>
  <c r="BY950" i="4"/>
  <c r="BP1231" i="4"/>
  <c r="BQ1225" i="4"/>
  <c r="BQ1226" i="4" s="1"/>
  <c r="CF1231" i="4"/>
  <c r="CG1225" i="4"/>
  <c r="CG1226" i="4" s="1"/>
  <c r="CV1231" i="4"/>
  <c r="CW1225" i="4"/>
  <c r="CW1226" i="4" s="1"/>
  <c r="CL1328" i="4"/>
  <c r="CL1329" i="4" s="1"/>
  <c r="BP174" i="4"/>
  <c r="BP176" i="4"/>
  <c r="BQ180" i="4" s="1"/>
  <c r="BT243" i="4"/>
  <c r="BT852" i="4" s="1"/>
  <c r="CS735" i="4"/>
  <c r="CT732" i="4"/>
  <c r="CW1083" i="4"/>
  <c r="CZ995" i="4"/>
  <c r="CZ996" i="4" s="1"/>
  <c r="CT1171" i="4"/>
  <c r="BY203" i="4"/>
  <c r="BJ250" i="4"/>
  <c r="CO438" i="4"/>
  <c r="CF585" i="4"/>
  <c r="CH583" i="4"/>
  <c r="CK734" i="4"/>
  <c r="CK739" i="4" s="1"/>
  <c r="CK686" i="4"/>
  <c r="CS812" i="4"/>
  <c r="CT805" i="4"/>
  <c r="BV785" i="4"/>
  <c r="CG785" i="4"/>
  <c r="CG842" i="4"/>
  <c r="CG843" i="4" s="1"/>
  <c r="CV895" i="4"/>
  <c r="BU922" i="4"/>
  <c r="BU923" i="4" s="1"/>
  <c r="BP1203" i="4"/>
  <c r="BP1204" i="4" s="1"/>
  <c r="BQ950" i="4"/>
  <c r="BQ956" i="4" s="1"/>
  <c r="BQ1109" i="4" s="1"/>
  <c r="BQ1110" i="4" s="1"/>
  <c r="CF1203" i="4"/>
  <c r="CF1204" i="4" s="1"/>
  <c r="CG950" i="4"/>
  <c r="CN1203" i="4"/>
  <c r="CN1204" i="4" s="1"/>
  <c r="CO950" i="4"/>
  <c r="CV1203" i="4"/>
  <c r="CV1204" i="4" s="1"/>
  <c r="CW950" i="4"/>
  <c r="BL1237" i="4"/>
  <c r="BL1160" i="4"/>
  <c r="BT1237" i="4"/>
  <c r="BT1160" i="4"/>
  <c r="BT270" i="4"/>
  <c r="CJ1087" i="4"/>
  <c r="CJ1237" i="4"/>
  <c r="CJ270" i="4"/>
  <c r="CR1237" i="4"/>
  <c r="CR1160" i="4"/>
  <c r="CR1087" i="4"/>
  <c r="CR270" i="4"/>
  <c r="CZ1237" i="4"/>
  <c r="CZ1160" i="4"/>
  <c r="CZ1087" i="4"/>
  <c r="BF1315" i="4"/>
  <c r="BX585" i="4"/>
  <c r="BZ583" i="4"/>
  <c r="CP266" i="4"/>
  <c r="BM176" i="4"/>
  <c r="BN176" i="4" s="1"/>
  <c r="BM174" i="4"/>
  <c r="BN174" i="4" s="1"/>
  <c r="CC176" i="4"/>
  <c r="CD176" i="4" s="1"/>
  <c r="CC174" i="4"/>
  <c r="DA176" i="4"/>
  <c r="DA174" i="4"/>
  <c r="DD178" i="4" s="1"/>
  <c r="CG203" i="4"/>
  <c r="CB243" i="4"/>
  <c r="CB287" i="4" s="1"/>
  <c r="CX244" i="4"/>
  <c r="CX853" i="4" s="1"/>
  <c r="CY637" i="4"/>
  <c r="BN667" i="4"/>
  <c r="BN683" i="4" s="1"/>
  <c r="BL683" i="4"/>
  <c r="BM690" i="4" s="1"/>
  <c r="CB734" i="4"/>
  <c r="CB737" i="4" s="1"/>
  <c r="CD668" i="4"/>
  <c r="CD734" i="4" s="1"/>
  <c r="BH724" i="4"/>
  <c r="BI720" i="4" s="1"/>
  <c r="BI724" i="4" s="1"/>
  <c r="BJ720" i="4"/>
  <c r="BY976" i="4"/>
  <c r="CB973" i="4"/>
  <c r="CD973" i="4" s="1"/>
  <c r="DI1281" i="4"/>
  <c r="DJ1281" i="4" s="1"/>
  <c r="DF1281" i="4"/>
  <c r="Q80" i="9"/>
  <c r="Q81" i="9" s="1"/>
  <c r="BU674" i="4"/>
  <c r="CV674" i="4"/>
  <c r="CN669" i="4"/>
  <c r="CN671" i="4" s="1"/>
  <c r="CK676" i="4"/>
  <c r="BI693" i="4"/>
  <c r="CD761" i="4"/>
  <c r="CL761" i="4"/>
  <c r="BJ927" i="4"/>
  <c r="CP927" i="4"/>
  <c r="BU981" i="4"/>
  <c r="CK981" i="4"/>
  <c r="DA981" i="4"/>
  <c r="BU986" i="4"/>
  <c r="CK986" i="4"/>
  <c r="DA986" i="4"/>
  <c r="CL1137" i="4"/>
  <c r="CL1135" i="4"/>
  <c r="BQ1263" i="4"/>
  <c r="CB1244" i="4"/>
  <c r="CJ1244" i="4"/>
  <c r="BV1254" i="4"/>
  <c r="BT1258" i="4"/>
  <c r="BT1260" i="4" s="1"/>
  <c r="DC1305" i="4"/>
  <c r="DB1315" i="4"/>
  <c r="DG1315" i="4" s="1"/>
  <c r="BU1329" i="4"/>
  <c r="AI130" i="9"/>
  <c r="AI107" i="9"/>
  <c r="BU372" i="4"/>
  <c r="BL412" i="4"/>
  <c r="BY412" i="4"/>
  <c r="CW412" i="4"/>
  <c r="CW458" i="4"/>
  <c r="CN532" i="4"/>
  <c r="CV536" i="4"/>
  <c r="CV537" i="4" s="1"/>
  <c r="CT57" i="4"/>
  <c r="AT38" i="3"/>
  <c r="BQ127" i="4"/>
  <c r="CO203" i="4"/>
  <c r="CA384" i="4"/>
  <c r="BT412" i="4"/>
  <c r="CN422" i="4"/>
  <c r="BR503" i="4"/>
  <c r="BR1395" i="4" s="1"/>
  <c r="BM518" i="4"/>
  <c r="BM519" i="4" s="1"/>
  <c r="BM532" i="4"/>
  <c r="CJ536" i="4"/>
  <c r="CJ537" i="4" s="1"/>
  <c r="CH554" i="4"/>
  <c r="CP661" i="4"/>
  <c r="BX663" i="4"/>
  <c r="BX662" i="4" s="1"/>
  <c r="BP673" i="4"/>
  <c r="CN734" i="4"/>
  <c r="BJ748" i="4"/>
  <c r="BJ754" i="4" s="1"/>
  <c r="BZ785" i="4"/>
  <c r="CK785" i="4"/>
  <c r="CO823" i="4"/>
  <c r="CP822" i="4"/>
  <c r="CD911" i="4"/>
  <c r="CK922" i="4"/>
  <c r="CK923" i="4" s="1"/>
  <c r="CH936" i="4"/>
  <c r="CZ950" i="4"/>
  <c r="DB950" i="4" s="1"/>
  <c r="BP966" i="4"/>
  <c r="BR966" i="4" s="1"/>
  <c r="BU976" i="4"/>
  <c r="CK976" i="4"/>
  <c r="CD1025" i="4"/>
  <c r="CG1082" i="4"/>
  <c r="BV1137" i="4"/>
  <c r="BR1175" i="4"/>
  <c r="BQ1176" i="4"/>
  <c r="CS1267" i="4"/>
  <c r="DA1195" i="4"/>
  <c r="DB1194" i="4"/>
  <c r="DB1195" i="4" s="1"/>
  <c r="CK1369" i="4"/>
  <c r="CK1366" i="4"/>
  <c r="DA1369" i="4"/>
  <c r="DA1366" i="4"/>
  <c r="DL1366" i="4" s="1"/>
  <c r="DM1366" i="4" s="1"/>
  <c r="DP1366" i="4" s="1"/>
  <c r="DQ1366" i="4" s="1"/>
  <c r="AX80" i="3"/>
  <c r="CK372" i="4"/>
  <c r="BT401" i="4"/>
  <c r="BT1400" i="4" s="1"/>
  <c r="CG412" i="4"/>
  <c r="CG458" i="4"/>
  <c r="BN503" i="4"/>
  <c r="BL532" i="4"/>
  <c r="CH553" i="4"/>
  <c r="CD646" i="4"/>
  <c r="BF183" i="4"/>
  <c r="BL189" i="4"/>
  <c r="CV510" i="4"/>
  <c r="CS518" i="4"/>
  <c r="CS519" i="4" s="1"/>
  <c r="DN553" i="4"/>
  <c r="S36" i="9"/>
  <c r="AG22" i="3"/>
  <c r="CC155" i="4"/>
  <c r="CP201" i="4"/>
  <c r="BX243" i="4"/>
  <c r="BX852" i="4" s="1"/>
  <c r="CV243" i="4"/>
  <c r="CH275" i="4"/>
  <c r="CX275" i="4"/>
  <c r="CG368" i="4"/>
  <c r="BX401" i="4"/>
  <c r="BX1400" i="4" s="1"/>
  <c r="BU412" i="4"/>
  <c r="CC412" i="4"/>
  <c r="CK412" i="4"/>
  <c r="CS412" i="4"/>
  <c r="DA412" i="4"/>
  <c r="BI425" i="4"/>
  <c r="CO458" i="4"/>
  <c r="CC468" i="4"/>
  <c r="CP490" i="4"/>
  <c r="AB12" i="9"/>
  <c r="BI532" i="4"/>
  <c r="BN531" i="4"/>
  <c r="CR532" i="4"/>
  <c r="BP536" i="4"/>
  <c r="BP537" i="4" s="1"/>
  <c r="BF555" i="4"/>
  <c r="BF546" i="4" s="1"/>
  <c r="BM555" i="4"/>
  <c r="BU555" i="4"/>
  <c r="DB554" i="4"/>
  <c r="BH562" i="4"/>
  <c r="DN582" i="4"/>
  <c r="CD583" i="4"/>
  <c r="CL583" i="4"/>
  <c r="DM583" i="4"/>
  <c r="CP628" i="4"/>
  <c r="DC637" i="4"/>
  <c r="CD653" i="4"/>
  <c r="BZ668" i="4"/>
  <c r="BZ686" i="4" s="1"/>
  <c r="CT668" i="4"/>
  <c r="CT734" i="4" s="1"/>
  <c r="BT676" i="4"/>
  <c r="BZ670" i="4"/>
  <c r="CO676" i="4"/>
  <c r="BX674" i="4"/>
  <c r="DJ684" i="4"/>
  <c r="CJ701" i="4"/>
  <c r="BI703" i="4"/>
  <c r="BI708" i="4" s="1"/>
  <c r="CG705" i="4"/>
  <c r="CH761" i="4"/>
  <c r="CF820" i="4"/>
  <c r="CF823" i="4" s="1"/>
  <c r="DB821" i="4"/>
  <c r="CT822" i="4"/>
  <c r="CC860" i="4"/>
  <c r="CC862" i="4" s="1"/>
  <c r="CT886" i="4"/>
  <c r="BR911" i="4"/>
  <c r="DA922" i="4"/>
  <c r="BN927" i="4"/>
  <c r="CL927" i="4"/>
  <c r="CT927" i="4"/>
  <c r="CP936" i="4"/>
  <c r="CT936" i="4"/>
  <c r="BT950" i="4"/>
  <c r="BV950" i="4" s="1"/>
  <c r="CD966" i="4"/>
  <c r="BI981" i="4"/>
  <c r="CO981" i="4"/>
  <c r="BI986" i="4"/>
  <c r="CC1136" i="4"/>
  <c r="CX1136" i="4"/>
  <c r="CN1136" i="4"/>
  <c r="CG1176" i="4"/>
  <c r="BZ1221" i="4"/>
  <c r="BJ1194" i="4"/>
  <c r="BJ1195" i="4" s="1"/>
  <c r="BY1195" i="4"/>
  <c r="BZ1194" i="4"/>
  <c r="BZ1195" i="4" s="1"/>
  <c r="BQ1195" i="4"/>
  <c r="CZ1234" i="4"/>
  <c r="CV1258" i="4"/>
  <c r="CV1260" i="4" s="1"/>
  <c r="CX1254" i="4"/>
  <c r="BE1316" i="4"/>
  <c r="BN1317" i="4"/>
  <c r="BZ1398" i="4"/>
  <c r="CL1195" i="4"/>
  <c r="BL1267" i="4"/>
  <c r="CV1267" i="4"/>
  <c r="BT1231" i="4"/>
  <c r="CZ1231" i="4"/>
  <c r="BY1234" i="4"/>
  <c r="BY1236" i="4" s="1"/>
  <c r="BI1234" i="4"/>
  <c r="BI1236" i="4" s="1"/>
  <c r="BM1248" i="4"/>
  <c r="CC1244" i="4"/>
  <c r="CD1244" i="4" s="1"/>
  <c r="CS1244" i="4"/>
  <c r="CT1244" i="4" s="1"/>
  <c r="BJ1282" i="4"/>
  <c r="CD1282" i="4"/>
  <c r="CT1282" i="4"/>
  <c r="BY1292" i="4"/>
  <c r="BZ1292" i="4" s="1"/>
  <c r="BZ1293" i="4" s="1"/>
  <c r="BQ1344" i="4"/>
  <c r="BQ1345" i="4" s="1"/>
  <c r="CW1369" i="4"/>
  <c r="CW1368" i="4"/>
  <c r="BT1176" i="4"/>
  <c r="CG1263" i="4"/>
  <c r="BF1194" i="4"/>
  <c r="BF1195" i="4" s="1"/>
  <c r="BM1267" i="4"/>
  <c r="CV1214" i="4"/>
  <c r="CX1233" i="4"/>
  <c r="BL1234" i="4"/>
  <c r="CD1249" i="4"/>
  <c r="CD1251" i="4" s="1"/>
  <c r="CC1251" i="4"/>
  <c r="BN1282" i="4"/>
  <c r="DF1276" i="4"/>
  <c r="CT1293" i="4"/>
  <c r="CP1293" i="4"/>
  <c r="BL1294" i="4"/>
  <c r="BM1294" i="4" s="1"/>
  <c r="BP1294" i="4" s="1"/>
  <c r="BQ1294" i="4" s="1"/>
  <c r="BR1294" i="4" s="1"/>
  <c r="CD1247" i="4"/>
  <c r="CR38" i="3"/>
  <c r="CP1315" i="4"/>
  <c r="CF1316" i="4"/>
  <c r="DA1316" i="4"/>
  <c r="CF1329" i="4"/>
  <c r="CF1338" i="4" s="1"/>
  <c r="CV1345" i="4"/>
  <c r="CR1369" i="4"/>
  <c r="CR1365" i="4"/>
  <c r="CG1368" i="4"/>
  <c r="N127" i="9"/>
  <c r="N132" i="9" s="1"/>
  <c r="AI140" i="9"/>
  <c r="U22" i="9"/>
  <c r="CG1214" i="4"/>
  <c r="BI1231" i="4"/>
  <c r="BI1248" i="4"/>
  <c r="BQ1239" i="4"/>
  <c r="BL1293" i="4"/>
  <c r="BL1295" i="4" s="1"/>
  <c r="CB1292" i="4"/>
  <c r="BV1398" i="4"/>
  <c r="CD1398" i="4"/>
  <c r="AG140" i="9"/>
  <c r="CF1258" i="4"/>
  <c r="CF1260" i="4" s="1"/>
  <c r="CH1254" i="4"/>
  <c r="CH906" i="4"/>
  <c r="CH12" i="4"/>
  <c r="BH609" i="4"/>
  <c r="H8" i="3"/>
  <c r="BY609" i="4"/>
  <c r="Y8" i="3"/>
  <c r="CS609" i="4"/>
  <c r="CS608" i="4" s="1"/>
  <c r="AS8" i="3"/>
  <c r="DN21" i="4"/>
  <c r="Q13" i="3"/>
  <c r="AI52" i="12"/>
  <c r="AJ27" i="9"/>
  <c r="AX38" i="3"/>
  <c r="AX17" i="3"/>
  <c r="AD54" i="12"/>
  <c r="P31" i="9"/>
  <c r="P133" i="9" s="1"/>
  <c r="AD19" i="3"/>
  <c r="CD59" i="4"/>
  <c r="BJ912" i="4"/>
  <c r="Y55" i="12"/>
  <c r="J20" i="3"/>
  <c r="L33" i="9"/>
  <c r="AC55" i="12"/>
  <c r="Z20" i="3"/>
  <c r="BD20" i="3"/>
  <c r="BD22" i="3"/>
  <c r="BZ67" i="4"/>
  <c r="CL77" i="4"/>
  <c r="BZ554" i="4"/>
  <c r="BR153" i="4"/>
  <c r="CO153" i="4"/>
  <c r="CR157" i="4" s="1"/>
  <c r="CR162" i="4" s="1"/>
  <c r="CO155" i="4"/>
  <c r="CF70" i="3"/>
  <c r="DB276" i="4"/>
  <c r="DP68" i="3"/>
  <c r="DB265" i="4"/>
  <c r="CI66" i="3"/>
  <c r="CX266" i="4"/>
  <c r="U50" i="3"/>
  <c r="CF514" i="4"/>
  <c r="CQ607" i="4"/>
  <c r="BL617" i="4"/>
  <c r="CJ640" i="4"/>
  <c r="CJ654" i="4" s="1"/>
  <c r="BL618" i="4"/>
  <c r="CH646" i="4"/>
  <c r="CM637" i="4"/>
  <c r="BJ683" i="4"/>
  <c r="BJ669" i="4"/>
  <c r="BJ671" i="4" s="1"/>
  <c r="Y48" i="12" s="1"/>
  <c r="CJ690" i="4"/>
  <c r="CJ681" i="4"/>
  <c r="CC793" i="4"/>
  <c r="CX779" i="4"/>
  <c r="CX771" i="4"/>
  <c r="DJ886" i="4"/>
  <c r="BJ982" i="4"/>
  <c r="BL980" i="4" s="1"/>
  <c r="CP982" i="4"/>
  <c r="CR980" i="4" s="1"/>
  <c r="CT980" i="4" s="1"/>
  <c r="BJ987" i="4"/>
  <c r="BL985" i="4" s="1"/>
  <c r="BN985" i="4" s="1"/>
  <c r="BH399" i="4"/>
  <c r="BN993" i="4"/>
  <c r="BL998" i="4"/>
  <c r="BL1107" i="4" s="1"/>
  <c r="CQ1031" i="4"/>
  <c r="CZ14" i="3"/>
  <c r="CZ1211" i="4"/>
  <c r="DB1208" i="4"/>
  <c r="DA1214" i="4"/>
  <c r="BL1231" i="4"/>
  <c r="CS1225" i="4"/>
  <c r="CS1226" i="4" s="1"/>
  <c r="CR1231" i="4"/>
  <c r="BY1242" i="4"/>
  <c r="BY1244" i="4" s="1"/>
  <c r="BZ1244" i="4" s="1"/>
  <c r="CG1239" i="4"/>
  <c r="CG1242" i="4"/>
  <c r="CG1244" i="4" s="1"/>
  <c r="CH1244" i="4" s="1"/>
  <c r="CW1239" i="4"/>
  <c r="CW1242" i="4"/>
  <c r="CW1244" i="4" s="1"/>
  <c r="CX1244" i="4" s="1"/>
  <c r="BX1258" i="4"/>
  <c r="BX1260" i="4" s="1"/>
  <c r="BZ1254" i="4"/>
  <c r="DI1277" i="4"/>
  <c r="DL1277" i="4" s="1"/>
  <c r="DM1277" i="4" s="1"/>
  <c r="DF1277" i="4"/>
  <c r="CL1160" i="4"/>
  <c r="CX1315" i="4"/>
  <c r="CV1350" i="4"/>
  <c r="P15" i="9"/>
  <c r="P115" i="9" s="1"/>
  <c r="AD6" i="3"/>
  <c r="AD58" i="3" s="1"/>
  <c r="CD47" i="4"/>
  <c r="CK609" i="4"/>
  <c r="CK608" i="4" s="1"/>
  <c r="AK8" i="3"/>
  <c r="CS778" i="4"/>
  <c r="CT778" i="4" s="1"/>
  <c r="AA52" i="12"/>
  <c r="D27" i="9"/>
  <c r="R17" i="3"/>
  <c r="BR59" i="4"/>
  <c r="AA54" i="12"/>
  <c r="D31" i="9"/>
  <c r="D75" i="9" s="1"/>
  <c r="R19" i="3"/>
  <c r="BM919" i="4"/>
  <c r="M24" i="3"/>
  <c r="BN39" i="4"/>
  <c r="DB77" i="4"/>
  <c r="Y76" i="3"/>
  <c r="CB170" i="4"/>
  <c r="BP853" i="4"/>
  <c r="BR244" i="4"/>
  <c r="BP243" i="4"/>
  <c r="BV276" i="4"/>
  <c r="CJ68" i="3"/>
  <c r="BV265" i="4"/>
  <c r="BJ348" i="4"/>
  <c r="CP348" i="4"/>
  <c r="CL364" i="4"/>
  <c r="BP366" i="4"/>
  <c r="BP369" i="4" s="1"/>
  <c r="BQ374" i="4"/>
  <c r="CG1220" i="4"/>
  <c r="CG1222" i="4" s="1"/>
  <c r="CG422" i="4"/>
  <c r="CO1220" i="4"/>
  <c r="CO1222" i="4" s="1"/>
  <c r="CO422" i="4"/>
  <c r="BY425" i="4"/>
  <c r="BI566" i="4"/>
  <c r="BI511" i="4"/>
  <c r="I50" i="3"/>
  <c r="I81" i="3" s="1"/>
  <c r="BI490" i="4"/>
  <c r="BI512" i="4" s="1"/>
  <c r="BN566" i="4"/>
  <c r="N50" i="3"/>
  <c r="BN490" i="4"/>
  <c r="BN509" i="4"/>
  <c r="BN511" i="4"/>
  <c r="AB50" i="3"/>
  <c r="CB509" i="4"/>
  <c r="CB490" i="4"/>
  <c r="CB1407" i="4" s="1"/>
  <c r="BT640" i="4"/>
  <c r="BT639" i="4" s="1"/>
  <c r="CR640" i="4"/>
  <c r="CS644" i="4" s="1"/>
  <c r="DA663" i="4"/>
  <c r="DA662" i="4" s="1"/>
  <c r="DI628" i="4"/>
  <c r="DB628" i="4"/>
  <c r="BI690" i="4"/>
  <c r="BI681" i="4"/>
  <c r="DA793" i="4"/>
  <c r="CU806" i="4"/>
  <c r="BR771" i="4"/>
  <c r="DN771" i="4"/>
  <c r="BN781" i="4"/>
  <c r="DB88" i="4"/>
  <c r="DB782" i="4"/>
  <c r="BZ982" i="4"/>
  <c r="CB980" i="4" s="1"/>
  <c r="BZ987" i="4"/>
  <c r="CB985" i="4" s="1"/>
  <c r="CD985" i="4" s="1"/>
  <c r="BN1136" i="4"/>
  <c r="BL1136" i="4"/>
  <c r="AZ15" i="3"/>
  <c r="CZ55" i="4"/>
  <c r="AO22" i="3"/>
  <c r="AA36" i="9"/>
  <c r="AA38" i="9" s="1"/>
  <c r="CF919" i="4"/>
  <c r="AF24" i="3"/>
  <c r="CO919" i="4"/>
  <c r="AO24" i="3"/>
  <c r="CW919" i="4"/>
  <c r="AW24" i="3"/>
  <c r="BR67" i="4"/>
  <c r="AO26" i="3"/>
  <c r="BT184" i="4"/>
  <c r="BT1355" i="4" s="1"/>
  <c r="CB184" i="4"/>
  <c r="CB1355" i="4" s="1"/>
  <c r="CJ184" i="4"/>
  <c r="CJ1355" i="4" s="1"/>
  <c r="CJ1333" i="4" s="1"/>
  <c r="CZ184" i="4"/>
  <c r="CZ238" i="4" s="1"/>
  <c r="CZ136" i="4"/>
  <c r="CZ135" i="4" s="1"/>
  <c r="N75" i="3"/>
  <c r="CN138" i="4"/>
  <c r="CS138" i="4"/>
  <c r="CT133" i="4"/>
  <c r="CU133" i="4" s="1"/>
  <c r="CR136" i="4"/>
  <c r="CR135" i="4" s="1"/>
  <c r="BU175" i="4"/>
  <c r="BH1346" i="4"/>
  <c r="BH1347" i="4" s="1"/>
  <c r="H44" i="3"/>
  <c r="H72" i="3" s="1"/>
  <c r="P44" i="3"/>
  <c r="X44" i="3"/>
  <c r="AF44" i="3"/>
  <c r="AN44" i="3"/>
  <c r="AV44" i="3"/>
  <c r="BE184" i="4"/>
  <c r="BE1355" i="4" s="1"/>
  <c r="BF1355" i="4" s="1"/>
  <c r="BT191" i="4"/>
  <c r="CJ191" i="4"/>
  <c r="CR191" i="4"/>
  <c r="BN517" i="4"/>
  <c r="BP518" i="4" s="1"/>
  <c r="BP519" i="4" s="1"/>
  <c r="CD517" i="4"/>
  <c r="CF518" i="4" s="1"/>
  <c r="CF519" i="4" s="1"/>
  <c r="CT517" i="4"/>
  <c r="CV518" i="4" s="1"/>
  <c r="CV519" i="4" s="1"/>
  <c r="CA198" i="4"/>
  <c r="BU203" i="4"/>
  <c r="BV201" i="4"/>
  <c r="CA201" i="4" s="1"/>
  <c r="BZ257" i="4"/>
  <c r="BZ274" i="4" s="1"/>
  <c r="CD261" i="4"/>
  <c r="CL261" i="4"/>
  <c r="BN266" i="4"/>
  <c r="BP285" i="4"/>
  <c r="BP286" i="4" s="1"/>
  <c r="CD69" i="3"/>
  <c r="BX285" i="4"/>
  <c r="BX286" i="4" s="1"/>
  <c r="CL69" i="3"/>
  <c r="CK285" i="4"/>
  <c r="CK286" i="4" s="1"/>
  <c r="CY69" i="3"/>
  <c r="CS285" i="4"/>
  <c r="CS286" i="4" s="1"/>
  <c r="DG69" i="3"/>
  <c r="BR364" i="4"/>
  <c r="BJ367" i="4"/>
  <c r="BZ367" i="4"/>
  <c r="BZ368" i="4" s="1"/>
  <c r="CP367" i="4"/>
  <c r="CU300" i="4"/>
  <c r="BT323" i="4"/>
  <c r="BR348" i="4"/>
  <c r="CH348" i="4"/>
  <c r="CX348" i="4"/>
  <c r="BI476" i="4"/>
  <c r="BQ476" i="4"/>
  <c r="BQ371" i="4"/>
  <c r="BY476" i="4"/>
  <c r="CG476" i="4"/>
  <c r="CG371" i="4"/>
  <c r="CO476" i="4"/>
  <c r="CW476" i="4"/>
  <c r="CW371" i="4"/>
  <c r="BY478" i="4"/>
  <c r="BI373" i="4"/>
  <c r="BT373" i="4"/>
  <c r="BY373" i="4"/>
  <c r="CJ373" i="4"/>
  <c r="CO373" i="4"/>
  <c r="CZ373" i="4"/>
  <c r="BJ365" i="4"/>
  <c r="CD1009" i="4"/>
  <c r="CE385" i="4"/>
  <c r="CP1364" i="4"/>
  <c r="CP1369" i="4" s="1"/>
  <c r="AP43" i="3"/>
  <c r="AG15" i="12"/>
  <c r="CZ401" i="4"/>
  <c r="CZ1400" i="4" s="1"/>
  <c r="CA486" i="4"/>
  <c r="H10" i="9"/>
  <c r="H110" i="9" s="1"/>
  <c r="BV525" i="4"/>
  <c r="BW486" i="4"/>
  <c r="CN509" i="4"/>
  <c r="AN50" i="3"/>
  <c r="CN566" i="4"/>
  <c r="BI509" i="4"/>
  <c r="CF593" i="4"/>
  <c r="CH561" i="4"/>
  <c r="CG614" i="4"/>
  <c r="CH607" i="4"/>
  <c r="CM607" i="4" s="1"/>
  <c r="CQ638" i="4"/>
  <c r="DB653" i="4"/>
  <c r="CS733" i="4"/>
  <c r="CS736" i="4" s="1"/>
  <c r="CS737" i="4"/>
  <c r="BI675" i="4"/>
  <c r="BI671" i="4"/>
  <c r="BI677" i="4" s="1"/>
  <c r="CG681" i="4"/>
  <c r="BZ699" i="4"/>
  <c r="BI793" i="4"/>
  <c r="BJ776" i="4"/>
  <c r="BQ810" i="4"/>
  <c r="CD778" i="4"/>
  <c r="DA810" i="4"/>
  <c r="DD816" i="4" s="1"/>
  <c r="BO806" i="4"/>
  <c r="CV829" i="4"/>
  <c r="CD848" i="4"/>
  <c r="CC86" i="4"/>
  <c r="CC1043" i="4" s="1"/>
  <c r="CT86" i="4"/>
  <c r="CX886" i="4"/>
  <c r="CF895" i="4"/>
  <c r="CN895" i="4"/>
  <c r="BZ921" i="4"/>
  <c r="CO1181" i="4"/>
  <c r="CO1185" i="4" s="1"/>
  <c r="CO947" i="4"/>
  <c r="CR506" i="4"/>
  <c r="AO47" i="3"/>
  <c r="DC49" i="3" s="1"/>
  <c r="CW1181" i="4"/>
  <c r="CW1185" i="4" s="1"/>
  <c r="AW47" i="3"/>
  <c r="CZ506" i="4"/>
  <c r="BX399" i="4"/>
  <c r="CL952" i="4"/>
  <c r="AJ85" i="12"/>
  <c r="BX14" i="3"/>
  <c r="BX17" i="3" s="1"/>
  <c r="CN14" i="3"/>
  <c r="CB1036" i="4"/>
  <c r="CJ1036" i="4"/>
  <c r="CX1034" i="4"/>
  <c r="CG952" i="4"/>
  <c r="CH952" i="4" s="1"/>
  <c r="CN1082" i="4"/>
  <c r="CO952" i="4"/>
  <c r="CP952" i="4" s="1"/>
  <c r="CZ1083" i="4"/>
  <c r="DA995" i="4"/>
  <c r="DA996" i="4" s="1"/>
  <c r="DA998" i="4" s="1"/>
  <c r="BJ1135" i="4"/>
  <c r="BZ1137" i="4"/>
  <c r="CP1137" i="4"/>
  <c r="CB1176" i="4"/>
  <c r="BN1212" i="4"/>
  <c r="BN1214" i="4" s="1"/>
  <c r="CD1212" i="4"/>
  <c r="CP1212" i="4"/>
  <c r="BV1221" i="4"/>
  <c r="CX1221" i="4"/>
  <c r="BQ1242" i="4"/>
  <c r="BQ1246" i="4" s="1"/>
  <c r="BQ1248" i="4" s="1"/>
  <c r="DI1275" i="4"/>
  <c r="DL1275" i="4" s="1"/>
  <c r="DM1275" i="4" s="1"/>
  <c r="DH38" i="3"/>
  <c r="CU1305" i="4"/>
  <c r="CK1316" i="4"/>
  <c r="CL1315" i="4"/>
  <c r="BP1316" i="4"/>
  <c r="BP1321" i="4"/>
  <c r="BP1361" i="4" s="1"/>
  <c r="CC1321" i="4"/>
  <c r="CC1322" i="4" s="1"/>
  <c r="CD1317" i="4"/>
  <c r="CC1316" i="4"/>
  <c r="DA1338" i="4"/>
  <c r="DB1338" i="4" s="1"/>
  <c r="DB1341" i="4" s="1"/>
  <c r="BR1329" i="4"/>
  <c r="CX1329" i="4"/>
  <c r="AO6" i="3"/>
  <c r="CO12" i="4"/>
  <c r="I13" i="3"/>
  <c r="I60" i="3" s="1"/>
  <c r="BY777" i="4"/>
  <c r="BZ777" i="4" s="1"/>
  <c r="AE52" i="12"/>
  <c r="T27" i="9"/>
  <c r="AH38" i="3"/>
  <c r="AH17" i="3"/>
  <c r="CN59" i="4"/>
  <c r="AN19" i="3"/>
  <c r="CP912" i="4"/>
  <c r="AB33" i="9"/>
  <c r="AB77" i="9" s="1"/>
  <c r="AG55" i="12"/>
  <c r="AP20" i="3"/>
  <c r="BV553" i="4"/>
  <c r="BV555" i="4" s="1"/>
  <c r="BV77" i="4"/>
  <c r="AV26" i="3"/>
  <c r="CM124" i="4"/>
  <c r="AL75" i="3"/>
  <c r="CQ124" i="4"/>
  <c r="CG153" i="4"/>
  <c r="CJ157" i="4" s="1"/>
  <c r="CG155" i="4"/>
  <c r="CW153" i="4"/>
  <c r="CZ157" i="4" s="1"/>
  <c r="CZ162" i="4" s="1"/>
  <c r="CW155" i="4"/>
  <c r="CX155" i="4" s="1"/>
  <c r="CJ170" i="4"/>
  <c r="CH284" i="4"/>
  <c r="CI198" i="4"/>
  <c r="CX261" i="4"/>
  <c r="CL276" i="4"/>
  <c r="CZ68" i="3"/>
  <c r="CL265" i="4"/>
  <c r="CL865" i="4" s="1"/>
  <c r="CA66" i="3"/>
  <c r="CZ285" i="4"/>
  <c r="CZ286" i="4" s="1"/>
  <c r="DN69" i="3"/>
  <c r="BV361" i="4"/>
  <c r="CQ297" i="4"/>
  <c r="CU297" i="4"/>
  <c r="BZ348" i="4"/>
  <c r="CP365" i="4"/>
  <c r="CW1220" i="4"/>
  <c r="CW1222" i="4" s="1"/>
  <c r="CW422" i="4"/>
  <c r="AW50" i="3"/>
  <c r="CB511" i="4"/>
  <c r="CB640" i="4"/>
  <c r="CZ640" i="4"/>
  <c r="DD648" i="4" s="1"/>
  <c r="CS793" i="4"/>
  <c r="BT829" i="4"/>
  <c r="BT825" i="4" s="1"/>
  <c r="CH806" i="4"/>
  <c r="CH771" i="4"/>
  <c r="CD842" i="4"/>
  <c r="CT781" i="4"/>
  <c r="CL782" i="4"/>
  <c r="CL88" i="4"/>
  <c r="CP987" i="4"/>
  <c r="CR985" i="4" s="1"/>
  <c r="CT985" i="4" s="1"/>
  <c r="CO1242" i="4"/>
  <c r="CO1244" i="4" s="1"/>
  <c r="CP1244" i="4" s="1"/>
  <c r="Q15" i="3"/>
  <c r="AC15" i="3"/>
  <c r="V36" i="9"/>
  <c r="AJ22" i="3"/>
  <c r="BI22" i="3"/>
  <c r="BZ919" i="4"/>
  <c r="Z24" i="3"/>
  <c r="BY39" i="4"/>
  <c r="CL81" i="3"/>
  <c r="CT87" i="4"/>
  <c r="DJ87" i="4"/>
  <c r="BM90" i="4"/>
  <c r="CT85" i="4"/>
  <c r="DM89" i="4"/>
  <c r="DN85" i="4"/>
  <c r="BN183" i="4"/>
  <c r="CW131" i="4"/>
  <c r="BT149" i="4"/>
  <c r="CB149" i="4"/>
  <c r="CJ149" i="4"/>
  <c r="CR149" i="4"/>
  <c r="CZ149" i="4"/>
  <c r="BV166" i="4"/>
  <c r="CL166" i="4"/>
  <c r="DB166" i="4"/>
  <c r="CZ203" i="4"/>
  <c r="BO202" i="4"/>
  <c r="CJ853" i="4"/>
  <c r="CR853" i="4"/>
  <c r="BQ243" i="4"/>
  <c r="BY243" i="4"/>
  <c r="CG243" i="4"/>
  <c r="CG262" i="4" s="1"/>
  <c r="CG259" i="4" s="1"/>
  <c r="CO243" i="4"/>
  <c r="CW243" i="4"/>
  <c r="CW262" i="4" s="1"/>
  <c r="CW259" i="4" s="1"/>
  <c r="BJ257" i="4"/>
  <c r="BJ274" i="4" s="1"/>
  <c r="CP274" i="4"/>
  <c r="BV261" i="4"/>
  <c r="DC66" i="3"/>
  <c r="DK66" i="3"/>
  <c r="CB273" i="4"/>
  <c r="CP73" i="3" s="1"/>
  <c r="BI285" i="4"/>
  <c r="BI286" i="4" s="1"/>
  <c r="BW69" i="3"/>
  <c r="CL360" i="4"/>
  <c r="CM293" i="4"/>
  <c r="CT361" i="4"/>
  <c r="CU294" i="4"/>
  <c r="BI308" i="4"/>
  <c r="BQ308" i="4"/>
  <c r="BY308" i="4"/>
  <c r="CG308" i="4"/>
  <c r="CO308" i="4"/>
  <c r="CW308" i="4"/>
  <c r="BR361" i="4"/>
  <c r="CH361" i="4"/>
  <c r="CX361" i="4"/>
  <c r="BL323" i="4"/>
  <c r="CB323" i="4"/>
  <c r="CJ323" i="4"/>
  <c r="CR323" i="4"/>
  <c r="CZ323" i="4"/>
  <c r="CJ368" i="4"/>
  <c r="CJ389" i="4"/>
  <c r="CJ407" i="4" s="1"/>
  <c r="CK376" i="4"/>
  <c r="CR389" i="4"/>
  <c r="CR407" i="4" s="1"/>
  <c r="CR368" i="4"/>
  <c r="CX367" i="4"/>
  <c r="CD1364" i="4"/>
  <c r="CD1366" i="4" s="1"/>
  <c r="AD43" i="3"/>
  <c r="AD15" i="12"/>
  <c r="CI387" i="4"/>
  <c r="BZ1206" i="4"/>
  <c r="CP1206" i="4"/>
  <c r="DI418" i="4"/>
  <c r="DN428" i="4"/>
  <c r="CD439" i="4"/>
  <c r="CL439" i="4"/>
  <c r="CR439" i="4"/>
  <c r="CZ439" i="4"/>
  <c r="CJ566" i="4"/>
  <c r="AJ50" i="3"/>
  <c r="CJ509" i="4"/>
  <c r="CJ511" i="4"/>
  <c r="CL532" i="4"/>
  <c r="BX563" i="4"/>
  <c r="BX562" i="4" s="1"/>
  <c r="BN585" i="4"/>
  <c r="BW607" i="4"/>
  <c r="CB643" i="4"/>
  <c r="BY643" i="4"/>
  <c r="CN651" i="4"/>
  <c r="CN653" i="4" s="1"/>
  <c r="CO653" i="4"/>
  <c r="CS683" i="4"/>
  <c r="CS681" i="4" s="1"/>
  <c r="CT667" i="4"/>
  <c r="DI682" i="4"/>
  <c r="DL682" i="4" s="1"/>
  <c r="DM682" i="4" s="1"/>
  <c r="BP693" i="4"/>
  <c r="BT701" i="4"/>
  <c r="BY701" i="4"/>
  <c r="BU707" i="4"/>
  <c r="CL742" i="4"/>
  <c r="CJ741" i="4"/>
  <c r="CL741" i="4" s="1"/>
  <c r="CR741" i="4"/>
  <c r="CT741" i="4" s="1"/>
  <c r="CT742" i="4"/>
  <c r="DA801" i="4"/>
  <c r="DE803" i="4" s="1"/>
  <c r="DB777" i="4"/>
  <c r="DG777" i="4" s="1"/>
  <c r="CB801" i="4"/>
  <c r="BN785" i="4"/>
  <c r="CD87" i="4"/>
  <c r="CL87" i="4"/>
  <c r="DJ785" i="4"/>
  <c r="BR918" i="4"/>
  <c r="CH918" i="4"/>
  <c r="CX918" i="4"/>
  <c r="CJ922" i="4"/>
  <c r="CR922" i="4"/>
  <c r="CB1181" i="4"/>
  <c r="CB1185" i="4" s="1"/>
  <c r="AB47" i="3"/>
  <c r="CP49" i="3" s="1"/>
  <c r="CC506" i="4"/>
  <c r="CB506" i="4"/>
  <c r="CJ1181" i="4"/>
  <c r="CJ1185" i="4" s="1"/>
  <c r="AJ47" i="3"/>
  <c r="CX49" i="3" s="1"/>
  <c r="CJ947" i="4"/>
  <c r="CK506" i="4"/>
  <c r="CJ506" i="4"/>
  <c r="AB85" i="12"/>
  <c r="BM1203" i="4"/>
  <c r="BM1204" i="4" s="1"/>
  <c r="BP950" i="4"/>
  <c r="BU1203" i="4"/>
  <c r="BU1204" i="4" s="1"/>
  <c r="BX950" i="4"/>
  <c r="CC1203" i="4"/>
  <c r="CC1204" i="4" s="1"/>
  <c r="CF950" i="4"/>
  <c r="CK1203" i="4"/>
  <c r="CK1204" i="4" s="1"/>
  <c r="CN950" i="4"/>
  <c r="CN956" i="4" s="1"/>
  <c r="CS1203" i="4"/>
  <c r="CS1204" i="4" s="1"/>
  <c r="CV950" i="4"/>
  <c r="DA1203" i="4"/>
  <c r="DA1204" i="4" s="1"/>
  <c r="DI1204" i="4" s="1"/>
  <c r="DL1204" i="4" s="1"/>
  <c r="DM1204" i="4" s="1"/>
  <c r="DP1204" i="4" s="1"/>
  <c r="DQ1204" i="4" s="1"/>
  <c r="Y82" i="12"/>
  <c r="AG82" i="12"/>
  <c r="AG134" i="12" s="1"/>
  <c r="BZ968" i="4"/>
  <c r="BJ975" i="4"/>
  <c r="BI966" i="4"/>
  <c r="BJ966" i="4" s="1"/>
  <c r="BT966" i="4"/>
  <c r="BV966" i="4" s="1"/>
  <c r="BV975" i="4"/>
  <c r="DA976" i="4"/>
  <c r="BH1036" i="4"/>
  <c r="BN1034" i="4"/>
  <c r="BV1034" i="4"/>
  <c r="BT952" i="4"/>
  <c r="BZ1078" i="4"/>
  <c r="BV1136" i="4"/>
  <c r="BY1136" i="4"/>
  <c r="CD1136" i="4"/>
  <c r="CJ1136" i="4"/>
  <c r="CO1136" i="4"/>
  <c r="CT1136" i="4"/>
  <c r="CZ1136" i="4"/>
  <c r="CT1172" i="4"/>
  <c r="DB1184" i="4"/>
  <c r="CD1194" i="4"/>
  <c r="CD1195" i="4" s="1"/>
  <c r="CC1267" i="4"/>
  <c r="CL1283" i="4"/>
  <c r="CL1199" i="4"/>
  <c r="CZ44" i="3" s="1"/>
  <c r="BI1214" i="4"/>
  <c r="BL1208" i="4"/>
  <c r="BL1211" i="4" s="1"/>
  <c r="BQ1214" i="4"/>
  <c r="BT1208" i="4"/>
  <c r="BY1214" i="4"/>
  <c r="CB1208" i="4"/>
  <c r="CB1211" i="4" s="1"/>
  <c r="CO1214" i="4"/>
  <c r="CR1208" i="4"/>
  <c r="CR1211" i="4" s="1"/>
  <c r="CB1231" i="4"/>
  <c r="DB1282" i="4"/>
  <c r="CL1282" i="4"/>
  <c r="CV38" i="3"/>
  <c r="CI1305" i="4"/>
  <c r="CM1305" i="4"/>
  <c r="BH1322" i="4"/>
  <c r="CN1350" i="4"/>
  <c r="CH1351" i="4"/>
  <c r="BI1329" i="4"/>
  <c r="BI1344" i="4"/>
  <c r="BI1345" i="4" s="1"/>
  <c r="BJ1328" i="4"/>
  <c r="CV1338" i="4"/>
  <c r="CV1340" i="4" s="1"/>
  <c r="BP1368" i="4"/>
  <c r="BP1369" i="4"/>
  <c r="BP1366" i="4"/>
  <c r="CF1368" i="4"/>
  <c r="CF1365" i="4"/>
  <c r="CF1366" i="4"/>
  <c r="CF1369" i="4"/>
  <c r="CV1368" i="4"/>
  <c r="CV1369" i="4"/>
  <c r="CV1366" i="4"/>
  <c r="CG19" i="4"/>
  <c r="AG11" i="3"/>
  <c r="CP51" i="4"/>
  <c r="AZ13" i="3"/>
  <c r="BL777" i="4"/>
  <c r="BL801" i="4" s="1"/>
  <c r="BN27" i="4"/>
  <c r="CJ778" i="4"/>
  <c r="CJ810" i="4" s="1"/>
  <c r="CL28" i="4"/>
  <c r="BP90" i="4"/>
  <c r="BZ611" i="4"/>
  <c r="Z10" i="3"/>
  <c r="BY17" i="4"/>
  <c r="BY18" i="4" s="1"/>
  <c r="CL611" i="4"/>
  <c r="CL630" i="4" s="1"/>
  <c r="AL10" i="3"/>
  <c r="CW611" i="4"/>
  <c r="AW10" i="3"/>
  <c r="CW18" i="4"/>
  <c r="CW612" i="4" s="1"/>
  <c r="BJ23" i="4"/>
  <c r="BV50" i="4"/>
  <c r="BV23" i="4"/>
  <c r="CL50" i="4"/>
  <c r="DB50" i="4"/>
  <c r="DB23" i="4"/>
  <c r="DF53" i="4" s="1"/>
  <c r="CL23" i="4"/>
  <c r="AS13" i="3"/>
  <c r="CE28" i="4"/>
  <c r="CR19" i="4"/>
  <c r="CR25" i="4" s="1"/>
  <c r="AR11" i="3"/>
  <c r="CZ609" i="4"/>
  <c r="CZ608" i="4" s="1"/>
  <c r="AZ8" i="3"/>
  <c r="CD610" i="4"/>
  <c r="CD640" i="4" s="1"/>
  <c r="AD9" i="3"/>
  <c r="CT610" i="4"/>
  <c r="AT9" i="3"/>
  <c r="BN611" i="4"/>
  <c r="N10" i="3"/>
  <c r="BN52" i="4"/>
  <c r="BZ52" i="4"/>
  <c r="X13" i="3"/>
  <c r="CD23" i="4"/>
  <c r="BU776" i="4"/>
  <c r="BU793" i="4" s="1"/>
  <c r="BU29" i="4"/>
  <c r="BV29" i="4" s="1"/>
  <c r="CG776" i="4"/>
  <c r="CG793" i="4" s="1"/>
  <c r="BH778" i="4"/>
  <c r="BH810" i="4" s="1"/>
  <c r="BJ28" i="4"/>
  <c r="BY779" i="4"/>
  <c r="BZ779" i="4" s="1"/>
  <c r="CG779" i="4"/>
  <c r="CO779" i="4"/>
  <c r="CO838" i="4" s="1"/>
  <c r="CO30" i="4"/>
  <c r="DA779" i="4"/>
  <c r="DA30" i="4"/>
  <c r="DB29" i="4"/>
  <c r="DI912" i="4"/>
  <c r="BI20" i="3"/>
  <c r="BT919" i="4"/>
  <c r="T24" i="3"/>
  <c r="D40" i="9"/>
  <c r="D84" i="9" s="1"/>
  <c r="T40" i="9"/>
  <c r="T84" i="9" s="1"/>
  <c r="AJ40" i="9"/>
  <c r="AJ84" i="9" s="1"/>
  <c r="BQ55" i="4"/>
  <c r="BJ65" i="4"/>
  <c r="BW81" i="3"/>
  <c r="CE81" i="3"/>
  <c r="CX185" i="4"/>
  <c r="CX187" i="4" s="1"/>
  <c r="AX75" i="3"/>
  <c r="CY124" i="4"/>
  <c r="BN145" i="4"/>
  <c r="BM149" i="4"/>
  <c r="CO170" i="4"/>
  <c r="CO175" i="4"/>
  <c r="CK203" i="4"/>
  <c r="CL201" i="4"/>
  <c r="CM201" i="4" s="1"/>
  <c r="BU853" i="4"/>
  <c r="CH248" i="4"/>
  <c r="CH250" i="4" s="1"/>
  <c r="CR70" i="3"/>
  <c r="DH70" i="3"/>
  <c r="CP66" i="3"/>
  <c r="CX66" i="3"/>
  <c r="CJ267" i="4"/>
  <c r="CJ381" i="4" s="1"/>
  <c r="BU273" i="4"/>
  <c r="CI73" i="3" s="1"/>
  <c r="BV270" i="4"/>
  <c r="CL72" i="3"/>
  <c r="BJ360" i="4"/>
  <c r="CA293" i="4"/>
  <c r="CE293" i="4"/>
  <c r="CI294" i="4"/>
  <c r="CH310" i="4"/>
  <c r="CM294" i="4"/>
  <c r="DC297" i="4"/>
  <c r="BP356" i="4"/>
  <c r="BX356" i="4"/>
  <c r="CF356" i="4"/>
  <c r="CN356" i="4"/>
  <c r="CV356" i="4"/>
  <c r="CV472" i="4"/>
  <c r="BM368" i="4"/>
  <c r="BU389" i="4"/>
  <c r="CC368" i="4"/>
  <c r="BH391" i="4"/>
  <c r="BP391" i="4"/>
  <c r="BP469" i="4" s="1"/>
  <c r="BX391" i="4"/>
  <c r="CF391" i="4"/>
  <c r="CF469" i="4" s="1"/>
  <c r="CN391" i="4"/>
  <c r="CV391" i="4"/>
  <c r="CL1009" i="4"/>
  <c r="DB1009" i="4"/>
  <c r="AJ89" i="12" s="1"/>
  <c r="BJ466" i="4"/>
  <c r="CP466" i="4"/>
  <c r="BZ467" i="4"/>
  <c r="BY893" i="4"/>
  <c r="DI419" i="4"/>
  <c r="CT427" i="4"/>
  <c r="DA425" i="4"/>
  <c r="CS435" i="4"/>
  <c r="CS438" i="4"/>
  <c r="CF511" i="4"/>
  <c r="AF50" i="3"/>
  <c r="CF566" i="4"/>
  <c r="BJ538" i="4"/>
  <c r="BJ535" i="4"/>
  <c r="BI536" i="4"/>
  <c r="BI537" i="4" s="1"/>
  <c r="BM562" i="4"/>
  <c r="BZ564" i="4"/>
  <c r="BX683" i="4"/>
  <c r="BX681" i="4" s="1"/>
  <c r="BZ667" i="4"/>
  <c r="DN22" i="4"/>
  <c r="CS739" i="4"/>
  <c r="CS740" i="4" s="1"/>
  <c r="BH754" i="4"/>
  <c r="BI745" i="4"/>
  <c r="BI748" i="4" s="1"/>
  <c r="BI754" i="4" s="1"/>
  <c r="CK763" i="4"/>
  <c r="CJ763" i="4"/>
  <c r="CK764" i="4"/>
  <c r="CD785" i="4"/>
  <c r="CV801" i="4"/>
  <c r="CZ803" i="4" s="1"/>
  <c r="CX777" i="4"/>
  <c r="BM807" i="4"/>
  <c r="CX796" i="4"/>
  <c r="CR803" i="4"/>
  <c r="DC806" i="4"/>
  <c r="CF813" i="4"/>
  <c r="BQ860" i="4"/>
  <c r="BQ862" i="4" s="1"/>
  <c r="BT858" i="4"/>
  <c r="CT858" i="4"/>
  <c r="CR860" i="4"/>
  <c r="CR862" i="4" s="1"/>
  <c r="CZ860" i="4"/>
  <c r="CZ862" i="4" s="1"/>
  <c r="DB858" i="4"/>
  <c r="DB921" i="4"/>
  <c r="CH37" i="4"/>
  <c r="CT37" i="4"/>
  <c r="BE22" i="3"/>
  <c r="DN937" i="4"/>
  <c r="DM37" i="4"/>
  <c r="BV944" i="4"/>
  <c r="BV1008" i="4" s="1"/>
  <c r="CL944" i="4"/>
  <c r="CL947" i="4" s="1"/>
  <c r="DB944" i="4"/>
  <c r="DB947" i="4" s="1"/>
  <c r="BV977" i="4"/>
  <c r="CL977" i="4"/>
  <c r="DB977" i="4"/>
  <c r="BM1181" i="4"/>
  <c r="BM1185" i="4" s="1"/>
  <c r="M47" i="3"/>
  <c r="CA49" i="3" s="1"/>
  <c r="BP506" i="4"/>
  <c r="BM947" i="4"/>
  <c r="BM506" i="4"/>
  <c r="BU947" i="4"/>
  <c r="U47" i="3"/>
  <c r="CI49" i="3" s="1"/>
  <c r="BU506" i="4"/>
  <c r="CN1006" i="4"/>
  <c r="CN1017" i="4" s="1"/>
  <c r="CN1020" i="4" s="1"/>
  <c r="CN1021" i="4" s="1"/>
  <c r="CN399" i="4"/>
  <c r="CV51" i="3"/>
  <c r="DL51" i="3"/>
  <c r="CD952" i="4"/>
  <c r="DB952" i="4"/>
  <c r="DN50" i="3"/>
  <c r="BZ955" i="4"/>
  <c r="BY981" i="4"/>
  <c r="CO986" i="4"/>
  <c r="CX1033" i="4"/>
  <c r="DL14" i="3"/>
  <c r="DL17" i="3" s="1"/>
  <c r="CY1031" i="4"/>
  <c r="H33" i="3"/>
  <c r="BP1049" i="4"/>
  <c r="P33" i="3"/>
  <c r="X33" i="3"/>
  <c r="CF1049" i="4"/>
  <c r="AF33" i="3"/>
  <c r="CL1046" i="4"/>
  <c r="CL1047" i="4" s="1"/>
  <c r="CS1049" i="4"/>
  <c r="AS33" i="3"/>
  <c r="DA1049" i="4"/>
  <c r="BA33" i="3"/>
  <c r="CK953" i="4"/>
  <c r="BR1136" i="4"/>
  <c r="T42" i="9"/>
  <c r="T86" i="9" s="1"/>
  <c r="D42" i="9"/>
  <c r="D144" i="9" s="1"/>
  <c r="BJ1217" i="4"/>
  <c r="BJ1218" i="4" s="1"/>
  <c r="BZ1217" i="4"/>
  <c r="BZ1218" i="4" s="1"/>
  <c r="CL1217" i="4"/>
  <c r="CL1218" i="4" s="1"/>
  <c r="DB1217" i="4"/>
  <c r="DB1218" i="4" s="1"/>
  <c r="BR1259" i="4"/>
  <c r="CH1259" i="4"/>
  <c r="CT1259" i="4"/>
  <c r="BR1233" i="4"/>
  <c r="CH1233" i="4"/>
  <c r="CT1233" i="4"/>
  <c r="CJ1211" i="4"/>
  <c r="CL1208" i="4"/>
  <c r="DA1211" i="4"/>
  <c r="DF1279" i="4"/>
  <c r="DI1279" i="4"/>
  <c r="DL1279" i="4" s="1"/>
  <c r="DM1279" i="4" s="1"/>
  <c r="BX38" i="3"/>
  <c r="CG1352" i="4"/>
  <c r="CH1323" i="4"/>
  <c r="CN1338" i="4"/>
  <c r="CN1337" i="4" s="1"/>
  <c r="CN1342" i="4" s="1"/>
  <c r="CK1338" i="4"/>
  <c r="CK1337" i="4" s="1"/>
  <c r="CN1352" i="4"/>
  <c r="BI1366" i="4"/>
  <c r="BI1368" i="4"/>
  <c r="BJ1364" i="4"/>
  <c r="BZ12" i="4"/>
  <c r="BV12" i="4"/>
  <c r="DB12" i="4"/>
  <c r="CH47" i="4"/>
  <c r="AH6" i="3"/>
  <c r="AL58" i="3" s="1"/>
  <c r="AF15" i="9"/>
  <c r="AT6" i="3"/>
  <c r="BI609" i="4"/>
  <c r="BP609" i="4"/>
  <c r="P8" i="3"/>
  <c r="BZ609" i="4"/>
  <c r="Z8" i="3"/>
  <c r="CF609" i="4"/>
  <c r="AF8" i="3"/>
  <c r="CN609" i="4"/>
  <c r="AN8" i="3"/>
  <c r="CT15" i="4"/>
  <c r="DA609" i="4"/>
  <c r="BA8" i="3"/>
  <c r="BR610" i="4"/>
  <c r="CH610" i="4"/>
  <c r="CH640" i="4" s="1"/>
  <c r="CX610" i="4"/>
  <c r="CX640" i="4" s="1"/>
  <c r="CX655" i="4" s="1"/>
  <c r="CB611" i="4"/>
  <c r="CB630" i="4" s="1"/>
  <c r="CB629" i="4" s="1"/>
  <c r="CP611" i="4"/>
  <c r="CP630" i="4" s="1"/>
  <c r="AP10" i="3"/>
  <c r="DB611" i="4"/>
  <c r="DG611" i="4" s="1"/>
  <c r="BN50" i="4"/>
  <c r="BZ23" i="4"/>
  <c r="CP23" i="4"/>
  <c r="BV51" i="4"/>
  <c r="CF668" i="4"/>
  <c r="CF674" i="4" s="1"/>
  <c r="CD52" i="4"/>
  <c r="L13" i="3"/>
  <c r="BY53" i="4"/>
  <c r="CG23" i="4"/>
  <c r="CG24" i="4" s="1"/>
  <c r="AN13" i="3"/>
  <c r="BA13" i="3"/>
  <c r="BY776" i="4"/>
  <c r="BZ776" i="4" s="1"/>
  <c r="BH777" i="4"/>
  <c r="CE27" i="4"/>
  <c r="CJ777" i="4"/>
  <c r="CJ801" i="4" s="1"/>
  <c r="BI778" i="4"/>
  <c r="BS28" i="4"/>
  <c r="CF778" i="4"/>
  <c r="CF810" i="4" s="1"/>
  <c r="CK778" i="4"/>
  <c r="CJ779" i="4"/>
  <c r="CJ829" i="4" s="1"/>
  <c r="CR779" i="4"/>
  <c r="X15" i="3"/>
  <c r="AB63" i="3" s="1"/>
  <c r="AB52" i="12"/>
  <c r="AL38" i="3"/>
  <c r="AL17" i="3"/>
  <c r="X27" i="9"/>
  <c r="BB38" i="3"/>
  <c r="AN27" i="9"/>
  <c r="BB17" i="3"/>
  <c r="AJ52" i="12"/>
  <c r="BX59" i="4"/>
  <c r="T19" i="3"/>
  <c r="AE54" i="12"/>
  <c r="T31" i="9"/>
  <c r="AH19" i="3"/>
  <c r="AH54" i="12"/>
  <c r="AF31" i="9"/>
  <c r="AF75" i="9" s="1"/>
  <c r="AT19" i="3"/>
  <c r="BN912" i="4"/>
  <c r="Z55" i="12"/>
  <c r="N20" i="3"/>
  <c r="CD912" i="4"/>
  <c r="AD55" i="12"/>
  <c r="P33" i="9"/>
  <c r="CT912" i="4"/>
  <c r="AH55" i="12"/>
  <c r="AT20" i="3"/>
  <c r="AF33" i="9"/>
  <c r="BE20" i="3"/>
  <c r="DL912" i="4"/>
  <c r="BL20" i="3"/>
  <c r="R36" i="9"/>
  <c r="R80" i="9" s="1"/>
  <c r="R81" i="9" s="1"/>
  <c r="AF22" i="3"/>
  <c r="AK22" i="3"/>
  <c r="W36" i="9"/>
  <c r="W38" i="9" s="1"/>
  <c r="BH919" i="4"/>
  <c r="BU919" i="4"/>
  <c r="U24" i="3"/>
  <c r="CB919" i="4"/>
  <c r="AB24" i="3"/>
  <c r="CG919" i="4"/>
  <c r="AG24" i="3"/>
  <c r="CR919" i="4"/>
  <c r="AR24" i="3"/>
  <c r="CZ919" i="4"/>
  <c r="AZ24" i="3"/>
  <c r="H40" i="9"/>
  <c r="H142" i="9" s="1"/>
  <c r="X40" i="9"/>
  <c r="AN40" i="9"/>
  <c r="AN142" i="9" s="1"/>
  <c r="CB55" i="4"/>
  <c r="BN65" i="4"/>
  <c r="BZ81" i="3"/>
  <c r="CH81" i="3"/>
  <c r="BZ65" i="4"/>
  <c r="CM81" i="3"/>
  <c r="BN67" i="4"/>
  <c r="BJ555" i="4"/>
  <c r="AR26" i="3"/>
  <c r="AW26" i="3"/>
  <c r="BX1043" i="4"/>
  <c r="CF1043" i="4"/>
  <c r="CS1043" i="4"/>
  <c r="BH184" i="4"/>
  <c r="BH280" i="4" s="1"/>
  <c r="BP184" i="4"/>
  <c r="BP280" i="4" s="1"/>
  <c r="BU184" i="4"/>
  <c r="CC184" i="4"/>
  <c r="CC1355" i="4" s="1"/>
  <c r="CD1355" i="4" s="1"/>
  <c r="CK184" i="4"/>
  <c r="CK280" i="4" s="1"/>
  <c r="CS184" i="4"/>
  <c r="CS528" i="4" s="1"/>
  <c r="DA184" i="4"/>
  <c r="DA238" i="4" s="1"/>
  <c r="BR185" i="4"/>
  <c r="BR187" i="4" s="1"/>
  <c r="BR281" i="4" s="1"/>
  <c r="CF71" i="3" s="1"/>
  <c r="R75" i="3"/>
  <c r="CE124" i="4"/>
  <c r="AD75" i="3"/>
  <c r="CP185" i="4"/>
  <c r="CR131" i="4"/>
  <c r="CZ131" i="4"/>
  <c r="CW127" i="4"/>
  <c r="CJ138" i="4"/>
  <c r="CZ138" i="4"/>
  <c r="CM134" i="4"/>
  <c r="CV136" i="4"/>
  <c r="CV135" i="4" s="1"/>
  <c r="CH145" i="4"/>
  <c r="CX145" i="4"/>
  <c r="BU149" i="4"/>
  <c r="CC149" i="4"/>
  <c r="CK149" i="4"/>
  <c r="CS149" i="4"/>
  <c r="DA149" i="4"/>
  <c r="CI146" i="4"/>
  <c r="CY146" i="4"/>
  <c r="BU153" i="4"/>
  <c r="BU154" i="4" s="1"/>
  <c r="BR166" i="4"/>
  <c r="CH166" i="4"/>
  <c r="CX166" i="4"/>
  <c r="BH175" i="4"/>
  <c r="BP170" i="4"/>
  <c r="CC170" i="4"/>
  <c r="CK175" i="4"/>
  <c r="CR170" i="4"/>
  <c r="CZ170" i="4"/>
  <c r="BX174" i="4"/>
  <c r="BX178" i="4" s="1"/>
  <c r="BU176" i="4"/>
  <c r="BV176" i="4" s="1"/>
  <c r="BV175" i="4" s="1"/>
  <c r="BI1346" i="4"/>
  <c r="BI1332" i="4" s="1"/>
  <c r="I44" i="3"/>
  <c r="I72" i="3" s="1"/>
  <c r="BQ1346" i="4"/>
  <c r="BR1346" i="4" s="1"/>
  <c r="BR1332" i="4" s="1"/>
  <c r="Q44" i="3"/>
  <c r="BY1346" i="4"/>
  <c r="BY1332" i="4" s="1"/>
  <c r="Y44" i="3"/>
  <c r="CG1346" i="4"/>
  <c r="CG1347" i="4" s="1"/>
  <c r="CO1346" i="4"/>
  <c r="CP1346" i="4" s="1"/>
  <c r="AO44" i="3"/>
  <c r="CW1346" i="4"/>
  <c r="CW1347" i="4" s="1"/>
  <c r="AW44" i="3"/>
  <c r="BM524" i="4"/>
  <c r="BM526" i="4" s="1"/>
  <c r="BU187" i="4"/>
  <c r="BU868" i="4" s="1"/>
  <c r="BU876" i="4" s="1"/>
  <c r="BR517" i="4"/>
  <c r="BT518" i="4" s="1"/>
  <c r="BT519" i="4" s="1"/>
  <c r="CH517" i="4"/>
  <c r="CX517" i="4"/>
  <c r="CZ518" i="4" s="1"/>
  <c r="CZ519" i="4" s="1"/>
  <c r="CR189" i="4"/>
  <c r="BZ284" i="4"/>
  <c r="CU198" i="4"/>
  <c r="DB201" i="4"/>
  <c r="BL243" i="4"/>
  <c r="BU243" i="4"/>
  <c r="CN243" i="4"/>
  <c r="BQ853" i="4"/>
  <c r="CF853" i="4"/>
  <c r="CK853" i="4"/>
  <c r="CL250" i="4"/>
  <c r="CJ70" i="3"/>
  <c r="CV70" i="3"/>
  <c r="DL70" i="3"/>
  <c r="BN275" i="4"/>
  <c r="BJ261" i="4"/>
  <c r="CT261" i="4"/>
  <c r="BX68" i="3"/>
  <c r="CN68" i="3"/>
  <c r="DD68" i="3"/>
  <c r="CD66" i="3"/>
  <c r="CQ66" i="3"/>
  <c r="CY66" i="3"/>
  <c r="DF66" i="3"/>
  <c r="DN66" i="3"/>
  <c r="CD266" i="4"/>
  <c r="CZ267" i="4"/>
  <c r="CZ381" i="4" s="1"/>
  <c r="BZ69" i="3"/>
  <c r="CE69" i="3"/>
  <c r="BY285" i="4"/>
  <c r="BY286" i="4" s="1"/>
  <c r="CF285" i="4"/>
  <c r="CF286" i="4" s="1"/>
  <c r="CT69" i="3"/>
  <c r="CN285" i="4"/>
  <c r="CN286" i="4" s="1"/>
  <c r="DB69" i="3"/>
  <c r="CT276" i="4"/>
  <c r="DA285" i="4"/>
  <c r="DA286" i="4" s="1"/>
  <c r="DO69" i="3"/>
  <c r="BQ286" i="4"/>
  <c r="BN298" i="4"/>
  <c r="CD298" i="4"/>
  <c r="CY293" i="4"/>
  <c r="BJ361" i="4"/>
  <c r="BZ361" i="4"/>
  <c r="CL361" i="4"/>
  <c r="BV364" i="4"/>
  <c r="CI297" i="4"/>
  <c r="CT364" i="4"/>
  <c r="BL308" i="4"/>
  <c r="BT308" i="4"/>
  <c r="CB308" i="4"/>
  <c r="CJ308" i="4"/>
  <c r="CR308" i="4"/>
  <c r="CZ308" i="4"/>
  <c r="BN367" i="4"/>
  <c r="CD301" i="4"/>
  <c r="CT301" i="4"/>
  <c r="BU323" i="4"/>
  <c r="CS323" i="4"/>
  <c r="DA323" i="4"/>
  <c r="BV317" i="4"/>
  <c r="CL317" i="4"/>
  <c r="BV348" i="4"/>
  <c r="CL348" i="4"/>
  <c r="BI356" i="4"/>
  <c r="BQ356" i="4"/>
  <c r="BY356" i="4"/>
  <c r="CG356" i="4"/>
  <c r="CO356" i="4"/>
  <c r="CW356" i="4"/>
  <c r="BN348" i="4"/>
  <c r="CD348" i="4"/>
  <c r="CU349" i="4"/>
  <c r="CC356" i="4"/>
  <c r="BL476" i="4"/>
  <c r="BT476" i="4"/>
  <c r="CB371" i="4"/>
  <c r="CJ476" i="4"/>
  <c r="CR476" i="4"/>
  <c r="CZ476" i="4"/>
  <c r="BT372" i="4"/>
  <c r="CJ478" i="4"/>
  <c r="CZ372" i="4"/>
  <c r="BL373" i="4"/>
  <c r="CB366" i="4"/>
  <c r="CB369" i="4" s="1"/>
  <c r="CR373" i="4"/>
  <c r="CJ374" i="4"/>
  <c r="CR472" i="4"/>
  <c r="CW366" i="4"/>
  <c r="CW369" i="4" s="1"/>
  <c r="BH368" i="4"/>
  <c r="BP389" i="4"/>
  <c r="BX376" i="4"/>
  <c r="CF389" i="4"/>
  <c r="CK389" i="4"/>
  <c r="CL389" i="4" s="1"/>
  <c r="CS368" i="4"/>
  <c r="CZ368" i="4"/>
  <c r="BI391" i="4"/>
  <c r="BI395" i="4" s="1"/>
  <c r="BY391" i="4"/>
  <c r="CO391" i="4"/>
  <c r="CP391" i="4" s="1"/>
  <c r="CW391" i="4"/>
  <c r="CI384" i="4"/>
  <c r="BJ1009" i="4"/>
  <c r="BV1009" i="4"/>
  <c r="CP1009" i="4"/>
  <c r="BJ398" i="4"/>
  <c r="BJ400" i="4" s="1"/>
  <c r="Y15" i="12"/>
  <c r="AB15" i="12"/>
  <c r="V43" i="3"/>
  <c r="AE15" i="12"/>
  <c r="AH43" i="3"/>
  <c r="CT1364" i="4"/>
  <c r="CT1366" i="4" s="1"/>
  <c r="AT43" i="3"/>
  <c r="AH15" i="12"/>
  <c r="BM391" i="4"/>
  <c r="BM469" i="4" s="1"/>
  <c r="BN466" i="4"/>
  <c r="CD466" i="4"/>
  <c r="CT466" i="4"/>
  <c r="CD467" i="4"/>
  <c r="CT398" i="4"/>
  <c r="CT400" i="4" s="1"/>
  <c r="BM412" i="4"/>
  <c r="CB412" i="4"/>
  <c r="CJ412" i="4"/>
  <c r="CR412" i="4"/>
  <c r="CZ412" i="4"/>
  <c r="CD1206" i="4"/>
  <c r="CT1206" i="4"/>
  <c r="BL1220" i="4"/>
  <c r="BL1222" i="4" s="1"/>
  <c r="BT1220" i="4"/>
  <c r="BT1222" i="4" s="1"/>
  <c r="CB1220" i="4"/>
  <c r="CB1222" i="4" s="1"/>
  <c r="CJ1220" i="4"/>
  <c r="CJ1222" i="4" s="1"/>
  <c r="CR1220" i="4"/>
  <c r="CR1222" i="4" s="1"/>
  <c r="CZ1220" i="4"/>
  <c r="CZ1222" i="4" s="1"/>
  <c r="BJ429" i="4"/>
  <c r="CW435" i="4"/>
  <c r="CG438" i="4"/>
  <c r="CW438" i="4"/>
  <c r="CN439" i="4"/>
  <c r="DA437" i="4"/>
  <c r="DA439" i="4" s="1"/>
  <c r="CC459" i="4"/>
  <c r="CK458" i="4"/>
  <c r="DA458" i="4"/>
  <c r="CR510" i="4"/>
  <c r="AR80" i="3"/>
  <c r="CZ488" i="4"/>
  <c r="CZ514" i="4" s="1"/>
  <c r="AZ80" i="3"/>
  <c r="J50" i="3"/>
  <c r="J81" i="3" s="1"/>
  <c r="BP511" i="4"/>
  <c r="P50" i="3"/>
  <c r="T81" i="3" s="1"/>
  <c r="BX509" i="4"/>
  <c r="X50" i="3"/>
  <c r="X81" i="3" s="1"/>
  <c r="AC50" i="3"/>
  <c r="AG50" i="3"/>
  <c r="AK50" i="3"/>
  <c r="DB566" i="4"/>
  <c r="AN12" i="9"/>
  <c r="BB50" i="3"/>
  <c r="CB514" i="4"/>
  <c r="CV493" i="4"/>
  <c r="BL506" i="4"/>
  <c r="DB509" i="4"/>
  <c r="CD511" i="4"/>
  <c r="BX514" i="4"/>
  <c r="BQ518" i="4"/>
  <c r="BQ519" i="4" s="1"/>
  <c r="BY518" i="4"/>
  <c r="BY519" i="4" s="1"/>
  <c r="CW518" i="4"/>
  <c r="CW519" i="4" s="1"/>
  <c r="BL536" i="4"/>
  <c r="BL537" i="4" s="1"/>
  <c r="CR536" i="4"/>
  <c r="CR537" i="4" s="1"/>
  <c r="BE555" i="4"/>
  <c r="BE546" i="4" s="1"/>
  <c r="BL555" i="4"/>
  <c r="BT555" i="4"/>
  <c r="CL553" i="4"/>
  <c r="CX553" i="4"/>
  <c r="CG593" i="4"/>
  <c r="BU563" i="4"/>
  <c r="BU562" i="4" s="1"/>
  <c r="BR588" i="4"/>
  <c r="CZ592" i="4"/>
  <c r="CJ614" i="4"/>
  <c r="CU607" i="4"/>
  <c r="BM617" i="4"/>
  <c r="CC640" i="4"/>
  <c r="CG648" i="4" s="1"/>
  <c r="CK640" i="4"/>
  <c r="CS617" i="4"/>
  <c r="DA640" i="4"/>
  <c r="DE648" i="4" s="1"/>
  <c r="CG630" i="4"/>
  <c r="CG629" i="4" s="1"/>
  <c r="BM618" i="4"/>
  <c r="CV633" i="4"/>
  <c r="CO630" i="4"/>
  <c r="CO629" i="4" s="1"/>
  <c r="BY646" i="4"/>
  <c r="CL646" i="4"/>
  <c r="CX646" i="4"/>
  <c r="CC638" i="4"/>
  <c r="CC643" i="4" s="1"/>
  <c r="BQ643" i="4"/>
  <c r="DB646" i="4"/>
  <c r="CD661" i="4"/>
  <c r="BQ673" i="4"/>
  <c r="CF673" i="4"/>
  <c r="DN668" i="4"/>
  <c r="BQ676" i="4"/>
  <c r="CS676" i="4"/>
  <c r="DB670" i="4"/>
  <c r="BL673" i="4"/>
  <c r="CV673" i="4"/>
  <c r="BY683" i="4"/>
  <c r="BI684" i="4"/>
  <c r="BZ704" i="4"/>
  <c r="CF708" i="4"/>
  <c r="CC734" i="4"/>
  <c r="CN741" i="4"/>
  <c r="CG764" i="4"/>
  <c r="CF764" i="4"/>
  <c r="CT785" i="4"/>
  <c r="BQ780" i="4"/>
  <c r="BQ787" i="4" s="1"/>
  <c r="BM801" i="4"/>
  <c r="BV777" i="4"/>
  <c r="CR836" i="4"/>
  <c r="CW801" i="4"/>
  <c r="CZ802" i="4" s="1"/>
  <c r="BT810" i="4"/>
  <c r="BX829" i="4"/>
  <c r="BX825" i="4" s="1"/>
  <c r="CW829" i="4"/>
  <c r="CZ830" i="4" s="1"/>
  <c r="BV781" i="4"/>
  <c r="BN796" i="4"/>
  <c r="BV796" i="4"/>
  <c r="CL796" i="4"/>
  <c r="CN812" i="4"/>
  <c r="CA806" i="4"/>
  <c r="CC807" i="4"/>
  <c r="CN813" i="4"/>
  <c r="CK820" i="4"/>
  <c r="CK823" i="4" s="1"/>
  <c r="CW823" i="4"/>
  <c r="CD821" i="4"/>
  <c r="CL821" i="4"/>
  <c r="CH822" i="4"/>
  <c r="DB822" i="4"/>
  <c r="DJ822" i="4"/>
  <c r="BP829" i="4"/>
  <c r="BP831" i="4" s="1"/>
  <c r="BR785" i="4"/>
  <c r="CP840" i="4"/>
  <c r="CH846" i="4"/>
  <c r="BM860" i="4"/>
  <c r="BM862" i="4" s="1"/>
  <c r="CD886" i="4"/>
  <c r="CL886" i="4"/>
  <c r="CG895" i="4"/>
  <c r="CO895" i="4"/>
  <c r="CW895" i="4"/>
  <c r="BJ911" i="4"/>
  <c r="CT911" i="4"/>
  <c r="DB911" i="4"/>
  <c r="BV918" i="4"/>
  <c r="CL918" i="4"/>
  <c r="DB918" i="4"/>
  <c r="BM918" i="4"/>
  <c r="CS922" i="4"/>
  <c r="BT922" i="4"/>
  <c r="CV922" i="4"/>
  <c r="BV927" i="4"/>
  <c r="CL935" i="4"/>
  <c r="DB936" i="4"/>
  <c r="BY937" i="4"/>
  <c r="CL937" i="4"/>
  <c r="DJ937" i="4"/>
  <c r="BZ944" i="4"/>
  <c r="BZ1181" i="4" s="1"/>
  <c r="AC41" i="12" s="1"/>
  <c r="AC88" i="12" s="1"/>
  <c r="CP944" i="4"/>
  <c r="BJ977" i="4"/>
  <c r="BZ977" i="4"/>
  <c r="CP977" i="4"/>
  <c r="BH1008" i="4"/>
  <c r="BH1012" i="4" s="1"/>
  <c r="H47" i="3"/>
  <c r="H77" i="3" s="1"/>
  <c r="BP947" i="4"/>
  <c r="P47" i="3"/>
  <c r="CD49" i="3" s="1"/>
  <c r="CC1181" i="4"/>
  <c r="CC1185" i="4" s="1"/>
  <c r="AC47" i="3"/>
  <c r="CQ49" i="3" s="1"/>
  <c r="CK1181" i="4"/>
  <c r="CK1185" i="4" s="1"/>
  <c r="AK47" i="3"/>
  <c r="CY49" i="3" s="1"/>
  <c r="CR1181" i="4"/>
  <c r="CR1185" i="4" s="1"/>
  <c r="CR1196" i="4" s="1"/>
  <c r="CR1200" i="4" s="1"/>
  <c r="AR47" i="3"/>
  <c r="DF49" i="3" s="1"/>
  <c r="CZ1181" i="4"/>
  <c r="CZ1185" i="4" s="1"/>
  <c r="BN982" i="4"/>
  <c r="BP980" i="4" s="1"/>
  <c r="BR980" i="4" s="1"/>
  <c r="CD982" i="4"/>
  <c r="CF980" i="4" s="1"/>
  <c r="CH980" i="4" s="1"/>
  <c r="CT982" i="4"/>
  <c r="CV980" i="4" s="1"/>
  <c r="CX980" i="4" s="1"/>
  <c r="BN987" i="4"/>
  <c r="BP985" i="4" s="1"/>
  <c r="BR985" i="4" s="1"/>
  <c r="CD987" i="4"/>
  <c r="CF985" i="4" s="1"/>
  <c r="CH985" i="4" s="1"/>
  <c r="CT987" i="4"/>
  <c r="CV985" i="4" s="1"/>
  <c r="CX985" i="4" s="1"/>
  <c r="BI947" i="4"/>
  <c r="BY947" i="4"/>
  <c r="CJ950" i="4"/>
  <c r="CJ956" i="4" s="1"/>
  <c r="CJ51" i="3"/>
  <c r="CZ51" i="3"/>
  <c r="DP51" i="3"/>
  <c r="DO50" i="3"/>
  <c r="AC85" i="12"/>
  <c r="BV955" i="4"/>
  <c r="CP955" i="4"/>
  <c r="CX955" i="4"/>
  <c r="BH956" i="4"/>
  <c r="Z82" i="12"/>
  <c r="AD82" i="12"/>
  <c r="AH82" i="12"/>
  <c r="AH134" i="12" s="1"/>
  <c r="BL973" i="4"/>
  <c r="CC976" i="4"/>
  <c r="CH975" i="4"/>
  <c r="CO976" i="4"/>
  <c r="BP976" i="4"/>
  <c r="CF976" i="4"/>
  <c r="CV976" i="4"/>
  <c r="BZ993" i="4"/>
  <c r="CL995" i="4"/>
  <c r="BI1115" i="4"/>
  <c r="BI1116" i="4" s="1"/>
  <c r="BY1115" i="4"/>
  <c r="BY1116" i="4" s="1"/>
  <c r="BM1068" i="4"/>
  <c r="CB14" i="3"/>
  <c r="CB17" i="3" s="1"/>
  <c r="CR14" i="3"/>
  <c r="CP1033" i="4"/>
  <c r="DD14" i="3"/>
  <c r="BI1036" i="4"/>
  <c r="BP1036" i="4"/>
  <c r="BX1036" i="4"/>
  <c r="CD1034" i="4"/>
  <c r="CL1034" i="4"/>
  <c r="CR1036" i="4"/>
  <c r="CZ1036" i="4"/>
  <c r="BE1036" i="4"/>
  <c r="BE1037" i="4" s="1"/>
  <c r="BE1076" i="4" s="1"/>
  <c r="BE1077" i="4" s="1"/>
  <c r="BI1049" i="4"/>
  <c r="I33" i="3"/>
  <c r="BQ1049" i="4"/>
  <c r="Q33" i="3"/>
  <c r="BY1049" i="4"/>
  <c r="Y33" i="3"/>
  <c r="CG1049" i="4"/>
  <c r="AN33" i="3"/>
  <c r="CV1049" i="4"/>
  <c r="AV33" i="3"/>
  <c r="DB1046" i="4"/>
  <c r="BT1082" i="4"/>
  <c r="CK1087" i="4"/>
  <c r="BU1136" i="4"/>
  <c r="BT1136" i="4"/>
  <c r="BN1124" i="4"/>
  <c r="BP1136" i="4"/>
  <c r="CF1136" i="4"/>
  <c r="CP1136" i="4"/>
  <c r="DA1136" i="4"/>
  <c r="BX1176" i="4"/>
  <c r="CC1176" i="4"/>
  <c r="CC1263" i="4"/>
  <c r="CJ1263" i="4"/>
  <c r="CL1221" i="4"/>
  <c r="DB1221" i="4"/>
  <c r="BN1217" i="4"/>
  <c r="BN1218" i="4" s="1"/>
  <c r="CD1217" i="4"/>
  <c r="CD1218" i="4" s="1"/>
  <c r="CP1217" i="4"/>
  <c r="CP1218" i="4" s="1"/>
  <c r="BV1259" i="4"/>
  <c r="CX1259" i="4"/>
  <c r="BV1233" i="4"/>
  <c r="CW1267" i="4"/>
  <c r="BY1199" i="4"/>
  <c r="CM44" i="3" s="1"/>
  <c r="CK1211" i="4"/>
  <c r="BM1211" i="4"/>
  <c r="BL1214" i="4"/>
  <c r="BT1214" i="4"/>
  <c r="CB1214" i="4"/>
  <c r="CJ1214" i="4"/>
  <c r="CW1214" i="4"/>
  <c r="BP1218" i="4"/>
  <c r="BX1218" i="4"/>
  <c r="CC1218" i="4"/>
  <c r="CK1218" i="4"/>
  <c r="CS1218" i="4"/>
  <c r="CG1234" i="4"/>
  <c r="CW1234" i="4"/>
  <c r="CB1234" i="4"/>
  <c r="CR1234" i="4"/>
  <c r="CR1244" i="4"/>
  <c r="CS1251" i="4"/>
  <c r="CR1254" i="4"/>
  <c r="BR1255" i="4"/>
  <c r="CB1258" i="4"/>
  <c r="CB1260" i="4" s="1"/>
  <c r="BU1292" i="4"/>
  <c r="BV1292" i="4" s="1"/>
  <c r="BV1293" i="4" s="1"/>
  <c r="CB38" i="3"/>
  <c r="CN38" i="3"/>
  <c r="CA1305" i="4"/>
  <c r="CM1228" i="4"/>
  <c r="CZ38" i="3"/>
  <c r="CL1247" i="4"/>
  <c r="BZ39" i="3"/>
  <c r="CH39" i="3"/>
  <c r="CP39" i="3"/>
  <c r="CB1237" i="4"/>
  <c r="CX39" i="3"/>
  <c r="DF39" i="3"/>
  <c r="DN39" i="3"/>
  <c r="BX1316" i="4"/>
  <c r="CL1317" i="4"/>
  <c r="CK1321" i="4"/>
  <c r="CL1321" i="4" s="1"/>
  <c r="BL1329" i="4"/>
  <c r="BY1329" i="4"/>
  <c r="BY1344" i="4"/>
  <c r="BY1345" i="4" s="1"/>
  <c r="CX1344" i="4"/>
  <c r="AI19" i="12"/>
  <c r="BZ1329" i="4"/>
  <c r="DA1350" i="4"/>
  <c r="DI1350" i="4" s="1"/>
  <c r="DL1350" i="4" s="1"/>
  <c r="DM1350" i="4" s="1"/>
  <c r="DP1350" i="4" s="1"/>
  <c r="DQ1350" i="4" s="1"/>
  <c r="BY1366" i="4"/>
  <c r="BY1368" i="4"/>
  <c r="CO1366" i="4"/>
  <c r="CO1368" i="4"/>
  <c r="BT1365" i="4"/>
  <c r="CZ1365" i="4"/>
  <c r="BQ1368" i="4"/>
  <c r="CJ1368" i="4"/>
  <c r="CJ1370" i="4"/>
  <c r="BN1398" i="4"/>
  <c r="CP1398" i="4"/>
  <c r="BB6" i="3"/>
  <c r="AD20" i="3"/>
  <c r="AG44" i="3"/>
  <c r="I47" i="3"/>
  <c r="I77" i="3" s="1"/>
  <c r="AZ47" i="3"/>
  <c r="BV66" i="3"/>
  <c r="AF52" i="12"/>
  <c r="CG609" i="4"/>
  <c r="AG8" i="3"/>
  <c r="CC611" i="4"/>
  <c r="AC10" i="3"/>
  <c r="CD50" i="4"/>
  <c r="CX51" i="4"/>
  <c r="CH52" i="4"/>
  <c r="M13" i="3"/>
  <c r="AB13" i="3"/>
  <c r="AV13" i="3"/>
  <c r="BR30" i="4"/>
  <c r="BR83" i="4" s="1"/>
  <c r="CJ776" i="4"/>
  <c r="CJ793" i="4" s="1"/>
  <c r="BI777" i="4"/>
  <c r="CG778" i="4"/>
  <c r="AV15" i="3"/>
  <c r="BR912" i="4"/>
  <c r="AA55" i="12"/>
  <c r="D33" i="9"/>
  <c r="DM912" i="4"/>
  <c r="BM20" i="3"/>
  <c r="BI919" i="4"/>
  <c r="I24" i="3"/>
  <c r="CC919" i="4"/>
  <c r="DA919" i="4"/>
  <c r="BA24" i="3"/>
  <c r="DN43" i="4"/>
  <c r="CD65" i="4"/>
  <c r="CP81" i="3"/>
  <c r="BX81" i="4"/>
  <c r="CV1043" i="4"/>
  <c r="CN184" i="4"/>
  <c r="CN528" i="4" s="1"/>
  <c r="BQ149" i="4"/>
  <c r="CK155" i="4"/>
  <c r="DA155" i="4"/>
  <c r="CT166" i="4"/>
  <c r="CT203" i="4"/>
  <c r="CG853" i="4"/>
  <c r="CV853" i="4"/>
  <c r="DP70" i="3"/>
  <c r="CP69" i="3"/>
  <c r="CK476" i="4"/>
  <c r="BU477" i="4"/>
  <c r="CS373" i="4"/>
  <c r="CV389" i="4"/>
  <c r="CV465" i="4" s="1"/>
  <c r="BT391" i="4"/>
  <c r="BT395" i="4" s="1"/>
  <c r="CR391" i="4"/>
  <c r="BN1009" i="4"/>
  <c r="CD421" i="4"/>
  <c r="CG459" i="4"/>
  <c r="D11" i="9"/>
  <c r="D111" i="9" s="1"/>
  <c r="AS80" i="3"/>
  <c r="BL514" i="4"/>
  <c r="L50" i="3"/>
  <c r="Q50" i="3"/>
  <c r="CH509" i="4"/>
  <c r="T12" i="9"/>
  <c r="AH50" i="3"/>
  <c r="CP511" i="4"/>
  <c r="AP50" i="3"/>
  <c r="BL490" i="4"/>
  <c r="BL512" i="4" s="1"/>
  <c r="X51" i="3"/>
  <c r="CA497" i="4"/>
  <c r="CA498" i="4"/>
  <c r="BQ1395" i="4"/>
  <c r="Q52" i="3"/>
  <c r="BR510" i="4"/>
  <c r="BQ511" i="4"/>
  <c r="BX532" i="4"/>
  <c r="BX533" i="4" s="1"/>
  <c r="CF536" i="4"/>
  <c r="CF537" i="4" s="1"/>
  <c r="BV538" i="4"/>
  <c r="CC555" i="4"/>
  <c r="CK555" i="4"/>
  <c r="CK556" i="4" s="1"/>
  <c r="CS555" i="4"/>
  <c r="CS556" i="4" s="1"/>
  <c r="CS557" i="4" s="1"/>
  <c r="BY561" i="4"/>
  <c r="CH566" i="4"/>
  <c r="CA607" i="4"/>
  <c r="CY607" i="4"/>
  <c r="BX640" i="4"/>
  <c r="CF640" i="4"/>
  <c r="CF639" i="4" s="1"/>
  <c r="CN640" i="4"/>
  <c r="CN655" i="4" s="1"/>
  <c r="CV640" i="4"/>
  <c r="CV655" i="4" s="1"/>
  <c r="BP663" i="4"/>
  <c r="BP662" i="4" s="1"/>
  <c r="CO617" i="4"/>
  <c r="CK618" i="4"/>
  <c r="CT651" i="4"/>
  <c r="CR653" i="4"/>
  <c r="BM669" i="4"/>
  <c r="BM671" i="4" s="1"/>
  <c r="BM673" i="4"/>
  <c r="DA673" i="4"/>
  <c r="CS686" i="4"/>
  <c r="CS684" i="4" s="1"/>
  <c r="BL699" i="4"/>
  <c r="BV699" i="4"/>
  <c r="CD699" i="4"/>
  <c r="CH708" i="4"/>
  <c r="CI732" i="4"/>
  <c r="CJ764" i="4"/>
  <c r="BL793" i="4"/>
  <c r="CO835" i="4"/>
  <c r="CW780" i="4"/>
  <c r="CW774" i="4" s="1"/>
  <c r="BU801" i="4"/>
  <c r="CS801" i="4"/>
  <c r="CW810" i="4"/>
  <c r="BI829" i="4"/>
  <c r="BQ829" i="4"/>
  <c r="BQ825" i="4" s="1"/>
  <c r="DL842" i="4"/>
  <c r="DL843" i="4" s="1"/>
  <c r="DL844" i="4" s="1"/>
  <c r="CO793" i="4"/>
  <c r="CT796" i="4"/>
  <c r="DB796" i="4"/>
  <c r="BW805" i="4"/>
  <c r="CK813" i="4"/>
  <c r="BJ771" i="4"/>
  <c r="BZ771" i="4"/>
  <c r="CP771" i="4"/>
  <c r="CB823" i="4"/>
  <c r="CL842" i="4"/>
  <c r="CB895" i="4"/>
  <c r="CJ895" i="4"/>
  <c r="CR895" i="4"/>
  <c r="CZ895" i="4"/>
  <c r="BJ918" i="4"/>
  <c r="BJ924" i="4" s="1"/>
  <c r="BZ918" i="4"/>
  <c r="CP918" i="4"/>
  <c r="BN918" i="4"/>
  <c r="CT918" i="4"/>
  <c r="CB918" i="4"/>
  <c r="BN944" i="4"/>
  <c r="BN1181" i="4" s="1"/>
  <c r="CD944" i="4"/>
  <c r="CT944" i="4"/>
  <c r="CT1181" i="4" s="1"/>
  <c r="BN977" i="4"/>
  <c r="CD977" i="4"/>
  <c r="CT977" i="4"/>
  <c r="BQ947" i="4"/>
  <c r="Q47" i="3"/>
  <c r="BX1181" i="4"/>
  <c r="BX1185" i="4" s="1"/>
  <c r="BX1196" i="4" s="1"/>
  <c r="X47" i="3"/>
  <c r="X77" i="3" s="1"/>
  <c r="CF1181" i="4"/>
  <c r="CF1185" i="4" s="1"/>
  <c r="AF47" i="3"/>
  <c r="CS1181" i="4"/>
  <c r="CS1185" i="4" s="1"/>
  <c r="AS47" i="3"/>
  <c r="DA1181" i="4"/>
  <c r="DA1185" i="4" s="1"/>
  <c r="BA47" i="3"/>
  <c r="BR982" i="4"/>
  <c r="BT980" i="4" s="1"/>
  <c r="CH982" i="4"/>
  <c r="CJ980" i="4" s="1"/>
  <c r="CJ981" i="4" s="1"/>
  <c r="CX982" i="4"/>
  <c r="CZ980" i="4" s="1"/>
  <c r="BR987" i="4"/>
  <c r="BT985" i="4" s="1"/>
  <c r="BT986" i="4" s="1"/>
  <c r="CH987" i="4"/>
  <c r="CJ985" i="4" s="1"/>
  <c r="CJ986" i="4" s="1"/>
  <c r="CX987" i="4"/>
  <c r="CZ985" i="4" s="1"/>
  <c r="DB985" i="4" s="1"/>
  <c r="CC1006" i="4"/>
  <c r="CC1017" i="4" s="1"/>
  <c r="CC1020" i="4" s="1"/>
  <c r="CC1021" i="4" s="1"/>
  <c r="CS947" i="4"/>
  <c r="CN51" i="3"/>
  <c r="DB50" i="3"/>
  <c r="BI953" i="4"/>
  <c r="BI956" i="4" s="1"/>
  <c r="BI1109" i="4" s="1"/>
  <c r="BI1110" i="4" s="1"/>
  <c r="AD85" i="12"/>
  <c r="AA82" i="12"/>
  <c r="AE82" i="12"/>
  <c r="CX967" i="4"/>
  <c r="BM976" i="4"/>
  <c r="BQ976" i="4"/>
  <c r="CW976" i="4"/>
  <c r="CO998" i="4"/>
  <c r="CK998" i="4"/>
  <c r="CK1107" i="4" s="1"/>
  <c r="BR1033" i="4"/>
  <c r="CG1068" i="4"/>
  <c r="CV14" i="3"/>
  <c r="CZ1068" i="4"/>
  <c r="BR1034" i="4"/>
  <c r="BY1036" i="4"/>
  <c r="CF1036" i="4"/>
  <c r="CN1036" i="4"/>
  <c r="CT1034" i="4"/>
  <c r="DB1034" i="4"/>
  <c r="BD1049" i="4"/>
  <c r="D33" i="3"/>
  <c r="BL1049" i="4"/>
  <c r="BT1049" i="4"/>
  <c r="T33" i="3"/>
  <c r="CB1049" i="4"/>
  <c r="AB33" i="3"/>
  <c r="CJ1049" i="4"/>
  <c r="AJ33" i="3"/>
  <c r="CO1049" i="4"/>
  <c r="AO33" i="3"/>
  <c r="CW1049" i="4"/>
  <c r="AW33" i="3"/>
  <c r="BH1082" i="4"/>
  <c r="BU1082" i="4"/>
  <c r="CB1136" i="4"/>
  <c r="CG1136" i="4"/>
  <c r="CL1136" i="4"/>
  <c r="CR1136" i="4"/>
  <c r="CW1136" i="4"/>
  <c r="DB1136" i="4"/>
  <c r="BR1137" i="4"/>
  <c r="CH1137" i="4"/>
  <c r="CX1137" i="4"/>
  <c r="BZ1160" i="4"/>
  <c r="BY1176" i="4"/>
  <c r="BV1212" i="4"/>
  <c r="BN1221" i="4"/>
  <c r="CD1221" i="4"/>
  <c r="CP1221" i="4"/>
  <c r="BR1217" i="4"/>
  <c r="BR1218" i="4" s="1"/>
  <c r="CH1217" i="4"/>
  <c r="CH1218" i="4" s="1"/>
  <c r="CT1217" i="4"/>
  <c r="CT1218" i="4" s="1"/>
  <c r="BJ1259" i="4"/>
  <c r="BZ1259" i="4"/>
  <c r="CL1259" i="4"/>
  <c r="DB1259" i="4"/>
  <c r="DG1259" i="4" s="1"/>
  <c r="BJ1233" i="4"/>
  <c r="BZ1233" i="4"/>
  <c r="CL1233" i="4"/>
  <c r="DB1233" i="4"/>
  <c r="BN1199" i="4"/>
  <c r="CB44" i="3" s="1"/>
  <c r="CR1214" i="4"/>
  <c r="CX1212" i="4"/>
  <c r="BQ1218" i="4"/>
  <c r="BX1231" i="4"/>
  <c r="BY1225" i="4"/>
  <c r="BY1226" i="4" s="1"/>
  <c r="BM1234" i="4"/>
  <c r="BM1236" i="4" s="1"/>
  <c r="BT1234" i="4"/>
  <c r="DA1248" i="4"/>
  <c r="DI1248" i="4" s="1"/>
  <c r="DL1248" i="4" s="1"/>
  <c r="DM1248" i="4" s="1"/>
  <c r="DP1248" i="4" s="1"/>
  <c r="DQ1248" i="4" s="1"/>
  <c r="BM1258" i="4"/>
  <c r="BM1260" i="4" s="1"/>
  <c r="CG1258" i="4"/>
  <c r="CG1260" i="4" s="1"/>
  <c r="CJ1254" i="4"/>
  <c r="BZ1282" i="4"/>
  <c r="CP1282" i="4"/>
  <c r="DE1282" i="4"/>
  <c r="DE898" i="4" s="1"/>
  <c r="DE900" i="4" s="1"/>
  <c r="CF38" i="3"/>
  <c r="BS1305" i="4"/>
  <c r="CG38" i="3" s="1"/>
  <c r="CY1305" i="4"/>
  <c r="DL38" i="3"/>
  <c r="CD1363" i="4"/>
  <c r="CA39" i="3"/>
  <c r="CI39" i="3"/>
  <c r="BU1237" i="4"/>
  <c r="CY39" i="3"/>
  <c r="DG39" i="3"/>
  <c r="DO39" i="3"/>
  <c r="DA1237" i="4"/>
  <c r="CT1315" i="4"/>
  <c r="BM1316" i="4"/>
  <c r="BF1317" i="4"/>
  <c r="AH32" i="12"/>
  <c r="DA1321" i="4"/>
  <c r="DB1321" i="4" s="1"/>
  <c r="CN1321" i="4"/>
  <c r="CN1361" i="4" s="1"/>
  <c r="BT1329" i="4"/>
  <c r="CN1344" i="4"/>
  <c r="CN1345" i="4" s="1"/>
  <c r="DB1329" i="4"/>
  <c r="AJ19" i="12"/>
  <c r="CQ1330" i="4"/>
  <c r="BT1344" i="4"/>
  <c r="BT1345" i="4" s="1"/>
  <c r="CB1365" i="4"/>
  <c r="BT1368" i="4"/>
  <c r="CR1368" i="4"/>
  <c r="Q6" i="3"/>
  <c r="Q58" i="3" s="1"/>
  <c r="R9" i="3"/>
  <c r="AB10" i="3"/>
  <c r="BB10" i="3"/>
  <c r="V17" i="3"/>
  <c r="R20" i="3"/>
  <c r="AC24" i="3"/>
  <c r="L33" i="3"/>
  <c r="J43" i="3"/>
  <c r="AR44" i="3"/>
  <c r="DD51" i="3"/>
  <c r="CN70" i="3"/>
  <c r="AP75" i="3"/>
  <c r="J6" i="3"/>
  <c r="J58" i="3" s="1"/>
  <c r="H15" i="9"/>
  <c r="X15" i="9"/>
  <c r="AJ15" i="9"/>
  <c r="AX6" i="3"/>
  <c r="BL609" i="4"/>
  <c r="L8" i="3"/>
  <c r="BT609" i="4"/>
  <c r="CB609" i="4"/>
  <c r="AB8" i="3"/>
  <c r="CO609" i="4"/>
  <c r="CO608" i="4" s="1"/>
  <c r="CV609" i="4"/>
  <c r="AV8" i="3"/>
  <c r="BJ610" i="4"/>
  <c r="J9" i="3"/>
  <c r="BV610" i="4"/>
  <c r="V9" i="3"/>
  <c r="CL610" i="4"/>
  <c r="CL640" i="4" s="1"/>
  <c r="AL9" i="3"/>
  <c r="DB610" i="4"/>
  <c r="BB9" i="3"/>
  <c r="BU611" i="4"/>
  <c r="U10" i="3"/>
  <c r="CS611" i="4"/>
  <c r="AS10" i="3"/>
  <c r="BL18" i="4"/>
  <c r="BL612" i="4" s="1"/>
  <c r="CT50" i="4"/>
  <c r="CG668" i="4"/>
  <c r="CG686" i="4" s="1"/>
  <c r="DJ21" i="4"/>
  <c r="BR52" i="4"/>
  <c r="U13" i="3"/>
  <c r="Y60" i="3" s="1"/>
  <c r="CD30" i="4"/>
  <c r="CE30" i="4" s="1"/>
  <c r="CF777" i="4"/>
  <c r="CF801" i="4" s="1"/>
  <c r="CK777" i="4"/>
  <c r="BS29" i="4"/>
  <c r="CK779" i="4"/>
  <c r="CS779" i="4"/>
  <c r="M15" i="3"/>
  <c r="AC50" i="12"/>
  <c r="L24" i="9"/>
  <c r="Z15" i="3"/>
  <c r="Y52" i="12"/>
  <c r="BZ57" i="4"/>
  <c r="AC52" i="12"/>
  <c r="L27" i="9"/>
  <c r="Z17" i="3"/>
  <c r="CP57" i="4"/>
  <c r="AP38" i="3"/>
  <c r="AG52" i="12"/>
  <c r="AB27" i="9"/>
  <c r="AP17" i="3"/>
  <c r="Y54" i="12"/>
  <c r="J19" i="3"/>
  <c r="AJ19" i="3"/>
  <c r="CX59" i="4"/>
  <c r="AI54" i="12"/>
  <c r="AJ31" i="9"/>
  <c r="AJ133" i="9" s="1"/>
  <c r="AX19" i="3"/>
  <c r="CH912" i="4"/>
  <c r="AE55" i="12"/>
  <c r="T33" i="9"/>
  <c r="AH20" i="3"/>
  <c r="CX912" i="4"/>
  <c r="AI55" i="12"/>
  <c r="AJ33" i="9"/>
  <c r="AX20" i="3"/>
  <c r="N36" i="9"/>
  <c r="AB22" i="3"/>
  <c r="BL22" i="3"/>
  <c r="BP919" i="4"/>
  <c r="BX919" i="4"/>
  <c r="X24" i="3"/>
  <c r="CL919" i="4"/>
  <c r="AL24" i="3"/>
  <c r="CS919" i="4"/>
  <c r="AS24" i="3"/>
  <c r="L40" i="9"/>
  <c r="L142" i="9" s="1"/>
  <c r="AB40" i="9"/>
  <c r="AB142" i="9" s="1"/>
  <c r="CI81" i="3"/>
  <c r="CD67" i="4"/>
  <c r="AS26" i="3"/>
  <c r="DI89" i="4"/>
  <c r="BI184" i="4"/>
  <c r="BQ184" i="4"/>
  <c r="BQ1355" i="4" s="1"/>
  <c r="BR1355" i="4" s="1"/>
  <c r="BX184" i="4"/>
  <c r="CF136" i="4"/>
  <c r="CV184" i="4"/>
  <c r="CV280" i="4" s="1"/>
  <c r="BF185" i="4"/>
  <c r="BF187" i="4" s="1"/>
  <c r="BV185" i="4"/>
  <c r="V75" i="3"/>
  <c r="CH185" i="4"/>
  <c r="CH380" i="4" s="1"/>
  <c r="AH75" i="3"/>
  <c r="DC124" i="4"/>
  <c r="BB75" i="3"/>
  <c r="CS131" i="4"/>
  <c r="DA131" i="4"/>
  <c r="CK138" i="4"/>
  <c r="CV138" i="4"/>
  <c r="DA138" i="4"/>
  <c r="DC134" i="4"/>
  <c r="BV145" i="4"/>
  <c r="DC144" i="4"/>
  <c r="BI149" i="4"/>
  <c r="CV149" i="4"/>
  <c r="BI170" i="4"/>
  <c r="BX170" i="4"/>
  <c r="CF170" i="4"/>
  <c r="DA170" i="4"/>
  <c r="BN166" i="4"/>
  <c r="CD166" i="4"/>
  <c r="BT170" i="4"/>
  <c r="CF176" i="4"/>
  <c r="CG180" i="4" s="1"/>
  <c r="BL1346" i="4"/>
  <c r="BL1332" i="4" s="1"/>
  <c r="BT1346" i="4"/>
  <c r="BT1347" i="4" s="1"/>
  <c r="T44" i="3"/>
  <c r="CB1346" i="4"/>
  <c r="CB1332" i="4" s="1"/>
  <c r="AB44" i="3"/>
  <c r="CJ1346" i="4"/>
  <c r="CJ1332" i="4" s="1"/>
  <c r="AJ44" i="3"/>
  <c r="CR1346" i="4"/>
  <c r="CR1347" i="4" s="1"/>
  <c r="CZ1346" i="4"/>
  <c r="CZ1332" i="4" s="1"/>
  <c r="AZ44" i="3"/>
  <c r="BH380" i="4"/>
  <c r="BH443" i="4" s="1"/>
  <c r="BX524" i="4"/>
  <c r="BX526" i="4" s="1"/>
  <c r="BV517" i="4"/>
  <c r="CL517" i="4"/>
  <c r="CN518" i="4" s="1"/>
  <c r="CN519" i="4" s="1"/>
  <c r="DB517" i="4"/>
  <c r="CZ189" i="4"/>
  <c r="BY853" i="4"/>
  <c r="DA853" i="4"/>
  <c r="BZ250" i="4"/>
  <c r="BX70" i="3"/>
  <c r="CZ70" i="3"/>
  <c r="BR274" i="4"/>
  <c r="BR275" i="4"/>
  <c r="BR261" i="4"/>
  <c r="BZ261" i="4"/>
  <c r="BN265" i="4"/>
  <c r="CB68" i="3"/>
  <c r="CR68" i="3"/>
  <c r="CT265" i="4"/>
  <c r="BW66" i="3"/>
  <c r="CE66" i="3"/>
  <c r="CL66" i="3"/>
  <c r="CT66" i="3"/>
  <c r="DG66" i="3"/>
  <c r="DO66" i="3"/>
  <c r="BR266" i="4"/>
  <c r="CT266" i="4"/>
  <c r="BY267" i="4"/>
  <c r="BY381" i="4" s="1"/>
  <c r="BZ381" i="4" s="1"/>
  <c r="BL273" i="4"/>
  <c r="BZ73" i="3" s="1"/>
  <c r="BM285" i="4"/>
  <c r="BM286" i="4" s="1"/>
  <c r="CA69" i="3"/>
  <c r="BT285" i="4"/>
  <c r="BT286" i="4" s="1"/>
  <c r="CH69" i="3"/>
  <c r="CU69" i="3"/>
  <c r="CO285" i="4"/>
  <c r="CO286" i="4" s="1"/>
  <c r="DC69" i="3"/>
  <c r="CV285" i="4"/>
  <c r="CV286" i="4" s="1"/>
  <c r="DJ69" i="3"/>
  <c r="DV69" i="3"/>
  <c r="BR284" i="4"/>
  <c r="CG285" i="4"/>
  <c r="CG286" i="4" s="1"/>
  <c r="BR298" i="4"/>
  <c r="CQ293" i="4"/>
  <c r="BN361" i="4"/>
  <c r="CD361" i="4"/>
  <c r="CY294" i="4"/>
  <c r="BJ364" i="4"/>
  <c r="CA297" i="4"/>
  <c r="BM308" i="4"/>
  <c r="BU308" i="4"/>
  <c r="CC308" i="4"/>
  <c r="CK308" i="4"/>
  <c r="CS308" i="4"/>
  <c r="DA308" i="4"/>
  <c r="BR367" i="4"/>
  <c r="CH301" i="4"/>
  <c r="CN308" i="4"/>
  <c r="BJ317" i="4"/>
  <c r="BZ317" i="4"/>
  <c r="CP317" i="4"/>
  <c r="BP323" i="4"/>
  <c r="BX323" i="4"/>
  <c r="CF323" i="4"/>
  <c r="CN323" i="4"/>
  <c r="CV323" i="4"/>
  <c r="BL356" i="4"/>
  <c r="BT356" i="4"/>
  <c r="CB356" i="4"/>
  <c r="CJ356" i="4"/>
  <c r="CR356" i="4"/>
  <c r="CZ356" i="4"/>
  <c r="CY349" i="4"/>
  <c r="CS356" i="4"/>
  <c r="DA476" i="4"/>
  <c r="DA477" i="4"/>
  <c r="BM373" i="4"/>
  <c r="BU373" i="4"/>
  <c r="CC373" i="4"/>
  <c r="CK373" i="4"/>
  <c r="DA373" i="4"/>
  <c r="BM374" i="4"/>
  <c r="BU374" i="4"/>
  <c r="CF366" i="4"/>
  <c r="CF369" i="4" s="1"/>
  <c r="CK374" i="4"/>
  <c r="CS374" i="4"/>
  <c r="CX472" i="4"/>
  <c r="CW472" i="4" s="1"/>
  <c r="BI376" i="4"/>
  <c r="BQ389" i="4"/>
  <c r="BQ465" i="4" s="1"/>
  <c r="BY376" i="4"/>
  <c r="CG389" i="4"/>
  <c r="CH389" i="4" s="1"/>
  <c r="CN376" i="4"/>
  <c r="DA389" i="4"/>
  <c r="DA465" i="4" s="1"/>
  <c r="CG374" i="4"/>
  <c r="CB391" i="4"/>
  <c r="CJ391" i="4"/>
  <c r="CJ469" i="4" s="1"/>
  <c r="CZ391" i="4"/>
  <c r="BZ1009" i="4"/>
  <c r="CH1009" i="4"/>
  <c r="CT1009" i="4"/>
  <c r="AH89" i="12" s="1"/>
  <c r="BN1364" i="4"/>
  <c r="BN1366" i="4" s="1"/>
  <c r="N43" i="3"/>
  <c r="Z15" i="12"/>
  <c r="BZ1364" i="4"/>
  <c r="BZ1366" i="4" s="1"/>
  <c r="AC15" i="12"/>
  <c r="Z43" i="3"/>
  <c r="AI15" i="12"/>
  <c r="AX43" i="3"/>
  <c r="BR467" i="4"/>
  <c r="CH467" i="4"/>
  <c r="CX467" i="4"/>
  <c r="BQ893" i="4"/>
  <c r="BR1206" i="4"/>
  <c r="CH1206" i="4"/>
  <c r="CX1206" i="4"/>
  <c r="BN421" i="4"/>
  <c r="BN1220" i="4" s="1"/>
  <c r="CT421" i="4"/>
  <c r="BM1220" i="4"/>
  <c r="BM1222" i="4" s="1"/>
  <c r="BU1220" i="4"/>
  <c r="BU1222" i="4" s="1"/>
  <c r="CC1220" i="4"/>
  <c r="CC1222" i="4" s="1"/>
  <c r="CS1220" i="4"/>
  <c r="CS1222" i="4" s="1"/>
  <c r="CL427" i="4"/>
  <c r="CO435" i="4"/>
  <c r="DI434" i="4"/>
  <c r="CG437" i="4"/>
  <c r="CW459" i="4"/>
  <c r="CS459" i="4"/>
  <c r="CZ493" i="4"/>
  <c r="DA510" i="4"/>
  <c r="DL510" i="4" s="1"/>
  <c r="DM510" i="4" s="1"/>
  <c r="DP510" i="4" s="1"/>
  <c r="DQ510" i="4" s="1"/>
  <c r="BA80" i="3"/>
  <c r="Y50" i="3"/>
  <c r="CD566" i="4"/>
  <c r="P12" i="9"/>
  <c r="CL566" i="4"/>
  <c r="X12" i="9"/>
  <c r="AL50" i="3"/>
  <c r="CX12" i="4"/>
  <c r="N6" i="3"/>
  <c r="CC47" i="4"/>
  <c r="Y6" i="3"/>
  <c r="Y58" i="3" s="1"/>
  <c r="CN47" i="4"/>
  <c r="AN6" i="3"/>
  <c r="AN58" i="3" s="1"/>
  <c r="AN15" i="9"/>
  <c r="AN115" i="9" s="1"/>
  <c r="BM609" i="4"/>
  <c r="M8" i="3"/>
  <c r="BU609" i="4"/>
  <c r="U8" i="3"/>
  <c r="CC609" i="4"/>
  <c r="AC8" i="3"/>
  <c r="CJ609" i="4"/>
  <c r="CR609" i="4"/>
  <c r="AR8" i="3"/>
  <c r="CW609" i="4"/>
  <c r="AW8" i="3"/>
  <c r="BN610" i="4"/>
  <c r="N9" i="3"/>
  <c r="BZ610" i="4"/>
  <c r="Z9" i="3"/>
  <c r="CP610" i="4"/>
  <c r="AP9" i="3"/>
  <c r="BJ611" i="4"/>
  <c r="J10" i="3"/>
  <c r="CH611" i="4"/>
  <c r="AH10" i="3"/>
  <c r="CV611" i="4"/>
  <c r="AV10" i="3"/>
  <c r="X11" i="3"/>
  <c r="BX19" i="4"/>
  <c r="BX25" i="4" s="1"/>
  <c r="CL33" i="3" s="1"/>
  <c r="BR23" i="4"/>
  <c r="CX23" i="4"/>
  <c r="BN51" i="4"/>
  <c r="BZ51" i="4"/>
  <c r="BV52" i="4"/>
  <c r="H13" i="3"/>
  <c r="H60" i="3" s="1"/>
  <c r="P13" i="3"/>
  <c r="AC13" i="3"/>
  <c r="AC60" i="3" s="1"/>
  <c r="AK13" i="3"/>
  <c r="AR13" i="3"/>
  <c r="AW13" i="3"/>
  <c r="BX24" i="4"/>
  <c r="BT776" i="4"/>
  <c r="BT793" i="4" s="1"/>
  <c r="CF776" i="4"/>
  <c r="CF793" i="4" s="1"/>
  <c r="CK776" i="4"/>
  <c r="CK793" i="4" s="1"/>
  <c r="CX30" i="4"/>
  <c r="CX83" i="4" s="1"/>
  <c r="BJ27" i="4"/>
  <c r="CG777" i="4"/>
  <c r="CL27" i="4"/>
  <c r="BL778" i="4"/>
  <c r="BN778" i="4" s="1"/>
  <c r="BY778" i="4"/>
  <c r="BZ778" i="4" s="1"/>
  <c r="CH28" i="4"/>
  <c r="CF779" i="4"/>
  <c r="CN779" i="4"/>
  <c r="CN829" i="4" s="1"/>
  <c r="P15" i="3"/>
  <c r="N17" i="3"/>
  <c r="Z52" i="12"/>
  <c r="AD17" i="3"/>
  <c r="AD52" i="12"/>
  <c r="P27" i="9"/>
  <c r="AT17" i="3"/>
  <c r="AH52" i="12"/>
  <c r="AF27" i="9"/>
  <c r="AF71" i="9" s="1"/>
  <c r="Z54" i="12"/>
  <c r="CC59" i="4"/>
  <c r="Y19" i="3"/>
  <c r="AK19" i="3"/>
  <c r="DB59" i="4"/>
  <c r="BB19" i="3"/>
  <c r="BV912" i="4"/>
  <c r="V20" i="3"/>
  <c r="H33" i="9"/>
  <c r="AB55" i="12"/>
  <c r="CL912" i="4"/>
  <c r="AL20" i="3"/>
  <c r="X33" i="9"/>
  <c r="X135" i="9" s="1"/>
  <c r="AF55" i="12"/>
  <c r="DB912" i="4"/>
  <c r="BB20" i="3"/>
  <c r="AN33" i="9"/>
  <c r="AJ55" i="12"/>
  <c r="BH20" i="3"/>
  <c r="X22" i="3"/>
  <c r="O36" i="9"/>
  <c r="AC22" i="3"/>
  <c r="BH22" i="3"/>
  <c r="BL919" i="4"/>
  <c r="L24" i="3"/>
  <c r="BQ919" i="4"/>
  <c r="Q24" i="3"/>
  <c r="CD39" i="4"/>
  <c r="CN919" i="4"/>
  <c r="AN24" i="3"/>
  <c r="CV919" i="4"/>
  <c r="AV24" i="3"/>
  <c r="AF40" i="9"/>
  <c r="BQ47" i="4"/>
  <c r="CL47" i="4"/>
  <c r="BN57" i="4"/>
  <c r="BV81" i="3"/>
  <c r="BR65" i="4"/>
  <c r="CD81" i="3"/>
  <c r="BV65" i="4"/>
  <c r="CQ81" i="3"/>
  <c r="BJ67" i="4"/>
  <c r="BV67" i="4"/>
  <c r="BR555" i="4"/>
  <c r="CH77" i="4"/>
  <c r="CX77" i="4"/>
  <c r="AN26" i="3"/>
  <c r="CT77" i="4"/>
  <c r="BA26" i="3"/>
  <c r="BZ83" i="4"/>
  <c r="CB89" i="4"/>
  <c r="CH85" i="4"/>
  <c r="DL89" i="4"/>
  <c r="BJ123" i="4"/>
  <c r="BZ183" i="4"/>
  <c r="CP183" i="4"/>
  <c r="BL184" i="4"/>
  <c r="BR123" i="4"/>
  <c r="BY184" i="4"/>
  <c r="BY1355" i="4" s="1"/>
  <c r="CW184" i="4"/>
  <c r="CW1355" i="4" s="1"/>
  <c r="BJ185" i="4"/>
  <c r="BJ380" i="4" s="1"/>
  <c r="BZ185" i="4"/>
  <c r="Z75" i="3"/>
  <c r="CI124" i="4"/>
  <c r="CU124" i="4"/>
  <c r="AT75" i="3"/>
  <c r="CV131" i="4"/>
  <c r="CG127" i="4"/>
  <c r="CG138" i="4"/>
  <c r="CL133" i="4"/>
  <c r="CR138" i="4"/>
  <c r="DB133" i="4"/>
  <c r="DG133" i="4" s="1"/>
  <c r="CU134" i="4"/>
  <c r="CY134" i="4"/>
  <c r="CN136" i="4"/>
  <c r="CP145" i="4"/>
  <c r="BL149" i="4"/>
  <c r="BR145" i="4"/>
  <c r="CG149" i="4"/>
  <c r="CO149" i="4"/>
  <c r="CW149" i="4"/>
  <c r="BJ145" i="4"/>
  <c r="BZ145" i="4"/>
  <c r="CQ146" i="4"/>
  <c r="BM155" i="4"/>
  <c r="BN155" i="4" s="1"/>
  <c r="BJ166" i="4"/>
  <c r="BZ166" i="4"/>
  <c r="CP166" i="4"/>
  <c r="BL175" i="4"/>
  <c r="BY170" i="4"/>
  <c r="CN170" i="4"/>
  <c r="CV175" i="4"/>
  <c r="BH174" i="4"/>
  <c r="BI178" i="4" s="1"/>
  <c r="CN174" i="4"/>
  <c r="CN178" i="4" s="1"/>
  <c r="BI175" i="4"/>
  <c r="CK176" i="4"/>
  <c r="CL176" i="4" s="1"/>
  <c r="CL175" i="4" s="1"/>
  <c r="BM1346" i="4"/>
  <c r="BN1346" i="4" s="1"/>
  <c r="M44" i="3"/>
  <c r="BU1346" i="4"/>
  <c r="BU1332" i="4" s="1"/>
  <c r="U44" i="3"/>
  <c r="CC1346" i="4"/>
  <c r="CC1332" i="4" s="1"/>
  <c r="AC44" i="3"/>
  <c r="CK1346" i="4"/>
  <c r="CK1332" i="4" s="1"/>
  <c r="AK44" i="3"/>
  <c r="CS1346" i="4"/>
  <c r="CS1332" i="4" s="1"/>
  <c r="AS44" i="3"/>
  <c r="DA1346" i="4"/>
  <c r="DA1347" i="4" s="1"/>
  <c r="BA44" i="3"/>
  <c r="BQ191" i="4"/>
  <c r="BT189" i="4"/>
  <c r="BS198" i="4"/>
  <c r="CE198" i="4"/>
  <c r="CP284" i="4"/>
  <c r="CY198" i="4"/>
  <c r="BN201" i="4"/>
  <c r="BT203" i="4"/>
  <c r="CD201" i="4"/>
  <c r="CI201" i="4" s="1"/>
  <c r="CJ203" i="4"/>
  <c r="CW203" i="4"/>
  <c r="CJ243" i="4"/>
  <c r="CR243" i="4"/>
  <c r="DA243" i="4"/>
  <c r="BT853" i="4"/>
  <c r="CB853" i="4"/>
  <c r="CH244" i="4"/>
  <c r="CO853" i="4"/>
  <c r="CW853" i="4"/>
  <c r="CD248" i="4"/>
  <c r="CD250" i="4" s="1"/>
  <c r="CP248" i="4"/>
  <c r="CP250" i="4" s="1"/>
  <c r="DB248" i="4"/>
  <c r="DB250" i="4" s="1"/>
  <c r="BN250" i="4"/>
  <c r="CB70" i="3"/>
  <c r="CA251" i="4"/>
  <c r="DD70" i="3"/>
  <c r="BN257" i="4"/>
  <c r="BN274" i="4" s="1"/>
  <c r="CD257" i="4"/>
  <c r="CD274" i="4" s="1"/>
  <c r="CT257" i="4"/>
  <c r="CT274" i="4" s="1"/>
  <c r="BN261" i="4"/>
  <c r="CH261" i="4"/>
  <c r="CP261" i="4"/>
  <c r="DB261" i="4"/>
  <c r="BR265" i="4"/>
  <c r="CF68" i="3"/>
  <c r="CH265" i="4"/>
  <c r="CV68" i="3"/>
  <c r="CX265" i="4"/>
  <c r="DL68" i="3"/>
  <c r="BZ66" i="3"/>
  <c r="CH66" i="3"/>
  <c r="CM66" i="3"/>
  <c r="CU66" i="3"/>
  <c r="DB66" i="3"/>
  <c r="DJ66" i="3"/>
  <c r="BZ266" i="4"/>
  <c r="CH266" i="4"/>
  <c r="BI267" i="4"/>
  <c r="BI381" i="4" s="1"/>
  <c r="BJ381" i="4" s="1"/>
  <c r="CZ273" i="4"/>
  <c r="DN73" i="3" s="1"/>
  <c r="BH285" i="4"/>
  <c r="BH286" i="4" s="1"/>
  <c r="BV69" i="3"/>
  <c r="BN276" i="4"/>
  <c r="BU285" i="4"/>
  <c r="BU286" i="4" s="1"/>
  <c r="CI69" i="3"/>
  <c r="CC285" i="4"/>
  <c r="CC286" i="4" s="1"/>
  <c r="CQ69" i="3"/>
  <c r="CJ285" i="4"/>
  <c r="CJ286" i="4" s="1"/>
  <c r="DF69" i="3"/>
  <c r="DK69" i="3"/>
  <c r="DL285" i="4"/>
  <c r="CB286" i="4"/>
  <c r="CW286" i="4"/>
  <c r="BL285" i="4"/>
  <c r="BL286" i="4" s="1"/>
  <c r="CR285" i="4"/>
  <c r="CR286" i="4" s="1"/>
  <c r="BV360" i="4"/>
  <c r="CI293" i="4"/>
  <c r="DC293" i="4"/>
  <c r="CE294" i="4"/>
  <c r="CP361" i="4"/>
  <c r="BN364" i="4"/>
  <c r="CD364" i="4"/>
  <c r="CM297" i="4"/>
  <c r="CY297" i="4"/>
  <c r="BV367" i="4"/>
  <c r="BV368" i="4" s="1"/>
  <c r="CM299" i="4"/>
  <c r="DC299" i="4"/>
  <c r="BP308" i="4"/>
  <c r="CV308" i="4"/>
  <c r="CX310" i="4"/>
  <c r="BN317" i="4"/>
  <c r="CD317" i="4"/>
  <c r="CT317" i="4"/>
  <c r="BQ323" i="4"/>
  <c r="CO323" i="4"/>
  <c r="CW323" i="4"/>
  <c r="BN360" i="4"/>
  <c r="CD360" i="4"/>
  <c r="CT360" i="4"/>
  <c r="BU356" i="4"/>
  <c r="CK356" i="4"/>
  <c r="DC349" i="4"/>
  <c r="BP476" i="4"/>
  <c r="BX476" i="4"/>
  <c r="CF476" i="4"/>
  <c r="CV476" i="4"/>
  <c r="BP372" i="4"/>
  <c r="CF372" i="4"/>
  <c r="CV372" i="4"/>
  <c r="BP373" i="4"/>
  <c r="BX373" i="4"/>
  <c r="CF373" i="4"/>
  <c r="CN373" i="4"/>
  <c r="CV373" i="4"/>
  <c r="CG366" i="4"/>
  <c r="CG369" i="4" s="1"/>
  <c r="CN472" i="4"/>
  <c r="CT365" i="4"/>
  <c r="CZ472" i="4"/>
  <c r="BL389" i="4"/>
  <c r="BL407" i="4" s="1"/>
  <c r="BT368" i="4"/>
  <c r="CB389" i="4"/>
  <c r="CH367" i="4"/>
  <c r="CO376" i="4"/>
  <c r="CW389" i="4"/>
  <c r="BL368" i="4"/>
  <c r="CW368" i="4"/>
  <c r="DA372" i="4"/>
  <c r="CW374" i="4"/>
  <c r="DA376" i="4"/>
  <c r="BU391" i="4"/>
  <c r="CC391" i="4"/>
  <c r="CK391" i="4"/>
  <c r="CL391" i="4" s="1"/>
  <c r="DA391" i="4"/>
  <c r="DB391" i="4" s="1"/>
  <c r="DB469" i="4" s="1"/>
  <c r="BR1009" i="4"/>
  <c r="CA385" i="4"/>
  <c r="CI385" i="4"/>
  <c r="CX1009" i="4"/>
  <c r="AI89" i="12" s="1"/>
  <c r="AA15" i="12"/>
  <c r="R43" i="3"/>
  <c r="CA387" i="4"/>
  <c r="AF15" i="12"/>
  <c r="AL43" i="3"/>
  <c r="AJ15" i="12"/>
  <c r="BB43" i="3"/>
  <c r="CO389" i="4"/>
  <c r="CO465" i="4" s="1"/>
  <c r="CS391" i="4"/>
  <c r="CT391" i="4" s="1"/>
  <c r="BV467" i="4"/>
  <c r="CL467" i="4"/>
  <c r="DB467" i="4"/>
  <c r="BU893" i="4"/>
  <c r="CF401" i="4"/>
  <c r="CF1400" i="4" s="1"/>
  <c r="BI412" i="4"/>
  <c r="BQ412" i="4"/>
  <c r="BX412" i="4"/>
  <c r="CN412" i="4"/>
  <c r="BV1206" i="4"/>
  <c r="CL1206" i="4"/>
  <c r="DB1206" i="4"/>
  <c r="DJ428" i="4"/>
  <c r="CP429" i="4"/>
  <c r="CW437" i="4"/>
  <c r="BU459" i="4"/>
  <c r="DA459" i="4"/>
  <c r="H11" i="9"/>
  <c r="H111" i="9" s="1"/>
  <c r="CT510" i="4"/>
  <c r="AF11" i="9"/>
  <c r="AT80" i="3"/>
  <c r="CX592" i="4"/>
  <c r="AJ11" i="9"/>
  <c r="AJ57" i="9" s="1"/>
  <c r="BB80" i="3"/>
  <c r="H50" i="3"/>
  <c r="H81" i="3" s="1"/>
  <c r="M50" i="3"/>
  <c r="BT566" i="4"/>
  <c r="BZ511" i="4"/>
  <c r="Z50" i="3"/>
  <c r="L12" i="9"/>
  <c r="CE488" i="4"/>
  <c r="CI488" i="4"/>
  <c r="CM488" i="4"/>
  <c r="CQ488" i="4"/>
  <c r="DB514" i="4"/>
  <c r="BZ490" i="4"/>
  <c r="BZ1407" i="4" s="1"/>
  <c r="AC44" i="12" s="1"/>
  <c r="DB490" i="4"/>
  <c r="CK494" i="4"/>
  <c r="BW497" i="4"/>
  <c r="BW498" i="4"/>
  <c r="BX506" i="4"/>
  <c r="CF506" i="4"/>
  <c r="CV506" i="4"/>
  <c r="BT509" i="4"/>
  <c r="BT511" i="4"/>
  <c r="CL511" i="4"/>
  <c r="BX512" i="4"/>
  <c r="BJ514" i="4"/>
  <c r="CP514" i="4"/>
  <c r="BU518" i="4"/>
  <c r="BU519" i="4" s="1"/>
  <c r="CC518" i="4"/>
  <c r="CC519" i="4" s="1"/>
  <c r="CK518" i="4"/>
  <c r="CK519" i="4" s="1"/>
  <c r="DA518" i="4"/>
  <c r="DA519" i="4" s="1"/>
  <c r="BT532" i="4"/>
  <c r="CF532" i="4"/>
  <c r="CZ532" i="4"/>
  <c r="CC536" i="4"/>
  <c r="CC537" i="4" s="1"/>
  <c r="BY536" i="4"/>
  <c r="BY537" i="4" s="1"/>
  <c r="BH555" i="4"/>
  <c r="BP555" i="4"/>
  <c r="BX555" i="4"/>
  <c r="CF555" i="4"/>
  <c r="CF556" i="4" s="1"/>
  <c r="CF557" i="4" s="1"/>
  <c r="CN555" i="4"/>
  <c r="CN556" i="4" s="1"/>
  <c r="CT553" i="4"/>
  <c r="DA555" i="4"/>
  <c r="DA556" i="4" s="1"/>
  <c r="DA557" i="4" s="1"/>
  <c r="BI555" i="4"/>
  <c r="CL554" i="4"/>
  <c r="CX554" i="4"/>
  <c r="CZ555" i="4"/>
  <c r="CZ556" i="4" s="1"/>
  <c r="BH563" i="4"/>
  <c r="BI563" i="4"/>
  <c r="BX566" i="4"/>
  <c r="DL583" i="4"/>
  <c r="BJ585" i="4"/>
  <c r="CX593" i="4"/>
  <c r="CE607" i="4"/>
  <c r="BQ640" i="4"/>
  <c r="BY640" i="4"/>
  <c r="CO640" i="4"/>
  <c r="CW640" i="4"/>
  <c r="CW654" i="4" s="1"/>
  <c r="BI618" i="4"/>
  <c r="CK663" i="4"/>
  <c r="CK662" i="4" s="1"/>
  <c r="CZ630" i="4"/>
  <c r="CZ629" i="4" s="1"/>
  <c r="BI617" i="4"/>
  <c r="CW617" i="4"/>
  <c r="CT628" i="4"/>
  <c r="CZ633" i="4"/>
  <c r="CP646" i="4"/>
  <c r="CX647" i="4"/>
  <c r="DB647" i="4"/>
  <c r="CD647" i="4"/>
  <c r="CT647" i="4"/>
  <c r="CL653" i="4"/>
  <c r="CX653" i="4"/>
  <c r="CT652" i="4"/>
  <c r="CH661" i="4"/>
  <c r="CO663" i="4"/>
  <c r="CO662" i="4" s="1"/>
  <c r="BU673" i="4"/>
  <c r="CB669" i="4"/>
  <c r="CB671" i="4" s="1"/>
  <c r="CR673" i="4"/>
  <c r="CW669" i="4"/>
  <c r="CW671" i="4" s="1"/>
  <c r="BP674" i="4"/>
  <c r="DJ668" i="4"/>
  <c r="BX676" i="4"/>
  <c r="CD670" i="4"/>
  <c r="CL670" i="4"/>
  <c r="CX670" i="4"/>
  <c r="BY676" i="4"/>
  <c r="BQ683" i="4"/>
  <c r="BQ681" i="4" s="1"/>
  <c r="BX701" i="4"/>
  <c r="CB701" i="4"/>
  <c r="BU706" i="4"/>
  <c r="BR761" i="4"/>
  <c r="BZ761" i="4"/>
  <c r="CH762" i="4"/>
  <c r="BM780" i="4"/>
  <c r="BM787" i="4" s="1"/>
  <c r="CB793" i="4"/>
  <c r="BQ801" i="4"/>
  <c r="CO801" i="4"/>
  <c r="CO802" i="4" s="1"/>
  <c r="CT777" i="4"/>
  <c r="BX810" i="4"/>
  <c r="CO810" i="4"/>
  <c r="BR779" i="4"/>
  <c r="CL781" i="4"/>
  <c r="DM842" i="4"/>
  <c r="DM843" i="4" s="1"/>
  <c r="DM844" i="4" s="1"/>
  <c r="CA792" i="4"/>
  <c r="BQ793" i="4"/>
  <c r="BO794" i="4"/>
  <c r="BR796" i="4"/>
  <c r="CP796" i="4"/>
  <c r="BP801" i="4"/>
  <c r="BX812" i="4"/>
  <c r="CS820" i="4"/>
  <c r="DC805" i="4"/>
  <c r="CE806" i="4"/>
  <c r="CY806" i="4"/>
  <c r="BN771" i="4"/>
  <c r="CD771" i="4"/>
  <c r="CT771" i="4"/>
  <c r="DJ771" i="4"/>
  <c r="CP820" i="4"/>
  <c r="CR823" i="4"/>
  <c r="CP821" i="4"/>
  <c r="DJ821" i="4"/>
  <c r="CD822" i="4"/>
  <c r="DN822" i="4"/>
  <c r="CP781" i="4"/>
  <c r="CH782" i="4"/>
  <c r="CX782" i="4"/>
  <c r="DN782" i="4"/>
  <c r="CB829" i="4"/>
  <c r="CB825" i="4" s="1"/>
  <c r="CN836" i="4"/>
  <c r="CK842" i="4"/>
  <c r="CK843" i="4" s="1"/>
  <c r="BI860" i="4"/>
  <c r="BI862" i="4" s="1"/>
  <c r="CS860" i="4"/>
  <c r="CS862" i="4" s="1"/>
  <c r="BP860" i="4"/>
  <c r="BP862" i="4" s="1"/>
  <c r="CF860" i="4"/>
  <c r="CF862" i="4" s="1"/>
  <c r="CV860" i="4"/>
  <c r="CV862" i="4" s="1"/>
  <c r="CP886" i="4"/>
  <c r="CC895" i="4"/>
  <c r="CK895" i="4"/>
  <c r="CS895" i="4"/>
  <c r="DA895" i="4"/>
  <c r="BN911" i="4"/>
  <c r="BV911" i="4"/>
  <c r="CC918" i="4"/>
  <c r="BL924" i="4"/>
  <c r="CO923" i="4"/>
  <c r="CW922" i="4"/>
  <c r="BP922" i="4"/>
  <c r="BP923" i="4" s="1"/>
  <c r="CL921" i="4"/>
  <c r="CZ922" i="4"/>
  <c r="BZ927" i="4"/>
  <c r="CH927" i="4"/>
  <c r="DB927" i="4"/>
  <c r="CD936" i="4"/>
  <c r="CX936" i="4"/>
  <c r="BR944" i="4"/>
  <c r="BR1008" i="4" s="1"/>
  <c r="CH944" i="4"/>
  <c r="CX944" i="4"/>
  <c r="BR977" i="4"/>
  <c r="CH977" i="4"/>
  <c r="CX977" i="4"/>
  <c r="BL947" i="4"/>
  <c r="L47" i="3"/>
  <c r="Y47" i="3"/>
  <c r="CM49" i="3" s="1"/>
  <c r="CG1181" i="4"/>
  <c r="CG1185" i="4" s="1"/>
  <c r="AG47" i="3"/>
  <c r="CU49" i="3" s="1"/>
  <c r="CN1181" i="4"/>
  <c r="CN1185" i="4" s="1"/>
  <c r="CN1196" i="4" s="1"/>
  <c r="CN1312" i="4" s="1"/>
  <c r="AN47" i="3"/>
  <c r="CV1181" i="4"/>
  <c r="CV1185" i="4" s="1"/>
  <c r="AV47" i="3"/>
  <c r="BV982" i="4"/>
  <c r="BX980" i="4" s="1"/>
  <c r="BZ980" i="4" s="1"/>
  <c r="CL982" i="4"/>
  <c r="CN980" i="4" s="1"/>
  <c r="CP980" i="4" s="1"/>
  <c r="DB982" i="4"/>
  <c r="BV987" i="4"/>
  <c r="BX985" i="4" s="1"/>
  <c r="BZ985" i="4" s="1"/>
  <c r="CL987" i="4"/>
  <c r="CN985" i="4" s="1"/>
  <c r="DB987" i="4"/>
  <c r="BT947" i="4"/>
  <c r="CZ947" i="4"/>
  <c r="CR51" i="3"/>
  <c r="BJ952" i="4"/>
  <c r="BX952" i="4"/>
  <c r="AA85" i="12"/>
  <c r="BJ955" i="4"/>
  <c r="BR955" i="4"/>
  <c r="DB955" i="4"/>
  <c r="CJ966" i="4"/>
  <c r="CL966" i="4" s="1"/>
  <c r="BV967" i="4"/>
  <c r="CL967" i="4"/>
  <c r="AJ82" i="12"/>
  <c r="AJ134" i="12" s="1"/>
  <c r="AJ146" i="12" s="1"/>
  <c r="AJ148" i="12" s="1"/>
  <c r="BV968" i="4"/>
  <c r="BH976" i="4"/>
  <c r="CR976" i="4"/>
  <c r="BJ993" i="4"/>
  <c r="CP993" i="4"/>
  <c r="BM1115" i="4"/>
  <c r="BM1116" i="4" s="1"/>
  <c r="CK1115" i="4"/>
  <c r="CK1116" i="4" s="1"/>
  <c r="CS1115" i="4"/>
  <c r="CS1116" i="4" s="1"/>
  <c r="DA1115" i="4"/>
  <c r="DA1116" i="4" s="1"/>
  <c r="DI1116" i="4" s="1"/>
  <c r="DL1116" i="4" s="1"/>
  <c r="DM1116" i="4" s="1"/>
  <c r="DP1116" i="4" s="1"/>
  <c r="DQ1116" i="4" s="1"/>
  <c r="CI1031" i="4"/>
  <c r="CS1068" i="4"/>
  <c r="DH14" i="3"/>
  <c r="DH17" i="3" s="1"/>
  <c r="BL1036" i="4"/>
  <c r="BT1036" i="4"/>
  <c r="BZ1034" i="4"/>
  <c r="CH1034" i="4"/>
  <c r="CO1036" i="4"/>
  <c r="BE1049" i="4"/>
  <c r="E33" i="3"/>
  <c r="BM1049" i="4"/>
  <c r="M33" i="3"/>
  <c r="BU1049" i="4"/>
  <c r="U33" i="3"/>
  <c r="CC1049" i="4"/>
  <c r="AC33" i="3"/>
  <c r="AG57" i="3" s="1"/>
  <c r="CK1049" i="4"/>
  <c r="AK33" i="3"/>
  <c r="CR1049" i="4"/>
  <c r="CZ1049" i="4"/>
  <c r="AZ33" i="3"/>
  <c r="BX1082" i="4"/>
  <c r="CD1078" i="4"/>
  <c r="CC1082" i="4"/>
  <c r="BM1136" i="4"/>
  <c r="BQ1136" i="4"/>
  <c r="CX1135" i="4"/>
  <c r="BX1136" i="4"/>
  <c r="CK1136" i="4"/>
  <c r="CV1136" i="4"/>
  <c r="BH1313" i="4"/>
  <c r="BN1160" i="4"/>
  <c r="BU1160" i="4"/>
  <c r="DA1160" i="4"/>
  <c r="CF1174" i="4"/>
  <c r="BZ1175" i="4"/>
  <c r="CH1175" i="4"/>
  <c r="BM1263" i="4"/>
  <c r="BT1263" i="4"/>
  <c r="CF1263" i="4"/>
  <c r="CL1212" i="4"/>
  <c r="DB1212" i="4"/>
  <c r="BR1221" i="4"/>
  <c r="CH1221" i="4"/>
  <c r="CT1221" i="4"/>
  <c r="BV1217" i="4"/>
  <c r="BV1218" i="4" s="1"/>
  <c r="CX1217" i="4"/>
  <c r="CX1218" i="4" s="1"/>
  <c r="BN1259" i="4"/>
  <c r="CD1259" i="4"/>
  <c r="CP1259" i="4"/>
  <c r="BN1233" i="4"/>
  <c r="CD1233" i="4"/>
  <c r="CP1233" i="4"/>
  <c r="CB1267" i="4"/>
  <c r="CT1194" i="4"/>
  <c r="CT1195" i="4" s="1"/>
  <c r="BL1195" i="4"/>
  <c r="CB1195" i="4"/>
  <c r="CW1195" i="4"/>
  <c r="CN1208" i="4"/>
  <c r="CP1208" i="4" s="1"/>
  <c r="BP1214" i="4"/>
  <c r="BY1211" i="4"/>
  <c r="CF1214" i="4"/>
  <c r="CO1211" i="4"/>
  <c r="CZ1214" i="4"/>
  <c r="BL1218" i="4"/>
  <c r="BT1218" i="4"/>
  <c r="CG1218" i="4"/>
  <c r="CO1218" i="4"/>
  <c r="CW1218" i="4"/>
  <c r="BJ1221" i="4"/>
  <c r="CJ1225" i="4"/>
  <c r="CL1225" i="4" s="1"/>
  <c r="CG1231" i="4"/>
  <c r="BQ1231" i="4"/>
  <c r="BP1234" i="4"/>
  <c r="BU1234" i="4"/>
  <c r="CC1234" i="4"/>
  <c r="CC1236" i="4" s="1"/>
  <c r="CC1240" i="4" s="1"/>
  <c r="CK1234" i="4"/>
  <c r="CS1234" i="4"/>
  <c r="CS1236" i="4" s="1"/>
  <c r="CJ1234" i="4"/>
  <c r="CJ1236" i="4" s="1"/>
  <c r="CN1242" i="4"/>
  <c r="CN1244" i="4" s="1"/>
  <c r="CC1239" i="4"/>
  <c r="CX1247" i="4"/>
  <c r="CH1249" i="4"/>
  <c r="CH1251" i="4" s="1"/>
  <c r="CO1251" i="4"/>
  <c r="CP1249" i="4"/>
  <c r="CP1251" i="4" s="1"/>
  <c r="CW1258" i="4"/>
  <c r="CW1260" i="4" s="1"/>
  <c r="CD1255" i="4"/>
  <c r="CL1255" i="4"/>
  <c r="DB1255" i="4"/>
  <c r="BQ1258" i="4"/>
  <c r="BQ1260" i="4" s="1"/>
  <c r="BL1258" i="4"/>
  <c r="BL1260" i="4" s="1"/>
  <c r="BU1258" i="4"/>
  <c r="BU1260" i="4" s="1"/>
  <c r="CC1258" i="4"/>
  <c r="CC1260" i="4" s="1"/>
  <c r="DJ1276" i="4"/>
  <c r="DL1276" i="4"/>
  <c r="DM1276" i="4" s="1"/>
  <c r="DL1280" i="4"/>
  <c r="DM1280" i="4" s="1"/>
  <c r="CH1291" i="4"/>
  <c r="CH1293" i="4" s="1"/>
  <c r="BR1296" i="4"/>
  <c r="CJ38" i="3"/>
  <c r="BV1247" i="4"/>
  <c r="CE1305" i="4"/>
  <c r="DD38" i="3"/>
  <c r="CQ1305" i="4"/>
  <c r="DP38" i="3"/>
  <c r="DB1247" i="4"/>
  <c r="BH1237" i="4"/>
  <c r="CD39" i="3"/>
  <c r="CL39" i="3"/>
  <c r="CT39" i="3"/>
  <c r="CN1237" i="4"/>
  <c r="DJ39" i="3"/>
  <c r="BN1315" i="4"/>
  <c r="BV1315" i="4"/>
  <c r="BH1316" i="4"/>
  <c r="CO1316" i="4"/>
  <c r="DB1317" i="4"/>
  <c r="BE1321" i="4"/>
  <c r="BX1322" i="4"/>
  <c r="CF1352" i="4"/>
  <c r="CF1350" i="4"/>
  <c r="CS1352" i="4"/>
  <c r="BH1329" i="4"/>
  <c r="BP1329" i="4"/>
  <c r="CB1329" i="4"/>
  <c r="CH1328" i="4"/>
  <c r="CH1344" i="4" s="1"/>
  <c r="BE1329" i="4"/>
  <c r="CT1335" i="4"/>
  <c r="CB1344" i="4"/>
  <c r="CB1345" i="4" s="1"/>
  <c r="CT1351" i="4"/>
  <c r="CJ1365" i="4"/>
  <c r="CB1368" i="4"/>
  <c r="DB1398" i="4"/>
  <c r="AA127" i="9"/>
  <c r="AA132" i="9" s="1"/>
  <c r="AO8" i="3"/>
  <c r="AH9" i="3"/>
  <c r="T13" i="3"/>
  <c r="AO13" i="3"/>
  <c r="CF14" i="3"/>
  <c r="CF17" i="3" s="1"/>
  <c r="CJ14" i="3"/>
  <c r="CJ17" i="3" s="1"/>
  <c r="J17" i="3"/>
  <c r="J65" i="3" s="1"/>
  <c r="H24" i="3"/>
  <c r="AZ26" i="3"/>
  <c r="CQ39" i="3"/>
  <c r="L44" i="3"/>
  <c r="AD50" i="3"/>
  <c r="T15" i="9"/>
  <c r="T115" i="9" s="1"/>
  <c r="AN31" i="9"/>
  <c r="AN133" i="9" s="1"/>
  <c r="P40" i="9"/>
  <c r="P84" i="9" s="1"/>
  <c r="BY1218" i="4"/>
  <c r="CF1218" i="4"/>
  <c r="CV1218" i="4"/>
  <c r="BM1231" i="4"/>
  <c r="BU1231" i="4"/>
  <c r="CC1231" i="4"/>
  <c r="CK1231" i="4"/>
  <c r="CS1231" i="4"/>
  <c r="DA1231" i="4"/>
  <c r="BX1234" i="4"/>
  <c r="BX1236" i="4" s="1"/>
  <c r="BX1240" i="4" s="1"/>
  <c r="CF1234" i="4"/>
  <c r="CN1234" i="4"/>
  <c r="CV1234" i="4"/>
  <c r="DA1234" i="4"/>
  <c r="BN1255" i="4"/>
  <c r="BV1255" i="4"/>
  <c r="CH1255" i="4"/>
  <c r="CX1255" i="4"/>
  <c r="BT1292" i="4"/>
  <c r="CE39" i="3"/>
  <c r="CU39" i="3"/>
  <c r="DK39" i="3"/>
  <c r="CS1321" i="4"/>
  <c r="CS1361" i="4" s="1"/>
  <c r="CZ1321" i="4"/>
  <c r="CZ1322" i="4" s="1"/>
  <c r="BM1321" i="4"/>
  <c r="BM1322" i="4" s="1"/>
  <c r="CJ1350" i="4"/>
  <c r="CR1352" i="4"/>
  <c r="CZ1350" i="4"/>
  <c r="BQ1329" i="4"/>
  <c r="CJ1338" i="4"/>
  <c r="CJ1341" i="4" s="1"/>
  <c r="CS1338" i="4"/>
  <c r="CS1341" i="4" s="1"/>
  <c r="CZ1338" i="4"/>
  <c r="CZ1337" i="4" s="1"/>
  <c r="CZ1342" i="4" s="1"/>
  <c r="BJ1398" i="4"/>
  <c r="CM39" i="3"/>
  <c r="AH19" i="12"/>
  <c r="M65" i="3"/>
  <c r="X65" i="3"/>
  <c r="DJ998" i="4"/>
  <c r="AS65" i="3"/>
  <c r="Z127" i="9"/>
  <c r="Z132" i="9" s="1"/>
  <c r="I54" i="3"/>
  <c r="N54" i="3"/>
  <c r="DN998" i="4"/>
  <c r="DD1108" i="4"/>
  <c r="DR81" i="3"/>
  <c r="DF17" i="3"/>
  <c r="CA17" i="3"/>
  <c r="AJ58" i="3"/>
  <c r="BV17" i="3"/>
  <c r="CP17" i="3"/>
  <c r="DK17" i="3"/>
  <c r="DG17" i="3"/>
  <c r="DB17" i="3"/>
  <c r="CG9" i="3"/>
  <c r="CU17" i="3"/>
  <c r="DP17" i="3"/>
  <c r="CL17" i="3"/>
  <c r="R139" i="12"/>
  <c r="CJ106" i="12"/>
  <c r="CF106" i="12"/>
  <c r="CB106" i="12"/>
  <c r="BX106" i="12"/>
  <c r="BT106" i="12"/>
  <c r="BP106" i="12"/>
  <c r="BL106" i="12"/>
  <c r="BH106" i="12"/>
  <c r="BD106" i="12"/>
  <c r="AZ106" i="12"/>
  <c r="AV106" i="12"/>
  <c r="AR106" i="12"/>
  <c r="AI106" i="12"/>
  <c r="CE106" i="12"/>
  <c r="BZ106" i="12"/>
  <c r="BU106" i="12"/>
  <c r="BO106" i="12"/>
  <c r="BJ106" i="12"/>
  <c r="BE106" i="12"/>
  <c r="AY106" i="12"/>
  <c r="AT106" i="12"/>
  <c r="AO106" i="12"/>
  <c r="AH106" i="12"/>
  <c r="CI106" i="12"/>
  <c r="CD106" i="12"/>
  <c r="BY106" i="12"/>
  <c r="BS106" i="12"/>
  <c r="BN106" i="12"/>
  <c r="BI106" i="12"/>
  <c r="BC106" i="12"/>
  <c r="AX106" i="12"/>
  <c r="AS106" i="12"/>
  <c r="AL106" i="12"/>
  <c r="AG106" i="12"/>
  <c r="CG106" i="12"/>
  <c r="BV106" i="12"/>
  <c r="BK106" i="12"/>
  <c r="BA106" i="12"/>
  <c r="AP106" i="12"/>
  <c r="CA106" i="12"/>
  <c r="BQ106" i="12"/>
  <c r="BF106" i="12"/>
  <c r="AU106" i="12"/>
  <c r="AJ106" i="12"/>
  <c r="BR106" i="12"/>
  <c r="AW106" i="12"/>
  <c r="CH106" i="12"/>
  <c r="BM106" i="12"/>
  <c r="AQ106" i="12"/>
  <c r="CC106" i="12"/>
  <c r="BG106" i="12"/>
  <c r="AK106" i="12"/>
  <c r="BW106" i="12"/>
  <c r="BB106" i="12"/>
  <c r="G31" i="12"/>
  <c r="V128" i="12"/>
  <c r="W135" i="12"/>
  <c r="V135" i="12"/>
  <c r="W128" i="12"/>
  <c r="Y123" i="9"/>
  <c r="Y124" i="9" s="1"/>
  <c r="Y67" i="9"/>
  <c r="AC123" i="9"/>
  <c r="AC124" i="9" s="1"/>
  <c r="AC67" i="9"/>
  <c r="AC68" i="9" s="1"/>
  <c r="H150" i="9"/>
  <c r="H91" i="9"/>
  <c r="X150" i="9"/>
  <c r="X91" i="9"/>
  <c r="AN150" i="9"/>
  <c r="AN91" i="9"/>
  <c r="P110" i="9"/>
  <c r="P56" i="9"/>
  <c r="AF110" i="9"/>
  <c r="AF56" i="9"/>
  <c r="L111" i="9"/>
  <c r="L57" i="9"/>
  <c r="AB111" i="9"/>
  <c r="AB57" i="9"/>
  <c r="L115" i="9"/>
  <c r="L61" i="9"/>
  <c r="N123" i="9"/>
  <c r="N124" i="9" s="1"/>
  <c r="N67" i="9"/>
  <c r="N68" i="9" s="1"/>
  <c r="AD122" i="9"/>
  <c r="AD66" i="9"/>
  <c r="L133" i="9"/>
  <c r="L75" i="9"/>
  <c r="L150" i="9"/>
  <c r="L91" i="9"/>
  <c r="AB150" i="9"/>
  <c r="AB91" i="9"/>
  <c r="D110" i="9"/>
  <c r="D56" i="9"/>
  <c r="T110" i="9"/>
  <c r="T56" i="9"/>
  <c r="AJ110" i="9"/>
  <c r="AJ56" i="9"/>
  <c r="P111" i="9"/>
  <c r="P57" i="9"/>
  <c r="O123" i="9"/>
  <c r="O124" i="9" s="1"/>
  <c r="O67" i="9"/>
  <c r="O68" i="9" s="1"/>
  <c r="AE122" i="9"/>
  <c r="AE66" i="9"/>
  <c r="P150" i="9"/>
  <c r="P91" i="9"/>
  <c r="AF150" i="9"/>
  <c r="AF91" i="9"/>
  <c r="X110" i="9"/>
  <c r="X56" i="9"/>
  <c r="AN110" i="9"/>
  <c r="AN56" i="9"/>
  <c r="T111" i="9"/>
  <c r="T57" i="9"/>
  <c r="Y22" i="9"/>
  <c r="AC22" i="9"/>
  <c r="AG22" i="9"/>
  <c r="U38" i="9"/>
  <c r="Y38" i="9"/>
  <c r="T150" i="9"/>
  <c r="T91" i="9"/>
  <c r="AJ150" i="9"/>
  <c r="AJ91" i="9"/>
  <c r="L110" i="9"/>
  <c r="L56" i="9"/>
  <c r="AB110" i="9"/>
  <c r="AB56" i="9"/>
  <c r="X111" i="9"/>
  <c r="X57" i="9"/>
  <c r="AN111" i="9"/>
  <c r="AN57" i="9"/>
  <c r="Q121" i="9"/>
  <c r="Q127" i="9" s="1"/>
  <c r="Q132" i="9" s="1"/>
  <c r="Q65" i="9"/>
  <c r="U121" i="9"/>
  <c r="U127" i="9" s="1"/>
  <c r="U132" i="9" s="1"/>
  <c r="U65" i="9"/>
  <c r="AG122" i="9"/>
  <c r="M123" i="9"/>
  <c r="M124" i="9" s="1"/>
  <c r="M67" i="9"/>
  <c r="M68" i="9" s="1"/>
  <c r="Q23" i="9"/>
  <c r="U23" i="9"/>
  <c r="AG23" i="9"/>
  <c r="AC122" i="9"/>
  <c r="AC66" i="9"/>
  <c r="H128" i="9"/>
  <c r="H71" i="9"/>
  <c r="M43" i="9"/>
  <c r="M145" i="9" s="1"/>
  <c r="Q43" i="9"/>
  <c r="Q145" i="9" s="1"/>
  <c r="U43" i="9"/>
  <c r="U145" i="9" s="1"/>
  <c r="Y43" i="9"/>
  <c r="Y145" i="9" s="1"/>
  <c r="AH120" i="9"/>
  <c r="AG118" i="9"/>
  <c r="AG127" i="9" s="1"/>
  <c r="AG132" i="9" s="1"/>
  <c r="AI118" i="9"/>
  <c r="AG130" i="9"/>
  <c r="AH130" i="9"/>
  <c r="AI129" i="9"/>
  <c r="AG120" i="9"/>
  <c r="AH129" i="9"/>
  <c r="BE3" i="4"/>
  <c r="BF2" i="4"/>
  <c r="CX565" i="4"/>
  <c r="CB18" i="4"/>
  <c r="BR854" i="4"/>
  <c r="BR245" i="4"/>
  <c r="CX854" i="4"/>
  <c r="CX245" i="4"/>
  <c r="BJ883" i="4"/>
  <c r="CH883" i="4"/>
  <c r="DB1131" i="4"/>
  <c r="DB928" i="4"/>
  <c r="DM1131" i="4"/>
  <c r="DM928" i="4"/>
  <c r="CR47" i="4"/>
  <c r="DB47" i="4"/>
  <c r="BZ50" i="4"/>
  <c r="CP50" i="4"/>
  <c r="CR59" i="4"/>
  <c r="BZ553" i="4"/>
  <c r="CB1043" i="4"/>
  <c r="CB554" i="4"/>
  <c r="CB555" i="4" s="1"/>
  <c r="CB77" i="4"/>
  <c r="BX89" i="4"/>
  <c r="CN89" i="4"/>
  <c r="BV183" i="4"/>
  <c r="BW122" i="4"/>
  <c r="BV123" i="4"/>
  <c r="CL183" i="4"/>
  <c r="CM122" i="4"/>
  <c r="CL123" i="4"/>
  <c r="DB183" i="4"/>
  <c r="DC122" i="4"/>
  <c r="DB123" i="4"/>
  <c r="DG123" i="4" s="1"/>
  <c r="BJ155" i="4"/>
  <c r="BZ155" i="4"/>
  <c r="BQ157" i="4"/>
  <c r="CG175" i="4"/>
  <c r="CG170" i="4"/>
  <c r="BL176" i="4"/>
  <c r="BL174" i="4"/>
  <c r="BT174" i="4"/>
  <c r="BU178" i="4" s="1"/>
  <c r="BT176" i="4"/>
  <c r="BT180" i="4" s="1"/>
  <c r="CB176" i="4"/>
  <c r="CB174" i="4"/>
  <c r="CB178" i="4" s="1"/>
  <c r="CJ174" i="4"/>
  <c r="CJ176" i="4"/>
  <c r="CJ180" i="4" s="1"/>
  <c r="CR176" i="4"/>
  <c r="CR174" i="4"/>
  <c r="CZ176" i="4"/>
  <c r="CZ174" i="4"/>
  <c r="BI380" i="4"/>
  <c r="BI191" i="4"/>
  <c r="BJ517" i="4"/>
  <c r="BJ518" i="4" s="1"/>
  <c r="BJ519" i="4" s="1"/>
  <c r="BJ383" i="4"/>
  <c r="BZ517" i="4"/>
  <c r="BZ383" i="4"/>
  <c r="CP517" i="4"/>
  <c r="CP383" i="4"/>
  <c r="BJ284" i="4"/>
  <c r="BI203" i="4"/>
  <c r="BJ201" i="4"/>
  <c r="BZ203" i="4"/>
  <c r="CA202" i="4"/>
  <c r="CE202" i="4"/>
  <c r="CQ202" i="4"/>
  <c r="CU202" i="4"/>
  <c r="BN244" i="4"/>
  <c r="BM243" i="4"/>
  <c r="CB865" i="4"/>
  <c r="CB866" i="4" s="1"/>
  <c r="CB267" i="4"/>
  <c r="CB381" i="4" s="1"/>
  <c r="CW865" i="4"/>
  <c r="CW267" i="4"/>
  <c r="CW381" i="4" s="1"/>
  <c r="CX381" i="4" s="1"/>
  <c r="DB266" i="4"/>
  <c r="BY12" i="4"/>
  <c r="CD12" i="4"/>
  <c r="CT12" i="4"/>
  <c r="BQ565" i="4"/>
  <c r="CD565" i="4"/>
  <c r="CO565" i="4"/>
  <c r="DB565" i="4"/>
  <c r="BJ15" i="4"/>
  <c r="BO15" i="4"/>
  <c r="CP15" i="4"/>
  <c r="BH18" i="4"/>
  <c r="BM18" i="4"/>
  <c r="BX612" i="4"/>
  <c r="CC18" i="4"/>
  <c r="CN18" i="4"/>
  <c r="CR48" i="4" s="1"/>
  <c r="CS18" i="4"/>
  <c r="CF23" i="4"/>
  <c r="CJ53" i="4" s="1"/>
  <c r="BO26" i="4"/>
  <c r="CE26" i="4"/>
  <c r="CT29" i="4"/>
  <c r="BL30" i="4"/>
  <c r="BT30" i="4"/>
  <c r="CF30" i="4"/>
  <c r="CJ30" i="4"/>
  <c r="CN30" i="4"/>
  <c r="CR30" i="4"/>
  <c r="CV55" i="4" s="1"/>
  <c r="BV854" i="4"/>
  <c r="BV245" i="4"/>
  <c r="CL854" i="4"/>
  <c r="CL245" i="4"/>
  <c r="DB854" i="4"/>
  <c r="DB245" i="4"/>
  <c r="DG245" i="4" s="1"/>
  <c r="BN883" i="4"/>
  <c r="BV34" i="4"/>
  <c r="CJ883" i="4"/>
  <c r="CP34" i="4"/>
  <c r="CT59" i="4" s="1"/>
  <c r="BJ39" i="4"/>
  <c r="DB39" i="4"/>
  <c r="BJ1131" i="4"/>
  <c r="BJ928" i="4"/>
  <c r="BZ1131" i="4"/>
  <c r="BZ928" i="4"/>
  <c r="CP1131" i="4"/>
  <c r="CP928" i="4"/>
  <c r="DI1131" i="4"/>
  <c r="DI928" i="4"/>
  <c r="CS47" i="4"/>
  <c r="CX47" i="4"/>
  <c r="BR51" i="4"/>
  <c r="BP53" i="4"/>
  <c r="BU53" i="4"/>
  <c r="CV53" i="4"/>
  <c r="DA53" i="4"/>
  <c r="CH59" i="4"/>
  <c r="BN555" i="4"/>
  <c r="CD553" i="4"/>
  <c r="CD76" i="4"/>
  <c r="BR77" i="4"/>
  <c r="CZ83" i="4"/>
  <c r="BY1043" i="4"/>
  <c r="CD85" i="4"/>
  <c r="CJ1043" i="4"/>
  <c r="CO1043" i="4"/>
  <c r="CZ1043" i="4"/>
  <c r="DJ85" i="4"/>
  <c r="BY89" i="4"/>
  <c r="CJ89" i="4"/>
  <c r="CJ98" i="4" s="1"/>
  <c r="CO89" i="4"/>
  <c r="CO98" i="4" s="1"/>
  <c r="CZ89" i="4"/>
  <c r="BM184" i="4"/>
  <c r="BM127" i="4"/>
  <c r="CO184" i="4"/>
  <c r="CO138" i="4"/>
  <c r="CD145" i="4"/>
  <c r="CE144" i="4"/>
  <c r="CI144" i="4"/>
  <c r="CU144" i="4"/>
  <c r="CY144" i="4"/>
  <c r="CM146" i="4"/>
  <c r="CL145" i="4"/>
  <c r="DC146" i="4"/>
  <c r="DB145" i="4"/>
  <c r="DG145" i="4" s="1"/>
  <c r="CF149" i="4"/>
  <c r="BI159" i="4"/>
  <c r="BM170" i="4"/>
  <c r="CB175" i="4"/>
  <c r="CW175" i="4"/>
  <c r="CW170" i="4"/>
  <c r="BL170" i="4"/>
  <c r="BY524" i="4"/>
  <c r="BY526" i="4" s="1"/>
  <c r="BY380" i="4"/>
  <c r="BY191" i="4"/>
  <c r="BY187" i="4"/>
  <c r="CG524" i="4"/>
  <c r="CG526" i="4" s="1"/>
  <c r="CG380" i="4"/>
  <c r="CG191" i="4"/>
  <c r="CG187" i="4"/>
  <c r="CG282" i="4" s="1"/>
  <c r="CU67" i="3" s="1"/>
  <c r="CO524" i="4"/>
  <c r="CO526" i="4" s="1"/>
  <c r="CO380" i="4"/>
  <c r="CO191" i="4"/>
  <c r="CO187" i="4"/>
  <c r="CO279" i="4" s="1"/>
  <c r="CW524" i="4"/>
  <c r="CW526" i="4" s="1"/>
  <c r="CW380" i="4"/>
  <c r="CW191" i="4"/>
  <c r="CW187" i="4"/>
  <c r="CW282" i="4" s="1"/>
  <c r="DK67" i="3" s="1"/>
  <c r="CB189" i="4"/>
  <c r="CB191" i="4"/>
  <c r="BO198" i="4"/>
  <c r="BJ244" i="4"/>
  <c r="BH243" i="4"/>
  <c r="CC853" i="4"/>
  <c r="CD244" i="4"/>
  <c r="CC243" i="4"/>
  <c r="BR250" i="4"/>
  <c r="CP1235" i="4"/>
  <c r="CP861" i="4"/>
  <c r="CT248" i="4"/>
  <c r="BV275" i="4"/>
  <c r="CL275" i="4"/>
  <c r="DB275" i="4"/>
  <c r="CR865" i="4"/>
  <c r="CR267" i="4"/>
  <c r="CR381" i="4" s="1"/>
  <c r="BY565" i="4"/>
  <c r="CN565" i="4"/>
  <c r="CG612" i="4"/>
  <c r="CR612" i="4"/>
  <c r="BN23" i="4"/>
  <c r="CH854" i="4"/>
  <c r="CH245" i="4"/>
  <c r="BU883" i="4"/>
  <c r="CN883" i="4"/>
  <c r="DB883" i="4"/>
  <c r="BV1131" i="4"/>
  <c r="BV928" i="4"/>
  <c r="CL1131" i="4"/>
  <c r="CL928" i="4"/>
  <c r="BT53" i="4"/>
  <c r="CO53" i="4"/>
  <c r="CZ53" i="4"/>
  <c r="CC89" i="4"/>
  <c r="CS89" i="4"/>
  <c r="BD3" i="4"/>
  <c r="BJ565" i="4"/>
  <c r="CH565" i="4"/>
  <c r="CP14" i="4"/>
  <c r="CL15" i="4"/>
  <c r="DB15" i="4"/>
  <c r="CD17" i="4"/>
  <c r="CX17" i="4"/>
  <c r="BI18" i="4"/>
  <c r="CJ18" i="4"/>
  <c r="CO18" i="4"/>
  <c r="CZ18" i="4"/>
  <c r="DD48" i="4" s="1"/>
  <c r="CH21" i="4"/>
  <c r="BV26" i="4"/>
  <c r="CP29" i="4"/>
  <c r="BH30" i="4"/>
  <c r="BY30" i="4"/>
  <c r="CG30" i="4"/>
  <c r="CK30" i="4"/>
  <c r="CS30" i="4"/>
  <c r="BJ854" i="4"/>
  <c r="BJ245" i="4"/>
  <c r="BZ854" i="4"/>
  <c r="BZ245" i="4"/>
  <c r="CP854" i="4"/>
  <c r="CP245" i="4"/>
  <c r="BR883" i="4"/>
  <c r="BY883" i="4"/>
  <c r="CK883" i="4"/>
  <c r="CT883" i="4"/>
  <c r="BZ912" i="4"/>
  <c r="DN35" i="4"/>
  <c r="AM55" i="12" s="1"/>
  <c r="BV39" i="4"/>
  <c r="CT39" i="4"/>
  <c r="CX39" i="4"/>
  <c r="BN1131" i="4"/>
  <c r="BN928" i="4"/>
  <c r="CD1131" i="4"/>
  <c r="CD928" i="4"/>
  <c r="CT1131" i="4"/>
  <c r="CT928" i="4"/>
  <c r="DJ43" i="4"/>
  <c r="AL86" i="12" s="1"/>
  <c r="BN47" i="4"/>
  <c r="BY47" i="4"/>
  <c r="BR50" i="4"/>
  <c r="CH50" i="4"/>
  <c r="CX50" i="4"/>
  <c r="CD51" i="4"/>
  <c r="CJ51" i="4"/>
  <c r="CT51" i="4"/>
  <c r="BL53" i="4"/>
  <c r="BQ53" i="4"/>
  <c r="CB53" i="4"/>
  <c r="CR53" i="4"/>
  <c r="CW53" i="4"/>
  <c r="BV57" i="4"/>
  <c r="CL57" i="4"/>
  <c r="DB57" i="4"/>
  <c r="BN59" i="4"/>
  <c r="BY59" i="4"/>
  <c r="CO59" i="4"/>
  <c r="BN77" i="4"/>
  <c r="CC81" i="4"/>
  <c r="BZ85" i="4"/>
  <c r="CP85" i="4"/>
  <c r="DA1043" i="4"/>
  <c r="CF89" i="4"/>
  <c r="CF98" i="4" s="1"/>
  <c r="CK89" i="4"/>
  <c r="CK98" i="4" s="1"/>
  <c r="CV89" i="4"/>
  <c r="CV98" i="4" s="1"/>
  <c r="DA89" i="4"/>
  <c r="CD183" i="4"/>
  <c r="CE122" i="4"/>
  <c r="CD123" i="4"/>
  <c r="CT183" i="4"/>
  <c r="CU122" i="4"/>
  <c r="CT123" i="4"/>
  <c r="BM157" i="4"/>
  <c r="BN153" i="4"/>
  <c r="BU159" i="4"/>
  <c r="BV155" i="4"/>
  <c r="CC157" i="4"/>
  <c r="CD153" i="4"/>
  <c r="CK157" i="4"/>
  <c r="CL153" i="4"/>
  <c r="CS157" i="4"/>
  <c r="CS162" i="4" s="1"/>
  <c r="CT153" i="4"/>
  <c r="DA157" i="4"/>
  <c r="DA162" i="4" s="1"/>
  <c r="DB153" i="4"/>
  <c r="DG153" i="4" s="1"/>
  <c r="BP157" i="4"/>
  <c r="CR175" i="4"/>
  <c r="CZ175" i="4"/>
  <c r="CJ175" i="4"/>
  <c r="BT524" i="4"/>
  <c r="BT187" i="4"/>
  <c r="BT380" i="4"/>
  <c r="CH203" i="4"/>
  <c r="BS202" i="4"/>
  <c r="BW202" i="4"/>
  <c r="CI202" i="4"/>
  <c r="CM202" i="4"/>
  <c r="CY202" i="4"/>
  <c r="DC202" i="4"/>
  <c r="BX853" i="4"/>
  <c r="BZ244" i="4"/>
  <c r="CS853" i="4"/>
  <c r="CT244" i="4"/>
  <c r="CS243" i="4"/>
  <c r="BR1235" i="4"/>
  <c r="BR861" i="4"/>
  <c r="BR860" i="4" s="1"/>
  <c r="BR862" i="4" s="1"/>
  <c r="BV248" i="4"/>
  <c r="CD1235" i="4"/>
  <c r="CD861" i="4"/>
  <c r="CE251" i="4"/>
  <c r="BJ275" i="4"/>
  <c r="BJ276" i="4"/>
  <c r="BJ265" i="4"/>
  <c r="BZ276" i="4"/>
  <c r="BZ265" i="4"/>
  <c r="CP276" i="4"/>
  <c r="CP265" i="4"/>
  <c r="BQ865" i="4"/>
  <c r="BQ267" i="4"/>
  <c r="BQ381" i="4" s="1"/>
  <c r="BR381" i="4" s="1"/>
  <c r="BV266" i="4"/>
  <c r="CL12" i="4"/>
  <c r="BN565" i="4"/>
  <c r="BV565" i="4"/>
  <c r="CL565" i="4"/>
  <c r="CT565" i="4"/>
  <c r="BQ15" i="4"/>
  <c r="BV15" i="4"/>
  <c r="CH15" i="4"/>
  <c r="CX15" i="4"/>
  <c r="BT17" i="4"/>
  <c r="CT17" i="4"/>
  <c r="BP18" i="4"/>
  <c r="BU18" i="4"/>
  <c r="BZ18" i="4"/>
  <c r="CF18" i="4"/>
  <c r="CK18" i="4"/>
  <c r="CV18" i="4"/>
  <c r="DA18" i="4"/>
  <c r="DE48" i="4" s="1"/>
  <c r="CR24" i="4"/>
  <c r="BS26" i="4"/>
  <c r="BO27" i="4"/>
  <c r="BO28" i="4"/>
  <c r="CT28" i="4"/>
  <c r="CH29" i="4"/>
  <c r="CL29" i="4"/>
  <c r="BI30" i="4"/>
  <c r="BN854" i="4"/>
  <c r="BN245" i="4"/>
  <c r="CD854" i="4"/>
  <c r="CD245" i="4"/>
  <c r="CT854" i="4"/>
  <c r="CT245" i="4"/>
  <c r="BT883" i="4"/>
  <c r="CD883" i="4"/>
  <c r="CL34" i="4"/>
  <c r="CX883" i="4"/>
  <c r="DJ35" i="4"/>
  <c r="BR39" i="4"/>
  <c r="CH39" i="4"/>
  <c r="CP39" i="4"/>
  <c r="BR1131" i="4"/>
  <c r="BR928" i="4"/>
  <c r="CH1131" i="4"/>
  <c r="CH928" i="4"/>
  <c r="CX1131" i="4"/>
  <c r="CX928" i="4"/>
  <c r="DL1131" i="4"/>
  <c r="DL928" i="4"/>
  <c r="BU47" i="4"/>
  <c r="BZ47" i="4"/>
  <c r="CF51" i="4"/>
  <c r="CK51" i="4"/>
  <c r="BM53" i="4"/>
  <c r="BX53" i="4"/>
  <c r="CC53" i="4"/>
  <c r="CN53" i="4"/>
  <c r="CS53" i="4"/>
  <c r="BR57" i="4"/>
  <c r="CH57" i="4"/>
  <c r="CX57" i="4"/>
  <c r="BU59" i="4"/>
  <c r="CK59" i="4"/>
  <c r="BJ77" i="4"/>
  <c r="BZ77" i="4"/>
  <c r="CP77" i="4"/>
  <c r="BQ83" i="4"/>
  <c r="CB83" i="4"/>
  <c r="CW83" i="4"/>
  <c r="CG1043" i="4"/>
  <c r="CL85" i="4"/>
  <c r="CR1043" i="4"/>
  <c r="CW1043" i="4"/>
  <c r="DB85" i="4"/>
  <c r="CG89" i="4"/>
  <c r="CR89" i="4"/>
  <c r="CR98" i="4" s="1"/>
  <c r="CW89" i="4"/>
  <c r="BR183" i="4"/>
  <c r="CH183" i="4"/>
  <c r="CX183" i="4"/>
  <c r="CG184" i="4"/>
  <c r="CR184" i="4"/>
  <c r="CW138" i="4"/>
  <c r="CM144" i="4"/>
  <c r="Y65" i="9" s="1"/>
  <c r="Y83" i="9" s="1"/>
  <c r="Y85" i="9" s="1"/>
  <c r="CQ144" i="4"/>
  <c r="BY149" i="4"/>
  <c r="CU146" i="4"/>
  <c r="CT145" i="4"/>
  <c r="BP149" i="4"/>
  <c r="BH325" i="4"/>
  <c r="BH153" i="4"/>
  <c r="BP325" i="4"/>
  <c r="BP332" i="4" s="1"/>
  <c r="BP155" i="4"/>
  <c r="BX325" i="4"/>
  <c r="BX332" i="4" s="1"/>
  <c r="BX153" i="4"/>
  <c r="CF325" i="4"/>
  <c r="CF153" i="4"/>
  <c r="CF155" i="4"/>
  <c r="CN325" i="4"/>
  <c r="CN332" i="4" s="1"/>
  <c r="CN153" i="4"/>
  <c r="CN155" i="4"/>
  <c r="CV325" i="4"/>
  <c r="CV332" i="4" s="1"/>
  <c r="CV153" i="4"/>
  <c r="CV155" i="4"/>
  <c r="BX155" i="4"/>
  <c r="BQ175" i="4"/>
  <c r="BQ170" i="4"/>
  <c r="CS170" i="4"/>
  <c r="BJ174" i="4"/>
  <c r="BR176" i="4"/>
  <c r="BZ174" i="4"/>
  <c r="CH176" i="4"/>
  <c r="CP174" i="4"/>
  <c r="CW180" i="4"/>
  <c r="CX176" i="4"/>
  <c r="BT175" i="4"/>
  <c r="BP1346" i="4"/>
  <c r="BP1347" i="4" s="1"/>
  <c r="BP189" i="4"/>
  <c r="BX1346" i="4"/>
  <c r="BX1332" i="4" s="1"/>
  <c r="BX189" i="4"/>
  <c r="CF1346" i="4"/>
  <c r="CF1347" i="4" s="1"/>
  <c r="CF189" i="4"/>
  <c r="CN1346" i="4"/>
  <c r="CN1347" i="4" s="1"/>
  <c r="CN189" i="4"/>
  <c r="CV1346" i="4"/>
  <c r="CV1347" i="4" s="1"/>
  <c r="CV189" i="4"/>
  <c r="BN185" i="4"/>
  <c r="CC524" i="4"/>
  <c r="CC526" i="4" s="1"/>
  <c r="CC380" i="4"/>
  <c r="CC191" i="4"/>
  <c r="CC187" i="4"/>
  <c r="CC282" i="4" s="1"/>
  <c r="CQ67" i="3" s="1"/>
  <c r="CK524" i="4"/>
  <c r="CK526" i="4" s="1"/>
  <c r="CK380" i="4"/>
  <c r="CK191" i="4"/>
  <c r="CK187" i="4"/>
  <c r="CK279" i="4" s="1"/>
  <c r="CS524" i="4"/>
  <c r="CS526" i="4" s="1"/>
  <c r="CS191" i="4"/>
  <c r="CS380" i="4"/>
  <c r="CS187" i="4"/>
  <c r="DA524" i="4"/>
  <c r="DA526" i="4" s="1"/>
  <c r="DA380" i="4"/>
  <c r="DA191" i="4"/>
  <c r="DA187" i="4"/>
  <c r="BI187" i="4"/>
  <c r="BL191" i="4"/>
  <c r="CN853" i="4"/>
  <c r="CP244" i="4"/>
  <c r="CD275" i="4"/>
  <c r="CT275" i="4"/>
  <c r="CD265" i="4"/>
  <c r="BL865" i="4"/>
  <c r="BL267" i="4"/>
  <c r="BL381" i="4" s="1"/>
  <c r="CG865" i="4"/>
  <c r="CG267" i="4"/>
  <c r="CG381" i="4" s="1"/>
  <c r="CH381" i="4" s="1"/>
  <c r="CL266" i="4"/>
  <c r="CA122" i="4"/>
  <c r="CI122" i="4"/>
  <c r="CQ122" i="4"/>
  <c r="CY122" i="4"/>
  <c r="BZ123" i="4"/>
  <c r="CH123" i="4"/>
  <c r="CP123" i="4"/>
  <c r="CX123" i="4"/>
  <c r="BP127" i="4"/>
  <c r="BX127" i="4"/>
  <c r="CF127" i="4"/>
  <c r="CN127" i="4"/>
  <c r="CV127" i="4"/>
  <c r="CG136" i="4"/>
  <c r="BI153" i="4"/>
  <c r="BT153" i="4"/>
  <c r="BY153" i="4"/>
  <c r="BL155" i="4"/>
  <c r="BQ155" i="4"/>
  <c r="U76" i="3" s="1"/>
  <c r="CB155" i="4"/>
  <c r="CJ155" i="4"/>
  <c r="CR155" i="4"/>
  <c r="CZ155" i="4"/>
  <c r="BQ174" i="4"/>
  <c r="CG174" i="4"/>
  <c r="CV174" i="4"/>
  <c r="BM175" i="4"/>
  <c r="BX175" i="4"/>
  <c r="CC175" i="4"/>
  <c r="CN175" i="4"/>
  <c r="CS175" i="4"/>
  <c r="DA175" i="4"/>
  <c r="DD179" i="4" s="1"/>
  <c r="BI176" i="4"/>
  <c r="BY176" i="4"/>
  <c r="CO176" i="4"/>
  <c r="BF1346" i="4"/>
  <c r="BJ183" i="4"/>
  <c r="CB524" i="4"/>
  <c r="CB526" i="4" s="1"/>
  <c r="CF524" i="4"/>
  <c r="CJ524" i="4"/>
  <c r="CN524" i="4"/>
  <c r="CR524" i="4"/>
  <c r="CR526" i="4" s="1"/>
  <c r="CV524" i="4"/>
  <c r="CZ524" i="4"/>
  <c r="BH518" i="4"/>
  <c r="BH519" i="4" s="1"/>
  <c r="BH187" i="4"/>
  <c r="BM187" i="4"/>
  <c r="BQ187" i="4"/>
  <c r="BQ279" i="4" s="1"/>
  <c r="BI189" i="4"/>
  <c r="BQ189" i="4"/>
  <c r="BY189" i="4"/>
  <c r="CG189" i="4"/>
  <c r="CO189" i="4"/>
  <c r="CW189" i="4"/>
  <c r="BL203" i="4"/>
  <c r="BP203" i="4"/>
  <c r="BX203" i="4"/>
  <c r="CB203" i="4"/>
  <c r="CF203" i="4"/>
  <c r="CN203" i="4"/>
  <c r="CR203" i="4"/>
  <c r="BV244" i="4"/>
  <c r="CL244" i="4"/>
  <c r="DB244" i="4"/>
  <c r="BN1235" i="4"/>
  <c r="BN861" i="4"/>
  <c r="BN860" i="4" s="1"/>
  <c r="BN862" i="4" s="1"/>
  <c r="CL1235" i="4"/>
  <c r="CL861" i="4"/>
  <c r="CL860" i="4" s="1"/>
  <c r="CL862" i="4" s="1"/>
  <c r="DB1235" i="4"/>
  <c r="DB861" i="4"/>
  <c r="BP865" i="4"/>
  <c r="BU865" i="4"/>
  <c r="CF865" i="4"/>
  <c r="CK865" i="4"/>
  <c r="CV865" i="4"/>
  <c r="DA865" i="4"/>
  <c r="BH267" i="4"/>
  <c r="BH381" i="4" s="1"/>
  <c r="BM267" i="4"/>
  <c r="BM381" i="4" s="1"/>
  <c r="BN381" i="4" s="1"/>
  <c r="BX267" i="4"/>
  <c r="BX381" i="4" s="1"/>
  <c r="CC267" i="4"/>
  <c r="CC381" i="4" s="1"/>
  <c r="CD381" i="4" s="1"/>
  <c r="CN267" i="4"/>
  <c r="CN381" i="4" s="1"/>
  <c r="CS267" i="4"/>
  <c r="CS381" i="4" s="1"/>
  <c r="CT381" i="4" s="1"/>
  <c r="BR276" i="4"/>
  <c r="CH276" i="4"/>
  <c r="CX276" i="4"/>
  <c r="BV284" i="4"/>
  <c r="CL284" i="4"/>
  <c r="DB284" i="4"/>
  <c r="BJ298" i="4"/>
  <c r="BZ298" i="4"/>
  <c r="CH298" i="4"/>
  <c r="CL298" i="4"/>
  <c r="CP298" i="4"/>
  <c r="CT298" i="4"/>
  <c r="CX298" i="4"/>
  <c r="CQ299" i="4"/>
  <c r="CY299" i="4"/>
  <c r="BR301" i="4"/>
  <c r="CL310" i="4"/>
  <c r="DB310" i="4"/>
  <c r="BI323" i="4"/>
  <c r="BY323" i="4"/>
  <c r="CG323" i="4"/>
  <c r="BI325" i="4"/>
  <c r="BQ325" i="4"/>
  <c r="BY325" i="4"/>
  <c r="CG325" i="4"/>
  <c r="CG332" i="4" s="1"/>
  <c r="CO325" i="4"/>
  <c r="CW325" i="4"/>
  <c r="CT348" i="4"/>
  <c r="BH476" i="4"/>
  <c r="BM476" i="4"/>
  <c r="BR360" i="4"/>
  <c r="CC476" i="4"/>
  <c r="CH360" i="4"/>
  <c r="CN476" i="4"/>
  <c r="CS476" i="4"/>
  <c r="CX360" i="4"/>
  <c r="BL477" i="4"/>
  <c r="BL478" i="4"/>
  <c r="BQ477" i="4"/>
  <c r="BQ478" i="4"/>
  <c r="CB477" i="4"/>
  <c r="CB478" i="4"/>
  <c r="CG477" i="4"/>
  <c r="CG478" i="4"/>
  <c r="CR477" i="4"/>
  <c r="CR478" i="4"/>
  <c r="CW477" i="4"/>
  <c r="CW478" i="4"/>
  <c r="BZ364" i="4"/>
  <c r="CP364" i="4"/>
  <c r="BH366" i="4"/>
  <c r="BH369" i="4" s="1"/>
  <c r="BM366" i="4"/>
  <c r="BM369" i="4" s="1"/>
  <c r="BX366" i="4"/>
  <c r="CC366" i="4"/>
  <c r="CN366" i="4"/>
  <c r="CS366" i="4"/>
  <c r="CS369" i="4" s="1"/>
  <c r="CL367" i="4"/>
  <c r="BP368" i="4"/>
  <c r="BU368" i="4"/>
  <c r="CF368" i="4"/>
  <c r="CK368" i="4"/>
  <c r="DA368" i="4"/>
  <c r="DB368" i="4" s="1"/>
  <c r="BP371" i="4"/>
  <c r="BX371" i="4"/>
  <c r="CF371" i="4"/>
  <c r="CN371" i="4"/>
  <c r="CV371" i="4"/>
  <c r="BL372" i="4"/>
  <c r="CB372" i="4"/>
  <c r="CJ372" i="4"/>
  <c r="CR372" i="4"/>
  <c r="BQ373" i="4"/>
  <c r="CG373" i="4"/>
  <c r="CW373" i="4"/>
  <c r="BP374" i="4"/>
  <c r="CF374" i="4"/>
  <c r="CN374" i="4"/>
  <c r="CV374" i="4"/>
  <c r="BL376" i="4"/>
  <c r="BT376" i="4"/>
  <c r="CB376" i="4"/>
  <c r="CJ376" i="4"/>
  <c r="CR376" i="4"/>
  <c r="CZ376" i="4"/>
  <c r="BM380" i="4"/>
  <c r="CR380" i="4"/>
  <c r="CT383" i="4"/>
  <c r="BR1364" i="4"/>
  <c r="BR1366" i="4" s="1"/>
  <c r="BR398" i="4"/>
  <c r="BR400" i="4" s="1"/>
  <c r="CH1364" i="4"/>
  <c r="CH1366" i="4" s="1"/>
  <c r="CH398" i="4"/>
  <c r="CH400" i="4" s="1"/>
  <c r="BH389" i="4"/>
  <c r="BM389" i="4"/>
  <c r="BX389" i="4"/>
  <c r="CC389" i="4"/>
  <c r="CN389" i="4"/>
  <c r="CS389" i="4"/>
  <c r="BL391" i="4"/>
  <c r="CG391" i="4"/>
  <c r="BR466" i="4"/>
  <c r="CX466" i="4"/>
  <c r="BQ401" i="4"/>
  <c r="BQ1400" i="4" s="1"/>
  <c r="CD398" i="4"/>
  <c r="CD400" i="4" s="1"/>
  <c r="BU401" i="4"/>
  <c r="BU1400" i="4" s="1"/>
  <c r="DA401" i="4"/>
  <c r="DA1400" i="4" s="1"/>
  <c r="CF412" i="4"/>
  <c r="BZ421" i="4"/>
  <c r="CV1220" i="4"/>
  <c r="CV1222" i="4" s="1"/>
  <c r="CV422" i="4"/>
  <c r="BV429" i="4"/>
  <c r="CC425" i="4"/>
  <c r="DB429" i="4"/>
  <c r="DD425" i="4" s="1"/>
  <c r="DF425" i="4" s="1"/>
  <c r="DA435" i="4"/>
  <c r="CK438" i="4"/>
  <c r="DA438" i="4"/>
  <c r="BW489" i="4"/>
  <c r="CE489" i="4"/>
  <c r="CD514" i="4"/>
  <c r="CD490" i="4"/>
  <c r="CJ514" i="4"/>
  <c r="BV298" i="4"/>
  <c r="BV301" i="4"/>
  <c r="CL301" i="4"/>
  <c r="BR317" i="4"/>
  <c r="CH317" i="4"/>
  <c r="CX317" i="4"/>
  <c r="BL325" i="4"/>
  <c r="BT325" i="4"/>
  <c r="BT332" i="4" s="1"/>
  <c r="CB325" i="4"/>
  <c r="CJ325" i="4"/>
  <c r="CR325" i="4"/>
  <c r="CZ325" i="4"/>
  <c r="DA356" i="4"/>
  <c r="BH478" i="4"/>
  <c r="BH477" i="4"/>
  <c r="BM478" i="4"/>
  <c r="BM477" i="4"/>
  <c r="BX478" i="4"/>
  <c r="BX477" i="4"/>
  <c r="CC478" i="4"/>
  <c r="CC477" i="4"/>
  <c r="CN478" i="4"/>
  <c r="CN477" i="4"/>
  <c r="CS478" i="4"/>
  <c r="CS477" i="4"/>
  <c r="BI366" i="4"/>
  <c r="BT366" i="4"/>
  <c r="BY366" i="4"/>
  <c r="CJ366" i="4"/>
  <c r="CO366" i="4"/>
  <c r="BQ368" i="4"/>
  <c r="BI371" i="4"/>
  <c r="BY371" i="4"/>
  <c r="CO371" i="4"/>
  <c r="BM372" i="4"/>
  <c r="CC372" i="4"/>
  <c r="CS372" i="4"/>
  <c r="CB373" i="4"/>
  <c r="CO374" i="4"/>
  <c r="BM376" i="4"/>
  <c r="BU376" i="4"/>
  <c r="CC376" i="4"/>
  <c r="CS376" i="4"/>
  <c r="CN380" i="4"/>
  <c r="CX1364" i="4"/>
  <c r="CX1369" i="4" s="1"/>
  <c r="CX398" i="4"/>
  <c r="CX400" i="4" s="1"/>
  <c r="BI407" i="4"/>
  <c r="BI465" i="4"/>
  <c r="BT407" i="4"/>
  <c r="BT465" i="4"/>
  <c r="BY389" i="4"/>
  <c r="BV466" i="4"/>
  <c r="CL466" i="4"/>
  <c r="DB466" i="4"/>
  <c r="CC401" i="4"/>
  <c r="CC1400" i="4" s="1"/>
  <c r="CP421" i="4"/>
  <c r="BZ427" i="4"/>
  <c r="CK426" i="4"/>
  <c r="CT439" i="4"/>
  <c r="CS437" i="4"/>
  <c r="DI463" i="4"/>
  <c r="CB476" i="4"/>
  <c r="BN123" i="4"/>
  <c r="BL127" i="4"/>
  <c r="BT127" i="4"/>
  <c r="CB127" i="4"/>
  <c r="CJ127" i="4"/>
  <c r="CR127" i="4"/>
  <c r="CZ127" i="4"/>
  <c r="CJ136" i="4"/>
  <c r="CO136" i="4"/>
  <c r="CS136" i="4"/>
  <c r="CW136" i="4"/>
  <c r="DA136" i="4"/>
  <c r="DD141" i="4" s="1"/>
  <c r="BU170" i="4"/>
  <c r="CK170" i="4"/>
  <c r="BP175" i="4"/>
  <c r="CF175" i="4"/>
  <c r="CF184" i="4"/>
  <c r="BP524" i="4"/>
  <c r="BP526" i="4" s="1"/>
  <c r="BU524" i="4"/>
  <c r="BU526" i="4" s="1"/>
  <c r="CD185" i="4"/>
  <c r="CL185" i="4"/>
  <c r="CT185" i="4"/>
  <c r="DB185" i="4"/>
  <c r="BM189" i="4"/>
  <c r="BU189" i="4"/>
  <c r="CC189" i="4"/>
  <c r="CK189" i="4"/>
  <c r="CS189" i="4"/>
  <c r="DA189" i="4"/>
  <c r="BM191" i="4"/>
  <c r="BU191" i="4"/>
  <c r="BV1235" i="4"/>
  <c r="BV861" i="4"/>
  <c r="CT1235" i="4"/>
  <c r="CT861" i="4"/>
  <c r="BM865" i="4"/>
  <c r="BX865" i="4"/>
  <c r="CC865" i="4"/>
  <c r="CN865" i="4"/>
  <c r="CS865" i="4"/>
  <c r="BP267" i="4"/>
  <c r="BP381" i="4" s="1"/>
  <c r="BU267" i="4"/>
  <c r="BU381" i="4" s="1"/>
  <c r="BV381" i="4" s="1"/>
  <c r="CF267" i="4"/>
  <c r="CF381" i="4" s="1"/>
  <c r="CK267" i="4"/>
  <c r="CK381" i="4" s="1"/>
  <c r="CL381" i="4" s="1"/>
  <c r="CV267" i="4"/>
  <c r="CV381" i="4" s="1"/>
  <c r="DA267" i="4"/>
  <c r="DA381" i="4" s="1"/>
  <c r="DB381" i="4" s="1"/>
  <c r="BN284" i="4"/>
  <c r="CD284" i="4"/>
  <c r="CT284" i="4"/>
  <c r="CU299" i="4"/>
  <c r="BZ301" i="4"/>
  <c r="CP301" i="4"/>
  <c r="CT310" i="4"/>
  <c r="BM323" i="4"/>
  <c r="CC323" i="4"/>
  <c r="CK323" i="4"/>
  <c r="BM325" i="4"/>
  <c r="BU325" i="4"/>
  <c r="CC325" i="4"/>
  <c r="CC332" i="4" s="1"/>
  <c r="CK325" i="4"/>
  <c r="CS325" i="4"/>
  <c r="DA325" i="4"/>
  <c r="DB348" i="4"/>
  <c r="BU476" i="4"/>
  <c r="BZ360" i="4"/>
  <c r="CP360" i="4"/>
  <c r="BI477" i="4"/>
  <c r="BI478" i="4"/>
  <c r="BT477" i="4"/>
  <c r="BT478" i="4"/>
  <c r="BY477" i="4"/>
  <c r="CJ477" i="4"/>
  <c r="CO477" i="4"/>
  <c r="CO478" i="4"/>
  <c r="CZ477" i="4"/>
  <c r="CZ478" i="4"/>
  <c r="CH364" i="4"/>
  <c r="CX364" i="4"/>
  <c r="DB472" i="4"/>
  <c r="DA472" i="4" s="1"/>
  <c r="BU366" i="4"/>
  <c r="CK366" i="4"/>
  <c r="CV366" i="4"/>
  <c r="CD367" i="4"/>
  <c r="CT367" i="4"/>
  <c r="BX368" i="4"/>
  <c r="CN368" i="4"/>
  <c r="BL371" i="4"/>
  <c r="BT371" i="4"/>
  <c r="CJ371" i="4"/>
  <c r="CR371" i="4"/>
  <c r="CZ371" i="4"/>
  <c r="BX372" i="4"/>
  <c r="CN372" i="4"/>
  <c r="BL374" i="4"/>
  <c r="BT374" i="4"/>
  <c r="CR374" i="4"/>
  <c r="CZ374" i="4"/>
  <c r="BP376" i="4"/>
  <c r="CF376" i="4"/>
  <c r="CV376" i="4"/>
  <c r="BP380" i="4"/>
  <c r="BX380" i="4"/>
  <c r="CB380" i="4"/>
  <c r="CF380" i="4"/>
  <c r="CJ380" i="4"/>
  <c r="CZ380" i="4"/>
  <c r="BR383" i="4"/>
  <c r="BV383" i="4"/>
  <c r="CD383" i="4"/>
  <c r="CH383" i="4"/>
  <c r="CL383" i="4"/>
  <c r="DB383" i="4"/>
  <c r="BV1364" i="4"/>
  <c r="BV1366" i="4" s="1"/>
  <c r="BV398" i="4"/>
  <c r="BV400" i="4" s="1"/>
  <c r="CL1364" i="4"/>
  <c r="CL1369" i="4" s="1"/>
  <c r="CL398" i="4"/>
  <c r="CL400" i="4" s="1"/>
  <c r="DB1364" i="4"/>
  <c r="DB1368" i="4" s="1"/>
  <c r="DB398" i="4"/>
  <c r="DB400" i="4" s="1"/>
  <c r="BJ389" i="4"/>
  <c r="BQ391" i="4"/>
  <c r="BJ467" i="4"/>
  <c r="CP467" i="4"/>
  <c r="BZ398" i="4"/>
  <c r="BZ400" i="4" s="1"/>
  <c r="CP398" i="4"/>
  <c r="CP400" i="4" s="1"/>
  <c r="CW401" i="4"/>
  <c r="CW1400" i="4" s="1"/>
  <c r="BP401" i="4"/>
  <c r="CV401" i="4"/>
  <c r="CH411" i="4"/>
  <c r="CO412" i="4"/>
  <c r="CK1220" i="4"/>
  <c r="CK1222" i="4" s="1"/>
  <c r="CK422" i="4"/>
  <c r="BM425" i="4"/>
  <c r="CL429" i="4"/>
  <c r="CS425" i="4"/>
  <c r="CH466" i="4"/>
  <c r="BW124" i="4"/>
  <c r="BU127" i="4"/>
  <c r="CC127" i="4"/>
  <c r="CK127" i="4"/>
  <c r="CS127" i="4"/>
  <c r="DA127" i="4"/>
  <c r="CK136" i="4"/>
  <c r="CV170" i="4"/>
  <c r="BL524" i="4"/>
  <c r="BQ524" i="4"/>
  <c r="BQ526" i="4" s="1"/>
  <c r="BL187" i="4"/>
  <c r="BP187" i="4"/>
  <c r="BX187" i="4"/>
  <c r="CB187" i="4"/>
  <c r="CF187" i="4"/>
  <c r="CF282" i="4" s="1"/>
  <c r="CT67" i="3" s="1"/>
  <c r="CJ187" i="4"/>
  <c r="CN187" i="4"/>
  <c r="CR187" i="4"/>
  <c r="CV187" i="4"/>
  <c r="CZ187" i="4"/>
  <c r="BP191" i="4"/>
  <c r="BX191" i="4"/>
  <c r="CF191" i="4"/>
  <c r="CN191" i="4"/>
  <c r="CV191" i="4"/>
  <c r="BW198" i="4"/>
  <c r="CM198" i="4"/>
  <c r="DC198" i="4"/>
  <c r="CX201" i="4"/>
  <c r="BJ1235" i="4"/>
  <c r="BJ1242" i="4" s="1"/>
  <c r="BJ1246" i="4" s="1"/>
  <c r="BJ861" i="4"/>
  <c r="BJ860" i="4" s="1"/>
  <c r="BJ862" i="4" s="1"/>
  <c r="BZ1235" i="4"/>
  <c r="BZ861" i="4"/>
  <c r="CH1235" i="4"/>
  <c r="CH861" i="4"/>
  <c r="CH860" i="4" s="1"/>
  <c r="CH862" i="4" s="1"/>
  <c r="CX1235" i="4"/>
  <c r="CX861" i="4"/>
  <c r="CX860" i="4" s="1"/>
  <c r="CX862" i="4" s="1"/>
  <c r="BT865" i="4"/>
  <c r="BY865" i="4"/>
  <c r="CJ865" i="4"/>
  <c r="CO865" i="4"/>
  <c r="CZ865" i="4"/>
  <c r="CA294" i="4"/>
  <c r="CQ294" i="4"/>
  <c r="CP310" i="4"/>
  <c r="BP478" i="4"/>
  <c r="BP477" i="4"/>
  <c r="BU478" i="4"/>
  <c r="CF478" i="4"/>
  <c r="CK478" i="4"/>
  <c r="CK477" i="4"/>
  <c r="CV478" i="4"/>
  <c r="CV477" i="4"/>
  <c r="DA478" i="4"/>
  <c r="CL365" i="4"/>
  <c r="BL366" i="4"/>
  <c r="BL369" i="4" s="1"/>
  <c r="BQ366" i="4"/>
  <c r="CR366" i="4"/>
  <c r="CR369" i="4" s="1"/>
  <c r="BI368" i="4"/>
  <c r="BY368" i="4"/>
  <c r="CO368" i="4"/>
  <c r="BM371" i="4"/>
  <c r="BU371" i="4"/>
  <c r="CC371" i="4"/>
  <c r="CK371" i="4"/>
  <c r="CS371" i="4"/>
  <c r="DA371" i="4"/>
  <c r="BI372" i="4"/>
  <c r="BQ372" i="4"/>
  <c r="BY372" i="4"/>
  <c r="CG372" i="4"/>
  <c r="CO372" i="4"/>
  <c r="CW372" i="4"/>
  <c r="DA374" i="4"/>
  <c r="BQ376" i="4"/>
  <c r="CG376" i="4"/>
  <c r="CW376" i="4"/>
  <c r="BL380" i="4"/>
  <c r="BQ380" i="4"/>
  <c r="BU380" i="4"/>
  <c r="CV380" i="4"/>
  <c r="BN383" i="4"/>
  <c r="CX383" i="4"/>
  <c r="BS384" i="4"/>
  <c r="BW385" i="4"/>
  <c r="BW387" i="4"/>
  <c r="CE387" i="4"/>
  <c r="BN467" i="4"/>
  <c r="CT467" i="4"/>
  <c r="BN398" i="4"/>
  <c r="BN400" i="4" s="1"/>
  <c r="BM401" i="4"/>
  <c r="BM1400" i="4" s="1"/>
  <c r="BL401" i="4"/>
  <c r="CS401" i="4"/>
  <c r="CS1400" i="4" s="1"/>
  <c r="CR401" i="4"/>
  <c r="CO401" i="4"/>
  <c r="CO1400" i="4" s="1"/>
  <c r="CV412" i="4"/>
  <c r="BJ421" i="4"/>
  <c r="BJ1220" i="4" s="1"/>
  <c r="CF1220" i="4"/>
  <c r="CF1222" i="4" s="1"/>
  <c r="CF422" i="4"/>
  <c r="DA1220" i="4"/>
  <c r="DA1222" i="4" s="1"/>
  <c r="DA422" i="4"/>
  <c r="BU426" i="4"/>
  <c r="CJ439" i="4"/>
  <c r="CK437" i="4"/>
  <c r="CK459" i="4"/>
  <c r="CF477" i="4"/>
  <c r="BU511" i="4"/>
  <c r="BU509" i="4"/>
  <c r="BU490" i="4"/>
  <c r="BU566" i="4"/>
  <c r="CW566" i="4"/>
  <c r="CW490" i="4"/>
  <c r="CW515" i="4" s="1"/>
  <c r="CW509" i="4"/>
  <c r="CW511" i="4"/>
  <c r="BI513" i="4"/>
  <c r="CJ490" i="4"/>
  <c r="BU514" i="4"/>
  <c r="BZ466" i="4"/>
  <c r="BV510" i="4"/>
  <c r="BW487" i="4"/>
  <c r="BV592" i="4"/>
  <c r="BJ511" i="4"/>
  <c r="BJ509" i="4"/>
  <c r="BJ490" i="4"/>
  <c r="BO488" i="4"/>
  <c r="BY566" i="4"/>
  <c r="BY514" i="4"/>
  <c r="BY490" i="4"/>
  <c r="CC509" i="4"/>
  <c r="CC566" i="4"/>
  <c r="CC511" i="4"/>
  <c r="CC490" i="4"/>
  <c r="CC515" i="4" s="1"/>
  <c r="CG566" i="4"/>
  <c r="CG490" i="4"/>
  <c r="CK511" i="4"/>
  <c r="CK509" i="4"/>
  <c r="CK490" i="4"/>
  <c r="CK515" i="4" s="1"/>
  <c r="CO566" i="4"/>
  <c r="CO514" i="4"/>
  <c r="CO490" i="4"/>
  <c r="CI489" i="4"/>
  <c r="CW514" i="4"/>
  <c r="CH490" i="4"/>
  <c r="CG494" i="4"/>
  <c r="CG509" i="4"/>
  <c r="CC514" i="4"/>
  <c r="CN514" i="4"/>
  <c r="BI518" i="4"/>
  <c r="BI519" i="4" s="1"/>
  <c r="CO518" i="4"/>
  <c r="CO519" i="4" s="1"/>
  <c r="CW532" i="4"/>
  <c r="CX531" i="4"/>
  <c r="BY532" i="4"/>
  <c r="CO536" i="4"/>
  <c r="CO537" i="4" s="1"/>
  <c r="CP535" i="4"/>
  <c r="CK536" i="4"/>
  <c r="CK537" i="4" s="1"/>
  <c r="CP554" i="4"/>
  <c r="BL563" i="4"/>
  <c r="BL562" i="4"/>
  <c r="BJ566" i="4"/>
  <c r="CT593" i="4"/>
  <c r="BU617" i="4"/>
  <c r="BU640" i="4"/>
  <c r="BX643" i="4"/>
  <c r="BU643" i="4"/>
  <c r="BU647" i="4"/>
  <c r="CH647" i="4"/>
  <c r="CM638" i="4"/>
  <c r="BV667" i="4"/>
  <c r="BT683" i="4"/>
  <c r="BU690" i="4" s="1"/>
  <c r="BT669" i="4"/>
  <c r="CV681" i="4"/>
  <c r="CX681" i="4" s="1"/>
  <c r="BL674" i="4"/>
  <c r="BN668" i="4"/>
  <c r="BN686" i="4" s="1"/>
  <c r="CJ734" i="4"/>
  <c r="CJ686" i="4"/>
  <c r="CJ669" i="4"/>
  <c r="CL668" i="4"/>
  <c r="BM674" i="4"/>
  <c r="BL686" i="4"/>
  <c r="CR835" i="4"/>
  <c r="CR793" i="4"/>
  <c r="CT776" i="4"/>
  <c r="CZ793" i="4"/>
  <c r="DB776" i="4"/>
  <c r="DG776" i="4" s="1"/>
  <c r="CZ780" i="4"/>
  <c r="CC829" i="4"/>
  <c r="CD779" i="4"/>
  <c r="CB843" i="4"/>
  <c r="CB844" i="4" s="1"/>
  <c r="CL960" i="4"/>
  <c r="BH1107" i="4"/>
  <c r="BH1108" i="4" s="1"/>
  <c r="BJ998" i="4"/>
  <c r="BT1107" i="4"/>
  <c r="BV998" i="4"/>
  <c r="DA532" i="4"/>
  <c r="CW536" i="4"/>
  <c r="CW537" i="4" s="1"/>
  <c r="CX535" i="4"/>
  <c r="CX536" i="4" s="1"/>
  <c r="DI585" i="4"/>
  <c r="DL585" i="4" s="1"/>
  <c r="CD593" i="4"/>
  <c r="CP593" i="4"/>
  <c r="BP617" i="4"/>
  <c r="BP640" i="4"/>
  <c r="BP639" i="4" s="1"/>
  <c r="CF663" i="4"/>
  <c r="CF662" i="4" s="1"/>
  <c r="CG618" i="4"/>
  <c r="CF630" i="4"/>
  <c r="CF629" i="4" s="1"/>
  <c r="CO618" i="4"/>
  <c r="CN663" i="4"/>
  <c r="CN662" i="4" s="1"/>
  <c r="CN630" i="4"/>
  <c r="CN629" i="4" s="1"/>
  <c r="CN634" i="4" s="1"/>
  <c r="CN618" i="4"/>
  <c r="BQ617" i="4"/>
  <c r="CS1255" i="4"/>
  <c r="CT1255" i="4" s="1"/>
  <c r="CT660" i="4"/>
  <c r="BX801" i="4"/>
  <c r="BX780" i="4"/>
  <c r="CC823" i="4"/>
  <c r="BV421" i="4"/>
  <c r="CL421" i="4"/>
  <c r="DB421" i="4"/>
  <c r="CJ422" i="4"/>
  <c r="CR422" i="4"/>
  <c r="CZ422" i="4"/>
  <c r="BQ425" i="4"/>
  <c r="CG425" i="4"/>
  <c r="CW425" i="4"/>
  <c r="BR429" i="4"/>
  <c r="CH429" i="4"/>
  <c r="CX429" i="4"/>
  <c r="CH439" i="4"/>
  <c r="CX439" i="4"/>
  <c r="BH509" i="4"/>
  <c r="BH490" i="4"/>
  <c r="BH566" i="4"/>
  <c r="BH511" i="4"/>
  <c r="BM509" i="4"/>
  <c r="BM490" i="4"/>
  <c r="BM566" i="4"/>
  <c r="BM511" i="4"/>
  <c r="BQ514" i="4"/>
  <c r="BQ566" i="4"/>
  <c r="CA489" i="4"/>
  <c r="CL490" i="4"/>
  <c r="CO494" i="4"/>
  <c r="BR599" i="4"/>
  <c r="BR538" i="4"/>
  <c r="BQ509" i="4"/>
  <c r="CG511" i="4"/>
  <c r="BM514" i="4"/>
  <c r="CH514" i="4"/>
  <c r="CB532" i="4"/>
  <c r="BQ532" i="4"/>
  <c r="CG532" i="4"/>
  <c r="CS532" i="4"/>
  <c r="BT536" i="4"/>
  <c r="BT537" i="4" s="1"/>
  <c r="CZ536" i="4"/>
  <c r="CZ537" i="4" s="1"/>
  <c r="BM536" i="4"/>
  <c r="BM537" i="4" s="1"/>
  <c r="DA536" i="4"/>
  <c r="DA537" i="4" s="1"/>
  <c r="DC607" i="4"/>
  <c r="DA618" i="4"/>
  <c r="BY647" i="4"/>
  <c r="CL661" i="4"/>
  <c r="CK669" i="4"/>
  <c r="CN675" i="4" s="1"/>
  <c r="CK673" i="4"/>
  <c r="CK683" i="4"/>
  <c r="CN690" i="4" s="1"/>
  <c r="CT686" i="4"/>
  <c r="DA686" i="4"/>
  <c r="DA684" i="4" s="1"/>
  <c r="DB684" i="4" s="1"/>
  <c r="DB668" i="4"/>
  <c r="DB686" i="4" s="1"/>
  <c r="CK674" i="4"/>
  <c r="BP676" i="4"/>
  <c r="CB681" i="4"/>
  <c r="CN837" i="4"/>
  <c r="CN810" i="4"/>
  <c r="CP778" i="4"/>
  <c r="CZ825" i="4"/>
  <c r="BQ864" i="4"/>
  <c r="BR421" i="4"/>
  <c r="CH421" i="4"/>
  <c r="CX421" i="4"/>
  <c r="CS422" i="4"/>
  <c r="BN429" i="4"/>
  <c r="CD429" i="4"/>
  <c r="CT429" i="4"/>
  <c r="CC458" i="4"/>
  <c r="CS458" i="4"/>
  <c r="BR592" i="4"/>
  <c r="BR488" i="4"/>
  <c r="BS487" i="4"/>
  <c r="CS592" i="4"/>
  <c r="CS493" i="4"/>
  <c r="CW510" i="4"/>
  <c r="CW592" i="4"/>
  <c r="CW493" i="4"/>
  <c r="DA493" i="4"/>
  <c r="DA592" i="4"/>
  <c r="CB494" i="4"/>
  <c r="CS488" i="4"/>
  <c r="DA488" i="4"/>
  <c r="CG514" i="4"/>
  <c r="CL514" i="4"/>
  <c r="CM489" i="4"/>
  <c r="BX1407" i="4"/>
  <c r="BX513" i="4"/>
  <c r="BX515" i="4"/>
  <c r="CF490" i="4"/>
  <c r="CN490" i="4"/>
  <c r="CC494" i="4"/>
  <c r="BX500" i="4"/>
  <c r="BX503" i="4" s="1"/>
  <c r="CO509" i="4"/>
  <c r="CS510" i="4"/>
  <c r="BY511" i="4"/>
  <c r="BZ514" i="4"/>
  <c r="CK514" i="4"/>
  <c r="CG518" i="4"/>
  <c r="CG519" i="4" s="1"/>
  <c r="CJ532" i="4"/>
  <c r="CO532" i="4"/>
  <c r="CP531" i="4"/>
  <c r="CP532" i="4" s="1"/>
  <c r="BU532" i="4"/>
  <c r="CK532" i="4"/>
  <c r="CB536" i="4"/>
  <c r="CB537" i="4" s="1"/>
  <c r="BQ536" i="4"/>
  <c r="BQ537" i="4" s="1"/>
  <c r="CG536" i="4"/>
  <c r="CG537" i="4" s="1"/>
  <c r="CS536" i="4"/>
  <c r="CS537" i="4" s="1"/>
  <c r="BP593" i="4"/>
  <c r="BR561" i="4"/>
  <c r="CK566" i="4"/>
  <c r="CJ663" i="4"/>
  <c r="CJ662" i="4" s="1"/>
  <c r="CJ630" i="4"/>
  <c r="CJ629" i="4" s="1"/>
  <c r="CJ618" i="4"/>
  <c r="CR630" i="4"/>
  <c r="CR629" i="4" s="1"/>
  <c r="CR663" i="4"/>
  <c r="CR662" i="4" s="1"/>
  <c r="CR618" i="4"/>
  <c r="DI638" i="4"/>
  <c r="CS655" i="4"/>
  <c r="CP652" i="4"/>
  <c r="CG654" i="4"/>
  <c r="CZ663" i="4"/>
  <c r="CZ662" i="4" s="1"/>
  <c r="CF683" i="4"/>
  <c r="CG690" i="4" s="1"/>
  <c r="CH667" i="4"/>
  <c r="CG673" i="4"/>
  <c r="CZ681" i="4"/>
  <c r="DB681" i="4" s="1"/>
  <c r="BQ674" i="4"/>
  <c r="BQ686" i="4"/>
  <c r="BT674" i="4"/>
  <c r="CO734" i="4"/>
  <c r="CO686" i="4"/>
  <c r="CO674" i="4"/>
  <c r="CP668" i="4"/>
  <c r="DA669" i="4"/>
  <c r="DD675" i="4" s="1"/>
  <c r="CN684" i="4"/>
  <c r="BY707" i="4"/>
  <c r="BS805" i="4"/>
  <c r="BO805" i="4"/>
  <c r="CE805" i="4"/>
  <c r="BY805" i="4"/>
  <c r="CA805" i="4"/>
  <c r="CJ820" i="4"/>
  <c r="CL805" i="4"/>
  <c r="CJ812" i="4"/>
  <c r="CB813" i="4"/>
  <c r="BY813" i="4"/>
  <c r="DA823" i="4"/>
  <c r="DB820" i="4"/>
  <c r="CD858" i="4"/>
  <c r="CB860" i="4"/>
  <c r="CB862" i="4" s="1"/>
  <c r="BV488" i="4"/>
  <c r="CT488" i="4"/>
  <c r="CX488" i="4"/>
  <c r="CX511" i="4" s="1"/>
  <c r="BP490" i="4"/>
  <c r="CF494" i="4"/>
  <c r="CN494" i="4"/>
  <c r="BP509" i="4"/>
  <c r="BZ509" i="4"/>
  <c r="CF509" i="4"/>
  <c r="CP509" i="4"/>
  <c r="CZ510" i="4"/>
  <c r="BX511" i="4"/>
  <c r="CH511" i="4"/>
  <c r="CN511" i="4"/>
  <c r="BI514" i="4"/>
  <c r="BN514" i="4"/>
  <c r="BT514" i="4"/>
  <c r="CP553" i="4"/>
  <c r="BT563" i="4"/>
  <c r="BT562" i="4" s="1"/>
  <c r="BL566" i="4"/>
  <c r="CB566" i="4"/>
  <c r="DI583" i="4"/>
  <c r="BY588" i="4"/>
  <c r="CV592" i="4"/>
  <c r="BJ599" i="4"/>
  <c r="BY607" i="4"/>
  <c r="BX608" i="4"/>
  <c r="CF614" i="4"/>
  <c r="BT617" i="4"/>
  <c r="CB617" i="4"/>
  <c r="CJ617" i="4"/>
  <c r="CR617" i="4"/>
  <c r="CZ617" i="4"/>
  <c r="BP618" i="4"/>
  <c r="CX628" i="4"/>
  <c r="DA630" i="4"/>
  <c r="DA629" i="4" s="1"/>
  <c r="DD634" i="4" s="1"/>
  <c r="DI637" i="4"/>
  <c r="CL647" i="4"/>
  <c r="CH653" i="4"/>
  <c r="BY661" i="4"/>
  <c r="CT661" i="4"/>
  <c r="CG663" i="4"/>
  <c r="CG662" i="4" s="1"/>
  <c r="CN681" i="4"/>
  <c r="BY686" i="4"/>
  <c r="BY674" i="4"/>
  <c r="CV686" i="4"/>
  <c r="CX668" i="4"/>
  <c r="CO669" i="4"/>
  <c r="CV669" i="4"/>
  <c r="CC676" i="4"/>
  <c r="DN670" i="4"/>
  <c r="CS673" i="4"/>
  <c r="CC674" i="4"/>
  <c r="CN674" i="4"/>
  <c r="BP683" i="4"/>
  <c r="BT684" i="4"/>
  <c r="BU686" i="4"/>
  <c r="CB686" i="4"/>
  <c r="CC690" i="4"/>
  <c r="BU701" i="4"/>
  <c r="BU705" i="4"/>
  <c r="BR721" i="4"/>
  <c r="BV722" i="4"/>
  <c r="BN761" i="4"/>
  <c r="BP793" i="4"/>
  <c r="BR776" i="4"/>
  <c r="BP780" i="4"/>
  <c r="BU810" i="4"/>
  <c r="BV778" i="4"/>
  <c r="CZ810" i="4"/>
  <c r="DB778" i="4"/>
  <c r="DG778" i="4" s="1"/>
  <c r="BM829" i="4"/>
  <c r="BN829" i="4" s="1"/>
  <c r="BN779" i="4"/>
  <c r="DI842" i="4"/>
  <c r="CV823" i="4"/>
  <c r="CX820" i="4"/>
  <c r="BZ842" i="4"/>
  <c r="BZ781" i="4"/>
  <c r="CC844" i="4"/>
  <c r="BL864" i="4"/>
  <c r="CG864" i="4"/>
  <c r="CG555" i="4"/>
  <c r="CW555" i="4"/>
  <c r="BV587" i="4"/>
  <c r="CR592" i="4"/>
  <c r="BV599" i="4"/>
  <c r="CC617" i="4"/>
  <c r="CK617" i="4"/>
  <c r="DA617" i="4"/>
  <c r="BU646" i="4"/>
  <c r="BX642" i="4"/>
  <c r="BL669" i="4"/>
  <c r="CZ673" i="4"/>
  <c r="DB667" i="4"/>
  <c r="CR674" i="4"/>
  <c r="BU669" i="4"/>
  <c r="CC669" i="4"/>
  <c r="BX673" i="4"/>
  <c r="BU676" i="4"/>
  <c r="CR686" i="4"/>
  <c r="CG701" i="4"/>
  <c r="CH699" i="4"/>
  <c r="CF701" i="4"/>
  <c r="BY706" i="4"/>
  <c r="CR734" i="4"/>
  <c r="CN793" i="4"/>
  <c r="CP776" i="4"/>
  <c r="CN835" i="4"/>
  <c r="CV793" i="4"/>
  <c r="CX776" i="4"/>
  <c r="CV780" i="4"/>
  <c r="CC801" i="4"/>
  <c r="CD777" i="4"/>
  <c r="BP810" i="4"/>
  <c r="BR778" i="4"/>
  <c r="CR810" i="4"/>
  <c r="CR837" i="4"/>
  <c r="BJ779" i="4"/>
  <c r="BH829" i="4"/>
  <c r="BL831" i="4" s="1"/>
  <c r="CF812" i="4"/>
  <c r="CH805" i="4"/>
  <c r="BW806" i="4"/>
  <c r="BS806" i="4"/>
  <c r="CN823" i="4"/>
  <c r="CW864" i="4"/>
  <c r="DC487" i="4"/>
  <c r="CR488" i="4"/>
  <c r="CV488" i="4"/>
  <c r="CJ494" i="4"/>
  <c r="BV593" i="4"/>
  <c r="CL593" i="4"/>
  <c r="DB593" i="4"/>
  <c r="BX617" i="4"/>
  <c r="CF617" i="4"/>
  <c r="CN617" i="4"/>
  <c r="CV617" i="4"/>
  <c r="CB642" i="4"/>
  <c r="CP647" i="4"/>
  <c r="BR667" i="4"/>
  <c r="BY673" i="4"/>
  <c r="CD667" i="4"/>
  <c r="CJ673" i="4"/>
  <c r="CL667" i="4"/>
  <c r="CP667" i="4"/>
  <c r="BR668" i="4"/>
  <c r="BR686" i="4" s="1"/>
  <c r="BV668" i="4"/>
  <c r="BV686" i="4" s="1"/>
  <c r="BP669" i="4"/>
  <c r="BX669" i="4"/>
  <c r="CS669" i="4"/>
  <c r="CZ669" i="4"/>
  <c r="BN670" i="4"/>
  <c r="CH670" i="4"/>
  <c r="CC673" i="4"/>
  <c r="CN673" i="4"/>
  <c r="CW673" i="4"/>
  <c r="CS674" i="4"/>
  <c r="BM676" i="4"/>
  <c r="BP684" i="4"/>
  <c r="BR699" i="4"/>
  <c r="CC701" i="4"/>
  <c r="BY705" i="4"/>
  <c r="BJ722" i="4"/>
  <c r="BZ746" i="4"/>
  <c r="BL764" i="4"/>
  <c r="BM763" i="4"/>
  <c r="CC780" i="4"/>
  <c r="BQ807" i="4"/>
  <c r="CV810" i="4"/>
  <c r="CX778" i="4"/>
  <c r="CG812" i="4"/>
  <c r="CF842" i="4"/>
  <c r="CF785" i="4"/>
  <c r="CH840" i="4"/>
  <c r="CR864" i="4"/>
  <c r="CB780" i="4"/>
  <c r="BT801" i="4"/>
  <c r="CK812" i="4"/>
  <c r="CG813" i="4"/>
  <c r="CG820" i="4"/>
  <c r="CG823" i="4" s="1"/>
  <c r="CZ823" i="4"/>
  <c r="CO836" i="4"/>
  <c r="BH864" i="4"/>
  <c r="BM864" i="4"/>
  <c r="BX864" i="4"/>
  <c r="CC864" i="4"/>
  <c r="CN864" i="4"/>
  <c r="CS864" i="4"/>
  <c r="BU860" i="4"/>
  <c r="BU862" i="4" s="1"/>
  <c r="BX858" i="4"/>
  <c r="CP911" i="4"/>
  <c r="BQ669" i="4"/>
  <c r="CR669" i="4"/>
  <c r="BZ721" i="4"/>
  <c r="CF763" i="4"/>
  <c r="BI764" i="4"/>
  <c r="CD781" i="4"/>
  <c r="DJ781" i="4"/>
  <c r="CB810" i="4"/>
  <c r="CV812" i="4"/>
  <c r="CJ813" i="4"/>
  <c r="BI864" i="4"/>
  <c r="BT864" i="4"/>
  <c r="BY864" i="4"/>
  <c r="CJ864" i="4"/>
  <c r="CO864" i="4"/>
  <c r="CZ864" i="4"/>
  <c r="BL860" i="4"/>
  <c r="BL862" i="4" s="1"/>
  <c r="CK860" i="4"/>
  <c r="CK862" i="4" s="1"/>
  <c r="CN858" i="4"/>
  <c r="BX1107" i="4"/>
  <c r="BZ998" i="4"/>
  <c r="CP996" i="4"/>
  <c r="CG763" i="4"/>
  <c r="BN776" i="4"/>
  <c r="CD776" i="4"/>
  <c r="CL806" i="4"/>
  <c r="CD820" i="4"/>
  <c r="BP864" i="4"/>
  <c r="BU864" i="4"/>
  <c r="CF864" i="4"/>
  <c r="CK864" i="4"/>
  <c r="CV864" i="4"/>
  <c r="DA864" i="4"/>
  <c r="DA860" i="4"/>
  <c r="DA862" i="4" s="1"/>
  <c r="DA1009" i="4"/>
  <c r="DI1026" i="4"/>
  <c r="DL1026" i="4" s="1"/>
  <c r="DM1026" i="4" s="1"/>
  <c r="DP1026" i="4" s="1"/>
  <c r="DQ1026" i="4" s="1"/>
  <c r="BH860" i="4"/>
  <c r="BH862" i="4" s="1"/>
  <c r="CD917" i="4"/>
  <c r="BV921" i="4"/>
  <c r="BQ922" i="4"/>
  <c r="CG922" i="4"/>
  <c r="CP935" i="4"/>
  <c r="CP937" i="4"/>
  <c r="CG966" i="4"/>
  <c r="CH966" i="4" s="1"/>
  <c r="BX973" i="4"/>
  <c r="CN973" i="4"/>
  <c r="BQ980" i="4"/>
  <c r="BQ981" i="4" s="1"/>
  <c r="CG980" i="4"/>
  <c r="CG981" i="4" s="1"/>
  <c r="CW980" i="4"/>
  <c r="CW981" i="4" s="1"/>
  <c r="BQ985" i="4"/>
  <c r="BQ986" i="4" s="1"/>
  <c r="CG985" i="4"/>
  <c r="CG986" i="4" s="1"/>
  <c r="CW985" i="4"/>
  <c r="CW986" i="4" s="1"/>
  <c r="CJ996" i="4"/>
  <c r="CL996" i="4" s="1"/>
  <c r="CG998" i="4"/>
  <c r="CG1107" i="4" s="1"/>
  <c r="DI1007" i="4"/>
  <c r="BR921" i="4"/>
  <c r="CH921" i="4"/>
  <c r="BX922" i="4"/>
  <c r="CN922" i="4"/>
  <c r="CN923" i="4" s="1"/>
  <c r="BI1181" i="4"/>
  <c r="BI1185" i="4" s="1"/>
  <c r="BI1196" i="4" s="1"/>
  <c r="BI1200" i="4" s="1"/>
  <c r="BI1008" i="4"/>
  <c r="BT1181" i="4"/>
  <c r="BT1185" i="4" s="1"/>
  <c r="BT1196" i="4" s="1"/>
  <c r="BT1008" i="4"/>
  <c r="BY1181" i="4"/>
  <c r="BY1185" i="4" s="1"/>
  <c r="BY1008" i="4"/>
  <c r="CF947" i="4"/>
  <c r="CK947" i="4"/>
  <c r="CV947" i="4"/>
  <c r="DA947" i="4"/>
  <c r="BU950" i="4"/>
  <c r="CK950" i="4"/>
  <c r="DA950" i="4"/>
  <c r="BV960" i="4"/>
  <c r="CH960" i="4"/>
  <c r="CX960" i="4"/>
  <c r="BT973" i="4"/>
  <c r="CJ973" i="4"/>
  <c r="CZ973" i="4"/>
  <c r="BM980" i="4"/>
  <c r="BM981" i="4" s="1"/>
  <c r="CC980" i="4"/>
  <c r="CC981" i="4" s="1"/>
  <c r="CS980" i="4"/>
  <c r="CS981" i="4" s="1"/>
  <c r="BM985" i="4"/>
  <c r="BM986" i="4" s="1"/>
  <c r="CC985" i="4"/>
  <c r="CC986" i="4" s="1"/>
  <c r="CS985" i="4"/>
  <c r="CS986" i="4" s="1"/>
  <c r="BV993" i="4"/>
  <c r="CL993" i="4"/>
  <c r="DB993" i="4"/>
  <c r="CP995" i="4"/>
  <c r="BL1115" i="4"/>
  <c r="BL1116" i="4" s="1"/>
  <c r="BU1115" i="4"/>
  <c r="BU1116" i="4" s="1"/>
  <c r="CG1115" i="4"/>
  <c r="CG1116" i="4" s="1"/>
  <c r="BX1008" i="4"/>
  <c r="BE1068" i="4"/>
  <c r="BD1068" i="4"/>
  <c r="BF1046" i="4"/>
  <c r="F33" i="3" s="1"/>
  <c r="BF1033" i="4"/>
  <c r="BT1068" i="4"/>
  <c r="BV1046" i="4"/>
  <c r="BU1068" i="4"/>
  <c r="BV1033" i="4"/>
  <c r="BD1036" i="4"/>
  <c r="BD1035" i="4"/>
  <c r="BF1035" i="4" s="1"/>
  <c r="CF1035" i="4"/>
  <c r="DA1035" i="4"/>
  <c r="DA1036" i="4"/>
  <c r="CJ936" i="4"/>
  <c r="BJ944" i="4"/>
  <c r="BP1181" i="4"/>
  <c r="BP1185" i="4" s="1"/>
  <c r="BP1008" i="4"/>
  <c r="BU1181" i="4"/>
  <c r="BU1185" i="4" s="1"/>
  <c r="BU1008" i="4"/>
  <c r="CB947" i="4"/>
  <c r="CG947" i="4"/>
  <c r="CR947" i="4"/>
  <c r="CW947" i="4"/>
  <c r="BL950" i="4"/>
  <c r="CB950" i="4"/>
  <c r="CR950" i="4"/>
  <c r="BR960" i="4"/>
  <c r="BJ973" i="4"/>
  <c r="BQ1115" i="4"/>
  <c r="BQ1116" i="4" s="1"/>
  <c r="BX1115" i="4"/>
  <c r="BX1116" i="4" s="1"/>
  <c r="CJ1115" i="4"/>
  <c r="CJ1116" i="4" s="1"/>
  <c r="CO1115" i="4"/>
  <c r="CO1116" i="4" s="1"/>
  <c r="BP1035" i="4"/>
  <c r="CK1035" i="4"/>
  <c r="CK1036" i="4"/>
  <c r="BL1181" i="4"/>
  <c r="BL1185" i="4" s="1"/>
  <c r="BL1008" i="4"/>
  <c r="BQ1181" i="4"/>
  <c r="BQ1185" i="4" s="1"/>
  <c r="BQ1008" i="4"/>
  <c r="BM1008" i="4"/>
  <c r="BU1035" i="4"/>
  <c r="BU1036" i="4"/>
  <c r="BI1068" i="4"/>
  <c r="BH1068" i="4"/>
  <c r="BY1068" i="4"/>
  <c r="BX1068" i="4"/>
  <c r="CK1068" i="4"/>
  <c r="CJ1068" i="4"/>
  <c r="BL1035" i="4"/>
  <c r="BQ1035" i="4"/>
  <c r="CB1035" i="4"/>
  <c r="CG1035" i="4"/>
  <c r="CR1035" i="4"/>
  <c r="CW1035" i="4"/>
  <c r="BQ1036" i="4"/>
  <c r="CG1036" i="4"/>
  <c r="CW1036" i="4"/>
  <c r="BR1046" i="4"/>
  <c r="CH1046" i="4"/>
  <c r="CH1047" i="4" s="1"/>
  <c r="CX1046" i="4"/>
  <c r="CX1047" i="4" s="1"/>
  <c r="BH1049" i="4"/>
  <c r="BX1049" i="4"/>
  <c r="CN1049" i="4"/>
  <c r="CR1068" i="4"/>
  <c r="CK1082" i="4"/>
  <c r="CN1115" i="4"/>
  <c r="CN1116" i="4" s="1"/>
  <c r="CW1115" i="4"/>
  <c r="CW1116" i="4" s="1"/>
  <c r="CB1068" i="4"/>
  <c r="CC1068" i="4"/>
  <c r="CM1031" i="4"/>
  <c r="CU1031" i="4"/>
  <c r="DC1031" i="4"/>
  <c r="BJ1033" i="4"/>
  <c r="BN1033" i="4"/>
  <c r="BZ1033" i="4"/>
  <c r="CD1033" i="4"/>
  <c r="CH1033" i="4"/>
  <c r="CL1033" i="4"/>
  <c r="CT1033" i="4"/>
  <c r="DB1033" i="4"/>
  <c r="DG1033" i="4" s="1"/>
  <c r="BH1035" i="4"/>
  <c r="BM1035" i="4"/>
  <c r="BX1035" i="4"/>
  <c r="CC1035" i="4"/>
  <c r="CN1035" i="4"/>
  <c r="CS1035" i="4"/>
  <c r="BM1036" i="4"/>
  <c r="CC1036" i="4"/>
  <c r="CS1036" i="4"/>
  <c r="BN1046" i="4"/>
  <c r="BN1047" i="4" s="1"/>
  <c r="CD1046" i="4"/>
  <c r="CT1046" i="4"/>
  <c r="BL1068" i="4"/>
  <c r="DA1068" i="4"/>
  <c r="BQ1082" i="4"/>
  <c r="CC1115" i="4"/>
  <c r="CC1116" i="4" s="1"/>
  <c r="BQ1068" i="4"/>
  <c r="BP1068" i="4"/>
  <c r="CO1068" i="4"/>
  <c r="CN1068" i="4"/>
  <c r="CW1068" i="4"/>
  <c r="CV1068" i="4"/>
  <c r="BI1035" i="4"/>
  <c r="BT1035" i="4"/>
  <c r="BY1035" i="4"/>
  <c r="CJ1035" i="4"/>
  <c r="CO1035" i="4"/>
  <c r="CZ1035" i="4"/>
  <c r="BJ1046" i="4"/>
  <c r="BZ1046" i="4"/>
  <c r="CP1046" i="4"/>
  <c r="DM1119" i="4"/>
  <c r="CF1068" i="4"/>
  <c r="BP1082" i="4"/>
  <c r="BR1078" i="4"/>
  <c r="BV1078" i="4"/>
  <c r="CJ1082" i="4"/>
  <c r="CL1078" i="4"/>
  <c r="BY1082" i="4"/>
  <c r="CB1082" i="4"/>
  <c r="DJ1119" i="4"/>
  <c r="BR1195" i="4"/>
  <c r="BR1212" i="4"/>
  <c r="CH1195" i="4"/>
  <c r="CH1212" i="4"/>
  <c r="CT1212" i="4"/>
  <c r="BP1267" i="4"/>
  <c r="BP1195" i="4"/>
  <c r="BU1267" i="4"/>
  <c r="BU1195" i="4"/>
  <c r="BV1194" i="4"/>
  <c r="BV1195" i="4" s="1"/>
  <c r="CH1283" i="4"/>
  <c r="CX1199" i="4"/>
  <c r="DL44" i="3" s="1"/>
  <c r="CX1283" i="4"/>
  <c r="CC1211" i="4"/>
  <c r="CC1214" i="4"/>
  <c r="CF1208" i="4"/>
  <c r="BJ1137" i="4"/>
  <c r="BU1176" i="4"/>
  <c r="BV1175" i="4"/>
  <c r="DI1183" i="4"/>
  <c r="CJ1267" i="4"/>
  <c r="CI1194" i="4"/>
  <c r="CJ1195" i="4"/>
  <c r="CO1267" i="4"/>
  <c r="CO1195" i="4"/>
  <c r="CP1194" i="4"/>
  <c r="CP1195" i="4" s="1"/>
  <c r="BX1204" i="4"/>
  <c r="CS1214" i="4"/>
  <c r="BY1258" i="4"/>
  <c r="CF1082" i="4"/>
  <c r="CH1078" i="4"/>
  <c r="BZ1136" i="4"/>
  <c r="BM1176" i="4"/>
  <c r="BN1173" i="4"/>
  <c r="BN1176" i="4" s="1"/>
  <c r="BX1298" i="4"/>
  <c r="BX1199" i="4"/>
  <c r="BX1296" i="4"/>
  <c r="BX1295" i="4" s="1"/>
  <c r="CC1298" i="4"/>
  <c r="CD1298" i="4" s="1"/>
  <c r="CC1296" i="4"/>
  <c r="CC1199" i="4"/>
  <c r="CQ44" i="3" s="1"/>
  <c r="CD1198" i="4"/>
  <c r="CD1199" i="4" s="1"/>
  <c r="CR44" i="3" s="1"/>
  <c r="BL1204" i="4"/>
  <c r="BY1204" i="4"/>
  <c r="CR1204" i="4"/>
  <c r="BX1226" i="4"/>
  <c r="BZ1225" i="4"/>
  <c r="BZ1135" i="4"/>
  <c r="CP1135" i="4"/>
  <c r="BP1176" i="4"/>
  <c r="BY1263" i="4"/>
  <c r="BZ1183" i="4"/>
  <c r="CK1225" i="4"/>
  <c r="CK1226" i="4" s="1"/>
  <c r="CJ1231" i="4"/>
  <c r="CZ1267" i="4"/>
  <c r="CZ1195" i="4"/>
  <c r="BQ1204" i="4"/>
  <c r="CJ1204" i="4"/>
  <c r="CW1204" i="4"/>
  <c r="CV1211" i="4"/>
  <c r="CX1208" i="4"/>
  <c r="BM1218" i="4"/>
  <c r="CF1226" i="4"/>
  <c r="CH1225" i="4"/>
  <c r="CV1226" i="4"/>
  <c r="CX1225" i="4"/>
  <c r="CR1225" i="4"/>
  <c r="CO1231" i="4"/>
  <c r="BX1242" i="4"/>
  <c r="BX1244" i="4" s="1"/>
  <c r="BX1239" i="4"/>
  <c r="BT1204" i="4"/>
  <c r="CG1204" i="4"/>
  <c r="CZ1204" i="4"/>
  <c r="CN1226" i="4"/>
  <c r="CP1225" i="4"/>
  <c r="CF1267" i="4"/>
  <c r="CF1195" i="4"/>
  <c r="BI1204" i="4"/>
  <c r="CB1204" i="4"/>
  <c r="CO1204" i="4"/>
  <c r="BX1214" i="4"/>
  <c r="BP1226" i="4"/>
  <c r="BR1225" i="4"/>
  <c r="CZ1258" i="4"/>
  <c r="CZ1260" i="4" s="1"/>
  <c r="DA1254" i="4"/>
  <c r="DA1258" i="4" s="1"/>
  <c r="DI1274" i="4"/>
  <c r="DF1274" i="4"/>
  <c r="DF1278" i="4"/>
  <c r="DI1278" i="4"/>
  <c r="BO1305" i="4"/>
  <c r="BJ1247" i="4"/>
  <c r="CO1350" i="4"/>
  <c r="CP1323" i="4"/>
  <c r="CO1352" i="4"/>
  <c r="BJ1128" i="4"/>
  <c r="BU1263" i="4"/>
  <c r="CK1263" i="4"/>
  <c r="BQ1267" i="4"/>
  <c r="CG1267" i="4"/>
  <c r="CK1267" i="4"/>
  <c r="BM1195" i="4"/>
  <c r="CC1195" i="4"/>
  <c r="CS1195" i="4"/>
  <c r="BY1296" i="4"/>
  <c r="BY1298" i="4"/>
  <c r="BZ1298" i="4" s="1"/>
  <c r="BZ1199" i="4"/>
  <c r="CN44" i="3" s="1"/>
  <c r="CP1199" i="4"/>
  <c r="DD44" i="3" s="1"/>
  <c r="BQ1208" i="4"/>
  <c r="BQ1211" i="4" s="1"/>
  <c r="CG1208" i="4"/>
  <c r="CG1211" i="4" s="1"/>
  <c r="CW1208" i="4"/>
  <c r="CW1211" i="4" s="1"/>
  <c r="BI1222" i="4"/>
  <c r="BT1226" i="4"/>
  <c r="CZ1226" i="4"/>
  <c r="BY1231" i="4"/>
  <c r="BH1236" i="4"/>
  <c r="CF1244" i="4"/>
  <c r="CK1244" i="4"/>
  <c r="CL1244" i="4" s="1"/>
  <c r="CF1239" i="4"/>
  <c r="BT1248" i="4"/>
  <c r="CX1249" i="4"/>
  <c r="DA1251" i="4"/>
  <c r="BJ1290" i="4"/>
  <c r="BJ1293" i="4" s="1"/>
  <c r="BI1293" i="4"/>
  <c r="BI1295" i="4" s="1"/>
  <c r="BJ1295" i="4" s="1"/>
  <c r="BT1316" i="4"/>
  <c r="BY1316" i="4"/>
  <c r="BL1263" i="4"/>
  <c r="CB1263" i="4"/>
  <c r="BX1267" i="4"/>
  <c r="CR1267" i="4"/>
  <c r="BU1298" i="4"/>
  <c r="BV1298" i="4" s="1"/>
  <c r="BU1296" i="4"/>
  <c r="CF1298" i="4"/>
  <c r="CF1296" i="4"/>
  <c r="CF1295" i="4" s="1"/>
  <c r="BJ1212" i="4"/>
  <c r="BJ1214" i="4" s="1"/>
  <c r="BZ1212" i="4"/>
  <c r="CZ1249" i="4"/>
  <c r="CZ1251" i="4" s="1"/>
  <c r="CZ1248" i="4"/>
  <c r="CL1251" i="4"/>
  <c r="CN1258" i="4"/>
  <c r="CN1260" i="4" s="1"/>
  <c r="CP1254" i="4"/>
  <c r="DJ1277" i="4"/>
  <c r="BR1362" i="4"/>
  <c r="CH1362" i="4"/>
  <c r="CX1362" i="4"/>
  <c r="BM1408" i="4"/>
  <c r="BM1370" i="4"/>
  <c r="BU1408" i="4"/>
  <c r="BU1370" i="4"/>
  <c r="CC1408" i="4"/>
  <c r="CC1370" i="4"/>
  <c r="CK1408" i="4"/>
  <c r="CK1370" i="4"/>
  <c r="CS1408" i="4"/>
  <c r="CS1370" i="4"/>
  <c r="DA1408" i="4"/>
  <c r="DA1370" i="4"/>
  <c r="CQ1324" i="4"/>
  <c r="CP1351" i="4"/>
  <c r="CX1367" i="4"/>
  <c r="CD1175" i="4"/>
  <c r="BR1183" i="4"/>
  <c r="BX1263" i="4"/>
  <c r="CH1183" i="4"/>
  <c r="CN1263" i="4"/>
  <c r="CO1263" i="4"/>
  <c r="BN1194" i="4"/>
  <c r="BN1195" i="4" s="1"/>
  <c r="BT1267" i="4"/>
  <c r="BY1267" i="4"/>
  <c r="CN1267" i="4"/>
  <c r="CX1194" i="4"/>
  <c r="CX1195" i="4" s="1"/>
  <c r="CK1195" i="4"/>
  <c r="CV1195" i="4"/>
  <c r="BV1198" i="4"/>
  <c r="BV1199" i="4" s="1"/>
  <c r="CJ44" i="3" s="1"/>
  <c r="CB1296" i="4"/>
  <c r="CB1295" i="4" s="1"/>
  <c r="CB1298" i="4"/>
  <c r="CG1296" i="4"/>
  <c r="CG1298" i="4"/>
  <c r="CH1298" i="4" s="1"/>
  <c r="BI1218" i="4"/>
  <c r="BU1225" i="4"/>
  <c r="BU1226" i="4" s="1"/>
  <c r="DA1225" i="4"/>
  <c r="DA1226" i="4" s="1"/>
  <c r="CV1244" i="4"/>
  <c r="DA1244" i="4"/>
  <c r="DB1244" i="4" s="1"/>
  <c r="CW1248" i="4"/>
  <c r="CT1251" i="4"/>
  <c r="CK1251" i="4"/>
  <c r="BR1254" i="4"/>
  <c r="CK1258" i="4"/>
  <c r="DF1273" i="4"/>
  <c r="DI1273" i="4"/>
  <c r="DB1298" i="4"/>
  <c r="BZ1315" i="4"/>
  <c r="CR1345" i="4"/>
  <c r="BR1282" i="4"/>
  <c r="CW1282" i="4"/>
  <c r="CW898" i="4" s="1"/>
  <c r="BX1292" i="4"/>
  <c r="CF1292" i="4"/>
  <c r="BQ1292" i="4"/>
  <c r="BR1292" i="4" s="1"/>
  <c r="BR1293" i="4" s="1"/>
  <c r="BZ1363" i="4"/>
  <c r="CP1363" i="4"/>
  <c r="CN1316" i="4"/>
  <c r="CB1316" i="4"/>
  <c r="CB1321" i="4"/>
  <c r="CG1316" i="4"/>
  <c r="CG1321" i="4"/>
  <c r="CH1317" i="4"/>
  <c r="CH1282" i="4"/>
  <c r="CX1282" i="4"/>
  <c r="CL1293" i="4"/>
  <c r="BM1292" i="4"/>
  <c r="BN1292" i="4" s="1"/>
  <c r="BN1293" i="4" s="1"/>
  <c r="CC1292" i="4"/>
  <c r="CD1292" i="4" s="1"/>
  <c r="CD1291" i="4"/>
  <c r="BM1295" i="4"/>
  <c r="BN1295" i="4" s="1"/>
  <c r="BN1296" i="4"/>
  <c r="CL1296" i="4"/>
  <c r="CK1295" i="4"/>
  <c r="CL1295" i="4" s="1"/>
  <c r="BZ1362" i="4"/>
  <c r="CP1362" i="4"/>
  <c r="BI1408" i="4"/>
  <c r="BI1370" i="4"/>
  <c r="BQ1370" i="4"/>
  <c r="BQ1408" i="4"/>
  <c r="BY1408" i="4"/>
  <c r="BY1370" i="4"/>
  <c r="CG1408" i="4"/>
  <c r="CG1370" i="4"/>
  <c r="CO1408" i="4"/>
  <c r="CO1370" i="4"/>
  <c r="CW1408" i="4"/>
  <c r="CW1370" i="4"/>
  <c r="BJ1315" i="4"/>
  <c r="CJ1345" i="4"/>
  <c r="CZ1345" i="4"/>
  <c r="BI1316" i="4"/>
  <c r="CJ1316" i="4"/>
  <c r="CS1365" i="4"/>
  <c r="CS1368" i="4"/>
  <c r="CS1366" i="4"/>
  <c r="CS1369" i="4"/>
  <c r="CV1365" i="4"/>
  <c r="DI1271" i="4"/>
  <c r="CS1295" i="4"/>
  <c r="CT1295" i="4" s="1"/>
  <c r="CT1296" i="4"/>
  <c r="BR1363" i="4"/>
  <c r="CH1363" i="4"/>
  <c r="CX1363" i="4"/>
  <c r="CV1316" i="4"/>
  <c r="BL1316" i="4"/>
  <c r="BL1321" i="4"/>
  <c r="BQ1316" i="4"/>
  <c r="BQ1321" i="4"/>
  <c r="BR1317" i="4"/>
  <c r="CR1321" i="4"/>
  <c r="CR1316" i="4"/>
  <c r="CW1321" i="4"/>
  <c r="CW1316" i="4"/>
  <c r="CX1317" i="4"/>
  <c r="BX1344" i="4"/>
  <c r="BX1345" i="4" s="1"/>
  <c r="BX1329" i="4"/>
  <c r="CC1344" i="4"/>
  <c r="CC1345" i="4" s="1"/>
  <c r="CD1328" i="4"/>
  <c r="CC1329" i="4"/>
  <c r="CT1344" i="4"/>
  <c r="CH1330" i="4"/>
  <c r="CG1329" i="4"/>
  <c r="CT1329" i="4"/>
  <c r="CU1336" i="4"/>
  <c r="BF1362" i="4"/>
  <c r="CL1362" i="4"/>
  <c r="DB1367" i="4"/>
  <c r="BF1363" i="4"/>
  <c r="BV1363" i="4"/>
  <c r="CL1363" i="4"/>
  <c r="DB1363" i="4"/>
  <c r="BE1347" i="4"/>
  <c r="BF1347" i="4" s="1"/>
  <c r="CW1345" i="4"/>
  <c r="CZ1316" i="4"/>
  <c r="CL1323" i="4"/>
  <c r="CK1352" i="4"/>
  <c r="CV1352" i="4"/>
  <c r="DB1323" i="4"/>
  <c r="DA1352" i="4"/>
  <c r="CU1324" i="4"/>
  <c r="BE1332" i="4"/>
  <c r="BF1328" i="4"/>
  <c r="BE1344" i="4"/>
  <c r="BE1345" i="4" s="1"/>
  <c r="BR1344" i="4"/>
  <c r="CF1344" i="4"/>
  <c r="CF1345" i="4" s="1"/>
  <c r="CH1335" i="4"/>
  <c r="BV1362" i="4"/>
  <c r="CN1368" i="4"/>
  <c r="CN1369" i="4"/>
  <c r="CN1365" i="4"/>
  <c r="CN1366" i="4"/>
  <c r="DM1396" i="4"/>
  <c r="BL1345" i="4"/>
  <c r="BX1361" i="4"/>
  <c r="CW1352" i="4"/>
  <c r="CX1323" i="4"/>
  <c r="CW1350" i="4"/>
  <c r="CX1351" i="4"/>
  <c r="CY1324" i="4"/>
  <c r="BH1344" i="4"/>
  <c r="BH1345" i="4" s="1"/>
  <c r="BM1344" i="4"/>
  <c r="BM1345" i="4" s="1"/>
  <c r="BN1328" i="4"/>
  <c r="BZ1344" i="4"/>
  <c r="CP1335" i="4"/>
  <c r="DA1345" i="4"/>
  <c r="DB1362" i="4"/>
  <c r="BN1362" i="4"/>
  <c r="CD1362" i="4"/>
  <c r="CT1367" i="4"/>
  <c r="CT1362" i="4"/>
  <c r="BN1363" i="4"/>
  <c r="CT1363" i="4"/>
  <c r="BH1408" i="4"/>
  <c r="BH1370" i="4"/>
  <c r="BL1408" i="4"/>
  <c r="BL1370" i="4"/>
  <c r="BP1408" i="4"/>
  <c r="BP1370" i="4"/>
  <c r="BT1408" i="4"/>
  <c r="BT1370" i="4"/>
  <c r="BX1408" i="4"/>
  <c r="BX1370" i="4"/>
  <c r="CB1408" i="4"/>
  <c r="CB1370" i="4"/>
  <c r="CF1408" i="4"/>
  <c r="CF1370" i="4"/>
  <c r="CJ1408" i="4"/>
  <c r="CN1408" i="4"/>
  <c r="CN1370" i="4"/>
  <c r="CR1370" i="4"/>
  <c r="CR1408" i="4"/>
  <c r="CV1408" i="4"/>
  <c r="CV1370" i="4"/>
  <c r="CZ1408" i="4"/>
  <c r="CZ1370" i="4"/>
  <c r="BR1315" i="4"/>
  <c r="CH1315" i="4"/>
  <c r="BJ1317" i="4"/>
  <c r="BZ1317" i="4"/>
  <c r="CP1317" i="4"/>
  <c r="BI1321" i="4"/>
  <c r="BT1321" i="4"/>
  <c r="BY1321" i="4"/>
  <c r="CJ1321" i="4"/>
  <c r="CO1321" i="4"/>
  <c r="CV1321" i="4"/>
  <c r="CT1323" i="4"/>
  <c r="CS1350" i="4"/>
  <c r="CL1351" i="4"/>
  <c r="CM1324" i="4"/>
  <c r="DB1351" i="4"/>
  <c r="DC1324" i="4"/>
  <c r="BP1344" i="4"/>
  <c r="BP1345" i="4" s="1"/>
  <c r="BV1328" i="4"/>
  <c r="BU1344" i="4"/>
  <c r="BU1345" i="4" s="1"/>
  <c r="CO1329" i="4"/>
  <c r="CP1328" i="4"/>
  <c r="BM1329" i="4"/>
  <c r="CO1344" i="4"/>
  <c r="CO1345" i="4" s="1"/>
  <c r="DB1344" i="4"/>
  <c r="CS1345" i="4"/>
  <c r="BE1348" i="4"/>
  <c r="CK1350" i="4"/>
  <c r="BH1368" i="4"/>
  <c r="BH1369" i="4"/>
  <c r="BH1366" i="4"/>
  <c r="BM1365" i="4"/>
  <c r="BM1368" i="4"/>
  <c r="BM1366" i="4"/>
  <c r="BM1369" i="4"/>
  <c r="BP1365" i="4"/>
  <c r="CR1338" i="4"/>
  <c r="CR1340" i="4" s="1"/>
  <c r="CW1338" i="4"/>
  <c r="CK1344" i="4"/>
  <c r="CK1345" i="4" s="1"/>
  <c r="CG1350" i="4"/>
  <c r="CR1350" i="4"/>
  <c r="CJ1352" i="4"/>
  <c r="CZ1352" i="4"/>
  <c r="BU1368" i="4"/>
  <c r="BU1365" i="4"/>
  <c r="DA1368" i="4"/>
  <c r="DA1365" i="4"/>
  <c r="BX1369" i="4"/>
  <c r="CC1365" i="4"/>
  <c r="CC1368" i="4"/>
  <c r="BX1365" i="4"/>
  <c r="DJ1396" i="4"/>
  <c r="CK1368" i="4"/>
  <c r="CK1365" i="4"/>
  <c r="BX1366" i="4"/>
  <c r="CC1369" i="4"/>
  <c r="BI1365" i="4"/>
  <c r="BQ1365" i="4"/>
  <c r="BY1365" i="4"/>
  <c r="CG1365" i="4"/>
  <c r="CO1365" i="4"/>
  <c r="CW1365" i="4"/>
  <c r="BL1366" i="4"/>
  <c r="BQ1366" i="4"/>
  <c r="CB1366" i="4"/>
  <c r="CG1366" i="4"/>
  <c r="CR1366" i="4"/>
  <c r="CW1366" i="4"/>
  <c r="BI1369" i="4"/>
  <c r="BT1369" i="4"/>
  <c r="BY1369" i="4"/>
  <c r="CJ1369" i="4"/>
  <c r="CO1369" i="4"/>
  <c r="CZ1369" i="4"/>
  <c r="BR1398" i="4"/>
  <c r="CX1398" i="4"/>
  <c r="CH1398" i="4"/>
  <c r="CG17" i="3"/>
  <c r="CG13" i="3"/>
  <c r="DO17" i="3"/>
  <c r="DJ17" i="3"/>
  <c r="CY17" i="3"/>
  <c r="CT17" i="3"/>
  <c r="CI17" i="3"/>
  <c r="CE17" i="3"/>
  <c r="BZ17" i="3"/>
  <c r="CG12" i="3"/>
  <c r="CD17" i="3"/>
  <c r="CH17" i="3"/>
  <c r="CM17" i="3"/>
  <c r="CX17" i="3"/>
  <c r="DC17" i="3"/>
  <c r="DN17" i="3"/>
  <c r="BW17" i="3"/>
  <c r="CQ17" i="3"/>
  <c r="M58" i="3"/>
  <c r="X58" i="3"/>
  <c r="L65" i="3"/>
  <c r="Q65" i="3"/>
  <c r="AB65" i="3"/>
  <c r="AG65" i="3"/>
  <c r="AR65" i="3"/>
  <c r="J54" i="3"/>
  <c r="P54" i="3"/>
  <c r="J56" i="3"/>
  <c r="Z58" i="3"/>
  <c r="AF58" i="3"/>
  <c r="AK58" i="3"/>
  <c r="AV58" i="3"/>
  <c r="BA58" i="3"/>
  <c r="T65" i="3"/>
  <c r="Y65" i="3"/>
  <c r="AJ65" i="3"/>
  <c r="AO65" i="3"/>
  <c r="AZ65" i="3"/>
  <c r="H54" i="3"/>
  <c r="M54" i="3"/>
  <c r="R54" i="3"/>
  <c r="H56" i="3"/>
  <c r="M56" i="3"/>
  <c r="R56" i="3"/>
  <c r="DC89" i="3"/>
  <c r="DB89" i="3"/>
  <c r="AE89" i="12" l="1"/>
  <c r="AG89" i="12"/>
  <c r="AF89" i="12"/>
  <c r="DB369" i="4"/>
  <c r="BL986" i="4"/>
  <c r="CN1043" i="4"/>
  <c r="CB733" i="4"/>
  <c r="CB736" i="4" s="1"/>
  <c r="CD686" i="4"/>
  <c r="CK1043" i="4"/>
  <c r="CD1026" i="4"/>
  <c r="AD89" i="12"/>
  <c r="BS123" i="4"/>
  <c r="DJ842" i="4"/>
  <c r="DF1229" i="4"/>
  <c r="DF1231" i="4" s="1"/>
  <c r="DB512" i="4"/>
  <c r="DG490" i="4"/>
  <c r="DD518" i="4"/>
  <c r="DD519" i="4" s="1"/>
  <c r="DF518" i="4"/>
  <c r="DF519" i="4" s="1"/>
  <c r="DD965" i="4"/>
  <c r="DD969" i="4" s="1"/>
  <c r="DF969" i="4" s="1"/>
  <c r="AK86" i="12" s="1"/>
  <c r="DF960" i="4"/>
  <c r="DF965" i="4" s="1"/>
  <c r="DN1131" i="4"/>
  <c r="AM86" i="12"/>
  <c r="DG1135" i="4"/>
  <c r="DG1323" i="4"/>
  <c r="DB232" i="4"/>
  <c r="DP62" i="3" s="1"/>
  <c r="DG185" i="4"/>
  <c r="DA83" i="4"/>
  <c r="DE55" i="4"/>
  <c r="DD1260" i="4"/>
  <c r="DF1258" i="4"/>
  <c r="DF1260" i="4" s="1"/>
  <c r="DB237" i="4"/>
  <c r="DG183" i="4"/>
  <c r="AR5" i="9" s="1"/>
  <c r="DB203" i="4"/>
  <c r="DC1228" i="4"/>
  <c r="DF1408" i="4"/>
  <c r="DG1310" i="4"/>
  <c r="DB640" i="4"/>
  <c r="DG610" i="4"/>
  <c r="DF274" i="4"/>
  <c r="DF865" i="4"/>
  <c r="DF866" i="4" s="1"/>
  <c r="DF863" i="4"/>
  <c r="DF900" i="4"/>
  <c r="DD526" i="4"/>
  <c r="DF524" i="4"/>
  <c r="DF526" i="4" s="1"/>
  <c r="AW2" i="12"/>
  <c r="AV5" i="12"/>
  <c r="AN4" i="12"/>
  <c r="AO4" i="12" s="1"/>
  <c r="AP4" i="12" s="1"/>
  <c r="AQ4" i="12" s="1"/>
  <c r="AR4" i="12" s="1"/>
  <c r="AS4" i="12" s="1"/>
  <c r="AT4" i="12" s="1"/>
  <c r="AU4" i="12" s="1"/>
  <c r="DN1396" i="4"/>
  <c r="DP1396" i="4"/>
  <c r="DQ1396" i="4" s="1"/>
  <c r="DR1396" i="4" s="1"/>
  <c r="DN1119" i="4"/>
  <c r="DP1119" i="4"/>
  <c r="DN1280" i="4"/>
  <c r="DP1280" i="4"/>
  <c r="DQ1280" i="4" s="1"/>
  <c r="DR1280" i="4" s="1"/>
  <c r="DN1279" i="4"/>
  <c r="DP1279" i="4"/>
  <c r="DQ1279" i="4" s="1"/>
  <c r="DR1279" i="4" s="1"/>
  <c r="DN1277" i="4"/>
  <c r="DP1277" i="4"/>
  <c r="DQ1277" i="4" s="1"/>
  <c r="DR1277" i="4" s="1"/>
  <c r="DN1276" i="4"/>
  <c r="DP1276" i="4"/>
  <c r="DQ1276" i="4" s="1"/>
  <c r="DR1276" i="4" s="1"/>
  <c r="DN682" i="4"/>
  <c r="DP682" i="4"/>
  <c r="DQ682" i="4" s="1"/>
  <c r="DR682" i="4" s="1"/>
  <c r="DN1275" i="4"/>
  <c r="DP1275" i="4"/>
  <c r="DQ1275" i="4" s="1"/>
  <c r="DR1275" i="4" s="1"/>
  <c r="DN1272" i="4"/>
  <c r="DP1272" i="4"/>
  <c r="DQ1272" i="4" s="1"/>
  <c r="DR1272" i="4" s="1"/>
  <c r="CX89" i="4"/>
  <c r="CX98" i="4" s="1"/>
  <c r="CK1357" i="4"/>
  <c r="CB500" i="4"/>
  <c r="CB503" i="4" s="1"/>
  <c r="CR465" i="4"/>
  <c r="CM1135" i="4"/>
  <c r="CT1211" i="4"/>
  <c r="DJ1272" i="4"/>
  <c r="CB533" i="4"/>
  <c r="CS1239" i="4"/>
  <c r="BY795" i="4"/>
  <c r="DA690" i="4"/>
  <c r="CT1160" i="4"/>
  <c r="CP1214" i="4"/>
  <c r="CP513" i="4"/>
  <c r="CP515" i="4"/>
  <c r="DB174" i="4"/>
  <c r="DG174" i="4" s="1"/>
  <c r="CZ690" i="4"/>
  <c r="CP1407" i="4"/>
  <c r="CD998" i="4"/>
  <c r="CD999" i="4" s="1"/>
  <c r="CD1001" i="4" s="1"/>
  <c r="CD1114" i="4" s="1"/>
  <c r="BJ270" i="4"/>
  <c r="CP500" i="4"/>
  <c r="CP503" i="4" s="1"/>
  <c r="CB179" i="4"/>
  <c r="CP512" i="4"/>
  <c r="BM1239" i="4"/>
  <c r="DJ1275" i="4"/>
  <c r="BV1321" i="4"/>
  <c r="BV1361" i="4" s="1"/>
  <c r="CH270" i="4"/>
  <c r="CH273" i="4" s="1"/>
  <c r="CV73" i="3" s="1"/>
  <c r="CF287" i="4"/>
  <c r="CF288" i="4" s="1"/>
  <c r="CP651" i="4"/>
  <c r="CP653" i="4" s="1"/>
  <c r="BI273" i="4"/>
  <c r="BW73" i="3" s="1"/>
  <c r="CB976" i="4"/>
  <c r="CD976" i="4" s="1"/>
  <c r="DI1184" i="4"/>
  <c r="DL1184" i="4" s="1"/>
  <c r="DM1184" i="4" s="1"/>
  <c r="CU174" i="4"/>
  <c r="DB1345" i="4"/>
  <c r="DP40" i="3" s="1"/>
  <c r="CF1357" i="4"/>
  <c r="BJ1329" i="4"/>
  <c r="CL936" i="4"/>
  <c r="DA829" i="4"/>
  <c r="CP270" i="4"/>
  <c r="CP273" i="4" s="1"/>
  <c r="DD73" i="3" s="1"/>
  <c r="AN36" i="9"/>
  <c r="DA1337" i="4"/>
  <c r="DA1342" i="4" s="1"/>
  <c r="CV178" i="4"/>
  <c r="CO273" i="4"/>
  <c r="DC73" i="3" s="1"/>
  <c r="BT1239" i="4"/>
  <c r="CS1240" i="4"/>
  <c r="CL270" i="4"/>
  <c r="CS1109" i="4"/>
  <c r="DB1316" i="4"/>
  <c r="DG1316" i="4" s="1"/>
  <c r="DA1326" i="4"/>
  <c r="CV1239" i="4"/>
  <c r="DL1281" i="4"/>
  <c r="DM1281" i="4" s="1"/>
  <c r="DA1357" i="4"/>
  <c r="BY1240" i="4"/>
  <c r="CD1226" i="4"/>
  <c r="CD1229" i="4" s="1"/>
  <c r="CD1231" i="4" s="1"/>
  <c r="CK1355" i="4"/>
  <c r="CK1356" i="4" s="1"/>
  <c r="CX1043" i="4"/>
  <c r="CZ178" i="4"/>
  <c r="CT976" i="4"/>
  <c r="CT1316" i="4"/>
  <c r="CT1357" i="4" s="1"/>
  <c r="CS1326" i="4"/>
  <c r="CZ1236" i="4"/>
  <c r="CZ1240" i="4" s="1"/>
  <c r="BR998" i="4"/>
  <c r="BR999" i="4" s="1"/>
  <c r="CF18" i="3" s="1"/>
  <c r="CN1008" i="4"/>
  <c r="CN1012" i="4" s="1"/>
  <c r="BI710" i="4"/>
  <c r="BI600" i="4"/>
  <c r="BT515" i="4"/>
  <c r="BI533" i="4"/>
  <c r="CZ407" i="4"/>
  <c r="CZ17" i="3"/>
  <c r="CZ465" i="4"/>
  <c r="BY616" i="4"/>
  <c r="BF1316" i="4"/>
  <c r="CH1226" i="4"/>
  <c r="BY956" i="4"/>
  <c r="BY1109" i="4" s="1"/>
  <c r="BY1110" i="4" s="1"/>
  <c r="BY1196" i="4"/>
  <c r="BY1200" i="4" s="1"/>
  <c r="CJ644" i="4"/>
  <c r="DI537" i="4"/>
  <c r="DL537" i="4" s="1"/>
  <c r="DM537" i="4" s="1"/>
  <c r="DP537" i="4" s="1"/>
  <c r="DQ537" i="4" s="1"/>
  <c r="BT1407" i="4"/>
  <c r="CD18" i="4"/>
  <c r="CL203" i="4"/>
  <c r="BY209" i="4"/>
  <c r="M83" i="9"/>
  <c r="M85" i="9" s="1"/>
  <c r="CW1109" i="4"/>
  <c r="DB270" i="4"/>
  <c r="BX180" i="4"/>
  <c r="AP51" i="3"/>
  <c r="BZ947" i="4"/>
  <c r="CN17" i="3"/>
  <c r="BX179" i="4"/>
  <c r="CH243" i="4"/>
  <c r="CG1196" i="4"/>
  <c r="CN1340" i="4"/>
  <c r="D128" i="9"/>
  <c r="CY1315" i="4"/>
  <c r="BB65" i="3"/>
  <c r="CV663" i="4"/>
  <c r="CV662" i="4" s="1"/>
  <c r="CV621" i="4"/>
  <c r="CV623" i="4" s="1"/>
  <c r="DB630" i="4"/>
  <c r="DB621" i="4"/>
  <c r="DB623" i="4" s="1"/>
  <c r="CW630" i="4"/>
  <c r="CW629" i="4" s="1"/>
  <c r="CW621" i="4"/>
  <c r="CW623" i="4" s="1"/>
  <c r="CT270" i="4"/>
  <c r="AH65" i="3"/>
  <c r="CP1049" i="4"/>
  <c r="AJ142" i="9"/>
  <c r="AF133" i="9"/>
  <c r="AJ71" i="9"/>
  <c r="AJ97" i="9" s="1"/>
  <c r="AN60" i="3"/>
  <c r="AJ128" i="9"/>
  <c r="AJ156" i="9" s="1"/>
  <c r="T142" i="9"/>
  <c r="CI145" i="4"/>
  <c r="BT923" i="4"/>
  <c r="BU208" i="4"/>
  <c r="X60" i="3"/>
  <c r="BJ986" i="4"/>
  <c r="CS273" i="4"/>
  <c r="DG73" i="3" s="1"/>
  <c r="CR838" i="4"/>
  <c r="D142" i="9"/>
  <c r="T72" i="3"/>
  <c r="AR72" i="3"/>
  <c r="DA329" i="4"/>
  <c r="DB329" i="4" s="1"/>
  <c r="DA330" i="4"/>
  <c r="CZ330" i="4"/>
  <c r="CZ329" i="4"/>
  <c r="BJ1036" i="4"/>
  <c r="AE16" i="12"/>
  <c r="CM1259" i="4"/>
  <c r="CF1337" i="4"/>
  <c r="CF1342" i="4" s="1"/>
  <c r="CF1341" i="4"/>
  <c r="BL703" i="4"/>
  <c r="CU201" i="4"/>
  <c r="BZ270" i="4"/>
  <c r="BZ273" i="4" s="1"/>
  <c r="CN73" i="3" s="1"/>
  <c r="BU30" i="4"/>
  <c r="CQ201" i="4"/>
  <c r="CG287" i="4"/>
  <c r="CG288" i="4" s="1"/>
  <c r="X42" i="9"/>
  <c r="X86" i="9" s="1"/>
  <c r="BJ981" i="4"/>
  <c r="DJ682" i="4"/>
  <c r="CL986" i="4"/>
  <c r="AD22" i="3"/>
  <c r="BT956" i="4"/>
  <c r="BT1109" i="4" s="1"/>
  <c r="BT1110" i="4" s="1"/>
  <c r="DA235" i="4"/>
  <c r="DA236" i="4"/>
  <c r="DB230" i="4"/>
  <c r="DB233" i="4"/>
  <c r="CZ235" i="4"/>
  <c r="CZ236" i="4"/>
  <c r="BT1236" i="4"/>
  <c r="BT1240" i="4" s="1"/>
  <c r="CL1338" i="4"/>
  <c r="CL1340" i="4" s="1"/>
  <c r="DD190" i="4"/>
  <c r="DA231" i="4"/>
  <c r="DA234" i="4"/>
  <c r="CZ280" i="4"/>
  <c r="CZ231" i="4"/>
  <c r="CZ234" i="4"/>
  <c r="CC1348" i="4"/>
  <c r="CD1214" i="4"/>
  <c r="CS1357" i="4"/>
  <c r="CJ924" i="4"/>
  <c r="BH753" i="4"/>
  <c r="BH755" i="4" s="1"/>
  <c r="CG646" i="4"/>
  <c r="CB515" i="4"/>
  <c r="DL434" i="4"/>
  <c r="BP262" i="4"/>
  <c r="BP259" i="4" s="1"/>
  <c r="BV865" i="4"/>
  <c r="CV852" i="4"/>
  <c r="BP287" i="4"/>
  <c r="BP288" i="4" s="1"/>
  <c r="DB662" i="4"/>
  <c r="DB663" i="4" s="1"/>
  <c r="CO681" i="4"/>
  <c r="CR688" i="4" s="1"/>
  <c r="BP852" i="4"/>
  <c r="CJ1240" i="4"/>
  <c r="CR644" i="4"/>
  <c r="CD1321" i="4"/>
  <c r="CD1361" i="4" s="1"/>
  <c r="CK1340" i="4"/>
  <c r="CC646" i="4"/>
  <c r="CN287" i="4"/>
  <c r="BQ1347" i="4"/>
  <c r="BR1347" i="4" s="1"/>
  <c r="BV1316" i="4"/>
  <c r="CF1326" i="4"/>
  <c r="CF1325" i="4" s="1"/>
  <c r="BQ1348" i="4"/>
  <c r="CO1236" i="4"/>
  <c r="CO1240" i="4" s="1"/>
  <c r="BQ1196" i="4"/>
  <c r="BQ1200" i="4" s="1"/>
  <c r="BJ562" i="4"/>
  <c r="CO690" i="4"/>
  <c r="CO440" i="4"/>
  <c r="CB512" i="4"/>
  <c r="CN262" i="4"/>
  <c r="CK528" i="4"/>
  <c r="CJ1239" i="4"/>
  <c r="CC273" i="4"/>
  <c r="CQ73" i="3" s="1"/>
  <c r="AD8" i="3"/>
  <c r="DC1315" i="4"/>
  <c r="CZ509" i="4"/>
  <c r="BR243" i="4"/>
  <c r="DD985" i="4"/>
  <c r="DA154" i="4"/>
  <c r="DD159" i="4"/>
  <c r="DA655" i="4"/>
  <c r="DD644" i="4"/>
  <c r="DB176" i="4"/>
  <c r="DD180" i="4"/>
  <c r="DD426" i="4"/>
  <c r="DF426" i="4" s="1"/>
  <c r="DD980" i="4"/>
  <c r="DA608" i="4"/>
  <c r="DD615" i="4" s="1"/>
  <c r="DD616" i="4"/>
  <c r="CY174" i="4"/>
  <c r="DA802" i="4"/>
  <c r="DD802" i="4"/>
  <c r="DD494" i="4"/>
  <c r="DA209" i="4"/>
  <c r="DD193" i="4"/>
  <c r="BP395" i="4"/>
  <c r="DD17" i="3"/>
  <c r="CC1361" i="4"/>
  <c r="CB795" i="4"/>
  <c r="CB796" i="4"/>
  <c r="CD796" i="4" s="1"/>
  <c r="CF852" i="4"/>
  <c r="BY273" i="4"/>
  <c r="CM73" i="3" s="1"/>
  <c r="D71" i="9"/>
  <c r="BM1240" i="4"/>
  <c r="CK644" i="4"/>
  <c r="DA190" i="4"/>
  <c r="P36" i="9"/>
  <c r="CF669" i="4"/>
  <c r="CF671" i="4" s="1"/>
  <c r="T144" i="9"/>
  <c r="CR981" i="4"/>
  <c r="CT981" i="4" s="1"/>
  <c r="CT53" i="4"/>
  <c r="BY796" i="4"/>
  <c r="BZ796" i="4" s="1"/>
  <c r="CZ986" i="4"/>
  <c r="DB986" i="4" s="1"/>
  <c r="CF608" i="4"/>
  <c r="BX273" i="4"/>
  <c r="CL73" i="3" s="1"/>
  <c r="DB1211" i="4"/>
  <c r="CR634" i="4"/>
  <c r="BL533" i="4"/>
  <c r="CZ494" i="4"/>
  <c r="BQ1332" i="4"/>
  <c r="BN391" i="4"/>
  <c r="BN469" i="4" s="1"/>
  <c r="CO469" i="4"/>
  <c r="CN852" i="4"/>
  <c r="CC280" i="4"/>
  <c r="AO77" i="3"/>
  <c r="BY178" i="4"/>
  <c r="BA60" i="3"/>
  <c r="BN476" i="4"/>
  <c r="BA57" i="3"/>
  <c r="CW1348" i="4"/>
  <c r="BN1408" i="4"/>
  <c r="BP986" i="4"/>
  <c r="CC630" i="4"/>
  <c r="CC629" i="4" s="1"/>
  <c r="CD629" i="4" s="1"/>
  <c r="CF686" i="4"/>
  <c r="CF684" i="4" s="1"/>
  <c r="CF691" i="4" s="1"/>
  <c r="CT1369" i="4"/>
  <c r="CT1214" i="4"/>
  <c r="DB1047" i="4"/>
  <c r="DP15" i="3" s="1"/>
  <c r="BP981" i="4"/>
  <c r="BR981" i="4" s="1"/>
  <c r="BX690" i="4"/>
  <c r="BL745" i="4"/>
  <c r="BN745" i="4" s="1"/>
  <c r="BN748" i="4" s="1"/>
  <c r="BN754" i="4" s="1"/>
  <c r="CF618" i="4"/>
  <c r="CC654" i="4"/>
  <c r="CC663" i="4"/>
  <c r="CC662" i="4" s="1"/>
  <c r="CF734" i="4"/>
  <c r="CF733" i="4" s="1"/>
  <c r="CF736" i="4" s="1"/>
  <c r="AF61" i="9"/>
  <c r="CE610" i="4"/>
  <c r="BV986" i="4"/>
  <c r="BI1240" i="4"/>
  <c r="BZ477" i="4"/>
  <c r="CF644" i="4"/>
  <c r="BR1333" i="4"/>
  <c r="AW77" i="3"/>
  <c r="BH780" i="4"/>
  <c r="BH787" i="4" s="1"/>
  <c r="CC1347" i="4"/>
  <c r="BM1347" i="4"/>
  <c r="AF135" i="9"/>
  <c r="AZ57" i="3"/>
  <c r="AJ72" i="3"/>
  <c r="AJ36" i="9"/>
  <c r="CV273" i="4"/>
  <c r="DJ73" i="3" s="1"/>
  <c r="CZ1238" i="4"/>
  <c r="BJ368" i="4"/>
  <c r="Y81" i="3"/>
  <c r="BT831" i="4"/>
  <c r="CB1347" i="4"/>
  <c r="BN1369" i="4"/>
  <c r="BU1357" i="4"/>
  <c r="BJ1344" i="4"/>
  <c r="BU1322" i="4"/>
  <c r="CP1366" i="4"/>
  <c r="BN1294" i="4"/>
  <c r="CP1368" i="4"/>
  <c r="DA1341" i="4"/>
  <c r="BR1208" i="4"/>
  <c r="CF923" i="4"/>
  <c r="BI749" i="4"/>
  <c r="CV690" i="4"/>
  <c r="BF1348" i="4"/>
  <c r="BV153" i="4"/>
  <c r="CB262" i="4"/>
  <c r="BT280" i="4"/>
  <c r="CW48" i="4"/>
  <c r="CS154" i="4"/>
  <c r="D86" i="9"/>
  <c r="AF86" i="9"/>
  <c r="H56" i="9"/>
  <c r="BP1238" i="4"/>
  <c r="CH779" i="4"/>
  <c r="BQ273" i="4"/>
  <c r="CE73" i="3" s="1"/>
  <c r="P57" i="3"/>
  <c r="AJ77" i="3"/>
  <c r="Q77" i="3"/>
  <c r="CV262" i="4"/>
  <c r="CV259" i="4" s="1"/>
  <c r="CV1238" i="4"/>
  <c r="AN77" i="3"/>
  <c r="AX22" i="3"/>
  <c r="BS1135" i="4"/>
  <c r="CX243" i="4"/>
  <c r="BE1356" i="4"/>
  <c r="BF1356" i="4" s="1"/>
  <c r="CF1322" i="4"/>
  <c r="DA1340" i="4"/>
  <c r="BP1239" i="4"/>
  <c r="CT1208" i="4"/>
  <c r="DJ1279" i="4"/>
  <c r="BT1294" i="4"/>
  <c r="BU1294" i="4" s="1"/>
  <c r="BV1181" i="4"/>
  <c r="AB41" i="12" s="1"/>
  <c r="CZ956" i="4"/>
  <c r="DB996" i="4"/>
  <c r="CS690" i="4"/>
  <c r="BE1358" i="4"/>
  <c r="BF1358" i="4" s="1"/>
  <c r="BU157" i="4"/>
  <c r="DA528" i="4"/>
  <c r="DD529" i="4" s="1"/>
  <c r="BN998" i="4"/>
  <c r="BN999" i="4" s="1"/>
  <c r="BZ999" i="4"/>
  <c r="CD823" i="4"/>
  <c r="BN524" i="4"/>
  <c r="BN526" i="4" s="1"/>
  <c r="DI300" i="4"/>
  <c r="DL300" i="4" s="1"/>
  <c r="BY793" i="4"/>
  <c r="CV287" i="4"/>
  <c r="CV288" i="4" s="1"/>
  <c r="AS60" i="3"/>
  <c r="CP1348" i="4"/>
  <c r="BJ778" i="4"/>
  <c r="BJ810" i="4" s="1"/>
  <c r="CK190" i="4"/>
  <c r="AB81" i="3"/>
  <c r="N81" i="3"/>
  <c r="CD270" i="4"/>
  <c r="AO81" i="3"/>
  <c r="AF77" i="3"/>
  <c r="CN1341" i="4"/>
  <c r="BZ1214" i="4"/>
  <c r="CI610" i="4"/>
  <c r="CX380" i="4"/>
  <c r="CP53" i="4"/>
  <c r="D133" i="9"/>
  <c r="BT644" i="4"/>
  <c r="BX648" i="4"/>
  <c r="AS58" i="3"/>
  <c r="CL1316" i="4"/>
  <c r="AF31" i="12" s="1"/>
  <c r="CD1316" i="4"/>
  <c r="CL922" i="4"/>
  <c r="CL924" i="4" s="1"/>
  <c r="CR986" i="4"/>
  <c r="CT986" i="4" s="1"/>
  <c r="BH1109" i="4"/>
  <c r="BH1110" i="4" s="1"/>
  <c r="BZ1008" i="4"/>
  <c r="CC190" i="4"/>
  <c r="AJ81" i="3"/>
  <c r="CE49" i="3"/>
  <c r="BH1348" i="4"/>
  <c r="CD1369" i="4"/>
  <c r="BH1332" i="4"/>
  <c r="CG1348" i="4"/>
  <c r="CD1368" i="4"/>
  <c r="BP1322" i="4"/>
  <c r="CW825" i="4"/>
  <c r="CZ832" i="4" s="1"/>
  <c r="CZ618" i="4"/>
  <c r="CV986" i="4"/>
  <c r="CX986" i="4" s="1"/>
  <c r="BH1010" i="4"/>
  <c r="BH1013" i="4" s="1"/>
  <c r="BZ1220" i="4"/>
  <c r="BZ1222" i="4" s="1"/>
  <c r="CB280" i="4"/>
  <c r="BH801" i="4"/>
  <c r="BL803" i="4" s="1"/>
  <c r="BN777" i="4"/>
  <c r="CW663" i="4"/>
  <c r="CW662" i="4" s="1"/>
  <c r="DA616" i="4"/>
  <c r="DJ64" i="4"/>
  <c r="AZ63" i="3"/>
  <c r="AH58" i="3"/>
  <c r="CK1326" i="4"/>
  <c r="CK1325" i="4" s="1"/>
  <c r="CN1086" i="4"/>
  <c r="CJ923" i="4"/>
  <c r="CX829" i="4"/>
  <c r="CX825" i="4" s="1"/>
  <c r="CR780" i="4"/>
  <c r="DA55" i="4"/>
  <c r="CR829" i="4"/>
  <c r="CV831" i="4" s="1"/>
  <c r="BI179" i="4"/>
  <c r="V65" i="3"/>
  <c r="M60" i="3"/>
  <c r="CL518" i="4"/>
  <c r="CL519" i="4" s="1"/>
  <c r="BM1348" i="4"/>
  <c r="CN1355" i="4"/>
  <c r="CN1333" i="4" s="1"/>
  <c r="D57" i="9"/>
  <c r="D58" i="9" s="1"/>
  <c r="CP1036" i="4"/>
  <c r="CU796" i="4"/>
  <c r="AF57" i="3"/>
  <c r="H57" i="3"/>
  <c r="CL1211" i="4"/>
  <c r="T77" i="3"/>
  <c r="CT1368" i="4"/>
  <c r="CF1340" i="4"/>
  <c r="BT1238" i="4"/>
  <c r="CX801" i="4"/>
  <c r="CF654" i="4"/>
  <c r="BT924" i="4"/>
  <c r="BX616" i="4"/>
  <c r="BR518" i="4"/>
  <c r="BR519" i="4" s="1"/>
  <c r="DB779" i="4"/>
  <c r="CN190" i="4"/>
  <c r="CV407" i="4"/>
  <c r="CH668" i="4"/>
  <c r="CH669" i="4" s="1"/>
  <c r="CH671" i="4" s="1"/>
  <c r="AE48" i="12" s="1"/>
  <c r="P77" i="9"/>
  <c r="CX1049" i="4"/>
  <c r="BM922" i="4"/>
  <c r="BM924" i="4" s="1"/>
  <c r="DB922" i="4"/>
  <c r="DB924" i="4" s="1"/>
  <c r="CV981" i="4"/>
  <c r="CX981" i="4" s="1"/>
  <c r="BR829" i="4"/>
  <c r="BS829" i="4" s="1"/>
  <c r="CG644" i="4"/>
  <c r="CW802" i="4"/>
  <c r="P135" i="9"/>
  <c r="AN84" i="9"/>
  <c r="CN280" i="4"/>
  <c r="CI1181" i="4"/>
  <c r="CF981" i="4"/>
  <c r="CH981" i="4" s="1"/>
  <c r="BP825" i="4"/>
  <c r="BQ832" i="4" s="1"/>
  <c r="CC647" i="4"/>
  <c r="CF643" i="4"/>
  <c r="DA780" i="4"/>
  <c r="BP608" i="4"/>
  <c r="BZ608" i="4"/>
  <c r="AF77" i="9"/>
  <c r="H84" i="9"/>
  <c r="AF115" i="9"/>
  <c r="CT779" i="4"/>
  <c r="CY779" i="4" s="1"/>
  <c r="P81" i="3"/>
  <c r="CN981" i="4"/>
  <c r="CP981" i="4" s="1"/>
  <c r="P142" i="9"/>
  <c r="CN648" i="4"/>
  <c r="BV53" i="4"/>
  <c r="CZ616" i="4"/>
  <c r="BZ1036" i="4"/>
  <c r="CV395" i="4"/>
  <c r="BN1211" i="4"/>
  <c r="CX477" i="4"/>
  <c r="U58" i="3"/>
  <c r="CL980" i="4"/>
  <c r="BM802" i="4"/>
  <c r="BP802" i="4"/>
  <c r="CL777" i="4"/>
  <c r="CS1348" i="4"/>
  <c r="BN1316" i="4"/>
  <c r="CL49" i="3"/>
  <c r="CT49" i="3"/>
  <c r="CR17" i="3"/>
  <c r="AV57" i="3"/>
  <c r="CK1341" i="4"/>
  <c r="BI1348" i="4"/>
  <c r="BY1348" i="4"/>
  <c r="BX618" i="4"/>
  <c r="BL1407" i="4"/>
  <c r="CW287" i="4"/>
  <c r="CW288" i="4" s="1"/>
  <c r="BJ1346" i="4"/>
  <c r="BJ1332" i="4" s="1"/>
  <c r="BU282" i="4"/>
  <c r="CI67" i="3" s="1"/>
  <c r="BZ1346" i="4"/>
  <c r="BZ1332" i="4" s="1"/>
  <c r="BL287" i="4"/>
  <c r="BL288" i="4" s="1"/>
  <c r="BU281" i="4"/>
  <c r="CI71" i="3" s="1"/>
  <c r="BU1059" i="4"/>
  <c r="DA280" i="4"/>
  <c r="BP1355" i="4"/>
  <c r="BP1356" i="4" s="1"/>
  <c r="DG49" i="3"/>
  <c r="CV1341" i="4"/>
  <c r="BY1347" i="4"/>
  <c r="BZ1347" i="4" s="1"/>
  <c r="CD1208" i="4"/>
  <c r="BL513" i="4"/>
  <c r="BQ287" i="4"/>
  <c r="BQ288" i="4" s="1"/>
  <c r="BI1347" i="4"/>
  <c r="BJ1347" i="4" s="1"/>
  <c r="DB860" i="4"/>
  <c r="DB862" i="4" s="1"/>
  <c r="BU521" i="4"/>
  <c r="BV521" i="4" s="1"/>
  <c r="BU279" i="4"/>
  <c r="BU193" i="4"/>
  <c r="DA1355" i="4"/>
  <c r="DB1355" i="4" s="1"/>
  <c r="DB1333" i="4" s="1"/>
  <c r="AJ18" i="12" s="1"/>
  <c r="CL778" i="4"/>
  <c r="AB77" i="3"/>
  <c r="AS57" i="3"/>
  <c r="CV1337" i="4"/>
  <c r="CV1342" i="4" s="1"/>
  <c r="BN1208" i="4"/>
  <c r="BF1036" i="4"/>
  <c r="BF1037" i="4" s="1"/>
  <c r="CB922" i="4"/>
  <c r="CB923" i="4" s="1"/>
  <c r="CO780" i="4"/>
  <c r="BQ262" i="4"/>
  <c r="BQ259" i="4" s="1"/>
  <c r="BL262" i="4"/>
  <c r="BL780" i="4"/>
  <c r="BR947" i="4"/>
  <c r="BU1348" i="4"/>
  <c r="CP1316" i="4"/>
  <c r="CO1326" i="4"/>
  <c r="CP1326" i="4" s="1"/>
  <c r="AZ72" i="3"/>
  <c r="Q63" i="3"/>
  <c r="CF262" i="4"/>
  <c r="CF259" i="4" s="1"/>
  <c r="CH259" i="4" s="1"/>
  <c r="CN1211" i="4"/>
  <c r="CJ1226" i="4"/>
  <c r="CL1226" i="4" s="1"/>
  <c r="L36" i="9"/>
  <c r="L139" i="9" s="1"/>
  <c r="CH1258" i="4"/>
  <c r="CH1260" i="4" s="1"/>
  <c r="CX1258" i="4"/>
  <c r="CX1260" i="4" s="1"/>
  <c r="BR1181" i="4"/>
  <c r="AA41" i="12" s="1"/>
  <c r="AA88" i="12" s="1"/>
  <c r="DB1346" i="4"/>
  <c r="DB1348" i="4" s="1"/>
  <c r="BL810" i="4"/>
  <c r="Q81" i="3"/>
  <c r="AT65" i="3"/>
  <c r="BN1222" i="4"/>
  <c r="AC57" i="3"/>
  <c r="BM1361" i="4"/>
  <c r="AC58" i="3"/>
  <c r="AL81" i="3"/>
  <c r="CU1315" i="4"/>
  <c r="BL1348" i="4"/>
  <c r="CT1345" i="4"/>
  <c r="BL1347" i="4"/>
  <c r="CH1214" i="4"/>
  <c r="BV985" i="4"/>
  <c r="CA367" i="4"/>
  <c r="BM608" i="4"/>
  <c r="BU1239" i="4"/>
  <c r="DB513" i="4"/>
  <c r="CH1220" i="4"/>
  <c r="CH1222" i="4" s="1"/>
  <c r="CL555" i="4"/>
  <c r="BM616" i="4"/>
  <c r="BU608" i="4"/>
  <c r="BE1357" i="4"/>
  <c r="CT1338" i="4"/>
  <c r="CT1341" i="4" s="1"/>
  <c r="BR1214" i="4"/>
  <c r="CN1200" i="4"/>
  <c r="CN1159" i="4" s="1"/>
  <c r="M72" i="3"/>
  <c r="CN1157" i="4"/>
  <c r="BX981" i="4"/>
  <c r="BZ981" i="4" s="1"/>
  <c r="CL985" i="4"/>
  <c r="CT947" i="4"/>
  <c r="CT399" i="4" s="1"/>
  <c r="CK557" i="4"/>
  <c r="CL557" i="4" s="1"/>
  <c r="BT409" i="4"/>
  <c r="AI16" i="12"/>
  <c r="CG674" i="4"/>
  <c r="AD65" i="3"/>
  <c r="BP1357" i="4"/>
  <c r="BZ1368" i="4"/>
  <c r="BZ1369" i="4"/>
  <c r="CS1340" i="4"/>
  <c r="BE1333" i="4"/>
  <c r="CC922" i="4"/>
  <c r="CE201" i="4"/>
  <c r="CR287" i="4"/>
  <c r="CR288" i="4" s="1"/>
  <c r="CL779" i="4"/>
  <c r="BS27" i="4"/>
  <c r="CH778" i="4"/>
  <c r="BW1259" i="4"/>
  <c r="CY1259" i="4"/>
  <c r="CD608" i="4"/>
  <c r="CE609" i="4"/>
  <c r="BN270" i="4"/>
  <c r="BM273" i="4"/>
  <c r="CA73" i="3" s="1"/>
  <c r="CL1366" i="4"/>
  <c r="CF1332" i="4"/>
  <c r="BR1368" i="4"/>
  <c r="M49" i="3"/>
  <c r="CJ674" i="4"/>
  <c r="DB155" i="4"/>
  <c r="DG155" i="4" s="1"/>
  <c r="CG734" i="4"/>
  <c r="CG733" i="4" s="1"/>
  <c r="CG736" i="4" s="1"/>
  <c r="AB84" i="9"/>
  <c r="T77" i="9"/>
  <c r="AW72" i="3"/>
  <c r="N58" i="3"/>
  <c r="BT469" i="4"/>
  <c r="CG669" i="4"/>
  <c r="CJ675" i="4" s="1"/>
  <c r="AD81" i="3"/>
  <c r="U57" i="3"/>
  <c r="CT1220" i="4"/>
  <c r="CT1222" i="4" s="1"/>
  <c r="T57" i="3"/>
  <c r="BP616" i="4"/>
  <c r="CC648" i="4"/>
  <c r="CQ183" i="4"/>
  <c r="AB5" i="9" s="1"/>
  <c r="DC610" i="4"/>
  <c r="AG81" i="3"/>
  <c r="Y72" i="3"/>
  <c r="P60" i="3"/>
  <c r="CO616" i="4"/>
  <c r="U77" i="3"/>
  <c r="CQ611" i="4"/>
  <c r="BX1347" i="4"/>
  <c r="CG279" i="4"/>
  <c r="BP55" i="4"/>
  <c r="BJ777" i="4"/>
  <c r="BP178" i="4"/>
  <c r="AG16" i="12"/>
  <c r="AF16" i="12"/>
  <c r="BZ391" i="4"/>
  <c r="BZ469" i="4" s="1"/>
  <c r="BY469" i="4"/>
  <c r="CX1346" i="4"/>
  <c r="CW1332" i="4"/>
  <c r="X128" i="9"/>
  <c r="X71" i="9"/>
  <c r="X97" i="9" s="1"/>
  <c r="BU407" i="4"/>
  <c r="BV389" i="4"/>
  <c r="BV407" i="4" s="1"/>
  <c r="CX1368" i="4"/>
  <c r="CC802" i="4"/>
  <c r="CD801" i="4"/>
  <c r="BZ512" i="4"/>
  <c r="CF986" i="4"/>
  <c r="CH986" i="4" s="1"/>
  <c r="CT860" i="4"/>
  <c r="CT862" i="4" s="1"/>
  <c r="CO1332" i="4"/>
  <c r="CW528" i="4"/>
  <c r="BH1355" i="4"/>
  <c r="BH1333" i="4" s="1"/>
  <c r="CG53" i="4"/>
  <c r="CH1181" i="4"/>
  <c r="AE41" i="12" s="1"/>
  <c r="AE88" i="12" s="1"/>
  <c r="CH947" i="4"/>
  <c r="BN980" i="4"/>
  <c r="BL981" i="4"/>
  <c r="BN981" i="4" s="1"/>
  <c r="CB852" i="4"/>
  <c r="CD174" i="4"/>
  <c r="CD175" i="4" s="1"/>
  <c r="CF178" i="4"/>
  <c r="CF269" i="4"/>
  <c r="CF271" i="4" s="1"/>
  <c r="CT72" i="3" s="1"/>
  <c r="BY924" i="4"/>
  <c r="CI27" i="4"/>
  <c r="BQ515" i="4"/>
  <c r="H42" i="9"/>
  <c r="BW1135" i="4"/>
  <c r="CW273" i="4"/>
  <c r="DK73" i="3" s="1"/>
  <c r="CX270" i="4"/>
  <c r="CX273" i="4" s="1"/>
  <c r="DL73" i="3" s="1"/>
  <c r="AN42" i="9"/>
  <c r="CN273" i="4"/>
  <c r="DB73" i="3" s="1"/>
  <c r="AF111" i="9"/>
  <c r="AF112" i="9" s="1"/>
  <c r="AF57" i="9"/>
  <c r="AF58" i="9" s="1"/>
  <c r="CW407" i="4"/>
  <c r="CX389" i="4"/>
  <c r="BR865" i="4"/>
  <c r="BR267" i="4"/>
  <c r="DA287" i="4"/>
  <c r="DA288" i="4" s="1"/>
  <c r="DB243" i="4"/>
  <c r="CP640" i="4"/>
  <c r="CP639" i="4" s="1"/>
  <c r="CQ610" i="4"/>
  <c r="BR368" i="4"/>
  <c r="BR477" i="4"/>
  <c r="BW367" i="4"/>
  <c r="CN739" i="4"/>
  <c r="CP741" i="4"/>
  <c r="BV243" i="4"/>
  <c r="BU287" i="4"/>
  <c r="BU288" i="4" s="1"/>
  <c r="DA426" i="4"/>
  <c r="BN1368" i="4"/>
  <c r="CO1347" i="4"/>
  <c r="CP1347" i="4" s="1"/>
  <c r="BM1332" i="4"/>
  <c r="CB1348" i="4"/>
  <c r="CO1348" i="4"/>
  <c r="CZ1348" i="4"/>
  <c r="BV999" i="4"/>
  <c r="CB831" i="4"/>
  <c r="DA654" i="4"/>
  <c r="BX831" i="4"/>
  <c r="CB1358" i="4"/>
  <c r="CB1359" i="4" s="1"/>
  <c r="CW465" i="4"/>
  <c r="CW896" i="4" s="1"/>
  <c r="BI608" i="4"/>
  <c r="CK53" i="4"/>
  <c r="AB71" i="9"/>
  <c r="AB97" i="9" s="1"/>
  <c r="AF142" i="9"/>
  <c r="AF84" i="9"/>
  <c r="X77" i="9"/>
  <c r="P128" i="9"/>
  <c r="P71" i="9"/>
  <c r="P97" i="9" s="1"/>
  <c r="CT1321" i="4"/>
  <c r="BZ500" i="4"/>
  <c r="BZ503" i="4" s="1"/>
  <c r="BU465" i="4"/>
  <c r="CN608" i="4"/>
  <c r="BI616" i="4"/>
  <c r="BI280" i="4"/>
  <c r="BI1355" i="4"/>
  <c r="BI190" i="4"/>
  <c r="CB616" i="4"/>
  <c r="BT608" i="4"/>
  <c r="BL616" i="4"/>
  <c r="CO1107" i="4"/>
  <c r="CP998" i="4"/>
  <c r="CP999" i="4" s="1"/>
  <c r="CX518" i="4"/>
  <c r="CX519" i="4" s="1"/>
  <c r="CJ528" i="4"/>
  <c r="CJ280" i="4"/>
  <c r="CO829" i="4"/>
  <c r="CO830" i="4" s="1"/>
  <c r="CT683" i="4"/>
  <c r="CT669" i="4"/>
  <c r="CT671" i="4" s="1"/>
  <c r="AH48" i="12" s="1"/>
  <c r="CJ395" i="4"/>
  <c r="CJ465" i="4"/>
  <c r="CJ896" i="4" s="1"/>
  <c r="CH155" i="4"/>
  <c r="CG154" i="4"/>
  <c r="AB135" i="9"/>
  <c r="CJ688" i="4"/>
  <c r="AG30" i="12"/>
  <c r="BM179" i="4"/>
  <c r="CR179" i="4"/>
  <c r="DC1135" i="4"/>
  <c r="M57" i="3"/>
  <c r="CJ616" i="4"/>
  <c r="CH629" i="4"/>
  <c r="CD829" i="4"/>
  <c r="CD825" i="4" s="1"/>
  <c r="CK282" i="4"/>
  <c r="CY67" i="3" s="1"/>
  <c r="CP1220" i="4"/>
  <c r="CP1222" i="4" s="1"/>
  <c r="BR478" i="4"/>
  <c r="CN179" i="4"/>
  <c r="CD654" i="4"/>
  <c r="H57" i="9"/>
  <c r="AO72" i="3"/>
  <c r="CM611" i="4"/>
  <c r="CR616" i="4"/>
  <c r="DB518" i="4"/>
  <c r="DB519" i="4" s="1"/>
  <c r="BR976" i="4"/>
  <c r="CL981" i="4"/>
  <c r="DN842" i="4"/>
  <c r="CX976" i="4"/>
  <c r="CC469" i="4"/>
  <c r="Q72" i="3"/>
  <c r="L72" i="3"/>
  <c r="T60" i="3"/>
  <c r="BL190" i="4"/>
  <c r="AF81" i="3"/>
  <c r="CX1366" i="4"/>
  <c r="CN986" i="4"/>
  <c r="CP986" i="4" s="1"/>
  <c r="CP985" i="4"/>
  <c r="CS823" i="4"/>
  <c r="CT823" i="4" s="1"/>
  <c r="CT820" i="4"/>
  <c r="BU1347" i="4"/>
  <c r="BV1347" i="4" s="1"/>
  <c r="BV1346" i="4"/>
  <c r="BV1348" i="4" s="1"/>
  <c r="AV60" i="3"/>
  <c r="CH630" i="4"/>
  <c r="CS616" i="4"/>
  <c r="CR608" i="4"/>
  <c r="CR615" i="4" s="1"/>
  <c r="BX518" i="4"/>
  <c r="BX519" i="4" s="1"/>
  <c r="X49" i="3" s="1"/>
  <c r="BV518" i="4"/>
  <c r="BV519" i="4" s="1"/>
  <c r="CR1332" i="4"/>
  <c r="CR1348" i="4"/>
  <c r="BT1348" i="4"/>
  <c r="BT1332" i="4"/>
  <c r="CV1355" i="4"/>
  <c r="CV1333" i="4" s="1"/>
  <c r="CV190" i="4"/>
  <c r="CV528" i="4"/>
  <c r="CV529" i="4" s="1"/>
  <c r="BX280" i="4"/>
  <c r="BX190" i="4"/>
  <c r="BX1355" i="4"/>
  <c r="BX1356" i="4" s="1"/>
  <c r="CD83" i="4"/>
  <c r="CD81" i="4" s="1"/>
  <c r="CD55" i="4"/>
  <c r="CS618" i="4"/>
  <c r="CS630" i="4"/>
  <c r="CS629" i="4" s="1"/>
  <c r="CS663" i="4"/>
  <c r="CS662" i="4" s="1"/>
  <c r="CT662" i="4" s="1"/>
  <c r="CT663" i="4" s="1"/>
  <c r="AJ61" i="9"/>
  <c r="X61" i="9"/>
  <c r="DA1361" i="4"/>
  <c r="DA1322" i="4"/>
  <c r="CZ981" i="4"/>
  <c r="DB981" i="4" s="1"/>
  <c r="DB980" i="4"/>
  <c r="BT981" i="4"/>
  <c r="BV981" i="4" s="1"/>
  <c r="BV980" i="4"/>
  <c r="CD1181" i="4"/>
  <c r="CD1185" i="4" s="1"/>
  <c r="CD1196" i="4" s="1"/>
  <c r="CD1200" i="4" s="1"/>
  <c r="CD947" i="4"/>
  <c r="CP924" i="4"/>
  <c r="CS802" i="4"/>
  <c r="CT801" i="4"/>
  <c r="CW803" i="4"/>
  <c r="CW770" i="4"/>
  <c r="CW787" i="4"/>
  <c r="CV644" i="4"/>
  <c r="CZ648" i="4"/>
  <c r="CV639" i="4"/>
  <c r="CV654" i="4"/>
  <c r="CN639" i="4"/>
  <c r="CN644" i="4"/>
  <c r="CO644" i="4"/>
  <c r="CL155" i="4"/>
  <c r="CK154" i="4"/>
  <c r="D77" i="9"/>
  <c r="CL776" i="4"/>
  <c r="CJ780" i="4"/>
  <c r="CJ787" i="4" s="1"/>
  <c r="CK1361" i="4"/>
  <c r="CK1322" i="4"/>
  <c r="AR57" i="3"/>
  <c r="AN57" i="3"/>
  <c r="CR1312" i="4"/>
  <c r="CR1086" i="4"/>
  <c r="CR1157" i="4"/>
  <c r="BY681" i="4"/>
  <c r="BY690" i="4"/>
  <c r="DL638" i="4"/>
  <c r="DP638" i="4" s="1"/>
  <c r="BJ391" i="4"/>
  <c r="BJ469" i="4" s="1"/>
  <c r="BI469" i="4"/>
  <c r="CF465" i="4"/>
  <c r="CF896" i="4" s="1"/>
  <c r="CF407" i="4"/>
  <c r="BP407" i="4"/>
  <c r="BP465" i="4"/>
  <c r="BN368" i="4"/>
  <c r="BS367" i="4"/>
  <c r="BO367" i="4"/>
  <c r="BN477" i="4"/>
  <c r="CJ518" i="4"/>
  <c r="CJ519" i="4" s="1"/>
  <c r="CH518" i="4"/>
  <c r="CH519" i="4" s="1"/>
  <c r="CH1346" i="4"/>
  <c r="CH1332" i="4" s="1"/>
  <c r="AE17" i="12" s="1"/>
  <c r="CG1332" i="4"/>
  <c r="CP380" i="4"/>
  <c r="CP187" i="4"/>
  <c r="AG9" i="12" s="1"/>
  <c r="CS280" i="4"/>
  <c r="CS1355" i="4"/>
  <c r="CS1356" i="4" s="1"/>
  <c r="BU1355" i="4"/>
  <c r="BU1333" i="4" s="1"/>
  <c r="BU280" i="4"/>
  <c r="X142" i="9"/>
  <c r="X84" i="9"/>
  <c r="T133" i="9"/>
  <c r="T75" i="9"/>
  <c r="AL65" i="3"/>
  <c r="BZ53" i="4"/>
  <c r="CD53" i="4"/>
  <c r="CF179" i="4"/>
  <c r="CB288" i="4"/>
  <c r="BV1214" i="4"/>
  <c r="CG780" i="4"/>
  <c r="CG787" i="4" s="1"/>
  <c r="CQ1033" i="4"/>
  <c r="BJ1049" i="4"/>
  <c r="BL1196" i="4"/>
  <c r="BL1200" i="4" s="1"/>
  <c r="CX823" i="4"/>
  <c r="CJ179" i="4"/>
  <c r="BZ518" i="4"/>
  <c r="BZ519" i="4" s="1"/>
  <c r="CO395" i="4"/>
  <c r="BA72" i="3"/>
  <c r="AJ57" i="3"/>
  <c r="BJ478" i="4"/>
  <c r="CQ185" i="4"/>
  <c r="CE381" i="4"/>
  <c r="BT1358" i="4"/>
  <c r="BT1359" i="4" s="1"/>
  <c r="BN1348" i="4"/>
  <c r="CL1214" i="4"/>
  <c r="U72" i="3"/>
  <c r="CX1214" i="4"/>
  <c r="DA395" i="4"/>
  <c r="L81" i="3"/>
  <c r="CS1347" i="4"/>
  <c r="CT1347" i="4" s="1"/>
  <c r="CJ1348" i="4"/>
  <c r="BN1258" i="4"/>
  <c r="BN1260" i="4" s="1"/>
  <c r="BV1258" i="4"/>
  <c r="BV1260" i="4" s="1"/>
  <c r="BR1220" i="4"/>
  <c r="BR1222" i="4" s="1"/>
  <c r="CD203" i="4"/>
  <c r="BR389" i="4"/>
  <c r="CR852" i="4"/>
  <c r="CX922" i="4"/>
  <c r="CW830" i="4"/>
  <c r="X57" i="3"/>
  <c r="DB995" i="4"/>
  <c r="CH976" i="4"/>
  <c r="CH865" i="4"/>
  <c r="CZ1361" i="4"/>
  <c r="DN41" i="3" s="1"/>
  <c r="CF1236" i="4"/>
  <c r="CF1240" i="4" s="1"/>
  <c r="CS803" i="4"/>
  <c r="CJ634" i="4"/>
  <c r="CK648" i="4"/>
  <c r="BT807" i="4"/>
  <c r="CP662" i="4"/>
  <c r="CP663" i="4" s="1"/>
  <c r="DB555" i="4"/>
  <c r="CT1346" i="4"/>
  <c r="CT1332" i="4" s="1"/>
  <c r="AH17" i="12" s="1"/>
  <c r="CL1346" i="4"/>
  <c r="CL1332" i="4" s="1"/>
  <c r="AF17" i="12" s="1"/>
  <c r="CS469" i="4"/>
  <c r="BL465" i="4"/>
  <c r="CG616" i="4"/>
  <c r="BQ407" i="4"/>
  <c r="CF395" i="4"/>
  <c r="CO654" i="4"/>
  <c r="CR395" i="4"/>
  <c r="AB72" i="3"/>
  <c r="AX58" i="3"/>
  <c r="DB49" i="3"/>
  <c r="CN1332" i="4"/>
  <c r="CK1348" i="4"/>
  <c r="CK1347" i="4"/>
  <c r="CE1310" i="4"/>
  <c r="CJ1347" i="4"/>
  <c r="BZ1049" i="4"/>
  <c r="CP801" i="4"/>
  <c r="CW675" i="4"/>
  <c r="CK655" i="4"/>
  <c r="BT816" i="4"/>
  <c r="BU600" i="4"/>
  <c r="CR262" i="4"/>
  <c r="CR259" i="4" s="1"/>
  <c r="AJ75" i="9"/>
  <c r="BN478" i="4"/>
  <c r="CK780" i="4"/>
  <c r="AC16" i="12"/>
  <c r="CW154" i="4"/>
  <c r="CS780" i="4"/>
  <c r="DB267" i="4"/>
  <c r="U60" i="3"/>
  <c r="CB1239" i="4"/>
  <c r="CK684" i="4"/>
  <c r="CN691" i="4" s="1"/>
  <c r="CN693" i="4"/>
  <c r="CK262" i="4"/>
  <c r="CK259" i="4" s="1"/>
  <c r="CK852" i="4"/>
  <c r="CO1239" i="4"/>
  <c r="BX1211" i="4"/>
  <c r="BZ1211" i="4" s="1"/>
  <c r="BZ1208" i="4"/>
  <c r="BN1225" i="4"/>
  <c r="BL1226" i="4"/>
  <c r="BN1226" i="4" s="1"/>
  <c r="P6" i="3"/>
  <c r="N8" i="3"/>
  <c r="BN609" i="4"/>
  <c r="BN608" i="4" s="1"/>
  <c r="CD285" i="4"/>
  <c r="CD286" i="4" s="1"/>
  <c r="CP1160" i="4"/>
  <c r="BW49" i="3"/>
  <c r="DB1366" i="4"/>
  <c r="CS1322" i="4"/>
  <c r="CF1238" i="4"/>
  <c r="CD1017" i="4"/>
  <c r="CP389" i="4"/>
  <c r="BW381" i="4"/>
  <c r="CO407" i="4"/>
  <c r="CZ179" i="4"/>
  <c r="BT47" i="4"/>
  <c r="CB608" i="4"/>
  <c r="BP12" i="4"/>
  <c r="CG207" i="4"/>
  <c r="CF829" i="4"/>
  <c r="CF830" i="4" s="1"/>
  <c r="AB128" i="9"/>
  <c r="CQ1259" i="4"/>
  <c r="BO1259" i="4"/>
  <c r="CX865" i="4"/>
  <c r="DN928" i="4"/>
  <c r="AZ60" i="3"/>
  <c r="Q60" i="3"/>
  <c r="AN128" i="9"/>
  <c r="AN156" i="9" s="1"/>
  <c r="AN71" i="9"/>
  <c r="AN97" i="9" s="1"/>
  <c r="CB663" i="4"/>
  <c r="CB662" i="4" s="1"/>
  <c r="CC618" i="4"/>
  <c r="CR69" i="3"/>
  <c r="DJ22" i="4"/>
  <c r="CB425" i="4"/>
  <c r="L128" i="9"/>
  <c r="L71" i="9"/>
  <c r="L97" i="9" s="1"/>
  <c r="CV616" i="4"/>
  <c r="CV608" i="4"/>
  <c r="H115" i="9"/>
  <c r="H61" i="9"/>
  <c r="CG25" i="4"/>
  <c r="CU33" i="3" s="1"/>
  <c r="BV776" i="4"/>
  <c r="BY1238" i="4"/>
  <c r="BI426" i="4"/>
  <c r="BX262" i="4"/>
  <c r="BX259" i="4" s="1"/>
  <c r="BX287" i="4"/>
  <c r="BX288" i="4" s="1"/>
  <c r="S80" i="9"/>
  <c r="S81" i="9" s="1"/>
  <c r="R52" i="3"/>
  <c r="BN1321" i="4"/>
  <c r="BN1361" i="4" s="1"/>
  <c r="BP830" i="4"/>
  <c r="CJ608" i="4"/>
  <c r="BV203" i="4"/>
  <c r="CV630" i="4"/>
  <c r="CV629" i="4" s="1"/>
  <c r="P75" i="9"/>
  <c r="CL1368" i="4"/>
  <c r="CZ1347" i="4"/>
  <c r="BR1258" i="4"/>
  <c r="BR1260" i="4" s="1"/>
  <c r="CO1238" i="4"/>
  <c r="CX1226" i="4"/>
  <c r="CX1229" i="4" s="1"/>
  <c r="CX1231" i="4" s="1"/>
  <c r="CD1020" i="4"/>
  <c r="CO839" i="4"/>
  <c r="BI780" i="4"/>
  <c r="BZ515" i="4"/>
  <c r="CW279" i="4"/>
  <c r="CC616" i="4"/>
  <c r="BN18" i="4"/>
  <c r="CG608" i="4"/>
  <c r="BU616" i="4"/>
  <c r="BL608" i="4"/>
  <c r="BR14" i="4"/>
  <c r="BU663" i="4"/>
  <c r="BU662" i="4" s="1"/>
  <c r="BX90" i="4"/>
  <c r="BP565" i="4"/>
  <c r="T61" i="9"/>
  <c r="CY777" i="4"/>
  <c r="DI347" i="4"/>
  <c r="DB1049" i="4"/>
  <c r="BT830" i="4"/>
  <c r="BV477" i="4"/>
  <c r="AA45" i="12"/>
  <c r="BJ976" i="4"/>
  <c r="CT1049" i="4"/>
  <c r="AF72" i="3"/>
  <c r="X72" i="3"/>
  <c r="CM610" i="4"/>
  <c r="DC1259" i="4"/>
  <c r="BA77" i="3"/>
  <c r="AS77" i="3"/>
  <c r="CN616" i="4"/>
  <c r="BO201" i="4"/>
  <c r="CP518" i="4"/>
  <c r="CP519" i="4" s="1"/>
  <c r="L58" i="9"/>
  <c r="DA648" i="4"/>
  <c r="AK81" i="3"/>
  <c r="BJ366" i="4"/>
  <c r="CT89" i="4"/>
  <c r="AT27" i="3" s="1"/>
  <c r="CT1043" i="4"/>
  <c r="V80" i="9"/>
  <c r="V81" i="9" s="1"/>
  <c r="V38" i="9"/>
  <c r="V41" i="9" s="1"/>
  <c r="CB639" i="4"/>
  <c r="CF648" i="4"/>
  <c r="CB648" i="4"/>
  <c r="CB654" i="4"/>
  <c r="CZ190" i="4"/>
  <c r="CZ1355" i="4"/>
  <c r="CZ1356" i="4" s="1"/>
  <c r="BT190" i="4"/>
  <c r="BU190" i="4"/>
  <c r="DS81" i="3"/>
  <c r="DT81" i="3"/>
  <c r="CD980" i="4"/>
  <c r="CB981" i="4"/>
  <c r="CD981" i="4" s="1"/>
  <c r="BN1407" i="4"/>
  <c r="Z44" i="12" s="1"/>
  <c r="Z65" i="12" s="1"/>
  <c r="BN512" i="4"/>
  <c r="AS76" i="3"/>
  <c r="CP155" i="4"/>
  <c r="CU155" i="4" s="1"/>
  <c r="CO154" i="4"/>
  <c r="L135" i="9"/>
  <c r="L77" i="9"/>
  <c r="BL1238" i="4"/>
  <c r="BL1236" i="4"/>
  <c r="BL1240" i="4" s="1"/>
  <c r="DA924" i="4"/>
  <c r="CP203" i="4"/>
  <c r="BR1176" i="4"/>
  <c r="CO209" i="4"/>
  <c r="CZ1239" i="4"/>
  <c r="CR1239" i="4"/>
  <c r="BT273" i="4"/>
  <c r="CH73" i="3" s="1"/>
  <c r="BL1239" i="4"/>
  <c r="CH1160" i="4"/>
  <c r="BY1239" i="4"/>
  <c r="BI262" i="4"/>
  <c r="BI259" i="4" s="1"/>
  <c r="BI287" i="4"/>
  <c r="BI288" i="4" s="1"/>
  <c r="T51" i="3"/>
  <c r="BT512" i="4"/>
  <c r="BT533" i="4"/>
  <c r="BT500" i="4"/>
  <c r="BT503" i="4" s="1"/>
  <c r="BT1395" i="4" s="1"/>
  <c r="BW201" i="4"/>
  <c r="Q51" i="3"/>
  <c r="BQ512" i="4"/>
  <c r="BQ513" i="4"/>
  <c r="CR556" i="4"/>
  <c r="CT556" i="4" s="1"/>
  <c r="CT555" i="4"/>
  <c r="AN22" i="3"/>
  <c r="Z36" i="9"/>
  <c r="Z38" i="9" s="1"/>
  <c r="Z41" i="9" s="1"/>
  <c r="CP536" i="4"/>
  <c r="CT536" i="4"/>
  <c r="BI825" i="4"/>
  <c r="BL832" i="4" s="1"/>
  <c r="BL830" i="4"/>
  <c r="BX644" i="4"/>
  <c r="BX639" i="4"/>
  <c r="T71" i="9"/>
  <c r="T97" i="9" s="1"/>
  <c r="AN135" i="9"/>
  <c r="AF128" i="9"/>
  <c r="CH776" i="4"/>
  <c r="CI776" i="4" s="1"/>
  <c r="CF780" i="4"/>
  <c r="CW616" i="4"/>
  <c r="CW608" i="4"/>
  <c r="CF616" i="4"/>
  <c r="BH404" i="4"/>
  <c r="BQ190" i="4"/>
  <c r="BQ280" i="4"/>
  <c r="BL48" i="4"/>
  <c r="BL24" i="4"/>
  <c r="BJ684" i="4"/>
  <c r="BI691" i="4"/>
  <c r="DB801" i="4"/>
  <c r="DA803" i="4"/>
  <c r="DJ418" i="4"/>
  <c r="DL418" i="4"/>
  <c r="DM418" i="4" s="1"/>
  <c r="CP243" i="4"/>
  <c r="CP287" i="4" s="1"/>
  <c r="CO262" i="4"/>
  <c r="CO259" i="4" s="1"/>
  <c r="BZ243" i="4"/>
  <c r="BY262" i="4"/>
  <c r="BY259" i="4" s="1"/>
  <c r="CZ655" i="4"/>
  <c r="CZ639" i="4"/>
  <c r="CZ644" i="4"/>
  <c r="DA644" i="4"/>
  <c r="CP368" i="4"/>
  <c r="BJ681" i="4"/>
  <c r="BI688" i="4"/>
  <c r="CV648" i="4"/>
  <c r="CR648" i="4"/>
  <c r="BH600" i="4"/>
  <c r="CX1234" i="4"/>
  <c r="DI685" i="4"/>
  <c r="AC76" i="3"/>
  <c r="CD155" i="4"/>
  <c r="CC154" i="4"/>
  <c r="AS49" i="3"/>
  <c r="Z45" i="12"/>
  <c r="BN1395" i="4"/>
  <c r="N52" i="3"/>
  <c r="CK924" i="4"/>
  <c r="AJ30" i="12"/>
  <c r="AJ22" i="12" s="1"/>
  <c r="BL681" i="4"/>
  <c r="BL690" i="4"/>
  <c r="CR273" i="4"/>
  <c r="DF73" i="3" s="1"/>
  <c r="CJ273" i="4"/>
  <c r="CX73" i="3" s="1"/>
  <c r="BU924" i="4"/>
  <c r="BV922" i="4"/>
  <c r="BV923" i="4" s="1"/>
  <c r="CY805" i="4"/>
  <c r="CU805" i="4"/>
  <c r="BT287" i="4"/>
  <c r="BT288" i="4" s="1"/>
  <c r="BT262" i="4"/>
  <c r="BT259" i="4" s="1"/>
  <c r="AF19" i="12"/>
  <c r="CL1344" i="4"/>
  <c r="CL1345" i="4" s="1"/>
  <c r="CZ40" i="3" s="1"/>
  <c r="CZ287" i="4"/>
  <c r="CZ288" i="4" s="1"/>
  <c r="CZ262" i="4"/>
  <c r="CZ259" i="4" s="1"/>
  <c r="BQ1236" i="4"/>
  <c r="BQ1240" i="4" s="1"/>
  <c r="BQ1238" i="4"/>
  <c r="CX1160" i="4"/>
  <c r="CF642" i="4"/>
  <c r="CI26" i="4"/>
  <c r="CO439" i="4"/>
  <c r="AT13" i="3"/>
  <c r="P42" i="9"/>
  <c r="CI1135" i="4"/>
  <c r="CC1008" i="4"/>
  <c r="CC1010" i="4" s="1"/>
  <c r="BZ524" i="4"/>
  <c r="BZ526" i="4" s="1"/>
  <c r="T128" i="9"/>
  <c r="AN80" i="9"/>
  <c r="AO58" i="3"/>
  <c r="M81" i="3"/>
  <c r="CC1358" i="4"/>
  <c r="CC1359" i="4" s="1"/>
  <c r="CD1346" i="4"/>
  <c r="CA185" i="4"/>
  <c r="BZ187" i="4"/>
  <c r="BZ208" i="4" s="1"/>
  <c r="BZ380" i="4"/>
  <c r="BZ404" i="4" s="1"/>
  <c r="CW190" i="4"/>
  <c r="CW280" i="4"/>
  <c r="CP1181" i="4"/>
  <c r="CP1185" i="4" s="1"/>
  <c r="CP1196" i="4" s="1"/>
  <c r="CP947" i="4"/>
  <c r="CZ511" i="4"/>
  <c r="CZ566" i="4"/>
  <c r="CX391" i="4"/>
  <c r="CW395" i="4"/>
  <c r="CK465" i="4"/>
  <c r="CK896" i="4" s="1"/>
  <c r="CK407" i="4"/>
  <c r="BJ477" i="4"/>
  <c r="BZ683" i="4"/>
  <c r="BZ669" i="4"/>
  <c r="BZ671" i="4" s="1"/>
  <c r="AC48" i="12" s="1"/>
  <c r="AC61" i="12" s="1"/>
  <c r="BX600" i="4"/>
  <c r="P61" i="9"/>
  <c r="CJ1337" i="4"/>
  <c r="CJ1342" i="4" s="1"/>
  <c r="CY1033" i="4"/>
  <c r="BN947" i="4"/>
  <c r="CC644" i="4"/>
  <c r="CH1352" i="4"/>
  <c r="BX1348" i="4"/>
  <c r="BT1333" i="4"/>
  <c r="CH1369" i="4"/>
  <c r="CC1356" i="4"/>
  <c r="CB986" i="4"/>
  <c r="CD986" i="4" s="1"/>
  <c r="BN1008" i="4"/>
  <c r="BN1010" i="4" s="1"/>
  <c r="CW807" i="4"/>
  <c r="CW426" i="4"/>
  <c r="DB865" i="4"/>
  <c r="CC608" i="4"/>
  <c r="CZ528" i="4"/>
  <c r="AN139" i="9"/>
  <c r="CD793" i="4"/>
  <c r="CO655" i="4"/>
  <c r="CO648" i="4"/>
  <c r="CS648" i="4"/>
  <c r="DA407" i="4"/>
  <c r="DB389" i="4"/>
  <c r="DB407" i="4" s="1"/>
  <c r="CG465" i="4"/>
  <c r="CG896" i="4" s="1"/>
  <c r="CG407" i="4"/>
  <c r="BN793" i="4"/>
  <c r="BJ1366" i="4"/>
  <c r="BJ1369" i="4"/>
  <c r="BJ1368" i="4"/>
  <c r="CD1160" i="4"/>
  <c r="CY610" i="4"/>
  <c r="CT640" i="4"/>
  <c r="CT655" i="4" s="1"/>
  <c r="CW19" i="4"/>
  <c r="CW24" i="4"/>
  <c r="CF924" i="4"/>
  <c r="CV825" i="4"/>
  <c r="CZ831" i="4"/>
  <c r="BI515" i="4"/>
  <c r="BI1407" i="4"/>
  <c r="BI500" i="4"/>
  <c r="BI503" i="4" s="1"/>
  <c r="DB823" i="4"/>
  <c r="BJ724" i="4"/>
  <c r="BJ753" i="4" s="1"/>
  <c r="BJ755" i="4" s="1"/>
  <c r="CX555" i="4"/>
  <c r="BQ533" i="4"/>
  <c r="CL524" i="4"/>
  <c r="CL526" i="4" s="1"/>
  <c r="CO55" i="4"/>
  <c r="CJ1358" i="4"/>
  <c r="CJ1359" i="4" s="1"/>
  <c r="BZ555" i="4"/>
  <c r="BU1238" i="4"/>
  <c r="DA1196" i="4"/>
  <c r="CP823" i="4"/>
  <c r="CX1220" i="4"/>
  <c r="CX1222" i="4" s="1"/>
  <c r="CD681" i="4"/>
  <c r="CP556" i="4"/>
  <c r="CK288" i="4"/>
  <c r="BH382" i="4"/>
  <c r="CZ634" i="4"/>
  <c r="BN973" i="4"/>
  <c r="BL976" i="4"/>
  <c r="BN976" i="4" s="1"/>
  <c r="BZ563" i="4"/>
  <c r="AV77" i="3"/>
  <c r="L77" i="3"/>
  <c r="DN583" i="4"/>
  <c r="CK395" i="4"/>
  <c r="BS201" i="4"/>
  <c r="AK72" i="3"/>
  <c r="CU610" i="4"/>
  <c r="CH777" i="4"/>
  <c r="L57" i="3"/>
  <c r="BQ830" i="4"/>
  <c r="CE1259" i="4"/>
  <c r="BX956" i="4"/>
  <c r="CK99" i="4"/>
  <c r="CK100" i="4" s="1"/>
  <c r="CP477" i="4"/>
  <c r="AC72" i="3"/>
  <c r="BY780" i="4"/>
  <c r="CX53" i="4"/>
  <c r="CK616" i="4"/>
  <c r="CW469" i="4"/>
  <c r="CF180" i="4"/>
  <c r="Z65" i="3"/>
  <c r="CC688" i="4"/>
  <c r="DJ434" i="4"/>
  <c r="BJ1222" i="4"/>
  <c r="BU395" i="4"/>
  <c r="BV391" i="4"/>
  <c r="CB395" i="4"/>
  <c r="CB465" i="4"/>
  <c r="CB896" i="4" s="1"/>
  <c r="CH267" i="4"/>
  <c r="CJ262" i="4"/>
  <c r="CJ259" i="4" s="1"/>
  <c r="CJ852" i="4"/>
  <c r="DA1332" i="4"/>
  <c r="DA1348" i="4"/>
  <c r="CP779" i="4"/>
  <c r="CN780" i="4"/>
  <c r="AN61" i="9"/>
  <c r="CZ469" i="4"/>
  <c r="CZ395" i="4"/>
  <c r="CT250" i="4"/>
  <c r="CT865" i="4"/>
  <c r="CT532" i="4"/>
  <c r="BV1369" i="4"/>
  <c r="CS1258" i="4"/>
  <c r="CS1260" i="4" s="1"/>
  <c r="BQ831" i="4"/>
  <c r="CX532" i="4"/>
  <c r="DB532" i="4"/>
  <c r="CO409" i="4"/>
  <c r="BQ816" i="4"/>
  <c r="CP524" i="4"/>
  <c r="CP526" i="4" s="1"/>
  <c r="CN526" i="4"/>
  <c r="DB1369" i="4"/>
  <c r="CH1368" i="4"/>
  <c r="CP793" i="4"/>
  <c r="BX816" i="4"/>
  <c r="CL469" i="4"/>
  <c r="BT209" i="4"/>
  <c r="CX1355" i="4"/>
  <c r="CX1333" i="4" s="1"/>
  <c r="AI18" i="12" s="1"/>
  <c r="CW1358" i="4"/>
  <c r="CX1358" i="4" s="1"/>
  <c r="AJ135" i="9"/>
  <c r="DB654" i="4"/>
  <c r="CX524" i="4"/>
  <c r="CX526" i="4" s="1"/>
  <c r="CH524" i="4"/>
  <c r="CH526" i="4" s="1"/>
  <c r="BI409" i="4"/>
  <c r="CV90" i="4"/>
  <c r="CT267" i="4"/>
  <c r="CC178" i="4"/>
  <c r="X115" i="9"/>
  <c r="AJ115" i="9"/>
  <c r="AJ77" i="9"/>
  <c r="D135" i="9"/>
  <c r="BJ999" i="4"/>
  <c r="BJ1001" i="4" s="1"/>
  <c r="BJ1114" i="4" s="1"/>
  <c r="BR801" i="4"/>
  <c r="CX654" i="4"/>
  <c r="AJ16" i="12"/>
  <c r="BN366" i="4"/>
  <c r="BN369" i="4" s="1"/>
  <c r="CV618" i="4"/>
  <c r="BN175" i="4"/>
  <c r="BU269" i="4"/>
  <c r="AC65" i="12"/>
  <c r="BZ1355" i="4"/>
  <c r="BZ1333" i="4" s="1"/>
  <c r="BY1358" i="4"/>
  <c r="CN557" i="4"/>
  <c r="CP557" i="4" s="1"/>
  <c r="CH1176" i="4"/>
  <c r="N65" i="3"/>
  <c r="CH1350" i="4"/>
  <c r="CN1348" i="4"/>
  <c r="CD1258" i="4"/>
  <c r="CD1260" i="4" s="1"/>
  <c r="CS1337" i="4"/>
  <c r="CT1337" i="4" s="1"/>
  <c r="BP803" i="4"/>
  <c r="CL1220" i="4"/>
  <c r="CL1222" i="4" s="1"/>
  <c r="BZ513" i="4"/>
  <c r="CK469" i="4"/>
  <c r="DA207" i="4"/>
  <c r="BN865" i="4"/>
  <c r="BV250" i="4"/>
  <c r="BN203" i="4"/>
  <c r="BY810" i="4"/>
  <c r="CB407" i="4"/>
  <c r="DB53" i="4"/>
  <c r="CN838" i="4"/>
  <c r="CN839" i="4" s="1"/>
  <c r="CJ287" i="4"/>
  <c r="CJ288" i="4" s="1"/>
  <c r="CW179" i="4"/>
  <c r="CX267" i="4"/>
  <c r="BT780" i="4"/>
  <c r="L84" i="9"/>
  <c r="AJ111" i="9"/>
  <c r="AJ112" i="9" s="1"/>
  <c r="H77" i="9"/>
  <c r="T135" i="9"/>
  <c r="N80" i="9"/>
  <c r="DB1214" i="4"/>
  <c r="BL179" i="4"/>
  <c r="CD1220" i="4"/>
  <c r="CD1222" i="4" s="1"/>
  <c r="BT648" i="4"/>
  <c r="BN669" i="4"/>
  <c r="BN671" i="4" s="1"/>
  <c r="L112" i="9"/>
  <c r="AK57" i="3"/>
  <c r="DB1340" i="4"/>
  <c r="BQ1333" i="4"/>
  <c r="BR1369" i="4"/>
  <c r="CD1293" i="4"/>
  <c r="CK1238" i="4"/>
  <c r="CO1196" i="4"/>
  <c r="DC43" i="3" s="1"/>
  <c r="CJ998" i="4"/>
  <c r="CJ1107" i="4" s="1"/>
  <c r="DI916" i="4"/>
  <c r="CR802" i="4"/>
  <c r="CT653" i="4"/>
  <c r="DB1407" i="4"/>
  <c r="CV526" i="4"/>
  <c r="CS179" i="4"/>
  <c r="CL243" i="4"/>
  <c r="DA178" i="4"/>
  <c r="CW618" i="4"/>
  <c r="Y66" i="9"/>
  <c r="H135" i="9"/>
  <c r="AB57" i="3"/>
  <c r="CB690" i="4"/>
  <c r="Q57" i="3"/>
  <c r="BV273" i="4"/>
  <c r="CJ73" i="3" s="1"/>
  <c r="CQ1315" i="4"/>
  <c r="BP180" i="4"/>
  <c r="AJ149" i="12"/>
  <c r="AG32" i="12"/>
  <c r="CX1370" i="4"/>
  <c r="CA1135" i="4"/>
  <c r="L42" i="9"/>
  <c r="CB15" i="3"/>
  <c r="DC1033" i="4"/>
  <c r="DL15" i="3"/>
  <c r="CP37" i="4"/>
  <c r="AF12" i="9"/>
  <c r="AT50" i="3"/>
  <c r="AS50" i="3"/>
  <c r="CF425" i="4"/>
  <c r="CF426" i="4" s="1"/>
  <c r="H51" i="3"/>
  <c r="I49" i="3"/>
  <c r="M48" i="3"/>
  <c r="CD478" i="4"/>
  <c r="BI375" i="4"/>
  <c r="DA469" i="4"/>
  <c r="CH368" i="4"/>
  <c r="CT472" i="4"/>
  <c r="CS472" i="4" s="1"/>
  <c r="BV476" i="4"/>
  <c r="CH853" i="4"/>
  <c r="M76" i="3"/>
  <c r="BJ184" i="4"/>
  <c r="BZ81" i="4"/>
  <c r="AT26" i="3"/>
  <c r="AP65" i="3"/>
  <c r="BV640" i="4"/>
  <c r="AJ20" i="12"/>
  <c r="AJ21" i="12" s="1"/>
  <c r="DA269" i="4"/>
  <c r="BM1238" i="4"/>
  <c r="DB1234" i="4"/>
  <c r="BZ1234" i="4"/>
  <c r="CA1259" i="4"/>
  <c r="AO57" i="3"/>
  <c r="CL1049" i="4"/>
  <c r="BN1049" i="4"/>
  <c r="BX1157" i="4"/>
  <c r="CL43" i="3"/>
  <c r="BQ399" i="4"/>
  <c r="BQ468" i="4"/>
  <c r="AD47" i="3"/>
  <c r="CR49" i="3" s="1"/>
  <c r="CK269" i="4"/>
  <c r="CR1238" i="4"/>
  <c r="CR1236" i="4"/>
  <c r="CR1240" i="4" s="1"/>
  <c r="CW1238" i="4"/>
  <c r="CW1236" i="4"/>
  <c r="CW1240" i="4" s="1"/>
  <c r="I57" i="3"/>
  <c r="CL950" i="4"/>
  <c r="BY468" i="4"/>
  <c r="BY399" i="4"/>
  <c r="BY398" i="4" s="1"/>
  <c r="BY400" i="4" s="1"/>
  <c r="Z47" i="3"/>
  <c r="CL37" i="4"/>
  <c r="BO796" i="4"/>
  <c r="CC733" i="4"/>
  <c r="CC736" i="4" s="1"/>
  <c r="CC737" i="4"/>
  <c r="CH593" i="4"/>
  <c r="U46" i="3"/>
  <c r="CN81" i="3"/>
  <c r="CV17" i="3"/>
  <c r="CT1234" i="4"/>
  <c r="CI1259" i="4"/>
  <c r="CL953" i="4"/>
  <c r="CZ50" i="3" s="1"/>
  <c r="BM468" i="4"/>
  <c r="BM399" i="4"/>
  <c r="DB1181" i="4"/>
  <c r="BB47" i="3"/>
  <c r="CO83" i="4"/>
  <c r="AO15" i="3"/>
  <c r="CG829" i="4"/>
  <c r="CJ830" i="4" s="1"/>
  <c r="AR12" i="3"/>
  <c r="DB30" i="4"/>
  <c r="AW11" i="3"/>
  <c r="AG12" i="3"/>
  <c r="CB1196" i="4"/>
  <c r="DC777" i="4"/>
  <c r="CX368" i="4"/>
  <c r="DN89" i="4"/>
  <c r="BE27" i="3"/>
  <c r="CX153" i="4"/>
  <c r="DC153" i="4" s="1"/>
  <c r="CC269" i="4"/>
  <c r="DH39" i="3"/>
  <c r="CT1237" i="4"/>
  <c r="AH36" i="12"/>
  <c r="CU1228" i="4"/>
  <c r="AF83" i="12"/>
  <c r="AN81" i="3"/>
  <c r="BU207" i="4"/>
  <c r="AN72" i="3"/>
  <c r="P72" i="3"/>
  <c r="AA80" i="9"/>
  <c r="N51" i="3"/>
  <c r="BN515" i="4"/>
  <c r="BN513" i="4"/>
  <c r="BR853" i="4"/>
  <c r="BB26" i="3"/>
  <c r="CS810" i="4"/>
  <c r="CS816" i="4" s="1"/>
  <c r="CX1345" i="4"/>
  <c r="AI30" i="12"/>
  <c r="CJ639" i="4"/>
  <c r="CJ655" i="4"/>
  <c r="CJ648" i="4"/>
  <c r="CP153" i="4"/>
  <c r="CU153" i="4" s="1"/>
  <c r="CJ39" i="3"/>
  <c r="AB36" i="12"/>
  <c r="AB29" i="12" s="1"/>
  <c r="BV1237" i="4"/>
  <c r="AR77" i="3"/>
  <c r="AG19" i="12"/>
  <c r="CZ1340" i="4"/>
  <c r="BY1333" i="4"/>
  <c r="BV705" i="4"/>
  <c r="BP425" i="4"/>
  <c r="AL51" i="3"/>
  <c r="DB1220" i="4"/>
  <c r="DB1222" i="4" s="1"/>
  <c r="H48" i="3"/>
  <c r="H78" i="3" s="1"/>
  <c r="CR207" i="4"/>
  <c r="AR46" i="3"/>
  <c r="CB279" i="4"/>
  <c r="AB46" i="3"/>
  <c r="CL654" i="4"/>
  <c r="CJ409" i="4"/>
  <c r="BP409" i="4"/>
  <c r="CR141" i="4"/>
  <c r="BN184" i="4"/>
  <c r="CJ375" i="4"/>
  <c r="AD51" i="3"/>
  <c r="BX425" i="4"/>
  <c r="CG395" i="4"/>
  <c r="BR476" i="4"/>
  <c r="CY298" i="4"/>
  <c r="CI298" i="4"/>
  <c r="BV853" i="4"/>
  <c r="H46" i="3"/>
  <c r="BO183" i="4"/>
  <c r="Y7" i="12"/>
  <c r="J44" i="3"/>
  <c r="J72" i="3" s="1"/>
  <c r="AR76" i="3"/>
  <c r="L76" i="3"/>
  <c r="CP853" i="4"/>
  <c r="I46" i="3"/>
  <c r="AV76" i="3"/>
  <c r="CN157" i="4"/>
  <c r="CU145" i="4"/>
  <c r="DB89" i="4"/>
  <c r="DB98" i="4" s="1"/>
  <c r="CP919" i="4"/>
  <c r="AP24" i="3"/>
  <c r="BO245" i="4"/>
  <c r="CL30" i="4"/>
  <c r="AV11" i="3"/>
  <c r="U11" i="3"/>
  <c r="CT611" i="4"/>
  <c r="CU611" i="4" s="1"/>
  <c r="AT10" i="3"/>
  <c r="AX8" i="3"/>
  <c r="V8" i="3"/>
  <c r="DD66" i="3"/>
  <c r="BX66" i="3"/>
  <c r="CT243" i="4"/>
  <c r="CT287" i="4" s="1"/>
  <c r="CU183" i="4"/>
  <c r="AT44" i="3"/>
  <c r="AF4" i="9"/>
  <c r="AH7" i="12"/>
  <c r="BA27" i="3"/>
  <c r="CT919" i="4"/>
  <c r="AT24" i="3"/>
  <c r="CQ245" i="4"/>
  <c r="AG15" i="3"/>
  <c r="AG63" i="3" s="1"/>
  <c r="CP30" i="4"/>
  <c r="CP83" i="4" s="1"/>
  <c r="AJ11" i="3"/>
  <c r="I11" i="3"/>
  <c r="BB8" i="3"/>
  <c r="AB15" i="9"/>
  <c r="AP6" i="3"/>
  <c r="BL1355" i="4"/>
  <c r="BL1356" i="4" s="1"/>
  <c r="CD853" i="4"/>
  <c r="CX282" i="4"/>
  <c r="DL67" i="3" s="1"/>
  <c r="AX46" i="3"/>
  <c r="AI9" i="12"/>
  <c r="AJ8" i="9"/>
  <c r="DC145" i="4"/>
  <c r="CE145" i="4"/>
  <c r="AZ27" i="3"/>
  <c r="DJ89" i="4"/>
  <c r="CD89" i="4"/>
  <c r="AF15" i="3"/>
  <c r="AF63" i="3" s="1"/>
  <c r="BN810" i="4"/>
  <c r="AF13" i="3"/>
  <c r="H4" i="9"/>
  <c r="AB7" i="12"/>
  <c r="V44" i="3"/>
  <c r="CB98" i="4"/>
  <c r="Y68" i="9"/>
  <c r="AN58" i="9"/>
  <c r="AB16" i="12"/>
  <c r="BM269" i="4"/>
  <c r="CS269" i="4"/>
  <c r="AO60" i="3"/>
  <c r="CP1234" i="4"/>
  <c r="BN1234" i="4"/>
  <c r="DI1124" i="4"/>
  <c r="AF82" i="12"/>
  <c r="BZ952" i="4"/>
  <c r="CZ924" i="4"/>
  <c r="CW924" i="4"/>
  <c r="CU777" i="4"/>
  <c r="AC49" i="3"/>
  <c r="Z51" i="3"/>
  <c r="CF66" i="3"/>
  <c r="DA852" i="4"/>
  <c r="DA262" i="4"/>
  <c r="DA259" i="4" s="1"/>
  <c r="DC133" i="4"/>
  <c r="BR184" i="4"/>
  <c r="AG7" i="12"/>
  <c r="AP44" i="3"/>
  <c r="AB4" i="9"/>
  <c r="AC7" i="12"/>
  <c r="Z44" i="3"/>
  <c r="L4" i="9"/>
  <c r="CJ81" i="3"/>
  <c r="CF81" i="3"/>
  <c r="CD919" i="4"/>
  <c r="AD24" i="3"/>
  <c r="AI50" i="12"/>
  <c r="AJ24" i="9"/>
  <c r="AX15" i="3"/>
  <c r="AX13" i="3"/>
  <c r="CL32" i="3"/>
  <c r="AR58" i="3"/>
  <c r="Z16" i="12"/>
  <c r="CB469" i="4"/>
  <c r="DH66" i="3"/>
  <c r="CH187" i="4"/>
  <c r="CH209" i="4" s="1"/>
  <c r="BV380" i="4"/>
  <c r="BV443" i="4" s="1"/>
  <c r="BV187" i="4"/>
  <c r="CK829" i="4"/>
  <c r="CK801" i="4"/>
  <c r="CL801" i="4" s="1"/>
  <c r="CN1322" i="4"/>
  <c r="CN269" i="4"/>
  <c r="CN271" i="4" s="1"/>
  <c r="DF1270" i="4"/>
  <c r="DF1282" i="4" s="1"/>
  <c r="DI1270" i="4"/>
  <c r="DI1282" i="4" s="1"/>
  <c r="CL1254" i="4"/>
  <c r="CJ1258" i="4"/>
  <c r="AW57" i="3"/>
  <c r="CS1006" i="4"/>
  <c r="CS468" i="4"/>
  <c r="CS399" i="4"/>
  <c r="AT47" i="3"/>
  <c r="CR654" i="4"/>
  <c r="BQ1397" i="4"/>
  <c r="L51" i="3"/>
  <c r="BL515" i="4"/>
  <c r="BL500" i="4"/>
  <c r="BL503" i="4" s="1"/>
  <c r="AH81" i="3"/>
  <c r="CG810" i="4"/>
  <c r="CJ816" i="4" s="1"/>
  <c r="AF32" i="12"/>
  <c r="Z36" i="12"/>
  <c r="Z29" i="12" s="1"/>
  <c r="CB39" i="3"/>
  <c r="BN1237" i="4"/>
  <c r="CT1254" i="4"/>
  <c r="CR1258" i="4"/>
  <c r="CR1260" i="4" s="1"/>
  <c r="CB1238" i="4"/>
  <c r="CB1236" i="4"/>
  <c r="CB1240" i="4" s="1"/>
  <c r="BV1234" i="4"/>
  <c r="BI399" i="4"/>
  <c r="BI468" i="4"/>
  <c r="DF43" i="3"/>
  <c r="BP399" i="4"/>
  <c r="BP468" i="4"/>
  <c r="AP47" i="3"/>
  <c r="BY37" i="4"/>
  <c r="CV924" i="4"/>
  <c r="CS924" i="4"/>
  <c r="CP785" i="4"/>
  <c r="CP87" i="4"/>
  <c r="CP1043" i="4" s="1"/>
  <c r="CG703" i="4"/>
  <c r="AW49" i="3"/>
  <c r="CZ490" i="4"/>
  <c r="AZ50" i="3"/>
  <c r="BL425" i="4"/>
  <c r="BH27" i="3"/>
  <c r="CK810" i="4"/>
  <c r="CN816" i="4" s="1"/>
  <c r="Z13" i="3"/>
  <c r="BM22" i="3"/>
  <c r="T36" i="9"/>
  <c r="AH22" i="3"/>
  <c r="CV803" i="4"/>
  <c r="CV802" i="4"/>
  <c r="BM600" i="4"/>
  <c r="BY894" i="4"/>
  <c r="CV469" i="4"/>
  <c r="BJ476" i="4"/>
  <c r="BA15" i="3"/>
  <c r="BA63" i="3" s="1"/>
  <c r="BU779" i="4"/>
  <c r="AD13" i="3"/>
  <c r="AL13" i="3"/>
  <c r="V13" i="3"/>
  <c r="AC82" i="12"/>
  <c r="CX950" i="4"/>
  <c r="CF956" i="4"/>
  <c r="CH950" i="4"/>
  <c r="BR950" i="4"/>
  <c r="AD16" i="12"/>
  <c r="CO852" i="4"/>
  <c r="CO287" i="4"/>
  <c r="CO288" i="4" s="1"/>
  <c r="BY852" i="4"/>
  <c r="BY287" i="4"/>
  <c r="BY288" i="4" s="1"/>
  <c r="AG76" i="3"/>
  <c r="AF30" i="12"/>
  <c r="CD810" i="4"/>
  <c r="CE699" i="4"/>
  <c r="CI607" i="4"/>
  <c r="CR655" i="4"/>
  <c r="CR639" i="4"/>
  <c r="BY426" i="4"/>
  <c r="AK55" i="12"/>
  <c r="BF20" i="3"/>
  <c r="AA30" i="12"/>
  <c r="CU1335" i="4"/>
  <c r="AF20" i="12"/>
  <c r="AD19" i="12"/>
  <c r="AG36" i="12"/>
  <c r="DD39" i="3"/>
  <c r="CH1370" i="4"/>
  <c r="CU1310" i="4"/>
  <c r="BJ1047" i="4"/>
  <c r="J33" i="3"/>
  <c r="BR1047" i="4"/>
  <c r="R33" i="3"/>
  <c r="J47" i="3"/>
  <c r="CG426" i="4"/>
  <c r="CF279" i="4"/>
  <c r="AF46" i="3"/>
  <c r="AF45" i="3" s="1"/>
  <c r="AB52" i="3"/>
  <c r="BM426" i="4"/>
  <c r="L48" i="3"/>
  <c r="CO375" i="4"/>
  <c r="CS375" i="4"/>
  <c r="CX476" i="4"/>
  <c r="BM209" i="4"/>
  <c r="M46" i="3"/>
  <c r="CF157" i="4"/>
  <c r="P76" i="3"/>
  <c r="BS183" i="4"/>
  <c r="D5" i="9" s="1"/>
  <c r="D4" i="9"/>
  <c r="R44" i="3"/>
  <c r="AA7" i="12"/>
  <c r="CG110" i="4"/>
  <c r="AG27" i="3"/>
  <c r="BQ90" i="4"/>
  <c r="DJ912" i="4"/>
  <c r="AL55" i="12"/>
  <c r="AV33" i="9"/>
  <c r="BJ20" i="3"/>
  <c r="BZ810" i="4"/>
  <c r="T10" i="3"/>
  <c r="CE183" i="4"/>
  <c r="P5" i="9" s="1"/>
  <c r="AD44" i="3"/>
  <c r="P4" i="9"/>
  <c r="AD7" i="12"/>
  <c r="CX919" i="4"/>
  <c r="AX24" i="3"/>
  <c r="H15" i="3"/>
  <c r="H63" i="3" s="1"/>
  <c r="BH807" i="4"/>
  <c r="CI245" i="4"/>
  <c r="AX76" i="3"/>
  <c r="BD26" i="3"/>
  <c r="AG54" i="12"/>
  <c r="AB31" i="9"/>
  <c r="AP19" i="3"/>
  <c r="DC245" i="4"/>
  <c r="BW245" i="4"/>
  <c r="AJ15" i="3"/>
  <c r="AC11" i="3"/>
  <c r="AP8" i="3"/>
  <c r="J8" i="3"/>
  <c r="Z76" i="3"/>
  <c r="CR425" i="4"/>
  <c r="CJ1340" i="4"/>
  <c r="CH1347" i="4"/>
  <c r="CH1329" i="4"/>
  <c r="Y30" i="12"/>
  <c r="BR1370" i="4"/>
  <c r="CL1370" i="4"/>
  <c r="BZ49" i="3"/>
  <c r="BP1348" i="4"/>
  <c r="CV1196" i="4"/>
  <c r="CV1157" i="4" s="1"/>
  <c r="BV1176" i="4"/>
  <c r="CP1047" i="4"/>
  <c r="AP33" i="3"/>
  <c r="BN986" i="4"/>
  <c r="BY1157" i="4"/>
  <c r="BY1313" i="4" s="1"/>
  <c r="AV50" i="3"/>
  <c r="BR810" i="4"/>
  <c r="CO807" i="4"/>
  <c r="P51" i="3"/>
  <c r="CB644" i="4"/>
  <c r="CP555" i="4"/>
  <c r="AG44" i="12"/>
  <c r="AK51" i="3"/>
  <c r="AJ51" i="3"/>
  <c r="CK439" i="4"/>
  <c r="CN369" i="4"/>
  <c r="BQ375" i="4"/>
  <c r="CX281" i="4"/>
  <c r="DL71" i="3" s="1"/>
  <c r="AN46" i="3"/>
  <c r="T49" i="3"/>
  <c r="CW375" i="4"/>
  <c r="CY185" i="4"/>
  <c r="CS439" i="4"/>
  <c r="DB476" i="4"/>
  <c r="CP366" i="4"/>
  <c r="BR273" i="4"/>
  <c r="CF73" i="3" s="1"/>
  <c r="CR209" i="4"/>
  <c r="AJ76" i="3"/>
  <c r="CB157" i="4"/>
  <c r="P48" i="3"/>
  <c r="CH477" i="4"/>
  <c r="BV478" i="4"/>
  <c r="BP190" i="4"/>
  <c r="BA46" i="3"/>
  <c r="CS282" i="4"/>
  <c r="DG67" i="3" s="1"/>
  <c r="AS46" i="3"/>
  <c r="CK207" i="4"/>
  <c r="AK46" i="3"/>
  <c r="CC209" i="4"/>
  <c r="AC46" i="3"/>
  <c r="BU180" i="4"/>
  <c r="X76" i="3"/>
  <c r="CV157" i="4"/>
  <c r="CV162" i="4" s="1"/>
  <c r="BX157" i="4"/>
  <c r="BH154" i="4"/>
  <c r="CB190" i="4"/>
  <c r="CY183" i="4"/>
  <c r="AJ4" i="9"/>
  <c r="AX44" i="3"/>
  <c r="AI7" i="12"/>
  <c r="CW98" i="4"/>
  <c r="AW27" i="3"/>
  <c r="AP26" i="3"/>
  <c r="CH919" i="4"/>
  <c r="AH24" i="3"/>
  <c r="AF54" i="12"/>
  <c r="X31" i="9"/>
  <c r="AL19" i="3"/>
  <c r="CI29" i="4"/>
  <c r="AR14" i="3"/>
  <c r="AK11" i="3"/>
  <c r="P11" i="3"/>
  <c r="AH8" i="3"/>
  <c r="Q8" i="3"/>
  <c r="CP285" i="4"/>
  <c r="CP286" i="4" s="1"/>
  <c r="DD69" i="3"/>
  <c r="BJ285" i="4"/>
  <c r="BJ286" i="4" s="1"/>
  <c r="BX69" i="3"/>
  <c r="CT853" i="4"/>
  <c r="CD243" i="4"/>
  <c r="CC207" i="4"/>
  <c r="AV27" i="3"/>
  <c r="BV919" i="4"/>
  <c r="V24" i="3"/>
  <c r="CC55" i="4"/>
  <c r="Y15" i="3"/>
  <c r="CH23" i="4"/>
  <c r="CH53" i="4" s="1"/>
  <c r="P16" i="9"/>
  <c r="AD11" i="3"/>
  <c r="CX611" i="4"/>
  <c r="AX10" i="3"/>
  <c r="CD611" i="4"/>
  <c r="CD630" i="4" s="1"/>
  <c r="AD10" i="3"/>
  <c r="AL8" i="3"/>
  <c r="AS27" i="3"/>
  <c r="R46" i="3"/>
  <c r="AA9" i="12"/>
  <c r="AA13" i="12" s="1"/>
  <c r="D8" i="9"/>
  <c r="CN135" i="4"/>
  <c r="BY190" i="4"/>
  <c r="AO27" i="3"/>
  <c r="DB919" i="4"/>
  <c r="BB24" i="3"/>
  <c r="AB54" i="12"/>
  <c r="H31" i="9"/>
  <c r="V19" i="3"/>
  <c r="DF33" i="3"/>
  <c r="AR15" i="3"/>
  <c r="T15" i="3"/>
  <c r="T63" i="3" s="1"/>
  <c r="AS11" i="3"/>
  <c r="M11" i="3"/>
  <c r="X4" i="9"/>
  <c r="AF7" i="12"/>
  <c r="AL44" i="3"/>
  <c r="BD27" i="3"/>
  <c r="BR90" i="4"/>
  <c r="AA16" i="12"/>
  <c r="AC63" i="12"/>
  <c r="AR60" i="3"/>
  <c r="CV1236" i="4"/>
  <c r="CV1240" i="4" s="1"/>
  <c r="AE19" i="12"/>
  <c r="BH1357" i="4"/>
  <c r="Z30" i="12"/>
  <c r="CJ1238" i="4"/>
  <c r="CS1238" i="4"/>
  <c r="CC1238" i="4"/>
  <c r="BP1236" i="4"/>
  <c r="BP1240" i="4" s="1"/>
  <c r="CY1135" i="4"/>
  <c r="AJ42" i="9"/>
  <c r="Y83" i="12"/>
  <c r="Y93" i="12" s="1"/>
  <c r="CZ1006" i="4"/>
  <c r="CZ468" i="4"/>
  <c r="CZ399" i="4"/>
  <c r="R47" i="3"/>
  <c r="BQ802" i="4"/>
  <c r="U49" i="3"/>
  <c r="CW439" i="4"/>
  <c r="BU469" i="4"/>
  <c r="CG375" i="4"/>
  <c r="CV66" i="3"/>
  <c r="DL110" i="4"/>
  <c r="BL27" i="3"/>
  <c r="AX26" i="3"/>
  <c r="CG801" i="4"/>
  <c r="R13" i="3"/>
  <c r="BZ640" i="4"/>
  <c r="CD648" i="4" s="1"/>
  <c r="CG439" i="4"/>
  <c r="CB66" i="3"/>
  <c r="BN267" i="4"/>
  <c r="CF135" i="4"/>
  <c r="BL19" i="4"/>
  <c r="L11" i="3"/>
  <c r="DA1239" i="4"/>
  <c r="CL1234" i="4"/>
  <c r="BJ1234" i="4"/>
  <c r="BV1049" i="4"/>
  <c r="BF1049" i="4"/>
  <c r="BJ953" i="4"/>
  <c r="BA76" i="3"/>
  <c r="CR81" i="3"/>
  <c r="AZ40" i="9"/>
  <c r="BB58" i="3"/>
  <c r="CG1238" i="4"/>
  <c r="CG1236" i="4"/>
  <c r="CG1240" i="4" s="1"/>
  <c r="BB33" i="3"/>
  <c r="Y80" i="12"/>
  <c r="AC77" i="3"/>
  <c r="P77" i="3"/>
  <c r="CT922" i="4"/>
  <c r="Y49" i="3"/>
  <c r="AH16" i="12"/>
  <c r="T76" i="3"/>
  <c r="BR380" i="4"/>
  <c r="W80" i="9"/>
  <c r="W81" i="9" s="1"/>
  <c r="BN30" i="4"/>
  <c r="AP13" i="3"/>
  <c r="BR640" i="4"/>
  <c r="BR639" i="4" s="1"/>
  <c r="BQ639" i="4" s="1"/>
  <c r="CH1234" i="4"/>
  <c r="CU1259" i="4"/>
  <c r="BS1259" i="4"/>
  <c r="CH1049" i="4"/>
  <c r="DP50" i="3"/>
  <c r="AJ83" i="12"/>
  <c r="AJ93" i="12" s="1"/>
  <c r="BU468" i="4"/>
  <c r="BU399" i="4"/>
  <c r="M77" i="3"/>
  <c r="BV947" i="4"/>
  <c r="V47" i="3"/>
  <c r="DN37" i="4"/>
  <c r="BT860" i="4"/>
  <c r="BT862" i="4" s="1"/>
  <c r="BV858" i="4"/>
  <c r="BV860" i="4" s="1"/>
  <c r="BV862" i="4" s="1"/>
  <c r="CY796" i="4"/>
  <c r="DJ419" i="4"/>
  <c r="DL419" i="4"/>
  <c r="DM419" i="4" s="1"/>
  <c r="BX469" i="4"/>
  <c r="BY829" i="4"/>
  <c r="CC831" i="4" s="1"/>
  <c r="AB60" i="3"/>
  <c r="BB13" i="3"/>
  <c r="CN50" i="3"/>
  <c r="CJ1006" i="4"/>
  <c r="CJ468" i="4"/>
  <c r="CJ399" i="4"/>
  <c r="CR924" i="4"/>
  <c r="BV707" i="4"/>
  <c r="DM110" i="4"/>
  <c r="BM27" i="3"/>
  <c r="AX27" i="3"/>
  <c r="CI806" i="4"/>
  <c r="CP472" i="4"/>
  <c r="CO472" i="4" s="1"/>
  <c r="CL285" i="4"/>
  <c r="CL286" i="4" s="1"/>
  <c r="CZ69" i="3"/>
  <c r="CH153" i="4"/>
  <c r="CM153" i="4" s="1"/>
  <c r="AI20" i="12"/>
  <c r="AI21" i="12" s="1"/>
  <c r="BP269" i="4"/>
  <c r="BP271" i="4" s="1"/>
  <c r="CO953" i="4"/>
  <c r="DC50" i="3" s="1"/>
  <c r="CO1006" i="4"/>
  <c r="CO468" i="4"/>
  <c r="CO399" i="4"/>
  <c r="CD86" i="4"/>
  <c r="CD1043" i="4" s="1"/>
  <c r="BJ793" i="4"/>
  <c r="AV72" i="3"/>
  <c r="CY133" i="4"/>
  <c r="CZ654" i="4"/>
  <c r="CB513" i="4"/>
  <c r="AB51" i="3"/>
  <c r="BV285" i="4"/>
  <c r="BV286" i="4" s="1"/>
  <c r="CJ69" i="3"/>
  <c r="R65" i="3"/>
  <c r="U81" i="3"/>
  <c r="DB285" i="4"/>
  <c r="DB286" i="4" s="1"/>
  <c r="BX1200" i="4"/>
  <c r="CL44" i="3"/>
  <c r="BQ1159" i="4"/>
  <c r="BQ1161" i="4" s="1"/>
  <c r="CT1047" i="4"/>
  <c r="AT33" i="3"/>
  <c r="CE1033" i="4"/>
  <c r="BT1157" i="4"/>
  <c r="CH43" i="3"/>
  <c r="BV810" i="4"/>
  <c r="CM805" i="4"/>
  <c r="AN51" i="3"/>
  <c r="CS514" i="4"/>
  <c r="M51" i="3"/>
  <c r="CJ425" i="4"/>
  <c r="U51" i="3"/>
  <c r="CV279" i="4"/>
  <c r="AV46" i="3"/>
  <c r="BL279" i="4"/>
  <c r="L46" i="3"/>
  <c r="BP375" i="4"/>
  <c r="BR285" i="4"/>
  <c r="BR286" i="4" s="1"/>
  <c r="CF69" i="3"/>
  <c r="CL853" i="4"/>
  <c r="J49" i="3"/>
  <c r="J79" i="3" s="1"/>
  <c r="AZ76" i="3"/>
  <c r="Q76" i="3"/>
  <c r="AN76" i="3"/>
  <c r="CL89" i="4"/>
  <c r="CL98" i="4" s="1"/>
  <c r="DC779" i="4"/>
  <c r="BA11" i="3"/>
  <c r="L16" i="9"/>
  <c r="Z11" i="3"/>
  <c r="BZ285" i="4"/>
  <c r="BZ286" i="4" s="1"/>
  <c r="CN69" i="3"/>
  <c r="BZ853" i="4"/>
  <c r="CF110" i="4"/>
  <c r="AF27" i="3"/>
  <c r="AK15" i="3"/>
  <c r="AO11" i="3"/>
  <c r="BR53" i="4"/>
  <c r="N13" i="3"/>
  <c r="N76" i="3"/>
  <c r="AB11" i="3"/>
  <c r="DA1236" i="4"/>
  <c r="DA1240" i="4" s="1"/>
  <c r="CN1238" i="4"/>
  <c r="BX1238" i="4"/>
  <c r="AB30" i="12"/>
  <c r="CN1239" i="4"/>
  <c r="BU1236" i="4"/>
  <c r="BU1240" i="4" s="1"/>
  <c r="AX47" i="3"/>
  <c r="BV706" i="4"/>
  <c r="AK49" i="3"/>
  <c r="BB51" i="3"/>
  <c r="DB515" i="4"/>
  <c r="CB1333" i="4"/>
  <c r="CL1408" i="4"/>
  <c r="AE36" i="12"/>
  <c r="CV39" i="3"/>
  <c r="CL1361" i="4"/>
  <c r="AF34" i="12"/>
  <c r="DB1370" i="4"/>
  <c r="BV1370" i="4"/>
  <c r="DG41" i="3"/>
  <c r="CN1236" i="4"/>
  <c r="CN1240" i="4" s="1"/>
  <c r="CS1196" i="4"/>
  <c r="CS1200" i="4" s="1"/>
  <c r="Y36" i="12"/>
  <c r="Y29" i="12" s="1"/>
  <c r="BX39" i="3"/>
  <c r="CG1200" i="4"/>
  <c r="CK1236" i="4"/>
  <c r="CK1240" i="4" s="1"/>
  <c r="BI1159" i="4"/>
  <c r="BI1161" i="4" s="1"/>
  <c r="BW45" i="3"/>
  <c r="CJ1196" i="4"/>
  <c r="CJ1200" i="4" s="1"/>
  <c r="BZ1176" i="4"/>
  <c r="CR1159" i="4"/>
  <c r="DF45" i="3"/>
  <c r="AD33" i="3"/>
  <c r="CU1033" i="4"/>
  <c r="CA1033" i="4"/>
  <c r="CV15" i="3"/>
  <c r="BU1196" i="4"/>
  <c r="BW1033" i="4"/>
  <c r="CN924" i="4"/>
  <c r="CG923" i="4"/>
  <c r="CD918" i="4"/>
  <c r="BX986" i="4"/>
  <c r="BZ986" i="4" s="1"/>
  <c r="CX947" i="4"/>
  <c r="H12" i="9"/>
  <c r="V50" i="3"/>
  <c r="AG49" i="3"/>
  <c r="AF51" i="3"/>
  <c r="CW816" i="4"/>
  <c r="BY644" i="4"/>
  <c r="CF515" i="4"/>
  <c r="BT425" i="4"/>
  <c r="BQ426" i="4"/>
  <c r="BV562" i="4"/>
  <c r="BV11" i="3"/>
  <c r="AG51" i="3"/>
  <c r="AW51" i="3"/>
  <c r="CR375" i="4"/>
  <c r="CS426" i="4"/>
  <c r="CE383" i="4"/>
  <c r="AZ77" i="3"/>
  <c r="BP1332" i="4"/>
  <c r="DB1361" i="4"/>
  <c r="AJ34" i="12"/>
  <c r="CZ1341" i="4"/>
  <c r="CX1347" i="4"/>
  <c r="BV1368" i="4"/>
  <c r="CV1348" i="4"/>
  <c r="AC36" i="12"/>
  <c r="AC29" i="12" s="1"/>
  <c r="CN39" i="3"/>
  <c r="BF1321" i="4"/>
  <c r="CP1370" i="4"/>
  <c r="BZ1370" i="4"/>
  <c r="BJ1370" i="4"/>
  <c r="CD1408" i="4"/>
  <c r="AC30" i="12"/>
  <c r="CC1196" i="4"/>
  <c r="CC1200" i="4" s="1"/>
  <c r="BT1200" i="4"/>
  <c r="CZ15" i="3"/>
  <c r="N33" i="3"/>
  <c r="AX33" i="3"/>
  <c r="CK956" i="4"/>
  <c r="CK1109" i="4" s="1"/>
  <c r="CK1110" i="4" s="1"/>
  <c r="BI1157" i="4"/>
  <c r="BW43" i="3"/>
  <c r="BR986" i="4"/>
  <c r="CX1181" i="4"/>
  <c r="CT1185" i="4"/>
  <c r="CT1196" i="4" s="1"/>
  <c r="AH41" i="12"/>
  <c r="CI805" i="4"/>
  <c r="CN654" i="4"/>
  <c r="BY608" i="4"/>
  <c r="CL662" i="4"/>
  <c r="CL663" i="4" s="1"/>
  <c r="X52" i="3"/>
  <c r="D12" i="9"/>
  <c r="R50" i="3"/>
  <c r="R81" i="3" s="1"/>
  <c r="CP1395" i="4"/>
  <c r="AG45" i="12"/>
  <c r="X46" i="3"/>
  <c r="AZ49" i="3"/>
  <c r="BW383" i="4"/>
  <c r="CP476" i="4"/>
  <c r="AF49" i="3"/>
  <c r="CC375" i="4"/>
  <c r="CU298" i="4"/>
  <c r="CX285" i="4"/>
  <c r="CX286" i="4" s="1"/>
  <c r="DL69" i="3"/>
  <c r="BX209" i="4"/>
  <c r="CC179" i="4"/>
  <c r="Y77" i="3"/>
  <c r="AG72" i="3"/>
  <c r="AG77" i="3"/>
  <c r="AK77" i="3"/>
  <c r="CW1333" i="4"/>
  <c r="AE30" i="12"/>
  <c r="DB41" i="3"/>
  <c r="AH20" i="12"/>
  <c r="AH21" i="12" s="1"/>
  <c r="DH40" i="3"/>
  <c r="CC1333" i="4"/>
  <c r="AI32" i="12"/>
  <c r="DB1408" i="4"/>
  <c r="AI36" i="12"/>
  <c r="DL39" i="3"/>
  <c r="BV1408" i="4"/>
  <c r="CF39" i="3"/>
  <c r="AA36" i="12"/>
  <c r="AA29" i="12" s="1"/>
  <c r="BE1322" i="4"/>
  <c r="AE32" i="12"/>
  <c r="BO1310" i="4"/>
  <c r="DA1238" i="4"/>
  <c r="CK1196" i="4"/>
  <c r="CK1157" i="4" s="1"/>
  <c r="CD1176" i="4"/>
  <c r="CT1370" i="4"/>
  <c r="CD1370" i="4"/>
  <c r="BN1370" i="4"/>
  <c r="CP1258" i="4"/>
  <c r="CP1260" i="4" s="1"/>
  <c r="BH1240" i="4"/>
  <c r="BM1196" i="4"/>
  <c r="BM1200" i="4" s="1"/>
  <c r="CF1196" i="4"/>
  <c r="CF1200" i="4" s="1"/>
  <c r="CZ1196" i="4"/>
  <c r="CZ1200" i="4" s="1"/>
  <c r="CQ1135" i="4"/>
  <c r="AB42" i="9"/>
  <c r="CJ50" i="3"/>
  <c r="CD1047" i="4"/>
  <c r="BZ1047" i="4"/>
  <c r="Z33" i="3"/>
  <c r="BF1047" i="4"/>
  <c r="BK1033" i="4"/>
  <c r="AH33" i="3"/>
  <c r="BV1047" i="4"/>
  <c r="V33" i="3"/>
  <c r="BU956" i="4"/>
  <c r="BX924" i="4"/>
  <c r="CO922" i="4"/>
  <c r="CO921" i="4" s="1"/>
  <c r="CP921" i="4" s="1"/>
  <c r="CP923" i="4" s="1"/>
  <c r="BQ923" i="4"/>
  <c r="BN1185" i="4"/>
  <c r="BN1196" i="4" s="1"/>
  <c r="Z41" i="12"/>
  <c r="CN803" i="4"/>
  <c r="AR50" i="3"/>
  <c r="DA816" i="4"/>
  <c r="DB793" i="4"/>
  <c r="BZ706" i="4"/>
  <c r="CO816" i="4"/>
  <c r="CH654" i="4"/>
  <c r="AJ12" i="9"/>
  <c r="AX50" i="3"/>
  <c r="BA50" i="3"/>
  <c r="BR511" i="4"/>
  <c r="CV425" i="4"/>
  <c r="DB500" i="4"/>
  <c r="DB503" i="4" s="1"/>
  <c r="CZ425" i="4"/>
  <c r="BV1220" i="4"/>
  <c r="BV1222" i="4" s="1"/>
  <c r="CL629" i="4"/>
  <c r="CH820" i="4"/>
  <c r="CF526" i="4"/>
  <c r="AO49" i="3"/>
  <c r="CH515" i="4"/>
  <c r="AH51" i="3"/>
  <c r="AO51" i="3"/>
  <c r="AC51" i="3"/>
  <c r="Y51" i="3"/>
  <c r="J51" i="3"/>
  <c r="BQ409" i="4"/>
  <c r="CC369" i="4"/>
  <c r="BL375" i="4"/>
  <c r="AZ46" i="3"/>
  <c r="AJ46" i="3"/>
  <c r="BP207" i="4"/>
  <c r="P46" i="3"/>
  <c r="P45" i="3" s="1"/>
  <c r="BQ644" i="4"/>
  <c r="CN425" i="4"/>
  <c r="CB409" i="4"/>
  <c r="CH366" i="4"/>
  <c r="CH369" i="4" s="1"/>
  <c r="BZ476" i="4"/>
  <c r="DA282" i="4"/>
  <c r="DO67" i="3" s="1"/>
  <c r="AV49" i="3"/>
  <c r="P49" i="3"/>
  <c r="BQ1358" i="4"/>
  <c r="BQ1360" i="4" s="1"/>
  <c r="BP179" i="4"/>
  <c r="CT469" i="4"/>
  <c r="CP469" i="4"/>
  <c r="CZ375" i="4"/>
  <c r="BT375" i="4"/>
  <c r="CC426" i="4"/>
  <c r="BL469" i="4"/>
  <c r="CJ369" i="4"/>
  <c r="CL478" i="4"/>
  <c r="BX369" i="4"/>
  <c r="BZ366" i="4"/>
  <c r="BZ369" i="4" s="1"/>
  <c r="CH476" i="4"/>
  <c r="CH285" i="4"/>
  <c r="CH286" i="4" s="1"/>
  <c r="CV69" i="3"/>
  <c r="DB853" i="4"/>
  <c r="BQ282" i="4"/>
  <c r="CE67" i="3" s="1"/>
  <c r="Q46" i="3"/>
  <c r="AN49" i="3"/>
  <c r="H49" i="3"/>
  <c r="H79" i="3" s="1"/>
  <c r="CC159" i="4"/>
  <c r="AB76" i="3"/>
  <c r="BT157" i="4"/>
  <c r="CR66" i="3"/>
  <c r="CN288" i="4"/>
  <c r="BN243" i="4"/>
  <c r="BH408" i="4"/>
  <c r="CN1358" i="4"/>
  <c r="CO178" i="4"/>
  <c r="BY159" i="4"/>
  <c r="AF76" i="3"/>
  <c r="CI183" i="4"/>
  <c r="T4" i="9"/>
  <c r="AH44" i="3"/>
  <c r="AE7" i="12"/>
  <c r="AR27" i="3"/>
  <c r="CG48" i="4"/>
  <c r="BR919" i="4"/>
  <c r="R24" i="3"/>
  <c r="CE245" i="4"/>
  <c r="I15" i="3"/>
  <c r="I63" i="3" s="1"/>
  <c r="CT30" i="4"/>
  <c r="X14" i="3"/>
  <c r="AF11" i="3"/>
  <c r="CD391" i="4"/>
  <c r="BV366" i="4"/>
  <c r="CN66" i="3"/>
  <c r="BR207" i="4"/>
  <c r="BT279" i="4"/>
  <c r="T46" i="3"/>
  <c r="CK159" i="4"/>
  <c r="CY145" i="4"/>
  <c r="CK110" i="4"/>
  <c r="AK27" i="3"/>
  <c r="BZ89" i="4"/>
  <c r="CZ98" i="4"/>
  <c r="AV40" i="9"/>
  <c r="DN912" i="4"/>
  <c r="AO55" i="12"/>
  <c r="AP55" i="12" s="1"/>
  <c r="AQ55" i="12" s="1"/>
  <c r="AR55" i="12" s="1"/>
  <c r="AS55" i="12" s="1"/>
  <c r="AT55" i="12" s="1"/>
  <c r="AU55" i="12" s="1"/>
  <c r="AZ33" i="9"/>
  <c r="BN20" i="3"/>
  <c r="CA245" i="4"/>
  <c r="AS15" i="3"/>
  <c r="U15" i="3"/>
  <c r="U63" i="3" s="1"/>
  <c r="AZ11" i="3"/>
  <c r="Y11" i="3"/>
  <c r="BJ187" i="4"/>
  <c r="BL280" i="4"/>
  <c r="CC110" i="4"/>
  <c r="CC111" i="4" s="1"/>
  <c r="CG409" i="4"/>
  <c r="CW207" i="4"/>
  <c r="AW46" i="3"/>
  <c r="AO46" i="3"/>
  <c r="AG46" i="3"/>
  <c r="BY279" i="4"/>
  <c r="Y46" i="3"/>
  <c r="CK180" i="4"/>
  <c r="BM154" i="4"/>
  <c r="CM145" i="4"/>
  <c r="BY280" i="4"/>
  <c r="CA183" i="4"/>
  <c r="L5" i="9" s="1"/>
  <c r="CJ110" i="4"/>
  <c r="AJ27" i="3"/>
  <c r="BX55" i="4"/>
  <c r="BJ919" i="4"/>
  <c r="J24" i="3"/>
  <c r="AN15" i="3"/>
  <c r="L15" i="3"/>
  <c r="AN11" i="3"/>
  <c r="H11" i="3"/>
  <c r="DI134" i="4"/>
  <c r="DJ134" i="4" s="1"/>
  <c r="AN4" i="9"/>
  <c r="AJ7" i="12"/>
  <c r="BB44" i="3"/>
  <c r="AN27" i="3"/>
  <c r="AN75" i="9"/>
  <c r="AB112" i="9"/>
  <c r="AN77" i="9"/>
  <c r="CZ269" i="4"/>
  <c r="CZ271" i="4" s="1"/>
  <c r="AJ32" i="12"/>
  <c r="DP39" i="3"/>
  <c r="AJ36" i="12"/>
  <c r="DB1237" i="4"/>
  <c r="CD1234" i="4"/>
  <c r="DB1160" i="4"/>
  <c r="BV1160" i="4"/>
  <c r="AB82" i="12"/>
  <c r="BT468" i="4"/>
  <c r="BT399" i="4"/>
  <c r="DB43" i="3"/>
  <c r="BL468" i="4"/>
  <c r="BL399" i="4"/>
  <c r="AH47" i="3"/>
  <c r="BP924" i="4"/>
  <c r="BX807" i="4"/>
  <c r="CW648" i="4"/>
  <c r="CW655" i="4"/>
  <c r="CW644" i="4"/>
  <c r="BA49" i="3"/>
  <c r="BN285" i="4"/>
  <c r="BN286" i="4" s="1"/>
  <c r="CB69" i="3"/>
  <c r="DL66" i="3"/>
  <c r="CQ133" i="4"/>
  <c r="CB110" i="4"/>
  <c r="CB111" i="4" s="1"/>
  <c r="O80" i="9"/>
  <c r="CI28" i="4"/>
  <c r="BJ30" i="4"/>
  <c r="AW60" i="3"/>
  <c r="X12" i="3"/>
  <c r="DI110" i="4"/>
  <c r="BI27" i="3"/>
  <c r="CS829" i="4"/>
  <c r="CS831" i="4" s="1"/>
  <c r="AD50" i="12"/>
  <c r="P24" i="9"/>
  <c r="AD15" i="3"/>
  <c r="AD63" i="3" s="1"/>
  <c r="AH30" i="12"/>
  <c r="AD36" i="12"/>
  <c r="CR39" i="3"/>
  <c r="CD1237" i="4"/>
  <c r="CD1049" i="4"/>
  <c r="AI82" i="12"/>
  <c r="AG83" i="12"/>
  <c r="AG93" i="12" s="1"/>
  <c r="AE83" i="12"/>
  <c r="AE93" i="12" s="1"/>
  <c r="N47" i="3"/>
  <c r="AP81" i="3"/>
  <c r="CR469" i="4"/>
  <c r="CN180" i="4"/>
  <c r="AK76" i="3"/>
  <c r="BI801" i="4"/>
  <c r="BI802" i="4" s="1"/>
  <c r="R15" i="3"/>
  <c r="AA50" i="12"/>
  <c r="D24" i="9"/>
  <c r="CZ39" i="3"/>
  <c r="AF36" i="12"/>
  <c r="CL1237" i="4"/>
  <c r="Y57" i="3"/>
  <c r="DJ37" i="4"/>
  <c r="CG647" i="4"/>
  <c r="Q49" i="3"/>
  <c r="AC81" i="3"/>
  <c r="CT285" i="4"/>
  <c r="CT286" i="4" s="1"/>
  <c r="DH69" i="3"/>
  <c r="BU852" i="4"/>
  <c r="BU262" i="4"/>
  <c r="BU259" i="4" s="1"/>
  <c r="AS72" i="3"/>
  <c r="CB81" i="3"/>
  <c r="BI810" i="4"/>
  <c r="AG13" i="3"/>
  <c r="L60" i="3"/>
  <c r="CT609" i="4"/>
  <c r="AT8" i="3"/>
  <c r="BR1234" i="4"/>
  <c r="AL33" i="3"/>
  <c r="BR1049" i="4"/>
  <c r="AD83" i="12"/>
  <c r="AD93" i="12" s="1"/>
  <c r="CR50" i="3"/>
  <c r="CL1181" i="4"/>
  <c r="AL47" i="3"/>
  <c r="AF36" i="9"/>
  <c r="AT22" i="3"/>
  <c r="CN469" i="4"/>
  <c r="BH469" i="4"/>
  <c r="BX81" i="3"/>
  <c r="DF32" i="3"/>
  <c r="J13" i="3"/>
  <c r="J60" i="3" s="1"/>
  <c r="BY611" i="4"/>
  <c r="Y10" i="3"/>
  <c r="BT1211" i="4"/>
  <c r="BV1211" i="4" s="1"/>
  <c r="BV1208" i="4"/>
  <c r="BV952" i="4"/>
  <c r="DD1109" i="4"/>
  <c r="CP950" i="4"/>
  <c r="BZ950" i="4"/>
  <c r="CW852" i="4"/>
  <c r="CG852" i="4"/>
  <c r="BQ852" i="4"/>
  <c r="CM133" i="4"/>
  <c r="N44" i="3"/>
  <c r="Z7" i="12"/>
  <c r="BY919" i="4"/>
  <c r="Y24" i="3"/>
  <c r="CZ66" i="3"/>
  <c r="AW76" i="3"/>
  <c r="BY801" i="4"/>
  <c r="CB802" i="4" s="1"/>
  <c r="AD32" i="12"/>
  <c r="CG953" i="4"/>
  <c r="CW1196" i="4"/>
  <c r="DA807" i="4"/>
  <c r="DD814" i="4" s="1"/>
  <c r="BU209" i="4"/>
  <c r="I51" i="3"/>
  <c r="CJ66" i="3"/>
  <c r="BN919" i="4"/>
  <c r="N24" i="3"/>
  <c r="CK654" i="4"/>
  <c r="BR1397" i="4"/>
  <c r="DP66" i="3"/>
  <c r="AO76" i="3"/>
  <c r="AL26" i="3"/>
  <c r="BH608" i="4"/>
  <c r="DE1108" i="4"/>
  <c r="DE1103" i="4"/>
  <c r="AJ135" i="12"/>
  <c r="FW20" i="3"/>
  <c r="U41" i="9"/>
  <c r="AA41" i="9"/>
  <c r="W41" i="9"/>
  <c r="AB58" i="9"/>
  <c r="Y41" i="9"/>
  <c r="FS20" i="3"/>
  <c r="FO20" i="3"/>
  <c r="AG135" i="12"/>
  <c r="AG146" i="12"/>
  <c r="AG148" i="12" s="1"/>
  <c r="AG149" i="12" s="1"/>
  <c r="AH146" i="12"/>
  <c r="AH148" i="12" s="1"/>
  <c r="AH149" i="12" s="1"/>
  <c r="AH135" i="12"/>
  <c r="G41" i="12"/>
  <c r="AW5" i="12"/>
  <c r="AX2" i="12"/>
  <c r="N154" i="9"/>
  <c r="N125" i="9"/>
  <c r="N126" i="9"/>
  <c r="N155" i="9" s="1"/>
  <c r="AG123" i="9"/>
  <c r="AG124" i="9" s="1"/>
  <c r="AG67" i="9"/>
  <c r="AG68" i="9" s="1"/>
  <c r="M154" i="9"/>
  <c r="M125" i="9"/>
  <c r="M126" i="9"/>
  <c r="M155" i="9" s="1"/>
  <c r="U83" i="9"/>
  <c r="U85" i="9" s="1"/>
  <c r="U66" i="9"/>
  <c r="N95" i="9"/>
  <c r="N70" i="9"/>
  <c r="N96" i="9" s="1"/>
  <c r="D156" i="9"/>
  <c r="X112" i="9"/>
  <c r="D112" i="9"/>
  <c r="Y126" i="9"/>
  <c r="O154" i="9"/>
  <c r="O125" i="9"/>
  <c r="O126" i="9"/>
  <c r="O155" i="9" s="1"/>
  <c r="H97" i="9"/>
  <c r="U123" i="9"/>
  <c r="U124" i="9" s="1"/>
  <c r="U67" i="9"/>
  <c r="U68" i="9" s="1"/>
  <c r="U122" i="9"/>
  <c r="AF97" i="9"/>
  <c r="T58" i="9"/>
  <c r="AC70" i="9"/>
  <c r="H156" i="9"/>
  <c r="Q123" i="9"/>
  <c r="Q124" i="9" s="1"/>
  <c r="Q67" i="9"/>
  <c r="Q68" i="9" s="1"/>
  <c r="Q83" i="9"/>
  <c r="Q85" i="9" s="1"/>
  <c r="Q66" i="9"/>
  <c r="AN112" i="9"/>
  <c r="H112" i="9"/>
  <c r="T112" i="9"/>
  <c r="P58" i="9"/>
  <c r="AC126" i="9"/>
  <c r="AC125" i="9"/>
  <c r="Y122" i="9"/>
  <c r="O95" i="9"/>
  <c r="O70" i="9"/>
  <c r="O96" i="9" s="1"/>
  <c r="M95" i="9"/>
  <c r="M70" i="9"/>
  <c r="M96" i="9" s="1"/>
  <c r="Q122" i="9"/>
  <c r="D97" i="9"/>
  <c r="X58" i="9"/>
  <c r="AJ58" i="9"/>
  <c r="P112" i="9"/>
  <c r="BR1001" i="4"/>
  <c r="BR1114" i="4" s="1"/>
  <c r="BZ1001" i="4"/>
  <c r="BZ1114" i="4" s="1"/>
  <c r="CD332" i="4"/>
  <c r="BV1329" i="4"/>
  <c r="BV1344" i="4"/>
  <c r="BV1345" i="4" s="1"/>
  <c r="CV1361" i="4"/>
  <c r="CV1322" i="4"/>
  <c r="CV269" i="4"/>
  <c r="CV271" i="4" s="1"/>
  <c r="BY1322" i="4"/>
  <c r="BY1361" i="4"/>
  <c r="BZ1321" i="4"/>
  <c r="BY269" i="4"/>
  <c r="CH1345" i="4"/>
  <c r="BN1329" i="4"/>
  <c r="BN1344" i="4"/>
  <c r="BN1345" i="4" s="1"/>
  <c r="BN1332" i="4"/>
  <c r="BF1329" i="4"/>
  <c r="BF1344" i="4"/>
  <c r="BF1345" i="4" s="1"/>
  <c r="BF1332" i="4"/>
  <c r="DB1352" i="4"/>
  <c r="DB1350" i="4"/>
  <c r="DC1323" i="4"/>
  <c r="CZ1326" i="4"/>
  <c r="CZ1325" i="4" s="1"/>
  <c r="CZ1353" i="4" s="1"/>
  <c r="CZ1357" i="4"/>
  <c r="CW1356" i="4"/>
  <c r="CW1357" i="4"/>
  <c r="CX1316" i="4"/>
  <c r="DC1316" i="4" s="1"/>
  <c r="CW1326" i="4"/>
  <c r="CR1322" i="4"/>
  <c r="CR1361" i="4"/>
  <c r="CR269" i="4"/>
  <c r="CR271" i="4" s="1"/>
  <c r="BQ1356" i="4"/>
  <c r="BQ1357" i="4"/>
  <c r="BR1316" i="4"/>
  <c r="BZ1408" i="4"/>
  <c r="CA1310" i="4"/>
  <c r="BZ1237" i="4"/>
  <c r="BJ1345" i="4"/>
  <c r="DL1273" i="4"/>
  <c r="DM1273" i="4" s="1"/>
  <c r="DJ1273" i="4"/>
  <c r="BZ1226" i="4"/>
  <c r="BZ1229" i="4" s="1"/>
  <c r="BZ1231" i="4" s="1"/>
  <c r="BY1356" i="4"/>
  <c r="BY1357" i="4"/>
  <c r="BZ1316" i="4"/>
  <c r="CX1251" i="4"/>
  <c r="BY1295" i="4"/>
  <c r="BZ1295" i="4" s="1"/>
  <c r="BZ1296" i="4"/>
  <c r="DJ1274" i="4"/>
  <c r="DL1274" i="4"/>
  <c r="DM1274" i="4" s="1"/>
  <c r="DI1171" i="4"/>
  <c r="CZ1037" i="4"/>
  <c r="BT1037" i="4"/>
  <c r="CT1036" i="4"/>
  <c r="CN1037" i="4"/>
  <c r="BH1037" i="4"/>
  <c r="CI1033" i="4"/>
  <c r="BR1036" i="4"/>
  <c r="CB1037" i="4"/>
  <c r="BV1036" i="4"/>
  <c r="BM1012" i="4"/>
  <c r="BM1010" i="4"/>
  <c r="CG1312" i="4"/>
  <c r="CG1157" i="4"/>
  <c r="CK1037" i="4"/>
  <c r="CL1035" i="4"/>
  <c r="DB1006" i="4"/>
  <c r="DB1008" i="4" s="1"/>
  <c r="DB468" i="4"/>
  <c r="DB399" i="4"/>
  <c r="CG1006" i="4"/>
  <c r="CG468" i="4"/>
  <c r="CG399" i="4"/>
  <c r="CG398" i="4" s="1"/>
  <c r="CG400" i="4" s="1"/>
  <c r="BP1196" i="4"/>
  <c r="DA1037" i="4"/>
  <c r="DB1035" i="4"/>
  <c r="BD1037" i="4"/>
  <c r="BX1012" i="4"/>
  <c r="BX1010" i="4"/>
  <c r="CH998" i="4"/>
  <c r="CH999" i="4" s="1"/>
  <c r="CZ976" i="4"/>
  <c r="DB976" i="4" s="1"/>
  <c r="DB973" i="4"/>
  <c r="DA1006" i="4"/>
  <c r="DA468" i="4"/>
  <c r="DA399" i="4"/>
  <c r="CV1076" i="4"/>
  <c r="CV1078" i="4" s="1"/>
  <c r="CV1070" i="4"/>
  <c r="CV1050" i="4"/>
  <c r="DL1007" i="4"/>
  <c r="DM1007" i="4" s="1"/>
  <c r="DJ1007" i="4"/>
  <c r="BX976" i="4"/>
  <c r="BZ976" i="4" s="1"/>
  <c r="BZ973" i="4"/>
  <c r="BQ924" i="4"/>
  <c r="BR922" i="4"/>
  <c r="BR923" i="4" s="1"/>
  <c r="DA866" i="4"/>
  <c r="DA863" i="4"/>
  <c r="BU866" i="4"/>
  <c r="BU863" i="4"/>
  <c r="CD780" i="4"/>
  <c r="BR1010" i="4"/>
  <c r="CZ866" i="4"/>
  <c r="CZ863" i="4"/>
  <c r="BT866" i="4"/>
  <c r="CR671" i="4"/>
  <c r="CR675" i="4"/>
  <c r="BX866" i="4"/>
  <c r="BV801" i="4"/>
  <c r="BT803" i="4"/>
  <c r="BT802" i="4"/>
  <c r="CR863" i="4"/>
  <c r="CR866" i="4"/>
  <c r="CF843" i="4"/>
  <c r="CF844" i="4" s="1"/>
  <c r="BR825" i="4"/>
  <c r="CV807" i="4"/>
  <c r="BP691" i="4"/>
  <c r="CZ671" i="4"/>
  <c r="CZ677" i="4" s="1"/>
  <c r="CZ675" i="4"/>
  <c r="CV509" i="4"/>
  <c r="CV494" i="4"/>
  <c r="CV514" i="4"/>
  <c r="CV490" i="4"/>
  <c r="CV566" i="4"/>
  <c r="CW863" i="4"/>
  <c r="CW866" i="4"/>
  <c r="BJ829" i="4"/>
  <c r="BO829" i="4" s="1"/>
  <c r="BH825" i="4"/>
  <c r="BI830" i="4"/>
  <c r="CU778" i="4"/>
  <c r="CT810" i="4"/>
  <c r="BP816" i="4"/>
  <c r="BP807" i="4"/>
  <c r="CR739" i="4"/>
  <c r="CR737" i="4"/>
  <c r="CR733" i="4"/>
  <c r="CR736" i="4" s="1"/>
  <c r="BU675" i="4"/>
  <c r="BU671" i="4"/>
  <c r="CW556" i="4"/>
  <c r="CW557" i="4" s="1"/>
  <c r="CX557" i="4" s="1"/>
  <c r="CK844" i="4"/>
  <c r="CX793" i="4"/>
  <c r="CZ816" i="4"/>
  <c r="CZ807" i="4"/>
  <c r="BU807" i="4"/>
  <c r="BU816" i="4"/>
  <c r="DA770" i="4"/>
  <c r="BU684" i="4"/>
  <c r="BX693" i="4"/>
  <c r="BU693" i="4"/>
  <c r="BP690" i="4"/>
  <c r="BP681" i="4"/>
  <c r="CV671" i="4"/>
  <c r="CW677" i="4" s="1"/>
  <c r="CV675" i="4"/>
  <c r="DB629" i="4"/>
  <c r="DA634" i="4"/>
  <c r="CX509" i="4"/>
  <c r="CX566" i="4"/>
  <c r="CY488" i="4"/>
  <c r="CX514" i="4"/>
  <c r="CX490" i="4"/>
  <c r="DC488" i="4"/>
  <c r="CL843" i="4"/>
  <c r="BY812" i="4"/>
  <c r="CB812" i="4"/>
  <c r="CP734" i="4"/>
  <c r="CP686" i="4"/>
  <c r="BR593" i="4"/>
  <c r="CT733" i="4"/>
  <c r="CT736" i="4" s="1"/>
  <c r="CT737" i="4"/>
  <c r="BM1407" i="4"/>
  <c r="BM513" i="4"/>
  <c r="BM500" i="4"/>
  <c r="BM503" i="4" s="1"/>
  <c r="BM533" i="4"/>
  <c r="BM515" i="4"/>
  <c r="BM512" i="4"/>
  <c r="BH1407" i="4"/>
  <c r="BH513" i="4"/>
  <c r="BH500" i="4"/>
  <c r="BH515" i="4"/>
  <c r="BH512" i="4"/>
  <c r="CV511" i="4"/>
  <c r="BX789" i="4"/>
  <c r="BX787" i="4"/>
  <c r="BX770" i="4"/>
  <c r="BX774" i="4"/>
  <c r="DM585" i="4"/>
  <c r="DL584" i="4"/>
  <c r="BZ468" i="4"/>
  <c r="CZ787" i="4"/>
  <c r="CZ774" i="4"/>
  <c r="CZ770" i="4"/>
  <c r="DD773" i="4" s="1"/>
  <c r="CU776" i="4"/>
  <c r="CJ693" i="4"/>
  <c r="CJ684" i="4"/>
  <c r="CK693" i="4"/>
  <c r="BV669" i="4"/>
  <c r="BV671" i="4" s="1"/>
  <c r="AB48" i="12" s="1"/>
  <c r="BV683" i="4"/>
  <c r="DB556" i="4"/>
  <c r="CO1407" i="4"/>
  <c r="CO533" i="4"/>
  <c r="CO512" i="4"/>
  <c r="CO500" i="4"/>
  <c r="CO503" i="4" s="1"/>
  <c r="CO515" i="4"/>
  <c r="CO513" i="4"/>
  <c r="CC1407" i="4"/>
  <c r="CC513" i="4"/>
  <c r="CC533" i="4"/>
  <c r="CC512" i="4"/>
  <c r="CC500" i="4"/>
  <c r="CC503" i="4" s="1"/>
  <c r="BY1407" i="4"/>
  <c r="BY533" i="4"/>
  <c r="BY512" i="4"/>
  <c r="BY500" i="4"/>
  <c r="BY503" i="4" s="1"/>
  <c r="BY515" i="4"/>
  <c r="BY513" i="4"/>
  <c r="BJ1407" i="4"/>
  <c r="Y44" i="12" s="1"/>
  <c r="BJ515" i="4"/>
  <c r="BJ513" i="4"/>
  <c r="BJ512" i="4"/>
  <c r="DA440" i="4"/>
  <c r="BL1400" i="4"/>
  <c r="BN401" i="4"/>
  <c r="BN1400" i="4" s="1"/>
  <c r="BL408" i="4"/>
  <c r="BL443" i="4"/>
  <c r="BL382" i="4"/>
  <c r="BL404" i="4"/>
  <c r="BY461" i="4"/>
  <c r="CX203" i="4"/>
  <c r="DC203" i="4" s="1"/>
  <c r="CX207" i="4"/>
  <c r="CY201" i="4"/>
  <c r="CN1059" i="4"/>
  <c r="CN868" i="4"/>
  <c r="CN876" i="4" s="1"/>
  <c r="CN521" i="4"/>
  <c r="CN281" i="4"/>
  <c r="DB71" i="3" s="1"/>
  <c r="CN193" i="4"/>
  <c r="CN279" i="4"/>
  <c r="CN208" i="4"/>
  <c r="BX1059" i="4"/>
  <c r="BX868" i="4"/>
  <c r="BX876" i="4" s="1"/>
  <c r="BX521" i="4"/>
  <c r="BX281" i="4"/>
  <c r="CL71" i="3" s="1"/>
  <c r="BX193" i="4"/>
  <c r="BX279" i="4"/>
  <c r="BX208" i="4"/>
  <c r="CK141" i="4"/>
  <c r="CL136" i="4"/>
  <c r="CK135" i="4"/>
  <c r="CN141" i="4"/>
  <c r="CB1395" i="4"/>
  <c r="CB507" i="4"/>
  <c r="CV1400" i="4"/>
  <c r="CX401" i="4"/>
  <c r="CX1400" i="4" s="1"/>
  <c r="BQ469" i="4"/>
  <c r="BR391" i="4"/>
  <c r="BJ465" i="4"/>
  <c r="BJ409" i="4"/>
  <c r="BJ407" i="4"/>
  <c r="CI383" i="4"/>
  <c r="CZ443" i="4"/>
  <c r="CZ404" i="4"/>
  <c r="CZ408" i="4"/>
  <c r="CZ382" i="4"/>
  <c r="BX408" i="4"/>
  <c r="BX404" i="4"/>
  <c r="BX382" i="4"/>
  <c r="BX443" i="4"/>
  <c r="BX444" i="4" s="1"/>
  <c r="BQ369" i="4"/>
  <c r="CT368" i="4"/>
  <c r="CT366" i="4"/>
  <c r="CK375" i="4"/>
  <c r="CK369" i="4"/>
  <c r="CS333" i="4"/>
  <c r="CS331" i="4"/>
  <c r="CS327" i="4"/>
  <c r="CS328" i="4"/>
  <c r="BM331" i="4"/>
  <c r="BM327" i="4"/>
  <c r="BM333" i="4"/>
  <c r="BM328" i="4"/>
  <c r="BV1242" i="4"/>
  <c r="BV1246" i="4" s="1"/>
  <c r="CM185" i="4"/>
  <c r="CL380" i="4"/>
  <c r="CL187" i="4"/>
  <c r="CF1355" i="4"/>
  <c r="CF1358" i="4" s="1"/>
  <c r="CF528" i="4"/>
  <c r="CF529" i="4" s="1"/>
  <c r="CF280" i="4"/>
  <c r="CF190" i="4"/>
  <c r="DB136" i="4"/>
  <c r="DG136" i="4" s="1"/>
  <c r="DA141" i="4"/>
  <c r="DA135" i="4"/>
  <c r="DD140" i="4" s="1"/>
  <c r="CJ141" i="4"/>
  <c r="CJ135" i="4"/>
  <c r="DI436" i="4"/>
  <c r="DM434" i="4"/>
  <c r="BY407" i="4"/>
  <c r="BY395" i="4"/>
  <c r="BY465" i="4"/>
  <c r="BY409" i="4"/>
  <c r="BZ389" i="4"/>
  <c r="BY375" i="4"/>
  <c r="CS332" i="4"/>
  <c r="CV339" i="4" s="1"/>
  <c r="CB331" i="4"/>
  <c r="CB332" i="4"/>
  <c r="CC339" i="4" s="1"/>
  <c r="CB327" i="4"/>
  <c r="CB333" i="4"/>
  <c r="CB328" i="4"/>
  <c r="CN465" i="4"/>
  <c r="CN407" i="4"/>
  <c r="CN409" i="4"/>
  <c r="CN395" i="4"/>
  <c r="BH465" i="4"/>
  <c r="BH444" i="4"/>
  <c r="BH407" i="4"/>
  <c r="BH409" i="4"/>
  <c r="BH395" i="4"/>
  <c r="CR408" i="4"/>
  <c r="CR443" i="4"/>
  <c r="CR404" i="4"/>
  <c r="CR382" i="4"/>
  <c r="BU461" i="4"/>
  <c r="CX366" i="4"/>
  <c r="BY327" i="4"/>
  <c r="BY333" i="4"/>
  <c r="BY328" i="4"/>
  <c r="BY331" i="4"/>
  <c r="DC298" i="4"/>
  <c r="CM298" i="4"/>
  <c r="CL1242" i="4"/>
  <c r="CL1246" i="4" s="1"/>
  <c r="CB209" i="4"/>
  <c r="BH868" i="4"/>
  <c r="BH876" i="4" s="1"/>
  <c r="BH521" i="4"/>
  <c r="BH281" i="4"/>
  <c r="BV71" i="3" s="1"/>
  <c r="BH279" i="4"/>
  <c r="BH208" i="4"/>
  <c r="CO180" i="4"/>
  <c r="CP176" i="4"/>
  <c r="CZ159" i="4"/>
  <c r="CZ154" i="4"/>
  <c r="BQ159" i="4"/>
  <c r="BR155" i="4"/>
  <c r="V76" i="3" s="1"/>
  <c r="BQ154" i="4"/>
  <c r="BI157" i="4"/>
  <c r="BJ153" i="4"/>
  <c r="BJ154" i="4" s="1"/>
  <c r="CX184" i="4"/>
  <c r="CY123" i="4"/>
  <c r="CZ409" i="4"/>
  <c r="BZ461" i="4"/>
  <c r="CI381" i="4"/>
  <c r="BL282" i="4"/>
  <c r="BZ67" i="3" s="1"/>
  <c r="CD865" i="4"/>
  <c r="CD267" i="4"/>
  <c r="BL259" i="4"/>
  <c r="CS408" i="4"/>
  <c r="CS404" i="4"/>
  <c r="CS443" i="4"/>
  <c r="CS444" i="4" s="1"/>
  <c r="CS382" i="4"/>
  <c r="BH445" i="4"/>
  <c r="BH482" i="4"/>
  <c r="BV57" i="3" s="1"/>
  <c r="BH448" i="4"/>
  <c r="BH446" i="4"/>
  <c r="BH447" i="4"/>
  <c r="CY176" i="4"/>
  <c r="CX175" i="4"/>
  <c r="CY175" i="4" s="1"/>
  <c r="CO157" i="4"/>
  <c r="CV328" i="4"/>
  <c r="CV333" i="4"/>
  <c r="CV331" i="4"/>
  <c r="CV327" i="4"/>
  <c r="CF159" i="4"/>
  <c r="CF154" i="4"/>
  <c r="CG159" i="4"/>
  <c r="BX331" i="4"/>
  <c r="BX327" i="4"/>
  <c r="BX333" i="4"/>
  <c r="BX328" i="4"/>
  <c r="BH331" i="4"/>
  <c r="BH327" i="4"/>
  <c r="BH333" i="4"/>
  <c r="BH328" i="4"/>
  <c r="CR1355" i="4"/>
  <c r="CR1356" i="4" s="1"/>
  <c r="CR528" i="4"/>
  <c r="CS529" i="4" s="1"/>
  <c r="CR190" i="4"/>
  <c r="CR280" i="4"/>
  <c r="CR842" i="4"/>
  <c r="CR110" i="4"/>
  <c r="CB90" i="4"/>
  <c r="CB81" i="4"/>
  <c r="CT864" i="4"/>
  <c r="CH793" i="4"/>
  <c r="CR545" i="4"/>
  <c r="CR74" i="4"/>
  <c r="CR31" i="4"/>
  <c r="BX545" i="4"/>
  <c r="BX74" i="4"/>
  <c r="BX31" i="4"/>
  <c r="CF612" i="4"/>
  <c r="CF48" i="4"/>
  <c r="CF24" i="4"/>
  <c r="CH24" i="4" s="1"/>
  <c r="CF19" i="4"/>
  <c r="CH609" i="4"/>
  <c r="CH18" i="4"/>
  <c r="BQ609" i="4"/>
  <c r="BQ17" i="4"/>
  <c r="BQ18" i="4" s="1"/>
  <c r="BU48" i="4" s="1"/>
  <c r="BR15" i="4"/>
  <c r="BV461" i="4"/>
  <c r="BZ865" i="4"/>
  <c r="BZ267" i="4"/>
  <c r="CD1242" i="4"/>
  <c r="CK209" i="4"/>
  <c r="DC201" i="4"/>
  <c r="BT526" i="4"/>
  <c r="BV524" i="4"/>
  <c r="BV526" i="4" s="1"/>
  <c r="DA90" i="4"/>
  <c r="DA81" i="4"/>
  <c r="BJ864" i="4"/>
  <c r="CW55" i="4"/>
  <c r="CS55" i="4"/>
  <c r="CS83" i="4"/>
  <c r="BV30" i="4"/>
  <c r="CO612" i="4"/>
  <c r="CR619" i="4" s="1"/>
  <c r="CO19" i="4"/>
  <c r="CO48" i="4"/>
  <c r="CO24" i="4"/>
  <c r="CD639" i="4"/>
  <c r="CN831" i="4"/>
  <c r="CP829" i="4"/>
  <c r="CN825" i="4"/>
  <c r="DB648" i="4"/>
  <c r="DB639" i="4"/>
  <c r="DC640" i="4"/>
  <c r="CV899" i="4"/>
  <c r="CV897" i="4"/>
  <c r="CV896" i="4"/>
  <c r="CV461" i="4"/>
  <c r="BQ395" i="4"/>
  <c r="BH332" i="4"/>
  <c r="CP1242" i="4"/>
  <c r="CP1246" i="4" s="1"/>
  <c r="CC852" i="4"/>
  <c r="CC262" i="4"/>
  <c r="CC259" i="4" s="1"/>
  <c r="CC287" i="4"/>
  <c r="CC288" i="4" s="1"/>
  <c r="CM203" i="4"/>
  <c r="BL207" i="4"/>
  <c r="DC174" i="4"/>
  <c r="CY155" i="4"/>
  <c r="BN154" i="4"/>
  <c r="BL157" i="4"/>
  <c r="CZ81" i="4"/>
  <c r="CZ90" i="4"/>
  <c r="DD92" i="4" s="1"/>
  <c r="CP883" i="4"/>
  <c r="CP59" i="4"/>
  <c r="CF55" i="4"/>
  <c r="CF83" i="4"/>
  <c r="CF831" i="4"/>
  <c r="CF825" i="4"/>
  <c r="BV793" i="4"/>
  <c r="CF53" i="4"/>
  <c r="CN612" i="4"/>
  <c r="CN19" i="4"/>
  <c r="CN48" i="4"/>
  <c r="CN24" i="4"/>
  <c r="BM612" i="4"/>
  <c r="BM19" i="4"/>
  <c r="BM48" i="4"/>
  <c r="BM24" i="4"/>
  <c r="BJ609" i="4"/>
  <c r="BJ18" i="4"/>
  <c r="CB282" i="4"/>
  <c r="CP67" i="3" s="1"/>
  <c r="CS209" i="4"/>
  <c r="CV179" i="4"/>
  <c r="BY154" i="4"/>
  <c r="CQ145" i="4"/>
  <c r="DC183" i="4"/>
  <c r="BV184" i="4"/>
  <c r="BW123" i="4"/>
  <c r="CN842" i="4"/>
  <c r="CN110" i="4"/>
  <c r="CX864" i="4"/>
  <c r="CX259" i="4"/>
  <c r="CW209" i="4"/>
  <c r="CN98" i="4"/>
  <c r="CH30" i="4"/>
  <c r="DB1347" i="4"/>
  <c r="CH1229" i="4"/>
  <c r="CH1231" i="4" s="1"/>
  <c r="CX1211" i="4"/>
  <c r="CC1295" i="4"/>
  <c r="CD1295" i="4" s="1"/>
  <c r="CD1296" i="4"/>
  <c r="CU1135" i="4"/>
  <c r="DL1183" i="4"/>
  <c r="DM1183" i="4" s="1"/>
  <c r="DJ1183" i="4"/>
  <c r="DI1079" i="4"/>
  <c r="CO1037" i="4"/>
  <c r="CP1035" i="4"/>
  <c r="BI1037" i="4"/>
  <c r="BJ1035" i="4"/>
  <c r="CD1036" i="4"/>
  <c r="CD1035" i="4"/>
  <c r="CC1037" i="4"/>
  <c r="CX1035" i="4"/>
  <c r="CW1037" i="4"/>
  <c r="BR1035" i="4"/>
  <c r="BQ1037" i="4"/>
  <c r="BU1037" i="4"/>
  <c r="BV1035" i="4"/>
  <c r="BV1010" i="4"/>
  <c r="BL1012" i="4"/>
  <c r="BL1010" i="4"/>
  <c r="BP1037" i="4"/>
  <c r="CJ1109" i="4"/>
  <c r="CJ1110" i="4" s="1"/>
  <c r="CT950" i="4"/>
  <c r="CW1006" i="4"/>
  <c r="CW468" i="4"/>
  <c r="CW399" i="4"/>
  <c r="CB1006" i="4"/>
  <c r="CB468" i="4"/>
  <c r="CB399" i="4"/>
  <c r="BU1012" i="4"/>
  <c r="BU1010" i="4"/>
  <c r="BJ1181" i="4"/>
  <c r="BJ1008" i="4"/>
  <c r="BJ947" i="4"/>
  <c r="CF1037" i="4"/>
  <c r="CJ976" i="4"/>
  <c r="CL976" i="4" s="1"/>
  <c r="CL973" i="4"/>
  <c r="DA1109" i="4"/>
  <c r="DA956" i="4"/>
  <c r="CV1006" i="4"/>
  <c r="CV468" i="4"/>
  <c r="CV399" i="4"/>
  <c r="BT1010" i="4"/>
  <c r="BT1012" i="4"/>
  <c r="DI915" i="4"/>
  <c r="CF866" i="4"/>
  <c r="CF863" i="4"/>
  <c r="CP858" i="4"/>
  <c r="CP860" i="4" s="1"/>
  <c r="CP862" i="4" s="1"/>
  <c r="CN860" i="4"/>
  <c r="CN862" i="4" s="1"/>
  <c r="BY866" i="4"/>
  <c r="BY863" i="4"/>
  <c r="BQ671" i="4"/>
  <c r="BQ675" i="4"/>
  <c r="CC866" i="4"/>
  <c r="CC863" i="4"/>
  <c r="CB774" i="4"/>
  <c r="CB770" i="4"/>
  <c r="CB787" i="4"/>
  <c r="CC787" i="4"/>
  <c r="CC770" i="4"/>
  <c r="CC774" i="4"/>
  <c r="CS675" i="4"/>
  <c r="CS671" i="4"/>
  <c r="CD669" i="4"/>
  <c r="CD671" i="4" s="1"/>
  <c r="CD683" i="4"/>
  <c r="CR494" i="4"/>
  <c r="CR566" i="4"/>
  <c r="CR511" i="4"/>
  <c r="CR509" i="4"/>
  <c r="CR490" i="4"/>
  <c r="CR816" i="4"/>
  <c r="CR807" i="4"/>
  <c r="CR693" i="4"/>
  <c r="CR684" i="4"/>
  <c r="CS693" i="4"/>
  <c r="BX688" i="4"/>
  <c r="CG556" i="4"/>
  <c r="CG557" i="4" s="1"/>
  <c r="CH557" i="4" s="1"/>
  <c r="BZ843" i="4"/>
  <c r="BZ844" i="4" s="1"/>
  <c r="CO671" i="4"/>
  <c r="CO677" i="4" s="1"/>
  <c r="CO675" i="4"/>
  <c r="BY693" i="4"/>
  <c r="BY684" i="4"/>
  <c r="DI584" i="4"/>
  <c r="CT566" i="4"/>
  <c r="CT511" i="4"/>
  <c r="CT490" i="4"/>
  <c r="CU488" i="4"/>
  <c r="CT509" i="4"/>
  <c r="DA675" i="4"/>
  <c r="DA671" i="4"/>
  <c r="DD677" i="4" s="1"/>
  <c r="BQ693" i="4"/>
  <c r="BQ684" i="4"/>
  <c r="BT691" i="4" s="1"/>
  <c r="CN1407" i="4"/>
  <c r="CN513" i="4"/>
  <c r="CN512" i="4"/>
  <c r="CN533" i="4"/>
  <c r="CN500" i="4"/>
  <c r="CN503" i="4" s="1"/>
  <c r="BL704" i="4"/>
  <c r="CK690" i="4"/>
  <c r="CK681" i="4"/>
  <c r="CL1407" i="4"/>
  <c r="CL500" i="4"/>
  <c r="CL503" i="4" s="1"/>
  <c r="CM490" i="4"/>
  <c r="CL512" i="4"/>
  <c r="CL513" i="4"/>
  <c r="BX803" i="4"/>
  <c r="BX802" i="4"/>
  <c r="CB803" i="4"/>
  <c r="DL628" i="4"/>
  <c r="DM628" i="4" s="1"/>
  <c r="DJ628" i="4"/>
  <c r="BZ1010" i="4"/>
  <c r="DC776" i="4"/>
  <c r="CL686" i="4"/>
  <c r="CL734" i="4"/>
  <c r="CJ739" i="4"/>
  <c r="CH1407" i="4"/>
  <c r="AE44" i="12" s="1"/>
  <c r="AE65" i="12" s="1"/>
  <c r="CH513" i="4"/>
  <c r="CI490" i="4"/>
  <c r="CH500" i="4"/>
  <c r="CH503" i="4" s="1"/>
  <c r="CH512" i="4"/>
  <c r="BU1407" i="4"/>
  <c r="BU515" i="4"/>
  <c r="BU533" i="4"/>
  <c r="BU513" i="4"/>
  <c r="BU500" i="4"/>
  <c r="BU503" i="4" s="1"/>
  <c r="BU512" i="4"/>
  <c r="CV443" i="4"/>
  <c r="CV404" i="4"/>
  <c r="CV382" i="4"/>
  <c r="CV408" i="4"/>
  <c r="CH1242" i="4"/>
  <c r="CH1246" i="4" s="1"/>
  <c r="CZ1059" i="4"/>
  <c r="CZ868" i="4"/>
  <c r="CZ876" i="4" s="1"/>
  <c r="CZ521" i="4"/>
  <c r="CZ208" i="4"/>
  <c r="CZ282" i="4"/>
  <c r="DN67" i="3" s="1"/>
  <c r="CZ281" i="4"/>
  <c r="DN71" i="3" s="1"/>
  <c r="CZ193" i="4"/>
  <c r="CZ207" i="4"/>
  <c r="CJ1059" i="4"/>
  <c r="CJ868" i="4"/>
  <c r="CJ876" i="4" s="1"/>
  <c r="CJ521" i="4"/>
  <c r="CJ208" i="4"/>
  <c r="CJ282" i="4"/>
  <c r="CX67" i="3" s="1"/>
  <c r="CJ281" i="4"/>
  <c r="CX71" i="3" s="1"/>
  <c r="CJ207" i="4"/>
  <c r="CJ193" i="4"/>
  <c r="BP868" i="4"/>
  <c r="BP876" i="4" s="1"/>
  <c r="BP521" i="4"/>
  <c r="BP208" i="4"/>
  <c r="BP193" i="4"/>
  <c r="BP281" i="4"/>
  <c r="CD71" i="3" s="1"/>
  <c r="CJ443" i="4"/>
  <c r="CJ404" i="4"/>
  <c r="CJ408" i="4"/>
  <c r="CJ382" i="4"/>
  <c r="BP443" i="4"/>
  <c r="BP404" i="4"/>
  <c r="BP408" i="4"/>
  <c r="BP382" i="4"/>
  <c r="CD368" i="4"/>
  <c r="CD366" i="4"/>
  <c r="BU375" i="4"/>
  <c r="BU369" i="4"/>
  <c r="CK333" i="4"/>
  <c r="CK331" i="4"/>
  <c r="CK327" i="4"/>
  <c r="CK328" i="4"/>
  <c r="CE185" i="4"/>
  <c r="CD380" i="4"/>
  <c r="CD187" i="4"/>
  <c r="CX136" i="4"/>
  <c r="CW141" i="4"/>
  <c r="CW135" i="4"/>
  <c r="CZ140" i="4" s="1"/>
  <c r="DJ463" i="4"/>
  <c r="DL463" i="4"/>
  <c r="DM463" i="4" s="1"/>
  <c r="CZ899" i="4"/>
  <c r="CZ897" i="4"/>
  <c r="CZ896" i="4"/>
  <c r="CZ461" i="4"/>
  <c r="CO899" i="4"/>
  <c r="CO897" i="4"/>
  <c r="CO896" i="4"/>
  <c r="CO461" i="4"/>
  <c r="BJ395" i="4"/>
  <c r="CZ328" i="4"/>
  <c r="CZ333" i="4"/>
  <c r="CZ331" i="4"/>
  <c r="CZ327" i="4"/>
  <c r="BT327" i="4"/>
  <c r="BT333" i="4"/>
  <c r="BT328" i="4"/>
  <c r="BT331" i="4"/>
  <c r="CD1407" i="4"/>
  <c r="AD44" i="12" s="1"/>
  <c r="AD65" i="12" s="1"/>
  <c r="CD512" i="4"/>
  <c r="CE490" i="4"/>
  <c r="CD500" i="4"/>
  <c r="CD503" i="4" s="1"/>
  <c r="CD513" i="4"/>
  <c r="CC465" i="4"/>
  <c r="CC407" i="4"/>
  <c r="CC409" i="4"/>
  <c r="CC395" i="4"/>
  <c r="CD389" i="4"/>
  <c r="BM408" i="4"/>
  <c r="BM443" i="4"/>
  <c r="BM444" i="4" s="1"/>
  <c r="BM404" i="4"/>
  <c r="BM382" i="4"/>
  <c r="BX375" i="4"/>
  <c r="CW333" i="4"/>
  <c r="CW331" i="4"/>
  <c r="CW332" i="4"/>
  <c r="CW327" i="4"/>
  <c r="CW328" i="4"/>
  <c r="BQ331" i="4"/>
  <c r="BQ332" i="4"/>
  <c r="BQ327" i="4"/>
  <c r="BQ333" i="4"/>
  <c r="BQ328" i="4"/>
  <c r="CZ526" i="4"/>
  <c r="DB524" i="4"/>
  <c r="DB526" i="4" s="1"/>
  <c r="BY180" i="4"/>
  <c r="BZ176" i="4"/>
  <c r="BZ175" i="4" s="1"/>
  <c r="CR159" i="4"/>
  <c r="CR154" i="4"/>
  <c r="CS158" i="4" s="1"/>
  <c r="BL159" i="4"/>
  <c r="BL154" i="4"/>
  <c r="CG141" i="4"/>
  <c r="CG135" i="4"/>
  <c r="CH136" i="4"/>
  <c r="CP184" i="4"/>
  <c r="CQ123" i="4"/>
  <c r="DB401" i="4"/>
  <c r="DB1400" i="4" s="1"/>
  <c r="CZ279" i="4"/>
  <c r="CJ209" i="4"/>
  <c r="DA443" i="4"/>
  <c r="DA404" i="4"/>
  <c r="DA382" i="4"/>
  <c r="DA408" i="4"/>
  <c r="CK443" i="4"/>
  <c r="CK404" i="4"/>
  <c r="CK382" i="4"/>
  <c r="CK408" i="4"/>
  <c r="CC408" i="4"/>
  <c r="CC382" i="4"/>
  <c r="CC443" i="4"/>
  <c r="CC444" i="4" s="1"/>
  <c r="CC404" i="4"/>
  <c r="BN380" i="4"/>
  <c r="BN187" i="4"/>
  <c r="CO179" i="4"/>
  <c r="CN159" i="4"/>
  <c r="CN154" i="4"/>
  <c r="BP159" i="4"/>
  <c r="BP154" i="4"/>
  <c r="CH408" i="4"/>
  <c r="CH443" i="4"/>
  <c r="CH444" i="4" s="1"/>
  <c r="CH404" i="4"/>
  <c r="CH382" i="4"/>
  <c r="CG1355" i="4"/>
  <c r="CG1333" i="4" s="1"/>
  <c r="CG528" i="4"/>
  <c r="CG190" i="4"/>
  <c r="CG280" i="4"/>
  <c r="BO30" i="4"/>
  <c r="BI83" i="4"/>
  <c r="CR830" i="4"/>
  <c r="CR825" i="4"/>
  <c r="DA612" i="4"/>
  <c r="DD619" i="4" s="1"/>
  <c r="DA48" i="4"/>
  <c r="DA24" i="4"/>
  <c r="DA19" i="4"/>
  <c r="DE49" i="4" s="1"/>
  <c r="BZ612" i="4"/>
  <c r="BZ19" i="4"/>
  <c r="BT611" i="4"/>
  <c r="BT18" i="4"/>
  <c r="BV17" i="4"/>
  <c r="BV18" i="4" s="1"/>
  <c r="CH648" i="4"/>
  <c r="CH639" i="4"/>
  <c r="BN563" i="4"/>
  <c r="CH332" i="4"/>
  <c r="CJ279" i="4"/>
  <c r="CX852" i="4"/>
  <c r="CN207" i="4"/>
  <c r="BR209" i="4"/>
  <c r="CD184" i="4"/>
  <c r="CE123" i="4"/>
  <c r="DA842" i="4"/>
  <c r="DA110" i="4"/>
  <c r="DA111" i="4" s="1"/>
  <c r="DE112" i="4" s="1"/>
  <c r="BZ864" i="4"/>
  <c r="BY83" i="4"/>
  <c r="BH83" i="4"/>
  <c r="CF816" i="4"/>
  <c r="CF807" i="4"/>
  <c r="CJ803" i="4"/>
  <c r="CJ612" i="4"/>
  <c r="CJ19" i="4"/>
  <c r="CJ48" i="4"/>
  <c r="CJ24" i="4"/>
  <c r="BI612" i="4"/>
  <c r="BI19" i="4"/>
  <c r="BI24" i="4"/>
  <c r="DB609" i="4"/>
  <c r="DG609" i="4" s="1"/>
  <c r="DB18" i="4"/>
  <c r="DF48" i="4" s="1"/>
  <c r="CP565" i="4"/>
  <c r="CP47" i="4"/>
  <c r="CT47" i="4"/>
  <c r="CP12" i="4"/>
  <c r="BJ563" i="4"/>
  <c r="CS842" i="4"/>
  <c r="CS110" i="4"/>
  <c r="CS98" i="4"/>
  <c r="BV401" i="4"/>
  <c r="BV1400" i="4" s="1"/>
  <c r="DA409" i="4"/>
  <c r="CH465" i="4"/>
  <c r="CH407" i="4"/>
  <c r="CH409" i="4"/>
  <c r="CF375" i="4"/>
  <c r="BR366" i="4"/>
  <c r="CD477" i="4"/>
  <c r="BH282" i="4"/>
  <c r="BV67" i="3" s="1"/>
  <c r="CZ209" i="4"/>
  <c r="CX1059" i="4"/>
  <c r="CX868" i="4"/>
  <c r="CX876" i="4" s="1"/>
  <c r="CW408" i="4"/>
  <c r="CW443" i="4"/>
  <c r="CW404" i="4"/>
  <c r="CW382" i="4"/>
  <c r="CO443" i="4"/>
  <c r="CO404" i="4"/>
  <c r="CO408" i="4"/>
  <c r="CO382" i="4"/>
  <c r="CG408" i="4"/>
  <c r="CG443" i="4"/>
  <c r="CG382" i="4"/>
  <c r="CG404" i="4"/>
  <c r="BY443" i="4"/>
  <c r="BY444" i="4" s="1"/>
  <c r="BY404" i="4"/>
  <c r="BY408" i="4"/>
  <c r="BY382" i="4"/>
  <c r="BM159" i="4"/>
  <c r="CO1355" i="4"/>
  <c r="CO1333" i="4" s="1"/>
  <c r="CO528" i="4"/>
  <c r="CO529" i="4" s="1"/>
  <c r="CO280" i="4"/>
  <c r="CO190" i="4"/>
  <c r="BM1355" i="4"/>
  <c r="BM1333" i="4" s="1"/>
  <c r="BM280" i="4"/>
  <c r="BM190" i="4"/>
  <c r="CD554" i="4"/>
  <c r="CD555" i="4" s="1"/>
  <c r="CD77" i="4"/>
  <c r="CM245" i="4"/>
  <c r="BV864" i="4"/>
  <c r="CR83" i="4"/>
  <c r="CR55" i="4"/>
  <c r="BL83" i="4"/>
  <c r="BL55" i="4"/>
  <c r="CJ831" i="4"/>
  <c r="CJ825" i="4"/>
  <c r="BN801" i="4"/>
  <c r="CC612" i="4"/>
  <c r="CC19" i="4"/>
  <c r="CC48" i="4"/>
  <c r="CC24" i="4"/>
  <c r="BH612" i="4"/>
  <c r="BH19" i="4"/>
  <c r="BH24" i="4"/>
  <c r="BM332" i="4"/>
  <c r="BZ852" i="4"/>
  <c r="BJ203" i="4"/>
  <c r="CT518" i="4"/>
  <c r="CT519" i="4" s="1"/>
  <c r="CR518" i="4"/>
  <c r="CR519" i="4" s="1"/>
  <c r="BN518" i="4"/>
  <c r="BN519" i="4" s="1"/>
  <c r="BL518" i="4"/>
  <c r="BL519" i="4" s="1"/>
  <c r="BY179" i="4"/>
  <c r="CZ180" i="4"/>
  <c r="DA180" i="4"/>
  <c r="CJ178" i="4"/>
  <c r="CK178" i="4"/>
  <c r="BT178" i="4"/>
  <c r="CL184" i="4"/>
  <c r="CM123" i="4"/>
  <c r="CF693" i="4"/>
  <c r="CC90" i="4"/>
  <c r="BM55" i="4"/>
  <c r="CK179" i="4"/>
  <c r="CC98" i="4"/>
  <c r="CO1361" i="4"/>
  <c r="CO1322" i="4"/>
  <c r="CP1321" i="4"/>
  <c r="CO269" i="4"/>
  <c r="CL1357" i="4"/>
  <c r="CO1325" i="4"/>
  <c r="CW1322" i="4"/>
  <c r="CW1361" i="4"/>
  <c r="CX1321" i="4"/>
  <c r="CW269" i="4"/>
  <c r="BR1408" i="4"/>
  <c r="BS1310" i="4"/>
  <c r="CG39" i="3" s="1"/>
  <c r="BR1237" i="4"/>
  <c r="BS1228" i="4"/>
  <c r="BJ1316" i="4"/>
  <c r="BI1357" i="4"/>
  <c r="CN1357" i="4"/>
  <c r="CN1326" i="4"/>
  <c r="CN1325" i="4" s="1"/>
  <c r="CN1353" i="4" s="1"/>
  <c r="DB1226" i="4"/>
  <c r="BT1356" i="4"/>
  <c r="BT1357" i="4"/>
  <c r="DL1278" i="4"/>
  <c r="DM1278" i="4" s="1"/>
  <c r="DJ1278" i="4"/>
  <c r="CT1225" i="4"/>
  <c r="CR1226" i="4"/>
  <c r="CR1341" i="4"/>
  <c r="CR1337" i="4"/>
  <c r="CR1342" i="4" s="1"/>
  <c r="CP1332" i="4"/>
  <c r="AG17" i="12" s="1"/>
  <c r="CP1344" i="4"/>
  <c r="CP1345" i="4" s="1"/>
  <c r="CP1329" i="4"/>
  <c r="CT1350" i="4"/>
  <c r="CT1352" i="4"/>
  <c r="CU1323" i="4"/>
  <c r="CJ1361" i="4"/>
  <c r="CJ1322" i="4"/>
  <c r="CJ269" i="4"/>
  <c r="CJ271" i="4" s="1"/>
  <c r="DB1357" i="4"/>
  <c r="CS1325" i="4"/>
  <c r="CT1326" i="4"/>
  <c r="CD1329" i="4"/>
  <c r="CD1344" i="4"/>
  <c r="CD1345" i="4" s="1"/>
  <c r="BL1361" i="4"/>
  <c r="BL1322" i="4"/>
  <c r="BL269" i="4"/>
  <c r="BL271" i="4" s="1"/>
  <c r="BX1357" i="4"/>
  <c r="CV1357" i="4"/>
  <c r="CV1326" i="4"/>
  <c r="CV1325" i="4" s="1"/>
  <c r="CV1353" i="4" s="1"/>
  <c r="CP1408" i="4"/>
  <c r="CQ1310" i="4"/>
  <c r="CQ1228" i="4"/>
  <c r="CP1237" i="4"/>
  <c r="CG1322" i="4"/>
  <c r="CH1321" i="4"/>
  <c r="CG1361" i="4"/>
  <c r="CG269" i="4"/>
  <c r="CB1356" i="4"/>
  <c r="CB1357" i="4"/>
  <c r="CT1408" i="4"/>
  <c r="CC1357" i="4"/>
  <c r="BZ1345" i="4"/>
  <c r="CK1260" i="4"/>
  <c r="BV1226" i="4"/>
  <c r="BV1296" i="4"/>
  <c r="BU1295" i="4"/>
  <c r="BV1295" i="4" s="1"/>
  <c r="CP1352" i="4"/>
  <c r="CQ1323" i="4"/>
  <c r="CP1350" i="4"/>
  <c r="BJ1408" i="4"/>
  <c r="BK1310" i="4"/>
  <c r="BJ1237" i="4"/>
  <c r="BR1226" i="4"/>
  <c r="BR1229" i="4" s="1"/>
  <c r="BR1231" i="4" s="1"/>
  <c r="CE1135" i="4"/>
  <c r="DI1128" i="4"/>
  <c r="CJ1037" i="4"/>
  <c r="BN1036" i="4"/>
  <c r="BX1037" i="4"/>
  <c r="CX1036" i="4"/>
  <c r="CR1037" i="4"/>
  <c r="BL1037" i="4"/>
  <c r="CR1170" i="4"/>
  <c r="CB956" i="4"/>
  <c r="CD950" i="4"/>
  <c r="CR1006" i="4"/>
  <c r="CR468" i="4"/>
  <c r="CR399" i="4"/>
  <c r="DB1036" i="4"/>
  <c r="BT976" i="4"/>
  <c r="BV976" i="4" s="1"/>
  <c r="BV973" i="4"/>
  <c r="CK1006" i="4"/>
  <c r="CK468" i="4"/>
  <c r="CK399" i="4"/>
  <c r="CK398" i="4" s="1"/>
  <c r="CK400" i="4" s="1"/>
  <c r="CG924" i="4"/>
  <c r="CH922" i="4"/>
  <c r="CH923" i="4" s="1"/>
  <c r="BZ922" i="4"/>
  <c r="CK866" i="4"/>
  <c r="CK863" i="4"/>
  <c r="CL804" i="4"/>
  <c r="CM806" i="4"/>
  <c r="CH468" i="4"/>
  <c r="BR1185" i="4"/>
  <c r="BR1196" i="4" s="1"/>
  <c r="BX923" i="4"/>
  <c r="CJ866" i="4"/>
  <c r="CJ863" i="4"/>
  <c r="CN866" i="4"/>
  <c r="BH863" i="4"/>
  <c r="CH842" i="4"/>
  <c r="CH785" i="4"/>
  <c r="CH87" i="4"/>
  <c r="CH1043" i="4" s="1"/>
  <c r="BX671" i="4"/>
  <c r="BY677" i="4" s="1"/>
  <c r="BX675" i="4"/>
  <c r="CP669" i="4"/>
  <c r="CP671" i="4" s="1"/>
  <c r="CP683" i="4"/>
  <c r="DI625" i="4"/>
  <c r="CQ805" i="4"/>
  <c r="DN843" i="4"/>
  <c r="CV787" i="4"/>
  <c r="CV774" i="4"/>
  <c r="CV770" i="4"/>
  <c r="DB669" i="4"/>
  <c r="DB671" i="4" s="1"/>
  <c r="DB683" i="4"/>
  <c r="BM831" i="4"/>
  <c r="BM830" i="4"/>
  <c r="BM825" i="4"/>
  <c r="BP787" i="4"/>
  <c r="CX669" i="4"/>
  <c r="CX671" i="4" s="1"/>
  <c r="CX686" i="4"/>
  <c r="BT693" i="4"/>
  <c r="CB614" i="4"/>
  <c r="BY614" i="4"/>
  <c r="BT600" i="4"/>
  <c r="BV566" i="4"/>
  <c r="BV490" i="4"/>
  <c r="CA488" i="4"/>
  <c r="BW488" i="4"/>
  <c r="BV509" i="4"/>
  <c r="CB863" i="4"/>
  <c r="CJ823" i="4"/>
  <c r="CL823" i="4" s="1"/>
  <c r="CL820" i="4"/>
  <c r="CO693" i="4"/>
  <c r="CO684" i="4"/>
  <c r="CH683" i="4"/>
  <c r="DM638" i="4"/>
  <c r="DQ638" i="4" s="1"/>
  <c r="DI643" i="4"/>
  <c r="DJ638" i="4"/>
  <c r="CF1407" i="4"/>
  <c r="CF513" i="4"/>
  <c r="CF500" i="4"/>
  <c r="CF503" i="4" s="1"/>
  <c r="CF533" i="4"/>
  <c r="CF512" i="4"/>
  <c r="CR514" i="4"/>
  <c r="DA509" i="4"/>
  <c r="DA490" i="4"/>
  <c r="DA566" i="4"/>
  <c r="DA514" i="4"/>
  <c r="DA494" i="4"/>
  <c r="BQ863" i="4"/>
  <c r="BQ866" i="4"/>
  <c r="CP810" i="4"/>
  <c r="BL720" i="4"/>
  <c r="BI753" i="4"/>
  <c r="BI755" i="4" s="1"/>
  <c r="BI726" i="4"/>
  <c r="CO634" i="4"/>
  <c r="CK634" i="4"/>
  <c r="DJ583" i="4"/>
  <c r="BJ956" i="4"/>
  <c r="BZ1185" i="4"/>
  <c r="BZ1196" i="4" s="1"/>
  <c r="CH823" i="4"/>
  <c r="CT793" i="4"/>
  <c r="CC830" i="4"/>
  <c r="CC825" i="4"/>
  <c r="CC832" i="4" s="1"/>
  <c r="CR839" i="4"/>
  <c r="CJ671" i="4"/>
  <c r="CO688" i="4"/>
  <c r="BT675" i="4"/>
  <c r="BT671" i="4"/>
  <c r="DI660" i="4"/>
  <c r="DJ660" i="4" s="1"/>
  <c r="DB536" i="4"/>
  <c r="CG1407" i="4"/>
  <c r="CG533" i="4"/>
  <c r="CG500" i="4"/>
  <c r="CG503" i="4" s="1"/>
  <c r="CG512" i="4"/>
  <c r="CG513" i="4"/>
  <c r="CG515" i="4"/>
  <c r="CJ1407" i="4"/>
  <c r="CJ512" i="4"/>
  <c r="CJ500" i="4"/>
  <c r="CJ503" i="4" s="1"/>
  <c r="CJ533" i="4"/>
  <c r="CJ513" i="4"/>
  <c r="CW1407" i="4"/>
  <c r="CW533" i="4"/>
  <c r="CW500" i="4"/>
  <c r="CW503" i="4" s="1"/>
  <c r="CW512" i="4"/>
  <c r="CW513" i="4"/>
  <c r="CR1400" i="4"/>
  <c r="CT401" i="4"/>
  <c r="CT1400" i="4" s="1"/>
  <c r="BU443" i="4"/>
  <c r="BU404" i="4"/>
  <c r="BU408" i="4"/>
  <c r="BU382" i="4"/>
  <c r="CV1059" i="4"/>
  <c r="CV868" i="4"/>
  <c r="CV876" i="4" s="1"/>
  <c r="CV521" i="4"/>
  <c r="CV208" i="4"/>
  <c r="CV193" i="4"/>
  <c r="CV207" i="4"/>
  <c r="CV281" i="4"/>
  <c r="DJ71" i="3" s="1"/>
  <c r="CF1059" i="4"/>
  <c r="CF868" i="4"/>
  <c r="CF876" i="4" s="1"/>
  <c r="CF521" i="4"/>
  <c r="CF208" i="4"/>
  <c r="CF193" i="4"/>
  <c r="CF281" i="4"/>
  <c r="CT71" i="3" s="1"/>
  <c r="BL868" i="4"/>
  <c r="BL876" i="4" s="1"/>
  <c r="BL521" i="4"/>
  <c r="BL281" i="4"/>
  <c r="BZ71" i="3" s="1"/>
  <c r="BL208" i="4"/>
  <c r="BL193" i="4"/>
  <c r="BL526" i="4"/>
  <c r="CL515" i="4"/>
  <c r="BP1400" i="4"/>
  <c r="BR401" i="4"/>
  <c r="BR1400" i="4" s="1"/>
  <c r="CF443" i="4"/>
  <c r="CF404" i="4"/>
  <c r="CF382" i="4"/>
  <c r="CF408" i="4"/>
  <c r="DA375" i="4"/>
  <c r="CC331" i="4"/>
  <c r="CC327" i="4"/>
  <c r="CC333" i="4"/>
  <c r="CC328" i="4"/>
  <c r="CT1242" i="4"/>
  <c r="CT1246" i="4" s="1"/>
  <c r="DC185" i="4"/>
  <c r="DB380" i="4"/>
  <c r="DB187" i="4"/>
  <c r="DG187" i="4" s="1"/>
  <c r="AR9" i="9" s="1"/>
  <c r="CT136" i="4"/>
  <c r="CS141" i="4"/>
  <c r="CS135" i="4"/>
  <c r="CV140" i="4" s="1"/>
  <c r="CV141" i="4"/>
  <c r="CK440" i="4"/>
  <c r="CN408" i="4"/>
  <c r="CN382" i="4"/>
  <c r="CN443" i="4"/>
  <c r="CN404" i="4"/>
  <c r="CR328" i="4"/>
  <c r="CR333" i="4"/>
  <c r="CR331" i="4"/>
  <c r="CR327" i="4"/>
  <c r="BL331" i="4"/>
  <c r="BL332" i="4"/>
  <c r="BL327" i="4"/>
  <c r="BL333" i="4"/>
  <c r="BL328" i="4"/>
  <c r="CJ526" i="4"/>
  <c r="CT514" i="4"/>
  <c r="CD515" i="4"/>
  <c r="BX465" i="4"/>
  <c r="BX407" i="4"/>
  <c r="BX409" i="4"/>
  <c r="BX395" i="4"/>
  <c r="BY369" i="4"/>
  <c r="CN375" i="4"/>
  <c r="BM375" i="4"/>
  <c r="CO333" i="4"/>
  <c r="CO331" i="4"/>
  <c r="CO332" i="4"/>
  <c r="CO327" i="4"/>
  <c r="CO328" i="4"/>
  <c r="BI327" i="4"/>
  <c r="BI333" i="4"/>
  <c r="BI328" i="4"/>
  <c r="BI331" i="4"/>
  <c r="CA298" i="4"/>
  <c r="DB1242" i="4"/>
  <c r="DB1246" i="4" s="1"/>
  <c r="BN1242" i="4"/>
  <c r="BN1246" i="4" s="1"/>
  <c r="CN209" i="4"/>
  <c r="BP209" i="4"/>
  <c r="BQ868" i="4"/>
  <c r="BQ876" i="4" s="1"/>
  <c r="BQ521" i="4"/>
  <c r="BQ281" i="4"/>
  <c r="CE71" i="3" s="1"/>
  <c r="BQ208" i="4"/>
  <c r="BQ193" i="4"/>
  <c r="BQ209" i="4"/>
  <c r="BI180" i="4"/>
  <c r="BJ176" i="4"/>
  <c r="BJ175" i="4" s="1"/>
  <c r="CG178" i="4"/>
  <c r="CH174" i="4"/>
  <c r="CH175" i="4" s="1"/>
  <c r="CJ159" i="4"/>
  <c r="CJ154" i="4"/>
  <c r="BY157" i="4"/>
  <c r="BZ153" i="4"/>
  <c r="CH184" i="4"/>
  <c r="CI123" i="4"/>
  <c r="CR409" i="4"/>
  <c r="CO369" i="4"/>
  <c r="CZ332" i="4"/>
  <c r="CH478" i="4"/>
  <c r="CT478" i="4"/>
  <c r="CL476" i="4"/>
  <c r="CR279" i="4"/>
  <c r="BP279" i="4"/>
  <c r="BI868" i="4"/>
  <c r="BI876" i="4" s="1"/>
  <c r="BI521" i="4"/>
  <c r="BI208" i="4"/>
  <c r="BI282" i="4"/>
  <c r="BW67" i="3" s="1"/>
  <c r="BI281" i="4"/>
  <c r="BW71" i="3" s="1"/>
  <c r="BI193" i="4"/>
  <c r="BT179" i="4"/>
  <c r="BU179" i="4"/>
  <c r="BQ179" i="4"/>
  <c r="CV159" i="4"/>
  <c r="CV154" i="4"/>
  <c r="CW159" i="4"/>
  <c r="CF333" i="4"/>
  <c r="CF331" i="4"/>
  <c r="CF332" i="4"/>
  <c r="CF339" i="4" s="1"/>
  <c r="CF327" i="4"/>
  <c r="CF328" i="4"/>
  <c r="BP333" i="4"/>
  <c r="BP328" i="4"/>
  <c r="BP331" i="4"/>
  <c r="BP327" i="4"/>
  <c r="CI185" i="4"/>
  <c r="DB1043" i="4"/>
  <c r="CL883" i="4"/>
  <c r="CL59" i="4"/>
  <c r="BN864" i="4"/>
  <c r="CL793" i="4"/>
  <c r="BZ780" i="4"/>
  <c r="CV612" i="4"/>
  <c r="CV48" i="4"/>
  <c r="CV24" i="4"/>
  <c r="CV19" i="4"/>
  <c r="BU612" i="4"/>
  <c r="BU24" i="4"/>
  <c r="BU19" i="4"/>
  <c r="CX639" i="4"/>
  <c r="BL409" i="4"/>
  <c r="CT476" i="4"/>
  <c r="BY332" i="4"/>
  <c r="DB478" i="4"/>
  <c r="CP478" i="4"/>
  <c r="CA381" i="4"/>
  <c r="BX282" i="4"/>
  <c r="CL67" i="3" s="1"/>
  <c r="CP865" i="4"/>
  <c r="CP267" i="4"/>
  <c r="BJ267" i="4"/>
  <c r="BR1242" i="4"/>
  <c r="BR1246" i="4" s="1"/>
  <c r="BX207" i="4"/>
  <c r="BM207" i="4"/>
  <c r="BT443" i="4"/>
  <c r="BT449" i="4" s="1"/>
  <c r="BT404" i="4"/>
  <c r="BT408" i="4"/>
  <c r="BT382" i="4"/>
  <c r="DA159" i="4"/>
  <c r="CK1333" i="4"/>
  <c r="CT184" i="4"/>
  <c r="CU123" i="4"/>
  <c r="CV842" i="4"/>
  <c r="CV110" i="4"/>
  <c r="CV111" i="4" s="1"/>
  <c r="DJ1131" i="4"/>
  <c r="DJ928" i="4"/>
  <c r="CP864" i="4"/>
  <c r="CK55" i="4"/>
  <c r="CK83" i="4"/>
  <c r="BU83" i="4"/>
  <c r="CJ774" i="4"/>
  <c r="CZ612" i="4"/>
  <c r="CZ19" i="4"/>
  <c r="DD49" i="4" s="1"/>
  <c r="CZ48" i="4"/>
  <c r="CZ24" i="4"/>
  <c r="CD612" i="4"/>
  <c r="CD19" i="4"/>
  <c r="CD48" i="4"/>
  <c r="CL609" i="4"/>
  <c r="CL18" i="4"/>
  <c r="BJ443" i="4"/>
  <c r="BJ444" i="4" s="1"/>
  <c r="BJ404" i="4"/>
  <c r="BJ382" i="4"/>
  <c r="BJ408" i="4"/>
  <c r="CG98" i="4"/>
  <c r="CH864" i="4"/>
  <c r="CV409" i="4"/>
  <c r="BV267" i="4"/>
  <c r="CV209" i="4"/>
  <c r="BR868" i="4"/>
  <c r="BR876" i="4" s="1"/>
  <c r="BT159" i="4"/>
  <c r="CJ190" i="4"/>
  <c r="CZ842" i="4"/>
  <c r="CZ110" i="4"/>
  <c r="CZ111" i="4" s="1"/>
  <c r="DD112" i="4" s="1"/>
  <c r="CL864" i="4"/>
  <c r="CN83" i="4"/>
  <c r="CN55" i="4"/>
  <c r="CP609" i="4"/>
  <c r="CP18" i="4"/>
  <c r="CK409" i="4"/>
  <c r="CB375" i="4"/>
  <c r="BZ478" i="4"/>
  <c r="CE298" i="4"/>
  <c r="BM282" i="4"/>
  <c r="CA67" i="3" s="1"/>
  <c r="BR282" i="4"/>
  <c r="CF67" i="3" s="1"/>
  <c r="BM262" i="4"/>
  <c r="BM259" i="4" s="1"/>
  <c r="BM287" i="4"/>
  <c r="BM288" i="4" s="1"/>
  <c r="BI209" i="4"/>
  <c r="CA383" i="4"/>
  <c r="CR178" i="4"/>
  <c r="CS178" i="4"/>
  <c r="BL178" i="4"/>
  <c r="BM178" i="4"/>
  <c r="CG179" i="4"/>
  <c r="CT154" i="4"/>
  <c r="BI154" i="4"/>
  <c r="CZ141" i="4"/>
  <c r="CN529" i="4"/>
  <c r="DB184" i="4"/>
  <c r="DC123" i="4"/>
  <c r="BW183" i="4"/>
  <c r="BS245" i="4"/>
  <c r="CH686" i="4"/>
  <c r="CB612" i="4"/>
  <c r="CB48" i="4"/>
  <c r="CB24" i="4"/>
  <c r="CB19" i="4"/>
  <c r="CL655" i="4"/>
  <c r="CL648" i="4"/>
  <c r="CL639" i="4"/>
  <c r="CM640" i="4"/>
  <c r="CO159" i="4"/>
  <c r="CX81" i="4"/>
  <c r="CX90" i="4"/>
  <c r="BF3" i="4"/>
  <c r="BH2" i="4"/>
  <c r="CW1341" i="4"/>
  <c r="CW1340" i="4"/>
  <c r="CW1337" i="4"/>
  <c r="CX1338" i="4"/>
  <c r="BT1361" i="4"/>
  <c r="BT1322" i="4"/>
  <c r="BT269" i="4"/>
  <c r="BT271" i="4" s="1"/>
  <c r="BR1348" i="4"/>
  <c r="BR1345" i="4"/>
  <c r="CX1350" i="4"/>
  <c r="CY1323" i="4"/>
  <c r="CX1352" i="4"/>
  <c r="CG1338" i="4"/>
  <c r="BM1357" i="4"/>
  <c r="CX1408" i="4"/>
  <c r="CY1310" i="4"/>
  <c r="CX1237" i="4"/>
  <c r="CY1228" i="4"/>
  <c r="CB1361" i="4"/>
  <c r="CB1360" i="4"/>
  <c r="CB1322" i="4"/>
  <c r="CB269" i="4"/>
  <c r="CB271" i="4" s="1"/>
  <c r="DI1194" i="4"/>
  <c r="DA1260" i="4"/>
  <c r="DB1258" i="4"/>
  <c r="DB1260" i="4" s="1"/>
  <c r="CO1338" i="4"/>
  <c r="BI1322" i="4"/>
  <c r="BJ1321" i="4"/>
  <c r="BI269" i="4"/>
  <c r="CU1316" i="4"/>
  <c r="CM1315" i="4"/>
  <c r="CO1357" i="4"/>
  <c r="DB1326" i="4"/>
  <c r="DA1325" i="4"/>
  <c r="CL1352" i="4"/>
  <c r="CL1350" i="4"/>
  <c r="CM1323" i="4"/>
  <c r="CR1357" i="4"/>
  <c r="CR1326" i="4"/>
  <c r="CR1325" i="4" s="1"/>
  <c r="BQ1322" i="4"/>
  <c r="BQ1361" i="4"/>
  <c r="BR1321" i="4"/>
  <c r="BQ269" i="4"/>
  <c r="BL1357" i="4"/>
  <c r="CH1408" i="4"/>
  <c r="CI1310" i="4"/>
  <c r="CH1237" i="4"/>
  <c r="DL1271" i="4"/>
  <c r="DM1271" i="4" s="1"/>
  <c r="DJ1271" i="4"/>
  <c r="CL1337" i="4"/>
  <c r="CL1342" i="4" s="1"/>
  <c r="CK1342" i="4"/>
  <c r="CJ1356" i="4"/>
  <c r="CJ1357" i="4"/>
  <c r="CJ1326" i="4"/>
  <c r="CJ1325" i="4" s="1"/>
  <c r="CG1357" i="4"/>
  <c r="CG1326" i="4"/>
  <c r="CH1316" i="4"/>
  <c r="DC1310" i="4"/>
  <c r="CM1310" i="4"/>
  <c r="BW1310" i="4"/>
  <c r="CG1295" i="4"/>
  <c r="CH1295" i="4" s="1"/>
  <c r="CH1296" i="4"/>
  <c r="BX1294" i="4"/>
  <c r="BY1294" i="4" s="1"/>
  <c r="BV1294" i="4"/>
  <c r="DI1218" i="4"/>
  <c r="CD1211" i="4"/>
  <c r="CP1226" i="4"/>
  <c r="CP1211" i="4"/>
  <c r="BR1211" i="4"/>
  <c r="DJ1184" i="4"/>
  <c r="BY1260" i="4"/>
  <c r="BZ1258" i="4"/>
  <c r="BZ1260" i="4" s="1"/>
  <c r="CF1211" i="4"/>
  <c r="CH1208" i="4"/>
  <c r="BY1037" i="4"/>
  <c r="BZ1035" i="4"/>
  <c r="CT1035" i="4"/>
  <c r="CS1037" i="4"/>
  <c r="BN1035" i="4"/>
  <c r="BM1037" i="4"/>
  <c r="CM1033" i="4"/>
  <c r="BO1033" i="4"/>
  <c r="CH1036" i="4"/>
  <c r="CH1035" i="4"/>
  <c r="CG1037" i="4"/>
  <c r="BQ1012" i="4"/>
  <c r="BQ1010" i="4"/>
  <c r="CL1036" i="4"/>
  <c r="CZ1109" i="4"/>
  <c r="CZ1110" i="4" s="1"/>
  <c r="BN950" i="4"/>
  <c r="CL1006" i="4"/>
  <c r="CL1008" i="4" s="1"/>
  <c r="CL468" i="4"/>
  <c r="CL399" i="4"/>
  <c r="BP1012" i="4"/>
  <c r="BP1010" i="4"/>
  <c r="CN1109" i="4"/>
  <c r="CN1110" i="4" s="1"/>
  <c r="CF1006" i="4"/>
  <c r="CF468" i="4"/>
  <c r="CF399" i="4"/>
  <c r="BY1010" i="4"/>
  <c r="BY1012" i="4"/>
  <c r="BI1010" i="4"/>
  <c r="BI1012" i="4"/>
  <c r="BS1033" i="4"/>
  <c r="CN976" i="4"/>
  <c r="CP976" i="4" s="1"/>
  <c r="CP973" i="4"/>
  <c r="CV866" i="4"/>
  <c r="CV863" i="4"/>
  <c r="BP866" i="4"/>
  <c r="BP863" i="4"/>
  <c r="CH1185" i="4"/>
  <c r="CH1196" i="4" s="1"/>
  <c r="CO866" i="4"/>
  <c r="CO863" i="4"/>
  <c r="BI863" i="4"/>
  <c r="CC816" i="4"/>
  <c r="CB807" i="4"/>
  <c r="DL637" i="4"/>
  <c r="DJ637" i="4"/>
  <c r="BI1108" i="4"/>
  <c r="BZ858" i="4"/>
  <c r="BZ860" i="4" s="1"/>
  <c r="BZ862" i="4" s="1"/>
  <c r="BX860" i="4"/>
  <c r="BX862" i="4" s="1"/>
  <c r="CS866" i="4"/>
  <c r="CS863" i="4"/>
  <c r="BM866" i="4"/>
  <c r="BM863" i="4"/>
  <c r="BR831" i="4"/>
  <c r="CY778" i="4"/>
  <c r="CX810" i="4"/>
  <c r="BU802" i="4"/>
  <c r="BP671" i="4"/>
  <c r="BP677" i="4" s="1"/>
  <c r="BP675" i="4"/>
  <c r="CL669" i="4"/>
  <c r="CL671" i="4" s="1"/>
  <c r="CL683" i="4"/>
  <c r="BR683" i="4"/>
  <c r="BR669" i="4"/>
  <c r="BR671" i="4" s="1"/>
  <c r="CG844" i="4"/>
  <c r="CQ806" i="4"/>
  <c r="CX780" i="4"/>
  <c r="CY776" i="4"/>
  <c r="BZ705" i="4"/>
  <c r="BQ690" i="4"/>
  <c r="CC675" i="4"/>
  <c r="CC671" i="4"/>
  <c r="CC677" i="4" s="1"/>
  <c r="BL675" i="4"/>
  <c r="BL671" i="4"/>
  <c r="BM675" i="4"/>
  <c r="CG863" i="4"/>
  <c r="CG866" i="4"/>
  <c r="BL863" i="4"/>
  <c r="BL866" i="4"/>
  <c r="DI843" i="4"/>
  <c r="DJ843" i="4" s="1"/>
  <c r="DC778" i="4"/>
  <c r="DB810" i="4"/>
  <c r="DG810" i="4" s="1"/>
  <c r="BR780" i="4"/>
  <c r="BL748" i="4"/>
  <c r="CB693" i="4"/>
  <c r="CB684" i="4"/>
  <c r="CV693" i="4"/>
  <c r="CV684" i="4"/>
  <c r="CD733" i="4"/>
  <c r="CD736" i="4" s="1"/>
  <c r="CD737" i="4"/>
  <c r="CS688" i="4"/>
  <c r="CT681" i="4"/>
  <c r="DI642" i="4"/>
  <c r="DI640" i="4"/>
  <c r="DI653" i="4" s="1"/>
  <c r="DM637" i="4"/>
  <c r="BP1407" i="4"/>
  <c r="BP515" i="4"/>
  <c r="BP513" i="4"/>
  <c r="BP512" i="4"/>
  <c r="BP533" i="4"/>
  <c r="BP500" i="4"/>
  <c r="BP503" i="4" s="1"/>
  <c r="BZ707" i="4"/>
  <c r="BY675" i="4"/>
  <c r="CO739" i="4"/>
  <c r="CF690" i="4"/>
  <c r="CF681" i="4"/>
  <c r="BX1395" i="4"/>
  <c r="BX507" i="4"/>
  <c r="CS509" i="4"/>
  <c r="CS566" i="4"/>
  <c r="CS490" i="4"/>
  <c r="CS494" i="4"/>
  <c r="DA511" i="4"/>
  <c r="CS511" i="4"/>
  <c r="BR509" i="4"/>
  <c r="BR490" i="4"/>
  <c r="BR566" i="4"/>
  <c r="BS488" i="4"/>
  <c r="BR514" i="4"/>
  <c r="BT832" i="4"/>
  <c r="CN807" i="4"/>
  <c r="CC693" i="4"/>
  <c r="CK675" i="4"/>
  <c r="CK671" i="4"/>
  <c r="CP629" i="4"/>
  <c r="BV511" i="4"/>
  <c r="CH662" i="4"/>
  <c r="CH663" i="4" s="1"/>
  <c r="BY593" i="4"/>
  <c r="CL556" i="4"/>
  <c r="CJ99" i="4"/>
  <c r="CZ998" i="4"/>
  <c r="CD843" i="4"/>
  <c r="CB99" i="4"/>
  <c r="BR793" i="4"/>
  <c r="BL693" i="4"/>
  <c r="BL684" i="4"/>
  <c r="BM693" i="4"/>
  <c r="BT681" i="4"/>
  <c r="BT690" i="4"/>
  <c r="BY648" i="4"/>
  <c r="BU644" i="4"/>
  <c r="BU648" i="4"/>
  <c r="BL600" i="4"/>
  <c r="BN562" i="4"/>
  <c r="CZ557" i="4"/>
  <c r="DB557" i="4" s="1"/>
  <c r="CH555" i="4"/>
  <c r="CQ490" i="4"/>
  <c r="CN515" i="4"/>
  <c r="CK1407" i="4"/>
  <c r="CK533" i="4"/>
  <c r="CK513" i="4"/>
  <c r="CK512" i="4"/>
  <c r="CK500" i="4"/>
  <c r="CK503" i="4" s="1"/>
  <c r="CW494" i="4"/>
  <c r="DL436" i="4"/>
  <c r="BQ408" i="4"/>
  <c r="BQ443" i="4"/>
  <c r="BQ404" i="4"/>
  <c r="BQ382" i="4"/>
  <c r="CX1242" i="4"/>
  <c r="CX1246" i="4" s="1"/>
  <c r="BZ1242" i="4"/>
  <c r="CR1059" i="4"/>
  <c r="CR868" i="4"/>
  <c r="CR876" i="4" s="1"/>
  <c r="CR521" i="4"/>
  <c r="CR281" i="4"/>
  <c r="DF71" i="3" s="1"/>
  <c r="CR208" i="4"/>
  <c r="CR193" i="4"/>
  <c r="CB1059" i="4"/>
  <c r="CB868" i="4"/>
  <c r="CB876" i="4" s="1"/>
  <c r="CB521" i="4"/>
  <c r="CB281" i="4"/>
  <c r="CP71" i="3" s="1"/>
  <c r="CB208" i="4"/>
  <c r="CB193" i="4"/>
  <c r="CP465" i="4"/>
  <c r="CP407" i="4"/>
  <c r="BS383" i="4"/>
  <c r="CB408" i="4"/>
  <c r="CB443" i="4"/>
  <c r="CB404" i="4"/>
  <c r="CB382" i="4"/>
  <c r="BX461" i="4"/>
  <c r="CV369" i="4"/>
  <c r="CV375" i="4"/>
  <c r="DA333" i="4"/>
  <c r="DD340" i="4" s="1"/>
  <c r="DA331" i="4"/>
  <c r="DD338" i="4" s="1"/>
  <c r="DA332" i="4"/>
  <c r="DD339" i="4" s="1"/>
  <c r="DA327" i="4"/>
  <c r="DD335" i="4" s="1"/>
  <c r="DA328" i="4"/>
  <c r="DD336" i="4" s="1"/>
  <c r="BU333" i="4"/>
  <c r="BU328" i="4"/>
  <c r="BU331" i="4"/>
  <c r="BU327" i="4"/>
  <c r="CV282" i="4"/>
  <c r="DJ67" i="3" s="1"/>
  <c r="BP282" i="4"/>
  <c r="CD67" i="3" s="1"/>
  <c r="CU185" i="4"/>
  <c r="CT380" i="4"/>
  <c r="CT187" i="4"/>
  <c r="BR524" i="4"/>
  <c r="BR526" i="4" s="1"/>
  <c r="CP136" i="4"/>
  <c r="CO141" i="4"/>
  <c r="CO135" i="4"/>
  <c r="CJ333" i="4"/>
  <c r="CJ331" i="4"/>
  <c r="CJ332" i="4"/>
  <c r="CJ339" i="4" s="1"/>
  <c r="CJ327" i="4"/>
  <c r="CJ328" i="4"/>
  <c r="CJ515" i="4"/>
  <c r="BV514" i="4"/>
  <c r="CG469" i="4"/>
  <c r="CH391" i="4"/>
  <c r="CS465" i="4"/>
  <c r="CS407" i="4"/>
  <c r="CS409" i="4"/>
  <c r="CS395" i="4"/>
  <c r="CT389" i="4"/>
  <c r="BM465" i="4"/>
  <c r="BM407" i="4"/>
  <c r="BM409" i="4"/>
  <c r="BM395" i="4"/>
  <c r="BN389" i="4"/>
  <c r="BT369" i="4"/>
  <c r="CL366" i="4"/>
  <c r="CL368" i="4"/>
  <c r="BU332" i="4"/>
  <c r="CG331" i="4"/>
  <c r="CG327" i="4"/>
  <c r="CG328" i="4"/>
  <c r="CG333" i="4"/>
  <c r="CQ298" i="4"/>
  <c r="CF209" i="4"/>
  <c r="BL209" i="4"/>
  <c r="BM868" i="4"/>
  <c r="BM876" i="4" s="1"/>
  <c r="BM521" i="4"/>
  <c r="BM281" i="4"/>
  <c r="CA71" i="3" s="1"/>
  <c r="BM193" i="4"/>
  <c r="BM279" i="4"/>
  <c r="BM208" i="4"/>
  <c r="CT524" i="4"/>
  <c r="CT526" i="4" s="1"/>
  <c r="CD524" i="4"/>
  <c r="CD526" i="4" s="1"/>
  <c r="DA179" i="4"/>
  <c r="BQ178" i="4"/>
  <c r="BR174" i="4"/>
  <c r="BR175" i="4" s="1"/>
  <c r="CB159" i="4"/>
  <c r="CB154" i="4"/>
  <c r="BZ184" i="4"/>
  <c r="CA123" i="4"/>
  <c r="CR899" i="4"/>
  <c r="CR897" i="4"/>
  <c r="CR896" i="4"/>
  <c r="CR461" i="4"/>
  <c r="BU409" i="4"/>
  <c r="BI369" i="4"/>
  <c r="CR332" i="4"/>
  <c r="CX478" i="4"/>
  <c r="CT477" i="4"/>
  <c r="BI279" i="4"/>
  <c r="CN282" i="4"/>
  <c r="DB67" i="3" s="1"/>
  <c r="CN259" i="4"/>
  <c r="CX208" i="4"/>
  <c r="BH209" i="4"/>
  <c r="BH207" i="4"/>
  <c r="DA1059" i="4"/>
  <c r="DA868" i="4"/>
  <c r="DA876" i="4" s="1"/>
  <c r="DA521" i="4"/>
  <c r="DD522" i="4" s="1"/>
  <c r="DD523" i="4" s="1"/>
  <c r="DA208" i="4"/>
  <c r="DA193" i="4"/>
  <c r="DA281" i="4"/>
  <c r="DO71" i="3" s="1"/>
  <c r="CS1059" i="4"/>
  <c r="CS868" i="4"/>
  <c r="CS876" i="4" s="1"/>
  <c r="CS521" i="4"/>
  <c r="CS281" i="4"/>
  <c r="DG71" i="3" s="1"/>
  <c r="CS193" i="4"/>
  <c r="CS279" i="4"/>
  <c r="CS207" i="4"/>
  <c r="CS208" i="4"/>
  <c r="CK1059" i="4"/>
  <c r="CK868" i="4"/>
  <c r="CK876" i="4" s="1"/>
  <c r="CK521" i="4"/>
  <c r="CK208" i="4"/>
  <c r="CK193" i="4"/>
  <c r="CK281" i="4"/>
  <c r="CY71" i="3" s="1"/>
  <c r="CC1059" i="4"/>
  <c r="CC868" i="4"/>
  <c r="CC876" i="4" s="1"/>
  <c r="CC521" i="4"/>
  <c r="CC281" i="4"/>
  <c r="CQ71" i="3" s="1"/>
  <c r="CC193" i="4"/>
  <c r="CC279" i="4"/>
  <c r="CC208" i="4"/>
  <c r="CV1332" i="4"/>
  <c r="CV1358" i="4"/>
  <c r="CV1359" i="4" s="1"/>
  <c r="CF1348" i="4"/>
  <c r="BX154" i="4"/>
  <c r="BX159" i="4"/>
  <c r="CN328" i="4"/>
  <c r="CN333" i="4"/>
  <c r="CN331" i="4"/>
  <c r="CN327" i="4"/>
  <c r="CW842" i="4"/>
  <c r="CW110" i="4"/>
  <c r="CW111" i="4" s="1"/>
  <c r="CW90" i="4"/>
  <c r="CW81" i="4"/>
  <c r="DA98" i="4"/>
  <c r="CL1043" i="4"/>
  <c r="CU245" i="4"/>
  <c r="CD864" i="4"/>
  <c r="DA825" i="4"/>
  <c r="DD832" i="4" s="1"/>
  <c r="DA831" i="4"/>
  <c r="CK787" i="4"/>
  <c r="CK774" i="4"/>
  <c r="BZ793" i="4"/>
  <c r="CK612" i="4"/>
  <c r="CK48" i="4"/>
  <c r="CK24" i="4"/>
  <c r="CK19" i="4"/>
  <c r="BP612" i="4"/>
  <c r="BP48" i="4"/>
  <c r="BP24" i="4"/>
  <c r="BP19" i="4"/>
  <c r="CX609" i="4"/>
  <c r="CX18" i="4"/>
  <c r="BV609" i="4"/>
  <c r="BV563" i="4"/>
  <c r="CW409" i="4"/>
  <c r="BL395" i="4"/>
  <c r="CD476" i="4"/>
  <c r="BI332" i="4"/>
  <c r="DB477" i="4"/>
  <c r="CX279" i="4"/>
  <c r="CL267" i="4"/>
  <c r="BS381" i="4"/>
  <c r="CD860" i="4"/>
  <c r="CD862" i="4" s="1"/>
  <c r="CS852" i="4"/>
  <c r="CS262" i="4"/>
  <c r="CS259" i="4" s="1"/>
  <c r="CS287" i="4"/>
  <c r="CS288" i="4" s="1"/>
  <c r="CB259" i="4"/>
  <c r="BT1059" i="4"/>
  <c r="BT868" i="4"/>
  <c r="BT876" i="4" s="1"/>
  <c r="BT521" i="4"/>
  <c r="BT208" i="4"/>
  <c r="BT282" i="4"/>
  <c r="CH67" i="3" s="1"/>
  <c r="BT281" i="4"/>
  <c r="CH71" i="3" s="1"/>
  <c r="BT207" i="4"/>
  <c r="BT193" i="4"/>
  <c r="CG157" i="4"/>
  <c r="CG83" i="4"/>
  <c r="CG55" i="4"/>
  <c r="CJ807" i="4"/>
  <c r="CF803" i="4"/>
  <c r="CF802" i="4"/>
  <c r="CH51" i="4"/>
  <c r="CL51" i="4"/>
  <c r="CT18" i="4"/>
  <c r="BY612" i="4"/>
  <c r="BY19" i="4"/>
  <c r="BY48" i="4"/>
  <c r="BY24" i="4"/>
  <c r="BZ24" i="4" s="1"/>
  <c r="CS190" i="4"/>
  <c r="BN53" i="4"/>
  <c r="BY563" i="4"/>
  <c r="BY562" i="4" s="1"/>
  <c r="DA899" i="4"/>
  <c r="DA897" i="4"/>
  <c r="DA896" i="4"/>
  <c r="DA461" i="4"/>
  <c r="DI277" i="4"/>
  <c r="CR282" i="4"/>
  <c r="DF67" i="3" s="1"/>
  <c r="BH262" i="4"/>
  <c r="BH287" i="4"/>
  <c r="BH288" i="4" s="1"/>
  <c r="BJ243" i="4"/>
  <c r="CB207" i="4"/>
  <c r="BQ207" i="4"/>
  <c r="CW1059" i="4"/>
  <c r="CW868" i="4"/>
  <c r="CW876" i="4" s="1"/>
  <c r="CW521" i="4"/>
  <c r="CW281" i="4"/>
  <c r="DK71" i="3" s="1"/>
  <c r="CW208" i="4"/>
  <c r="CW193" i="4"/>
  <c r="CO1059" i="4"/>
  <c r="CO868" i="4"/>
  <c r="CO876" i="4" s="1"/>
  <c r="CO521" i="4"/>
  <c r="CO208" i="4"/>
  <c r="CO282" i="4"/>
  <c r="DC67" i="3" s="1"/>
  <c r="CO281" i="4"/>
  <c r="DC71" i="3" s="1"/>
  <c r="CO193" i="4"/>
  <c r="CO207" i="4"/>
  <c r="CG1059" i="4"/>
  <c r="CG868" i="4"/>
  <c r="CG876" i="4" s="1"/>
  <c r="CG521" i="4"/>
  <c r="CG281" i="4"/>
  <c r="CU71" i="3" s="1"/>
  <c r="CG208" i="4"/>
  <c r="CG193" i="4"/>
  <c r="CG209" i="4"/>
  <c r="BY1059" i="4"/>
  <c r="BY868" i="4"/>
  <c r="BY876" i="4" s="1"/>
  <c r="BY521" i="4"/>
  <c r="BY208" i="4"/>
  <c r="BY282" i="4"/>
  <c r="CM67" i="3" s="1"/>
  <c r="BY281" i="4"/>
  <c r="CM71" i="3" s="1"/>
  <c r="BY193" i="4"/>
  <c r="BY207" i="4"/>
  <c r="BT154" i="4"/>
  <c r="CX443" i="4"/>
  <c r="CX382" i="4"/>
  <c r="CX404" i="4"/>
  <c r="CO842" i="4"/>
  <c r="CO110" i="4"/>
  <c r="BV883" i="4"/>
  <c r="BZ59" i="4"/>
  <c r="BV59" i="4"/>
  <c r="DB864" i="4"/>
  <c r="CJ55" i="4"/>
  <c r="CJ83" i="4"/>
  <c r="BT55" i="4"/>
  <c r="BT83" i="4"/>
  <c r="CO825" i="4"/>
  <c r="CG684" i="4"/>
  <c r="CS612" i="4"/>
  <c r="CS19" i="4"/>
  <c r="CS24" i="4"/>
  <c r="CT24" i="4" s="1"/>
  <c r="CS48" i="4"/>
  <c r="DA615" i="4"/>
  <c r="BQ563" i="4"/>
  <c r="BQ562" i="4"/>
  <c r="CL407" i="4"/>
  <c r="CL465" i="4"/>
  <c r="CL395" i="4"/>
  <c r="CF409" i="4"/>
  <c r="CK332" i="4"/>
  <c r="CL477" i="4"/>
  <c r="DA279" i="4"/>
  <c r="DI279" i="4" s="1"/>
  <c r="DL279" i="4" s="1"/>
  <c r="DM279" i="4" s="1"/>
  <c r="DP279" i="4" s="1"/>
  <c r="DQ279" i="4" s="1"/>
  <c r="BR279" i="4"/>
  <c r="BI207" i="4"/>
  <c r="CF207" i="4"/>
  <c r="CD518" i="4"/>
  <c r="CD519" i="4" s="1"/>
  <c r="CB518" i="4"/>
  <c r="CB519" i="4" s="1"/>
  <c r="BI443" i="4"/>
  <c r="BI404" i="4"/>
  <c r="BI408" i="4"/>
  <c r="BI382" i="4"/>
  <c r="CW178" i="4"/>
  <c r="CR180" i="4"/>
  <c r="CS180" i="4"/>
  <c r="CB180" i="4"/>
  <c r="CC180" i="4"/>
  <c r="BL180" i="4"/>
  <c r="BM180" i="4"/>
  <c r="CW157" i="4"/>
  <c r="CW162" i="4" s="1"/>
  <c r="CS159" i="4"/>
  <c r="CM183" i="4"/>
  <c r="BZ1043" i="4"/>
  <c r="CY245" i="4"/>
  <c r="BR864" i="4"/>
  <c r="CF739" i="4"/>
  <c r="CF737" i="4"/>
  <c r="BR208" i="4"/>
  <c r="CX662" i="4" l="1"/>
  <c r="CX663" i="4" s="1"/>
  <c r="CI779" i="4"/>
  <c r="BO203" i="4"/>
  <c r="CX648" i="4"/>
  <c r="BR287" i="4"/>
  <c r="BJ600" i="4"/>
  <c r="X156" i="9"/>
  <c r="DV81" i="3"/>
  <c r="CT1361" i="4"/>
  <c r="CC634" i="4"/>
  <c r="DA774" i="4"/>
  <c r="BZ956" i="4"/>
  <c r="CX629" i="4"/>
  <c r="CO787" i="4"/>
  <c r="DE92" i="4"/>
  <c r="DB923" i="4"/>
  <c r="CP681" i="4"/>
  <c r="CM43" i="3"/>
  <c r="CX110" i="4"/>
  <c r="CX111" i="4" s="1"/>
  <c r="CU43" i="3"/>
  <c r="CW461" i="4"/>
  <c r="BP563" i="4"/>
  <c r="CP780" i="4"/>
  <c r="CW897" i="4"/>
  <c r="BU449" i="4"/>
  <c r="BJ273" i="4"/>
  <c r="BX73" i="3" s="1"/>
  <c r="CV1055" i="4"/>
  <c r="CP468" i="4"/>
  <c r="AP52" i="3"/>
  <c r="CJ1353" i="4"/>
  <c r="CY640" i="4"/>
  <c r="CP1006" i="4"/>
  <c r="CP1008" i="4" s="1"/>
  <c r="CP1012" i="4" s="1"/>
  <c r="CW1360" i="4"/>
  <c r="AJ31" i="12"/>
  <c r="AJ23" i="12" s="1"/>
  <c r="K12" i="12"/>
  <c r="H5" i="9"/>
  <c r="K10" i="12"/>
  <c r="J57" i="3"/>
  <c r="DF970" i="4"/>
  <c r="DB238" i="4"/>
  <c r="DG184" i="4"/>
  <c r="AJ48" i="12"/>
  <c r="DG671" i="4"/>
  <c r="DG779" i="4"/>
  <c r="DD981" i="4"/>
  <c r="DF981" i="4" s="1"/>
  <c r="DF980" i="4"/>
  <c r="DD986" i="4"/>
  <c r="DF986" i="4" s="1"/>
  <c r="DF985" i="4"/>
  <c r="AR109" i="9"/>
  <c r="AR55" i="9"/>
  <c r="DF440" i="4"/>
  <c r="DD772" i="4"/>
  <c r="DE773" i="4"/>
  <c r="DC176" i="4"/>
  <c r="DG176" i="4"/>
  <c r="DF55" i="4"/>
  <c r="DG30" i="4"/>
  <c r="DG243" i="4"/>
  <c r="DB655" i="4"/>
  <c r="DG640" i="4"/>
  <c r="DF648" i="4"/>
  <c r="DA830" i="4"/>
  <c r="DE831" i="4"/>
  <c r="DG793" i="4"/>
  <c r="DG801" i="4"/>
  <c r="DF803" i="4"/>
  <c r="DN1183" i="4"/>
  <c r="DP1183" i="4"/>
  <c r="DQ1183" i="4" s="1"/>
  <c r="DR1183" i="4" s="1"/>
  <c r="DN463" i="4"/>
  <c r="DP463" i="4"/>
  <c r="DQ463" i="4" s="1"/>
  <c r="DR463" i="4" s="1"/>
  <c r="DN434" i="4"/>
  <c r="DQ434" i="4"/>
  <c r="DN1007" i="4"/>
  <c r="DP1007" i="4"/>
  <c r="DQ1007" i="4" s="1"/>
  <c r="DR1007" i="4" s="1"/>
  <c r="DN1273" i="4"/>
  <c r="DP1273" i="4"/>
  <c r="DQ1273" i="4" s="1"/>
  <c r="DR1273" i="4" s="1"/>
  <c r="CP89" i="4"/>
  <c r="DN418" i="4"/>
  <c r="DP418" i="4"/>
  <c r="DQ418" i="4" s="1"/>
  <c r="DR418" i="4" s="1"/>
  <c r="DP643" i="4"/>
  <c r="DR638" i="4"/>
  <c r="DN1281" i="4"/>
  <c r="DP1281" i="4"/>
  <c r="DQ1281" i="4" s="1"/>
  <c r="DR1281" i="4" s="1"/>
  <c r="DP637" i="4"/>
  <c r="DN1278" i="4"/>
  <c r="DP1278" i="4"/>
  <c r="DQ1278" i="4" s="1"/>
  <c r="DR1278" i="4" s="1"/>
  <c r="DN628" i="4"/>
  <c r="DP628" i="4"/>
  <c r="DQ628" i="4" s="1"/>
  <c r="DR628" i="4" s="1"/>
  <c r="DP434" i="4"/>
  <c r="DQ1119" i="4"/>
  <c r="DR1119" i="4" s="1"/>
  <c r="DQ637" i="4"/>
  <c r="DN1184" i="4"/>
  <c r="DP1184" i="4"/>
  <c r="DQ1184" i="4" s="1"/>
  <c r="DR1184" i="4" s="1"/>
  <c r="DN1271" i="4"/>
  <c r="DP1271" i="4"/>
  <c r="DQ1271" i="4" s="1"/>
  <c r="DR1271" i="4" s="1"/>
  <c r="DQ643" i="4"/>
  <c r="DM584" i="4"/>
  <c r="DN584" i="4" s="1"/>
  <c r="DP585" i="4"/>
  <c r="DN1274" i="4"/>
  <c r="DP1274" i="4"/>
  <c r="DQ1274" i="4" s="1"/>
  <c r="DR1274" i="4" s="1"/>
  <c r="DN419" i="4"/>
  <c r="DP419" i="4"/>
  <c r="DQ419" i="4" s="1"/>
  <c r="DR419" i="4" s="1"/>
  <c r="CH89" i="4"/>
  <c r="DD830" i="4"/>
  <c r="DB829" i="4"/>
  <c r="BZ1012" i="4"/>
  <c r="CR789" i="4"/>
  <c r="CQ778" i="4"/>
  <c r="BZ399" i="4"/>
  <c r="AH31" i="12"/>
  <c r="AH23" i="12" s="1"/>
  <c r="CK1358" i="4"/>
  <c r="CL1358" i="4" s="1"/>
  <c r="DE99" i="4"/>
  <c r="DE100" i="4" s="1"/>
  <c r="DE102" i="4" s="1"/>
  <c r="CR770" i="4"/>
  <c r="DB1337" i="4"/>
  <c r="DB1342" i="4" s="1"/>
  <c r="CL1326" i="4"/>
  <c r="CW899" i="4"/>
  <c r="CH852" i="4"/>
  <c r="CN1010" i="4"/>
  <c r="BP449" i="4"/>
  <c r="BY214" i="4"/>
  <c r="BV1185" i="4"/>
  <c r="BV1196" i="4" s="1"/>
  <c r="AB39" i="12" s="1"/>
  <c r="AB40" i="12" s="1"/>
  <c r="CL1355" i="4"/>
  <c r="CL1333" i="4" s="1"/>
  <c r="AF18" i="12" s="1"/>
  <c r="CH287" i="4"/>
  <c r="CH288" i="4" s="1"/>
  <c r="BF1357" i="4"/>
  <c r="CG693" i="4"/>
  <c r="BT814" i="4"/>
  <c r="CO449" i="4"/>
  <c r="BN703" i="4"/>
  <c r="CL154" i="4"/>
  <c r="BZ408" i="4"/>
  <c r="BR1012" i="4"/>
  <c r="CF11" i="3" s="1"/>
  <c r="CF13" i="3" s="1"/>
  <c r="BQ1157" i="4"/>
  <c r="BQ1158" i="4" s="1"/>
  <c r="AH34" i="12"/>
  <c r="AH33" i="12" s="1"/>
  <c r="AH24" i="12" s="1"/>
  <c r="AD31" i="12"/>
  <c r="CL273" i="4"/>
  <c r="CZ73" i="3" s="1"/>
  <c r="AH76" i="3"/>
  <c r="CY801" i="4"/>
  <c r="X144" i="9"/>
  <c r="CT273" i="4"/>
  <c r="DH73" i="3" s="1"/>
  <c r="FG20" i="3"/>
  <c r="CU801" i="4"/>
  <c r="CJ897" i="4"/>
  <c r="CP404" i="4"/>
  <c r="CR1088" i="4"/>
  <c r="CS1342" i="4"/>
  <c r="BZ382" i="4"/>
  <c r="DB465" i="4"/>
  <c r="DB470" i="4" s="1"/>
  <c r="DB481" i="4" s="1"/>
  <c r="CJ899" i="4"/>
  <c r="BU1358" i="4"/>
  <c r="BU1360" i="4" s="1"/>
  <c r="CO770" i="4"/>
  <c r="BZ443" i="4"/>
  <c r="CJ770" i="4"/>
  <c r="BX1055" i="4"/>
  <c r="CW440" i="4"/>
  <c r="CO774" i="4"/>
  <c r="DB273" i="4"/>
  <c r="DP73" i="3" s="1"/>
  <c r="CN18" i="3"/>
  <c r="BR468" i="4"/>
  <c r="BX522" i="4"/>
  <c r="BX523" i="4" s="1"/>
  <c r="Q79" i="3"/>
  <c r="CD1347" i="4"/>
  <c r="BV1357" i="4"/>
  <c r="FK20" i="3"/>
  <c r="CP382" i="4"/>
  <c r="CK158" i="4"/>
  <c r="BI1395" i="4"/>
  <c r="CV1356" i="4"/>
  <c r="DA787" i="4"/>
  <c r="CL1341" i="4"/>
  <c r="BV154" i="4"/>
  <c r="CE43" i="3"/>
  <c r="BN1347" i="4"/>
  <c r="DB1332" i="4"/>
  <c r="AJ17" i="12" s="1"/>
  <c r="AG31" i="12"/>
  <c r="CT1340" i="4"/>
  <c r="CE45" i="3"/>
  <c r="CX630" i="4"/>
  <c r="CX621" i="4"/>
  <c r="CX623" i="4" s="1"/>
  <c r="CQ243" i="4"/>
  <c r="BV956" i="4"/>
  <c r="BV957" i="4" s="1"/>
  <c r="BV1203" i="4" s="1"/>
  <c r="BV1204" i="4" s="1"/>
  <c r="CL1347" i="4"/>
  <c r="CL1348" i="4"/>
  <c r="DA1333" i="4"/>
  <c r="AK18" i="12" s="1"/>
  <c r="CO470" i="4"/>
  <c r="CO471" i="4" s="1"/>
  <c r="CH262" i="4"/>
  <c r="CW25" i="4"/>
  <c r="BX1109" i="4"/>
  <c r="BX1110" i="4" s="1"/>
  <c r="DJ584" i="4"/>
  <c r="CC1012" i="4"/>
  <c r="CQ11" i="3" s="1"/>
  <c r="CQ13" i="3" s="1"/>
  <c r="BN612" i="4"/>
  <c r="DA1358" i="4"/>
  <c r="DA1360" i="4" s="1"/>
  <c r="CF675" i="4"/>
  <c r="CP739" i="4"/>
  <c r="CH734" i="4"/>
  <c r="BU55" i="4"/>
  <c r="CG737" i="4"/>
  <c r="BY55" i="4"/>
  <c r="CV449" i="4"/>
  <c r="DB175" i="4"/>
  <c r="DG175" i="4" s="1"/>
  <c r="CM155" i="4"/>
  <c r="CA999" i="4"/>
  <c r="AL49" i="3"/>
  <c r="AD34" i="12"/>
  <c r="AD33" i="12" s="1"/>
  <c r="CM45" i="3"/>
  <c r="DB780" i="4"/>
  <c r="BY1159" i="4"/>
  <c r="BY1161" i="4" s="1"/>
  <c r="CK529" i="4"/>
  <c r="CG739" i="4"/>
  <c r="CG740" i="4" s="1"/>
  <c r="DI297" i="4"/>
  <c r="BV1001" i="4"/>
  <c r="BV1114" i="4" s="1"/>
  <c r="BV1012" i="4"/>
  <c r="BJ1348" i="4"/>
  <c r="BR262" i="4"/>
  <c r="BH1358" i="4"/>
  <c r="BH1359" i="4" s="1"/>
  <c r="CD154" i="4"/>
  <c r="CF774" i="4"/>
  <c r="BR399" i="4"/>
  <c r="CL923" i="4"/>
  <c r="BX615" i="4"/>
  <c r="CL1356" i="4"/>
  <c r="CP803" i="4"/>
  <c r="P80" i="9"/>
  <c r="BS203" i="4"/>
  <c r="BV395" i="4"/>
  <c r="CJ18" i="3"/>
  <c r="R49" i="3"/>
  <c r="P139" i="9"/>
  <c r="AT76" i="3"/>
  <c r="DB330" i="4"/>
  <c r="DA337" i="4"/>
  <c r="DD337" i="4"/>
  <c r="CF1353" i="4"/>
  <c r="H58" i="9"/>
  <c r="BJ825" i="4"/>
  <c r="BT1360" i="4"/>
  <c r="CH41" i="3" s="1"/>
  <c r="CI155" i="4"/>
  <c r="CF787" i="4"/>
  <c r="BV382" i="4"/>
  <c r="CP262" i="4"/>
  <c r="CJ449" i="4"/>
  <c r="CT780" i="4"/>
  <c r="CX24" i="4"/>
  <c r="CP395" i="4"/>
  <c r="AG41" i="12"/>
  <c r="AG88" i="12" s="1"/>
  <c r="CQ1316" i="4"/>
  <c r="DB231" i="4"/>
  <c r="DB234" i="4"/>
  <c r="DB235" i="4"/>
  <c r="DP63" i="3" s="1"/>
  <c r="DB236" i="4"/>
  <c r="DP64" i="3" s="1"/>
  <c r="AJ80" i="9"/>
  <c r="Z49" i="3"/>
  <c r="DI65" i="4"/>
  <c r="DJ65" i="4" s="1"/>
  <c r="DL64" i="4"/>
  <c r="CT639" i="4"/>
  <c r="CS639" i="4" s="1"/>
  <c r="CH1006" i="4"/>
  <c r="CH1008" i="4" s="1"/>
  <c r="CH1012" i="4" s="1"/>
  <c r="BZ1348" i="4"/>
  <c r="CN1356" i="4"/>
  <c r="CX262" i="4"/>
  <c r="BR852" i="4"/>
  <c r="CZ449" i="4"/>
  <c r="CU243" i="4"/>
  <c r="DI151" i="4"/>
  <c r="DI344" i="4"/>
  <c r="DL344" i="4" s="1"/>
  <c r="AP49" i="3"/>
  <c r="CR18" i="3"/>
  <c r="AJ139" i="9"/>
  <c r="CW832" i="4"/>
  <c r="DA529" i="4"/>
  <c r="CD1021" i="4"/>
  <c r="L80" i="9"/>
  <c r="BW243" i="4"/>
  <c r="DF46" i="3"/>
  <c r="CB816" i="4"/>
  <c r="DB110" i="4"/>
  <c r="CO111" i="4"/>
  <c r="BT787" i="4"/>
  <c r="CH829" i="4"/>
  <c r="CH831" i="4" s="1"/>
  <c r="CG831" i="4"/>
  <c r="BY807" i="4"/>
  <c r="CN774" i="4"/>
  <c r="CD662" i="4"/>
  <c r="CD663" i="4" s="1"/>
  <c r="CB18" i="3"/>
  <c r="BN1001" i="4"/>
  <c r="BN1114" i="4" s="1"/>
  <c r="DD440" i="4"/>
  <c r="DD158" i="4"/>
  <c r="DD99" i="4"/>
  <c r="DD100" i="4" s="1"/>
  <c r="DD102" i="4" s="1"/>
  <c r="BZ45" i="3"/>
  <c r="BR465" i="4"/>
  <c r="CL780" i="4"/>
  <c r="CR774" i="4"/>
  <c r="DC243" i="4"/>
  <c r="BN922" i="4"/>
  <c r="CS770" i="4"/>
  <c r="CW773" i="4" s="1"/>
  <c r="CP209" i="4"/>
  <c r="CK897" i="4"/>
  <c r="BZ282" i="4"/>
  <c r="CN67" i="3" s="1"/>
  <c r="CU779" i="4"/>
  <c r="BV1239" i="4"/>
  <c r="BV924" i="4"/>
  <c r="BR409" i="4"/>
  <c r="BE1360" i="4"/>
  <c r="BF1360" i="4" s="1"/>
  <c r="CG671" i="4"/>
  <c r="CJ677" i="4" s="1"/>
  <c r="BM923" i="4"/>
  <c r="BE1359" i="4"/>
  <c r="BF1359" i="4" s="1"/>
  <c r="DB287" i="4"/>
  <c r="DB288" i="4" s="1"/>
  <c r="DI133" i="4"/>
  <c r="DA449" i="4"/>
  <c r="DI449" i="4" s="1"/>
  <c r="DL449" i="4" s="1"/>
  <c r="DM449" i="4" s="1"/>
  <c r="DP449" i="4" s="1"/>
  <c r="DQ449" i="4" s="1"/>
  <c r="BV47" i="4"/>
  <c r="BV409" i="4"/>
  <c r="BZ279" i="4"/>
  <c r="BR259" i="4"/>
  <c r="CR787" i="4"/>
  <c r="BL807" i="4"/>
  <c r="CX409" i="4"/>
  <c r="CG675" i="4"/>
  <c r="BL787" i="4"/>
  <c r="BZ209" i="4"/>
  <c r="CX287" i="4"/>
  <c r="CX288" i="4" s="1"/>
  <c r="CP279" i="4"/>
  <c r="BS999" i="4"/>
  <c r="CG18" i="3" s="1"/>
  <c r="BO999" i="4"/>
  <c r="BL816" i="4"/>
  <c r="BN780" i="4"/>
  <c r="BN787" i="4" s="1"/>
  <c r="CM779" i="4"/>
  <c r="BI158" i="4"/>
  <c r="DB803" i="4"/>
  <c r="BN1239" i="4"/>
  <c r="CT1348" i="4"/>
  <c r="CE203" i="4"/>
  <c r="CX803" i="4"/>
  <c r="CL810" i="4"/>
  <c r="CT630" i="4"/>
  <c r="CA203" i="4"/>
  <c r="BV209" i="4"/>
  <c r="CR831" i="4"/>
  <c r="CJ461" i="4"/>
  <c r="CJ482" i="4" s="1"/>
  <c r="BQ470" i="4"/>
  <c r="BQ480" i="4" s="1"/>
  <c r="CS615" i="4"/>
  <c r="CQ777" i="4"/>
  <c r="BP1333" i="4"/>
  <c r="V49" i="3"/>
  <c r="DO41" i="3"/>
  <c r="BL1159" i="4"/>
  <c r="BL1161" i="4" s="1"/>
  <c r="CQ776" i="4"/>
  <c r="CG897" i="4"/>
  <c r="BN468" i="4"/>
  <c r="BW203" i="4"/>
  <c r="BW999" i="4"/>
  <c r="BV1332" i="4"/>
  <c r="BZ43" i="3"/>
  <c r="BL1157" i="4"/>
  <c r="CJ470" i="4"/>
  <c r="CJ471" i="4" s="1"/>
  <c r="AL76" i="3"/>
  <c r="BP1358" i="4"/>
  <c r="BP1360" i="4" s="1"/>
  <c r="AH49" i="3"/>
  <c r="BH1356" i="4"/>
  <c r="DC801" i="4"/>
  <c r="CB924" i="4"/>
  <c r="CM777" i="4"/>
  <c r="CD273" i="4"/>
  <c r="CR73" i="3" s="1"/>
  <c r="L63" i="3"/>
  <c r="DA1356" i="4"/>
  <c r="CA810" i="4"/>
  <c r="BL470" i="4"/>
  <c r="BA79" i="3"/>
  <c r="AD72" i="3"/>
  <c r="CT803" i="4"/>
  <c r="BJ281" i="4"/>
  <c r="BX71" i="3" s="1"/>
  <c r="BJ208" i="4"/>
  <c r="CT98" i="4"/>
  <c r="BH386" i="4"/>
  <c r="BH403" i="4"/>
  <c r="CA380" i="4"/>
  <c r="CP852" i="4"/>
  <c r="CM776" i="4"/>
  <c r="CB426" i="4"/>
  <c r="CD425" i="4"/>
  <c r="DB395" i="4"/>
  <c r="CP281" i="4"/>
  <c r="DD71" i="3" s="1"/>
  <c r="DL643" i="4"/>
  <c r="CN1158" i="4"/>
  <c r="CN1161" i="4"/>
  <c r="CE611" i="4"/>
  <c r="CK770" i="4"/>
  <c r="BY816" i="4"/>
  <c r="BV408" i="4"/>
  <c r="CP259" i="4"/>
  <c r="BZ207" i="4"/>
  <c r="BM816" i="4"/>
  <c r="CP443" i="4"/>
  <c r="CP446" i="4" s="1"/>
  <c r="CX407" i="4"/>
  <c r="CH399" i="4"/>
  <c r="CR1313" i="4"/>
  <c r="BZ1059" i="4"/>
  <c r="BR12" i="4"/>
  <c r="Z10" i="12"/>
  <c r="BT470" i="4"/>
  <c r="BT480" i="4" s="1"/>
  <c r="CQ779" i="4"/>
  <c r="BX18" i="3"/>
  <c r="CR1158" i="4"/>
  <c r="CZ470" i="4"/>
  <c r="CZ481" i="4" s="1"/>
  <c r="CW615" i="4"/>
  <c r="L8" i="9"/>
  <c r="L54" i="9" s="1"/>
  <c r="L72" i="9" s="1"/>
  <c r="DB1239" i="4"/>
  <c r="AX72" i="3"/>
  <c r="CS1358" i="4"/>
  <c r="CS1360" i="4" s="1"/>
  <c r="CT1360" i="4" s="1"/>
  <c r="BP470" i="4"/>
  <c r="CD852" i="4"/>
  <c r="CD287" i="4"/>
  <c r="CD288" i="4" s="1"/>
  <c r="AJ49" i="3"/>
  <c r="AN79" i="3" s="1"/>
  <c r="CD399" i="4"/>
  <c r="CD90" i="4"/>
  <c r="CN340" i="4"/>
  <c r="CG802" i="4"/>
  <c r="CJ802" i="4"/>
  <c r="CT629" i="4"/>
  <c r="CS634" i="4"/>
  <c r="AX49" i="3"/>
  <c r="BV852" i="4"/>
  <c r="BV287" i="4"/>
  <c r="BV288" i="4" s="1"/>
  <c r="CC923" i="4"/>
  <c r="CD922" i="4"/>
  <c r="CT1006" i="4"/>
  <c r="CT1008" i="4" s="1"/>
  <c r="CT1010" i="4" s="1"/>
  <c r="CT468" i="4"/>
  <c r="DB45" i="3"/>
  <c r="CQ153" i="4"/>
  <c r="CF470" i="4"/>
  <c r="CF897" i="4"/>
  <c r="CY243" i="4"/>
  <c r="DB259" i="4"/>
  <c r="BV465" i="4"/>
  <c r="CC924" i="4"/>
  <c r="CN615" i="4"/>
  <c r="AD41" i="12"/>
  <c r="AD88" i="12" s="1"/>
  <c r="CY41" i="3"/>
  <c r="BZ1358" i="4"/>
  <c r="BY1359" i="4"/>
  <c r="CN787" i="4"/>
  <c r="BV469" i="4"/>
  <c r="CD1356" i="4"/>
  <c r="CD1348" i="4"/>
  <c r="CD1332" i="4"/>
  <c r="AD17" i="12" s="1"/>
  <c r="AD76" i="3"/>
  <c r="CE155" i="4"/>
  <c r="CF770" i="4"/>
  <c r="CU203" i="4"/>
  <c r="CQ203" i="4"/>
  <c r="CT110" i="4"/>
  <c r="CV634" i="4"/>
  <c r="P156" i="9"/>
  <c r="DB154" i="4"/>
  <c r="DG154" i="4" s="1"/>
  <c r="BB76" i="3"/>
  <c r="CI778" i="4"/>
  <c r="CH810" i="4"/>
  <c r="CN1170" i="4"/>
  <c r="CY153" i="4"/>
  <c r="CY611" i="4"/>
  <c r="CM778" i="4"/>
  <c r="CT1239" i="4"/>
  <c r="DC155" i="4"/>
  <c r="CB470" i="4"/>
  <c r="AC69" i="9"/>
  <c r="Y70" i="9"/>
  <c r="CT852" i="4"/>
  <c r="CL83" i="4"/>
  <c r="CL90" i="4" s="1"/>
  <c r="CP55" i="4"/>
  <c r="DB46" i="3"/>
  <c r="L156" i="9"/>
  <c r="CI203" i="4"/>
  <c r="CG774" i="4"/>
  <c r="CG770" i="4"/>
  <c r="CG773" i="4" s="1"/>
  <c r="AP46" i="3"/>
  <c r="CP1059" i="4"/>
  <c r="AB8" i="9"/>
  <c r="CP868" i="4"/>
  <c r="CP876" i="4" s="1"/>
  <c r="CP208" i="4"/>
  <c r="BZ681" i="4"/>
  <c r="BY688" i="4"/>
  <c r="BJ1355" i="4"/>
  <c r="BJ1333" i="4" s="1"/>
  <c r="BI1358" i="4"/>
  <c r="BI1333" i="4"/>
  <c r="AN144" i="9"/>
  <c r="AN86" i="9"/>
  <c r="CX1348" i="4"/>
  <c r="CX1332" i="4"/>
  <c r="AI17" i="12" s="1"/>
  <c r="CX408" i="4"/>
  <c r="CE608" i="4"/>
  <c r="DB852" i="4"/>
  <c r="BP615" i="4"/>
  <c r="CU640" i="4"/>
  <c r="CX465" i="4"/>
  <c r="CX461" i="4" s="1"/>
  <c r="CI243" i="4"/>
  <c r="CA243" i="4"/>
  <c r="CN1313" i="4"/>
  <c r="CV470" i="4"/>
  <c r="CV480" i="4" s="1"/>
  <c r="CX154" i="4"/>
  <c r="BX1358" i="4"/>
  <c r="BX1359" i="4" s="1"/>
  <c r="CT1356" i="4"/>
  <c r="CO615" i="4"/>
  <c r="CH801" i="4"/>
  <c r="CI801" i="4" s="1"/>
  <c r="CB688" i="4"/>
  <c r="CH780" i="4"/>
  <c r="CI777" i="4"/>
  <c r="CP282" i="4"/>
  <c r="DD67" i="3" s="1"/>
  <c r="CJ1360" i="4"/>
  <c r="BI1356" i="4"/>
  <c r="BJ207" i="4"/>
  <c r="CP207" i="4"/>
  <c r="CG789" i="4"/>
  <c r="CG440" i="4"/>
  <c r="BI787" i="4"/>
  <c r="CN770" i="4"/>
  <c r="CN1088" i="4"/>
  <c r="CK615" i="4"/>
  <c r="CW634" i="4"/>
  <c r="CE243" i="4"/>
  <c r="CL998" i="4"/>
  <c r="CL999" i="4" s="1"/>
  <c r="BY1170" i="4"/>
  <c r="BY1177" i="4" s="1"/>
  <c r="BY1360" i="4"/>
  <c r="BZ1360" i="4" s="1"/>
  <c r="CQ30" i="4"/>
  <c r="AB156" i="9"/>
  <c r="BX1333" i="4"/>
  <c r="CX469" i="4"/>
  <c r="BM615" i="4"/>
  <c r="BT1170" i="4"/>
  <c r="BT1177" i="4" s="1"/>
  <c r="BT1313" i="4"/>
  <c r="CN830" i="4"/>
  <c r="CL829" i="4"/>
  <c r="BJ369" i="4"/>
  <c r="T156" i="9"/>
  <c r="CB615" i="4"/>
  <c r="AW79" i="3"/>
  <c r="BI470" i="4"/>
  <c r="BI481" i="4" s="1"/>
  <c r="BW56" i="3" s="1"/>
  <c r="CD209" i="4"/>
  <c r="DA212" i="4"/>
  <c r="CW470" i="4"/>
  <c r="CG158" i="4"/>
  <c r="DA470" i="4"/>
  <c r="DA471" i="4" s="1"/>
  <c r="BR382" i="4"/>
  <c r="BR403" i="4" s="1"/>
  <c r="BV259" i="4"/>
  <c r="Y79" i="3"/>
  <c r="BJ24" i="4"/>
  <c r="BN273" i="4"/>
  <c r="CB73" i="3" s="1"/>
  <c r="BS184" i="4"/>
  <c r="CW529" i="4"/>
  <c r="DB262" i="4"/>
  <c r="CP154" i="4"/>
  <c r="CD468" i="4"/>
  <c r="CH1348" i="4"/>
  <c r="CS1157" i="4"/>
  <c r="BL615" i="4"/>
  <c r="BB49" i="3"/>
  <c r="Z52" i="3"/>
  <c r="BZ1395" i="4"/>
  <c r="BZ1397" i="4" s="1"/>
  <c r="BJ780" i="4"/>
  <c r="BJ787" i="4" s="1"/>
  <c r="Z46" i="3"/>
  <c r="Z45" i="3" s="1"/>
  <c r="AP76" i="3"/>
  <c r="DL134" i="4"/>
  <c r="DM134" i="4" s="1"/>
  <c r="DP134" i="4" s="1"/>
  <c r="CP648" i="4"/>
  <c r="CG615" i="4"/>
  <c r="BN1012" i="4"/>
  <c r="BZ262" i="4"/>
  <c r="DN844" i="4"/>
  <c r="CK470" i="4"/>
  <c r="CF899" i="4"/>
  <c r="BN24" i="4"/>
  <c r="BU615" i="4"/>
  <c r="CQ640" i="4"/>
  <c r="BO810" i="4"/>
  <c r="CO831" i="4"/>
  <c r="CZ529" i="4"/>
  <c r="CL287" i="4"/>
  <c r="CL288" i="4" s="1"/>
  <c r="DB425" i="4"/>
  <c r="CT1258" i="4"/>
  <c r="CT1260" i="4" s="1"/>
  <c r="BZ259" i="4"/>
  <c r="CG461" i="4"/>
  <c r="CC615" i="4"/>
  <c r="CQ155" i="4"/>
  <c r="CW772" i="4"/>
  <c r="CG74" i="4"/>
  <c r="CF461" i="4"/>
  <c r="CF482" i="4" s="1"/>
  <c r="CF615" i="4"/>
  <c r="CL259" i="4"/>
  <c r="CA187" i="4"/>
  <c r="L9" i="9" s="1"/>
  <c r="L109" i="9" s="1"/>
  <c r="CK461" i="4"/>
  <c r="BW801" i="4"/>
  <c r="CD1006" i="4"/>
  <c r="CD1008" i="4" s="1"/>
  <c r="CD1010" i="4" s="1"/>
  <c r="CS1312" i="4"/>
  <c r="CH395" i="4"/>
  <c r="N72" i="3"/>
  <c r="AC45" i="12"/>
  <c r="CP655" i="4"/>
  <c r="AF21" i="12"/>
  <c r="AF25" i="12" s="1"/>
  <c r="CM243" i="4"/>
  <c r="CJ615" i="4"/>
  <c r="CG899" i="4"/>
  <c r="CT648" i="4"/>
  <c r="BZ281" i="4"/>
  <c r="CN71" i="3" s="1"/>
  <c r="CK899" i="4"/>
  <c r="CL852" i="4"/>
  <c r="CB449" i="4"/>
  <c r="CW158" i="4"/>
  <c r="BN399" i="4"/>
  <c r="CZ615" i="4"/>
  <c r="BZ868" i="4"/>
  <c r="BZ876" i="4" s="1"/>
  <c r="CR449" i="4"/>
  <c r="CV816" i="4"/>
  <c r="CT55" i="4"/>
  <c r="AF156" i="9"/>
  <c r="BI615" i="4"/>
  <c r="CU32" i="3"/>
  <c r="Z80" i="9"/>
  <c r="Z81" i="9" s="1"/>
  <c r="AC9" i="12"/>
  <c r="AC13" i="12" s="1"/>
  <c r="CL262" i="4"/>
  <c r="CN426" i="4"/>
  <c r="BT863" i="4"/>
  <c r="DO43" i="3"/>
  <c r="R80" i="3"/>
  <c r="CP425" i="4"/>
  <c r="BV600" i="4"/>
  <c r="CJ1312" i="4"/>
  <c r="CY30" i="4"/>
  <c r="CZ1312" i="4"/>
  <c r="AF33" i="12"/>
  <c r="BJ957" i="4"/>
  <c r="BJ1203" i="4" s="1"/>
  <c r="BJ1204" i="4" s="1"/>
  <c r="CU30" i="4"/>
  <c r="CK1312" i="4"/>
  <c r="AB27" i="12"/>
  <c r="BM158" i="4"/>
  <c r="CG470" i="4"/>
  <c r="CG471" i="4" s="1"/>
  <c r="BN831" i="4"/>
  <c r="CR470" i="4"/>
  <c r="BY802" i="4"/>
  <c r="BT522" i="4"/>
  <c r="BT523" i="4" s="1"/>
  <c r="BJ868" i="4"/>
  <c r="BJ876" i="4" s="1"/>
  <c r="CD24" i="4"/>
  <c r="BN287" i="4"/>
  <c r="BN288" i="4" s="1"/>
  <c r="BZ801" i="4"/>
  <c r="CA801" i="4" s="1"/>
  <c r="CR1161" i="4"/>
  <c r="CF1157" i="4"/>
  <c r="N48" i="3"/>
  <c r="BQ814" i="4"/>
  <c r="CX55" i="4"/>
  <c r="BM1157" i="4"/>
  <c r="AV36" i="3"/>
  <c r="AJ44" i="12"/>
  <c r="AJ65" i="12" s="1"/>
  <c r="CN863" i="4"/>
  <c r="CT83" i="4"/>
  <c r="AI10" i="12"/>
  <c r="AH21" i="9"/>
  <c r="AH23" i="9" s="1"/>
  <c r="H86" i="9"/>
  <c r="H144" i="9"/>
  <c r="DD18" i="3"/>
  <c r="CK677" i="4"/>
  <c r="CG529" i="4"/>
  <c r="BI1158" i="4"/>
  <c r="CD1239" i="4"/>
  <c r="CS1086" i="4"/>
  <c r="BT677" i="4"/>
  <c r="BV1355" i="4"/>
  <c r="BV1333" i="4" s="1"/>
  <c r="BU1356" i="4"/>
  <c r="CT1355" i="4"/>
  <c r="CT1333" i="4" s="1"/>
  <c r="AH18" i="12" s="1"/>
  <c r="CS1333" i="4"/>
  <c r="BY770" i="4"/>
  <c r="CB772" i="4" s="1"/>
  <c r="BY787" i="4"/>
  <c r="CL209" i="4"/>
  <c r="CL279" i="4"/>
  <c r="CZ1157" i="4"/>
  <c r="CZ1086" i="4"/>
  <c r="CK1200" i="4"/>
  <c r="CK1086" i="4"/>
  <c r="CX1006" i="4"/>
  <c r="CX1008" i="4" s="1"/>
  <c r="CX1010" i="4" s="1"/>
  <c r="CX468" i="4"/>
  <c r="BR404" i="4"/>
  <c r="BR408" i="4"/>
  <c r="I52" i="3"/>
  <c r="I80" i="3" s="1"/>
  <c r="BI507" i="4"/>
  <c r="BO793" i="4"/>
  <c r="DB409" i="4"/>
  <c r="CX395" i="4"/>
  <c r="CP399" i="4"/>
  <c r="BN1397" i="4"/>
  <c r="CX1236" i="4"/>
  <c r="CX1240" i="4" s="1"/>
  <c r="BZ287" i="4"/>
  <c r="BZ288" i="4" s="1"/>
  <c r="T52" i="3"/>
  <c r="X80" i="3" s="1"/>
  <c r="BT507" i="4"/>
  <c r="CJ1260" i="4"/>
  <c r="CL1258" i="4"/>
  <c r="CL1260" i="4" s="1"/>
  <c r="DJ300" i="4"/>
  <c r="DK300" i="4" s="1"/>
  <c r="CO1312" i="4"/>
  <c r="CO1086" i="4"/>
  <c r="CO1200" i="4"/>
  <c r="DJ435" i="4"/>
  <c r="BY774" i="4"/>
  <c r="CK449" i="4"/>
  <c r="CO1157" i="4"/>
  <c r="CO1313" i="4" s="1"/>
  <c r="BW810" i="4"/>
  <c r="CO81" i="4"/>
  <c r="CO90" i="4"/>
  <c r="CO1055" i="4" s="1"/>
  <c r="CB897" i="4"/>
  <c r="CB461" i="4"/>
  <c r="CB482" i="4" s="1"/>
  <c r="CX924" i="4"/>
  <c r="CX923" i="4"/>
  <c r="CO832" i="4"/>
  <c r="BR407" i="4"/>
  <c r="BV262" i="4"/>
  <c r="CP408" i="4"/>
  <c r="BJ282" i="4"/>
  <c r="BX67" i="3" s="1"/>
  <c r="DR44" i="3"/>
  <c r="CG545" i="4"/>
  <c r="CG546" i="4" s="1"/>
  <c r="BP562" i="4"/>
  <c r="CS787" i="4"/>
  <c r="CV615" i="4"/>
  <c r="BR47" i="4"/>
  <c r="D15" i="9"/>
  <c r="N11" i="3"/>
  <c r="AG14" i="3"/>
  <c r="CN338" i="4"/>
  <c r="BM470" i="4"/>
  <c r="CP409" i="4"/>
  <c r="CG31" i="4"/>
  <c r="AG16" i="3" s="1"/>
  <c r="BV425" i="4"/>
  <c r="CS774" i="4"/>
  <c r="BR565" i="4"/>
  <c r="BN19" i="4"/>
  <c r="BN25" i="4" s="1"/>
  <c r="DJ436" i="4"/>
  <c r="R6" i="3"/>
  <c r="V58" i="3" s="1"/>
  <c r="CG619" i="4"/>
  <c r="CX556" i="4"/>
  <c r="DA677" i="4"/>
  <c r="BU470" i="4"/>
  <c r="CF677" i="4"/>
  <c r="CF338" i="4"/>
  <c r="AW12" i="3"/>
  <c r="CT654" i="4"/>
  <c r="CP1001" i="4"/>
  <c r="CP1114" i="4" s="1"/>
  <c r="T58" i="3"/>
  <c r="P58" i="3"/>
  <c r="BN1229" i="4"/>
  <c r="BN1231" i="4" s="1"/>
  <c r="Y27" i="12"/>
  <c r="L78" i="3"/>
  <c r="BJ426" i="4"/>
  <c r="CL409" i="4"/>
  <c r="CR339" i="4"/>
  <c r="BN1357" i="4"/>
  <c r="BZ957" i="4"/>
  <c r="BZ1203" i="4" s="1"/>
  <c r="BZ1204" i="4" s="1"/>
  <c r="BH470" i="4"/>
  <c r="Z57" i="3"/>
  <c r="CW1359" i="4"/>
  <c r="DL685" i="4"/>
  <c r="DI686" i="4"/>
  <c r="DJ685" i="4"/>
  <c r="DJ686" i="4" s="1"/>
  <c r="CR557" i="4"/>
  <c r="CT557" i="4" s="1"/>
  <c r="BM688" i="4"/>
  <c r="BN681" i="4"/>
  <c r="BL688" i="4"/>
  <c r="CZ1358" i="4"/>
  <c r="CZ1333" i="4"/>
  <c r="CD262" i="4"/>
  <c r="BP336" i="4"/>
  <c r="CI332" i="4"/>
  <c r="P144" i="9"/>
  <c r="P86" i="9"/>
  <c r="DA1312" i="4"/>
  <c r="DA1200" i="4"/>
  <c r="DA1157" i="4"/>
  <c r="DA1086" i="4"/>
  <c r="CD1358" i="4"/>
  <c r="CC1360" i="4"/>
  <c r="CG1356" i="4"/>
  <c r="CS830" i="4"/>
  <c r="CZ339" i="4"/>
  <c r="BR288" i="4"/>
  <c r="BL619" i="4"/>
  <c r="CT829" i="4"/>
  <c r="CY829" i="4" s="1"/>
  <c r="CI380" i="4"/>
  <c r="CL110" i="4"/>
  <c r="CJ1157" i="4"/>
  <c r="BV279" i="4"/>
  <c r="CD259" i="4"/>
  <c r="CX1239" i="4"/>
  <c r="CZ426" i="4"/>
  <c r="BV807" i="4"/>
  <c r="CP24" i="4"/>
  <c r="CX399" i="4"/>
  <c r="CJ1086" i="4"/>
  <c r="CV1200" i="4"/>
  <c r="AH72" i="3"/>
  <c r="AF10" i="12"/>
  <c r="Z72" i="3"/>
  <c r="BU271" i="4"/>
  <c r="BU272" i="4" s="1"/>
  <c r="BV269" i="4"/>
  <c r="BV271" i="4" s="1"/>
  <c r="DB956" i="4"/>
  <c r="DB957" i="4" s="1"/>
  <c r="DB1203" i="4" s="1"/>
  <c r="DB1204" i="4" s="1"/>
  <c r="CZ112" i="4"/>
  <c r="CH154" i="4"/>
  <c r="BP335" i="4"/>
  <c r="CF340" i="4"/>
  <c r="BX470" i="4"/>
  <c r="BL802" i="4"/>
  <c r="DJ916" i="4"/>
  <c r="P78" i="3"/>
  <c r="CJ338" i="4"/>
  <c r="CR1353" i="4"/>
  <c r="AE10" i="12"/>
  <c r="AP72" i="3"/>
  <c r="BP338" i="4"/>
  <c r="BS243" i="4"/>
  <c r="DL916" i="4"/>
  <c r="DM916" i="4" s="1"/>
  <c r="DP916" i="4" s="1"/>
  <c r="CV338" i="4"/>
  <c r="CQ187" i="4"/>
  <c r="AB9" i="9" s="1"/>
  <c r="AB55" i="9" s="1"/>
  <c r="CS440" i="4"/>
  <c r="N57" i="3"/>
  <c r="CI153" i="4"/>
  <c r="BJ801" i="4"/>
  <c r="BO801" i="4" s="1"/>
  <c r="CS677" i="4"/>
  <c r="CB340" i="4"/>
  <c r="AD57" i="3"/>
  <c r="V60" i="3"/>
  <c r="AB10" i="12"/>
  <c r="N81" i="9"/>
  <c r="N83" i="9"/>
  <c r="N85" i="9" s="1"/>
  <c r="CF1159" i="4"/>
  <c r="CF1161" i="4" s="1"/>
  <c r="CT45" i="3"/>
  <c r="DJ46" i="3"/>
  <c r="P12" i="3"/>
  <c r="CH469" i="4"/>
  <c r="CH470" i="4" s="1"/>
  <c r="AS51" i="3"/>
  <c r="CH72" i="3"/>
  <c r="X16" i="9"/>
  <c r="AL11" i="3"/>
  <c r="DK134" i="4"/>
  <c r="BY213" i="4"/>
  <c r="CL369" i="4"/>
  <c r="CY187" i="4"/>
  <c r="AJ9" i="9" s="1"/>
  <c r="AH9" i="12"/>
  <c r="AI12" i="12" s="1"/>
  <c r="AF8" i="9"/>
  <c r="AT46" i="3"/>
  <c r="AX74" i="3" s="1"/>
  <c r="BZ1239" i="4"/>
  <c r="AG39" i="12"/>
  <c r="DD43" i="3"/>
  <c r="CE793" i="4"/>
  <c r="BS671" i="4"/>
  <c r="AA48" i="12"/>
  <c r="AB71" i="12" s="1"/>
  <c r="BX863" i="4"/>
  <c r="DH43" i="3"/>
  <c r="AH39" i="12"/>
  <c r="AH40" i="12" s="1"/>
  <c r="CM11" i="3"/>
  <c r="CM13" i="3" s="1"/>
  <c r="CD1159" i="4"/>
  <c r="CD1161" i="4" s="1"/>
  <c r="CR45" i="3"/>
  <c r="BR1361" i="4"/>
  <c r="CP41" i="3"/>
  <c r="AJ21" i="9"/>
  <c r="AX36" i="3"/>
  <c r="CK639" i="4"/>
  <c r="AB12" i="3"/>
  <c r="BS187" i="4"/>
  <c r="D9" i="9" s="1"/>
  <c r="AD12" i="3"/>
  <c r="AZ12" i="3"/>
  <c r="CV158" i="4"/>
  <c r="BX449" i="4"/>
  <c r="AW52" i="3"/>
  <c r="DM643" i="4"/>
  <c r="V51" i="3"/>
  <c r="BS801" i="4"/>
  <c r="BV1157" i="4"/>
  <c r="BV1313" i="4" s="1"/>
  <c r="CJ43" i="3"/>
  <c r="CR40" i="3"/>
  <c r="DK41" i="3"/>
  <c r="DC41" i="3"/>
  <c r="L49" i="3"/>
  <c r="L79" i="3" s="1"/>
  <c r="BL90" i="4"/>
  <c r="BV611" i="4"/>
  <c r="V10" i="3"/>
  <c r="CJ214" i="4"/>
  <c r="CD1395" i="4"/>
  <c r="AD45" i="12"/>
  <c r="AD52" i="3"/>
  <c r="CJ212" i="4"/>
  <c r="CH1395" i="4"/>
  <c r="AE45" i="12"/>
  <c r="AH52" i="3"/>
  <c r="BN704" i="4"/>
  <c r="AN52" i="3"/>
  <c r="BU1013" i="4"/>
  <c r="AH80" i="12"/>
  <c r="BV1013" i="4"/>
  <c r="M12" i="3"/>
  <c r="AN12" i="3"/>
  <c r="AV48" i="3"/>
  <c r="CC639" i="4"/>
  <c r="AB50" i="12"/>
  <c r="H24" i="9"/>
  <c r="V15" i="3"/>
  <c r="Q11" i="3"/>
  <c r="U61" i="3" s="1"/>
  <c r="AR16" i="3"/>
  <c r="CZ158" i="4"/>
  <c r="DM436" i="4"/>
  <c r="DN436" i="4" s="1"/>
  <c r="AF9" i="12"/>
  <c r="AG12" i="12" s="1"/>
  <c r="X8" i="9"/>
  <c r="AL46" i="3"/>
  <c r="CB1397" i="4"/>
  <c r="AO52" i="3"/>
  <c r="CL425" i="4"/>
  <c r="CW814" i="4"/>
  <c r="AX51" i="3"/>
  <c r="DI806" i="4"/>
  <c r="DJ806" i="4" s="1"/>
  <c r="CL11" i="3"/>
  <c r="CL13" i="3" s="1"/>
  <c r="CD43" i="3"/>
  <c r="CA11" i="3"/>
  <c r="CA13" i="3" s="1"/>
  <c r="DF72" i="3"/>
  <c r="AI31" i="12"/>
  <c r="DJ41" i="3"/>
  <c r="CS1159" i="4"/>
  <c r="DG45" i="3"/>
  <c r="BM1159" i="4"/>
  <c r="BM1161" i="4" s="1"/>
  <c r="CA45" i="3"/>
  <c r="CV1086" i="4"/>
  <c r="DK43" i="3"/>
  <c r="CW1086" i="4"/>
  <c r="CW1312" i="4"/>
  <c r="CW1157" i="4"/>
  <c r="CW1200" i="4"/>
  <c r="AC80" i="12"/>
  <c r="AV36" i="9"/>
  <c r="BJ22" i="3"/>
  <c r="AI134" i="12"/>
  <c r="P63" i="3"/>
  <c r="DN72" i="3"/>
  <c r="AN50" i="9"/>
  <c r="AR51" i="9" s="1"/>
  <c r="AN104" i="9"/>
  <c r="AR105" i="9" s="1"/>
  <c r="AN61" i="3"/>
  <c r="AR61" i="3"/>
  <c r="AN59" i="3"/>
  <c r="AR59" i="3"/>
  <c r="AZ59" i="3"/>
  <c r="AZ61" i="3"/>
  <c r="BZ90" i="4"/>
  <c r="T74" i="3"/>
  <c r="T45" i="3"/>
  <c r="T73" i="3" s="1"/>
  <c r="AF61" i="3"/>
  <c r="AF59" i="3"/>
  <c r="BA81" i="3"/>
  <c r="CO924" i="4"/>
  <c r="V57" i="3"/>
  <c r="DN43" i="3"/>
  <c r="CA43" i="3"/>
  <c r="CR42" i="3"/>
  <c r="CY43" i="3"/>
  <c r="AI29" i="12"/>
  <c r="AI123" i="12"/>
  <c r="CP1397" i="4"/>
  <c r="BY615" i="4"/>
  <c r="CC1157" i="4"/>
  <c r="CQ43" i="3"/>
  <c r="AJ33" i="12"/>
  <c r="AJ24" i="12" s="1"/>
  <c r="V81" i="3"/>
  <c r="Z81" i="3"/>
  <c r="DF48" i="3"/>
  <c r="DP42" i="3"/>
  <c r="AB61" i="3"/>
  <c r="AB59" i="3"/>
  <c r="AK63" i="3"/>
  <c r="P74" i="3"/>
  <c r="L45" i="3"/>
  <c r="P73" i="3" s="1"/>
  <c r="L74" i="3"/>
  <c r="AJ80" i="12"/>
  <c r="CD72" i="3"/>
  <c r="BV468" i="4"/>
  <c r="BV399" i="4"/>
  <c r="AP60" i="3"/>
  <c r="BJ1236" i="4"/>
  <c r="BJ1240" i="4" s="1"/>
  <c r="R60" i="3"/>
  <c r="U79" i="3"/>
  <c r="R77" i="3"/>
  <c r="CF49" i="3"/>
  <c r="Z27" i="12"/>
  <c r="AL72" i="3"/>
  <c r="X104" i="9"/>
  <c r="X50" i="9"/>
  <c r="AS61" i="3"/>
  <c r="AS59" i="3"/>
  <c r="AV63" i="3"/>
  <c r="AR63" i="3"/>
  <c r="R45" i="3"/>
  <c r="AD59" i="3"/>
  <c r="AD61" i="3"/>
  <c r="Y63" i="3"/>
  <c r="AJ5" i="9"/>
  <c r="AC74" i="3"/>
  <c r="AC45" i="3"/>
  <c r="AK45" i="3"/>
  <c r="BA45" i="3"/>
  <c r="BA74" i="3"/>
  <c r="AG65" i="12"/>
  <c r="CP654" i="4"/>
  <c r="DD15" i="3"/>
  <c r="BF26" i="3"/>
  <c r="AA10" i="12"/>
  <c r="AK80" i="12"/>
  <c r="AK96" i="12" s="1"/>
  <c r="AB88" i="12"/>
  <c r="CF15" i="3"/>
  <c r="CE810" i="4"/>
  <c r="AF22" i="12"/>
  <c r="AF27" i="12"/>
  <c r="AI80" i="12"/>
  <c r="AZ51" i="3"/>
  <c r="CZ515" i="4"/>
  <c r="CZ513" i="4"/>
  <c r="CZ512" i="4"/>
  <c r="CZ500" i="4"/>
  <c r="CZ503" i="4" s="1"/>
  <c r="CZ1407" i="4"/>
  <c r="CZ533" i="4"/>
  <c r="CG708" i="4"/>
  <c r="BV1238" i="4"/>
  <c r="BV1236" i="4"/>
  <c r="BV1240" i="4" s="1"/>
  <c r="BQ1399" i="4"/>
  <c r="DB72" i="3"/>
  <c r="AB9" i="12"/>
  <c r="H8" i="9"/>
  <c r="V46" i="3"/>
  <c r="BW187" i="4"/>
  <c r="H9" i="9" s="1"/>
  <c r="BV281" i="4"/>
  <c r="CJ71" i="3" s="1"/>
  <c r="BV868" i="4"/>
  <c r="BV876" i="4" s="1"/>
  <c r="BV208" i="4"/>
  <c r="BV282" i="4"/>
  <c r="CJ67" i="3" s="1"/>
  <c r="BV207" i="4"/>
  <c r="BV1059" i="4"/>
  <c r="BV404" i="4"/>
  <c r="BW380" i="4"/>
  <c r="AH46" i="3"/>
  <c r="AE9" i="12"/>
  <c r="T8" i="9"/>
  <c r="CH1059" i="4"/>
  <c r="CH207" i="4"/>
  <c r="CH281" i="4"/>
  <c r="CV71" i="3" s="1"/>
  <c r="CH868" i="4"/>
  <c r="CH876" i="4" s="1"/>
  <c r="CH279" i="4"/>
  <c r="CH282" i="4"/>
  <c r="CV67" i="3" s="1"/>
  <c r="CH208" i="4"/>
  <c r="AC83" i="12"/>
  <c r="AC93" i="12" s="1"/>
  <c r="BN1238" i="4"/>
  <c r="BN1236" i="4"/>
  <c r="BN1240" i="4" s="1"/>
  <c r="AF60" i="3"/>
  <c r="AJ60" i="3"/>
  <c r="AX45" i="3"/>
  <c r="I59" i="3"/>
  <c r="I61" i="3"/>
  <c r="AG50" i="12"/>
  <c r="AB24" i="9"/>
  <c r="AP15" i="3"/>
  <c r="AH10" i="12"/>
  <c r="AT72" i="3"/>
  <c r="BB27" i="3"/>
  <c r="BZ425" i="4"/>
  <c r="BX426" i="4"/>
  <c r="AT60" i="3"/>
  <c r="AA81" i="9"/>
  <c r="AA83" i="9"/>
  <c r="AA85" i="9" s="1"/>
  <c r="AF93" i="12"/>
  <c r="AH123" i="12"/>
  <c r="AH29" i="12"/>
  <c r="CC271" i="4"/>
  <c r="CC272" i="4" s="1"/>
  <c r="CD269" i="4"/>
  <c r="CD271" i="4" s="1"/>
  <c r="DN110" i="4"/>
  <c r="BN27" i="3"/>
  <c r="CB1157" i="4"/>
  <c r="CP43" i="3"/>
  <c r="CB1200" i="4"/>
  <c r="AJ50" i="12"/>
  <c r="AN24" i="9"/>
  <c r="AR25" i="9" s="1"/>
  <c r="BB15" i="3"/>
  <c r="BB63" i="3" s="1"/>
  <c r="DB55" i="4"/>
  <c r="DB83" i="4"/>
  <c r="DC30" i="4"/>
  <c r="DP49" i="3"/>
  <c r="BB77" i="3"/>
  <c r="FC20" i="3"/>
  <c r="AD77" i="3"/>
  <c r="DB1238" i="4"/>
  <c r="DB1236" i="4"/>
  <c r="DB1240" i="4" s="1"/>
  <c r="I79" i="3"/>
  <c r="M79" i="3"/>
  <c r="CH425" i="4"/>
  <c r="DL42" i="3"/>
  <c r="AC84" i="12"/>
  <c r="BJ287" i="4"/>
  <c r="BJ288" i="4" s="1"/>
  <c r="BT213" i="4"/>
  <c r="H16" i="9"/>
  <c r="V11" i="3"/>
  <c r="Z59" i="3" s="1"/>
  <c r="AW36" i="3"/>
  <c r="AI21" i="9"/>
  <c r="BX158" i="4"/>
  <c r="DC810" i="4"/>
  <c r="BP1013" i="4"/>
  <c r="CE11" i="3"/>
  <c r="CE13" i="3" s="1"/>
  <c r="CP72" i="3"/>
  <c r="BT1397" i="4"/>
  <c r="BZ1157" i="4"/>
  <c r="BZ1313" i="4" s="1"/>
  <c r="AC39" i="12"/>
  <c r="CN43" i="3"/>
  <c r="BO671" i="4"/>
  <c r="Z48" i="12"/>
  <c r="BA51" i="3"/>
  <c r="DB11" i="3"/>
  <c r="DB13" i="3" s="1"/>
  <c r="BR1238" i="4"/>
  <c r="CX1361" i="4"/>
  <c r="AI34" i="12"/>
  <c r="AI33" i="12" s="1"/>
  <c r="AI24" i="12" s="1"/>
  <c r="CP1361" i="4"/>
  <c r="AG34" i="12"/>
  <c r="AG35" i="12" s="1"/>
  <c r="AG26" i="12" s="1"/>
  <c r="H12" i="3"/>
  <c r="AJ12" i="3"/>
  <c r="BH90" i="4"/>
  <c r="AO48" i="3"/>
  <c r="CL1395" i="4"/>
  <c r="AL52" i="3"/>
  <c r="AF45" i="12"/>
  <c r="CH11" i="3"/>
  <c r="CH13" i="3" s="1"/>
  <c r="AZ48" i="3"/>
  <c r="AD49" i="3"/>
  <c r="BI212" i="4"/>
  <c r="AS12" i="3"/>
  <c r="BY212" i="4"/>
  <c r="CG214" i="4"/>
  <c r="CW213" i="4"/>
  <c r="BY619" i="4"/>
  <c r="AJ16" i="9"/>
  <c r="AX11" i="3"/>
  <c r="CK213" i="4"/>
  <c r="CS213" i="4"/>
  <c r="AR48" i="3"/>
  <c r="X5" i="9"/>
  <c r="CO639" i="4"/>
  <c r="CS619" i="4"/>
  <c r="BT90" i="4"/>
  <c r="BQ212" i="4"/>
  <c r="AF16" i="9"/>
  <c r="AT11" i="3"/>
  <c r="BP619" i="4"/>
  <c r="CK619" i="4"/>
  <c r="CN335" i="4"/>
  <c r="CS212" i="4"/>
  <c r="CR900" i="4"/>
  <c r="BL214" i="4"/>
  <c r="T48" i="3"/>
  <c r="T78" i="3" s="1"/>
  <c r="DL437" i="4"/>
  <c r="CB100" i="4"/>
  <c r="R51" i="3"/>
  <c r="P52" i="3"/>
  <c r="DI844" i="4"/>
  <c r="CH1200" i="4"/>
  <c r="CV43" i="3"/>
  <c r="AE39" i="12"/>
  <c r="BY1013" i="4"/>
  <c r="BQ1013" i="4"/>
  <c r="CH1357" i="4"/>
  <c r="AE31" i="12"/>
  <c r="CH1238" i="4"/>
  <c r="BR1360" i="4"/>
  <c r="CE41" i="3"/>
  <c r="CX1238" i="4"/>
  <c r="BX619" i="4"/>
  <c r="CE612" i="4"/>
  <c r="CZ619" i="4"/>
  <c r="BM212" i="4"/>
  <c r="CQ793" i="4"/>
  <c r="AK28" i="3"/>
  <c r="BP340" i="4"/>
  <c r="CP288" i="4"/>
  <c r="BZ154" i="4"/>
  <c r="BL338" i="4"/>
  <c r="AJ52" i="3"/>
  <c r="AE61" i="12"/>
  <c r="CY671" i="4"/>
  <c r="AI48" i="12"/>
  <c r="CQ671" i="4"/>
  <c r="AG48" i="12"/>
  <c r="CH924" i="4"/>
  <c r="CN1013" i="4"/>
  <c r="AD80" i="12"/>
  <c r="CR1176" i="4"/>
  <c r="CN40" i="3"/>
  <c r="CD1333" i="4"/>
  <c r="AD18" i="12" s="1"/>
  <c r="AD20" i="12"/>
  <c r="AD21" i="12" s="1"/>
  <c r="CX41" i="3"/>
  <c r="AG20" i="12"/>
  <c r="AG21" i="12" s="1"/>
  <c r="CD1357" i="4"/>
  <c r="CC100" i="4"/>
  <c r="N49" i="3"/>
  <c r="N79" i="3" s="1"/>
  <c r="BJ209" i="4"/>
  <c r="AN16" i="9"/>
  <c r="BB11" i="3"/>
  <c r="DA112" i="4"/>
  <c r="T11" i="3"/>
  <c r="BA12" i="3"/>
  <c r="BP158" i="4"/>
  <c r="BT336" i="4"/>
  <c r="CZ338" i="4"/>
  <c r="CY136" i="4"/>
  <c r="U48" i="3"/>
  <c r="BZ1013" i="4"/>
  <c r="BT426" i="4"/>
  <c r="AT51" i="3"/>
  <c r="CE671" i="4"/>
  <c r="AD48" i="12"/>
  <c r="AE71" i="12" s="1"/>
  <c r="CI11" i="3"/>
  <c r="CI13" i="3" s="1"/>
  <c r="CL956" i="4"/>
  <c r="CS214" i="4"/>
  <c r="Z48" i="3"/>
  <c r="BM619" i="4"/>
  <c r="AZ36" i="3"/>
  <c r="DA639" i="4"/>
  <c r="BA36" i="3"/>
  <c r="Q10" i="3"/>
  <c r="AF12" i="3"/>
  <c r="X16" i="3"/>
  <c r="DI426" i="4"/>
  <c r="Q48" i="3"/>
  <c r="Q78" i="3" s="1"/>
  <c r="BX213" i="4"/>
  <c r="Y52" i="3"/>
  <c r="AC52" i="3"/>
  <c r="AV51" i="3"/>
  <c r="BR924" i="4"/>
  <c r="CU46" i="3"/>
  <c r="CC1159" i="4"/>
  <c r="CC1161" i="4" s="1"/>
  <c r="CQ45" i="3"/>
  <c r="BZ1357" i="4"/>
  <c r="BR1357" i="4"/>
  <c r="DF41" i="3"/>
  <c r="CJ40" i="3"/>
  <c r="CZ1159" i="4"/>
  <c r="CZ1161" i="4" s="1"/>
  <c r="DN45" i="3"/>
  <c r="CH953" i="4"/>
  <c r="CG956" i="4"/>
  <c r="CG1109" i="4" s="1"/>
  <c r="CG1110" i="4" s="1"/>
  <c r="CL1185" i="4"/>
  <c r="CL1196" i="4" s="1"/>
  <c r="AF41" i="12"/>
  <c r="AL57" i="3"/>
  <c r="FG16" i="3"/>
  <c r="CT608" i="4"/>
  <c r="BI807" i="4"/>
  <c r="BI816" i="4"/>
  <c r="AF35" i="12"/>
  <c r="AF26" i="12" s="1"/>
  <c r="AF29" i="12"/>
  <c r="N77" i="3"/>
  <c r="CB49" i="3"/>
  <c r="CV830" i="4"/>
  <c r="CS825" i="4"/>
  <c r="CW831" i="4"/>
  <c r="Y50" i="12"/>
  <c r="J15" i="3"/>
  <c r="J63" i="3" s="1"/>
  <c r="BJ83" i="4"/>
  <c r="AH77" i="3"/>
  <c r="CV49" i="3"/>
  <c r="CD1238" i="4"/>
  <c r="CD1236" i="4"/>
  <c r="CD1240" i="4" s="1"/>
  <c r="AJ123" i="12"/>
  <c r="AJ29" i="12"/>
  <c r="AJ35" i="12"/>
  <c r="AJ26" i="12" s="1"/>
  <c r="BB72" i="3"/>
  <c r="AN63" i="3"/>
  <c r="Y74" i="3"/>
  <c r="Y45" i="3"/>
  <c r="AW45" i="3"/>
  <c r="AW74" i="3"/>
  <c r="BJ279" i="4"/>
  <c r="Y9" i="12"/>
  <c r="J46" i="3"/>
  <c r="BR1358" i="4"/>
  <c r="BQ1359" i="4"/>
  <c r="AZ45" i="3"/>
  <c r="AZ74" i="3"/>
  <c r="CX425" i="4"/>
  <c r="CV426" i="4"/>
  <c r="AX81" i="3"/>
  <c r="BB81" i="3"/>
  <c r="CN15" i="3"/>
  <c r="BX214" i="4"/>
  <c r="AH88" i="12"/>
  <c r="CX1185" i="4"/>
  <c r="CX1196" i="4" s="1"/>
  <c r="CX1312" i="4" s="1"/>
  <c r="AI41" i="12"/>
  <c r="BU1157" i="4"/>
  <c r="CI43" i="3"/>
  <c r="BU1200" i="4"/>
  <c r="BW48" i="3"/>
  <c r="DG43" i="3"/>
  <c r="CJ42" i="3"/>
  <c r="AE29" i="12"/>
  <c r="AX77" i="3"/>
  <c r="DL49" i="3"/>
  <c r="N60" i="3"/>
  <c r="AO59" i="3"/>
  <c r="AO61" i="3"/>
  <c r="BV10" i="3"/>
  <c r="BV12" i="3" s="1"/>
  <c r="CE48" i="3"/>
  <c r="CO1008" i="4"/>
  <c r="CO1017" i="4"/>
  <c r="BY830" i="4"/>
  <c r="CB830" i="4"/>
  <c r="BZ829" i="4"/>
  <c r="BY825" i="4"/>
  <c r="CJ49" i="3"/>
  <c r="V77" i="3"/>
  <c r="BR443" i="4"/>
  <c r="AZ84" i="9"/>
  <c r="AZ142" i="9"/>
  <c r="Y85" i="12"/>
  <c r="Y95" i="12" s="1"/>
  <c r="L61" i="3"/>
  <c r="L59" i="3"/>
  <c r="BZ639" i="4"/>
  <c r="BZ648" i="4"/>
  <c r="P116" i="9"/>
  <c r="P18" i="9"/>
  <c r="P62" i="9"/>
  <c r="CP110" i="4"/>
  <c r="CP111" i="4" s="1"/>
  <c r="AP27" i="3"/>
  <c r="AK61" i="3"/>
  <c r="AK59" i="3"/>
  <c r="CP98" i="4"/>
  <c r="AS74" i="3"/>
  <c r="AS45" i="3"/>
  <c r="AV81" i="3"/>
  <c r="DB48" i="3"/>
  <c r="CM46" i="3"/>
  <c r="AE20" i="12"/>
  <c r="AE21" i="12" s="1"/>
  <c r="CT425" i="4"/>
  <c r="CR426" i="4"/>
  <c r="AC61" i="3"/>
  <c r="AC59" i="3"/>
  <c r="AG59" i="3"/>
  <c r="AB75" i="9"/>
  <c r="AB133" i="9"/>
  <c r="AD10" i="12"/>
  <c r="AD27" i="12"/>
  <c r="AV135" i="9"/>
  <c r="AV77" i="9"/>
  <c r="R72" i="3"/>
  <c r="CV42" i="3"/>
  <c r="AG123" i="12"/>
  <c r="AG29" i="12"/>
  <c r="DI1188" i="4"/>
  <c r="AE80" i="12"/>
  <c r="BU829" i="4"/>
  <c r="BU780" i="4"/>
  <c r="BV779" i="4"/>
  <c r="Z60" i="3"/>
  <c r="Y22" i="3"/>
  <c r="CK825" i="4"/>
  <c r="CN832" i="4" s="1"/>
  <c r="CK830" i="4"/>
  <c r="CK831" i="4"/>
  <c r="CH110" i="4"/>
  <c r="AH27" i="3"/>
  <c r="AC27" i="12"/>
  <c r="AC10" i="12"/>
  <c r="AB104" i="9"/>
  <c r="AB50" i="9"/>
  <c r="BR280" i="4"/>
  <c r="DL1124" i="4"/>
  <c r="DJ1124" i="4"/>
  <c r="CS271" i="4"/>
  <c r="CV272" i="4" s="1"/>
  <c r="CT269" i="4"/>
  <c r="CT271" i="4" s="1"/>
  <c r="V72" i="3"/>
  <c r="CD110" i="4"/>
  <c r="CD111" i="4" s="1"/>
  <c r="AF104" i="9"/>
  <c r="AF50" i="9"/>
  <c r="AF5" i="9"/>
  <c r="AV59" i="3"/>
  <c r="AV61" i="3"/>
  <c r="BO184" i="4"/>
  <c r="BN280" i="4"/>
  <c r="AF23" i="12"/>
  <c r="AG22" i="12"/>
  <c r="DL40" i="3"/>
  <c r="CS807" i="4"/>
  <c r="CV814" i="4" s="1"/>
  <c r="AO63" i="3"/>
  <c r="U45" i="3"/>
  <c r="U74" i="3"/>
  <c r="Z77" i="3"/>
  <c r="CN49" i="3"/>
  <c r="BY401" i="4"/>
  <c r="CB401" i="4"/>
  <c r="AF80" i="12"/>
  <c r="AB80" i="12"/>
  <c r="BJ280" i="4"/>
  <c r="AS81" i="3"/>
  <c r="AW81" i="3"/>
  <c r="BT158" i="4"/>
  <c r="CG213" i="4"/>
  <c r="BL449" i="4"/>
  <c r="AK12" i="3"/>
  <c r="I48" i="3"/>
  <c r="I78" i="3" s="1"/>
  <c r="BX1397" i="4"/>
  <c r="BJ403" i="4"/>
  <c r="BX212" i="4"/>
  <c r="CW639" i="4"/>
  <c r="CV619" i="4"/>
  <c r="BA48" i="3"/>
  <c r="CV213" i="4"/>
  <c r="AA39" i="12"/>
  <c r="CF43" i="3"/>
  <c r="CX72" i="3"/>
  <c r="DD40" i="3"/>
  <c r="AR49" i="3"/>
  <c r="AC12" i="3"/>
  <c r="CD98" i="4"/>
  <c r="I12" i="3"/>
  <c r="CG639" i="4"/>
  <c r="Z9" i="12"/>
  <c r="N46" i="3"/>
  <c r="DM300" i="4"/>
  <c r="DP300" i="4" s="1"/>
  <c r="AD9" i="12"/>
  <c r="P8" i="9"/>
  <c r="AD46" i="3"/>
  <c r="U52" i="3"/>
  <c r="U80" i="3" s="1"/>
  <c r="L161" i="9"/>
  <c r="CN11" i="3"/>
  <c r="BL1013" i="4"/>
  <c r="BR154" i="4"/>
  <c r="R76" i="3"/>
  <c r="Y65" i="12"/>
  <c r="AC71" i="12"/>
  <c r="CX1356" i="4"/>
  <c r="BF1333" i="4"/>
  <c r="DJ72" i="3"/>
  <c r="DI1172" i="4"/>
  <c r="CZ49" i="3"/>
  <c r="AL77" i="3"/>
  <c r="D124" i="9"/>
  <c r="D154" i="9" s="1"/>
  <c r="D68" i="9"/>
  <c r="D95" i="9" s="1"/>
  <c r="P25" i="9"/>
  <c r="H61" i="3"/>
  <c r="H59" i="3"/>
  <c r="AK74" i="3"/>
  <c r="AG45" i="3"/>
  <c r="AG74" i="3"/>
  <c r="AO74" i="3"/>
  <c r="AO45" i="3"/>
  <c r="Y61" i="3"/>
  <c r="Y59" i="3"/>
  <c r="BV369" i="4"/>
  <c r="T104" i="9"/>
  <c r="T50" i="9"/>
  <c r="T5" i="9"/>
  <c r="AG8" i="12"/>
  <c r="AG75" i="12"/>
  <c r="X48" i="3"/>
  <c r="AJ74" i="3"/>
  <c r="AJ45" i="3"/>
  <c r="AJ73" i="3" s="1"/>
  <c r="DB1395" i="4"/>
  <c r="BB52" i="3"/>
  <c r="AJ45" i="12"/>
  <c r="CJ15" i="3"/>
  <c r="FC16" i="3"/>
  <c r="AH57" i="3"/>
  <c r="CR15" i="3"/>
  <c r="CT43" i="3"/>
  <c r="AE27" i="12"/>
  <c r="AE22" i="12"/>
  <c r="FS16" i="3"/>
  <c r="AX57" i="3"/>
  <c r="BT1159" i="4"/>
  <c r="CH45" i="3"/>
  <c r="DD42" i="3"/>
  <c r="DP41" i="3"/>
  <c r="BV13" i="3"/>
  <c r="CG1159" i="4"/>
  <c r="CU45" i="3"/>
  <c r="L62" i="9"/>
  <c r="L116" i="9"/>
  <c r="L18" i="9"/>
  <c r="BA61" i="3"/>
  <c r="BA59" i="3"/>
  <c r="AT57" i="3"/>
  <c r="FO16" i="3"/>
  <c r="Z50" i="12"/>
  <c r="AA73" i="12" s="1"/>
  <c r="N15" i="3"/>
  <c r="BR55" i="4"/>
  <c r="BN83" i="4"/>
  <c r="BN55" i="4"/>
  <c r="BS30" i="4"/>
  <c r="CT924" i="4"/>
  <c r="CT923" i="4"/>
  <c r="FW16" i="3"/>
  <c r="BB57" i="3"/>
  <c r="CL1238" i="4"/>
  <c r="CL1236" i="4"/>
  <c r="CL1240" i="4" s="1"/>
  <c r="L12" i="3"/>
  <c r="BL25" i="4"/>
  <c r="H75" i="9"/>
  <c r="H133" i="9"/>
  <c r="D6" i="9"/>
  <c r="D108" i="9"/>
  <c r="D129" i="9" s="1"/>
  <c r="D54" i="9"/>
  <c r="D72" i="9" s="1"/>
  <c r="D28" i="9"/>
  <c r="CI611" i="4"/>
  <c r="AH13" i="3"/>
  <c r="P61" i="3"/>
  <c r="P59" i="3"/>
  <c r="X133" i="9"/>
  <c r="X75" i="9"/>
  <c r="CP369" i="4"/>
  <c r="FK16" i="3"/>
  <c r="AP57" i="3"/>
  <c r="DJ43" i="3"/>
  <c r="CZ42" i="3"/>
  <c r="P104" i="9"/>
  <c r="P50" i="9"/>
  <c r="BQ92" i="4"/>
  <c r="D50" i="9"/>
  <c r="D104" i="9"/>
  <c r="M74" i="3"/>
  <c r="M45" i="3"/>
  <c r="J77" i="3"/>
  <c r="BX49" i="3"/>
  <c r="R57" i="3"/>
  <c r="CF1109" i="4"/>
  <c r="CF1110" i="4" s="1"/>
  <c r="CK816" i="4"/>
  <c r="CK807" i="4"/>
  <c r="CN814" i="4" s="1"/>
  <c r="BN425" i="4"/>
  <c r="BL426" i="4"/>
  <c r="CG816" i="4"/>
  <c r="CG807" i="4"/>
  <c r="DH49" i="3"/>
  <c r="AT77" i="3"/>
  <c r="DJ1270" i="4"/>
  <c r="DJ1282" i="4" s="1"/>
  <c r="DL1270" i="4"/>
  <c r="DM1270" i="4" s="1"/>
  <c r="CO803" i="4"/>
  <c r="CK803" i="4"/>
  <c r="CN802" i="4"/>
  <c r="AX60" i="3"/>
  <c r="L104" i="9"/>
  <c r="L50" i="9"/>
  <c r="AG10" i="12"/>
  <c r="CP1236" i="4"/>
  <c r="CP1240" i="4" s="1"/>
  <c r="AJ6" i="9"/>
  <c r="AJ108" i="9"/>
  <c r="AJ129" i="9" s="1"/>
  <c r="AJ28" i="9"/>
  <c r="AJ54" i="9"/>
  <c r="AJ72" i="9" s="1"/>
  <c r="AT58" i="3"/>
  <c r="AP58" i="3"/>
  <c r="AJ61" i="3"/>
  <c r="AJ59" i="3"/>
  <c r="I74" i="3"/>
  <c r="I45" i="3"/>
  <c r="I73" i="3" s="1"/>
  <c r="AF74" i="3"/>
  <c r="AB45" i="3"/>
  <c r="AF73" i="3" s="1"/>
  <c r="AB74" i="3"/>
  <c r="AC63" i="3"/>
  <c r="BE26" i="3"/>
  <c r="AW61" i="3"/>
  <c r="AW59" i="3"/>
  <c r="CT1238" i="4"/>
  <c r="CT1236" i="4"/>
  <c r="CT1240" i="4" s="1"/>
  <c r="X63" i="3"/>
  <c r="DI901" i="4"/>
  <c r="CL46" i="3"/>
  <c r="BX1313" i="4"/>
  <c r="BX1170" i="4"/>
  <c r="BZ1236" i="4"/>
  <c r="BZ1240" i="4" s="1"/>
  <c r="BV648" i="4"/>
  <c r="BV639" i="4"/>
  <c r="BU639" i="4" s="1"/>
  <c r="M63" i="3"/>
  <c r="BF27" i="3"/>
  <c r="AT81" i="3"/>
  <c r="AP22" i="3"/>
  <c r="AB36" i="9"/>
  <c r="Y61" i="12"/>
  <c r="BW11" i="3"/>
  <c r="BW13" i="3" s="1"/>
  <c r="BR369" i="4"/>
  <c r="BI90" i="4"/>
  <c r="BN48" i="4"/>
  <c r="J11" i="3"/>
  <c r="AO12" i="3"/>
  <c r="CX369" i="4"/>
  <c r="BR469" i="4"/>
  <c r="CN140" i="4"/>
  <c r="M52" i="3"/>
  <c r="CH1001" i="4"/>
  <c r="CH1114" i="4" s="1"/>
  <c r="CV18" i="3"/>
  <c r="BZ1238" i="4"/>
  <c r="CV40" i="3"/>
  <c r="BZ1361" i="4"/>
  <c r="CT288" i="4"/>
  <c r="AG80" i="12"/>
  <c r="AB83" i="12"/>
  <c r="AB93" i="12" s="1"/>
  <c r="AF139" i="9"/>
  <c r="AF80" i="9"/>
  <c r="AB49" i="3"/>
  <c r="AB79" i="3" s="1"/>
  <c r="CF212" i="4"/>
  <c r="CX403" i="4"/>
  <c r="CO212" i="4"/>
  <c r="CO213" i="4"/>
  <c r="Y12" i="3"/>
  <c r="CJ100" i="4"/>
  <c r="CR140" i="4"/>
  <c r="CC213" i="4"/>
  <c r="CB158" i="4"/>
  <c r="BM213" i="4"/>
  <c r="CQ136" i="4"/>
  <c r="AK52" i="3"/>
  <c r="CM671" i="4"/>
  <c r="AF48" i="12"/>
  <c r="CY810" i="4"/>
  <c r="BN1013" i="4"/>
  <c r="BI1013" i="4"/>
  <c r="CD11" i="3"/>
  <c r="CD13" i="3" s="1"/>
  <c r="Z80" i="12"/>
  <c r="AB16" i="9"/>
  <c r="AB18" i="9" s="1"/>
  <c r="AP11" i="3"/>
  <c r="BU90" i="4"/>
  <c r="CP403" i="4"/>
  <c r="CE153" i="4"/>
  <c r="BR1239" i="4"/>
  <c r="U12" i="3"/>
  <c r="AV12" i="3"/>
  <c r="CF335" i="4"/>
  <c r="BI213" i="4"/>
  <c r="BN209" i="4"/>
  <c r="CJ158" i="4"/>
  <c r="BP214" i="4"/>
  <c r="Y48" i="3"/>
  <c r="DB279" i="4"/>
  <c r="AJ9" i="12"/>
  <c r="AN8" i="9"/>
  <c r="BB46" i="3"/>
  <c r="AG52" i="3"/>
  <c r="AF52" i="3"/>
  <c r="AF80" i="3" s="1"/>
  <c r="BX677" i="4"/>
  <c r="CH1361" i="4"/>
  <c r="AE34" i="12"/>
  <c r="AE33" i="12" s="1"/>
  <c r="CP1238" i="4"/>
  <c r="BZ72" i="3"/>
  <c r="BJ1357" i="4"/>
  <c r="CX1360" i="4"/>
  <c r="AT49" i="3"/>
  <c r="CC619" i="4"/>
  <c r="DA214" i="4"/>
  <c r="CJ619" i="4"/>
  <c r="DI67" i="4"/>
  <c r="DJ67" i="4" s="1"/>
  <c r="CN212" i="4"/>
  <c r="Z12" i="3"/>
  <c r="CN158" i="4"/>
  <c r="CR158" i="4"/>
  <c r="CO481" i="4"/>
  <c r="CZ900" i="4"/>
  <c r="CD369" i="4"/>
  <c r="CZ212" i="4"/>
  <c r="AF44" i="12"/>
  <c r="AF65" i="12" s="1"/>
  <c r="BL708" i="4"/>
  <c r="AR51" i="3"/>
  <c r="BT1013" i="4"/>
  <c r="BJ1185" i="4"/>
  <c r="BJ1196" i="4" s="1"/>
  <c r="BJ1200" i="4" s="1"/>
  <c r="Y41" i="12"/>
  <c r="CC1013" i="4"/>
  <c r="BZ11" i="3"/>
  <c r="CL55" i="4"/>
  <c r="AE50" i="12"/>
  <c r="T24" i="9"/>
  <c r="AH15" i="3"/>
  <c r="AH63" i="3" s="1"/>
  <c r="AN5" i="9"/>
  <c r="BJ608" i="4"/>
  <c r="CF25" i="4"/>
  <c r="CF545" i="4" s="1"/>
  <c r="DC175" i="4"/>
  <c r="CO619" i="4"/>
  <c r="DA158" i="4"/>
  <c r="R8" i="3"/>
  <c r="T16" i="9"/>
  <c r="AH11" i="3"/>
  <c r="CF158" i="4"/>
  <c r="CV340" i="4"/>
  <c r="CL1239" i="4"/>
  <c r="BH449" i="4"/>
  <c r="CT369" i="4"/>
  <c r="CJ426" i="4"/>
  <c r="CJ440" i="4" s="1"/>
  <c r="CB43" i="3"/>
  <c r="Z39" i="12"/>
  <c r="Z40" i="12" s="1"/>
  <c r="BR1013" i="4"/>
  <c r="BX1013" i="4"/>
  <c r="BM1013" i="4"/>
  <c r="BZ1356" i="4"/>
  <c r="BR1356" i="4"/>
  <c r="CJ1159" i="4"/>
  <c r="CX45" i="3"/>
  <c r="CL53" i="4"/>
  <c r="CF1312" i="4"/>
  <c r="CY46" i="3"/>
  <c r="CV1312" i="4"/>
  <c r="BU214" i="4"/>
  <c r="AG13" i="12"/>
  <c r="BY663" i="4"/>
  <c r="BY662" i="4" s="1"/>
  <c r="BZ662" i="4" s="1"/>
  <c r="BZ663" i="4" s="1"/>
  <c r="BY618" i="4"/>
  <c r="CB618" i="4"/>
  <c r="BR1236" i="4"/>
  <c r="BR1240" i="4" s="1"/>
  <c r="AG60" i="3"/>
  <c r="AG61" i="3"/>
  <c r="AK60" i="3"/>
  <c r="AD35" i="12"/>
  <c r="AD26" i="12" s="1"/>
  <c r="AD29" i="12"/>
  <c r="AH22" i="12"/>
  <c r="AH27" i="12"/>
  <c r="AD63" i="12"/>
  <c r="AD73" i="12"/>
  <c r="O81" i="9"/>
  <c r="O83" i="9"/>
  <c r="O85" i="9" s="1"/>
  <c r="DI343" i="4"/>
  <c r="BF22" i="3"/>
  <c r="AJ27" i="12"/>
  <c r="AJ10" i="12"/>
  <c r="AS63" i="3"/>
  <c r="AW63" i="3"/>
  <c r="AZ77" i="9"/>
  <c r="AZ135" i="9"/>
  <c r="AV142" i="9"/>
  <c r="AV84" i="9"/>
  <c r="CD469" i="4"/>
  <c r="AH50" i="12"/>
  <c r="AF24" i="9"/>
  <c r="AT15" i="3"/>
  <c r="AX63" i="3" s="1"/>
  <c r="CN1359" i="4"/>
  <c r="CN1360" i="4"/>
  <c r="Q45" i="3"/>
  <c r="Q74" i="3"/>
  <c r="AS79" i="3"/>
  <c r="AO79" i="3"/>
  <c r="AR81" i="3"/>
  <c r="Z88" i="12"/>
  <c r="BU1109" i="4"/>
  <c r="BU1110" i="4" s="1"/>
  <c r="AB86" i="9"/>
  <c r="AB144" i="9"/>
  <c r="DH42" i="3"/>
  <c r="AZ79" i="3"/>
  <c r="X74" i="3"/>
  <c r="X45" i="3"/>
  <c r="BI1313" i="4"/>
  <c r="BW46" i="3"/>
  <c r="DH41" i="3"/>
  <c r="CN42" i="3"/>
  <c r="CD1359" i="4"/>
  <c r="AK79" i="3"/>
  <c r="AG79" i="3"/>
  <c r="CE796" i="4"/>
  <c r="CX43" i="3"/>
  <c r="CZ41" i="3"/>
  <c r="AL27" i="3"/>
  <c r="AV45" i="3"/>
  <c r="AV74" i="3"/>
  <c r="CD1157" i="4"/>
  <c r="CR43" i="3"/>
  <c r="AD39" i="12"/>
  <c r="CH46" i="3"/>
  <c r="DH15" i="3"/>
  <c r="BX1159" i="4"/>
  <c r="CL45" i="3"/>
  <c r="AG27" i="12"/>
  <c r="CP953" i="4"/>
  <c r="CO956" i="4"/>
  <c r="CJ1008" i="4"/>
  <c r="CJ1017" i="4"/>
  <c r="CJ1020" i="4" s="1"/>
  <c r="CJ1021" i="4" s="1"/>
  <c r="BB60" i="3"/>
  <c r="AZ36" i="9"/>
  <c r="BN22" i="3"/>
  <c r="AJ25" i="12"/>
  <c r="DJ347" i="4"/>
  <c r="DL347" i="4"/>
  <c r="CZ1008" i="4"/>
  <c r="CZ1017" i="4"/>
  <c r="CZ1020" i="4" s="1"/>
  <c r="CZ1021" i="4" s="1"/>
  <c r="AJ144" i="9"/>
  <c r="AJ86" i="9"/>
  <c r="M59" i="3"/>
  <c r="M61" i="3"/>
  <c r="AA75" i="12"/>
  <c r="AA8" i="12"/>
  <c r="DC611" i="4"/>
  <c r="CK802" i="4"/>
  <c r="AJ50" i="9"/>
  <c r="AJ104" i="9"/>
  <c r="T79" i="3"/>
  <c r="AN74" i="3"/>
  <c r="AN45" i="3"/>
  <c r="BS810" i="4"/>
  <c r="AJ63" i="3"/>
  <c r="AB80" i="3"/>
  <c r="BX15" i="3"/>
  <c r="AA27" i="12"/>
  <c r="BR1399" i="4"/>
  <c r="AA80" i="12"/>
  <c r="AD60" i="3"/>
  <c r="T139" i="9"/>
  <c r="T80" i="9"/>
  <c r="AZ81" i="3"/>
  <c r="BD24" i="3"/>
  <c r="AP77" i="3"/>
  <c r="DD49" i="3"/>
  <c r="L52" i="3"/>
  <c r="BL1395" i="4"/>
  <c r="BL507" i="4"/>
  <c r="CS1017" i="4"/>
  <c r="CS1008" i="4"/>
  <c r="AC79" i="3"/>
  <c r="BM271" i="4"/>
  <c r="BP272" i="4" s="1"/>
  <c r="BN269" i="4"/>
  <c r="BN271" i="4" s="1"/>
  <c r="H50" i="9"/>
  <c r="H104" i="9"/>
  <c r="DJ110" i="4"/>
  <c r="BJ27" i="3"/>
  <c r="AI8" i="12"/>
  <c r="AI75" i="12"/>
  <c r="BL1358" i="4"/>
  <c r="BL1333" i="4"/>
  <c r="AB115" i="9"/>
  <c r="AB61" i="9"/>
  <c r="AF50" i="12"/>
  <c r="X24" i="9"/>
  <c r="AL15" i="3"/>
  <c r="X79" i="3"/>
  <c r="H74" i="3"/>
  <c r="H45" i="3"/>
  <c r="H73" i="3" s="1"/>
  <c r="AR45" i="3"/>
  <c r="AR74" i="3"/>
  <c r="CH1236" i="4"/>
  <c r="CH1240" i="4" s="1"/>
  <c r="BR425" i="4"/>
  <c r="BP426" i="4"/>
  <c r="AI27" i="12"/>
  <c r="AI22" i="12"/>
  <c r="AD22" i="12"/>
  <c r="CG825" i="4"/>
  <c r="CG832" i="4" s="1"/>
  <c r="CG830" i="4"/>
  <c r="DB1185" i="4"/>
  <c r="DB1196" i="4" s="1"/>
  <c r="AJ41" i="12"/>
  <c r="AF85" i="12"/>
  <c r="X36" i="9"/>
  <c r="AL22" i="3"/>
  <c r="CK271" i="4"/>
  <c r="CN272" i="4" s="1"/>
  <c r="CL269" i="4"/>
  <c r="CL271" i="4" s="1"/>
  <c r="DA271" i="4"/>
  <c r="DB269" i="4"/>
  <c r="DB271" i="4" s="1"/>
  <c r="CH98" i="4"/>
  <c r="L144" i="9"/>
  <c r="L43" i="9"/>
  <c r="L145" i="9" s="1"/>
  <c r="L86" i="9"/>
  <c r="AI13" i="12"/>
  <c r="Y84" i="12"/>
  <c r="Y94" i="12" s="1"/>
  <c r="AX5" i="12"/>
  <c r="AY2" i="12"/>
  <c r="U70" i="9"/>
  <c r="U69" i="9"/>
  <c r="Y69" i="9"/>
  <c r="Q70" i="9"/>
  <c r="Q69" i="9"/>
  <c r="U125" i="9"/>
  <c r="U126" i="9"/>
  <c r="Y125" i="9"/>
  <c r="Q125" i="9"/>
  <c r="Q126" i="9"/>
  <c r="AG70" i="9"/>
  <c r="AG69" i="9"/>
  <c r="AG125" i="9"/>
  <c r="AG126" i="9"/>
  <c r="DJ844" i="4"/>
  <c r="CS49" i="4"/>
  <c r="CS25" i="4"/>
  <c r="DB863" i="4"/>
  <c r="DB866" i="4"/>
  <c r="BY522" i="4"/>
  <c r="BY523" i="4" s="1"/>
  <c r="BZ521" i="4"/>
  <c r="DL277" i="4"/>
  <c r="CG111" i="4"/>
  <c r="CG112" i="4" s="1"/>
  <c r="CG90" i="4"/>
  <c r="CG81" i="4"/>
  <c r="BV608" i="4"/>
  <c r="CA609" i="4"/>
  <c r="CK49" i="4"/>
  <c r="CK25" i="4"/>
  <c r="CN341" i="4"/>
  <c r="CN336" i="4"/>
  <c r="CF1360" i="4"/>
  <c r="CF1359" i="4"/>
  <c r="CA184" i="4"/>
  <c r="BZ280" i="4"/>
  <c r="CG338" i="4"/>
  <c r="CH331" i="4"/>
  <c r="BM449" i="4"/>
  <c r="BN395" i="4"/>
  <c r="CJ336" i="4"/>
  <c r="CJ341" i="4"/>
  <c r="CJ340" i="4"/>
  <c r="BU340" i="4"/>
  <c r="BV333" i="4"/>
  <c r="DA338" i="4"/>
  <c r="DB331" i="4"/>
  <c r="DG331" i="4" s="1"/>
  <c r="CB403" i="4"/>
  <c r="CB386" i="4"/>
  <c r="CP461" i="4"/>
  <c r="CP470" i="4"/>
  <c r="CB522" i="4"/>
  <c r="CB523" i="4" s="1"/>
  <c r="CR213" i="4"/>
  <c r="DI293" i="4"/>
  <c r="BS793" i="4"/>
  <c r="CP1312" i="4"/>
  <c r="CP1157" i="4"/>
  <c r="BZ593" i="4"/>
  <c r="CP807" i="4"/>
  <c r="BR1407" i="4"/>
  <c r="AA44" i="12" s="1"/>
  <c r="AA65" i="12" s="1"/>
  <c r="BR513" i="4"/>
  <c r="BR512" i="4"/>
  <c r="BR515" i="4"/>
  <c r="DI648" i="4"/>
  <c r="DI652" i="4"/>
  <c r="DI610" i="4"/>
  <c r="DI644" i="4"/>
  <c r="CB691" i="4"/>
  <c r="CD684" i="4"/>
  <c r="CC691" i="4"/>
  <c r="CY780" i="4"/>
  <c r="CX770" i="4"/>
  <c r="CX787" i="4"/>
  <c r="CX774" i="4"/>
  <c r="CD807" i="4"/>
  <c r="CC814" i="4"/>
  <c r="CL1010" i="4"/>
  <c r="BM1070" i="4"/>
  <c r="BM1076" i="4"/>
  <c r="BM1078" i="4" s="1"/>
  <c r="CS1070" i="4"/>
  <c r="CS1076" i="4"/>
  <c r="CS1078" i="4" s="1"/>
  <c r="CS1050" i="4"/>
  <c r="BY1071" i="4"/>
  <c r="BY1073" i="4" s="1"/>
  <c r="BY1070" i="4"/>
  <c r="BY1076" i="4"/>
  <c r="BY1077" i="4" s="1"/>
  <c r="BY1050" i="4"/>
  <c r="BZ1294" i="4"/>
  <c r="CB1294" i="4"/>
  <c r="CC1294" i="4" s="1"/>
  <c r="CH1326" i="4"/>
  <c r="CG1325" i="4"/>
  <c r="DA1353" i="4"/>
  <c r="DI1353" i="4" s="1"/>
  <c r="DL1353" i="4" s="1"/>
  <c r="DM1353" i="4" s="1"/>
  <c r="DP1353" i="4" s="1"/>
  <c r="DQ1353" i="4" s="1"/>
  <c r="DB1325" i="4"/>
  <c r="DG1325" i="4" s="1"/>
  <c r="BI271" i="4"/>
  <c r="BL272" i="4" s="1"/>
  <c r="BJ269" i="4"/>
  <c r="BJ271" i="4" s="1"/>
  <c r="DL1194" i="4"/>
  <c r="DM1194" i="4" s="1"/>
  <c r="DJ1194" i="4"/>
  <c r="CG1341" i="4"/>
  <c r="CG1337" i="4"/>
  <c r="CH1338" i="4"/>
  <c r="CG1340" i="4"/>
  <c r="CX1055" i="4"/>
  <c r="CB619" i="4"/>
  <c r="CN111" i="4"/>
  <c r="CN81" i="4"/>
  <c r="CN90" i="4"/>
  <c r="CZ843" i="4"/>
  <c r="DB842" i="4"/>
  <c r="CH866" i="4"/>
  <c r="CH863" i="4"/>
  <c r="CL612" i="4"/>
  <c r="CL48" i="4"/>
  <c r="CL19" i="4"/>
  <c r="CK111" i="4"/>
  <c r="CK90" i="4"/>
  <c r="CK81" i="4"/>
  <c r="CV843" i="4"/>
  <c r="CV844" i="4" s="1"/>
  <c r="CX842" i="4"/>
  <c r="BY339" i="4"/>
  <c r="BZ332" i="4"/>
  <c r="CE332" i="4" s="1"/>
  <c r="CV49" i="4"/>
  <c r="CV25" i="4"/>
  <c r="BN866" i="4"/>
  <c r="BN863" i="4"/>
  <c r="BQ214" i="4"/>
  <c r="BQ522" i="4"/>
  <c r="BQ523" i="4" s="1"/>
  <c r="BR521" i="4"/>
  <c r="BJ333" i="4"/>
  <c r="BI340" i="4"/>
  <c r="CP332" i="4"/>
  <c r="CO339" i="4"/>
  <c r="BL340" i="4"/>
  <c r="CR335" i="4"/>
  <c r="CU136" i="4"/>
  <c r="DB408" i="4"/>
  <c r="DB443" i="4"/>
  <c r="DB404" i="4"/>
  <c r="DB382" i="4"/>
  <c r="CD327" i="4"/>
  <c r="CC335" i="4"/>
  <c r="CF448" i="4"/>
  <c r="CF447" i="4"/>
  <c r="CF446" i="4"/>
  <c r="CF445" i="4"/>
  <c r="CF444" i="4"/>
  <c r="BL522" i="4"/>
  <c r="BL523" i="4" s="1"/>
  <c r="CF213" i="4"/>
  <c r="CV522" i="4"/>
  <c r="CV523" i="4" s="1"/>
  <c r="CG1395" i="4"/>
  <c r="CG507" i="4"/>
  <c r="CO691" i="4"/>
  <c r="CP684" i="4"/>
  <c r="DC671" i="4"/>
  <c r="DL625" i="4"/>
  <c r="DJ625" i="4"/>
  <c r="DI76" i="4"/>
  <c r="CK401" i="4"/>
  <c r="CK1400" i="4" s="1"/>
  <c r="CN401" i="4"/>
  <c r="CR1008" i="4"/>
  <c r="CR1017" i="4"/>
  <c r="CR1020" i="4" s="1"/>
  <c r="CR1021" i="4" s="1"/>
  <c r="BL1070" i="4"/>
  <c r="BL1076" i="4"/>
  <c r="BL1078" i="4" s="1"/>
  <c r="BV1200" i="4"/>
  <c r="CP1200" i="4"/>
  <c r="CW271" i="4"/>
  <c r="CX269" i="4"/>
  <c r="CX271" i="4" s="1"/>
  <c r="CL528" i="4"/>
  <c r="CL280" i="4"/>
  <c r="CM184" i="4"/>
  <c r="DI186" i="4"/>
  <c r="BV863" i="4"/>
  <c r="BV866" i="4"/>
  <c r="BY403" i="4"/>
  <c r="BY386" i="4"/>
  <c r="CO403" i="4"/>
  <c r="CO386" i="4"/>
  <c r="CW403" i="4"/>
  <c r="CW386" i="4"/>
  <c r="CT259" i="4"/>
  <c r="CH461" i="4"/>
  <c r="CH482" i="4" s="1"/>
  <c r="BI619" i="4"/>
  <c r="CJ49" i="4"/>
  <c r="CJ25" i="4"/>
  <c r="BY81" i="4"/>
  <c r="BY90" i="4"/>
  <c r="CC92" i="4" s="1"/>
  <c r="DB209" i="4"/>
  <c r="CG339" i="4"/>
  <c r="BT612" i="4"/>
  <c r="BT19" i="4"/>
  <c r="BX48" i="4"/>
  <c r="BT48" i="4"/>
  <c r="BT24" i="4"/>
  <c r="BV24" i="4" s="1"/>
  <c r="CO158" i="4"/>
  <c r="BU213" i="4"/>
  <c r="CK447" i="4"/>
  <c r="CK446" i="4"/>
  <c r="CK445" i="4"/>
  <c r="CK448" i="4"/>
  <c r="CK444" i="4"/>
  <c r="DA482" i="4"/>
  <c r="DA448" i="4"/>
  <c r="DI448" i="4" s="1"/>
  <c r="DL448" i="4" s="1"/>
  <c r="DM448" i="4" s="1"/>
  <c r="DP448" i="4" s="1"/>
  <c r="DQ448" i="4" s="1"/>
  <c r="DA447" i="4"/>
  <c r="DI447" i="4" s="1"/>
  <c r="DL447" i="4" s="1"/>
  <c r="DM447" i="4" s="1"/>
  <c r="DP447" i="4" s="1"/>
  <c r="DQ447" i="4" s="1"/>
  <c r="DA446" i="4"/>
  <c r="DA445" i="4"/>
  <c r="DI445" i="4" s="1"/>
  <c r="DL445" i="4" s="1"/>
  <c r="DM445" i="4" s="1"/>
  <c r="DP445" i="4" s="1"/>
  <c r="DQ445" i="4" s="1"/>
  <c r="DA444" i="4"/>
  <c r="CP528" i="4"/>
  <c r="CQ184" i="4"/>
  <c r="CP280" i="4"/>
  <c r="BL158" i="4"/>
  <c r="BR332" i="4"/>
  <c r="BQ339" i="4"/>
  <c r="CX332" i="4"/>
  <c r="CW339" i="4"/>
  <c r="CC449" i="4"/>
  <c r="CD395" i="4"/>
  <c r="CC899" i="4"/>
  <c r="CC897" i="4"/>
  <c r="CC896" i="4"/>
  <c r="CC461" i="4"/>
  <c r="CC482" i="4" s="1"/>
  <c r="CC470" i="4"/>
  <c r="BT340" i="4"/>
  <c r="CZ340" i="4"/>
  <c r="DI415" i="4"/>
  <c r="CD1059" i="4"/>
  <c r="CD868" i="4"/>
  <c r="CD876" i="4" s="1"/>
  <c r="CE187" i="4"/>
  <c r="P9" i="9" s="1"/>
  <c r="CD207" i="4"/>
  <c r="CI187" i="4"/>
  <c r="T9" i="9" s="1"/>
  <c r="CD281" i="4"/>
  <c r="CR71" i="3" s="1"/>
  <c r="CD279" i="4"/>
  <c r="CD208" i="4"/>
  <c r="CK340" i="4"/>
  <c r="CL333" i="4"/>
  <c r="BP447" i="4"/>
  <c r="BP446" i="4"/>
  <c r="BP448" i="4"/>
  <c r="BP445" i="4"/>
  <c r="BP482" i="4"/>
  <c r="BP444" i="4"/>
  <c r="CJ448" i="4"/>
  <c r="CJ447" i="4"/>
  <c r="CJ445" i="4"/>
  <c r="CJ446" i="4"/>
  <c r="CJ444" i="4"/>
  <c r="BP522" i="4"/>
  <c r="BP523" i="4" s="1"/>
  <c r="BU1395" i="4"/>
  <c r="BU507" i="4"/>
  <c r="CT1407" i="4"/>
  <c r="CT512" i="4"/>
  <c r="CU490" i="4"/>
  <c r="CT500" i="4"/>
  <c r="CT503" i="4" s="1"/>
  <c r="CT515" i="4"/>
  <c r="CT513" i="4"/>
  <c r="CR1407" i="4"/>
  <c r="CR500" i="4"/>
  <c r="CR503" i="4" s="1"/>
  <c r="CR512" i="4"/>
  <c r="CR533" i="4"/>
  <c r="CR513" i="4"/>
  <c r="CR515" i="4"/>
  <c r="BQ677" i="4"/>
  <c r="BJ1012" i="4"/>
  <c r="BJ1010" i="4"/>
  <c r="BV1037" i="4"/>
  <c r="BR1037" i="4"/>
  <c r="CX866" i="4"/>
  <c r="CX863" i="4"/>
  <c r="BM49" i="4"/>
  <c r="BM25" i="4"/>
  <c r="CK214" i="4"/>
  <c r="BQ611" i="4"/>
  <c r="BR17" i="4"/>
  <c r="BR18" i="4" s="1"/>
  <c r="BV48" i="4" s="1"/>
  <c r="CF49" i="4"/>
  <c r="BX94" i="4"/>
  <c r="BX78" i="4"/>
  <c r="CR1151" i="4"/>
  <c r="CR1057" i="4"/>
  <c r="CR33" i="4"/>
  <c r="CR843" i="4"/>
  <c r="CR844" i="4" s="1"/>
  <c r="CT842" i="4"/>
  <c r="CR1358" i="4"/>
  <c r="CR1333" i="4"/>
  <c r="BX338" i="4"/>
  <c r="CV335" i="4"/>
  <c r="CS403" i="4"/>
  <c r="CS386" i="4"/>
  <c r="BZ328" i="4"/>
  <c r="BY336" i="4"/>
  <c r="CB335" i="4"/>
  <c r="BY449" i="4"/>
  <c r="BZ395" i="4"/>
  <c r="BV1358" i="4"/>
  <c r="BU1359" i="4"/>
  <c r="CF1333" i="4"/>
  <c r="CF1356" i="4"/>
  <c r="BN327" i="4"/>
  <c r="BM335" i="4"/>
  <c r="CS338" i="4"/>
  <c r="CT331" i="4"/>
  <c r="BX403" i="4"/>
  <c r="BX386" i="4"/>
  <c r="BL448" i="4"/>
  <c r="BL482" i="4"/>
  <c r="BZ57" i="3" s="1"/>
  <c r="BL446" i="4"/>
  <c r="BL445" i="4"/>
  <c r="BL447" i="4"/>
  <c r="BL444" i="4"/>
  <c r="CJ691" i="4"/>
  <c r="CK691" i="4"/>
  <c r="CL684" i="4"/>
  <c r="CZ772" i="4"/>
  <c r="CZ773" i="4"/>
  <c r="BM1395" i="4"/>
  <c r="BM507" i="4"/>
  <c r="CU671" i="4"/>
  <c r="CV677" i="4"/>
  <c r="DA772" i="4"/>
  <c r="DA773" i="4"/>
  <c r="CY793" i="4"/>
  <c r="BU677" i="4"/>
  <c r="CR740" i="4"/>
  <c r="CT739" i="4"/>
  <c r="CT740" i="4" s="1"/>
  <c r="DC793" i="4"/>
  <c r="CQ801" i="4"/>
  <c r="CR677" i="4"/>
  <c r="CD774" i="4"/>
  <c r="CD770" i="4"/>
  <c r="CE780" i="4"/>
  <c r="CD787" i="4"/>
  <c r="DA1008" i="4"/>
  <c r="DA1017" i="4"/>
  <c r="DA1076" i="4"/>
  <c r="DA1070" i="4"/>
  <c r="DA1050" i="4"/>
  <c r="CJ401" i="4"/>
  <c r="CG401" i="4"/>
  <c r="CK1076" i="4"/>
  <c r="CK1077" i="4" s="1"/>
  <c r="CK1070" i="4"/>
  <c r="CK1071" i="4"/>
  <c r="CK1073" i="4" s="1"/>
  <c r="CK1050" i="4"/>
  <c r="CB1076" i="4"/>
  <c r="CB1077" i="4" s="1"/>
  <c r="CB1070" i="4"/>
  <c r="CB1050" i="4"/>
  <c r="CB1071" i="4"/>
  <c r="CL1229" i="4"/>
  <c r="CL1231" i="4" s="1"/>
  <c r="CP1357" i="4"/>
  <c r="CV1360" i="4"/>
  <c r="CK212" i="4"/>
  <c r="CM30" i="4"/>
  <c r="CR212" i="4"/>
  <c r="CF740" i="4"/>
  <c r="CJ81" i="4"/>
  <c r="CJ90" i="4"/>
  <c r="CJ111" i="4"/>
  <c r="CX521" i="4"/>
  <c r="CW522" i="4"/>
  <c r="CW523" i="4" s="1"/>
  <c r="CB212" i="4"/>
  <c r="CX612" i="4"/>
  <c r="CX19" i="4"/>
  <c r="CX48" i="4"/>
  <c r="CA793" i="4"/>
  <c r="DA832" i="4"/>
  <c r="CD866" i="4"/>
  <c r="CD863" i="4"/>
  <c r="CW843" i="4"/>
  <c r="CW99" i="4" s="1"/>
  <c r="CK522" i="4"/>
  <c r="CK523" i="4" s="1"/>
  <c r="CL521" i="4"/>
  <c r="CS522" i="4"/>
  <c r="CS523" i="4" s="1"/>
  <c r="CT521" i="4"/>
  <c r="BM522" i="4"/>
  <c r="BM523" i="4" s="1"/>
  <c r="BN521" i="4"/>
  <c r="CG340" i="4"/>
  <c r="CH333" i="4"/>
  <c r="BU339" i="4"/>
  <c r="BV332" i="4"/>
  <c r="CT407" i="4"/>
  <c r="CT465" i="4"/>
  <c r="CT409" i="4"/>
  <c r="CJ335" i="4"/>
  <c r="BH1360" i="4"/>
  <c r="BV327" i="4"/>
  <c r="BU335" i="4"/>
  <c r="DA341" i="4"/>
  <c r="DB328" i="4"/>
  <c r="DG328" i="4" s="1"/>
  <c r="DA336" i="4"/>
  <c r="DA340" i="4"/>
  <c r="DB333" i="4"/>
  <c r="DG333" i="4" s="1"/>
  <c r="CF440" i="4"/>
  <c r="BQ403" i="4"/>
  <c r="BQ386" i="4"/>
  <c r="CK1395" i="4"/>
  <c r="CK507" i="4"/>
  <c r="BT688" i="4"/>
  <c r="BV681" i="4"/>
  <c r="BU688" i="4"/>
  <c r="CZ1107" i="4"/>
  <c r="DB998" i="4"/>
  <c r="DB999" i="4" s="1"/>
  <c r="DB1012" i="4" s="1"/>
  <c r="CS1407" i="4"/>
  <c r="CS513" i="4"/>
  <c r="CS533" i="4"/>
  <c r="CS500" i="4"/>
  <c r="CS503" i="4" s="1"/>
  <c r="CS512" i="4"/>
  <c r="CS515" i="4"/>
  <c r="BP1395" i="4"/>
  <c r="BP507" i="4"/>
  <c r="BR787" i="4"/>
  <c r="DI681" i="4"/>
  <c r="DK637" i="4"/>
  <c r="DJ646" i="4"/>
  <c r="DJ640" i="4"/>
  <c r="CG1071" i="4"/>
  <c r="CG1073" i="4" s="1"/>
  <c r="CG1070" i="4"/>
  <c r="CG1076" i="4"/>
  <c r="CG1077" i="4" s="1"/>
  <c r="CG1050" i="4"/>
  <c r="CT1037" i="4"/>
  <c r="CO1341" i="4"/>
  <c r="CO1337" i="4"/>
  <c r="CP1338" i="4"/>
  <c r="CO1340" i="4"/>
  <c r="CB49" i="4"/>
  <c r="CB25" i="4"/>
  <c r="DB528" i="4"/>
  <c r="DF529" i="4" s="1"/>
  <c r="DB280" i="4"/>
  <c r="DC184" i="4"/>
  <c r="CU154" i="4"/>
  <c r="BI214" i="4"/>
  <c r="CL608" i="4"/>
  <c r="CM609" i="4"/>
  <c r="DB24" i="4"/>
  <c r="BV482" i="4"/>
  <c r="BV446" i="4"/>
  <c r="BV445" i="4"/>
  <c r="BV447" i="4"/>
  <c r="BV448" i="4"/>
  <c r="BU522" i="4"/>
  <c r="BU523" i="4" s="1"/>
  <c r="BI335" i="4"/>
  <c r="BJ327" i="4"/>
  <c r="CP331" i="4"/>
  <c r="CO338" i="4"/>
  <c r="BL335" i="4"/>
  <c r="CR338" i="4"/>
  <c r="CN445" i="4"/>
  <c r="CN448" i="4"/>
  <c r="CN446" i="4"/>
  <c r="CN447" i="4"/>
  <c r="CC338" i="4"/>
  <c r="CD331" i="4"/>
  <c r="CF522" i="4"/>
  <c r="CF523" i="4" s="1"/>
  <c r="CV212" i="4"/>
  <c r="BU482" i="4"/>
  <c r="BU448" i="4"/>
  <c r="BU447" i="4"/>
  <c r="BU446" i="4"/>
  <c r="BU445" i="4"/>
  <c r="BU444" i="4"/>
  <c r="CW1395" i="4"/>
  <c r="CW507" i="4"/>
  <c r="CU793" i="4"/>
  <c r="BM832" i="4"/>
  <c r="BN825" i="4"/>
  <c r="BR1157" i="4"/>
  <c r="BR1200" i="4"/>
  <c r="DL1128" i="4"/>
  <c r="CT1226" i="4"/>
  <c r="CT1229" i="4" s="1"/>
  <c r="CT1231" i="4" s="1"/>
  <c r="CP1325" i="4"/>
  <c r="CO271" i="4"/>
  <c r="CR272" i="4" s="1"/>
  <c r="CP269" i="4"/>
  <c r="CP271" i="4" s="1"/>
  <c r="BH25" i="4"/>
  <c r="BL49" i="4"/>
  <c r="CG403" i="4"/>
  <c r="CG386" i="4"/>
  <c r="CT262" i="4"/>
  <c r="DI172" i="4"/>
  <c r="DL66" i="4"/>
  <c r="DJ66" i="4"/>
  <c r="DA843" i="4"/>
  <c r="DA99" i="4" s="1"/>
  <c r="BT663" i="4"/>
  <c r="BT662" i="4" s="1"/>
  <c r="BV662" i="4" s="1"/>
  <c r="BV663" i="4" s="1"/>
  <c r="BU618" i="4"/>
  <c r="DA619" i="4"/>
  <c r="CR832" i="4"/>
  <c r="BQ336" i="4"/>
  <c r="BR328" i="4"/>
  <c r="BR331" i="4"/>
  <c r="BQ338" i="4"/>
  <c r="CX331" i="4"/>
  <c r="CW338" i="4"/>
  <c r="BM445" i="4"/>
  <c r="BM482" i="4"/>
  <c r="CA57" i="3" s="1"/>
  <c r="BM448" i="4"/>
  <c r="BM446" i="4"/>
  <c r="BM447" i="4"/>
  <c r="BT335" i="4"/>
  <c r="CZ336" i="4"/>
  <c r="CZ341" i="4"/>
  <c r="CO900" i="4"/>
  <c r="CW140" i="4"/>
  <c r="CX135" i="4"/>
  <c r="CD443" i="4"/>
  <c r="CD404" i="4"/>
  <c r="CD408" i="4"/>
  <c r="CE380" i="4"/>
  <c r="CD382" i="4"/>
  <c r="CL328" i="4"/>
  <c r="CK341" i="4"/>
  <c r="CK336" i="4"/>
  <c r="BP403" i="4"/>
  <c r="BP386" i="4"/>
  <c r="CJ403" i="4"/>
  <c r="CJ386" i="4"/>
  <c r="CV447" i="4"/>
  <c r="CV446" i="4"/>
  <c r="CV482" i="4"/>
  <c r="CV448" i="4"/>
  <c r="CV445" i="4"/>
  <c r="CV444" i="4"/>
  <c r="CL739" i="4"/>
  <c r="DB774" i="4"/>
  <c r="DB770" i="4"/>
  <c r="DF773" i="4" s="1"/>
  <c r="DB787" i="4"/>
  <c r="DC780" i="4"/>
  <c r="BQ691" i="4"/>
  <c r="BR684" i="4"/>
  <c r="DI794" i="4"/>
  <c r="DJ915" i="4"/>
  <c r="DI918" i="4"/>
  <c r="DL915" i="4"/>
  <c r="CV1008" i="4"/>
  <c r="CV1017" i="4"/>
  <c r="CV1020" i="4" s="1"/>
  <c r="CV1021" i="4" s="1"/>
  <c r="CW1008" i="4"/>
  <c r="CW1017" i="4"/>
  <c r="CC1076" i="4"/>
  <c r="CC1077" i="4" s="1"/>
  <c r="CC1071" i="4"/>
  <c r="CC1050" i="4"/>
  <c r="CC1070" i="4"/>
  <c r="CP1037" i="4"/>
  <c r="CW214" i="4"/>
  <c r="CW619" i="4"/>
  <c r="CP842" i="4"/>
  <c r="CN843" i="4"/>
  <c r="BJ612" i="4"/>
  <c r="BJ19" i="4"/>
  <c r="CN49" i="4"/>
  <c r="CR49" i="4"/>
  <c r="CN25" i="4"/>
  <c r="CF832" i="4"/>
  <c r="CF111" i="4"/>
  <c r="CF112" i="4" s="1"/>
  <c r="CF90" i="4"/>
  <c r="CF81" i="4"/>
  <c r="CJ529" i="4"/>
  <c r="BL212" i="4"/>
  <c r="CP1239" i="4"/>
  <c r="CV900" i="4"/>
  <c r="CP825" i="4"/>
  <c r="BV83" i="4"/>
  <c r="BW30" i="4"/>
  <c r="BV55" i="4"/>
  <c r="CA30" i="4"/>
  <c r="BZ55" i="4"/>
  <c r="DA1055" i="4"/>
  <c r="DA92" i="4"/>
  <c r="BQ608" i="4"/>
  <c r="BQ616" i="4"/>
  <c r="BT616" i="4"/>
  <c r="BX546" i="4"/>
  <c r="CR107" i="4"/>
  <c r="CR94" i="4"/>
  <c r="CR78" i="4"/>
  <c r="CI793" i="4"/>
  <c r="CB1055" i="4"/>
  <c r="CB92" i="4"/>
  <c r="BX336" i="4"/>
  <c r="CS445" i="4"/>
  <c r="CS448" i="4"/>
  <c r="CS446" i="4"/>
  <c r="CS447" i="4"/>
  <c r="BN259" i="4"/>
  <c r="CD282" i="4"/>
  <c r="CR67" i="3" s="1"/>
  <c r="DI122" i="4"/>
  <c r="BZ333" i="4"/>
  <c r="BY340" i="4"/>
  <c r="CR403" i="4"/>
  <c r="CR386" i="4"/>
  <c r="CN444" i="4"/>
  <c r="CB339" i="4"/>
  <c r="BZ465" i="4"/>
  <c r="BZ470" i="4" s="1"/>
  <c r="BZ409" i="4"/>
  <c r="BZ444" i="4"/>
  <c r="BZ407" i="4"/>
  <c r="DA140" i="4"/>
  <c r="DB135" i="4"/>
  <c r="DG135" i="4" s="1"/>
  <c r="CL1059" i="4"/>
  <c r="CL868" i="4"/>
  <c r="CL876" i="4" s="1"/>
  <c r="CM187" i="4"/>
  <c r="X9" i="9" s="1"/>
  <c r="CL207" i="4"/>
  <c r="CL208" i="4"/>
  <c r="CL281" i="4"/>
  <c r="CZ71" i="3" s="1"/>
  <c r="CL282" i="4"/>
  <c r="CZ67" i="3" s="1"/>
  <c r="BM338" i="4"/>
  <c r="BN331" i="4"/>
  <c r="CS340" i="4"/>
  <c r="CT333" i="4"/>
  <c r="CN213" i="4"/>
  <c r="CN522" i="4"/>
  <c r="CN523" i="4" s="1"/>
  <c r="BW671" i="4"/>
  <c r="CL99" i="4"/>
  <c r="CL100" i="4" s="1"/>
  <c r="CL844" i="4"/>
  <c r="BP688" i="4"/>
  <c r="BR681" i="4"/>
  <c r="BQ688" i="4"/>
  <c r="BU691" i="4"/>
  <c r="BV684" i="4"/>
  <c r="BX691" i="4"/>
  <c r="BU814" i="4"/>
  <c r="BX814" i="4"/>
  <c r="CU810" i="4"/>
  <c r="CG99" i="4"/>
  <c r="CG100" i="4" s="1"/>
  <c r="DN638" i="4"/>
  <c r="CH843" i="4"/>
  <c r="CF99" i="4"/>
  <c r="BP1200" i="4"/>
  <c r="BP1157" i="4"/>
  <c r="DB1010" i="4"/>
  <c r="CG1313" i="4"/>
  <c r="CG1170" i="4"/>
  <c r="BH1076" i="4"/>
  <c r="BH1077" i="4" s="1"/>
  <c r="CZ1071" i="4"/>
  <c r="CZ1076" i="4"/>
  <c r="CZ1077" i="4" s="1"/>
  <c r="CZ1070" i="4"/>
  <c r="CZ1050" i="4"/>
  <c r="BY271" i="4"/>
  <c r="BZ269" i="4"/>
  <c r="BZ271" i="4" s="1"/>
  <c r="BM214" i="4"/>
  <c r="BP212" i="4"/>
  <c r="BT339" i="4"/>
  <c r="CV1313" i="4"/>
  <c r="CV1170" i="4"/>
  <c r="CV1088" i="4"/>
  <c r="CV1072" i="4"/>
  <c r="BI403" i="4"/>
  <c r="BI386" i="4"/>
  <c r="CG691" i="4"/>
  <c r="CH684" i="4"/>
  <c r="CO843" i="4"/>
  <c r="CO99" i="4" s="1"/>
  <c r="CX447" i="4"/>
  <c r="CX445" i="4"/>
  <c r="CX446" i="4"/>
  <c r="CX448" i="4"/>
  <c r="CG522" i="4"/>
  <c r="CG523" i="4" s="1"/>
  <c r="CH521" i="4"/>
  <c r="CO522" i="4"/>
  <c r="CO523" i="4" s="1"/>
  <c r="CP521" i="4"/>
  <c r="BH259" i="4"/>
  <c r="BJ259" i="4" s="1"/>
  <c r="BJ262" i="4"/>
  <c r="BY49" i="4"/>
  <c r="BY25" i="4"/>
  <c r="BV612" i="4"/>
  <c r="BV19" i="4"/>
  <c r="BZ49" i="4" s="1"/>
  <c r="BR866" i="4"/>
  <c r="BR863" i="4"/>
  <c r="BZ482" i="4"/>
  <c r="BZ448" i="4"/>
  <c r="BZ446" i="4"/>
  <c r="BZ445" i="4"/>
  <c r="BZ447" i="4"/>
  <c r="BI482" i="4"/>
  <c r="BW57" i="3" s="1"/>
  <c r="BI448" i="4"/>
  <c r="BI447" i="4"/>
  <c r="BI445" i="4"/>
  <c r="BI446" i="4"/>
  <c r="BI444" i="4"/>
  <c r="CK339" i="4"/>
  <c r="CL332" i="4"/>
  <c r="CL470" i="4"/>
  <c r="CL461" i="4"/>
  <c r="BQ600" i="4"/>
  <c r="DA900" i="4"/>
  <c r="BY600" i="4"/>
  <c r="BZ562" i="4"/>
  <c r="CT612" i="4"/>
  <c r="CT19" i="4"/>
  <c r="CT48" i="4"/>
  <c r="BT212" i="4"/>
  <c r="BU212" i="4"/>
  <c r="CX608" i="4"/>
  <c r="CY609" i="4"/>
  <c r="CW1055" i="4"/>
  <c r="DA213" i="4"/>
  <c r="CG341" i="4"/>
  <c r="CG336" i="4"/>
  <c r="CH328" i="4"/>
  <c r="CS449" i="4"/>
  <c r="CT395" i="4"/>
  <c r="CS899" i="4"/>
  <c r="CS897" i="4"/>
  <c r="CS896" i="4"/>
  <c r="CS461" i="4"/>
  <c r="CS470" i="4"/>
  <c r="CS481" i="4" s="1"/>
  <c r="CO140" i="4"/>
  <c r="CP135" i="4"/>
  <c r="CT1059" i="4"/>
  <c r="CT868" i="4"/>
  <c r="CT876" i="4" s="1"/>
  <c r="CU187" i="4"/>
  <c r="AF9" i="9" s="1"/>
  <c r="CT207" i="4"/>
  <c r="CT208" i="4"/>
  <c r="CT282" i="4"/>
  <c r="DH67" i="3" s="1"/>
  <c r="CT279" i="4"/>
  <c r="CT209" i="4"/>
  <c r="CT281" i="4"/>
  <c r="DH71" i="3" s="1"/>
  <c r="BU338" i="4"/>
  <c r="BV331" i="4"/>
  <c r="DB327" i="4"/>
  <c r="DG327" i="4" s="1"/>
  <c r="DA335" i="4"/>
  <c r="CB448" i="4"/>
  <c r="CB446" i="4"/>
  <c r="CB445" i="4"/>
  <c r="CB447" i="4"/>
  <c r="CB444" i="4"/>
  <c r="CB213" i="4"/>
  <c r="CR522" i="4"/>
  <c r="CR523" i="4" s="1"/>
  <c r="DL426" i="4"/>
  <c r="BN600" i="4"/>
  <c r="CD99" i="4"/>
  <c r="CD844" i="4"/>
  <c r="CV691" i="4"/>
  <c r="CX684" i="4"/>
  <c r="BL677" i="4"/>
  <c r="BM677" i="4"/>
  <c r="CT1312" i="4"/>
  <c r="CT1157" i="4"/>
  <c r="CT1200" i="4"/>
  <c r="DL642" i="4"/>
  <c r="DL640" i="4"/>
  <c r="DN637" i="4"/>
  <c r="CF1008" i="4"/>
  <c r="CF1017" i="4"/>
  <c r="CF1020" i="4" s="1"/>
  <c r="CF1021" i="4" s="1"/>
  <c r="CH1037" i="4"/>
  <c r="BN1037" i="4"/>
  <c r="CH1211" i="4"/>
  <c r="DL1218" i="4"/>
  <c r="BQ271" i="4"/>
  <c r="BR269" i="4"/>
  <c r="BR271" i="4" s="1"/>
  <c r="CX1340" i="4"/>
  <c r="CX1341" i="4"/>
  <c r="BI2" i="4"/>
  <c r="BH3" i="4"/>
  <c r="CP612" i="4"/>
  <c r="CP48" i="4"/>
  <c r="CP19" i="4"/>
  <c r="CW49" i="4"/>
  <c r="CL863" i="4"/>
  <c r="CL866" i="4"/>
  <c r="CD49" i="4"/>
  <c r="CD25" i="4"/>
  <c r="CP866" i="4"/>
  <c r="CP863" i="4"/>
  <c r="CT528" i="4"/>
  <c r="CU184" i="4"/>
  <c r="CT280" i="4"/>
  <c r="BT482" i="4"/>
  <c r="BT448" i="4"/>
  <c r="BT447" i="4"/>
  <c r="BT445" i="4"/>
  <c r="BT446" i="4"/>
  <c r="BT444" i="4"/>
  <c r="CW900" i="4"/>
  <c r="BZ774" i="4"/>
  <c r="BZ770" i="4"/>
  <c r="BZ787" i="4"/>
  <c r="BI522" i="4"/>
  <c r="BI523" i="4" s="1"/>
  <c r="BJ521" i="4"/>
  <c r="BQ213" i="4"/>
  <c r="BI338" i="4"/>
  <c r="BJ331" i="4"/>
  <c r="CO341" i="4"/>
  <c r="CO336" i="4"/>
  <c r="CP328" i="4"/>
  <c r="CP333" i="4"/>
  <c r="CO340" i="4"/>
  <c r="BL339" i="4"/>
  <c r="CR340" i="4"/>
  <c r="CN403" i="4"/>
  <c r="CN386" i="4"/>
  <c r="CS140" i="4"/>
  <c r="CT135" i="4"/>
  <c r="CD328" i="4"/>
  <c r="CC336" i="4"/>
  <c r="BX339" i="4"/>
  <c r="CF403" i="4"/>
  <c r="CF386" i="4"/>
  <c r="BL213" i="4"/>
  <c r="BU403" i="4"/>
  <c r="BU386" i="4"/>
  <c r="CJ1395" i="4"/>
  <c r="CJ507" i="4"/>
  <c r="DA1407" i="4"/>
  <c r="DA533" i="4"/>
  <c r="DI533" i="4" s="1"/>
  <c r="DL533" i="4" s="1"/>
  <c r="DM533" i="4" s="1"/>
  <c r="DP533" i="4" s="1"/>
  <c r="DQ533" i="4" s="1"/>
  <c r="DA513" i="4"/>
  <c r="DA500" i="4"/>
  <c r="DA503" i="4" s="1"/>
  <c r="DA512" i="4"/>
  <c r="DA515" i="4"/>
  <c r="CH556" i="4"/>
  <c r="CI671" i="4"/>
  <c r="CV773" i="4"/>
  <c r="CK1008" i="4"/>
  <c r="CK1017" i="4"/>
  <c r="CB1109" i="4"/>
  <c r="CB1110" i="4" s="1"/>
  <c r="CD956" i="4"/>
  <c r="CR1076" i="4"/>
  <c r="CR1078" i="4" s="1"/>
  <c r="CR1070" i="4"/>
  <c r="CR1050" i="4"/>
  <c r="BX1070" i="4"/>
  <c r="BX1076" i="4"/>
  <c r="BX1077" i="4" s="1"/>
  <c r="BX1071" i="4"/>
  <c r="BX1073" i="4" s="1"/>
  <c r="BX1050" i="4"/>
  <c r="CJ1076" i="4"/>
  <c r="CJ1077" i="4" s="1"/>
  <c r="CJ1070" i="4"/>
  <c r="CJ1071" i="4"/>
  <c r="CJ1050" i="4"/>
  <c r="CP1229" i="4"/>
  <c r="CP1231" i="4" s="1"/>
  <c r="BV1229" i="4"/>
  <c r="BV1231" i="4" s="1"/>
  <c r="DS44" i="3"/>
  <c r="DI1197" i="4"/>
  <c r="DI898" i="4"/>
  <c r="DB1229" i="4"/>
  <c r="DB1231" i="4" s="1"/>
  <c r="CC49" i="4"/>
  <c r="CC25" i="4"/>
  <c r="CG49" i="4"/>
  <c r="CR111" i="4"/>
  <c r="CR81" i="4"/>
  <c r="CR90" i="4"/>
  <c r="CG448" i="4"/>
  <c r="CG446" i="4"/>
  <c r="CG445" i="4"/>
  <c r="CG447" i="4"/>
  <c r="CG444" i="4"/>
  <c r="CW448" i="4"/>
  <c r="CW446" i="4"/>
  <c r="CW445" i="4"/>
  <c r="CW447" i="4"/>
  <c r="CW444" i="4"/>
  <c r="CS843" i="4"/>
  <c r="CS99" i="4" s="1"/>
  <c r="DB612" i="4"/>
  <c r="DG612" i="4" s="1"/>
  <c r="DB48" i="4"/>
  <c r="DB19" i="4"/>
  <c r="DF49" i="4" s="1"/>
  <c r="CL24" i="4"/>
  <c r="BZ866" i="4"/>
  <c r="BZ863" i="4"/>
  <c r="CC212" i="4"/>
  <c r="CW449" i="4"/>
  <c r="BZ25" i="4"/>
  <c r="DA49" i="4"/>
  <c r="DA25" i="4"/>
  <c r="DE54" i="4" s="1"/>
  <c r="CH1355" i="4"/>
  <c r="CH1333" i="4" s="1"/>
  <c r="AE18" i="12" s="1"/>
  <c r="CG1358" i="4"/>
  <c r="CH446" i="4"/>
  <c r="CH448" i="4"/>
  <c r="CH445" i="4"/>
  <c r="CH447" i="4"/>
  <c r="BN868" i="4"/>
  <c r="BN876" i="4" s="1"/>
  <c r="BO187" i="4"/>
  <c r="BN281" i="4"/>
  <c r="CB71" i="3" s="1"/>
  <c r="BN207" i="4"/>
  <c r="BN208" i="4"/>
  <c r="BN279" i="4"/>
  <c r="BN282" i="4"/>
  <c r="CB67" i="3" s="1"/>
  <c r="CC445" i="4"/>
  <c r="CC448" i="4"/>
  <c r="CC446" i="4"/>
  <c r="CC447" i="4"/>
  <c r="CK403" i="4"/>
  <c r="CK386" i="4"/>
  <c r="DA403" i="4"/>
  <c r="DA386" i="4"/>
  <c r="CO214" i="4"/>
  <c r="CG140" i="4"/>
  <c r="CH135" i="4"/>
  <c r="BQ340" i="4"/>
  <c r="BR333" i="4"/>
  <c r="CW341" i="4"/>
  <c r="CW336" i="4"/>
  <c r="CX328" i="4"/>
  <c r="CX333" i="4"/>
  <c r="CW340" i="4"/>
  <c r="BT338" i="4"/>
  <c r="CZ335" i="4"/>
  <c r="BI449" i="4"/>
  <c r="CL327" i="4"/>
  <c r="CK335" i="4"/>
  <c r="CJ213" i="4"/>
  <c r="CZ213" i="4"/>
  <c r="CH1239" i="4"/>
  <c r="CL681" i="4"/>
  <c r="CK688" i="4"/>
  <c r="CN1395" i="4"/>
  <c r="CN507" i="4"/>
  <c r="BY691" i="4"/>
  <c r="BZ684" i="4"/>
  <c r="CR814" i="4"/>
  <c r="CF1076" i="4"/>
  <c r="CF1077" i="4" s="1"/>
  <c r="CF1071" i="4"/>
  <c r="CF1070" i="4"/>
  <c r="CF1050" i="4"/>
  <c r="CB1008" i="4"/>
  <c r="CB1017" i="4"/>
  <c r="CB1020" i="4" s="1"/>
  <c r="CB1021" i="4" s="1"/>
  <c r="BP1076" i="4"/>
  <c r="BP1077" i="4" s="1"/>
  <c r="BP1070" i="4"/>
  <c r="BP1050" i="4"/>
  <c r="BP1071" i="4"/>
  <c r="BU1076" i="4"/>
  <c r="BU1077" i="4" s="1"/>
  <c r="BU1071" i="4"/>
  <c r="BU1070" i="4"/>
  <c r="BU1050" i="4"/>
  <c r="CW1071" i="4"/>
  <c r="CW1070" i="4"/>
  <c r="CW1076" i="4"/>
  <c r="CW1077" i="4" s="1"/>
  <c r="CW1050" i="4"/>
  <c r="CX1050" i="4" s="1"/>
  <c r="CD1037" i="4"/>
  <c r="BJ1037" i="4"/>
  <c r="CO1070" i="4"/>
  <c r="CO1076" i="4"/>
  <c r="CO1078" i="4" s="1"/>
  <c r="CO1050" i="4"/>
  <c r="DI1108" i="4"/>
  <c r="DL1079" i="4"/>
  <c r="DI1103" i="4"/>
  <c r="DI1094" i="4"/>
  <c r="BY158" i="4"/>
  <c r="CF449" i="4"/>
  <c r="CN619" i="4"/>
  <c r="BQ449" i="4"/>
  <c r="BR395" i="4"/>
  <c r="CO49" i="4"/>
  <c r="CO25" i="4"/>
  <c r="BJ863" i="4"/>
  <c r="BR609" i="4"/>
  <c r="CH612" i="4"/>
  <c r="CH19" i="4"/>
  <c r="CH48" i="4"/>
  <c r="BX1057" i="4"/>
  <c r="BX1151" i="4"/>
  <c r="BX33" i="4"/>
  <c r="CR546" i="4"/>
  <c r="BX340" i="4"/>
  <c r="BN262" i="4"/>
  <c r="BV444" i="4"/>
  <c r="BQ158" i="4"/>
  <c r="BY335" i="4"/>
  <c r="BZ327" i="4"/>
  <c r="CN449" i="4"/>
  <c r="CN896" i="4"/>
  <c r="CN461" i="4"/>
  <c r="CN897" i="4"/>
  <c r="CN899" i="4"/>
  <c r="CN470" i="4"/>
  <c r="CB336" i="4"/>
  <c r="CB338" i="4"/>
  <c r="CL408" i="4"/>
  <c r="CL443" i="4"/>
  <c r="CL404" i="4"/>
  <c r="CL382" i="4"/>
  <c r="BN328" i="4"/>
  <c r="BM336" i="4"/>
  <c r="CS341" i="4"/>
  <c r="CT328" i="4"/>
  <c r="CS336" i="4"/>
  <c r="CZ482" i="4"/>
  <c r="CZ448" i="4"/>
  <c r="CZ447" i="4"/>
  <c r="CZ445" i="4"/>
  <c r="CZ446" i="4"/>
  <c r="CZ444" i="4"/>
  <c r="CY203" i="4"/>
  <c r="CX209" i="4"/>
  <c r="CO1395" i="4"/>
  <c r="CO507" i="4"/>
  <c r="CA671" i="4"/>
  <c r="BJ500" i="4"/>
  <c r="BJ503" i="4" s="1"/>
  <c r="BH503" i="4"/>
  <c r="DI607" i="4"/>
  <c r="CN688" i="4"/>
  <c r="CZ814" i="4"/>
  <c r="DB807" i="4"/>
  <c r="DA814" i="4"/>
  <c r="CX807" i="4"/>
  <c r="CV1082" i="4"/>
  <c r="CV1080" i="4"/>
  <c r="CX1078" i="4"/>
  <c r="CW952" i="4"/>
  <c r="DB1037" i="4"/>
  <c r="CG1008" i="4"/>
  <c r="CG1017" i="4"/>
  <c r="CL1037" i="4"/>
  <c r="CX1326" i="4"/>
  <c r="CW1325" i="4"/>
  <c r="CW212" i="4"/>
  <c r="CK1313" i="4"/>
  <c r="CK1170" i="4"/>
  <c r="CK1088" i="4"/>
  <c r="CP90" i="4"/>
  <c r="CP81" i="4"/>
  <c r="CL81" i="4"/>
  <c r="BI339" i="4"/>
  <c r="BJ332" i="4"/>
  <c r="BP49" i="4"/>
  <c r="BP25" i="4"/>
  <c r="BV403" i="4"/>
  <c r="CC522" i="4"/>
  <c r="CC523" i="4" s="1"/>
  <c r="CD521" i="4"/>
  <c r="DA522" i="4"/>
  <c r="DA523" i="4" s="1"/>
  <c r="DI523" i="4" s="1"/>
  <c r="DL523" i="4" s="1"/>
  <c r="DM523" i="4" s="1"/>
  <c r="DP523" i="4" s="1"/>
  <c r="DQ523" i="4" s="1"/>
  <c r="DB521" i="4"/>
  <c r="DF522" i="4" s="1"/>
  <c r="CH327" i="4"/>
  <c r="CG335" i="4"/>
  <c r="BN407" i="4"/>
  <c r="BN465" i="4"/>
  <c r="BN409" i="4"/>
  <c r="AK17" i="12"/>
  <c r="CT443" i="4"/>
  <c r="CT444" i="4" s="1"/>
  <c r="CT404" i="4"/>
  <c r="CT408" i="4"/>
  <c r="CT382" i="4"/>
  <c r="BU336" i="4"/>
  <c r="BV328" i="4"/>
  <c r="DA339" i="4"/>
  <c r="DB332" i="4"/>
  <c r="DG332" i="4" s="1"/>
  <c r="BQ448" i="4"/>
  <c r="BQ482" i="4"/>
  <c r="BQ446" i="4"/>
  <c r="BQ445" i="4"/>
  <c r="BQ447" i="4"/>
  <c r="BQ444" i="4"/>
  <c r="BL691" i="4"/>
  <c r="BN684" i="4"/>
  <c r="BM691" i="4"/>
  <c r="CF688" i="4"/>
  <c r="CH681" i="4"/>
  <c r="CG688" i="4"/>
  <c r="DM642" i="4"/>
  <c r="DM640" i="4"/>
  <c r="BL754" i="4"/>
  <c r="BL749" i="4"/>
  <c r="BM745" i="4"/>
  <c r="BM748" i="4" s="1"/>
  <c r="CH1312" i="4"/>
  <c r="CH1157" i="4"/>
  <c r="BZ1037" i="4"/>
  <c r="CK1353" i="4"/>
  <c r="CL1325" i="4"/>
  <c r="CW1342" i="4"/>
  <c r="CX1337" i="4"/>
  <c r="CX1342" i="4" s="1"/>
  <c r="CH733" i="4"/>
  <c r="CH736" i="4" s="1"/>
  <c r="CH737" i="4"/>
  <c r="CP608" i="4"/>
  <c r="CQ609" i="4"/>
  <c r="CU609" i="4"/>
  <c r="CG212" i="4"/>
  <c r="BJ482" i="4"/>
  <c r="BX57" i="3" s="1"/>
  <c r="BJ445" i="4"/>
  <c r="BJ447" i="4"/>
  <c r="BJ448" i="4"/>
  <c r="BJ446" i="4"/>
  <c r="CZ49" i="4"/>
  <c r="CZ25" i="4"/>
  <c r="DD54" i="4" s="1"/>
  <c r="BT403" i="4"/>
  <c r="BT386" i="4"/>
  <c r="CX444" i="4"/>
  <c r="BU25" i="4"/>
  <c r="CM793" i="4"/>
  <c r="CF341" i="4"/>
  <c r="CF336" i="4"/>
  <c r="CH528" i="4"/>
  <c r="CI184" i="4"/>
  <c r="CH280" i="4"/>
  <c r="BJ328" i="4"/>
  <c r="BI336" i="4"/>
  <c r="CO335" i="4"/>
  <c r="CP327" i="4"/>
  <c r="CN339" i="4"/>
  <c r="BL336" i="4"/>
  <c r="CR336" i="4"/>
  <c r="CR341" i="4"/>
  <c r="DB1059" i="4"/>
  <c r="DB868" i="4"/>
  <c r="DB876" i="4" s="1"/>
  <c r="DC187" i="4"/>
  <c r="AN9" i="9" s="1"/>
  <c r="DB207" i="4"/>
  <c r="DB282" i="4"/>
  <c r="DP67" i="3" s="1"/>
  <c r="DB208" i="4"/>
  <c r="DB281" i="4"/>
  <c r="DP71" i="3" s="1"/>
  <c r="CC340" i="4"/>
  <c r="CD333" i="4"/>
  <c r="DI1255" i="4"/>
  <c r="DJ1255" i="4" s="1"/>
  <c r="DL660" i="4"/>
  <c r="CN677" i="4"/>
  <c r="BL724" i="4"/>
  <c r="BN720" i="4"/>
  <c r="BN724" i="4" s="1"/>
  <c r="CF1395" i="4"/>
  <c r="CF507" i="4"/>
  <c r="DJ647" i="4"/>
  <c r="DK638" i="4"/>
  <c r="BV1407" i="4"/>
  <c r="AB44" i="12" s="1"/>
  <c r="AB65" i="12" s="1"/>
  <c r="BV500" i="4"/>
  <c r="BV503" i="4" s="1"/>
  <c r="BW490" i="4"/>
  <c r="BV512" i="4"/>
  <c r="BV513" i="4"/>
  <c r="CA490" i="4"/>
  <c r="BV515" i="4"/>
  <c r="BZ924" i="4"/>
  <c r="BZ923" i="4"/>
  <c r="BZ1200" i="4"/>
  <c r="CT1342" i="4"/>
  <c r="DI1369" i="4"/>
  <c r="CG271" i="4"/>
  <c r="CH269" i="4"/>
  <c r="CH271" i="4" s="1"/>
  <c r="CS1353" i="4"/>
  <c r="CT1325" i="4"/>
  <c r="CM1316" i="4"/>
  <c r="CC1055" i="4"/>
  <c r="BM339" i="4"/>
  <c r="BN332" i="4"/>
  <c r="BN1355" i="4"/>
  <c r="BN1333" i="4" s="1"/>
  <c r="BM1358" i="4"/>
  <c r="BM1356" i="4"/>
  <c r="CP1355" i="4"/>
  <c r="CP1333" i="4" s="1"/>
  <c r="AG18" i="12" s="1"/>
  <c r="CO1358" i="4"/>
  <c r="CO1356" i="4"/>
  <c r="BY482" i="4"/>
  <c r="BY448" i="4"/>
  <c r="BY447" i="4"/>
  <c r="BY445" i="4"/>
  <c r="BY446" i="4"/>
  <c r="CO482" i="4"/>
  <c r="CO448" i="4"/>
  <c r="CO447" i="4"/>
  <c r="CO445" i="4"/>
  <c r="CO446" i="4"/>
  <c r="CO444" i="4"/>
  <c r="DB608" i="4"/>
  <c r="DG608" i="4" s="1"/>
  <c r="DC609" i="4"/>
  <c r="BI25" i="4"/>
  <c r="CF814" i="4"/>
  <c r="CE184" i="4"/>
  <c r="CD280" i="4"/>
  <c r="BZ48" i="4"/>
  <c r="CH403" i="4"/>
  <c r="BN443" i="4"/>
  <c r="BN444" i="4" s="1"/>
  <c r="BN404" i="4"/>
  <c r="BN408" i="4"/>
  <c r="BN382" i="4"/>
  <c r="BS380" i="4"/>
  <c r="CC403" i="4"/>
  <c r="CC386" i="4"/>
  <c r="BO243" i="4"/>
  <c r="BQ335" i="4"/>
  <c r="BR327" i="4"/>
  <c r="CW335" i="4"/>
  <c r="CX327" i="4"/>
  <c r="BM403" i="4"/>
  <c r="BM386" i="4"/>
  <c r="CD407" i="4"/>
  <c r="CD465" i="4"/>
  <c r="CD409" i="4"/>
  <c r="BJ449" i="4"/>
  <c r="CK338" i="4"/>
  <c r="CL331" i="4"/>
  <c r="BP213" i="4"/>
  <c r="CJ522" i="4"/>
  <c r="CJ523" i="4" s="1"/>
  <c r="CZ522" i="4"/>
  <c r="CZ523" i="4" s="1"/>
  <c r="CV403" i="4"/>
  <c r="CV386" i="4"/>
  <c r="CH426" i="4"/>
  <c r="CO814" i="4"/>
  <c r="CR691" i="4"/>
  <c r="CT684" i="4"/>
  <c r="CS691" i="4"/>
  <c r="CC772" i="4"/>
  <c r="CB773" i="4"/>
  <c r="BJ468" i="4"/>
  <c r="BJ470" i="4" s="1"/>
  <c r="BJ399" i="4"/>
  <c r="BQ1071" i="4"/>
  <c r="BQ1070" i="4"/>
  <c r="BQ1076" i="4"/>
  <c r="BQ1077" i="4" s="1"/>
  <c r="BQ1050" i="4"/>
  <c r="CX1037" i="4"/>
  <c r="BI1076" i="4"/>
  <c r="BI1078" i="4" s="1"/>
  <c r="CH55" i="4"/>
  <c r="CH83" i="4"/>
  <c r="CI30" i="4"/>
  <c r="BV280" i="4"/>
  <c r="BW184" i="4"/>
  <c r="CC158" i="4"/>
  <c r="BW793" i="4"/>
  <c r="CZ1055" i="4"/>
  <c r="CZ92" i="4"/>
  <c r="CS111" i="4"/>
  <c r="CS81" i="4"/>
  <c r="CS90" i="4"/>
  <c r="BU158" i="4"/>
  <c r="BQ612" i="4"/>
  <c r="BQ48" i="4"/>
  <c r="BQ24" i="4"/>
  <c r="BR24" i="4" s="1"/>
  <c r="BQ19" i="4"/>
  <c r="CH608" i="4"/>
  <c r="CI609" i="4"/>
  <c r="CF619" i="4"/>
  <c r="CT866" i="4"/>
  <c r="CT863" i="4"/>
  <c r="CR529" i="4"/>
  <c r="BX335" i="4"/>
  <c r="CV341" i="4"/>
  <c r="CV336" i="4"/>
  <c r="BT214" i="4"/>
  <c r="CX528" i="4"/>
  <c r="CY184" i="4"/>
  <c r="CX280" i="4"/>
  <c r="CP175" i="4"/>
  <c r="CU175" i="4" s="1"/>
  <c r="CU176" i="4"/>
  <c r="BY338" i="4"/>
  <c r="BZ331" i="4"/>
  <c r="BP339" i="4"/>
  <c r="CR448" i="4"/>
  <c r="CR482" i="4"/>
  <c r="CR446" i="4"/>
  <c r="CR445" i="4"/>
  <c r="CR447" i="4"/>
  <c r="CR444" i="4"/>
  <c r="CS339" i="4"/>
  <c r="CT332" i="4"/>
  <c r="BY902" i="4"/>
  <c r="BY901" i="4"/>
  <c r="BY903" i="4"/>
  <c r="CB903" i="4" s="1"/>
  <c r="CB899" i="4" s="1"/>
  <c r="BY470" i="4"/>
  <c r="CJ140" i="4"/>
  <c r="DC136" i="4"/>
  <c r="BM340" i="4"/>
  <c r="BN333" i="4"/>
  <c r="CT327" i="4"/>
  <c r="CS335" i="4"/>
  <c r="BX445" i="4"/>
  <c r="BX482" i="4"/>
  <c r="BX448" i="4"/>
  <c r="BX446" i="4"/>
  <c r="BX447" i="4"/>
  <c r="CZ403" i="4"/>
  <c r="CZ386" i="4"/>
  <c r="DI474" i="4"/>
  <c r="CK140" i="4"/>
  <c r="CL135" i="4"/>
  <c r="BL403" i="4"/>
  <c r="BL386" i="4"/>
  <c r="BY1395" i="4"/>
  <c r="BY507" i="4"/>
  <c r="CC1395" i="4"/>
  <c r="CC507" i="4"/>
  <c r="CX1407" i="4"/>
  <c r="CX513" i="4"/>
  <c r="CY490" i="4"/>
  <c r="CX512" i="4"/>
  <c r="CX500" i="4"/>
  <c r="CX503" i="4" s="1"/>
  <c r="DC490" i="4"/>
  <c r="CX515" i="4"/>
  <c r="BR807" i="4"/>
  <c r="BP814" i="4"/>
  <c r="CV1407" i="4"/>
  <c r="CV513" i="4"/>
  <c r="CV512" i="4"/>
  <c r="CV533" i="4"/>
  <c r="CV500" i="4"/>
  <c r="CV503" i="4" s="1"/>
  <c r="CV515" i="4"/>
  <c r="BP832" i="4"/>
  <c r="BN1157" i="4"/>
  <c r="BN1200" i="4"/>
  <c r="CN1071" i="4"/>
  <c r="CN1073" i="4" s="1"/>
  <c r="CN1050" i="4"/>
  <c r="CN1070" i="4"/>
  <c r="CN1076" i="4"/>
  <c r="CN1077" i="4" s="1"/>
  <c r="BT1076" i="4"/>
  <c r="BT1077" i="4" s="1"/>
  <c r="BT1071" i="4"/>
  <c r="BT1073" i="4" s="1"/>
  <c r="BT1070" i="4"/>
  <c r="BT1050" i="4"/>
  <c r="DL1171" i="4"/>
  <c r="DJ1171" i="4"/>
  <c r="CX1357" i="4"/>
  <c r="CY1316" i="4"/>
  <c r="CC214" i="4"/>
  <c r="CG449" i="4"/>
  <c r="CJ900" i="4" l="1"/>
  <c r="CU780" i="4"/>
  <c r="DA481" i="4"/>
  <c r="CD1012" i="4"/>
  <c r="CG677" i="4"/>
  <c r="CE46" i="3"/>
  <c r="CP787" i="4"/>
  <c r="DB461" i="4"/>
  <c r="CP770" i="4"/>
  <c r="CP1010" i="4"/>
  <c r="CP774" i="4"/>
  <c r="BQ1170" i="4"/>
  <c r="BQ1073" i="4"/>
  <c r="AW48" i="3"/>
  <c r="CW482" i="4"/>
  <c r="DK57" i="3" s="1"/>
  <c r="DA1359" i="4"/>
  <c r="CS1088" i="4"/>
  <c r="CI829" i="4"/>
  <c r="DJ297" i="4"/>
  <c r="CH825" i="4"/>
  <c r="CI825" i="4" s="1"/>
  <c r="DN435" i="4"/>
  <c r="CK1359" i="4"/>
  <c r="CK1360" i="4"/>
  <c r="CL1360" i="4" s="1"/>
  <c r="CJ11" i="3"/>
  <c r="CJ13" i="3" s="1"/>
  <c r="AB84" i="12"/>
  <c r="AB94" i="12" s="1"/>
  <c r="K11" i="12"/>
  <c r="CW481" i="4"/>
  <c r="BI1397" i="4"/>
  <c r="BI1399" i="4" s="1"/>
  <c r="AJ23" i="9"/>
  <c r="AJ67" i="9" s="1"/>
  <c r="DB825" i="4"/>
  <c r="DF831" i="4"/>
  <c r="DG829" i="4"/>
  <c r="DG780" i="4"/>
  <c r="DG787" i="4"/>
  <c r="DG807" i="4"/>
  <c r="DE101" i="4"/>
  <c r="DE889" i="4" s="1"/>
  <c r="DL297" i="4"/>
  <c r="DF99" i="4"/>
  <c r="DF100" i="4" s="1"/>
  <c r="DF102" i="4" s="1"/>
  <c r="AR37" i="9" s="1"/>
  <c r="BZ13" i="3"/>
  <c r="AH35" i="12"/>
  <c r="AH26" i="12" s="1"/>
  <c r="DQ916" i="4"/>
  <c r="DQ585" i="4"/>
  <c r="DQ584" i="4" s="1"/>
  <c r="DP584" i="4"/>
  <c r="DQ640" i="4"/>
  <c r="DQ642" i="4"/>
  <c r="DQ436" i="4"/>
  <c r="DP640" i="4"/>
  <c r="DR637" i="4"/>
  <c r="DP642" i="4"/>
  <c r="DN1194" i="4"/>
  <c r="DP1194" i="4"/>
  <c r="DQ1194" i="4" s="1"/>
  <c r="DR1194" i="4" s="1"/>
  <c r="DQ300" i="4"/>
  <c r="DR434" i="4"/>
  <c r="DP436" i="4"/>
  <c r="DN1270" i="4"/>
  <c r="DN1282" i="4" s="1"/>
  <c r="DP1270" i="4"/>
  <c r="DQ134" i="4"/>
  <c r="DS638" i="4"/>
  <c r="DR647" i="4"/>
  <c r="CQ154" i="4"/>
  <c r="DC829" i="4"/>
  <c r="DB831" i="4"/>
  <c r="CR773" i="4"/>
  <c r="BQ1313" i="4"/>
  <c r="CR772" i="4"/>
  <c r="AH25" i="12"/>
  <c r="CK482" i="4"/>
  <c r="BZ403" i="4"/>
  <c r="BZ1170" i="4"/>
  <c r="CD426" i="4"/>
  <c r="CM48" i="3"/>
  <c r="CJ772" i="4"/>
  <c r="CK772" i="4"/>
  <c r="CA382" i="4"/>
  <c r="AH121" i="9"/>
  <c r="AH127" i="9" s="1"/>
  <c r="AH132" i="9" s="1"/>
  <c r="BN31" i="4"/>
  <c r="Z51" i="12" s="1"/>
  <c r="Z64" i="12" s="1"/>
  <c r="CB214" i="4"/>
  <c r="CG480" i="4"/>
  <c r="CU55" i="3" s="1"/>
  <c r="BY1158" i="4"/>
  <c r="CW31" i="4"/>
  <c r="CQ810" i="4"/>
  <c r="CD923" i="4"/>
  <c r="BV449" i="4"/>
  <c r="CG482" i="4"/>
  <c r="CU57" i="3" s="1"/>
  <c r="BP480" i="4"/>
  <c r="CD924" i="4"/>
  <c r="CB471" i="4"/>
  <c r="H161" i="9"/>
  <c r="H47" i="9" s="1"/>
  <c r="BM480" i="4"/>
  <c r="CA55" i="3" s="1"/>
  <c r="CB481" i="4"/>
  <c r="CF900" i="4"/>
  <c r="BM814" i="4"/>
  <c r="BN807" i="4"/>
  <c r="BS807" i="4" s="1"/>
  <c r="AL79" i="3"/>
  <c r="CR790" i="4"/>
  <c r="CZ1088" i="4"/>
  <c r="CW74" i="4"/>
  <c r="CI154" i="4"/>
  <c r="BR563" i="4"/>
  <c r="CC773" i="4"/>
  <c r="CW545" i="4"/>
  <c r="CW546" i="4" s="1"/>
  <c r="DK32" i="3"/>
  <c r="AW14" i="3"/>
  <c r="DI1333" i="4"/>
  <c r="CW789" i="4"/>
  <c r="CH739" i="4"/>
  <c r="CH740" i="4" s="1"/>
  <c r="DK33" i="3"/>
  <c r="DG46" i="3"/>
  <c r="AD79" i="3"/>
  <c r="DB1358" i="4"/>
  <c r="CT774" i="4"/>
  <c r="BN923" i="4"/>
  <c r="CT770" i="4"/>
  <c r="CT787" i="4"/>
  <c r="CP482" i="4"/>
  <c r="AP79" i="3"/>
  <c r="BM481" i="4"/>
  <c r="CA56" i="3" s="1"/>
  <c r="AD25" i="12"/>
  <c r="CO480" i="4"/>
  <c r="DC55" i="3" s="1"/>
  <c r="CP449" i="4"/>
  <c r="BN924" i="4"/>
  <c r="BQ481" i="4"/>
  <c r="DX81" i="3"/>
  <c r="AT79" i="3"/>
  <c r="CP448" i="4"/>
  <c r="BR470" i="4"/>
  <c r="CS1158" i="4"/>
  <c r="DN56" i="3"/>
  <c r="CR481" i="4"/>
  <c r="V79" i="3"/>
  <c r="DB426" i="4"/>
  <c r="Z79" i="3"/>
  <c r="CG481" i="4"/>
  <c r="CU56" i="3" s="1"/>
  <c r="BN789" i="4"/>
  <c r="AJ79" i="3"/>
  <c r="CZ471" i="4"/>
  <c r="Z83" i="9"/>
  <c r="Z85" i="9" s="1"/>
  <c r="BW382" i="4"/>
  <c r="CL774" i="4"/>
  <c r="CO1088" i="4"/>
  <c r="CH1010" i="4"/>
  <c r="CH1013" i="4" s="1"/>
  <c r="BT481" i="4"/>
  <c r="CR480" i="4"/>
  <c r="CW1073" i="4"/>
  <c r="DD952" i="4"/>
  <c r="DA1077" i="4"/>
  <c r="DL346" i="4"/>
  <c r="DI346" i="4"/>
  <c r="DI325" i="4"/>
  <c r="DI314" i="4"/>
  <c r="AG40" i="12"/>
  <c r="DM64" i="4"/>
  <c r="DW81" i="3"/>
  <c r="DN46" i="3"/>
  <c r="BL814" i="4"/>
  <c r="DJ344" i="4"/>
  <c r="DL65" i="4"/>
  <c r="DZ81" i="3" s="1"/>
  <c r="DL151" i="4"/>
  <c r="AG48" i="3"/>
  <c r="CL111" i="4"/>
  <c r="CP112" i="4" s="1"/>
  <c r="CW480" i="4"/>
  <c r="BJ1356" i="4"/>
  <c r="DC46" i="3"/>
  <c r="CO1170" i="4"/>
  <c r="CS1170" i="4"/>
  <c r="CS1176" i="4" s="1"/>
  <c r="CM829" i="4"/>
  <c r="CZ1164" i="4"/>
  <c r="CS1313" i="4"/>
  <c r="DJ45" i="3"/>
  <c r="CK900" i="4"/>
  <c r="CS772" i="4"/>
  <c r="BN545" i="4"/>
  <c r="BN546" i="4" s="1"/>
  <c r="BZ807" i="4"/>
  <c r="N12" i="3"/>
  <c r="CS773" i="4"/>
  <c r="CC1158" i="4"/>
  <c r="CQ780" i="4"/>
  <c r="CL787" i="4"/>
  <c r="BY814" i="4"/>
  <c r="CO112" i="4"/>
  <c r="CS112" i="4"/>
  <c r="BH406" i="4"/>
  <c r="CV772" i="4"/>
  <c r="CL770" i="4"/>
  <c r="BN74" i="4"/>
  <c r="BS780" i="4"/>
  <c r="D25" i="9" s="1"/>
  <c r="D69" i="9" s="1"/>
  <c r="CB480" i="4"/>
  <c r="CB814" i="4"/>
  <c r="BL1313" i="4"/>
  <c r="CB33" i="3"/>
  <c r="L6" i="9"/>
  <c r="L106" i="9" s="1"/>
  <c r="BP481" i="4"/>
  <c r="CP529" i="4"/>
  <c r="CP447" i="4"/>
  <c r="CM41" i="3"/>
  <c r="L28" i="9"/>
  <c r="CP444" i="4"/>
  <c r="CJ481" i="4"/>
  <c r="CT825" i="4"/>
  <c r="CY825" i="4" s="1"/>
  <c r="CP445" i="4"/>
  <c r="BZ48" i="3"/>
  <c r="L108" i="9"/>
  <c r="CR214" i="4"/>
  <c r="BN470" i="4"/>
  <c r="J48" i="3"/>
  <c r="J78" i="3" s="1"/>
  <c r="R58" i="3"/>
  <c r="DM344" i="4"/>
  <c r="CR471" i="4"/>
  <c r="CN1176" i="4"/>
  <c r="CN1175" i="4" s="1"/>
  <c r="CW471" i="4"/>
  <c r="DL133" i="4"/>
  <c r="DJ133" i="4"/>
  <c r="DK133" i="4" s="1"/>
  <c r="DD101" i="4"/>
  <c r="DD889" i="4" s="1"/>
  <c r="CB900" i="4"/>
  <c r="BZ46" i="3"/>
  <c r="BL481" i="4"/>
  <c r="BZ56" i="3" s="1"/>
  <c r="BM1170" i="4"/>
  <c r="BM1177" i="4" s="1"/>
  <c r="P21" i="9"/>
  <c r="P121" i="9" s="1"/>
  <c r="DC45" i="3"/>
  <c r="BP1359" i="4"/>
  <c r="CD92" i="4"/>
  <c r="BL1158" i="4"/>
  <c r="CZ440" i="4"/>
  <c r="CX449" i="4"/>
  <c r="AJ48" i="3"/>
  <c r="AB108" i="9"/>
  <c r="AB129" i="9" s="1"/>
  <c r="CY45" i="3"/>
  <c r="BB79" i="3"/>
  <c r="CG900" i="4"/>
  <c r="BZ1359" i="4"/>
  <c r="AB28" i="9"/>
  <c r="CT1358" i="4"/>
  <c r="CY1358" i="4" s="1"/>
  <c r="BH405" i="4"/>
  <c r="CH774" i="4"/>
  <c r="CG94" i="4"/>
  <c r="BH480" i="4"/>
  <c r="BV55" i="3" s="1"/>
  <c r="CZ1158" i="4"/>
  <c r="CE801" i="4"/>
  <c r="CJ480" i="4"/>
  <c r="CX55" i="3" s="1"/>
  <c r="L55" i="9"/>
  <c r="AB48" i="3"/>
  <c r="AB78" i="3" s="1"/>
  <c r="AD80" i="3"/>
  <c r="CT111" i="4"/>
  <c r="CX112" i="4" s="1"/>
  <c r="CM810" i="4"/>
  <c r="CG78" i="4"/>
  <c r="CN440" i="4"/>
  <c r="CI780" i="4"/>
  <c r="CM780" i="4"/>
  <c r="CD1055" i="4"/>
  <c r="CN773" i="4"/>
  <c r="BL480" i="4"/>
  <c r="BZ55" i="3" s="1"/>
  <c r="DB1356" i="4"/>
  <c r="DB773" i="4"/>
  <c r="BM703" i="4"/>
  <c r="CI810" i="4"/>
  <c r="BO780" i="4"/>
  <c r="CG1151" i="4"/>
  <c r="CT81" i="4"/>
  <c r="CL803" i="4"/>
  <c r="CY154" i="4"/>
  <c r="CN772" i="4"/>
  <c r="BN708" i="4"/>
  <c r="CZ480" i="4"/>
  <c r="CK773" i="4"/>
  <c r="CK481" i="4"/>
  <c r="CD1158" i="4"/>
  <c r="BO787" i="4"/>
  <c r="DJ437" i="4"/>
  <c r="BU1073" i="4"/>
  <c r="CM801" i="4"/>
  <c r="CO773" i="4"/>
  <c r="BH481" i="4"/>
  <c r="BV56" i="3" s="1"/>
  <c r="DA480" i="4"/>
  <c r="CK471" i="4"/>
  <c r="BV470" i="4"/>
  <c r="DM1282" i="4"/>
  <c r="DM1197" i="4" s="1"/>
  <c r="CR112" i="4"/>
  <c r="CB11" i="3"/>
  <c r="CB13" i="3" s="1"/>
  <c r="D61" i="9"/>
  <c r="AF24" i="12"/>
  <c r="Z49" i="12"/>
  <c r="Z47" i="12" s="1"/>
  <c r="CU328" i="4"/>
  <c r="CK1159" i="4"/>
  <c r="CK1161" i="4" s="1"/>
  <c r="CX470" i="4"/>
  <c r="BI480" i="4"/>
  <c r="BW55" i="3" s="1"/>
  <c r="CS1359" i="4"/>
  <c r="DC154" i="4"/>
  <c r="CG772" i="4"/>
  <c r="CF480" i="4"/>
  <c r="CF1313" i="4"/>
  <c r="CF772" i="4"/>
  <c r="AC75" i="12"/>
  <c r="CJ1158" i="4"/>
  <c r="AK48" i="3"/>
  <c r="T80" i="3"/>
  <c r="CJ1170" i="4"/>
  <c r="CJ1176" i="4" s="1"/>
  <c r="CH770" i="4"/>
  <c r="CH773" i="4" s="1"/>
  <c r="CX831" i="4"/>
  <c r="DJ426" i="4"/>
  <c r="CG107" i="4"/>
  <c r="CG114" i="4" s="1"/>
  <c r="BV1170" i="4"/>
  <c r="BV1177" i="4" s="1"/>
  <c r="CZ1072" i="4"/>
  <c r="CZ1313" i="4"/>
  <c r="CO772" i="4"/>
  <c r="CC1073" i="4"/>
  <c r="BS787" i="4"/>
  <c r="CK480" i="4"/>
  <c r="CY55" i="3" s="1"/>
  <c r="CU829" i="4"/>
  <c r="CF773" i="4"/>
  <c r="CL825" i="4"/>
  <c r="CQ825" i="4" s="1"/>
  <c r="CF481" i="4"/>
  <c r="CT56" i="3" s="1"/>
  <c r="AC8" i="12"/>
  <c r="AC28" i="12" s="1"/>
  <c r="BX1360" i="4"/>
  <c r="CZ18" i="3"/>
  <c r="CL1001" i="4"/>
  <c r="CL1114" i="4" s="1"/>
  <c r="AP45" i="3"/>
  <c r="Z74" i="3"/>
  <c r="AB6" i="9"/>
  <c r="AB29" i="9" s="1"/>
  <c r="CV471" i="4"/>
  <c r="CS1161" i="4"/>
  <c r="CH449" i="4"/>
  <c r="CP831" i="4"/>
  <c r="CL831" i="4"/>
  <c r="CJ773" i="4"/>
  <c r="CL1012" i="4"/>
  <c r="AF48" i="3"/>
  <c r="BN1399" i="4"/>
  <c r="CJ1313" i="4"/>
  <c r="CM154" i="4"/>
  <c r="CH787" i="4"/>
  <c r="CV481" i="4"/>
  <c r="DJ56" i="3" s="1"/>
  <c r="CP426" i="4"/>
  <c r="CZ1170" i="4"/>
  <c r="CZ1073" i="4"/>
  <c r="CZ1166" i="4" s="1"/>
  <c r="CZ1168" i="4" s="1"/>
  <c r="CQ829" i="4"/>
  <c r="CT831" i="4"/>
  <c r="CF214" i="4"/>
  <c r="CF471" i="4"/>
  <c r="DJ438" i="4"/>
  <c r="AA21" i="9"/>
  <c r="AA23" i="9" s="1"/>
  <c r="AB54" i="9"/>
  <c r="AB72" i="9" s="1"/>
  <c r="AP74" i="3"/>
  <c r="BJ1358" i="4"/>
  <c r="BI1359" i="4"/>
  <c r="BI1360" i="4"/>
  <c r="AJ61" i="12"/>
  <c r="D115" i="9"/>
  <c r="AO73" i="3"/>
  <c r="CN214" i="4"/>
  <c r="AX79" i="3"/>
  <c r="CQ328" i="4"/>
  <c r="CH1356" i="4"/>
  <c r="DT44" i="3"/>
  <c r="U59" i="3"/>
  <c r="BX471" i="4"/>
  <c r="CB32" i="3"/>
  <c r="N14" i="3"/>
  <c r="BT618" i="4"/>
  <c r="CL1050" i="4"/>
  <c r="AI25" i="12"/>
  <c r="CT90" i="4"/>
  <c r="CF1073" i="4"/>
  <c r="CT807" i="4"/>
  <c r="CU807" i="4" s="1"/>
  <c r="BP600" i="4"/>
  <c r="BM1313" i="4"/>
  <c r="AO36" i="3"/>
  <c r="CX46" i="3"/>
  <c r="CT46" i="3"/>
  <c r="N59" i="3"/>
  <c r="CA46" i="3"/>
  <c r="AB109" i="9"/>
  <c r="BX92" i="4"/>
  <c r="BR562" i="4"/>
  <c r="CG33" i="4"/>
  <c r="BM1158" i="4"/>
  <c r="CJ1088" i="4"/>
  <c r="CJ1161" i="4"/>
  <c r="CJ1073" i="4"/>
  <c r="BT1055" i="4"/>
  <c r="CF1170" i="4"/>
  <c r="CG1057" i="4"/>
  <c r="Z61" i="3"/>
  <c r="AC94" i="12"/>
  <c r="AG80" i="3"/>
  <c r="CX529" i="4"/>
  <c r="CL807" i="4"/>
  <c r="AF51" i="9"/>
  <c r="CH1050" i="4"/>
  <c r="BV1356" i="4"/>
  <c r="BM272" i="4"/>
  <c r="BA78" i="3"/>
  <c r="DB900" i="4"/>
  <c r="CS272" i="4"/>
  <c r="BT92" i="4"/>
  <c r="BL710" i="4"/>
  <c r="BU92" i="4"/>
  <c r="AF95" i="12"/>
  <c r="P79" i="3"/>
  <c r="CO1159" i="4"/>
  <c r="DC48" i="3" s="1"/>
  <c r="N61" i="3"/>
  <c r="DB522" i="4"/>
  <c r="CX1157" i="4"/>
  <c r="CP522" i="4"/>
  <c r="CX482" i="4"/>
  <c r="AD23" i="12"/>
  <c r="D157" i="9"/>
  <c r="BU481" i="4"/>
  <c r="CI56" i="3" s="1"/>
  <c r="BU471" i="4"/>
  <c r="CG814" i="4"/>
  <c r="CF1158" i="4"/>
  <c r="CV1159" i="4"/>
  <c r="CK832" i="4"/>
  <c r="CY333" i="4"/>
  <c r="BU1055" i="4"/>
  <c r="CB1073" i="4"/>
  <c r="AJ84" i="12"/>
  <c r="AJ94" i="12" s="1"/>
  <c r="BU480" i="4"/>
  <c r="CI55" i="3" s="1"/>
  <c r="DK806" i="4"/>
  <c r="CH807" i="4"/>
  <c r="CI807" i="4" s="1"/>
  <c r="CE154" i="4"/>
  <c r="DJ76" i="4"/>
  <c r="CV112" i="4"/>
  <c r="CF74" i="4"/>
  <c r="X78" i="3"/>
  <c r="AG73" i="3"/>
  <c r="AZ78" i="3"/>
  <c r="AL80" i="3"/>
  <c r="DO46" i="3"/>
  <c r="DA1170" i="4"/>
  <c r="DA1313" i="4"/>
  <c r="DA1088" i="4"/>
  <c r="DA1072" i="4"/>
  <c r="CZ1359" i="4"/>
  <c r="CZ1360" i="4"/>
  <c r="DA1159" i="4"/>
  <c r="DO45" i="3"/>
  <c r="CF31" i="4"/>
  <c r="CF54" i="4"/>
  <c r="CS1072" i="4"/>
  <c r="CJ814" i="4"/>
  <c r="AH80" i="3"/>
  <c r="DM685" i="4"/>
  <c r="DP685" i="4" s="1"/>
  <c r="DL686" i="4"/>
  <c r="CP1050" i="4"/>
  <c r="CG1072" i="4"/>
  <c r="AB51" i="9"/>
  <c r="CQ41" i="3"/>
  <c r="CD1360" i="4"/>
  <c r="CX1359" i="4"/>
  <c r="AG23" i="12"/>
  <c r="CQ333" i="4"/>
  <c r="N63" i="3"/>
  <c r="CJ72" i="3"/>
  <c r="CO1072" i="4"/>
  <c r="CN900" i="4"/>
  <c r="CH956" i="4"/>
  <c r="AE25" i="12"/>
  <c r="BX481" i="4"/>
  <c r="BX480" i="4"/>
  <c r="BX272" i="4"/>
  <c r="CI72" i="3"/>
  <c r="DA844" i="4"/>
  <c r="H51" i="9"/>
  <c r="AF79" i="3"/>
  <c r="Y78" i="3"/>
  <c r="AK80" i="3"/>
  <c r="Y73" i="3"/>
  <c r="CK1072" i="4"/>
  <c r="BM1072" i="4"/>
  <c r="AJ105" i="9"/>
  <c r="AS73" i="3"/>
  <c r="AC80" i="3"/>
  <c r="CI327" i="4"/>
  <c r="CU327" i="4"/>
  <c r="CS844" i="4"/>
  <c r="BZ1050" i="4"/>
  <c r="CT1050" i="4"/>
  <c r="CY331" i="4"/>
  <c r="AH79" i="3"/>
  <c r="AB119" i="9"/>
  <c r="AB63" i="9"/>
  <c r="AB26" i="9"/>
  <c r="AV52" i="3"/>
  <c r="CL403" i="4"/>
  <c r="AO14" i="3"/>
  <c r="DC32" i="3"/>
  <c r="DC33" i="3"/>
  <c r="DJ980" i="4"/>
  <c r="CT1159" i="4"/>
  <c r="DH45" i="3"/>
  <c r="CN72" i="3"/>
  <c r="AN161" i="9"/>
  <c r="DP11" i="3"/>
  <c r="DP13" i="3" s="1"/>
  <c r="BJ1159" i="4"/>
  <c r="BJ1161" i="4" s="1"/>
  <c r="BX45" i="3"/>
  <c r="CK1397" i="4"/>
  <c r="BJ1013" i="4"/>
  <c r="AH44" i="12"/>
  <c r="AH63" i="12" s="1"/>
  <c r="CD57" i="3"/>
  <c r="CC471" i="4"/>
  <c r="AV14" i="3"/>
  <c r="DJ33" i="3"/>
  <c r="DJ32" i="3"/>
  <c r="W21" i="9"/>
  <c r="AK36" i="3"/>
  <c r="AS14" i="3"/>
  <c r="DG33" i="3"/>
  <c r="DG32" i="3"/>
  <c r="X80" i="9"/>
  <c r="X139" i="9"/>
  <c r="AF73" i="12"/>
  <c r="AF63" i="12"/>
  <c r="CX1395" i="4"/>
  <c r="AI45" i="12"/>
  <c r="AX52" i="3"/>
  <c r="AI44" i="12"/>
  <c r="AI61" i="12" s="1"/>
  <c r="BY1397" i="4"/>
  <c r="BQ619" i="4"/>
  <c r="BN403" i="4"/>
  <c r="CM57" i="3"/>
  <c r="CG272" i="4"/>
  <c r="CU72" i="3"/>
  <c r="BH1395" i="4"/>
  <c r="H52" i="3"/>
  <c r="H80" i="3" s="1"/>
  <c r="CZ214" i="4"/>
  <c r="DN57" i="3"/>
  <c r="BT1072" i="4"/>
  <c r="CN1072" i="4"/>
  <c r="BE9" i="3"/>
  <c r="Q12" i="3"/>
  <c r="AE21" i="9"/>
  <c r="AI22" i="9" s="1"/>
  <c r="AS36" i="3"/>
  <c r="AW69" i="3" s="1"/>
  <c r="BQ1072" i="4"/>
  <c r="DC608" i="4"/>
  <c r="CP1356" i="4"/>
  <c r="CF1397" i="4"/>
  <c r="BZ1177" i="4"/>
  <c r="U14" i="3"/>
  <c r="CI32" i="3"/>
  <c r="CI33" i="3"/>
  <c r="CV46" i="3"/>
  <c r="DJ652" i="4"/>
  <c r="DC332" i="4"/>
  <c r="CT403" i="4"/>
  <c r="AL36" i="3"/>
  <c r="X21" i="9"/>
  <c r="X23" i="9" s="1"/>
  <c r="AP36" i="3"/>
  <c r="AB21" i="9"/>
  <c r="AB23" i="9" s="1"/>
  <c r="P161" i="9"/>
  <c r="CR11" i="3"/>
  <c r="BJ1395" i="4"/>
  <c r="Y45" i="12"/>
  <c r="J52" i="3"/>
  <c r="CN480" i="4"/>
  <c r="AN48" i="3"/>
  <c r="CL9" i="3"/>
  <c r="CI612" i="4"/>
  <c r="BR449" i="4"/>
  <c r="CF1072" i="4"/>
  <c r="AC49" i="12"/>
  <c r="Z14" i="3"/>
  <c r="CN33" i="3"/>
  <c r="CN32" i="3"/>
  <c r="CS100" i="4"/>
  <c r="AD21" i="9"/>
  <c r="AR36" i="3"/>
  <c r="AC14" i="3"/>
  <c r="CQ33" i="3"/>
  <c r="CQ32" i="3"/>
  <c r="CR1072" i="4"/>
  <c r="CD957" i="4"/>
  <c r="CD1203" i="4" s="1"/>
  <c r="CD1204" i="4" s="1"/>
  <c r="AD84" i="12"/>
  <c r="AD94" i="12" s="1"/>
  <c r="CJ1397" i="4"/>
  <c r="BU619" i="4"/>
  <c r="AP12" i="3"/>
  <c r="DC327" i="4"/>
  <c r="CV214" i="4"/>
  <c r="CQ135" i="4"/>
  <c r="CS480" i="4"/>
  <c r="AS48" i="3"/>
  <c r="AS78" i="3" s="1"/>
  <c r="CT449" i="4"/>
  <c r="AL48" i="3"/>
  <c r="CV1176" i="4"/>
  <c r="CG1177" i="4"/>
  <c r="DB1013" i="4"/>
  <c r="R21" i="9"/>
  <c r="AF36" i="3"/>
  <c r="DA100" i="4"/>
  <c r="CO272" i="4"/>
  <c r="DC72" i="3"/>
  <c r="CF46" i="3"/>
  <c r="CI57" i="3"/>
  <c r="CJ57" i="3"/>
  <c r="DP56" i="3"/>
  <c r="BP1397" i="4"/>
  <c r="CB1072" i="4"/>
  <c r="BM1397" i="4"/>
  <c r="BV1359" i="4"/>
  <c r="BZ449" i="4"/>
  <c r="DF9" i="3"/>
  <c r="BR611" i="4"/>
  <c r="R10" i="3"/>
  <c r="DJ55" i="3"/>
  <c r="BU1397" i="4"/>
  <c r="T12" i="3"/>
  <c r="AJ14" i="3"/>
  <c r="CX32" i="3"/>
  <c r="CX33" i="3"/>
  <c r="AH48" i="3"/>
  <c r="BV1159" i="4"/>
  <c r="BV1161" i="4" s="1"/>
  <c r="CJ45" i="3"/>
  <c r="T161" i="9"/>
  <c r="CV11" i="3"/>
  <c r="BI272" i="4"/>
  <c r="BW72" i="3"/>
  <c r="BY1072" i="4"/>
  <c r="AG36" i="3"/>
  <c r="S21" i="9"/>
  <c r="DP72" i="3"/>
  <c r="CZ72" i="3"/>
  <c r="AJ88" i="12"/>
  <c r="BR426" i="4"/>
  <c r="X25" i="9"/>
  <c r="BF24" i="3"/>
  <c r="AR73" i="3"/>
  <c r="AN73" i="3"/>
  <c r="CO1109" i="4"/>
  <c r="CO1110" i="4" s="1"/>
  <c r="CP956" i="4"/>
  <c r="AG85" i="12"/>
  <c r="AG95" i="12" s="1"/>
  <c r="DD50" i="3"/>
  <c r="CR46" i="3"/>
  <c r="CD1313" i="4"/>
  <c r="CD1170" i="4"/>
  <c r="AB73" i="3"/>
  <c r="X73" i="3"/>
  <c r="AA63" i="12"/>
  <c r="BQ1177" i="4"/>
  <c r="CL10" i="3"/>
  <c r="CL12" i="3" s="1"/>
  <c r="Y88" i="12"/>
  <c r="CV41" i="3"/>
  <c r="AJ13" i="12"/>
  <c r="AJ14" i="12" s="1"/>
  <c r="AJ8" i="12"/>
  <c r="AJ12" i="12"/>
  <c r="AJ75" i="12"/>
  <c r="BW10" i="3"/>
  <c r="BW12" i="3" s="1"/>
  <c r="AX48" i="3"/>
  <c r="J61" i="3"/>
  <c r="J59" i="3"/>
  <c r="R48" i="3"/>
  <c r="R78" i="3" s="1"/>
  <c r="AB139" i="9"/>
  <c r="AB80" i="9"/>
  <c r="DL901" i="4"/>
  <c r="AJ98" i="9"/>
  <c r="L105" i="9"/>
  <c r="P105" i="9"/>
  <c r="AL60" i="3"/>
  <c r="AH60" i="3"/>
  <c r="D98" i="9"/>
  <c r="Z63" i="12"/>
  <c r="Z73" i="12"/>
  <c r="T105" i="9"/>
  <c r="DL1172" i="4"/>
  <c r="DJ1172" i="4"/>
  <c r="AB61" i="12"/>
  <c r="AD45" i="3"/>
  <c r="AD73" i="3" s="1"/>
  <c r="AD74" i="3"/>
  <c r="N74" i="3"/>
  <c r="N45" i="3"/>
  <c r="R73" i="3" s="1"/>
  <c r="CD41" i="3"/>
  <c r="CE829" i="4"/>
  <c r="BZ825" i="4"/>
  <c r="CE825" i="4" s="1"/>
  <c r="CD831" i="4"/>
  <c r="CO1010" i="4"/>
  <c r="CO1012" i="4"/>
  <c r="DL43" i="3"/>
  <c r="AI39" i="12"/>
  <c r="AI40" i="12" s="1"/>
  <c r="CX1200" i="4"/>
  <c r="Y13" i="12"/>
  <c r="Y8" i="12"/>
  <c r="Y75" i="12"/>
  <c r="DN48" i="3"/>
  <c r="CQ48" i="3"/>
  <c r="Y80" i="3"/>
  <c r="BA69" i="3"/>
  <c r="U78" i="3"/>
  <c r="T59" i="3"/>
  <c r="X61" i="3"/>
  <c r="X59" i="3"/>
  <c r="T61" i="3"/>
  <c r="AD95" i="12"/>
  <c r="AI71" i="12"/>
  <c r="AJ80" i="3"/>
  <c r="CM10" i="3"/>
  <c r="CM12" i="3" s="1"/>
  <c r="CH1159" i="4"/>
  <c r="CH1158" i="4" s="1"/>
  <c r="CV45" i="3"/>
  <c r="DL439" i="4"/>
  <c r="AT61" i="3"/>
  <c r="AT59" i="3"/>
  <c r="AX61" i="3"/>
  <c r="AX59" i="3"/>
  <c r="CL1397" i="4"/>
  <c r="DD41" i="3"/>
  <c r="Z71" i="12"/>
  <c r="Z61" i="12"/>
  <c r="DB111" i="4"/>
  <c r="DB81" i="4"/>
  <c r="DB90" i="4"/>
  <c r="AG73" i="12"/>
  <c r="AE13" i="12"/>
  <c r="AE8" i="12"/>
  <c r="AE12" i="12"/>
  <c r="AE75" i="12"/>
  <c r="H55" i="9"/>
  <c r="H109" i="9"/>
  <c r="BZ426" i="4"/>
  <c r="R79" i="3"/>
  <c r="AC73" i="3"/>
  <c r="AJ95" i="12"/>
  <c r="L73" i="3"/>
  <c r="BZ1399" i="4"/>
  <c r="R63" i="3"/>
  <c r="CB1399" i="4"/>
  <c r="X54" i="9"/>
  <c r="X72" i="9" s="1"/>
  <c r="X108" i="9"/>
  <c r="X6" i="9"/>
  <c r="X28" i="9"/>
  <c r="V63" i="3"/>
  <c r="Z63" i="3"/>
  <c r="CH1397" i="4"/>
  <c r="AB38" i="12"/>
  <c r="AB98" i="12" s="1"/>
  <c r="AB42" i="12"/>
  <c r="AJ71" i="12"/>
  <c r="CT48" i="3"/>
  <c r="AF71" i="12"/>
  <c r="AF61" i="12"/>
  <c r="AJ28" i="3"/>
  <c r="DN134" i="4"/>
  <c r="BD76" i="3"/>
  <c r="BX1177" i="4"/>
  <c r="Q73" i="3"/>
  <c r="M73" i="3"/>
  <c r="L14" i="3"/>
  <c r="BZ33" i="3"/>
  <c r="BL74" i="4"/>
  <c r="BL31" i="4"/>
  <c r="BZ32" i="3"/>
  <c r="BL545" i="4"/>
  <c r="BL546" i="4" s="1"/>
  <c r="BL789" i="4"/>
  <c r="L63" i="9"/>
  <c r="L26" i="9"/>
  <c r="L119" i="9"/>
  <c r="CN13" i="3"/>
  <c r="P6" i="9"/>
  <c r="P28" i="9"/>
  <c r="P108" i="9"/>
  <c r="P54" i="9"/>
  <c r="P72" i="9" s="1"/>
  <c r="DN300" i="4"/>
  <c r="Z8" i="12"/>
  <c r="AA11" i="12" s="1"/>
  <c r="Z12" i="12"/>
  <c r="Z75" i="12"/>
  <c r="Z13" i="12"/>
  <c r="AA14" i="12" s="1"/>
  <c r="CT426" i="4"/>
  <c r="CR440" i="4"/>
  <c r="BY639" i="4"/>
  <c r="BR446" i="4"/>
  <c r="BR448" i="4"/>
  <c r="BR445" i="4"/>
  <c r="BR482" i="4"/>
  <c r="BR447" i="4"/>
  <c r="BR444" i="4"/>
  <c r="CV832" i="4"/>
  <c r="CS832" i="4"/>
  <c r="BV426" i="4"/>
  <c r="AN62" i="9"/>
  <c r="AN116" i="9"/>
  <c r="AN18" i="9"/>
  <c r="AR19" i="9" s="1"/>
  <c r="DB10" i="3"/>
  <c r="DB12" i="3" s="1"/>
  <c r="AE38" i="12"/>
  <c r="AE98" i="12" s="1"/>
  <c r="AE42" i="12"/>
  <c r="AE40" i="12"/>
  <c r="AF62" i="9"/>
  <c r="AF116" i="9"/>
  <c r="AF18" i="9"/>
  <c r="CE55" i="3"/>
  <c r="CN46" i="3"/>
  <c r="M78" i="3"/>
  <c r="CR72" i="3"/>
  <c r="DI411" i="4"/>
  <c r="DI348" i="4"/>
  <c r="AH74" i="3"/>
  <c r="AH45" i="3"/>
  <c r="V45" i="3"/>
  <c r="V73" i="3" s="1"/>
  <c r="V74" i="3"/>
  <c r="CQ46" i="3"/>
  <c r="CC1313" i="4"/>
  <c r="CC1170" i="4"/>
  <c r="AI35" i="12"/>
  <c r="AI26" i="12" s="1"/>
  <c r="AV104" i="9"/>
  <c r="AZ104" i="9" s="1"/>
  <c r="BD104" i="9" s="1"/>
  <c r="AN105" i="9"/>
  <c r="AC95" i="12"/>
  <c r="DG48" i="3"/>
  <c r="AF12" i="12"/>
  <c r="AF75" i="12"/>
  <c r="AF8" i="12"/>
  <c r="AG11" i="12" s="1"/>
  <c r="AF13" i="12"/>
  <c r="CI10" i="3"/>
  <c r="CI12" i="3" s="1"/>
  <c r="BP92" i="4"/>
  <c r="CR48" i="3"/>
  <c r="AT74" i="3"/>
  <c r="AT45" i="3"/>
  <c r="AL61" i="3"/>
  <c r="AL59" i="3"/>
  <c r="CC1397" i="4"/>
  <c r="BZ1159" i="4"/>
  <c r="BZ1158" i="4" s="1"/>
  <c r="CN45" i="3"/>
  <c r="CE57" i="3"/>
  <c r="P14" i="3"/>
  <c r="CD33" i="3"/>
  <c r="CD32" i="3"/>
  <c r="CN471" i="4"/>
  <c r="AD49" i="12"/>
  <c r="AD14" i="3"/>
  <c r="CR32" i="3"/>
  <c r="CR33" i="3"/>
  <c r="CF72" i="3"/>
  <c r="CL471" i="4"/>
  <c r="DJ57" i="3"/>
  <c r="DB480" i="4"/>
  <c r="V21" i="9"/>
  <c r="AJ36" i="3"/>
  <c r="P109" i="9"/>
  <c r="P55" i="9"/>
  <c r="DO57" i="3"/>
  <c r="DL72" i="3"/>
  <c r="AL12" i="3"/>
  <c r="Z21" i="9"/>
  <c r="AN36" i="3"/>
  <c r="DD46" i="3"/>
  <c r="DO72" i="3"/>
  <c r="DA272" i="4"/>
  <c r="CB72" i="3"/>
  <c r="AA95" i="12"/>
  <c r="AA28" i="12"/>
  <c r="AA76" i="12"/>
  <c r="CZ1010" i="4"/>
  <c r="CZ1012" i="4"/>
  <c r="AD42" i="12"/>
  <c r="AD38" i="12"/>
  <c r="AD98" i="12" s="1"/>
  <c r="AT63" i="3"/>
  <c r="AF25" i="9"/>
  <c r="CX48" i="3"/>
  <c r="AH59" i="3"/>
  <c r="AH61" i="3"/>
  <c r="T25" i="9"/>
  <c r="Y39" i="12"/>
  <c r="Y40" i="12" s="1"/>
  <c r="BX43" i="3"/>
  <c r="CJ1072" i="4"/>
  <c r="AL28" i="3"/>
  <c r="CB46" i="3"/>
  <c r="I14" i="3"/>
  <c r="I62" i="3" s="1"/>
  <c r="BW33" i="3"/>
  <c r="BW32" i="3"/>
  <c r="DC57" i="3"/>
  <c r="CV72" i="3"/>
  <c r="BH26" i="3"/>
  <c r="AN55" i="9"/>
  <c r="AN109" i="9"/>
  <c r="AZ14" i="3"/>
  <c r="DN33" i="3"/>
  <c r="DN32" i="3"/>
  <c r="BR608" i="4"/>
  <c r="BW608" i="4" s="1"/>
  <c r="BU1072" i="4"/>
  <c r="CN1397" i="4"/>
  <c r="CQ57" i="3"/>
  <c r="BA14" i="3"/>
  <c r="DO32" i="3"/>
  <c r="DO33" i="3"/>
  <c r="BX1072" i="4"/>
  <c r="AB161" i="9"/>
  <c r="DD11" i="3"/>
  <c r="CT529" i="4"/>
  <c r="CQ612" i="4"/>
  <c r="BQ272" i="4"/>
  <c r="CE72" i="3"/>
  <c r="DH46" i="3"/>
  <c r="DN438" i="4"/>
  <c r="CS471" i="4"/>
  <c r="CN57" i="3"/>
  <c r="Y14" i="3"/>
  <c r="CM32" i="3"/>
  <c r="CM33" i="3"/>
  <c r="CO844" i="4"/>
  <c r="BY272" i="4"/>
  <c r="CM72" i="3"/>
  <c r="CD46" i="3"/>
  <c r="DJ985" i="4"/>
  <c r="CF100" i="4"/>
  <c r="X109" i="9"/>
  <c r="X55" i="9"/>
  <c r="BV90" i="4"/>
  <c r="J12" i="3"/>
  <c r="CC1072" i="4"/>
  <c r="BJ1157" i="4"/>
  <c r="DI39" i="4"/>
  <c r="H14" i="3"/>
  <c r="H62" i="3" s="1"/>
  <c r="BV32" i="3"/>
  <c r="BV33" i="3"/>
  <c r="CW1397" i="4"/>
  <c r="DB471" i="4"/>
  <c r="CW54" i="4"/>
  <c r="AB14" i="3"/>
  <c r="AB62" i="3" s="1"/>
  <c r="CP33" i="3"/>
  <c r="CP32" i="3"/>
  <c r="AX12" i="3"/>
  <c r="AR18" i="3"/>
  <c r="BX11" i="3"/>
  <c r="AR52" i="3"/>
  <c r="CT1395" i="4"/>
  <c r="AT52" i="3"/>
  <c r="AH45" i="12"/>
  <c r="AC48" i="3"/>
  <c r="AC78" i="3" s="1"/>
  <c r="DK72" i="3"/>
  <c r="CP1159" i="4"/>
  <c r="CP1161" i="4" s="1"/>
  <c r="DD45" i="3"/>
  <c r="BL1072" i="4"/>
  <c r="CG1397" i="4"/>
  <c r="CT57" i="3"/>
  <c r="CK112" i="4"/>
  <c r="CP471" i="4"/>
  <c r="CT41" i="3"/>
  <c r="BE24" i="3"/>
  <c r="AL63" i="3"/>
  <c r="BL1359" i="4"/>
  <c r="BL1360" i="4"/>
  <c r="H105" i="9"/>
  <c r="CA72" i="3"/>
  <c r="CS1012" i="4"/>
  <c r="CS1010" i="4"/>
  <c r="BL1397" i="4"/>
  <c r="AJ51" i="9"/>
  <c r="DM347" i="4"/>
  <c r="DP347" i="4" s="1"/>
  <c r="CJ1010" i="4"/>
  <c r="CJ1012" i="4"/>
  <c r="AH73" i="12"/>
  <c r="CN41" i="3"/>
  <c r="CF10" i="3"/>
  <c r="CF12" i="3" s="1"/>
  <c r="CL426" i="4"/>
  <c r="AT48" i="3"/>
  <c r="AE63" i="12"/>
  <c r="AE73" i="12"/>
  <c r="CJ832" i="4"/>
  <c r="AE24" i="12"/>
  <c r="BB45" i="3"/>
  <c r="BB73" i="3" s="1"/>
  <c r="BB74" i="3"/>
  <c r="AP61" i="3"/>
  <c r="AP59" i="3"/>
  <c r="CB10" i="3"/>
  <c r="CB12" i="3" s="1"/>
  <c r="M80" i="3"/>
  <c r="Q80" i="3"/>
  <c r="AH123" i="9"/>
  <c r="AH67" i="9"/>
  <c r="AH68" i="9" s="1"/>
  <c r="AJ157" i="9"/>
  <c r="AI73" i="12"/>
  <c r="BN426" i="4"/>
  <c r="D106" i="9"/>
  <c r="D130" i="9" s="1"/>
  <c r="D52" i="9"/>
  <c r="D73" i="9" s="1"/>
  <c r="D29" i="9"/>
  <c r="DB1397" i="4"/>
  <c r="DB1360" i="4"/>
  <c r="AG76" i="12"/>
  <c r="AG28" i="12"/>
  <c r="V48" i="3"/>
  <c r="BZ10" i="3"/>
  <c r="BZ12" i="3" s="1"/>
  <c r="AD8" i="12"/>
  <c r="AD75" i="12"/>
  <c r="AD12" i="12"/>
  <c r="AD13" i="12"/>
  <c r="AD14" i="12" s="1"/>
  <c r="AA38" i="12"/>
  <c r="AA98" i="12" s="1"/>
  <c r="AA42" i="12"/>
  <c r="AA40" i="12"/>
  <c r="BB48" i="3"/>
  <c r="CB1400" i="4"/>
  <c r="CD401" i="4"/>
  <c r="CD1400" i="4" s="1"/>
  <c r="CS814" i="4"/>
  <c r="AF105" i="9"/>
  <c r="DH72" i="3"/>
  <c r="AJ25" i="9"/>
  <c r="BV780" i="4"/>
  <c r="BU825" i="4"/>
  <c r="BX830" i="4"/>
  <c r="BU830" i="4"/>
  <c r="BU831" i="4"/>
  <c r="BV829" i="4"/>
  <c r="P19" i="9"/>
  <c r="P26" i="9"/>
  <c r="P119" i="9"/>
  <c r="P63" i="9"/>
  <c r="BY831" i="4"/>
  <c r="AE35" i="12"/>
  <c r="AE26" i="12" s="1"/>
  <c r="BU1159" i="4"/>
  <c r="CI45" i="3"/>
  <c r="CI46" i="3"/>
  <c r="BU1313" i="4"/>
  <c r="BU1170" i="4"/>
  <c r="CV440" i="4"/>
  <c r="CX426" i="4"/>
  <c r="AZ73" i="3"/>
  <c r="AW73" i="3"/>
  <c r="BJ90" i="4"/>
  <c r="BI814" i="4"/>
  <c r="BJ807" i="4"/>
  <c r="AF88" i="12"/>
  <c r="AG71" i="12"/>
  <c r="AG61" i="12"/>
  <c r="AH71" i="12"/>
  <c r="AE23" i="12"/>
  <c r="CE10" i="3"/>
  <c r="CE12" i="3" s="1"/>
  <c r="P80" i="3"/>
  <c r="AJ62" i="9"/>
  <c r="AJ116" i="9"/>
  <c r="AJ18" i="9"/>
  <c r="AG33" i="12"/>
  <c r="AG24" i="12" s="1"/>
  <c r="AG25" i="12"/>
  <c r="CD10" i="3"/>
  <c r="CD12" i="3" s="1"/>
  <c r="AN25" i="9"/>
  <c r="CQ72" i="3"/>
  <c r="CF272" i="4"/>
  <c r="AP63" i="3"/>
  <c r="H108" i="9"/>
  <c r="H129" i="9" s="1"/>
  <c r="H28" i="9"/>
  <c r="H54" i="9"/>
  <c r="H72" i="9" s="1"/>
  <c r="H6" i="9"/>
  <c r="CG710" i="4"/>
  <c r="CJ703" i="4"/>
  <c r="AZ52" i="3"/>
  <c r="CZ1395" i="4"/>
  <c r="CZ507" i="4"/>
  <c r="AG63" i="12"/>
  <c r="BA73" i="3"/>
  <c r="AK73" i="3"/>
  <c r="X51" i="9"/>
  <c r="AD24" i="12"/>
  <c r="CP1399" i="4"/>
  <c r="L21" i="9"/>
  <c r="BZ1055" i="4"/>
  <c r="AN51" i="9"/>
  <c r="AV50" i="9"/>
  <c r="AZ50" i="9" s="1"/>
  <c r="BD50" i="9" s="1"/>
  <c r="AV139" i="9"/>
  <c r="AV80" i="9"/>
  <c r="CW1159" i="4"/>
  <c r="DK45" i="3"/>
  <c r="H124" i="9"/>
  <c r="H154" i="9" s="1"/>
  <c r="H68" i="9"/>
  <c r="H95" i="9" s="1"/>
  <c r="CJ10" i="3"/>
  <c r="CJ12" i="3" s="1"/>
  <c r="DN916" i="4"/>
  <c r="CJ46" i="3"/>
  <c r="AH42" i="12"/>
  <c r="AH38" i="12"/>
  <c r="AH98" i="12" s="1"/>
  <c r="AH100" i="12" s="1"/>
  <c r="AH101" i="12" s="1"/>
  <c r="AH102" i="12" s="1"/>
  <c r="AA71" i="12"/>
  <c r="AA61" i="12"/>
  <c r="AG38" i="12"/>
  <c r="AG98" i="12" s="1"/>
  <c r="AG42" i="12"/>
  <c r="AF6" i="9"/>
  <c r="AJ7" i="9" s="1"/>
  <c r="AF54" i="9"/>
  <c r="AF72" i="9" s="1"/>
  <c r="AF28" i="9"/>
  <c r="AF108" i="9"/>
  <c r="AJ55" i="9"/>
  <c r="AJ109" i="9"/>
  <c r="BN1159" i="4"/>
  <c r="CB45" i="3"/>
  <c r="DF57" i="3"/>
  <c r="CD1013" i="4"/>
  <c r="CO1397" i="4"/>
  <c r="D16" i="9"/>
  <c r="R11" i="3"/>
  <c r="V61" i="3" s="1"/>
  <c r="BB12" i="3"/>
  <c r="BA52" i="3"/>
  <c r="CP1013" i="4"/>
  <c r="CP57" i="3"/>
  <c r="AF109" i="9"/>
  <c r="AF55" i="9"/>
  <c r="DC135" i="4"/>
  <c r="CW100" i="4"/>
  <c r="BV1360" i="4"/>
  <c r="CI41" i="3"/>
  <c r="M14" i="3"/>
  <c r="CA33" i="3"/>
  <c r="CA32" i="3"/>
  <c r="DB403" i="4"/>
  <c r="CY72" i="3"/>
  <c r="AJ39" i="12"/>
  <c r="DP43" i="3"/>
  <c r="DB1157" i="4"/>
  <c r="DB1200" i="4"/>
  <c r="DB1312" i="4"/>
  <c r="BV1050" i="4"/>
  <c r="CM135" i="4"/>
  <c r="CL57" i="3"/>
  <c r="CU332" i="4"/>
  <c r="CI608" i="4"/>
  <c r="BN1356" i="4"/>
  <c r="BV1395" i="4"/>
  <c r="V52" i="3"/>
  <c r="AB45" i="12"/>
  <c r="X18" i="3"/>
  <c r="AH12" i="3"/>
  <c r="CY328" i="4"/>
  <c r="CV57" i="3"/>
  <c r="CU135" i="4"/>
  <c r="CH57" i="3"/>
  <c r="CD100" i="4"/>
  <c r="DG56" i="3"/>
  <c r="CY608" i="4"/>
  <c r="AT12" i="3"/>
  <c r="V12" i="3"/>
  <c r="CO100" i="4"/>
  <c r="DB1050" i="4"/>
  <c r="BP1159" i="4"/>
  <c r="BP1161" i="4" s="1"/>
  <c r="CD45" i="3"/>
  <c r="AR35" i="3"/>
  <c r="AN14" i="3"/>
  <c r="DB33" i="3"/>
  <c r="DB32" i="3"/>
  <c r="DJ918" i="4"/>
  <c r="DD72" i="3"/>
  <c r="CK272" i="4"/>
  <c r="BR1159" i="4"/>
  <c r="BR1161" i="4" s="1"/>
  <c r="CF45" i="3"/>
  <c r="BD9" i="3"/>
  <c r="AS52" i="3"/>
  <c r="AW80" i="3" s="1"/>
  <c r="DB1001" i="4"/>
  <c r="DB1114" i="4" s="1"/>
  <c r="DP18" i="3"/>
  <c r="CY612" i="4"/>
  <c r="CX522" i="4"/>
  <c r="CX57" i="3"/>
  <c r="T109" i="9"/>
  <c r="T55" i="9"/>
  <c r="CH471" i="4"/>
  <c r="DL1282" i="4"/>
  <c r="DL1197" i="4" s="1"/>
  <c r="BX72" i="3"/>
  <c r="CL1013" i="4"/>
  <c r="AP48" i="3"/>
  <c r="AK14" i="3"/>
  <c r="CY33" i="3"/>
  <c r="CY32" i="3"/>
  <c r="CP56" i="3"/>
  <c r="AI76" i="12"/>
  <c r="CS1020" i="4"/>
  <c r="CT1017" i="4"/>
  <c r="AA12" i="12"/>
  <c r="AZ139" i="9"/>
  <c r="AZ80" i="9"/>
  <c r="CL48" i="3"/>
  <c r="BX1161" i="4"/>
  <c r="BX1158" i="4"/>
  <c r="AV73" i="3"/>
  <c r="DL343" i="4"/>
  <c r="DJ343" i="4"/>
  <c r="CA10" i="3"/>
  <c r="CA12" i="3" s="1"/>
  <c r="Z42" i="12"/>
  <c r="Z38" i="12"/>
  <c r="Z98" i="12" s="1"/>
  <c r="T116" i="9"/>
  <c r="T62" i="9"/>
  <c r="T18" i="9"/>
  <c r="AF14" i="3"/>
  <c r="CT33" i="3"/>
  <c r="CT32" i="3"/>
  <c r="CF789" i="4"/>
  <c r="CQ10" i="3"/>
  <c r="CQ12" i="3" s="1"/>
  <c r="CH10" i="3"/>
  <c r="CH12" i="3" s="1"/>
  <c r="DC56" i="3"/>
  <c r="AN108" i="9"/>
  <c r="AN54" i="9"/>
  <c r="AN6" i="9"/>
  <c r="AR7" i="9" s="1"/>
  <c r="AN28" i="9"/>
  <c r="AB116" i="9"/>
  <c r="AB62" i="9"/>
  <c r="AJ29" i="9"/>
  <c r="AJ106" i="9"/>
  <c r="AJ52" i="9"/>
  <c r="L51" i="9"/>
  <c r="CK814" i="4"/>
  <c r="CH55" i="3"/>
  <c r="P51" i="9"/>
  <c r="BN90" i="4"/>
  <c r="AD40" i="12"/>
  <c r="CU48" i="3"/>
  <c r="CG1161" i="4"/>
  <c r="CG1158" i="4"/>
  <c r="CH48" i="3"/>
  <c r="BT1161" i="4"/>
  <c r="BT1158" i="4"/>
  <c r="DB1359" i="4"/>
  <c r="T51" i="9"/>
  <c r="Y63" i="12"/>
  <c r="AV79" i="3"/>
  <c r="AR79" i="3"/>
  <c r="BX1399" i="4"/>
  <c r="AB95" i="12"/>
  <c r="BY1400" i="4"/>
  <c r="BZ401" i="4"/>
  <c r="BZ1400" i="4" s="1"/>
  <c r="CA1400" i="4" s="1"/>
  <c r="U73" i="3"/>
  <c r="DG72" i="3"/>
  <c r="DM1124" i="4"/>
  <c r="DP1124" i="4" s="1"/>
  <c r="AB105" i="9"/>
  <c r="BU787" i="4"/>
  <c r="DJ1188" i="4"/>
  <c r="DL1188" i="4"/>
  <c r="CB832" i="4"/>
  <c r="BY832" i="4"/>
  <c r="CP1017" i="4"/>
  <c r="CO1020" i="4"/>
  <c r="AI88" i="12"/>
  <c r="BR1359" i="4"/>
  <c r="J45" i="3"/>
  <c r="J73" i="3" s="1"/>
  <c r="J74" i="3"/>
  <c r="AF39" i="12"/>
  <c r="CZ43" i="3"/>
  <c r="CL1200" i="4"/>
  <c r="CL1157" i="4"/>
  <c r="CL1312" i="4"/>
  <c r="AE85" i="12"/>
  <c r="AE95" i="12" s="1"/>
  <c r="CV50" i="3"/>
  <c r="AZ69" i="3"/>
  <c r="CL957" i="4"/>
  <c r="CL1203" i="4" s="1"/>
  <c r="CL1204" i="4" s="1"/>
  <c r="AF84" i="12"/>
  <c r="AF94" i="12" s="1"/>
  <c r="AD61" i="12"/>
  <c r="AD71" i="12"/>
  <c r="CN10" i="3"/>
  <c r="CN12" i="3" s="1"/>
  <c r="BB61" i="3"/>
  <c r="BB59" i="3"/>
  <c r="CR1175" i="4"/>
  <c r="CF41" i="3"/>
  <c r="DL41" i="3"/>
  <c r="AC42" i="12"/>
  <c r="AC38" i="12"/>
  <c r="AC98" i="12" s="1"/>
  <c r="AC40" i="12"/>
  <c r="BT1399" i="4"/>
  <c r="AI121" i="9"/>
  <c r="AI23" i="9"/>
  <c r="H18" i="9"/>
  <c r="H116" i="9"/>
  <c r="H62" i="9"/>
  <c r="AJ73" i="12"/>
  <c r="AJ63" i="12"/>
  <c r="CB1159" i="4"/>
  <c r="CP45" i="3"/>
  <c r="CP46" i="3"/>
  <c r="CB1170" i="4"/>
  <c r="CB1313" i="4"/>
  <c r="AB25" i="9"/>
  <c r="T6" i="9"/>
  <c r="T54" i="9"/>
  <c r="T72" i="9" s="1"/>
  <c r="T108" i="9"/>
  <c r="T28" i="9"/>
  <c r="AC12" i="12"/>
  <c r="AB12" i="12"/>
  <c r="AB75" i="12"/>
  <c r="AB8" i="12"/>
  <c r="AB13" i="12"/>
  <c r="R74" i="3"/>
  <c r="X105" i="9"/>
  <c r="AI146" i="12"/>
  <c r="AI148" i="12" s="1"/>
  <c r="AI149" i="12" s="1"/>
  <c r="AI135" i="12"/>
  <c r="DK46" i="3"/>
  <c r="CW1072" i="4"/>
  <c r="CW1313" i="4"/>
  <c r="CW1170" i="4"/>
  <c r="CW1088" i="4"/>
  <c r="CA48" i="3"/>
  <c r="AI23" i="12"/>
  <c r="AI28" i="12"/>
  <c r="DL806" i="4"/>
  <c r="AL45" i="3"/>
  <c r="AL74" i="3"/>
  <c r="DM426" i="4"/>
  <c r="Q61" i="3"/>
  <c r="Q59" i="3"/>
  <c r="AB63" i="12"/>
  <c r="AC73" i="12"/>
  <c r="AB73" i="12"/>
  <c r="AV78" i="3"/>
  <c r="CD1397" i="4"/>
  <c r="D55" i="9"/>
  <c r="D109" i="9"/>
  <c r="AJ65" i="9"/>
  <c r="AJ121" i="9"/>
  <c r="AH8" i="12"/>
  <c r="AH75" i="12"/>
  <c r="AH12" i="12"/>
  <c r="AH13" i="12"/>
  <c r="AH14" i="12" s="1"/>
  <c r="X18" i="9"/>
  <c r="X116" i="9"/>
  <c r="X62" i="9"/>
  <c r="BD44" i="3"/>
  <c r="BD72" i="3" s="1"/>
  <c r="AZ2" i="12"/>
  <c r="AY5" i="12"/>
  <c r="BJ481" i="4"/>
  <c r="BX56" i="3" s="1"/>
  <c r="BJ480" i="4"/>
  <c r="BX55" i="3" s="1"/>
  <c r="CD545" i="4"/>
  <c r="CD54" i="4"/>
  <c r="CD31" i="4"/>
  <c r="CE25" i="4"/>
  <c r="CD74" i="4"/>
  <c r="CH1076" i="4"/>
  <c r="CH1077" i="4" s="1"/>
  <c r="DI801" i="4"/>
  <c r="BZ600" i="4"/>
  <c r="DN647" i="4"/>
  <c r="DO638" i="4"/>
  <c r="CR406" i="4"/>
  <c r="CR405" i="4"/>
  <c r="CS482" i="4"/>
  <c r="CP843" i="4"/>
  <c r="CP99" i="4" s="1"/>
  <c r="CN99" i="4"/>
  <c r="CX1017" i="4"/>
  <c r="CW1020" i="4"/>
  <c r="CD403" i="4"/>
  <c r="CE382" i="4"/>
  <c r="CD446" i="4"/>
  <c r="CD445" i="4"/>
  <c r="CD447" i="4"/>
  <c r="CD448" i="4"/>
  <c r="DL172" i="4"/>
  <c r="DM66" i="4"/>
  <c r="DP66" i="4" s="1"/>
  <c r="DL67" i="4"/>
  <c r="CG406" i="4"/>
  <c r="CG405" i="4"/>
  <c r="CH386" i="4"/>
  <c r="DM1128" i="4"/>
  <c r="DP1128" i="4" s="1"/>
  <c r="DQ1128" i="4" s="1"/>
  <c r="BR1313" i="4"/>
  <c r="BR1170" i="4"/>
  <c r="CO1342" i="4"/>
  <c r="CP1337" i="4"/>
  <c r="CP1353" i="4" s="1"/>
  <c r="DC328" i="4"/>
  <c r="CJ1055" i="4"/>
  <c r="CJ92" i="4"/>
  <c r="CG1400" i="4"/>
  <c r="CH401" i="4"/>
  <c r="CH1400" i="4" s="1"/>
  <c r="DB1078" i="4"/>
  <c r="DA1082" i="4"/>
  <c r="DA1071" i="4" s="1"/>
  <c r="DA1073" i="4" s="1"/>
  <c r="DA1080" i="4"/>
  <c r="DD995" i="4" s="1"/>
  <c r="DF995" i="4" s="1"/>
  <c r="CD789" i="4"/>
  <c r="BX405" i="4"/>
  <c r="BX406" i="4"/>
  <c r="BX1054" i="4"/>
  <c r="BX1056" i="4" s="1"/>
  <c r="BX95" i="4"/>
  <c r="BR1076" i="4"/>
  <c r="BR1077" i="4" s="1"/>
  <c r="CW406" i="4"/>
  <c r="CX386" i="4"/>
  <c r="CW405" i="4"/>
  <c r="BY405" i="4"/>
  <c r="BY406" i="4"/>
  <c r="BZ386" i="4"/>
  <c r="DI517" i="4"/>
  <c r="DI518" i="4" s="1"/>
  <c r="DI383" i="4"/>
  <c r="DL186" i="4"/>
  <c r="DJ186" i="4"/>
  <c r="DI1341" i="4"/>
  <c r="CR1012" i="4"/>
  <c r="CR1010" i="4"/>
  <c r="DI1043" i="4"/>
  <c r="DI554" i="4"/>
  <c r="DI555" i="4" s="1"/>
  <c r="DI77" i="4"/>
  <c r="DB482" i="4"/>
  <c r="DB446" i="4"/>
  <c r="DB448" i="4"/>
  <c r="DB445" i="4"/>
  <c r="DB447" i="4"/>
  <c r="DB444" i="4"/>
  <c r="DB843" i="4"/>
  <c r="DB99" i="4" s="1"/>
  <c r="CZ99" i="4"/>
  <c r="CH1341" i="4"/>
  <c r="CH1340" i="4"/>
  <c r="CS1082" i="4"/>
  <c r="CS1071" i="4" s="1"/>
  <c r="CS1073" i="4" s="1"/>
  <c r="CS1080" i="4"/>
  <c r="CV952" i="4"/>
  <c r="DJ610" i="4"/>
  <c r="DI617" i="4"/>
  <c r="DI16" i="4"/>
  <c r="CP1313" i="4"/>
  <c r="CP1170" i="4"/>
  <c r="CB406" i="4"/>
  <c r="CB405" i="4"/>
  <c r="CI331" i="4"/>
  <c r="CK545" i="4"/>
  <c r="CK31" i="4"/>
  <c r="CK54" i="4"/>
  <c r="CK74" i="4"/>
  <c r="CK789" i="4"/>
  <c r="DM277" i="4"/>
  <c r="DP277" i="4" s="1"/>
  <c r="CS1055" i="4"/>
  <c r="CS92" i="4"/>
  <c r="CD470" i="4"/>
  <c r="CD481" i="4" s="1"/>
  <c r="CD461" i="4"/>
  <c r="CH1313" i="4"/>
  <c r="CH1170" i="4"/>
  <c r="DC807" i="4"/>
  <c r="CR1055" i="4"/>
  <c r="CR92" i="4"/>
  <c r="CV92" i="4"/>
  <c r="CK1020" i="4"/>
  <c r="CL1017" i="4"/>
  <c r="BN1313" i="4"/>
  <c r="BN1170" i="4"/>
  <c r="BN1177" i="4" s="1"/>
  <c r="DJ474" i="4"/>
  <c r="DL474" i="4"/>
  <c r="BQ49" i="4"/>
  <c r="BQ25" i="4"/>
  <c r="CX1064" i="4"/>
  <c r="CX1076" i="4"/>
  <c r="CX1077" i="4" s="1"/>
  <c r="CV406" i="4"/>
  <c r="CV405" i="4"/>
  <c r="CY327" i="4"/>
  <c r="CI382" i="4"/>
  <c r="BN1358" i="4"/>
  <c r="BM1360" i="4"/>
  <c r="BM1359" i="4"/>
  <c r="CU1325" i="4"/>
  <c r="CT1353" i="4"/>
  <c r="BO724" i="4"/>
  <c r="BN753" i="4"/>
  <c r="BN755" i="4" s="1"/>
  <c r="CQ327" i="4"/>
  <c r="CL1353" i="4"/>
  <c r="DI1222" i="4"/>
  <c r="BM754" i="4"/>
  <c r="BP745" i="4"/>
  <c r="BM749" i="4"/>
  <c r="CT446" i="4"/>
  <c r="CT445" i="4"/>
  <c r="CT447" i="4"/>
  <c r="CT448" i="4"/>
  <c r="CW112" i="4"/>
  <c r="CH1017" i="4"/>
  <c r="CG1020" i="4"/>
  <c r="CW953" i="4"/>
  <c r="CW956" i="4" s="1"/>
  <c r="CL482" i="4"/>
  <c r="CL446" i="4"/>
  <c r="CL447" i="4"/>
  <c r="CL445" i="4"/>
  <c r="CL448" i="4"/>
  <c r="CL444" i="4"/>
  <c r="CN481" i="4"/>
  <c r="BX884" i="4"/>
  <c r="BX36" i="4"/>
  <c r="DL1103" i="4"/>
  <c r="DL1094" i="4"/>
  <c r="DL1108" i="4"/>
  <c r="DM1079" i="4"/>
  <c r="DP1079" i="4" s="1"/>
  <c r="BR1050" i="4"/>
  <c r="CH1358" i="4"/>
  <c r="CG1359" i="4"/>
  <c r="CG1360" i="4"/>
  <c r="DC612" i="4"/>
  <c r="DK297" i="4"/>
  <c r="DI1298" i="4"/>
  <c r="DV44" i="3"/>
  <c r="CK1012" i="4"/>
  <c r="CK1010" i="4"/>
  <c r="BJ2" i="4"/>
  <c r="BI3" i="4"/>
  <c r="CS900" i="4"/>
  <c r="CW92" i="4"/>
  <c r="CT49" i="4"/>
  <c r="CT25" i="4"/>
  <c r="CL480" i="4"/>
  <c r="BY545" i="4"/>
  <c r="BY54" i="4"/>
  <c r="BY31" i="4"/>
  <c r="BY74" i="4"/>
  <c r="BY789" i="4"/>
  <c r="BI405" i="4"/>
  <c r="BI406" i="4"/>
  <c r="BJ386" i="4"/>
  <c r="CU333" i="4"/>
  <c r="DL122" i="4"/>
  <c r="DJ122" i="4"/>
  <c r="CR114" i="4"/>
  <c r="CF1055" i="4"/>
  <c r="CF92" i="4"/>
  <c r="CN545" i="4"/>
  <c r="CN74" i="4"/>
  <c r="CN54" i="4"/>
  <c r="CN31" i="4"/>
  <c r="CR54" i="4"/>
  <c r="CN789" i="4"/>
  <c r="BJ25" i="4"/>
  <c r="CW1012" i="4"/>
  <c r="CW1010" i="4"/>
  <c r="CV1012" i="4"/>
  <c r="CV1010" i="4"/>
  <c r="CJ405" i="4"/>
  <c r="CJ406" i="4"/>
  <c r="CY135" i="4"/>
  <c r="CE331" i="4"/>
  <c r="CB272" i="4"/>
  <c r="DJ648" i="4"/>
  <c r="DK640" i="4"/>
  <c r="CS1395" i="4"/>
  <c r="CS507" i="4"/>
  <c r="DC333" i="4"/>
  <c r="CT522" i="4"/>
  <c r="CJ1400" i="4"/>
  <c r="CL401" i="4"/>
  <c r="CL1400" i="4" s="1"/>
  <c r="DA1020" i="4"/>
  <c r="DB1017" i="4"/>
  <c r="CD773" i="4"/>
  <c r="CS405" i="4"/>
  <c r="CT386" i="4"/>
  <c r="CS406" i="4"/>
  <c r="CT843" i="4"/>
  <c r="CT99" i="4" s="1"/>
  <c r="CR99" i="4"/>
  <c r="BQ618" i="4"/>
  <c r="BQ663" i="4"/>
  <c r="BQ662" i="4" s="1"/>
  <c r="BR662" i="4" s="1"/>
  <c r="BR663" i="4" s="1"/>
  <c r="CC481" i="4"/>
  <c r="CY332" i="4"/>
  <c r="CA612" i="4"/>
  <c r="BT49" i="4"/>
  <c r="BX49" i="4"/>
  <c r="BT25" i="4"/>
  <c r="CH481" i="4"/>
  <c r="CL529" i="4"/>
  <c r="CW272" i="4"/>
  <c r="CZ272" i="4"/>
  <c r="BW807" i="4"/>
  <c r="CE327" i="4"/>
  <c r="CV545" i="4"/>
  <c r="CV31" i="4"/>
  <c r="CV54" i="4"/>
  <c r="CV74" i="4"/>
  <c r="CV789" i="4"/>
  <c r="CX843" i="4"/>
  <c r="CX99" i="4" s="1"/>
  <c r="CV99" i="4"/>
  <c r="CM612" i="4"/>
  <c r="CN1055" i="4"/>
  <c r="CN92" i="4"/>
  <c r="CG1342" i="4"/>
  <c r="CH1337" i="4"/>
  <c r="CH1342" i="4" s="1"/>
  <c r="CF1294" i="4"/>
  <c r="CG1294" i="4" s="1"/>
  <c r="CD1294" i="4"/>
  <c r="BM1080" i="4"/>
  <c r="BM1083" i="4" s="1"/>
  <c r="BM1082" i="4"/>
  <c r="BM1071" i="4" s="1"/>
  <c r="BM1073" i="4" s="1"/>
  <c r="BP952" i="4"/>
  <c r="BM1029" i="4"/>
  <c r="BW609" i="4"/>
  <c r="CL449" i="4"/>
  <c r="CV1395" i="4"/>
  <c r="CV507" i="4"/>
  <c r="BI1082" i="4"/>
  <c r="BI1080" i="4"/>
  <c r="BI1083" i="4" s="1"/>
  <c r="BJ1078" i="4"/>
  <c r="BL952" i="4"/>
  <c r="BN482" i="4"/>
  <c r="CB57" i="3" s="1"/>
  <c r="BN446" i="4"/>
  <c r="BN448" i="4"/>
  <c r="BN447" i="4"/>
  <c r="BN445" i="4"/>
  <c r="CZ545" i="4"/>
  <c r="DD549" i="4" s="1"/>
  <c r="CZ54" i="4"/>
  <c r="CZ31" i="4"/>
  <c r="DD56" i="4" s="1"/>
  <c r="CZ74" i="4"/>
  <c r="CZ789" i="4"/>
  <c r="CB1012" i="4"/>
  <c r="CB1010" i="4"/>
  <c r="DA406" i="4"/>
  <c r="DA405" i="4"/>
  <c r="DB386" i="4"/>
  <c r="CD444" i="4"/>
  <c r="CC405" i="4"/>
  <c r="CC406" i="4"/>
  <c r="CD386" i="4"/>
  <c r="CP1358" i="4"/>
  <c r="CO1359" i="4"/>
  <c r="CO1360" i="4"/>
  <c r="DL1369" i="4"/>
  <c r="BL753" i="4"/>
  <c r="BL755" i="4" s="1"/>
  <c r="BM720" i="4"/>
  <c r="BM724" i="4" s="1"/>
  <c r="BL726" i="4"/>
  <c r="BU545" i="4"/>
  <c r="BU31" i="4"/>
  <c r="BU74" i="4"/>
  <c r="BU789" i="4"/>
  <c r="BT405" i="4"/>
  <c r="BT406" i="4"/>
  <c r="DI1332" i="4"/>
  <c r="BP545" i="4"/>
  <c r="BP31" i="4"/>
  <c r="BP54" i="4"/>
  <c r="BP74" i="4"/>
  <c r="BP789" i="4"/>
  <c r="CL1055" i="4"/>
  <c r="CP1055" i="4"/>
  <c r="CP92" i="4"/>
  <c r="CW1353" i="4"/>
  <c r="CX1325" i="4"/>
  <c r="DC1325" i="4" s="1"/>
  <c r="CG1012" i="4"/>
  <c r="CG1010" i="4"/>
  <c r="BR612" i="4"/>
  <c r="BR19" i="4"/>
  <c r="BV49" i="4" s="1"/>
  <c r="BR48" i="4"/>
  <c r="CO1080" i="4"/>
  <c r="CO1082" i="4"/>
  <c r="CP1078" i="4"/>
  <c r="CR952" i="4"/>
  <c r="BJ1076" i="4"/>
  <c r="CK406" i="4"/>
  <c r="CK405" i="4"/>
  <c r="CL386" i="4"/>
  <c r="BZ545" i="4"/>
  <c r="BZ31" i="4"/>
  <c r="BZ74" i="4"/>
  <c r="CF406" i="4"/>
  <c r="CF405" i="4"/>
  <c r="CE328" i="4"/>
  <c r="CN405" i="4"/>
  <c r="CN406" i="4"/>
  <c r="BN1076" i="4"/>
  <c r="DN646" i="4"/>
  <c r="DO637" i="4"/>
  <c r="DN640" i="4"/>
  <c r="CT1313" i="4"/>
  <c r="CT1170" i="4"/>
  <c r="CI328" i="4"/>
  <c r="CU612" i="4"/>
  <c r="CL481" i="4"/>
  <c r="BP1313" i="4"/>
  <c r="BP1170" i="4"/>
  <c r="BP1073" i="4"/>
  <c r="BP1072" i="4"/>
  <c r="BQ615" i="4"/>
  <c r="BT615" i="4"/>
  <c r="BN49" i="4"/>
  <c r="CN844" i="4"/>
  <c r="DL794" i="4"/>
  <c r="DI796" i="4"/>
  <c r="DJ794" i="4"/>
  <c r="BH545" i="4"/>
  <c r="BH74" i="4"/>
  <c r="BH31" i="4"/>
  <c r="BH789" i="4"/>
  <c r="BL54" i="4"/>
  <c r="CO1353" i="4"/>
  <c r="CN482" i="4"/>
  <c r="DB529" i="4"/>
  <c r="DI683" i="4"/>
  <c r="DL681" i="4"/>
  <c r="DJ681" i="4"/>
  <c r="DN437" i="4"/>
  <c r="CT470" i="4"/>
  <c r="CT461" i="4"/>
  <c r="CW844" i="4"/>
  <c r="BS382" i="4"/>
  <c r="CD1050" i="4"/>
  <c r="DA1012" i="4"/>
  <c r="DA1010" i="4"/>
  <c r="CU331" i="4"/>
  <c r="CR1359" i="4"/>
  <c r="CR1360" i="4"/>
  <c r="CR884" i="4"/>
  <c r="CR36" i="4"/>
  <c r="BM545" i="4"/>
  <c r="BM74" i="4"/>
  <c r="BM54" i="4"/>
  <c r="BM31" i="4"/>
  <c r="BM789" i="4"/>
  <c r="BV1076" i="4"/>
  <c r="BV1077" i="4" s="1"/>
  <c r="CR1395" i="4"/>
  <c r="CR507" i="4"/>
  <c r="DI1206" i="4"/>
  <c r="DL415" i="4"/>
  <c r="DJ415" i="4"/>
  <c r="CC480" i="4"/>
  <c r="CD449" i="4"/>
  <c r="BT619" i="4"/>
  <c r="CH480" i="4"/>
  <c r="CO405" i="4"/>
  <c r="CO406" i="4"/>
  <c r="CP386" i="4"/>
  <c r="CN1400" i="4"/>
  <c r="CP401" i="4"/>
  <c r="CP1400" i="4" s="1"/>
  <c r="DM625" i="4"/>
  <c r="DP625" i="4" s="1"/>
  <c r="DL76" i="4"/>
  <c r="CQ332" i="4"/>
  <c r="DI1340" i="4"/>
  <c r="CP480" i="4"/>
  <c r="BN449" i="4"/>
  <c r="CA608" i="4"/>
  <c r="CG1055" i="4"/>
  <c r="CG92" i="4"/>
  <c r="CS545" i="4"/>
  <c r="CS74" i="4"/>
  <c r="CS54" i="4"/>
  <c r="CS31" i="4"/>
  <c r="CS789" i="4"/>
  <c r="BY471" i="4"/>
  <c r="BY480" i="4"/>
  <c r="BY481" i="4"/>
  <c r="CH440" i="4"/>
  <c r="CQ608" i="4"/>
  <c r="CU608" i="4"/>
  <c r="BZ1076" i="4"/>
  <c r="BZ1077" i="4" s="1"/>
  <c r="DJ653" i="4"/>
  <c r="DM644" i="4"/>
  <c r="DM610" i="4"/>
  <c r="DM653" i="4"/>
  <c r="DM648" i="4"/>
  <c r="DM652" i="4"/>
  <c r="CV1071" i="4"/>
  <c r="CV1073" i="4" s="1"/>
  <c r="CO545" i="4"/>
  <c r="CO54" i="4"/>
  <c r="CO31" i="4"/>
  <c r="CO74" i="4"/>
  <c r="CO789" i="4"/>
  <c r="CC545" i="4"/>
  <c r="CC74" i="4"/>
  <c r="CC54" i="4"/>
  <c r="CC31" i="4"/>
  <c r="CC789" i="4"/>
  <c r="CG54" i="4"/>
  <c r="DM1171" i="4"/>
  <c r="BL406" i="4"/>
  <c r="BL405" i="4"/>
  <c r="CZ405" i="4"/>
  <c r="CZ406" i="4"/>
  <c r="CH111" i="4"/>
  <c r="CH112" i="4" s="1"/>
  <c r="CH81" i="4"/>
  <c r="CH90" i="4"/>
  <c r="BM405" i="4"/>
  <c r="BM406" i="4"/>
  <c r="BN386" i="4"/>
  <c r="CG790" i="4"/>
  <c r="BI545" i="4"/>
  <c r="BI546" i="4" s="1"/>
  <c r="BI31" i="4"/>
  <c r="BI74" i="4"/>
  <c r="BI789" i="4"/>
  <c r="DL1255" i="4"/>
  <c r="DM660" i="4"/>
  <c r="BU49" i="4"/>
  <c r="CL1076" i="4"/>
  <c r="CL1077" i="4" s="1"/>
  <c r="DB1064" i="4"/>
  <c r="DB1076" i="4"/>
  <c r="CV1083" i="4"/>
  <c r="CW995" i="4"/>
  <c r="DJ607" i="4"/>
  <c r="DL607" i="4"/>
  <c r="CH49" i="4"/>
  <c r="CH25" i="4"/>
  <c r="DI153" i="4"/>
  <c r="CD1076" i="4"/>
  <c r="CD1077" i="4" s="1"/>
  <c r="DA545" i="4"/>
  <c r="DE549" i="4" s="1"/>
  <c r="DA31" i="4"/>
  <c r="DE56" i="4" s="1"/>
  <c r="DA74" i="4"/>
  <c r="DA54" i="4"/>
  <c r="DA789" i="4"/>
  <c r="DB49" i="4"/>
  <c r="DB25" i="4"/>
  <c r="DJ1197" i="4"/>
  <c r="CR1082" i="4"/>
  <c r="CR1071" i="4" s="1"/>
  <c r="CR1073" i="4" s="1"/>
  <c r="CR1080" i="4"/>
  <c r="CT1078" i="4"/>
  <c r="CS952" i="4"/>
  <c r="DA1395" i="4"/>
  <c r="DA507" i="4"/>
  <c r="BU406" i="4"/>
  <c r="BU405" i="4"/>
  <c r="BV386" i="4"/>
  <c r="BZ789" i="4"/>
  <c r="CP49" i="4"/>
  <c r="CP25" i="4"/>
  <c r="DM1218" i="4"/>
  <c r="DP1218" i="4" s="1"/>
  <c r="DQ1218" i="4" s="1"/>
  <c r="CF1012" i="4"/>
  <c r="CF1010" i="4"/>
  <c r="DL652" i="4"/>
  <c r="DL644" i="4"/>
  <c r="DL610" i="4"/>
  <c r="DL653" i="4"/>
  <c r="DL648" i="4"/>
  <c r="BV25" i="4"/>
  <c r="CH99" i="4"/>
  <c r="BZ471" i="4"/>
  <c r="BZ481" i="4"/>
  <c r="BZ480" i="4"/>
  <c r="CR1054" i="4"/>
  <c r="CR95" i="4"/>
  <c r="CX900" i="4"/>
  <c r="CF546" i="4"/>
  <c r="CP1076" i="4"/>
  <c r="CP1064" i="4"/>
  <c r="DM915" i="4"/>
  <c r="DL918" i="4"/>
  <c r="DC787" i="4"/>
  <c r="BP406" i="4"/>
  <c r="BP405" i="4"/>
  <c r="CQ1325" i="4"/>
  <c r="CJ272" i="4"/>
  <c r="CH844" i="4"/>
  <c r="CQ331" i="4"/>
  <c r="CM608" i="4"/>
  <c r="CB545" i="4"/>
  <c r="CF549" i="4" s="1"/>
  <c r="CB74" i="4"/>
  <c r="CB54" i="4"/>
  <c r="CB31" i="4"/>
  <c r="CB789" i="4"/>
  <c r="BT272" i="4"/>
  <c r="CP1341" i="4"/>
  <c r="CP1340" i="4"/>
  <c r="CT1064" i="4"/>
  <c r="CT1076" i="4"/>
  <c r="BQ406" i="4"/>
  <c r="BQ405" i="4"/>
  <c r="BR386" i="4"/>
  <c r="CL522" i="4"/>
  <c r="CX49" i="4"/>
  <c r="CX25" i="4"/>
  <c r="CJ112" i="4"/>
  <c r="CE787" i="4"/>
  <c r="CC900" i="4"/>
  <c r="BY1055" i="4"/>
  <c r="BY92" i="4"/>
  <c r="CJ545" i="4"/>
  <c r="CJ54" i="4"/>
  <c r="CJ31" i="4"/>
  <c r="CJ74" i="4"/>
  <c r="CJ789" i="4"/>
  <c r="BL1079" i="4"/>
  <c r="BL1108" i="4" s="1"/>
  <c r="BN1078" i="4"/>
  <c r="BL1082" i="4"/>
  <c r="BL1071" i="4" s="1"/>
  <c r="BL1073" i="4" s="1"/>
  <c r="BM952" i="4"/>
  <c r="CK1055" i="4"/>
  <c r="CK92" i="4"/>
  <c r="CO92" i="4"/>
  <c r="CL49" i="4"/>
  <c r="CL25" i="4"/>
  <c r="DB449" i="4"/>
  <c r="CZ844" i="4"/>
  <c r="CN112" i="4"/>
  <c r="DB1353" i="4"/>
  <c r="CG1353" i="4"/>
  <c r="CH1325" i="4"/>
  <c r="DI651" i="4"/>
  <c r="DL293" i="4"/>
  <c r="DJ293" i="4"/>
  <c r="CP481" i="4"/>
  <c r="DC331" i="4"/>
  <c r="DI174" i="4"/>
  <c r="DF92" i="4" l="1"/>
  <c r="CW33" i="4"/>
  <c r="DO56" i="3"/>
  <c r="CL1359" i="4"/>
  <c r="CT773" i="4"/>
  <c r="CP773" i="4"/>
  <c r="CW1057" i="4"/>
  <c r="AH122" i="9"/>
  <c r="DK56" i="3"/>
  <c r="DM297" i="4"/>
  <c r="DP297" i="4" s="1"/>
  <c r="AH124" i="9"/>
  <c r="AH126" i="9" s="1"/>
  <c r="AJ123" i="9"/>
  <c r="BS1399" i="4"/>
  <c r="DC1358" i="4"/>
  <c r="DG1358" i="4"/>
  <c r="DD956" i="4"/>
  <c r="DF956" i="4" s="1"/>
  <c r="DF952" i="4"/>
  <c r="DF101" i="4"/>
  <c r="DF889" i="4" s="1"/>
  <c r="DF54" i="4"/>
  <c r="DG25" i="4"/>
  <c r="DB112" i="4"/>
  <c r="DF112" i="4"/>
  <c r="DG825" i="4"/>
  <c r="DC825" i="4"/>
  <c r="AR137" i="9"/>
  <c r="BX13" i="3"/>
  <c r="DP67" i="4"/>
  <c r="DQ66" i="4"/>
  <c r="DQ67" i="4" s="1"/>
  <c r="DP172" i="4"/>
  <c r="DQ648" i="4"/>
  <c r="DQ653" i="4"/>
  <c r="DQ652" i="4"/>
  <c r="DQ644" i="4"/>
  <c r="DQ610" i="4"/>
  <c r="DR300" i="4"/>
  <c r="DQ426" i="4"/>
  <c r="DP686" i="4"/>
  <c r="DQ685" i="4"/>
  <c r="DP76" i="4"/>
  <c r="DQ625" i="4"/>
  <c r="DP915" i="4"/>
  <c r="BN481" i="4"/>
  <c r="CB56" i="3" s="1"/>
  <c r="DQ1124" i="4"/>
  <c r="DP1171" i="4"/>
  <c r="DN344" i="4"/>
  <c r="DP344" i="4"/>
  <c r="DM65" i="4"/>
  <c r="DP64" i="4"/>
  <c r="DP437" i="4"/>
  <c r="DR436" i="4"/>
  <c r="DP426" i="4"/>
  <c r="DR646" i="4"/>
  <c r="DS637" i="4"/>
  <c r="DR640" i="4"/>
  <c r="CY57" i="3"/>
  <c r="DR435" i="4"/>
  <c r="DR584" i="4"/>
  <c r="DQ347" i="4"/>
  <c r="DP644" i="4"/>
  <c r="DP653" i="4"/>
  <c r="DP652" i="4"/>
  <c r="DP648" i="4"/>
  <c r="DP610" i="4"/>
  <c r="DQ1270" i="4"/>
  <c r="DP1282" i="4"/>
  <c r="DM1255" i="4"/>
  <c r="DN1255" i="4" s="1"/>
  <c r="DP660" i="4"/>
  <c r="DP1094" i="4"/>
  <c r="DQ1079" i="4"/>
  <c r="DP1103" i="4"/>
  <c r="DP1104" i="4" s="1"/>
  <c r="DQ997" i="4" s="1"/>
  <c r="DP1108" i="4"/>
  <c r="DQ277" i="4"/>
  <c r="DR134" i="4"/>
  <c r="DR916" i="4"/>
  <c r="CQ787" i="4"/>
  <c r="CX773" i="4"/>
  <c r="CD440" i="4"/>
  <c r="BN1151" i="4"/>
  <c r="BR481" i="4"/>
  <c r="N16" i="3"/>
  <c r="CW78" i="4"/>
  <c r="AW35" i="3" s="1"/>
  <c r="CU825" i="4"/>
  <c r="CW1151" i="4"/>
  <c r="CO1176" i="4"/>
  <c r="CO1175" i="4" s="1"/>
  <c r="AW16" i="3"/>
  <c r="BN33" i="4"/>
  <c r="N18" i="3" s="1"/>
  <c r="L98" i="9"/>
  <c r="CW94" i="4"/>
  <c r="CD56" i="3"/>
  <c r="D125" i="9"/>
  <c r="CE56" i="3"/>
  <c r="CD55" i="3"/>
  <c r="BR480" i="4"/>
  <c r="DB440" i="4"/>
  <c r="CW107" i="4"/>
  <c r="CW114" i="4" s="1"/>
  <c r="CU787" i="4"/>
  <c r="N78" i="3"/>
  <c r="BA62" i="3"/>
  <c r="AW62" i="3"/>
  <c r="DD57" i="3"/>
  <c r="CG95" i="4"/>
  <c r="BN480" i="4"/>
  <c r="CB55" i="3" s="1"/>
  <c r="DF56" i="3"/>
  <c r="DK55" i="3"/>
  <c r="DF55" i="3"/>
  <c r="DL1333" i="4"/>
  <c r="DM1333" i="4" s="1"/>
  <c r="DJ1333" i="4"/>
  <c r="AL18" i="12" s="1"/>
  <c r="CY787" i="4"/>
  <c r="CA807" i="4"/>
  <c r="CP900" i="4"/>
  <c r="CH56" i="3"/>
  <c r="CE807" i="4"/>
  <c r="BV1158" i="4"/>
  <c r="CT112" i="4"/>
  <c r="BM708" i="4"/>
  <c r="CP55" i="3"/>
  <c r="CF1151" i="4"/>
  <c r="AB52" i="9"/>
  <c r="AB73" i="9" s="1"/>
  <c r="DM151" i="4"/>
  <c r="DM325" i="4" s="1"/>
  <c r="DN64" i="4"/>
  <c r="BN94" i="4"/>
  <c r="AK78" i="3"/>
  <c r="DJ314" i="4"/>
  <c r="DI362" i="4"/>
  <c r="DJ362" i="4" s="1"/>
  <c r="DI349" i="4"/>
  <c r="DI354" i="4"/>
  <c r="DJ346" i="4"/>
  <c r="DL354" i="4"/>
  <c r="DM346" i="4"/>
  <c r="DJ1043" i="4"/>
  <c r="CL900" i="4"/>
  <c r="DL325" i="4"/>
  <c r="DL314" i="4"/>
  <c r="DL362" i="4" s="1"/>
  <c r="L29" i="9"/>
  <c r="BH24" i="3"/>
  <c r="CX471" i="4"/>
  <c r="DJ39" i="4"/>
  <c r="AN78" i="3"/>
  <c r="BN78" i="4"/>
  <c r="BN95" i="4" s="1"/>
  <c r="CX56" i="3"/>
  <c r="L52" i="9"/>
  <c r="L73" i="9" s="1"/>
  <c r="BV471" i="4"/>
  <c r="L7" i="9"/>
  <c r="DM133" i="4"/>
  <c r="L129" i="9"/>
  <c r="Z74" i="12"/>
  <c r="CG1054" i="4"/>
  <c r="CG1056" i="4" s="1"/>
  <c r="AG35" i="3"/>
  <c r="AG68" i="3" s="1"/>
  <c r="P23" i="9"/>
  <c r="P67" i="9" s="1"/>
  <c r="DI437" i="4"/>
  <c r="DI439" i="4" s="1"/>
  <c r="P65" i="9"/>
  <c r="AO78" i="3"/>
  <c r="CX480" i="4"/>
  <c r="DJ439" i="4"/>
  <c r="CX481" i="4"/>
  <c r="AF16" i="3"/>
  <c r="P22" i="9"/>
  <c r="AC76" i="12"/>
  <c r="DD996" i="4"/>
  <c r="AF78" i="3"/>
  <c r="DO55" i="3"/>
  <c r="CG884" i="4"/>
  <c r="CG885" i="4" s="1"/>
  <c r="CP440" i="4"/>
  <c r="CH900" i="4"/>
  <c r="AL73" i="3"/>
  <c r="AB106" i="9"/>
  <c r="CG36" i="4"/>
  <c r="CY807" i="4"/>
  <c r="CY56" i="3"/>
  <c r="CU9" i="3"/>
  <c r="CZ1176" i="4"/>
  <c r="BV480" i="4"/>
  <c r="CJ55" i="3" s="1"/>
  <c r="AB157" i="9"/>
  <c r="AE84" i="12"/>
  <c r="AE94" i="12" s="1"/>
  <c r="AB98" i="9"/>
  <c r="BV481" i="4"/>
  <c r="Z62" i="12"/>
  <c r="CF78" i="4"/>
  <c r="CH957" i="4"/>
  <c r="CH1203" i="4" s="1"/>
  <c r="CH1204" i="4" s="1"/>
  <c r="DL57" i="3"/>
  <c r="CY48" i="3"/>
  <c r="AO69" i="3"/>
  <c r="DM898" i="4"/>
  <c r="CX1170" i="4"/>
  <c r="DJ48" i="3"/>
  <c r="CX1313" i="4"/>
  <c r="CT92" i="4"/>
  <c r="AJ78" i="3"/>
  <c r="DN55" i="3"/>
  <c r="CL41" i="3"/>
  <c r="CF1176" i="4"/>
  <c r="CM825" i="4"/>
  <c r="AP78" i="3"/>
  <c r="CF1057" i="4"/>
  <c r="BJ1158" i="4"/>
  <c r="CT55" i="3"/>
  <c r="CQ807" i="4"/>
  <c r="BR600" i="4"/>
  <c r="AG18" i="3"/>
  <c r="DL46" i="3"/>
  <c r="CP1158" i="4"/>
  <c r="BR1158" i="4"/>
  <c r="CK1158" i="4"/>
  <c r="CT1359" i="4"/>
  <c r="CF94" i="4"/>
  <c r="CT1055" i="4"/>
  <c r="CM787" i="4"/>
  <c r="AF21" i="9"/>
  <c r="AF14" i="12"/>
  <c r="X161" i="9"/>
  <c r="CL773" i="4"/>
  <c r="CI787" i="4"/>
  <c r="CX92" i="4"/>
  <c r="CF107" i="4"/>
  <c r="CF114" i="4" s="1"/>
  <c r="CM807" i="4"/>
  <c r="AT36" i="3"/>
  <c r="AX69" i="3" s="1"/>
  <c r="CZ11" i="3"/>
  <c r="BJ1360" i="4"/>
  <c r="BW41" i="3"/>
  <c r="BZ1161" i="4"/>
  <c r="CF33" i="4"/>
  <c r="DJ440" i="4"/>
  <c r="DJ77" i="4"/>
  <c r="AW78" i="3"/>
  <c r="L80" i="3"/>
  <c r="V78" i="3"/>
  <c r="AT73" i="3"/>
  <c r="BJ1359" i="4"/>
  <c r="BB78" i="3"/>
  <c r="AD62" i="3"/>
  <c r="AE28" i="12"/>
  <c r="CR1056" i="4"/>
  <c r="AG14" i="12"/>
  <c r="CO1158" i="4"/>
  <c r="CO1161" i="4"/>
  <c r="CV1161" i="4"/>
  <c r="CV1158" i="4"/>
  <c r="DN685" i="4"/>
  <c r="DN686" i="4" s="1"/>
  <c r="DM686" i="4"/>
  <c r="BP1158" i="4"/>
  <c r="CI1400" i="4"/>
  <c r="CR41" i="3"/>
  <c r="DA1161" i="4"/>
  <c r="DA1158" i="4"/>
  <c r="DO48" i="3"/>
  <c r="DA1176" i="4"/>
  <c r="CL55" i="3"/>
  <c r="CL56" i="3"/>
  <c r="CH1353" i="4"/>
  <c r="T98" i="9"/>
  <c r="AG78" i="3"/>
  <c r="P62" i="3"/>
  <c r="BN1077" i="4"/>
  <c r="AF62" i="3"/>
  <c r="H98" i="9"/>
  <c r="AX73" i="3"/>
  <c r="DJ554" i="4"/>
  <c r="DL898" i="4"/>
  <c r="H157" i="9"/>
  <c r="DB844" i="4"/>
  <c r="DN426" i="4"/>
  <c r="DK11" i="3"/>
  <c r="DK13" i="3" s="1"/>
  <c r="AF49" i="12"/>
  <c r="AL14" i="3"/>
  <c r="CZ33" i="3"/>
  <c r="CZ32" i="3"/>
  <c r="DL39" i="4"/>
  <c r="DL919" i="4" s="1"/>
  <c r="AG49" i="12"/>
  <c r="AP14" i="3"/>
  <c r="DD33" i="3"/>
  <c r="DD32" i="3"/>
  <c r="AH36" i="3"/>
  <c r="AL69" i="3" s="1"/>
  <c r="T21" i="9"/>
  <c r="X22" i="9" s="1"/>
  <c r="AR21" i="3"/>
  <c r="CZ56" i="3"/>
  <c r="CU11" i="3"/>
  <c r="CU13" i="3" s="1"/>
  <c r="CP1360" i="4"/>
  <c r="CT100" i="4"/>
  <c r="Q14" i="3"/>
  <c r="Q62" i="3" s="1"/>
  <c r="CE33" i="3"/>
  <c r="CE32" i="3"/>
  <c r="DG57" i="3"/>
  <c r="T129" i="9"/>
  <c r="AR37" i="3"/>
  <c r="CR10" i="3"/>
  <c r="CR12" i="3" s="1"/>
  <c r="CB48" i="3"/>
  <c r="DR49" i="3" s="1"/>
  <c r="CL440" i="4"/>
  <c r="BL1399" i="4"/>
  <c r="CN1399" i="4"/>
  <c r="CH1399" i="4"/>
  <c r="AB7" i="9"/>
  <c r="X7" i="9"/>
  <c r="X29" i="9"/>
  <c r="X106" i="9"/>
  <c r="X52" i="9"/>
  <c r="CJ1399" i="4"/>
  <c r="AS28" i="3"/>
  <c r="BY1399" i="4"/>
  <c r="CX1397" i="4"/>
  <c r="W22" i="9"/>
  <c r="W121" i="9"/>
  <c r="W23" i="9"/>
  <c r="W65" i="9"/>
  <c r="CK1399" i="4"/>
  <c r="DH48" i="3"/>
  <c r="AO62" i="3"/>
  <c r="AO16" i="3"/>
  <c r="DD55" i="3"/>
  <c r="DB57" i="3"/>
  <c r="CP1359" i="4"/>
  <c r="CP11" i="3"/>
  <c r="CP13" i="3" s="1"/>
  <c r="CV1397" i="4"/>
  <c r="AV16" i="3"/>
  <c r="CS1397" i="4"/>
  <c r="CV1013" i="4"/>
  <c r="Y49" i="12"/>
  <c r="J14" i="3"/>
  <c r="BX33" i="3"/>
  <c r="BX32" i="3"/>
  <c r="Y16" i="3"/>
  <c r="CZ55" i="3"/>
  <c r="AH49" i="12"/>
  <c r="AT14" i="3"/>
  <c r="DH32" i="3"/>
  <c r="DH33" i="3"/>
  <c r="CT1158" i="4"/>
  <c r="CK1013" i="4"/>
  <c r="X21" i="3"/>
  <c r="CR56" i="3"/>
  <c r="BN1158" i="4"/>
  <c r="BI9" i="3"/>
  <c r="DP57" i="3"/>
  <c r="CR1013" i="4"/>
  <c r="BZ92" i="4"/>
  <c r="X26" i="9"/>
  <c r="X119" i="9"/>
  <c r="AB120" i="9" s="1"/>
  <c r="X63" i="9"/>
  <c r="AB64" i="9" s="1"/>
  <c r="AH11" i="12"/>
  <c r="AH76" i="12"/>
  <c r="AH28" i="12"/>
  <c r="DM806" i="4"/>
  <c r="DP806" i="4" s="1"/>
  <c r="CW1176" i="4"/>
  <c r="L130" i="9"/>
  <c r="H63" i="9"/>
  <c r="L64" i="9" s="1"/>
  <c r="H119" i="9"/>
  <c r="L120" i="9" s="1"/>
  <c r="AI122" i="9"/>
  <c r="AI127" i="9"/>
  <c r="AI132" i="9" s="1"/>
  <c r="CZ46" i="3"/>
  <c r="CL1313" i="4"/>
  <c r="CL1170" i="4"/>
  <c r="AF42" i="12"/>
  <c r="AF38" i="12"/>
  <c r="AF98" i="12" s="1"/>
  <c r="AP73" i="3"/>
  <c r="CP1020" i="4"/>
  <c r="CP1021" i="4" s="1"/>
  <c r="CO1021" i="4"/>
  <c r="BR92" i="4"/>
  <c r="AJ130" i="9"/>
  <c r="AN72" i="9"/>
  <c r="AN98" i="9" s="1"/>
  <c r="X19" i="9"/>
  <c r="T19" i="9"/>
  <c r="T26" i="9"/>
  <c r="T119" i="9"/>
  <c r="T63" i="9"/>
  <c r="DM343" i="4"/>
  <c r="DP343" i="4" s="1"/>
  <c r="CS1021" i="4"/>
  <c r="CT1020" i="4"/>
  <c r="AI11" i="12"/>
  <c r="CV10" i="3"/>
  <c r="CV12" i="3" s="1"/>
  <c r="DB1159" i="4"/>
  <c r="DP45" i="3"/>
  <c r="AJ38" i="12"/>
  <c r="AJ98" i="12" s="1"/>
  <c r="AJ100" i="12" s="1"/>
  <c r="AJ101" i="12" s="1"/>
  <c r="AJ102" i="12" s="1"/>
  <c r="AJ42" i="12"/>
  <c r="BO807" i="4"/>
  <c r="CJ41" i="3"/>
  <c r="AW28" i="3"/>
  <c r="AF98" i="9"/>
  <c r="H52" i="9"/>
  <c r="H7" i="9"/>
  <c r="H29" i="9"/>
  <c r="H106" i="9"/>
  <c r="BU1177" i="4"/>
  <c r="BW829" i="4"/>
  <c r="BV831" i="4"/>
  <c r="BV825" i="4"/>
  <c r="BX832" i="4"/>
  <c r="BU832" i="4"/>
  <c r="CX11" i="3"/>
  <c r="CX13" i="3" s="1"/>
  <c r="CS1013" i="4"/>
  <c r="AI14" i="12"/>
  <c r="Y62" i="3"/>
  <c r="DN11" i="3"/>
  <c r="DN13" i="3" s="1"/>
  <c r="BD13" i="3"/>
  <c r="AN69" i="3"/>
  <c r="CC1177" i="4"/>
  <c r="AH73" i="3"/>
  <c r="DJ411" i="4"/>
  <c r="DI384" i="4"/>
  <c r="DJ384" i="4" s="1"/>
  <c r="DL411" i="4"/>
  <c r="L152" i="9"/>
  <c r="BL94" i="4"/>
  <c r="BL78" i="4"/>
  <c r="X129" i="9"/>
  <c r="AE11" i="12"/>
  <c r="AE76" i="12"/>
  <c r="AN21" i="9"/>
  <c r="BB36" i="3"/>
  <c r="DB92" i="4"/>
  <c r="DB1055" i="4"/>
  <c r="CL1399" i="4"/>
  <c r="Z78" i="3"/>
  <c r="CX1159" i="4"/>
  <c r="DL45" i="3"/>
  <c r="DC11" i="3"/>
  <c r="DC13" i="3" s="1"/>
  <c r="N73" i="3"/>
  <c r="DM901" i="4"/>
  <c r="AX78" i="3"/>
  <c r="S22" i="9"/>
  <c r="S65" i="9"/>
  <c r="S23" i="9"/>
  <c r="S121" i="9"/>
  <c r="CJ48" i="3"/>
  <c r="BA28" i="3"/>
  <c r="DG55" i="3"/>
  <c r="AR69" i="3"/>
  <c r="AR41" i="3"/>
  <c r="AV69" i="3"/>
  <c r="CR13" i="3"/>
  <c r="X121" i="9"/>
  <c r="X65" i="9"/>
  <c r="DJ655" i="4"/>
  <c r="AS69" i="3"/>
  <c r="BH1397" i="4"/>
  <c r="AI65" i="12"/>
  <c r="AI63" i="12"/>
  <c r="AV62" i="3"/>
  <c r="AB19" i="9"/>
  <c r="CT11" i="3"/>
  <c r="CT13" i="3" s="1"/>
  <c r="DJ651" i="4"/>
  <c r="CR1397" i="4"/>
  <c r="CT471" i="4"/>
  <c r="AZ16" i="3"/>
  <c r="BN1360" i="4"/>
  <c r="CA41" i="3"/>
  <c r="CD482" i="4"/>
  <c r="AD48" i="3"/>
  <c r="AD78" i="3" s="1"/>
  <c r="AK16" i="3"/>
  <c r="DI391" i="4"/>
  <c r="AD51" i="12"/>
  <c r="AD64" i="12" s="1"/>
  <c r="AD16" i="3"/>
  <c r="AB123" i="9"/>
  <c r="AB67" i="9"/>
  <c r="AN29" i="9"/>
  <c r="AN106" i="9"/>
  <c r="AR107" i="9" s="1"/>
  <c r="AN52" i="9"/>
  <c r="AR53" i="9" s="1"/>
  <c r="AN7" i="9"/>
  <c r="AO28" i="3"/>
  <c r="D116" i="9"/>
  <c r="D62" i="9"/>
  <c r="D18" i="9"/>
  <c r="CJ708" i="4"/>
  <c r="CL703" i="4"/>
  <c r="P93" i="9"/>
  <c r="P64" i="9"/>
  <c r="DB1399" i="4"/>
  <c r="AH70" i="9"/>
  <c r="AT78" i="3"/>
  <c r="DN347" i="4"/>
  <c r="BZ41" i="3"/>
  <c r="CW1399" i="4"/>
  <c r="DD13" i="3"/>
  <c r="DP55" i="3"/>
  <c r="AN119" i="9"/>
  <c r="AR120" i="9" s="1"/>
  <c r="AN26" i="9"/>
  <c r="AN63" i="9"/>
  <c r="AR64" i="9" s="1"/>
  <c r="L93" i="9"/>
  <c r="AB152" i="9"/>
  <c r="CX844" i="4"/>
  <c r="AB16" i="3"/>
  <c r="AB64" i="3" s="1"/>
  <c r="BI78" i="4"/>
  <c r="P16" i="3"/>
  <c r="CH100" i="4"/>
  <c r="AJ49" i="12"/>
  <c r="BB14" i="3"/>
  <c r="DP33" i="3"/>
  <c r="DP32" i="3"/>
  <c r="DN660" i="4"/>
  <c r="I16" i="3"/>
  <c r="I64" i="3" s="1"/>
  <c r="CM56" i="3"/>
  <c r="DO11" i="3"/>
  <c r="DO13" i="3" s="1"/>
  <c r="CT480" i="4"/>
  <c r="DI985" i="4"/>
  <c r="DI987" i="4" s="1"/>
  <c r="DI946" i="4" s="1"/>
  <c r="BP1177" i="4"/>
  <c r="U16" i="3"/>
  <c r="CV56" i="3"/>
  <c r="AW18" i="3"/>
  <c r="DJ11" i="3"/>
  <c r="DJ13" i="3" s="1"/>
  <c r="CT1161" i="4"/>
  <c r="CY11" i="3"/>
  <c r="CY13" i="3" s="1"/>
  <c r="CH1360" i="4"/>
  <c r="CU41" i="3"/>
  <c r="BH9" i="3"/>
  <c r="CH1177" i="4"/>
  <c r="CD471" i="4"/>
  <c r="BN1161" i="4"/>
  <c r="CZ100" i="4"/>
  <c r="DI98" i="4"/>
  <c r="BI26" i="3"/>
  <c r="DF11" i="3"/>
  <c r="DF13" i="3" s="1"/>
  <c r="BR1177" i="4"/>
  <c r="BV92" i="4"/>
  <c r="AB14" i="12"/>
  <c r="AC14" i="12"/>
  <c r="T52" i="9"/>
  <c r="T29" i="9"/>
  <c r="T106" i="9"/>
  <c r="T7" i="9"/>
  <c r="CB1177" i="4"/>
  <c r="CL1159" i="4"/>
  <c r="CZ45" i="3"/>
  <c r="Z73" i="3"/>
  <c r="DN1124" i="4"/>
  <c r="AN129" i="9"/>
  <c r="AK62" i="3"/>
  <c r="CF48" i="3"/>
  <c r="DV49" i="3" s="1"/>
  <c r="BV1397" i="4"/>
  <c r="DP46" i="3"/>
  <c r="DB1313" i="4"/>
  <c r="DB1170" i="4"/>
  <c r="M62" i="3"/>
  <c r="R61" i="3"/>
  <c r="R59" i="3"/>
  <c r="CO1399" i="4"/>
  <c r="AF52" i="9"/>
  <c r="AJ53" i="9" s="1"/>
  <c r="AF106" i="9"/>
  <c r="AF7" i="9"/>
  <c r="AF29" i="9"/>
  <c r="DK48" i="3"/>
  <c r="CW1161" i="4"/>
  <c r="CW1158" i="4"/>
  <c r="CX440" i="4"/>
  <c r="AA22" i="9"/>
  <c r="P120" i="9"/>
  <c r="P152" i="9"/>
  <c r="BV787" i="4"/>
  <c r="BW780" i="4"/>
  <c r="H25" i="9" s="1"/>
  <c r="CA780" i="4"/>
  <c r="AD76" i="12"/>
  <c r="AD11" i="12"/>
  <c r="AD28" i="12"/>
  <c r="BE28" i="3"/>
  <c r="CJ1013" i="4"/>
  <c r="DG11" i="3"/>
  <c r="DG13" i="3" s="1"/>
  <c r="CG1399" i="4"/>
  <c r="DD48" i="3"/>
  <c r="BJ1313" i="4"/>
  <c r="BX46" i="3"/>
  <c r="CJ47" i="3"/>
  <c r="AZ62" i="3"/>
  <c r="Y42" i="12"/>
  <c r="Y38" i="12"/>
  <c r="Y98" i="12" s="1"/>
  <c r="CZ1013" i="4"/>
  <c r="Z22" i="9"/>
  <c r="Z23" i="9"/>
  <c r="AD47" i="12"/>
  <c r="AD62" i="12"/>
  <c r="AD72" i="12"/>
  <c r="AD74" i="12"/>
  <c r="CN48" i="3"/>
  <c r="ED49" i="3" s="1"/>
  <c r="AF76" i="12"/>
  <c r="AF28" i="12"/>
  <c r="AF11" i="12"/>
  <c r="CF57" i="3"/>
  <c r="DO300" i="4"/>
  <c r="P106" i="9"/>
  <c r="P7" i="9"/>
  <c r="P29" i="9"/>
  <c r="P52" i="9"/>
  <c r="L19" i="9"/>
  <c r="DO134" i="4"/>
  <c r="Z60" i="12"/>
  <c r="AE14" i="12"/>
  <c r="Y76" i="12"/>
  <c r="Y28" i="12"/>
  <c r="AI42" i="12"/>
  <c r="AI38" i="12"/>
  <c r="CO1013" i="4"/>
  <c r="BZ831" i="4"/>
  <c r="DM1172" i="4"/>
  <c r="DP1172" i="4" s="1"/>
  <c r="DI1345" i="4"/>
  <c r="CP957" i="4"/>
  <c r="CP1203" i="4" s="1"/>
  <c r="CP1204" i="4" s="1"/>
  <c r="AG84" i="12"/>
  <c r="AG94" i="12" s="1"/>
  <c r="X123" i="9"/>
  <c r="X67" i="9"/>
  <c r="AG69" i="3"/>
  <c r="BU1399" i="4"/>
  <c r="BM1399" i="4"/>
  <c r="BP1399" i="4"/>
  <c r="AF69" i="3"/>
  <c r="DP10" i="3"/>
  <c r="DP12" i="3" s="1"/>
  <c r="CV1175" i="4"/>
  <c r="AD22" i="9"/>
  <c r="AD23" i="9"/>
  <c r="AH22" i="9"/>
  <c r="AC62" i="12"/>
  <c r="AC74" i="12"/>
  <c r="AC47" i="12"/>
  <c r="DB55" i="3"/>
  <c r="BJ1397" i="4"/>
  <c r="CN47" i="3"/>
  <c r="AE23" i="9"/>
  <c r="AE22" i="9"/>
  <c r="BX10" i="3"/>
  <c r="BX12" i="3" s="1"/>
  <c r="AB93" i="9"/>
  <c r="CN56" i="3"/>
  <c r="DA1397" i="4"/>
  <c r="M16" i="3"/>
  <c r="H16" i="3"/>
  <c r="H64" i="3" s="1"/>
  <c r="CB1013" i="4"/>
  <c r="CX100" i="4"/>
  <c r="CQ56" i="3"/>
  <c r="AN16" i="3"/>
  <c r="BW612" i="4"/>
  <c r="DB56" i="3"/>
  <c r="BD8" i="3"/>
  <c r="CP100" i="4"/>
  <c r="AJ68" i="9"/>
  <c r="AJ73" i="9"/>
  <c r="CS1175" i="4"/>
  <c r="L121" i="9"/>
  <c r="L65" i="9"/>
  <c r="L23" i="9"/>
  <c r="V23" i="9"/>
  <c r="V22" i="9"/>
  <c r="V65" i="9"/>
  <c r="V121" i="9"/>
  <c r="CC1399" i="4"/>
  <c r="Z28" i="12"/>
  <c r="Z11" i="12"/>
  <c r="Z76" i="12"/>
  <c r="P129" i="9"/>
  <c r="L16" i="3"/>
  <c r="BL1151" i="4"/>
  <c r="BL33" i="4"/>
  <c r="CV13" i="3"/>
  <c r="AC62" i="3"/>
  <c r="AG62" i="3"/>
  <c r="AP69" i="3"/>
  <c r="CF1399" i="4"/>
  <c r="CJ1175" i="4"/>
  <c r="BF76" i="3"/>
  <c r="DJ654" i="4"/>
  <c r="DA1013" i="4"/>
  <c r="BH78" i="4"/>
  <c r="BP703" i="4"/>
  <c r="DD56" i="3"/>
  <c r="AJ16" i="3"/>
  <c r="DN652" i="4"/>
  <c r="DK607" i="4"/>
  <c r="AI49" i="12"/>
  <c r="AX14" i="3"/>
  <c r="DL33" i="3"/>
  <c r="DL32" i="3"/>
  <c r="BF9" i="3"/>
  <c r="CN55" i="3"/>
  <c r="AB49" i="12"/>
  <c r="V14" i="3"/>
  <c r="Z62" i="3" s="1"/>
  <c r="CJ32" i="3"/>
  <c r="CJ33" i="3"/>
  <c r="CF1013" i="4"/>
  <c r="BA16" i="3"/>
  <c r="AE49" i="12"/>
  <c r="AH14" i="3"/>
  <c r="AH62" i="3" s="1"/>
  <c r="CV32" i="3"/>
  <c r="CV33" i="3"/>
  <c r="AC16" i="3"/>
  <c r="CM55" i="3"/>
  <c r="AS16" i="3"/>
  <c r="CV55" i="3"/>
  <c r="CQ55" i="3"/>
  <c r="CT481" i="4"/>
  <c r="DJ796" i="4"/>
  <c r="AC51" i="12"/>
  <c r="AC64" i="12" s="1"/>
  <c r="Z16" i="3"/>
  <c r="R12" i="3"/>
  <c r="CG1013" i="4"/>
  <c r="CV100" i="4"/>
  <c r="T14" i="3"/>
  <c r="CH33" i="3"/>
  <c r="CH32" i="3"/>
  <c r="CR100" i="4"/>
  <c r="CR102" i="4" s="1"/>
  <c r="CW1013" i="4"/>
  <c r="CH1359" i="4"/>
  <c r="CZ57" i="3"/>
  <c r="BN1359" i="4"/>
  <c r="DK610" i="4"/>
  <c r="DB100" i="4"/>
  <c r="CN100" i="4"/>
  <c r="BV1055" i="4"/>
  <c r="CD1399" i="4"/>
  <c r="AB76" i="12"/>
  <c r="AB28" i="12"/>
  <c r="AB11" i="12"/>
  <c r="CP48" i="3"/>
  <c r="CB1158" i="4"/>
  <c r="CB1161" i="4"/>
  <c r="AI123" i="9"/>
  <c r="AI124" i="9" s="1"/>
  <c r="AI67" i="9"/>
  <c r="AI68" i="9" s="1"/>
  <c r="DM1188" i="4"/>
  <c r="DP1188" i="4" s="1"/>
  <c r="CZ10" i="3"/>
  <c r="CZ12" i="3" s="1"/>
  <c r="AN62" i="3"/>
  <c r="AR62" i="3"/>
  <c r="CD48" i="3"/>
  <c r="BE76" i="3"/>
  <c r="DK50" i="3"/>
  <c r="V80" i="3"/>
  <c r="Z80" i="3"/>
  <c r="DD10" i="3"/>
  <c r="DD12" i="3" s="1"/>
  <c r="AF129" i="9"/>
  <c r="CZ1397" i="4"/>
  <c r="AN19" i="9"/>
  <c r="AJ119" i="9"/>
  <c r="AJ63" i="9"/>
  <c r="AJ19" i="9"/>
  <c r="AJ26" i="9"/>
  <c r="AR78" i="3"/>
  <c r="AF40" i="12"/>
  <c r="CI48" i="3"/>
  <c r="BU1161" i="4"/>
  <c r="BU1158" i="4"/>
  <c r="AA123" i="9"/>
  <c r="AA124" i="9" s="1"/>
  <c r="AA126" i="9" s="1"/>
  <c r="AA67" i="9"/>
  <c r="AA68" i="9" s="1"/>
  <c r="CE1400" i="4"/>
  <c r="CT1397" i="4"/>
  <c r="DI919" i="4"/>
  <c r="BI24" i="3"/>
  <c r="AJ69" i="3"/>
  <c r="BD28" i="3"/>
  <c r="DL348" i="4"/>
  <c r="DL349" i="4" s="1"/>
  <c r="DJ348" i="4"/>
  <c r="V59" i="3"/>
  <c r="AF19" i="9"/>
  <c r="AF26" i="9"/>
  <c r="AF119" i="9"/>
  <c r="AF63" i="9"/>
  <c r="CT440" i="4"/>
  <c r="P98" i="9"/>
  <c r="L62" i="3"/>
  <c r="DI365" i="4"/>
  <c r="DJ365" i="4" s="1"/>
  <c r="X98" i="9"/>
  <c r="CV48" i="3"/>
  <c r="CH1161" i="4"/>
  <c r="Z14" i="12"/>
  <c r="CA829" i="4"/>
  <c r="AJ76" i="12"/>
  <c r="AJ11" i="12"/>
  <c r="AJ28" i="12"/>
  <c r="CD1177" i="4"/>
  <c r="AC11" i="12"/>
  <c r="AJ40" i="12"/>
  <c r="AJ62" i="3"/>
  <c r="R121" i="9"/>
  <c r="R65" i="9"/>
  <c r="R23" i="9"/>
  <c r="R22" i="9"/>
  <c r="AL78" i="3"/>
  <c r="J80" i="3"/>
  <c r="N80" i="3"/>
  <c r="AB22" i="9"/>
  <c r="AB121" i="9"/>
  <c r="AB65" i="9"/>
  <c r="AS62" i="3"/>
  <c r="AK69" i="3"/>
  <c r="AH65" i="12"/>
  <c r="AH61" i="12"/>
  <c r="BX48" i="3"/>
  <c r="DN49" i="3" s="1"/>
  <c r="FW19" i="3"/>
  <c r="AV80" i="3"/>
  <c r="BD10" i="3"/>
  <c r="BE44" i="3"/>
  <c r="BE72" i="3" s="1"/>
  <c r="BA2" i="12"/>
  <c r="AZ5" i="12"/>
  <c r="CJ549" i="4"/>
  <c r="CJ546" i="4"/>
  <c r="BR405" i="4"/>
  <c r="BS386" i="4"/>
  <c r="BR406" i="4"/>
  <c r="CB1151" i="4"/>
  <c r="CB1057" i="4"/>
  <c r="CB56" i="4"/>
  <c r="CB33" i="4"/>
  <c r="DL153" i="4"/>
  <c r="DJ153" i="4"/>
  <c r="DI144" i="4"/>
  <c r="DJ555" i="4"/>
  <c r="BN405" i="4"/>
  <c r="BN406" i="4"/>
  <c r="DN648" i="4"/>
  <c r="DO640" i="4"/>
  <c r="BY1151" i="4"/>
  <c r="BY1057" i="4"/>
  <c r="BY56" i="4"/>
  <c r="BY33" i="4"/>
  <c r="BV545" i="4"/>
  <c r="BV74" i="4"/>
  <c r="BV31" i="4"/>
  <c r="BV789" i="4"/>
  <c r="DA107" i="4"/>
  <c r="DE108" i="4" s="1"/>
  <c r="DA94" i="4"/>
  <c r="DA78" i="4"/>
  <c r="BI1151" i="4"/>
  <c r="BI33" i="4"/>
  <c r="DN1171" i="4"/>
  <c r="CA25" i="4"/>
  <c r="BP1151" i="4"/>
  <c r="BP56" i="4"/>
  <c r="BP33" i="4"/>
  <c r="BU1151" i="4"/>
  <c r="BU1057" i="4"/>
  <c r="BU33" i="4"/>
  <c r="CD405" i="4"/>
  <c r="CD406" i="4"/>
  <c r="CE386" i="4"/>
  <c r="DI629" i="4"/>
  <c r="DI630" i="4" s="1"/>
  <c r="DA1021" i="4"/>
  <c r="DB1020" i="4"/>
  <c r="DB1021" i="4" s="1"/>
  <c r="CN1151" i="4"/>
  <c r="CN1057" i="4"/>
  <c r="CN33" i="4"/>
  <c r="CN56" i="4"/>
  <c r="CR56" i="4"/>
  <c r="DI165" i="4"/>
  <c r="DJ174" i="4"/>
  <c r="DK174" i="4" s="1"/>
  <c r="DL174" i="4"/>
  <c r="DM293" i="4"/>
  <c r="DP293" i="4" s="1"/>
  <c r="CJ107" i="4"/>
  <c r="CJ94" i="4"/>
  <c r="CJ78" i="4"/>
  <c r="BV406" i="4"/>
  <c r="BV405" i="4"/>
  <c r="BW386" i="4"/>
  <c r="CT1077" i="4"/>
  <c r="DB545" i="4"/>
  <c r="DF549" i="4" s="1"/>
  <c r="DB74" i="4"/>
  <c r="DC25" i="4"/>
  <c r="DB31" i="4"/>
  <c r="DF56" i="4" s="1"/>
  <c r="DB54" i="4"/>
  <c r="DB789" i="4"/>
  <c r="DA1151" i="4"/>
  <c r="DA1057" i="4"/>
  <c r="DA56" i="4"/>
  <c r="DA33" i="4"/>
  <c r="DE58" i="4" s="1"/>
  <c r="CH545" i="4"/>
  <c r="CH74" i="4"/>
  <c r="CH54" i="4"/>
  <c r="CI25" i="4"/>
  <c r="CH31" i="4"/>
  <c r="CH789" i="4"/>
  <c r="CP406" i="4"/>
  <c r="CP405" i="4"/>
  <c r="BP546" i="4"/>
  <c r="BP550" i="4" s="1"/>
  <c r="BP549" i="4"/>
  <c r="BU546" i="4"/>
  <c r="CZ107" i="4"/>
  <c r="DD108" i="4" s="1"/>
  <c r="CZ78" i="4"/>
  <c r="DD79" i="4" s="1"/>
  <c r="CZ94" i="4"/>
  <c r="BL953" i="4"/>
  <c r="BN952" i="4"/>
  <c r="BX38" i="4"/>
  <c r="BX42" i="4"/>
  <c r="BX44" i="4" s="1"/>
  <c r="CT482" i="4"/>
  <c r="BP748" i="4"/>
  <c r="BR745" i="4"/>
  <c r="BR748" i="4" s="1"/>
  <c r="DL1222" i="4"/>
  <c r="BQ545" i="4"/>
  <c r="BU549" i="4" s="1"/>
  <c r="BQ74" i="4"/>
  <c r="BQ54" i="4"/>
  <c r="BQ31" i="4"/>
  <c r="BU56" i="4" s="1"/>
  <c r="BQ789" i="4"/>
  <c r="CX952" i="4"/>
  <c r="CV953" i="4"/>
  <c r="DJ50" i="3" s="1"/>
  <c r="DA1083" i="4"/>
  <c r="DI777" i="4"/>
  <c r="DI803" i="4"/>
  <c r="DL801" i="4"/>
  <c r="DK293" i="4"/>
  <c r="CL545" i="4"/>
  <c r="CL74" i="4"/>
  <c r="CM25" i="4"/>
  <c r="CL54" i="4"/>
  <c r="CL31" i="4"/>
  <c r="CL789" i="4"/>
  <c r="BO952" i="4"/>
  <c r="BM956" i="4"/>
  <c r="BM1109" i="4" s="1"/>
  <c r="BM1110" i="4" s="1"/>
  <c r="CJ1151" i="4"/>
  <c r="CJ1057" i="4"/>
  <c r="CJ56" i="4"/>
  <c r="CJ33" i="4"/>
  <c r="CB107" i="4"/>
  <c r="CB114" i="4" s="1"/>
  <c r="CB94" i="4"/>
  <c r="CB78" i="4"/>
  <c r="DL617" i="4"/>
  <c r="DL16" i="4"/>
  <c r="CR1083" i="4"/>
  <c r="CS995" i="4"/>
  <c r="DA546" i="4"/>
  <c r="DE550" i="4" s="1"/>
  <c r="DA549" i="4"/>
  <c r="CC107" i="4"/>
  <c r="CC94" i="4"/>
  <c r="CC78" i="4"/>
  <c r="CO107" i="4"/>
  <c r="CO94" i="4"/>
  <c r="CO78" i="4"/>
  <c r="DM651" i="4"/>
  <c r="CS94" i="4"/>
  <c r="CS78" i="4"/>
  <c r="CS107" i="4"/>
  <c r="DN625" i="4"/>
  <c r="DM76" i="4"/>
  <c r="DL1206" i="4"/>
  <c r="DM415" i="4"/>
  <c r="BM546" i="4"/>
  <c r="BM550" i="4" s="1"/>
  <c r="BM549" i="4"/>
  <c r="CR885" i="4"/>
  <c r="CR887" i="4"/>
  <c r="CR888" i="4" s="1"/>
  <c r="DM437" i="4"/>
  <c r="DN439" i="4"/>
  <c r="BH546" i="4"/>
  <c r="BL550" i="4" s="1"/>
  <c r="BL549" i="4"/>
  <c r="DL796" i="4"/>
  <c r="DM794" i="4"/>
  <c r="DI154" i="4"/>
  <c r="BZ94" i="4"/>
  <c r="BZ78" i="4"/>
  <c r="BZ546" i="4"/>
  <c r="CP1077" i="4"/>
  <c r="BR49" i="4"/>
  <c r="BR25" i="4"/>
  <c r="BP94" i="4"/>
  <c r="BP78" i="4"/>
  <c r="DL1332" i="4"/>
  <c r="DJ1332" i="4"/>
  <c r="AL17" i="12" s="1"/>
  <c r="BU54" i="4"/>
  <c r="DM1369" i="4"/>
  <c r="DP1369" i="4" s="1"/>
  <c r="DQ1369" i="4" s="1"/>
  <c r="CZ1151" i="4"/>
  <c r="CZ1057" i="4"/>
  <c r="CZ33" i="4"/>
  <c r="DD58" i="4" s="1"/>
  <c r="CZ56" i="4"/>
  <c r="BJ1077" i="4"/>
  <c r="CH1294" i="4"/>
  <c r="CJ1294" i="4"/>
  <c r="CK1294" i="4" s="1"/>
  <c r="CN94" i="4"/>
  <c r="CN78" i="4"/>
  <c r="CN107" i="4"/>
  <c r="DK122" i="4"/>
  <c r="BJ406" i="4"/>
  <c r="BJ405" i="4"/>
  <c r="BY549" i="4"/>
  <c r="BY546" i="4"/>
  <c r="CT545" i="4"/>
  <c r="CT54" i="4"/>
  <c r="CT31" i="4"/>
  <c r="CU25" i="4"/>
  <c r="CT74" i="4"/>
  <c r="CT789" i="4"/>
  <c r="CG1021" i="4"/>
  <c r="CH1020" i="4"/>
  <c r="CH1021" i="4" s="1"/>
  <c r="DM474" i="4"/>
  <c r="DP474" i="4" s="1"/>
  <c r="DQ474" i="4" s="1"/>
  <c r="DR474" i="4" s="1"/>
  <c r="CK1021" i="4"/>
  <c r="CL1020" i="4"/>
  <c r="CL1021" i="4" s="1"/>
  <c r="CK1151" i="4"/>
  <c r="CK1057" i="4"/>
  <c r="CK56" i="4"/>
  <c r="CK33" i="4"/>
  <c r="CS1083" i="4"/>
  <c r="CV995" i="4"/>
  <c r="DJ1254" i="4"/>
  <c r="DR50" i="3"/>
  <c r="CW790" i="4"/>
  <c r="CW1021" i="4"/>
  <c r="CX1020" i="4"/>
  <c r="DJ801" i="4"/>
  <c r="CD107" i="4"/>
  <c r="CD114" i="4" s="1"/>
  <c r="CD94" i="4"/>
  <c r="CD78" i="4"/>
  <c r="CD549" i="4"/>
  <c r="CD546" i="4"/>
  <c r="CD900" i="4"/>
  <c r="CX545" i="4"/>
  <c r="CX74" i="4"/>
  <c r="CX54" i="4"/>
  <c r="CY25" i="4"/>
  <c r="CX31" i="4"/>
  <c r="CX789" i="4"/>
  <c r="DN915" i="4"/>
  <c r="DM918" i="4"/>
  <c r="CR97" i="4"/>
  <c r="CS953" i="4"/>
  <c r="CW996" i="4"/>
  <c r="CW998" i="4" s="1"/>
  <c r="CH1055" i="4"/>
  <c r="CH92" i="4"/>
  <c r="CC1151" i="4"/>
  <c r="CC1057" i="4"/>
  <c r="CC33" i="4"/>
  <c r="CC56" i="4"/>
  <c r="CG56" i="4"/>
  <c r="CS1057" i="4"/>
  <c r="CS1151" i="4"/>
  <c r="CS33" i="4"/>
  <c r="CW58" i="4" s="1"/>
  <c r="CS56" i="4"/>
  <c r="DL1340" i="4"/>
  <c r="CR42" i="4"/>
  <c r="CR38" i="4"/>
  <c r="DM681" i="4"/>
  <c r="DP681" i="4" s="1"/>
  <c r="DL683" i="4"/>
  <c r="BH1151" i="4"/>
  <c r="BH33" i="4"/>
  <c r="BL56" i="4"/>
  <c r="CL406" i="4"/>
  <c r="CL405" i="4"/>
  <c r="CO1083" i="4"/>
  <c r="CR995" i="4"/>
  <c r="BM726" i="4"/>
  <c r="BP720" i="4"/>
  <c r="BM753" i="4"/>
  <c r="BM755" i="4" s="1"/>
  <c r="DJ973" i="4"/>
  <c r="DJ977" i="4" s="1"/>
  <c r="CZ549" i="4"/>
  <c r="CZ546" i="4"/>
  <c r="DD550" i="4" s="1"/>
  <c r="CV546" i="4"/>
  <c r="CV549" i="4"/>
  <c r="CW884" i="4"/>
  <c r="CW36" i="4"/>
  <c r="BJ545" i="4"/>
  <c r="BJ31" i="4"/>
  <c r="BJ74" i="4"/>
  <c r="BJ789" i="4"/>
  <c r="BN54" i="4"/>
  <c r="DM122" i="4"/>
  <c r="DP122" i="4" s="1"/>
  <c r="CT900" i="4"/>
  <c r="DL1298" i="4"/>
  <c r="DI1198" i="4"/>
  <c r="DI1199" i="4" s="1"/>
  <c r="DW44" i="3" s="1"/>
  <c r="DJ1298" i="4"/>
  <c r="DJ1198" i="4" s="1"/>
  <c r="DJ1199" i="4" s="1"/>
  <c r="DX44" i="3" s="1"/>
  <c r="CK107" i="4"/>
  <c r="CK94" i="4"/>
  <c r="CK78" i="4"/>
  <c r="DL517" i="4"/>
  <c r="DL383" i="4"/>
  <c r="DM186" i="4"/>
  <c r="BZ406" i="4"/>
  <c r="BZ405" i="4"/>
  <c r="CA386" i="4"/>
  <c r="CX405" i="4"/>
  <c r="CX406" i="4"/>
  <c r="CP1342" i="4"/>
  <c r="CU1337" i="4"/>
  <c r="DM172" i="4"/>
  <c r="DN66" i="4"/>
  <c r="CD1151" i="4"/>
  <c r="CD1057" i="4"/>
  <c r="CD33" i="4"/>
  <c r="CD56" i="4"/>
  <c r="CF790" i="4"/>
  <c r="DN653" i="4"/>
  <c r="DL651" i="4"/>
  <c r="CP545" i="4"/>
  <c r="CP31" i="4"/>
  <c r="CQ25" i="4"/>
  <c r="CP74" i="4"/>
  <c r="CP54" i="4"/>
  <c r="CP789" i="4"/>
  <c r="DM607" i="4"/>
  <c r="DP607" i="4" s="1"/>
  <c r="DN1197" i="4"/>
  <c r="CO549" i="4"/>
  <c r="CO546" i="4"/>
  <c r="DL1043" i="4"/>
  <c r="DL554" i="4"/>
  <c r="DL77" i="4"/>
  <c r="DJ1206" i="4"/>
  <c r="BM94" i="4"/>
  <c r="BM78" i="4"/>
  <c r="DI667" i="4"/>
  <c r="DI690" i="4"/>
  <c r="DN297" i="4"/>
  <c r="BZ1151" i="4"/>
  <c r="BZ1057" i="4"/>
  <c r="BZ33" i="4"/>
  <c r="CT952" i="4"/>
  <c r="CR953" i="4"/>
  <c r="DB406" i="4"/>
  <c r="DB405" i="4"/>
  <c r="BP956" i="4"/>
  <c r="BR952" i="4"/>
  <c r="CV107" i="4"/>
  <c r="CV94" i="4"/>
  <c r="CV78" i="4"/>
  <c r="CW56" i="4"/>
  <c r="DM1108" i="4"/>
  <c r="DM1103" i="4"/>
  <c r="DM1094" i="4"/>
  <c r="CT844" i="4"/>
  <c r="CB549" i="4"/>
  <c r="CB546" i="4"/>
  <c r="CC546" i="4"/>
  <c r="CC549" i="4"/>
  <c r="CG549" i="4"/>
  <c r="CO1151" i="4"/>
  <c r="CO1057" i="4"/>
  <c r="CO33" i="4"/>
  <c r="CO56" i="4"/>
  <c r="DN610" i="4"/>
  <c r="DM617" i="4"/>
  <c r="DM16" i="4"/>
  <c r="CS546" i="4"/>
  <c r="CS549" i="4"/>
  <c r="BM1151" i="4"/>
  <c r="BM33" i="4"/>
  <c r="BM56" i="4"/>
  <c r="CF56" i="4"/>
  <c r="BZ54" i="4"/>
  <c r="CO1071" i="4"/>
  <c r="CO1073" i="4" s="1"/>
  <c r="CX1353" i="4"/>
  <c r="CY1325" i="4"/>
  <c r="CL92" i="4"/>
  <c r="BU94" i="4"/>
  <c r="BU78" i="4"/>
  <c r="CQ1358" i="4"/>
  <c r="CU1358" i="4"/>
  <c r="CL112" i="4"/>
  <c r="CV1151" i="4"/>
  <c r="CV1057" i="4"/>
  <c r="CV56" i="4"/>
  <c r="CV33" i="4"/>
  <c r="BT545" i="4"/>
  <c r="BT54" i="4"/>
  <c r="BT31" i="4"/>
  <c r="BT74" i="4"/>
  <c r="BX54" i="4"/>
  <c r="BT789" i="4"/>
  <c r="CT405" i="4"/>
  <c r="CT406" i="4"/>
  <c r="CP844" i="4"/>
  <c r="CN546" i="4"/>
  <c r="CN549" i="4"/>
  <c r="CR549" i="4"/>
  <c r="BY94" i="4"/>
  <c r="BY78" i="4"/>
  <c r="DI608" i="4"/>
  <c r="DI175" i="4"/>
  <c r="BJ3" i="4"/>
  <c r="BL2" i="4"/>
  <c r="BX887" i="4"/>
  <c r="BX888" i="4" s="1"/>
  <c r="BX885" i="4"/>
  <c r="DJ16" i="4"/>
  <c r="CM1325" i="4"/>
  <c r="CD480" i="4"/>
  <c r="CK546" i="4"/>
  <c r="CK549" i="4"/>
  <c r="DI556" i="4"/>
  <c r="DI99" i="4" s="1"/>
  <c r="DL1341" i="4"/>
  <c r="DJ517" i="4"/>
  <c r="DJ383" i="4"/>
  <c r="DB1077" i="4"/>
  <c r="CW549" i="4"/>
  <c r="CH405" i="4"/>
  <c r="CH406" i="4"/>
  <c r="CI386" i="4"/>
  <c r="DM67" i="4"/>
  <c r="DE79" i="4" l="1"/>
  <c r="AJ124" i="9"/>
  <c r="DQ297" i="4"/>
  <c r="DR297" i="4" s="1"/>
  <c r="BN36" i="4"/>
  <c r="CW108" i="4"/>
  <c r="L157" i="9"/>
  <c r="X157" i="9"/>
  <c r="AF157" i="9"/>
  <c r="T157" i="9"/>
  <c r="P157" i="9"/>
  <c r="AI98" i="12"/>
  <c r="AI100" i="12" s="1"/>
  <c r="AI101" i="12" s="1"/>
  <c r="AI102" i="12" s="1"/>
  <c r="AN157" i="9"/>
  <c r="AR22" i="9"/>
  <c r="AJ154" i="9"/>
  <c r="AF121" i="9"/>
  <c r="AJ122" i="9" s="1"/>
  <c r="DF957" i="4"/>
  <c r="DF1203" i="4" s="1"/>
  <c r="DF1204" i="4" s="1"/>
  <c r="DD998" i="4"/>
  <c r="DF998" i="4" s="1"/>
  <c r="DF996" i="4"/>
  <c r="EA81" i="3"/>
  <c r="DZ49" i="3"/>
  <c r="DP901" i="4"/>
  <c r="DR438" i="4"/>
  <c r="DQ1171" i="4"/>
  <c r="DQ76" i="4"/>
  <c r="DR76" i="4" s="1"/>
  <c r="DR625" i="4"/>
  <c r="DS300" i="4"/>
  <c r="DR67" i="4"/>
  <c r="DQ607" i="4"/>
  <c r="DP186" i="4"/>
  <c r="DQ293" i="4"/>
  <c r="DQ1103" i="4"/>
  <c r="DQ1108" i="4"/>
  <c r="DQ1094" i="4"/>
  <c r="DR652" i="4"/>
  <c r="DR610" i="4"/>
  <c r="DQ617" i="4"/>
  <c r="DQ16" i="4"/>
  <c r="BQ9" i="3" s="1"/>
  <c r="DS134" i="4"/>
  <c r="DR653" i="4"/>
  <c r="DP651" i="4"/>
  <c r="DP439" i="4"/>
  <c r="DP77" i="4"/>
  <c r="BP26" i="3" s="1"/>
  <c r="DP1043" i="4"/>
  <c r="DP554" i="4"/>
  <c r="DP794" i="4"/>
  <c r="DP1255" i="4"/>
  <c r="DQ660" i="4"/>
  <c r="DQ1255" i="4" s="1"/>
  <c r="DS640" i="4"/>
  <c r="DR648" i="4"/>
  <c r="DP65" i="4"/>
  <c r="ED81" i="3" s="1"/>
  <c r="DQ64" i="4"/>
  <c r="DQ65" i="4" s="1"/>
  <c r="EE81" i="3" s="1"/>
  <c r="DP151" i="4"/>
  <c r="DR685" i="4"/>
  <c r="DR686" i="4" s="1"/>
  <c r="DQ686" i="4"/>
  <c r="DQ1172" i="4"/>
  <c r="CF56" i="3"/>
  <c r="DN1333" i="4"/>
  <c r="DP1333" i="4"/>
  <c r="DQ1333" i="4" s="1"/>
  <c r="DR1333" i="4" s="1"/>
  <c r="AN18" i="12" s="1"/>
  <c r="DR1124" i="4"/>
  <c r="DQ651" i="4"/>
  <c r="DQ122" i="4"/>
  <c r="DQ681" i="4"/>
  <c r="DP683" i="4"/>
  <c r="DP415" i="4"/>
  <c r="DQ1188" i="4"/>
  <c r="DQ806" i="4"/>
  <c r="DP133" i="4"/>
  <c r="DN65" i="4"/>
  <c r="DP1197" i="4"/>
  <c r="DP898" i="4"/>
  <c r="DR347" i="4"/>
  <c r="DR1270" i="4"/>
  <c r="DR1282" i="4" s="1"/>
  <c r="DQ1282" i="4"/>
  <c r="DQ344" i="4"/>
  <c r="DP346" i="4"/>
  <c r="DQ915" i="4"/>
  <c r="DP918" i="4"/>
  <c r="DQ343" i="4"/>
  <c r="DP16" i="4"/>
  <c r="BP9" i="3" s="1"/>
  <c r="DP617" i="4"/>
  <c r="DR437" i="4"/>
  <c r="DR426" i="4"/>
  <c r="DR66" i="4"/>
  <c r="DQ172" i="4"/>
  <c r="CB9" i="3"/>
  <c r="CW95" i="4"/>
  <c r="BN884" i="4"/>
  <c r="BN885" i="4" s="1"/>
  <c r="Z53" i="12"/>
  <c r="Z77" i="12" s="1"/>
  <c r="DK9" i="3"/>
  <c r="CT9" i="3"/>
  <c r="CF55" i="3"/>
  <c r="CG97" i="4"/>
  <c r="CW1054" i="4"/>
  <c r="CW1056" i="4" s="1"/>
  <c r="BA64" i="3"/>
  <c r="BM710" i="4"/>
  <c r="CE1399" i="4"/>
  <c r="DI357" i="4"/>
  <c r="AB53" i="9"/>
  <c r="CF95" i="4"/>
  <c r="DM314" i="4"/>
  <c r="DM362" i="4" s="1"/>
  <c r="DN362" i="4" s="1"/>
  <c r="DJ349" i="4"/>
  <c r="DJ919" i="4"/>
  <c r="BJ24" i="3"/>
  <c r="DN346" i="4"/>
  <c r="DM354" i="4"/>
  <c r="CF36" i="4"/>
  <c r="CF1054" i="4"/>
  <c r="CF1056" i="4" s="1"/>
  <c r="AF35" i="3"/>
  <c r="AF41" i="3" s="1"/>
  <c r="CF884" i="4"/>
  <c r="CF887" i="4" s="1"/>
  <c r="CF888" i="4" s="1"/>
  <c r="DL56" i="3"/>
  <c r="AF18" i="3"/>
  <c r="L53" i="9"/>
  <c r="DN133" i="4"/>
  <c r="AB107" i="9"/>
  <c r="AT69" i="3"/>
  <c r="P123" i="9"/>
  <c r="P124" i="9" s="1"/>
  <c r="P154" i="9" s="1"/>
  <c r="DN440" i="4"/>
  <c r="AB66" i="9"/>
  <c r="CZ1175" i="4"/>
  <c r="CG887" i="4"/>
  <c r="CG888" i="4" s="1"/>
  <c r="AB130" i="9"/>
  <c r="AG37" i="3"/>
  <c r="AG39" i="3" s="1"/>
  <c r="CJ56" i="3"/>
  <c r="AG41" i="3"/>
  <c r="CG38" i="4"/>
  <c r="CG42" i="4"/>
  <c r="CG44" i="4" s="1"/>
  <c r="CG102" i="4"/>
  <c r="P68" i="9"/>
  <c r="P70" i="9" s="1"/>
  <c r="P96" i="9" s="1"/>
  <c r="AF22" i="9"/>
  <c r="DL55" i="3"/>
  <c r="P66" i="9"/>
  <c r="BJ26" i="3"/>
  <c r="AG21" i="3"/>
  <c r="CF1175" i="4"/>
  <c r="DI1077" i="4"/>
  <c r="DJ98" i="4"/>
  <c r="AF65" i="9"/>
  <c r="AJ66" i="9" s="1"/>
  <c r="BF28" i="3"/>
  <c r="BP708" i="4"/>
  <c r="BR703" i="4"/>
  <c r="BR708" i="4" s="1"/>
  <c r="CZ13" i="3"/>
  <c r="BX41" i="3"/>
  <c r="X68" i="9"/>
  <c r="X70" i="9" s="1"/>
  <c r="X96" i="9" s="1"/>
  <c r="AF23" i="9"/>
  <c r="AJ22" i="9"/>
  <c r="BH76" i="3"/>
  <c r="U62" i="3"/>
  <c r="DI980" i="4"/>
  <c r="DI982" i="4" s="1"/>
  <c r="DI945" i="4" s="1"/>
  <c r="BY550" i="4"/>
  <c r="CF115" i="4"/>
  <c r="L64" i="3"/>
  <c r="DN76" i="4"/>
  <c r="AB122" i="9"/>
  <c r="AF64" i="3"/>
  <c r="CF108" i="4"/>
  <c r="DA1175" i="4"/>
  <c r="M64" i="3"/>
  <c r="X124" i="9"/>
  <c r="X154" i="9" s="1"/>
  <c r="BJ9" i="3"/>
  <c r="AO18" i="3"/>
  <c r="DN654" i="4"/>
  <c r="AR23" i="3"/>
  <c r="AC18" i="3"/>
  <c r="AZ18" i="3"/>
  <c r="AZ35" i="3"/>
  <c r="AN18" i="3"/>
  <c r="BW9" i="3"/>
  <c r="AB18" i="3"/>
  <c r="AI126" i="9"/>
  <c r="DA1399" i="4"/>
  <c r="T16" i="3"/>
  <c r="X64" i="3" s="1"/>
  <c r="BE13" i="3"/>
  <c r="L30" i="9"/>
  <c r="AC53" i="12"/>
  <c r="AC77" i="12" s="1"/>
  <c r="Z18" i="3"/>
  <c r="DN651" i="4"/>
  <c r="AD18" i="3"/>
  <c r="AD53" i="12"/>
  <c r="AD77" i="12" s="1"/>
  <c r="P30" i="9"/>
  <c r="AK35" i="3"/>
  <c r="CS956" i="4"/>
  <c r="AI51" i="12"/>
  <c r="AI64" i="12" s="1"/>
  <c r="AX16" i="3"/>
  <c r="P17" i="9"/>
  <c r="P20" i="9" s="1"/>
  <c r="P117" i="9" s="1"/>
  <c r="P118" i="9" s="1"/>
  <c r="P127" i="9" s="1"/>
  <c r="P132" i="9" s="1"/>
  <c r="CY9" i="3"/>
  <c r="AH51" i="12"/>
  <c r="AH64" i="12" s="1"/>
  <c r="AT16" i="3"/>
  <c r="AJ18" i="3"/>
  <c r="CV956" i="4"/>
  <c r="CV1109" i="4" s="1"/>
  <c r="CV1110" i="4" s="1"/>
  <c r="Z56" i="12"/>
  <c r="N21" i="3"/>
  <c r="BA18" i="3"/>
  <c r="I18" i="3"/>
  <c r="CM9" i="3"/>
  <c r="CP9" i="3"/>
  <c r="R127" i="9"/>
  <c r="R132" i="9" s="1"/>
  <c r="R122" i="9"/>
  <c r="CZ1399" i="4"/>
  <c r="DN1188" i="4"/>
  <c r="AI70" i="9"/>
  <c r="AN28" i="3"/>
  <c r="BB28" i="3"/>
  <c r="T62" i="3"/>
  <c r="X62" i="3"/>
  <c r="AV28" i="3"/>
  <c r="CU10" i="3"/>
  <c r="CU12" i="3" s="1"/>
  <c r="AS64" i="3"/>
  <c r="CT10" i="3"/>
  <c r="CT12" i="3" s="1"/>
  <c r="AB47" i="12"/>
  <c r="AC70" i="12" s="1"/>
  <c r="AB62" i="12"/>
  <c r="AB74" i="12"/>
  <c r="DO10" i="3"/>
  <c r="DO12" i="3" s="1"/>
  <c r="FC19" i="3"/>
  <c r="BZ9" i="3"/>
  <c r="Z66" i="9"/>
  <c r="V66" i="9"/>
  <c r="V83" i="9"/>
  <c r="V85" i="9" s="1"/>
  <c r="AC60" i="12"/>
  <c r="AH78" i="3"/>
  <c r="DL1345" i="4"/>
  <c r="P130" i="9"/>
  <c r="P107" i="9"/>
  <c r="DN10" i="3"/>
  <c r="DN12" i="3" s="1"/>
  <c r="CX10" i="3"/>
  <c r="CX12" i="3" s="1"/>
  <c r="H69" i="9"/>
  <c r="H125" i="9"/>
  <c r="AF107" i="9"/>
  <c r="AF130" i="9"/>
  <c r="CZ48" i="3"/>
  <c r="CL1161" i="4"/>
  <c r="CL1158" i="4"/>
  <c r="AZ28" i="3"/>
  <c r="BB62" i="3"/>
  <c r="AH28" i="3"/>
  <c r="D119" i="9"/>
  <c r="D152" i="9" s="1"/>
  <c r="D63" i="9"/>
  <c r="D93" i="9" s="1"/>
  <c r="D26" i="9"/>
  <c r="AN53" i="9"/>
  <c r="AN73" i="9"/>
  <c r="AB124" i="9"/>
  <c r="CB41" i="3"/>
  <c r="CR1399" i="4"/>
  <c r="BH1399" i="4"/>
  <c r="CP1175" i="4"/>
  <c r="H107" i="9"/>
  <c r="H130" i="9"/>
  <c r="AV54" i="9"/>
  <c r="L107" i="9"/>
  <c r="CW1175" i="4"/>
  <c r="Y62" i="12"/>
  <c r="Y47" i="12"/>
  <c r="Y74" i="12"/>
  <c r="Z72" i="12"/>
  <c r="CV1399" i="4"/>
  <c r="X53" i="9"/>
  <c r="X73" i="9"/>
  <c r="CT1175" i="4"/>
  <c r="AN64" i="3"/>
  <c r="AR64" i="3"/>
  <c r="BJ1399" i="4"/>
  <c r="AD123" i="9"/>
  <c r="AD124" i="9" s="1"/>
  <c r="AD67" i="9"/>
  <c r="AD68" i="9" s="1"/>
  <c r="DN1172" i="4"/>
  <c r="DC10" i="3"/>
  <c r="DC12" i="3" s="1"/>
  <c r="P53" i="9"/>
  <c r="P73" i="9"/>
  <c r="BW787" i="4"/>
  <c r="CA787" i="4"/>
  <c r="AF53" i="9"/>
  <c r="AF73" i="9"/>
  <c r="T53" i="9"/>
  <c r="T73" i="9"/>
  <c r="CF47" i="3"/>
  <c r="CV47" i="3"/>
  <c r="AN93" i="9"/>
  <c r="AN64" i="9"/>
  <c r="DI807" i="4"/>
  <c r="AN107" i="9"/>
  <c r="AN130" i="9"/>
  <c r="DJ391" i="4"/>
  <c r="AW64" i="3"/>
  <c r="S127" i="9"/>
  <c r="S132" i="9" s="1"/>
  <c r="S122" i="9"/>
  <c r="BL95" i="4"/>
  <c r="T64" i="9"/>
  <c r="T93" i="9"/>
  <c r="H19" i="9"/>
  <c r="H26" i="9" s="1"/>
  <c r="DN806" i="4"/>
  <c r="CY10" i="3"/>
  <c r="CY12" i="3" s="1"/>
  <c r="AH47" i="12"/>
  <c r="AH62" i="12"/>
  <c r="AH72" i="12"/>
  <c r="AH74" i="12"/>
  <c r="CS1399" i="4"/>
  <c r="W66" i="9"/>
  <c r="W83" i="9"/>
  <c r="W85" i="9" s="1"/>
  <c r="AA66" i="9"/>
  <c r="X107" i="9"/>
  <c r="X130" i="9"/>
  <c r="CI1399" i="4"/>
  <c r="AR39" i="3"/>
  <c r="AP62" i="3"/>
  <c r="AL62" i="3"/>
  <c r="CL34" i="3"/>
  <c r="M18" i="3"/>
  <c r="DL98" i="4"/>
  <c r="BL26" i="3"/>
  <c r="DM39" i="4"/>
  <c r="AN35" i="3"/>
  <c r="DF34" i="3"/>
  <c r="Y18" i="3"/>
  <c r="AF152" i="9"/>
  <c r="AF120" i="9"/>
  <c r="AA70" i="9"/>
  <c r="AN120" i="9"/>
  <c r="AJ126" i="9"/>
  <c r="AJ155" i="9" s="1"/>
  <c r="AJ152" i="9"/>
  <c r="AJ120" i="9"/>
  <c r="CA9" i="3"/>
  <c r="AA83" i="12"/>
  <c r="AA93" i="12" s="1"/>
  <c r="CT953" i="4"/>
  <c r="CN9" i="3"/>
  <c r="AG51" i="12"/>
  <c r="AG64" i="12" s="1"/>
  <c r="AP16" i="3"/>
  <c r="CR9" i="3"/>
  <c r="DL391" i="4"/>
  <c r="BJ78" i="4"/>
  <c r="AW21" i="3"/>
  <c r="BV9" i="3"/>
  <c r="CR44" i="4"/>
  <c r="AS18" i="3"/>
  <c r="DN918" i="4"/>
  <c r="DN67" i="4"/>
  <c r="DI100" i="4"/>
  <c r="BW25" i="4"/>
  <c r="AA49" i="12"/>
  <c r="AB72" i="12" s="1"/>
  <c r="R14" i="3"/>
  <c r="R62" i="3" s="1"/>
  <c r="CF33" i="3"/>
  <c r="CF32" i="3"/>
  <c r="L17" i="9"/>
  <c r="L20" i="9" s="1"/>
  <c r="L117" i="9" s="1"/>
  <c r="L118" i="9" s="1"/>
  <c r="L127" i="9" s="1"/>
  <c r="L132" i="9" s="1"/>
  <c r="AO35" i="3"/>
  <c r="BL9" i="3"/>
  <c r="AK48" i="12"/>
  <c r="CX953" i="4"/>
  <c r="Q16" i="3"/>
  <c r="Q64" i="3" s="1"/>
  <c r="Z83" i="12"/>
  <c r="Z93" i="12" s="1"/>
  <c r="AJ51" i="12"/>
  <c r="AJ64" i="12" s="1"/>
  <c r="BB16" i="3"/>
  <c r="CI9" i="3"/>
  <c r="BA35" i="3"/>
  <c r="BV54" i="4"/>
  <c r="CU34" i="3"/>
  <c r="R67" i="9"/>
  <c r="R68" i="9" s="1"/>
  <c r="R123" i="9"/>
  <c r="R124" i="9" s="1"/>
  <c r="DM348" i="4"/>
  <c r="DH56" i="3"/>
  <c r="DN655" i="4"/>
  <c r="V123" i="9"/>
  <c r="V124" i="9" s="1"/>
  <c r="V67" i="9"/>
  <c r="V68" i="9" s="1"/>
  <c r="AJ95" i="9"/>
  <c r="AP28" i="3"/>
  <c r="CP10" i="3"/>
  <c r="CP12" i="3" s="1"/>
  <c r="AE67" i="9"/>
  <c r="AE68" i="9" s="1"/>
  <c r="AE123" i="9"/>
  <c r="AE124" i="9" s="1"/>
  <c r="AI125" i="9" s="1"/>
  <c r="AD70" i="12"/>
  <c r="AD60" i="12"/>
  <c r="AV108" i="9"/>
  <c r="DF50" i="3"/>
  <c r="AJ47" i="12"/>
  <c r="AJ62" i="12"/>
  <c r="AJ72" i="12"/>
  <c r="AJ74" i="12"/>
  <c r="P64" i="3"/>
  <c r="FK19" i="3"/>
  <c r="CL708" i="4"/>
  <c r="AZ64" i="3"/>
  <c r="S67" i="9"/>
  <c r="S68" i="9" s="1"/>
  <c r="S123" i="9"/>
  <c r="S124" i="9" s="1"/>
  <c r="BB69" i="3"/>
  <c r="DM411" i="4"/>
  <c r="DP411" i="4" s="1"/>
  <c r="DL384" i="4"/>
  <c r="DN343" i="4"/>
  <c r="AJ107" i="9"/>
  <c r="H152" i="9"/>
  <c r="X93" i="9"/>
  <c r="X64" i="9"/>
  <c r="DF10" i="3"/>
  <c r="DF12" i="3" s="1"/>
  <c r="AT62" i="3"/>
  <c r="Y64" i="3"/>
  <c r="AV64" i="3"/>
  <c r="W123" i="9"/>
  <c r="W124" i="9" s="1"/>
  <c r="W67" i="9"/>
  <c r="W68" i="9" s="1"/>
  <c r="AA69" i="9" s="1"/>
  <c r="CX1399" i="4"/>
  <c r="P122" i="9"/>
  <c r="AT28" i="3"/>
  <c r="T22" i="9"/>
  <c r="T65" i="9"/>
  <c r="T66" i="9" s="1"/>
  <c r="T121" i="9"/>
  <c r="T122" i="9" s="1"/>
  <c r="T23" i="9"/>
  <c r="BL24" i="3"/>
  <c r="AF47" i="12"/>
  <c r="AF72" i="12"/>
  <c r="AF62" i="12"/>
  <c r="AF74" i="12"/>
  <c r="BM9" i="3"/>
  <c r="BM95" i="4"/>
  <c r="H18" i="3"/>
  <c r="AK18" i="3"/>
  <c r="DI27" i="4"/>
  <c r="DH57" i="3"/>
  <c r="CD9" i="3"/>
  <c r="AX62" i="3"/>
  <c r="DJ9" i="3"/>
  <c r="DI557" i="4"/>
  <c r="DJ557" i="4" s="1"/>
  <c r="CR55" i="3"/>
  <c r="AV18" i="3"/>
  <c r="DO610" i="4"/>
  <c r="DC9" i="3"/>
  <c r="AV35" i="3"/>
  <c r="AH83" i="12"/>
  <c r="AH93" i="12" s="1"/>
  <c r="Y51" i="12"/>
  <c r="Y64" i="12" s="1"/>
  <c r="J16" i="3"/>
  <c r="AR40" i="3"/>
  <c r="DG9" i="3"/>
  <c r="CQ9" i="3"/>
  <c r="BE8" i="3"/>
  <c r="DN9" i="3"/>
  <c r="CF58" i="4"/>
  <c r="DM439" i="4"/>
  <c r="AS35" i="3"/>
  <c r="AW68" i="3" s="1"/>
  <c r="CX9" i="3"/>
  <c r="AF51" i="12"/>
  <c r="AF64" i="12" s="1"/>
  <c r="AL16" i="3"/>
  <c r="AI83" i="12"/>
  <c r="AI93" i="12" s="1"/>
  <c r="X23" i="3"/>
  <c r="X67" i="3" s="1"/>
  <c r="BN953" i="4"/>
  <c r="AE51" i="12"/>
  <c r="AE64" i="12" s="1"/>
  <c r="AH16" i="3"/>
  <c r="DO9" i="3"/>
  <c r="AJ35" i="3"/>
  <c r="DB9" i="3"/>
  <c r="U18" i="3"/>
  <c r="P18" i="3"/>
  <c r="V16" i="3"/>
  <c r="AB51" i="12"/>
  <c r="AB64" i="12" s="1"/>
  <c r="DK153" i="4"/>
  <c r="R66" i="9"/>
  <c r="R83" i="9"/>
  <c r="R85" i="9" s="1"/>
  <c r="CR47" i="3"/>
  <c r="AF93" i="9"/>
  <c r="AF64" i="9"/>
  <c r="CT1399" i="4"/>
  <c r="AJ64" i="9"/>
  <c r="AJ93" i="9"/>
  <c r="AJ70" i="9"/>
  <c r="AJ96" i="9" s="1"/>
  <c r="DK10" i="3"/>
  <c r="DK12" i="3" s="1"/>
  <c r="AR28" i="3"/>
  <c r="AD64" i="3"/>
  <c r="AC64" i="3"/>
  <c r="AG64" i="3"/>
  <c r="AE62" i="12"/>
  <c r="AE47" i="12"/>
  <c r="AE72" i="12"/>
  <c r="AE74" i="12"/>
  <c r="DG50" i="3"/>
  <c r="AI47" i="12"/>
  <c r="AI72" i="12"/>
  <c r="AI62" i="12"/>
  <c r="AI74" i="12"/>
  <c r="AW37" i="3"/>
  <c r="AW41" i="3"/>
  <c r="L18" i="3"/>
  <c r="BL36" i="4"/>
  <c r="BL884" i="4"/>
  <c r="Z122" i="9"/>
  <c r="V127" i="9"/>
  <c r="V132" i="9" s="1"/>
  <c r="V122" i="9"/>
  <c r="L123" i="9"/>
  <c r="L124" i="9" s="1"/>
  <c r="L67" i="9"/>
  <c r="L68" i="9" s="1"/>
  <c r="AJ64" i="3"/>
  <c r="AX28" i="3"/>
  <c r="AC72" i="12"/>
  <c r="Z123" i="9"/>
  <c r="Z124" i="9" s="1"/>
  <c r="Z67" i="9"/>
  <c r="Z68" i="9" s="1"/>
  <c r="BV1399" i="4"/>
  <c r="T107" i="9"/>
  <c r="T130" i="9"/>
  <c r="DH55" i="3"/>
  <c r="AN152" i="9"/>
  <c r="CK703" i="4"/>
  <c r="AB68" i="9"/>
  <c r="AK64" i="3"/>
  <c r="CR57" i="3"/>
  <c r="S66" i="9"/>
  <c r="S83" i="9"/>
  <c r="S85" i="9" s="1"/>
  <c r="DL48" i="3"/>
  <c r="CX1161" i="4"/>
  <c r="CX1158" i="4"/>
  <c r="AN22" i="9"/>
  <c r="AN121" i="9"/>
  <c r="AN65" i="9"/>
  <c r="AR66" i="9" s="1"/>
  <c r="AN23" i="9"/>
  <c r="BD60" i="3"/>
  <c r="DG10" i="3"/>
  <c r="DG12" i="3" s="1"/>
  <c r="H53" i="9"/>
  <c r="H73" i="9"/>
  <c r="DP48" i="3"/>
  <c r="DB1161" i="4"/>
  <c r="DB1158" i="4"/>
  <c r="T152" i="9"/>
  <c r="T120" i="9"/>
  <c r="H93" i="9"/>
  <c r="X152" i="9"/>
  <c r="X120" i="9"/>
  <c r="J62" i="3"/>
  <c r="N62" i="3"/>
  <c r="DJ10" i="3"/>
  <c r="DJ12" i="3" s="1"/>
  <c r="AO64" i="3"/>
  <c r="AA122" i="9"/>
  <c r="W127" i="9"/>
  <c r="W132" i="9" s="1"/>
  <c r="W122" i="9"/>
  <c r="AH69" i="3"/>
  <c r="AG72" i="12"/>
  <c r="AG62" i="12"/>
  <c r="AG47" i="12"/>
  <c r="AG74" i="12"/>
  <c r="BD11" i="3"/>
  <c r="BF10" i="3"/>
  <c r="BE10" i="3"/>
  <c r="AK7" i="12"/>
  <c r="AK10" i="12" s="1"/>
  <c r="L10" i="12" s="1"/>
  <c r="BF44" i="3"/>
  <c r="BH44" i="3"/>
  <c r="BH72" i="3" s="1"/>
  <c r="BA5" i="12"/>
  <c r="BB2" i="12"/>
  <c r="CC550" i="4"/>
  <c r="CC790" i="4"/>
  <c r="CG550" i="4"/>
  <c r="CV1054" i="4"/>
  <c r="CV1056" i="4" s="1"/>
  <c r="CV95" i="4"/>
  <c r="CV79" i="4"/>
  <c r="DI1019" i="4"/>
  <c r="DJ1019" i="4" s="1"/>
  <c r="DJ946" i="4"/>
  <c r="DL690" i="4"/>
  <c r="DL667" i="4"/>
  <c r="CX107" i="4"/>
  <c r="CX78" i="4"/>
  <c r="CX94" i="4"/>
  <c r="CD550" i="4"/>
  <c r="CD790" i="4"/>
  <c r="CX995" i="4"/>
  <c r="CV996" i="4"/>
  <c r="CX996" i="4" s="1"/>
  <c r="CN1054" i="4"/>
  <c r="CN1056" i="4" s="1"/>
  <c r="CN95" i="4"/>
  <c r="CN79" i="4"/>
  <c r="CR79" i="4"/>
  <c r="BP95" i="4"/>
  <c r="BP79" i="4"/>
  <c r="BZ1054" i="4"/>
  <c r="BZ1056" i="4" s="1"/>
  <c r="BZ95" i="4"/>
  <c r="DI327" i="4"/>
  <c r="DL154" i="4"/>
  <c r="DI145" i="4"/>
  <c r="DI146" i="4" s="1"/>
  <c r="DM1206" i="4"/>
  <c r="DN415" i="4"/>
  <c r="DM1043" i="4"/>
  <c r="DM554" i="4"/>
  <c r="DM555" i="4" s="1"/>
  <c r="DM77" i="4"/>
  <c r="CS108" i="4"/>
  <c r="CS114" i="4"/>
  <c r="CW115" i="4" s="1"/>
  <c r="CO1054" i="4"/>
  <c r="CO1056" i="4" s="1"/>
  <c r="CO95" i="4"/>
  <c r="CO79" i="4"/>
  <c r="CB1054" i="4"/>
  <c r="CB1056" i="4" s="1"/>
  <c r="CB95" i="4"/>
  <c r="CB79" i="4"/>
  <c r="BQ94" i="4"/>
  <c r="BQ78" i="4"/>
  <c r="DM1222" i="4"/>
  <c r="DP1222" i="4" s="1"/>
  <c r="DQ1222" i="4" s="1"/>
  <c r="BX1402" i="4"/>
  <c r="BX1122" i="4"/>
  <c r="DA884" i="4"/>
  <c r="DA36" i="4"/>
  <c r="DE60" i="4" s="1"/>
  <c r="DA58" i="4"/>
  <c r="DB1151" i="4"/>
  <c r="DB1057" i="4"/>
  <c r="DB56" i="4"/>
  <c r="DB33" i="4"/>
  <c r="DF58" i="4" s="1"/>
  <c r="CJ1054" i="4"/>
  <c r="CJ1056" i="4" s="1"/>
  <c r="CJ95" i="4"/>
  <c r="CJ79" i="4"/>
  <c r="DN293" i="4"/>
  <c r="DI169" i="4"/>
  <c r="DJ165" i="4"/>
  <c r="CN884" i="4"/>
  <c r="CN58" i="4"/>
  <c r="CN36" i="4"/>
  <c r="CR58" i="4"/>
  <c r="DL629" i="4"/>
  <c r="DL630" i="4" s="1"/>
  <c r="DJ629" i="4"/>
  <c r="DJ630" i="4" s="1"/>
  <c r="DI611" i="4"/>
  <c r="DI621" i="4" s="1"/>
  <c r="BU884" i="4"/>
  <c r="BU36" i="4"/>
  <c r="BV1151" i="4"/>
  <c r="BV1057" i="4"/>
  <c r="BV33" i="4"/>
  <c r="BZ58" i="4" s="1"/>
  <c r="DJ556" i="4"/>
  <c r="DJ99" i="4" s="1"/>
  <c r="DM153" i="4"/>
  <c r="DP153" i="4" s="1"/>
  <c r="DL144" i="4"/>
  <c r="DJ608" i="4"/>
  <c r="DL608" i="4"/>
  <c r="DI609" i="4"/>
  <c r="CN550" i="4"/>
  <c r="CN790" i="4"/>
  <c r="CR550" i="4"/>
  <c r="CS550" i="4"/>
  <c r="CS790" i="4"/>
  <c r="DO297" i="4"/>
  <c r="BJ546" i="4"/>
  <c r="BN550" i="4" s="1"/>
  <c r="BN549" i="4"/>
  <c r="DI825" i="4"/>
  <c r="CT549" i="4"/>
  <c r="CT546" i="4"/>
  <c r="DM1332" i="4"/>
  <c r="DP1332" i="4" s="1"/>
  <c r="DA1054" i="4"/>
  <c r="DA1056" i="4" s="1"/>
  <c r="DA95" i="4"/>
  <c r="DA79" i="4"/>
  <c r="CJ550" i="4"/>
  <c r="CJ790" i="4"/>
  <c r="DI332" i="4"/>
  <c r="BI4" i="4"/>
  <c r="BI1418" i="4" s="1"/>
  <c r="BH4" i="4"/>
  <c r="BH1418" i="4" s="1"/>
  <c r="BJ4" i="4"/>
  <c r="BJ1416" i="4" s="1"/>
  <c r="DL175" i="4"/>
  <c r="DI166" i="4"/>
  <c r="BT94" i="4"/>
  <c r="BT78" i="4"/>
  <c r="CB550" i="4"/>
  <c r="CB790" i="4"/>
  <c r="CV114" i="4"/>
  <c r="CV115" i="4" s="1"/>
  <c r="CV108" i="4"/>
  <c r="BZ884" i="4"/>
  <c r="BZ36" i="4"/>
  <c r="DL555" i="4"/>
  <c r="CO550" i="4"/>
  <c r="CO790" i="4"/>
  <c r="CP546" i="4"/>
  <c r="CP549" i="4"/>
  <c r="DM517" i="4"/>
  <c r="DM518" i="4" s="1"/>
  <c r="DM383" i="4"/>
  <c r="DN186" i="4"/>
  <c r="DM1298" i="4"/>
  <c r="DP1298" i="4" s="1"/>
  <c r="DL1198" i="4"/>
  <c r="DL1199" i="4" s="1"/>
  <c r="DZ44" i="3" s="1"/>
  <c r="DN122" i="4"/>
  <c r="DI973" i="4"/>
  <c r="DI977" i="4" s="1"/>
  <c r="DM683" i="4"/>
  <c r="DN681" i="4"/>
  <c r="CR101" i="4"/>
  <c r="CX1151" i="4"/>
  <c r="CX1057" i="4"/>
  <c r="CX33" i="4"/>
  <c r="CX56" i="4"/>
  <c r="CX546" i="4"/>
  <c r="CX549" i="4"/>
  <c r="DJ803" i="4"/>
  <c r="DK801" i="4"/>
  <c r="DI1254" i="4"/>
  <c r="DN474" i="4"/>
  <c r="CT1151" i="4"/>
  <c r="CT1057" i="4"/>
  <c r="CT56" i="4"/>
  <c r="CT33" i="4"/>
  <c r="CN1294" i="4"/>
  <c r="CO1294" i="4" s="1"/>
  <c r="CL1294" i="4"/>
  <c r="CZ884" i="4"/>
  <c r="CZ58" i="4"/>
  <c r="CZ36" i="4"/>
  <c r="DD60" i="4" s="1"/>
  <c r="DM796" i="4"/>
  <c r="DN796" i="4" s="1"/>
  <c r="DN794" i="4"/>
  <c r="CS1054" i="4"/>
  <c r="CS1056" i="4" s="1"/>
  <c r="CS95" i="4"/>
  <c r="CS79" i="4"/>
  <c r="CC114" i="4"/>
  <c r="CG115" i="4" s="1"/>
  <c r="CG108" i="4"/>
  <c r="DA550" i="4"/>
  <c r="DA790" i="4"/>
  <c r="CJ884" i="4"/>
  <c r="CJ58" i="4"/>
  <c r="CJ36" i="4"/>
  <c r="CL107" i="4"/>
  <c r="CL94" i="4"/>
  <c r="CL78" i="4"/>
  <c r="BQ549" i="4"/>
  <c r="BQ546" i="4"/>
  <c r="BQ550" i="4" s="1"/>
  <c r="BR754" i="4"/>
  <c r="BS748" i="4"/>
  <c r="BN1038" i="4"/>
  <c r="BN42" i="4"/>
  <c r="BN44" i="4" s="1"/>
  <c r="BN38" i="4"/>
  <c r="CF79" i="4"/>
  <c r="CH107" i="4"/>
  <c r="CH94" i="4"/>
  <c r="CH78" i="4"/>
  <c r="DI176" i="4"/>
  <c r="DA114" i="4"/>
  <c r="DA108" i="4"/>
  <c r="DI155" i="4"/>
  <c r="DM1341" i="4"/>
  <c r="DP1341" i="4" s="1"/>
  <c r="BP1109" i="4"/>
  <c r="BP1110" i="4" s="1"/>
  <c r="BR956" i="4"/>
  <c r="AA84" i="12" s="1"/>
  <c r="AA94" i="12" s="1"/>
  <c r="CW885" i="4"/>
  <c r="CW887" i="4"/>
  <c r="CW888" i="4" s="1"/>
  <c r="CZ550" i="4"/>
  <c r="CZ790" i="4"/>
  <c r="DM1340" i="4"/>
  <c r="DP1340" i="4" s="1"/>
  <c r="CC884" i="4"/>
  <c r="CC58" i="4"/>
  <c r="CC36" i="4"/>
  <c r="CG58" i="4"/>
  <c r="CT107" i="4"/>
  <c r="CT94" i="4"/>
  <c r="CT78" i="4"/>
  <c r="CN108" i="4"/>
  <c r="CN114" i="4"/>
  <c r="CR108" i="4"/>
  <c r="CC1054" i="4"/>
  <c r="CC1056" i="4" s="1"/>
  <c r="CC95" i="4"/>
  <c r="CC79" i="4"/>
  <c r="CG79" i="4"/>
  <c r="BN887" i="4"/>
  <c r="BN888" i="4" s="1"/>
  <c r="CZ114" i="4"/>
  <c r="DD115" i="4" s="1"/>
  <c r="CZ108" i="4"/>
  <c r="DB549" i="4"/>
  <c r="DB546" i="4"/>
  <c r="DF550" i="4" s="1"/>
  <c r="BI884" i="4"/>
  <c r="BI36" i="4"/>
  <c r="BV546" i="4"/>
  <c r="BZ550" i="4" s="1"/>
  <c r="CK550" i="4"/>
  <c r="CK790" i="4"/>
  <c r="BM2" i="4"/>
  <c r="BL3" i="4"/>
  <c r="BY1054" i="4"/>
  <c r="BY1056" i="4" s="1"/>
  <c r="BY95" i="4"/>
  <c r="BY79" i="4"/>
  <c r="BT549" i="4"/>
  <c r="BT546" i="4"/>
  <c r="BX549" i="4"/>
  <c r="BU1054" i="4"/>
  <c r="BU1056" i="4" s="1"/>
  <c r="BU95" i="4"/>
  <c r="CO884" i="4"/>
  <c r="CO58" i="4"/>
  <c r="CO36" i="4"/>
  <c r="CP1151" i="4"/>
  <c r="CP1057" i="4"/>
  <c r="CP56" i="4"/>
  <c r="CP33" i="4"/>
  <c r="CD884" i="4"/>
  <c r="CD58" i="4"/>
  <c r="CD36" i="4"/>
  <c r="CK1054" i="4"/>
  <c r="CK1056" i="4" s="1"/>
  <c r="CK95" i="4"/>
  <c r="CK79" i="4"/>
  <c r="BP724" i="4"/>
  <c r="BR720" i="4"/>
  <c r="BR724" i="4" s="1"/>
  <c r="BH884" i="4"/>
  <c r="BH36" i="4"/>
  <c r="BL58" i="4"/>
  <c r="DL518" i="4"/>
  <c r="DJ518" i="4"/>
  <c r="BT1151" i="4"/>
  <c r="BT1057" i="4"/>
  <c r="BT33" i="4"/>
  <c r="BT56" i="4"/>
  <c r="BX56" i="4"/>
  <c r="CV884" i="4"/>
  <c r="CV58" i="4"/>
  <c r="CV36" i="4"/>
  <c r="BM884" i="4"/>
  <c r="BM36" i="4"/>
  <c r="BM58" i="4"/>
  <c r="CR956" i="4"/>
  <c r="BZ56" i="4"/>
  <c r="DI673" i="4"/>
  <c r="DI669" i="4"/>
  <c r="DI20" i="4"/>
  <c r="DI622" i="4" s="1"/>
  <c r="DN607" i="4"/>
  <c r="CP107" i="4"/>
  <c r="CP94" i="4"/>
  <c r="CP78" i="4"/>
  <c r="CF550" i="4"/>
  <c r="DJ777" i="4"/>
  <c r="CK114" i="4"/>
  <c r="CK115" i="4" s="1"/>
  <c r="CK108" i="4"/>
  <c r="BJ1151" i="4"/>
  <c r="BJ33" i="4"/>
  <c r="BN56" i="4"/>
  <c r="CW102" i="4"/>
  <c r="CW42" i="4"/>
  <c r="CW38" i="4"/>
  <c r="CV550" i="4"/>
  <c r="CV790" i="4"/>
  <c r="CR996" i="4"/>
  <c r="CT995" i="4"/>
  <c r="CR1150" i="4"/>
  <c r="CR1123" i="4"/>
  <c r="CR1125" i="4" s="1"/>
  <c r="CR1038" i="4"/>
  <c r="CR40" i="4"/>
  <c r="CS884" i="4"/>
  <c r="CS58" i="4"/>
  <c r="CS36" i="4"/>
  <c r="CW60" i="4" s="1"/>
  <c r="CD1054" i="4"/>
  <c r="CD1056" i="4" s="1"/>
  <c r="CD95" i="4"/>
  <c r="CD79" i="4"/>
  <c r="CW550" i="4"/>
  <c r="CK884" i="4"/>
  <c r="CK36" i="4"/>
  <c r="CK58" i="4"/>
  <c r="BR545" i="4"/>
  <c r="BV549" i="4" s="1"/>
  <c r="BR74" i="4"/>
  <c r="BR54" i="4"/>
  <c r="BS25" i="4"/>
  <c r="BR31" i="4"/>
  <c r="BR789" i="4"/>
  <c r="BZ549" i="4"/>
  <c r="DI135" i="4"/>
  <c r="DI331" i="4"/>
  <c r="CO114" i="4"/>
  <c r="CO108" i="4"/>
  <c r="CS996" i="4"/>
  <c r="CS998" i="4" s="1"/>
  <c r="DN16" i="4"/>
  <c r="CW79" i="4"/>
  <c r="CL1151" i="4"/>
  <c r="CL1057" i="4"/>
  <c r="CL56" i="4"/>
  <c r="CL33" i="4"/>
  <c r="CL549" i="4"/>
  <c r="CL546" i="4"/>
  <c r="DL803" i="4"/>
  <c r="DM801" i="4"/>
  <c r="DL777" i="4"/>
  <c r="BQ1151" i="4"/>
  <c r="BQ56" i="4"/>
  <c r="BQ33" i="4"/>
  <c r="BQ745" i="4"/>
  <c r="BQ748" i="4" s="1"/>
  <c r="BP749" i="4"/>
  <c r="BP754" i="4"/>
  <c r="BX1123" i="4"/>
  <c r="BX1125" i="4" s="1"/>
  <c r="BX1150" i="4"/>
  <c r="BX1038" i="4"/>
  <c r="BX40" i="4"/>
  <c r="BL956" i="4"/>
  <c r="CZ1054" i="4"/>
  <c r="CZ1056" i="4" s="1"/>
  <c r="CZ95" i="4"/>
  <c r="CZ79" i="4"/>
  <c r="CH1057" i="4"/>
  <c r="CH1151" i="4"/>
  <c r="CH33" i="4"/>
  <c r="CH56" i="4"/>
  <c r="CH546" i="4"/>
  <c r="CH549" i="4"/>
  <c r="DB94" i="4"/>
  <c r="DB107" i="4"/>
  <c r="DF108" i="4" s="1"/>
  <c r="DB78" i="4"/>
  <c r="CJ114" i="4"/>
  <c r="CJ115" i="4" s="1"/>
  <c r="CJ108" i="4"/>
  <c r="DL165" i="4"/>
  <c r="DM174" i="4"/>
  <c r="DP174" i="4" s="1"/>
  <c r="BP884" i="4"/>
  <c r="BP58" i="4"/>
  <c r="BP36" i="4"/>
  <c r="BV94" i="4"/>
  <c r="BV78" i="4"/>
  <c r="DJ667" i="4"/>
  <c r="BY884" i="4"/>
  <c r="BY58" i="4"/>
  <c r="BY36" i="4"/>
  <c r="DI148" i="4"/>
  <c r="DJ144" i="4"/>
  <c r="DI183" i="4"/>
  <c r="CB884" i="4"/>
  <c r="CB58" i="4"/>
  <c r="CB36" i="4"/>
  <c r="DF79" i="4" l="1"/>
  <c r="AF122" i="9"/>
  <c r="CW97" i="4"/>
  <c r="BO1399" i="4"/>
  <c r="AF37" i="3"/>
  <c r="AF70" i="3" s="1"/>
  <c r="AR122" i="9"/>
  <c r="Z64" i="3"/>
  <c r="AH64" i="3"/>
  <c r="DF999" i="4"/>
  <c r="DF1001" i="4" s="1"/>
  <c r="DF1114" i="4" s="1"/>
  <c r="DA115" i="4"/>
  <c r="DE115" i="4"/>
  <c r="DE96" i="4"/>
  <c r="DR1255" i="4"/>
  <c r="AO18" i="12"/>
  <c r="AP18" i="12" s="1"/>
  <c r="AQ18" i="12" s="1"/>
  <c r="AR18" i="12" s="1"/>
  <c r="AS18" i="12" s="1"/>
  <c r="AT18" i="12" s="1"/>
  <c r="AU18" i="12" s="1"/>
  <c r="AV18" i="12" s="1"/>
  <c r="AM18" i="12"/>
  <c r="EB81" i="3"/>
  <c r="DQ898" i="4"/>
  <c r="DQ1197" i="4"/>
  <c r="DQ133" i="4"/>
  <c r="DP667" i="4"/>
  <c r="DP690" i="4"/>
  <c r="DQ1341" i="4"/>
  <c r="DR439" i="4"/>
  <c r="DQ437" i="4"/>
  <c r="DQ683" i="4"/>
  <c r="DR681" i="4"/>
  <c r="DP314" i="4"/>
  <c r="DP362" i="4" s="1"/>
  <c r="DP325" i="4"/>
  <c r="DR660" i="4"/>
  <c r="DP98" i="4"/>
  <c r="DR293" i="4"/>
  <c r="DR607" i="4"/>
  <c r="DQ1043" i="4"/>
  <c r="DQ77" i="4"/>
  <c r="BQ26" i="3" s="1"/>
  <c r="DQ554" i="4"/>
  <c r="DQ555" i="4" s="1"/>
  <c r="DQ1340" i="4"/>
  <c r="DQ411" i="4"/>
  <c r="DP384" i="4"/>
  <c r="DP39" i="4"/>
  <c r="DR806" i="4"/>
  <c r="DR65" i="4"/>
  <c r="EF81" i="3" s="1"/>
  <c r="DR1171" i="4"/>
  <c r="DR16" i="4"/>
  <c r="BR9" i="3" s="1"/>
  <c r="DR64" i="4"/>
  <c r="DQ151" i="4"/>
  <c r="DR655" i="4"/>
  <c r="DR915" i="4"/>
  <c r="DQ918" i="4"/>
  <c r="DR1188" i="4"/>
  <c r="DR122" i="4"/>
  <c r="DS297" i="4"/>
  <c r="DQ794" i="4"/>
  <c r="DP796" i="4"/>
  <c r="DQ186" i="4"/>
  <c r="DP383" i="4"/>
  <c r="DP517" i="4"/>
  <c r="DQ1298" i="4"/>
  <c r="DP1198" i="4"/>
  <c r="DP1199" i="4" s="1"/>
  <c r="ED44" i="3" s="1"/>
  <c r="DP165" i="4"/>
  <c r="DQ174" i="4"/>
  <c r="DQ346" i="4"/>
  <c r="DP354" i="4"/>
  <c r="DR651" i="4"/>
  <c r="DQ1332" i="4"/>
  <c r="DM349" i="4"/>
  <c r="DP348" i="4"/>
  <c r="DP349" i="4" s="1"/>
  <c r="DR343" i="4"/>
  <c r="DR344" i="4"/>
  <c r="DQ415" i="4"/>
  <c r="DP1206" i="4"/>
  <c r="DR1172" i="4"/>
  <c r="DR77" i="4"/>
  <c r="BR26" i="3" s="1"/>
  <c r="DR1043" i="4"/>
  <c r="DR654" i="4"/>
  <c r="DQ901" i="4"/>
  <c r="DN801" i="4"/>
  <c r="DO801" i="4" s="1"/>
  <c r="DP801" i="4"/>
  <c r="DQ153" i="4"/>
  <c r="DP144" i="4"/>
  <c r="DR440" i="4"/>
  <c r="DP555" i="4"/>
  <c r="DS610" i="4"/>
  <c r="CF97" i="4"/>
  <c r="CF38" i="4"/>
  <c r="CF42" i="4"/>
  <c r="CF44" i="4" s="1"/>
  <c r="CF102" i="4"/>
  <c r="DI623" i="4"/>
  <c r="BQ703" i="4"/>
  <c r="BQ708" i="4" s="1"/>
  <c r="AF68" i="3"/>
  <c r="DK349" i="4"/>
  <c r="CF885" i="4"/>
  <c r="DN314" i="4"/>
  <c r="DI501" i="4"/>
  <c r="DJ501" i="4" s="1"/>
  <c r="AF21" i="3"/>
  <c r="CG40" i="4"/>
  <c r="DO133" i="4"/>
  <c r="CG1122" i="4"/>
  <c r="CG1402" i="4"/>
  <c r="P126" i="9"/>
  <c r="P155" i="9" s="1"/>
  <c r="AG70" i="3"/>
  <c r="DJ945" i="4"/>
  <c r="S37" i="9"/>
  <c r="S137" i="9" s="1"/>
  <c r="CG101" i="4"/>
  <c r="CG889" i="4" s="1"/>
  <c r="DI217" i="4"/>
  <c r="DI220" i="4"/>
  <c r="AG23" i="3"/>
  <c r="DN1043" i="4"/>
  <c r="CG1038" i="4"/>
  <c r="CG1044" i="4" s="1"/>
  <c r="CG1045" i="4" s="1"/>
  <c r="DI502" i="4"/>
  <c r="CG1123" i="4"/>
  <c r="CG1125" i="4" s="1"/>
  <c r="CG1150" i="4"/>
  <c r="AG29" i="3" s="1"/>
  <c r="P95" i="9"/>
  <c r="BP710" i="4"/>
  <c r="DD96" i="4"/>
  <c r="AF66" i="9"/>
  <c r="X126" i="9"/>
  <c r="X155" i="9" s="1"/>
  <c r="FG19" i="3"/>
  <c r="T64" i="3"/>
  <c r="BU550" i="4"/>
  <c r="X95" i="9"/>
  <c r="DN77" i="4"/>
  <c r="DN98" i="4" s="1"/>
  <c r="AF123" i="9"/>
  <c r="AF67" i="9"/>
  <c r="AF68" i="9" s="1"/>
  <c r="AF69" i="9" s="1"/>
  <c r="CX956" i="4"/>
  <c r="H64" i="9"/>
  <c r="CF96" i="4"/>
  <c r="X66" i="9"/>
  <c r="DL155" i="4"/>
  <c r="V62" i="3"/>
  <c r="DB1175" i="4"/>
  <c r="BJ1425" i="4"/>
  <c r="X122" i="9"/>
  <c r="BR957" i="4"/>
  <c r="BR1203" i="4" s="1"/>
  <c r="BR1204" i="4" s="1"/>
  <c r="L125" i="9"/>
  <c r="L154" i="9"/>
  <c r="L126" i="9"/>
  <c r="L155" i="9" s="1"/>
  <c r="P125" i="9"/>
  <c r="BX26" i="3"/>
  <c r="AA125" i="9"/>
  <c r="W125" i="9"/>
  <c r="W126" i="9"/>
  <c r="L95" i="9"/>
  <c r="L70" i="9"/>
  <c r="L96" i="9" s="1"/>
  <c r="P69" i="9"/>
  <c r="AA51" i="12"/>
  <c r="AA64" i="12" s="1"/>
  <c r="R16" i="3"/>
  <c r="AW23" i="3"/>
  <c r="H21" i="3"/>
  <c r="H66" i="3" s="1"/>
  <c r="BI76" i="3"/>
  <c r="DL9" i="3"/>
  <c r="AN21" i="3"/>
  <c r="DM98" i="4"/>
  <c r="BM26" i="3"/>
  <c r="DJ987" i="4"/>
  <c r="DL985" i="4" s="1"/>
  <c r="DL987" i="4" s="1"/>
  <c r="BW1399" i="4"/>
  <c r="CA1399" i="4"/>
  <c r="Z70" i="9"/>
  <c r="Z69" i="9"/>
  <c r="L21" i="3"/>
  <c r="BL38" i="4"/>
  <c r="BL1038" i="4"/>
  <c r="BL42" i="4"/>
  <c r="BL44" i="4" s="1"/>
  <c r="CM708" i="4"/>
  <c r="U64" i="3"/>
  <c r="R69" i="9"/>
  <c r="R70" i="9"/>
  <c r="AI85" i="12"/>
  <c r="AI95" i="12" s="1"/>
  <c r="DM919" i="4"/>
  <c r="BM24" i="3"/>
  <c r="DN39" i="4"/>
  <c r="DL807" i="4"/>
  <c r="AV71" i="9"/>
  <c r="AZ54" i="9"/>
  <c r="BD54" i="9" s="1"/>
  <c r="AV52" i="9"/>
  <c r="AV53" i="9" s="1"/>
  <c r="Z68" i="12"/>
  <c r="Z67" i="12"/>
  <c r="Z92" i="12"/>
  <c r="Z66" i="12"/>
  <c r="AX64" i="3"/>
  <c r="P131" i="9"/>
  <c r="P32" i="9"/>
  <c r="P74" i="9"/>
  <c r="J64" i="3"/>
  <c r="N64" i="3"/>
  <c r="AO37" i="3"/>
  <c r="AO68" i="3"/>
  <c r="AO41" i="3"/>
  <c r="BI28" i="3"/>
  <c r="AH85" i="12"/>
  <c r="AH95" i="12" s="1"/>
  <c r="AH70" i="12"/>
  <c r="AH60" i="12"/>
  <c r="DJ807" i="4"/>
  <c r="CP1176" i="4"/>
  <c r="AB154" i="9"/>
  <c r="AB125" i="9"/>
  <c r="AB126" i="9"/>
  <c r="AB155" i="9" s="1"/>
  <c r="AK37" i="3"/>
  <c r="AK68" i="3"/>
  <c r="AK41" i="3"/>
  <c r="CV9" i="3"/>
  <c r="CZ9" i="3"/>
  <c r="AV21" i="3"/>
  <c r="BF13" i="3"/>
  <c r="T17" i="9"/>
  <c r="T20" i="9" s="1"/>
  <c r="T117" i="9" s="1"/>
  <c r="T118" i="9" s="1"/>
  <c r="T127" i="9" s="1"/>
  <c r="T132" i="9" s="1"/>
  <c r="AH35" i="3"/>
  <c r="AZ21" i="3"/>
  <c r="DK608" i="4"/>
  <c r="BP96" i="4"/>
  <c r="P21" i="3"/>
  <c r="AN17" i="9"/>
  <c r="BB35" i="3"/>
  <c r="X30" i="9"/>
  <c r="AF53" i="12"/>
  <c r="AF77" i="12" s="1"/>
  <c r="AL18" i="3"/>
  <c r="CG32" i="3"/>
  <c r="CG33" i="3"/>
  <c r="CT996" i="4"/>
  <c r="Y53" i="12"/>
  <c r="Y77" i="12" s="1"/>
  <c r="J18" i="3"/>
  <c r="AP35" i="3"/>
  <c r="AB17" i="9"/>
  <c r="AB20" i="9" s="1"/>
  <c r="AB117" i="9" s="1"/>
  <c r="AB118" i="9" s="1"/>
  <c r="AB127" i="9" s="1"/>
  <c r="AB132" i="9" s="1"/>
  <c r="T18" i="3"/>
  <c r="AB30" i="9"/>
  <c r="AG53" i="12"/>
  <c r="AG77" i="12" s="1"/>
  <c r="AP18" i="3"/>
  <c r="DH9" i="3"/>
  <c r="CR889" i="4"/>
  <c r="DJ100" i="4"/>
  <c r="CJ9" i="3"/>
  <c r="BX1141" i="4"/>
  <c r="AN123" i="9"/>
  <c r="AN67" i="9"/>
  <c r="AN68" i="9" s="1"/>
  <c r="AR69" i="9" s="1"/>
  <c r="Z126" i="9"/>
  <c r="Z125" i="9"/>
  <c r="AW39" i="3"/>
  <c r="T123" i="9"/>
  <c r="T124" i="9" s="1"/>
  <c r="T67" i="9"/>
  <c r="T68" i="9" s="1"/>
  <c r="S126" i="9"/>
  <c r="S125" i="9"/>
  <c r="V70" i="9"/>
  <c r="V69" i="9"/>
  <c r="BN9" i="3"/>
  <c r="CR1144" i="4"/>
  <c r="BX9" i="3"/>
  <c r="AD56" i="12"/>
  <c r="P34" i="9"/>
  <c r="AD21" i="3"/>
  <c r="BY96" i="4"/>
  <c r="I21" i="3"/>
  <c r="CZ115" i="4"/>
  <c r="AF17" i="9"/>
  <c r="AT35" i="3"/>
  <c r="BH13" i="3"/>
  <c r="CW96" i="4"/>
  <c r="AT18" i="3"/>
  <c r="AH53" i="12"/>
  <c r="AH77" i="12" s="1"/>
  <c r="AF30" i="9"/>
  <c r="AI53" i="12"/>
  <c r="AI77" i="12" s="1"/>
  <c r="AJ30" i="9"/>
  <c r="AX18" i="3"/>
  <c r="DM391" i="4"/>
  <c r="Z21" i="3"/>
  <c r="AC56" i="12"/>
  <c r="L34" i="9"/>
  <c r="CR1122" i="4"/>
  <c r="CR1143" i="4" s="1"/>
  <c r="H30" i="9"/>
  <c r="V18" i="3"/>
  <c r="AB53" i="12"/>
  <c r="AB77" i="12" s="1"/>
  <c r="U21" i="3"/>
  <c r="AN30" i="9"/>
  <c r="BB18" i="3"/>
  <c r="AJ53" i="12"/>
  <c r="AJ77" i="12" s="1"/>
  <c r="DL357" i="4"/>
  <c r="AN66" i="9"/>
  <c r="CK708" i="4"/>
  <c r="DL50" i="3"/>
  <c r="AL64" i="3"/>
  <c r="DJ27" i="4"/>
  <c r="H120" i="9"/>
  <c r="DM384" i="4"/>
  <c r="DN384" i="4" s="1"/>
  <c r="DN411" i="4"/>
  <c r="S70" i="9"/>
  <c r="S69" i="9"/>
  <c r="AJ60" i="12"/>
  <c r="AJ70" i="12"/>
  <c r="AE69" i="9"/>
  <c r="AE70" i="9"/>
  <c r="V126" i="9"/>
  <c r="V125" i="9"/>
  <c r="DN348" i="4"/>
  <c r="AA62" i="12"/>
  <c r="AA47" i="12"/>
  <c r="AB70" i="12" s="1"/>
  <c r="AA72" i="12"/>
  <c r="AA74" i="12"/>
  <c r="DO806" i="4"/>
  <c r="AD70" i="9"/>
  <c r="AD69" i="9"/>
  <c r="AH69" i="9"/>
  <c r="CT1176" i="4"/>
  <c r="Y60" i="12"/>
  <c r="Z70" i="12"/>
  <c r="D70" i="9"/>
  <c r="D96" i="9" s="1"/>
  <c r="D126" i="9"/>
  <c r="D155" i="9" s="1"/>
  <c r="AT64" i="3"/>
  <c r="X29" i="3"/>
  <c r="X31" i="3"/>
  <c r="AR25" i="3"/>
  <c r="DO607" i="4"/>
  <c r="BH8" i="3"/>
  <c r="DD9" i="3"/>
  <c r="AO21" i="3"/>
  <c r="AC21" i="3"/>
  <c r="X17" i="9"/>
  <c r="X20" i="9" s="1"/>
  <c r="X117" i="9" s="1"/>
  <c r="X118" i="9" s="1"/>
  <c r="X127" i="9" s="1"/>
  <c r="X132" i="9" s="1"/>
  <c r="AL35" i="3"/>
  <c r="BX1144" i="4"/>
  <c r="Q18" i="3"/>
  <c r="BF8" i="3"/>
  <c r="AS21" i="3"/>
  <c r="CW44" i="4"/>
  <c r="CW1402" i="4" s="1"/>
  <c r="DP9" i="3"/>
  <c r="AJ17" i="9"/>
  <c r="AX35" i="3"/>
  <c r="AF70" i="12"/>
  <c r="AF60" i="12"/>
  <c r="AV128" i="9"/>
  <c r="AZ108" i="9"/>
  <c r="BD108" i="9" s="1"/>
  <c r="AV106" i="9"/>
  <c r="AV107" i="9" s="1"/>
  <c r="AE126" i="9"/>
  <c r="AE125" i="9"/>
  <c r="BA37" i="3"/>
  <c r="BA68" i="3"/>
  <c r="BA41" i="3"/>
  <c r="CF60" i="4"/>
  <c r="AB21" i="3"/>
  <c r="AB66" i="3" s="1"/>
  <c r="X25" i="3"/>
  <c r="Y21" i="3"/>
  <c r="BZ79" i="4"/>
  <c r="AE53" i="12"/>
  <c r="AE77" i="12" s="1"/>
  <c r="T30" i="9"/>
  <c r="AH18" i="3"/>
  <c r="CE9" i="3"/>
  <c r="CO115" i="4"/>
  <c r="AK21" i="3"/>
  <c r="AR29" i="3"/>
  <c r="AR31" i="3"/>
  <c r="AW40" i="3"/>
  <c r="DK777" i="4"/>
  <c r="M21" i="3"/>
  <c r="CH9" i="3"/>
  <c r="BU79" i="4"/>
  <c r="CB34" i="3"/>
  <c r="DK34" i="3"/>
  <c r="AJ21" i="3"/>
  <c r="DI170" i="4"/>
  <c r="CR1402" i="4"/>
  <c r="BV56" i="4"/>
  <c r="BA21" i="3"/>
  <c r="BA66" i="3" s="1"/>
  <c r="AG70" i="12"/>
  <c r="AG60" i="12"/>
  <c r="AN122" i="9"/>
  <c r="AB95" i="9"/>
  <c r="AB69" i="9"/>
  <c r="AB70" i="9"/>
  <c r="AB96" i="9" s="1"/>
  <c r="BL885" i="4"/>
  <c r="BL887" i="4"/>
  <c r="BL888" i="4" s="1"/>
  <c r="AI60" i="12"/>
  <c r="AI70" i="12"/>
  <c r="AE70" i="12"/>
  <c r="AE60" i="12"/>
  <c r="AJ37" i="3"/>
  <c r="AJ39" i="3" s="1"/>
  <c r="AJ68" i="3"/>
  <c r="AJ41" i="3"/>
  <c r="Z85" i="12"/>
  <c r="Z95" i="12" s="1"/>
  <c r="AS37" i="3"/>
  <c r="AS39" i="3" s="1"/>
  <c r="AS68" i="3"/>
  <c r="AS41" i="3"/>
  <c r="DH50" i="3"/>
  <c r="AV37" i="3"/>
  <c r="AV68" i="3"/>
  <c r="AV41" i="3"/>
  <c r="W69" i="9"/>
  <c r="W70" i="9"/>
  <c r="R125" i="9"/>
  <c r="R126" i="9"/>
  <c r="BB64" i="3"/>
  <c r="AK71" i="12"/>
  <c r="AP64" i="3"/>
  <c r="AN37" i="3"/>
  <c r="AN68" i="3"/>
  <c r="AN41" i="3"/>
  <c r="AR68" i="3"/>
  <c r="H70" i="9"/>
  <c r="H96" i="9" s="1"/>
  <c r="H126" i="9"/>
  <c r="H155" i="9" s="1"/>
  <c r="AD125" i="9"/>
  <c r="AD126" i="9"/>
  <c r="AH125" i="9"/>
  <c r="CX1175" i="4"/>
  <c r="DM1345" i="4"/>
  <c r="AB60" i="12"/>
  <c r="AI69" i="9"/>
  <c r="DL365" i="4"/>
  <c r="DJ456" i="4"/>
  <c r="L32" i="9"/>
  <c r="L74" i="9"/>
  <c r="L131" i="9"/>
  <c r="BE60" i="3"/>
  <c r="AZ68" i="3"/>
  <c r="AZ37" i="3"/>
  <c r="AZ41" i="3"/>
  <c r="BD59" i="3"/>
  <c r="BD61" i="3"/>
  <c r="BH10" i="3"/>
  <c r="BE11" i="3"/>
  <c r="DR18" i="3"/>
  <c r="DL1077" i="4"/>
  <c r="BD75" i="3"/>
  <c r="BI44" i="3"/>
  <c r="BI72" i="3" s="1"/>
  <c r="DI149" i="4"/>
  <c r="BF72" i="3"/>
  <c r="BB5" i="12"/>
  <c r="BC2" i="12"/>
  <c r="BP1038" i="4"/>
  <c r="BP60" i="4"/>
  <c r="BP42" i="4"/>
  <c r="BP44" i="4" s="1"/>
  <c r="BP38" i="4"/>
  <c r="CL884" i="4"/>
  <c r="CL36" i="4"/>
  <c r="CL58" i="4"/>
  <c r="CK102" i="4"/>
  <c r="CK60" i="4"/>
  <c r="CK42" i="4"/>
  <c r="CK38" i="4"/>
  <c r="BJ1418" i="4"/>
  <c r="BJ884" i="4"/>
  <c r="BJ36" i="4"/>
  <c r="BN58" i="4"/>
  <c r="CP1054" i="4"/>
  <c r="CP1056" i="4" s="1"/>
  <c r="CP95" i="4"/>
  <c r="CP79" i="4"/>
  <c r="BM1038" i="4"/>
  <c r="BM60" i="4"/>
  <c r="BM42" i="4"/>
  <c r="BM44" i="4" s="1"/>
  <c r="BM38" i="4"/>
  <c r="CV102" i="4"/>
  <c r="CV60" i="4"/>
  <c r="CV42" i="4"/>
  <c r="CV38" i="4"/>
  <c r="BH1420" i="4"/>
  <c r="BH1038" i="4"/>
  <c r="BH42" i="4"/>
  <c r="BH44" i="4" s="1"/>
  <c r="BH38" i="4"/>
  <c r="BL60" i="4"/>
  <c r="CD887" i="4"/>
  <c r="CD888" i="4" s="1"/>
  <c r="CD885" i="4"/>
  <c r="CH108" i="4"/>
  <c r="CH114" i="4"/>
  <c r="CH115" i="4" s="1"/>
  <c r="CJ887" i="4"/>
  <c r="CJ888" i="4" s="1"/>
  <c r="CJ885" i="4"/>
  <c r="CX884" i="4"/>
  <c r="CX36" i="4"/>
  <c r="CX58" i="4"/>
  <c r="DM690" i="4"/>
  <c r="DM667" i="4"/>
  <c r="DN667" i="4" s="1"/>
  <c r="BZ887" i="4"/>
  <c r="BZ888" i="4" s="1"/>
  <c r="BZ885" i="4"/>
  <c r="DM175" i="4"/>
  <c r="DL166" i="4"/>
  <c r="DL167" i="4" s="1"/>
  <c r="DI829" i="4"/>
  <c r="DJ829" i="4" s="1"/>
  <c r="DL825" i="4"/>
  <c r="DO293" i="4"/>
  <c r="DM556" i="4"/>
  <c r="DM99" i="4" s="1"/>
  <c r="CN97" i="4"/>
  <c r="CN96" i="4"/>
  <c r="CR96" i="4"/>
  <c r="CB885" i="4"/>
  <c r="CB887" i="4"/>
  <c r="CB888" i="4" s="1"/>
  <c r="DI150" i="4"/>
  <c r="DJ146" i="4"/>
  <c r="BY38" i="4"/>
  <c r="BY60" i="4"/>
  <c r="BY42" i="4"/>
  <c r="BY44" i="4" s="1"/>
  <c r="DJ683" i="4"/>
  <c r="DJ669" i="4"/>
  <c r="DJ671" i="4" s="1"/>
  <c r="DN174" i="4"/>
  <c r="DO174" i="4" s="1"/>
  <c r="DM165" i="4"/>
  <c r="DB108" i="4"/>
  <c r="DB114" i="4"/>
  <c r="DF115" i="4" s="1"/>
  <c r="CH550" i="4"/>
  <c r="CH790" i="4"/>
  <c r="CZ96" i="4"/>
  <c r="CZ97" i="4"/>
  <c r="BQ884" i="4"/>
  <c r="BQ36" i="4"/>
  <c r="BU60" i="4" s="1"/>
  <c r="BQ58" i="4"/>
  <c r="DL27" i="4"/>
  <c r="DJ331" i="4"/>
  <c r="DK331" i="4" s="1"/>
  <c r="DL331" i="4"/>
  <c r="DI316" i="4"/>
  <c r="CK887" i="4"/>
  <c r="CK888" i="4" s="1"/>
  <c r="CK885" i="4"/>
  <c r="CS102" i="4"/>
  <c r="CU39" i="4"/>
  <c r="CS38" i="4"/>
  <c r="CS60" i="4"/>
  <c r="CS42" i="4"/>
  <c r="CR1130" i="4"/>
  <c r="CR1132" i="4" s="1"/>
  <c r="CR964" i="4"/>
  <c r="CR965" i="4" s="1"/>
  <c r="CR969" i="4" s="1"/>
  <c r="CR1051" i="4"/>
  <c r="CR1052" i="4"/>
  <c r="CW101" i="4"/>
  <c r="DI23" i="4"/>
  <c r="DI50" i="4"/>
  <c r="BM887" i="4"/>
  <c r="BM888" i="4" s="1"/>
  <c r="BM885" i="4"/>
  <c r="BH887" i="4"/>
  <c r="BH888" i="4" s="1"/>
  <c r="BH885" i="4"/>
  <c r="BS724" i="4"/>
  <c r="BR753" i="4"/>
  <c r="BR755" i="4" s="1"/>
  <c r="CO102" i="4"/>
  <c r="CO38" i="4"/>
  <c r="CO60" i="4"/>
  <c r="CO42" i="4"/>
  <c r="BI1420" i="4"/>
  <c r="BI1038" i="4"/>
  <c r="BI42" i="4"/>
  <c r="BI44" i="4" s="1"/>
  <c r="BI38" i="4"/>
  <c r="CN115" i="4"/>
  <c r="CR115" i="4"/>
  <c r="CT1054" i="4"/>
  <c r="CT1056" i="4" s="1"/>
  <c r="CT95" i="4"/>
  <c r="CT79" i="4"/>
  <c r="CC38" i="4"/>
  <c r="CC102" i="4"/>
  <c r="CC42" i="4"/>
  <c r="CC44" i="4" s="1"/>
  <c r="CC60" i="4"/>
  <c r="CG60" i="4"/>
  <c r="BN1039" i="4"/>
  <c r="BN1040" i="4"/>
  <c r="BN1041" i="4"/>
  <c r="BN1042" i="4"/>
  <c r="CL108" i="4"/>
  <c r="CL114" i="4"/>
  <c r="CT884" i="4"/>
  <c r="CT58" i="4"/>
  <c r="CT36" i="4"/>
  <c r="DL973" i="4"/>
  <c r="DI942" i="4"/>
  <c r="CP550" i="4"/>
  <c r="CP790" i="4"/>
  <c r="DN554" i="4"/>
  <c r="BT1054" i="4"/>
  <c r="BT1056" i="4" s="1"/>
  <c r="BT95" i="4"/>
  <c r="BT79" i="4"/>
  <c r="BX79" i="4"/>
  <c r="BJ856" i="4"/>
  <c r="BJ855" i="4"/>
  <c r="BJ697" i="4"/>
  <c r="BJ597" i="4"/>
  <c r="BJ1415" i="4"/>
  <c r="BJ1419" i="4"/>
  <c r="BJ205" i="4"/>
  <c r="BJ1410" i="4"/>
  <c r="BJ715" i="4"/>
  <c r="BJ594" i="4"/>
  <c r="BJ797" i="4"/>
  <c r="BJ1421" i="4"/>
  <c r="BJ206" i="4"/>
  <c r="BJ1417" i="4"/>
  <c r="BJ431" i="4"/>
  <c r="BJ589" i="4"/>
  <c r="BJ1413" i="4"/>
  <c r="BJ877" i="4"/>
  <c r="BJ872" i="4"/>
  <c r="BX76" i="3" s="1"/>
  <c r="BJ430" i="4"/>
  <c r="BJ567" i="4"/>
  <c r="BJ791" i="4"/>
  <c r="BJ874" i="4"/>
  <c r="BJ575" i="4"/>
  <c r="BJ869" i="4"/>
  <c r="BJ873" i="4"/>
  <c r="BX79" i="3" s="1"/>
  <c r="BJ1411" i="4"/>
  <c r="BJ601" i="4"/>
  <c r="BJ871" i="4"/>
  <c r="BJ879" i="4"/>
  <c r="BJ878" i="4"/>
  <c r="BJ870" i="4"/>
  <c r="BJ1412" i="4"/>
  <c r="BJ1414" i="4"/>
  <c r="DJ332" i="4"/>
  <c r="DK332" i="4" s="1"/>
  <c r="DI317" i="4"/>
  <c r="DJ317" i="4" s="1"/>
  <c r="DL332" i="4"/>
  <c r="CT550" i="4"/>
  <c r="CT790" i="4"/>
  <c r="DJ825" i="4"/>
  <c r="DK825" i="4" s="1"/>
  <c r="DI612" i="4"/>
  <c r="DI616" i="4"/>
  <c r="DJ609" i="4"/>
  <c r="DI15" i="4"/>
  <c r="BU58" i="4"/>
  <c r="DJ611" i="4"/>
  <c r="DJ621" i="4" s="1"/>
  <c r="DI663" i="4"/>
  <c r="DI662" i="4" s="1"/>
  <c r="DJ662" i="4" s="1"/>
  <c r="DJ663" i="4" s="1"/>
  <c r="DI618" i="4"/>
  <c r="DI17" i="4"/>
  <c r="DJ17" i="4" s="1"/>
  <c r="CN102" i="4"/>
  <c r="CN42" i="4"/>
  <c r="CN38" i="4"/>
  <c r="CN60" i="4"/>
  <c r="CR60" i="4"/>
  <c r="DA102" i="4"/>
  <c r="DA60" i="4"/>
  <c r="DA42" i="4"/>
  <c r="DA38" i="4"/>
  <c r="CS115" i="4"/>
  <c r="CV998" i="4"/>
  <c r="CX1054" i="4"/>
  <c r="CX1056" i="4" s="1"/>
  <c r="CX95" i="4"/>
  <c r="CX79" i="4"/>
  <c r="DL669" i="4"/>
  <c r="DL673" i="4"/>
  <c r="DL20" i="4"/>
  <c r="DL622" i="4" s="1"/>
  <c r="DK144" i="4"/>
  <c r="DJ183" i="4"/>
  <c r="DB1054" i="4"/>
  <c r="DB1056" i="4" s="1"/>
  <c r="DB95" i="4"/>
  <c r="DF96" i="4" s="1"/>
  <c r="DB79" i="4"/>
  <c r="BQ749" i="4"/>
  <c r="BQ754" i="4"/>
  <c r="BT745" i="4"/>
  <c r="CR1109" i="4"/>
  <c r="CR1110" i="4" s="1"/>
  <c r="CT956" i="4"/>
  <c r="CK96" i="4"/>
  <c r="CK97" i="4"/>
  <c r="BN2" i="4"/>
  <c r="BM3" i="4"/>
  <c r="CZ887" i="4"/>
  <c r="CZ888" i="4" s="1"/>
  <c r="CZ885" i="4"/>
  <c r="DN517" i="4"/>
  <c r="DN383" i="4"/>
  <c r="DN555" i="4"/>
  <c r="DL556" i="4"/>
  <c r="DL557" i="4" s="1"/>
  <c r="CJ96" i="4"/>
  <c r="CJ97" i="4"/>
  <c r="BV1054" i="4"/>
  <c r="BV1056" i="4" s="1"/>
  <c r="BV95" i="4"/>
  <c r="BP887" i="4"/>
  <c r="BP888" i="4" s="1"/>
  <c r="BP885" i="4"/>
  <c r="DL169" i="4"/>
  <c r="BX1130" i="4"/>
  <c r="BX1132" i="4" s="1"/>
  <c r="BX1146" i="4" s="1"/>
  <c r="X32" i="3" s="1"/>
  <c r="BX964" i="4"/>
  <c r="BX965" i="4" s="1"/>
  <c r="BX969" i="4" s="1"/>
  <c r="BX1051" i="4"/>
  <c r="BX1052" i="4"/>
  <c r="DM777" i="4"/>
  <c r="DM803" i="4"/>
  <c r="CL550" i="4"/>
  <c r="CL790" i="4"/>
  <c r="DL135" i="4"/>
  <c r="DJ135" i="4"/>
  <c r="DI136" i="4"/>
  <c r="BR94" i="4"/>
  <c r="BR78" i="4"/>
  <c r="CR1044" i="4"/>
  <c r="CR1045" i="4" s="1"/>
  <c r="CR1040" i="4"/>
  <c r="CR1039" i="4"/>
  <c r="CR1041" i="4"/>
  <c r="CR1042" i="4"/>
  <c r="CR998" i="4"/>
  <c r="CW1150" i="4"/>
  <c r="CW1123" i="4"/>
  <c r="CW1125" i="4" s="1"/>
  <c r="CW1038" i="4"/>
  <c r="CW40" i="4"/>
  <c r="CP114" i="4"/>
  <c r="CP108" i="4"/>
  <c r="DI675" i="4"/>
  <c r="DI671" i="4"/>
  <c r="DI677" i="4" s="1"/>
  <c r="CV887" i="4"/>
  <c r="CV888" i="4" s="1"/>
  <c r="CV885" i="4"/>
  <c r="BT884" i="4"/>
  <c r="BT58" i="4"/>
  <c r="BT36" i="4"/>
  <c r="BX58" i="4"/>
  <c r="BP753" i="4"/>
  <c r="BP755" i="4" s="1"/>
  <c r="BQ720" i="4"/>
  <c r="BQ724" i="4" s="1"/>
  <c r="BP726" i="4"/>
  <c r="CD102" i="4"/>
  <c r="CD38" i="4"/>
  <c r="CE36" i="4"/>
  <c r="CD60" i="4"/>
  <c r="CD42" i="4"/>
  <c r="CD44" i="4" s="1"/>
  <c r="CP884" i="4"/>
  <c r="CP36" i="4"/>
  <c r="CP58" i="4"/>
  <c r="BT550" i="4"/>
  <c r="BX550" i="4"/>
  <c r="BI887" i="4"/>
  <c r="BI888" i="4" s="1"/>
  <c r="BI885" i="4"/>
  <c r="DI159" i="4"/>
  <c r="DJ155" i="4"/>
  <c r="DJ176" i="4"/>
  <c r="DI180" i="4"/>
  <c r="CH1054" i="4"/>
  <c r="CH1056" i="4" s="1"/>
  <c r="CH95" i="4"/>
  <c r="CH79" i="4"/>
  <c r="BN1123" i="4"/>
  <c r="BN1125" i="4" s="1"/>
  <c r="BN40" i="4"/>
  <c r="CJ102" i="4"/>
  <c r="CJ60" i="4"/>
  <c r="CJ42" i="4"/>
  <c r="CJ38" i="4"/>
  <c r="CZ102" i="4"/>
  <c r="CZ38" i="4"/>
  <c r="CZ60" i="4"/>
  <c r="CZ42" i="4"/>
  <c r="DI1258" i="4"/>
  <c r="DJ1258" i="4" s="1"/>
  <c r="CX550" i="4"/>
  <c r="CX790" i="4"/>
  <c r="BH1421" i="4"/>
  <c r="BH1419" i="4"/>
  <c r="BH1417" i="4"/>
  <c r="BH1410" i="4"/>
  <c r="BH855" i="4"/>
  <c r="BH751" i="4"/>
  <c r="BH713" i="4"/>
  <c r="BH712" i="4"/>
  <c r="BH711" i="4"/>
  <c r="BH856" i="4"/>
  <c r="BH728" i="4"/>
  <c r="BH589" i="4"/>
  <c r="BH597" i="4"/>
  <c r="BH750" i="4"/>
  <c r="BH594" i="4"/>
  <c r="BH431" i="4"/>
  <c r="BH206" i="4"/>
  <c r="BH205" i="4"/>
  <c r="BH872" i="4"/>
  <c r="BH430" i="4"/>
  <c r="BH567" i="4"/>
  <c r="BH601" i="4"/>
  <c r="BH797" i="4"/>
  <c r="BH874" i="4"/>
  <c r="BH697" i="4"/>
  <c r="BH715" i="4"/>
  <c r="BH1413" i="4"/>
  <c r="BH575" i="4"/>
  <c r="BH727" i="4"/>
  <c r="BH873" i="4"/>
  <c r="BH877" i="4"/>
  <c r="BH1415" i="4"/>
  <c r="BH1411" i="4"/>
  <c r="BH871" i="4"/>
  <c r="BH791" i="4"/>
  <c r="BH879" i="4"/>
  <c r="BH869" i="4"/>
  <c r="BH1412" i="4"/>
  <c r="BH870" i="4"/>
  <c r="BH878" i="4"/>
  <c r="BH1414" i="4"/>
  <c r="BH1416" i="4"/>
  <c r="BH1425" i="4"/>
  <c r="DM608" i="4"/>
  <c r="DP608" i="4" s="1"/>
  <c r="DL609" i="4"/>
  <c r="DL148" i="4"/>
  <c r="DL183" i="4"/>
  <c r="BU42" i="4"/>
  <c r="BU44" i="4" s="1"/>
  <c r="BU38" i="4"/>
  <c r="DI167" i="4"/>
  <c r="DB884" i="4"/>
  <c r="DB36" i="4"/>
  <c r="DB58" i="4"/>
  <c r="DA887" i="4"/>
  <c r="DA888" i="4" s="1"/>
  <c r="DA885" i="4"/>
  <c r="BQ95" i="4"/>
  <c r="BQ79" i="4"/>
  <c r="DN1206" i="4"/>
  <c r="DM154" i="4"/>
  <c r="DL145" i="4"/>
  <c r="CX108" i="4"/>
  <c r="CX114" i="4"/>
  <c r="CV96" i="4"/>
  <c r="CV97" i="4"/>
  <c r="CB102" i="4"/>
  <c r="CB60" i="4"/>
  <c r="CB42" i="4"/>
  <c r="CB44" i="4" s="1"/>
  <c r="CB38" i="4"/>
  <c r="DI1346" i="4"/>
  <c r="DI189" i="4"/>
  <c r="BY887" i="4"/>
  <c r="BY888" i="4" s="1"/>
  <c r="BY885" i="4"/>
  <c r="DL176" i="4"/>
  <c r="DL180" i="4" s="1"/>
  <c r="CH884" i="4"/>
  <c r="CH36" i="4"/>
  <c r="CH58" i="4"/>
  <c r="BL1109" i="4"/>
  <c r="BL1110" i="4" s="1"/>
  <c r="BN956" i="4"/>
  <c r="BX1044" i="4"/>
  <c r="BX1045" i="4" s="1"/>
  <c r="BX1040" i="4"/>
  <c r="BX1039" i="4"/>
  <c r="BX1042" i="4"/>
  <c r="BX1041" i="4"/>
  <c r="BR1151" i="4"/>
  <c r="BR33" i="4"/>
  <c r="BR56" i="4"/>
  <c r="BR546" i="4"/>
  <c r="BR550" i="4" s="1"/>
  <c r="BR549" i="4"/>
  <c r="CD96" i="4"/>
  <c r="CD97" i="4"/>
  <c r="CS887" i="4"/>
  <c r="CS888" i="4" s="1"/>
  <c r="CS885" i="4"/>
  <c r="CO887" i="4"/>
  <c r="CO888" i="4" s="1"/>
  <c r="CO885" i="4"/>
  <c r="DB550" i="4"/>
  <c r="DB790" i="4"/>
  <c r="CC97" i="4"/>
  <c r="CC96" i="4"/>
  <c r="CG96" i="4"/>
  <c r="CT114" i="4"/>
  <c r="CT108" i="4"/>
  <c r="CC887" i="4"/>
  <c r="CC888" i="4" s="1"/>
  <c r="CC885" i="4"/>
  <c r="DJ20" i="4"/>
  <c r="DJ622" i="4" s="1"/>
  <c r="BN1402" i="4"/>
  <c r="BN1122" i="4"/>
  <c r="CL1054" i="4"/>
  <c r="CL1056" i="4" s="1"/>
  <c r="CL95" i="4"/>
  <c r="CL79" i="4"/>
  <c r="CS97" i="4"/>
  <c r="CS96" i="4"/>
  <c r="CP1294" i="4"/>
  <c r="CR1294" i="4"/>
  <c r="CS1294" i="4" s="1"/>
  <c r="CT1294" i="4" s="1"/>
  <c r="DO122" i="4"/>
  <c r="DN1298" i="4"/>
  <c r="DN1198" i="4" s="1"/>
  <c r="DN1199" i="4" s="1"/>
  <c r="EB44" i="3" s="1"/>
  <c r="DM1198" i="4"/>
  <c r="DM1199" i="4" s="1"/>
  <c r="EA44" i="3" s="1"/>
  <c r="BZ38" i="4"/>
  <c r="BZ42" i="4"/>
  <c r="BZ44" i="4" s="1"/>
  <c r="BI1417" i="4"/>
  <c r="BI1421" i="4"/>
  <c r="BI1419" i="4"/>
  <c r="BI1410" i="4"/>
  <c r="BI1230" i="4"/>
  <c r="BI856" i="4"/>
  <c r="BI751" i="4"/>
  <c r="BI713" i="4"/>
  <c r="BI712" i="4"/>
  <c r="BI711" i="4"/>
  <c r="BI855" i="4"/>
  <c r="BI765" i="4"/>
  <c r="BI750" i="4"/>
  <c r="BI597" i="4"/>
  <c r="BI873" i="4"/>
  <c r="BI797" i="4"/>
  <c r="BI594" i="4"/>
  <c r="BI589" i="4"/>
  <c r="BI567" i="4"/>
  <c r="BI431" i="4"/>
  <c r="BI206" i="4"/>
  <c r="BI205" i="4"/>
  <c r="BI430" i="4"/>
  <c r="BI575" i="4"/>
  <c r="BI697" i="4"/>
  <c r="BI874" i="4"/>
  <c r="BI715" i="4"/>
  <c r="BI728" i="4"/>
  <c r="BI869" i="4"/>
  <c r="BI1413" i="4"/>
  <c r="BI727" i="4"/>
  <c r="BI877" i="4"/>
  <c r="BI872" i="4"/>
  <c r="BI601" i="4"/>
  <c r="BI1415" i="4"/>
  <c r="BI1411" i="4"/>
  <c r="BI871" i="4"/>
  <c r="BI791" i="4"/>
  <c r="BI879" i="4"/>
  <c r="BI870" i="4"/>
  <c r="BI878" i="4"/>
  <c r="BI1412" i="4"/>
  <c r="BI1414" i="4"/>
  <c r="BI1425" i="4"/>
  <c r="BI1416" i="4"/>
  <c r="DA96" i="4"/>
  <c r="DA97" i="4"/>
  <c r="DN1332" i="4"/>
  <c r="DN153" i="4"/>
  <c r="DM144" i="4"/>
  <c r="BV884" i="4"/>
  <c r="BV36" i="4"/>
  <c r="CA36" i="4" s="1"/>
  <c r="BU887" i="4"/>
  <c r="BU888" i="4" s="1"/>
  <c r="BU885" i="4"/>
  <c r="DM629" i="4"/>
  <c r="DL611" i="4"/>
  <c r="DL621" i="4" s="1"/>
  <c r="CN887" i="4"/>
  <c r="CN888" i="4" s="1"/>
  <c r="CN885" i="4"/>
  <c r="CB97" i="4"/>
  <c r="CB96" i="4"/>
  <c r="CO96" i="4"/>
  <c r="CO97" i="4"/>
  <c r="DJ327" i="4"/>
  <c r="DK327" i="4" s="1"/>
  <c r="DI312" i="4"/>
  <c r="DL327" i="4"/>
  <c r="CF1038" i="4" l="1"/>
  <c r="DR554" i="4"/>
  <c r="AF39" i="3"/>
  <c r="CG1052" i="4"/>
  <c r="BP24" i="3"/>
  <c r="CF40" i="4"/>
  <c r="AF23" i="3"/>
  <c r="CF1150" i="4"/>
  <c r="R64" i="3"/>
  <c r="AJ20" i="9"/>
  <c r="AJ117" i="9" s="1"/>
  <c r="AJ118" i="9" s="1"/>
  <c r="AJ127" i="9" s="1"/>
  <c r="AJ132" i="9" s="1"/>
  <c r="AF20" i="9"/>
  <c r="AF117" i="9" s="1"/>
  <c r="AF118" i="9" s="1"/>
  <c r="AF127" i="9" s="1"/>
  <c r="AF132" i="9" s="1"/>
  <c r="AN124" i="9"/>
  <c r="AN20" i="9"/>
  <c r="AN117" i="9" s="1"/>
  <c r="AN118" i="9" s="1"/>
  <c r="AF124" i="9"/>
  <c r="DF1013" i="4"/>
  <c r="DN803" i="4"/>
  <c r="DF1021" i="4"/>
  <c r="DM357" i="4"/>
  <c r="DN349" i="4"/>
  <c r="DO349" i="4" s="1"/>
  <c r="DF1012" i="4"/>
  <c r="CF1402" i="4"/>
  <c r="CF1122" i="4"/>
  <c r="DG36" i="4"/>
  <c r="DF60" i="4"/>
  <c r="AM17" i="12"/>
  <c r="BD71" i="9"/>
  <c r="BD52" i="9"/>
  <c r="BD106" i="9"/>
  <c r="BD128" i="9"/>
  <c r="DQ608" i="4"/>
  <c r="DP609" i="4"/>
  <c r="DP777" i="4"/>
  <c r="DQ801" i="4"/>
  <c r="DP803" i="4"/>
  <c r="DR98" i="4"/>
  <c r="DR1332" i="4"/>
  <c r="AN17" i="12" s="1"/>
  <c r="AO17" i="12" s="1"/>
  <c r="AP17" i="12" s="1"/>
  <c r="AQ17" i="12" s="1"/>
  <c r="AR17" i="12" s="1"/>
  <c r="AS17" i="12" s="1"/>
  <c r="AT17" i="12" s="1"/>
  <c r="AU17" i="12" s="1"/>
  <c r="AV17" i="12" s="1"/>
  <c r="AW17" i="12" s="1"/>
  <c r="AX17" i="12" s="1"/>
  <c r="DR794" i="4"/>
  <c r="DQ796" i="4"/>
  <c r="DR796" i="4" s="1"/>
  <c r="DR918" i="4"/>
  <c r="DS293" i="4"/>
  <c r="DQ354" i="4"/>
  <c r="DR346" i="4"/>
  <c r="DS122" i="4"/>
  <c r="DR411" i="4"/>
  <c r="DQ384" i="4"/>
  <c r="DR384" i="4" s="1"/>
  <c r="DS607" i="4"/>
  <c r="DP20" i="4"/>
  <c r="DP673" i="4"/>
  <c r="DP669" i="4"/>
  <c r="DP357" i="4"/>
  <c r="DQ690" i="4"/>
  <c r="DQ667" i="4"/>
  <c r="DR667" i="4" s="1"/>
  <c r="DP148" i="4"/>
  <c r="DP183" i="4"/>
  <c r="DR174" i="4"/>
  <c r="DS174" i="4" s="1"/>
  <c r="DQ165" i="4"/>
  <c r="DP391" i="4"/>
  <c r="DQ439" i="4"/>
  <c r="DN518" i="4"/>
  <c r="DP518" i="4"/>
  <c r="DP1345" i="4"/>
  <c r="DQ144" i="4"/>
  <c r="DR153" i="4"/>
  <c r="DP169" i="4"/>
  <c r="DQ517" i="4"/>
  <c r="DQ518" i="4" s="1"/>
  <c r="DQ383" i="4"/>
  <c r="DR186" i="4"/>
  <c r="DQ556" i="4"/>
  <c r="DQ99" i="4" s="1"/>
  <c r="DM155" i="4"/>
  <c r="DN155" i="4" s="1"/>
  <c r="DP154" i="4"/>
  <c r="DM630" i="4"/>
  <c r="DM611" i="4" s="1"/>
  <c r="DM621" i="4" s="1"/>
  <c r="DP629" i="4"/>
  <c r="DR415" i="4"/>
  <c r="DQ1206" i="4"/>
  <c r="DQ348" i="4"/>
  <c r="DQ314" i="4"/>
  <c r="DQ325" i="4"/>
  <c r="DS806" i="4"/>
  <c r="DQ98" i="4"/>
  <c r="DR133" i="4"/>
  <c r="DM166" i="4"/>
  <c r="DM170" i="4" s="1"/>
  <c r="DP175" i="4"/>
  <c r="DP556" i="4"/>
  <c r="DR555" i="4"/>
  <c r="DR1197" i="4"/>
  <c r="DR1298" i="4"/>
  <c r="DR1198" i="4" s="1"/>
  <c r="DQ1198" i="4"/>
  <c r="DQ1199" i="4" s="1"/>
  <c r="EE44" i="3" s="1"/>
  <c r="DQ39" i="4"/>
  <c r="DR39" i="4" s="1"/>
  <c r="DP919" i="4"/>
  <c r="CF1123" i="4"/>
  <c r="CF1125" i="4" s="1"/>
  <c r="CF1144" i="4" s="1"/>
  <c r="CG1141" i="4"/>
  <c r="CF101" i="4"/>
  <c r="CG964" i="4"/>
  <c r="CG965" i="4" s="1"/>
  <c r="CG969" i="4" s="1"/>
  <c r="AG25" i="3"/>
  <c r="CG1130" i="4"/>
  <c r="CG1132" i="4" s="1"/>
  <c r="CG1148" i="4" s="1"/>
  <c r="CT34" i="3"/>
  <c r="R37" i="9"/>
  <c r="CG1051" i="4"/>
  <c r="DL623" i="4"/>
  <c r="DJ623" i="4"/>
  <c r="CG1041" i="4"/>
  <c r="DI224" i="4"/>
  <c r="DJ982" i="4"/>
  <c r="DL980" i="4" s="1"/>
  <c r="DN980" i="4" s="1"/>
  <c r="DJ312" i="4"/>
  <c r="DJ316" i="4"/>
  <c r="CG1144" i="4"/>
  <c r="S43" i="9"/>
  <c r="S145" i="9" s="1"/>
  <c r="DJ502" i="4"/>
  <c r="BN26" i="3"/>
  <c r="DL220" i="4"/>
  <c r="DL217" i="4"/>
  <c r="DJ220" i="4"/>
  <c r="DJ233" i="4" s="1"/>
  <c r="DJ217" i="4"/>
  <c r="DJ230" i="4" s="1"/>
  <c r="CG1040" i="4"/>
  <c r="CG1039" i="4"/>
  <c r="BT703" i="4"/>
  <c r="CG1042" i="4"/>
  <c r="BQ710" i="4"/>
  <c r="AI84" i="12"/>
  <c r="AI94" i="12" s="1"/>
  <c r="AG31" i="3"/>
  <c r="DN985" i="4"/>
  <c r="CW1122" i="4"/>
  <c r="CW1143" i="4" s="1"/>
  <c r="BL76" i="3"/>
  <c r="CX957" i="4"/>
  <c r="CX1203" i="4" s="1"/>
  <c r="CX1204" i="4" s="1"/>
  <c r="DL159" i="4"/>
  <c r="P66" i="3"/>
  <c r="AJ69" i="9"/>
  <c r="AF70" i="9"/>
  <c r="AF96" i="9" s="1"/>
  <c r="AF95" i="9"/>
  <c r="BI716" i="4"/>
  <c r="DI1259" i="4"/>
  <c r="DL1254" i="4" s="1"/>
  <c r="V64" i="3"/>
  <c r="L66" i="3"/>
  <c r="AV130" i="9"/>
  <c r="CP115" i="4"/>
  <c r="DB1176" i="4"/>
  <c r="CL115" i="4"/>
  <c r="Y66" i="3"/>
  <c r="BV550" i="4"/>
  <c r="AV73" i="9"/>
  <c r="BF11" i="3"/>
  <c r="L35" i="9"/>
  <c r="DB34" i="3"/>
  <c r="AA53" i="12"/>
  <c r="AA77" i="12" s="1"/>
  <c r="D30" i="9"/>
  <c r="R18" i="3"/>
  <c r="BV24" i="3"/>
  <c r="AZ40" i="3"/>
  <c r="CN44" i="4"/>
  <c r="CN1402" i="4" s="1"/>
  <c r="BI8" i="3"/>
  <c r="DM100" i="4"/>
  <c r="CN34" i="3"/>
  <c r="AK40" i="3"/>
  <c r="W37" i="9"/>
  <c r="L76" i="9"/>
  <c r="L83" i="9" s="1"/>
  <c r="L85" i="9" s="1"/>
  <c r="L134" i="9"/>
  <c r="BW24" i="3"/>
  <c r="BW25" i="3"/>
  <c r="I7" i="3"/>
  <c r="Z23" i="3"/>
  <c r="CQ34" i="3"/>
  <c r="DJ15" i="4"/>
  <c r="DJ18" i="4" s="1"/>
  <c r="DJ48" i="4" s="1"/>
  <c r="BN957" i="4"/>
  <c r="BN1203" i="4" s="1"/>
  <c r="BN1204" i="4" s="1"/>
  <c r="Z84" i="12"/>
  <c r="Z94" i="12" s="1"/>
  <c r="CM34" i="3"/>
  <c r="AB23" i="3"/>
  <c r="AB67" i="3" s="1"/>
  <c r="DM145" i="4"/>
  <c r="DO34" i="3"/>
  <c r="BV26" i="3"/>
  <c r="AZ23" i="3"/>
  <c r="P37" i="9"/>
  <c r="CW1144" i="4"/>
  <c r="DF16" i="3"/>
  <c r="DK135" i="4"/>
  <c r="DM27" i="4"/>
  <c r="CD34" i="3"/>
  <c r="DA44" i="4"/>
  <c r="DA1402" i="4" s="1"/>
  <c r="AN23" i="3"/>
  <c r="BX24" i="3"/>
  <c r="BX78" i="3"/>
  <c r="BJ595" i="4"/>
  <c r="AO23" i="3"/>
  <c r="BV34" i="3"/>
  <c r="CY34" i="3"/>
  <c r="CF1141" i="4"/>
  <c r="AV40" i="3"/>
  <c r="AJ70" i="3"/>
  <c r="BA39" i="3"/>
  <c r="BA70" i="3"/>
  <c r="AZ128" i="9"/>
  <c r="AZ106" i="9"/>
  <c r="AZ107" i="9" s="1"/>
  <c r="AX37" i="3"/>
  <c r="AX68" i="3"/>
  <c r="AX41" i="3"/>
  <c r="AS66" i="3"/>
  <c r="CT1177" i="4"/>
  <c r="CN703" i="4"/>
  <c r="CK710" i="4"/>
  <c r="AV65" i="9"/>
  <c r="AN131" i="9"/>
  <c r="AN74" i="9"/>
  <c r="AN32" i="9"/>
  <c r="AC68" i="12"/>
  <c r="AC66" i="12"/>
  <c r="AC67" i="12"/>
  <c r="AC92" i="12"/>
  <c r="AJ32" i="9"/>
  <c r="AJ131" i="9"/>
  <c r="AJ74" i="9"/>
  <c r="M66" i="3"/>
  <c r="I66" i="3"/>
  <c r="AD67" i="12"/>
  <c r="AD92" i="12"/>
  <c r="AD66" i="12"/>
  <c r="AD68" i="12"/>
  <c r="T69" i="9"/>
  <c r="T95" i="9"/>
  <c r="T70" i="9"/>
  <c r="T96" i="9" s="1"/>
  <c r="X69" i="9"/>
  <c r="AW70" i="3"/>
  <c r="BJ28" i="3"/>
  <c r="BB68" i="3"/>
  <c r="BB37" i="3"/>
  <c r="BB41" i="3"/>
  <c r="DK807" i="4"/>
  <c r="AF66" i="3"/>
  <c r="AZ71" i="9"/>
  <c r="AZ52" i="9"/>
  <c r="AZ53" i="9" s="1"/>
  <c r="DM807" i="4"/>
  <c r="DP807" i="4" s="1"/>
  <c r="DN919" i="4"/>
  <c r="BN24" i="3"/>
  <c r="BL40" i="4"/>
  <c r="BL1123" i="4"/>
  <c r="BL1125" i="4" s="1"/>
  <c r="BH28" i="3"/>
  <c r="DK671" i="4"/>
  <c r="AL48" i="12"/>
  <c r="AL71" i="12" s="1"/>
  <c r="AK66" i="3"/>
  <c r="AL68" i="3"/>
  <c r="AL37" i="3"/>
  <c r="AL41" i="3"/>
  <c r="BH60" i="3"/>
  <c r="DF7" i="3"/>
  <c r="T154" i="9"/>
  <c r="T125" i="9"/>
  <c r="T126" i="9"/>
  <c r="T155" i="9" s="1"/>
  <c r="X125" i="9"/>
  <c r="X30" i="3"/>
  <c r="AP68" i="3"/>
  <c r="AP37" i="3"/>
  <c r="AP41" i="3"/>
  <c r="AV66" i="3"/>
  <c r="CP1177" i="4"/>
  <c r="AN66" i="3"/>
  <c r="AR66" i="3"/>
  <c r="BH580" i="4"/>
  <c r="BV31" i="3" s="1"/>
  <c r="H7" i="3"/>
  <c r="BJ76" i="3"/>
  <c r="BJ580" i="4"/>
  <c r="BX31" i="3" s="1"/>
  <c r="J7" i="3"/>
  <c r="DH51" i="3"/>
  <c r="AS23" i="3"/>
  <c r="Y23" i="3"/>
  <c r="Y67" i="3" s="1"/>
  <c r="CP34" i="3"/>
  <c r="AV23" i="3"/>
  <c r="AV67" i="3" s="1"/>
  <c r="AF29" i="3"/>
  <c r="BW26" i="3"/>
  <c r="BI698" i="4"/>
  <c r="BI595" i="4"/>
  <c r="DC34" i="3"/>
  <c r="DG34" i="3"/>
  <c r="CF9" i="3"/>
  <c r="CX115" i="4"/>
  <c r="BV25" i="3"/>
  <c r="CZ44" i="4"/>
  <c r="CZ1402" i="4" s="1"/>
  <c r="AJ23" i="3"/>
  <c r="AJ67" i="3" s="1"/>
  <c r="BN1130" i="4"/>
  <c r="BN1132" i="4" s="1"/>
  <c r="BN1146" i="4" s="1"/>
  <c r="N32" i="3" s="1"/>
  <c r="Z81" i="12"/>
  <c r="Z58" i="12"/>
  <c r="Z57" i="12" s="1"/>
  <c r="N25" i="3"/>
  <c r="AP21" i="3"/>
  <c r="AG56" i="12"/>
  <c r="AB34" i="9"/>
  <c r="DJ34" i="3"/>
  <c r="AW25" i="3"/>
  <c r="BZ96" i="4"/>
  <c r="DN34" i="3"/>
  <c r="BA40" i="3"/>
  <c r="BA71" i="3" s="1"/>
  <c r="AN40" i="3"/>
  <c r="Z37" i="9"/>
  <c r="DK609" i="4"/>
  <c r="O37" i="9"/>
  <c r="CO44" i="4"/>
  <c r="CO1122" i="4" s="1"/>
  <c r="CO1143" i="4" s="1"/>
  <c r="CA34" i="3"/>
  <c r="CW889" i="4"/>
  <c r="AI56" i="12"/>
  <c r="AJ34" i="9"/>
  <c r="AX21" i="3"/>
  <c r="CX34" i="3"/>
  <c r="CR34" i="3"/>
  <c r="CV44" i="4"/>
  <c r="CV1122" i="4" s="1"/>
  <c r="CV1143" i="4" s="1"/>
  <c r="AK23" i="3"/>
  <c r="AK67" i="3" s="1"/>
  <c r="AF25" i="3"/>
  <c r="DI456" i="4"/>
  <c r="DJ457" i="4" s="1"/>
  <c r="DL456" i="4"/>
  <c r="CX1176" i="4"/>
  <c r="BZ34" i="3"/>
  <c r="AV121" i="9"/>
  <c r="AJ66" i="3"/>
  <c r="AC66" i="3"/>
  <c r="AG66" i="3"/>
  <c r="AO66" i="3"/>
  <c r="AA60" i="12"/>
  <c r="AA70" i="12"/>
  <c r="H131" i="9"/>
  <c r="H74" i="9"/>
  <c r="H32" i="9"/>
  <c r="CR1141" i="4"/>
  <c r="DN391" i="4"/>
  <c r="AT37" i="3"/>
  <c r="AT68" i="3"/>
  <c r="AT41" i="3"/>
  <c r="AD66" i="3"/>
  <c r="X131" i="9"/>
  <c r="X74" i="9"/>
  <c r="X32" i="9"/>
  <c r="AZ66" i="3"/>
  <c r="AH37" i="3"/>
  <c r="AH68" i="3"/>
  <c r="AH41" i="3"/>
  <c r="AS70" i="3"/>
  <c r="AO39" i="3"/>
  <c r="AO70" i="3"/>
  <c r="BL1122" i="4"/>
  <c r="BL1402" i="4"/>
  <c r="CI34" i="3"/>
  <c r="BI578" i="4"/>
  <c r="BN1141" i="4"/>
  <c r="AJ40" i="3"/>
  <c r="V37" i="9"/>
  <c r="AW29" i="3"/>
  <c r="AW31" i="3"/>
  <c r="BX77" i="3"/>
  <c r="BX25" i="3"/>
  <c r="DJ942" i="4"/>
  <c r="AO40" i="3"/>
  <c r="AA37" i="9"/>
  <c r="BI13" i="3"/>
  <c r="AB56" i="12"/>
  <c r="H34" i="9"/>
  <c r="V21" i="3"/>
  <c r="DO153" i="4"/>
  <c r="CT115" i="4"/>
  <c r="CF889" i="4"/>
  <c r="CL16" i="3"/>
  <c r="AE56" i="12"/>
  <c r="T34" i="9"/>
  <c r="AH21" i="3"/>
  <c r="N37" i="9"/>
  <c r="BQ96" i="4"/>
  <c r="AJ56" i="12"/>
  <c r="AN34" i="9"/>
  <c r="AR35" i="9" s="1"/>
  <c r="BB21" i="3"/>
  <c r="BH595" i="4"/>
  <c r="CJ44" i="4"/>
  <c r="CJ1402" i="4" s="1"/>
  <c r="BN1144" i="4"/>
  <c r="BW34" i="3"/>
  <c r="BU96" i="4"/>
  <c r="AD23" i="3"/>
  <c r="T21" i="3"/>
  <c r="DL171" i="4"/>
  <c r="CT957" i="4"/>
  <c r="CT1203" i="4" s="1"/>
  <c r="CT1204" i="4" s="1"/>
  <c r="AH84" i="12"/>
  <c r="AH94" i="12" s="1"/>
  <c r="BA23" i="3"/>
  <c r="BA67" i="3" s="1"/>
  <c r="AH56" i="12"/>
  <c r="AF34" i="9"/>
  <c r="AT21" i="3"/>
  <c r="CB16" i="3"/>
  <c r="AC23" i="3"/>
  <c r="CS44" i="4"/>
  <c r="CS1122" i="4" s="1"/>
  <c r="CS1143" i="4" s="1"/>
  <c r="AS40" i="3"/>
  <c r="AW71" i="3" s="1"/>
  <c r="Q21" i="3"/>
  <c r="Q66" i="3" s="1"/>
  <c r="DL170" i="4"/>
  <c r="J21" i="3"/>
  <c r="Y56" i="12"/>
  <c r="CK44" i="4"/>
  <c r="CK1122" i="4" s="1"/>
  <c r="CK1143" i="4" s="1"/>
  <c r="AF56" i="12"/>
  <c r="X34" i="9"/>
  <c r="AL21" i="3"/>
  <c r="AZ70" i="3"/>
  <c r="AZ39" i="3"/>
  <c r="DM365" i="4"/>
  <c r="DN365" i="4" s="1"/>
  <c r="DP365" i="4" s="1"/>
  <c r="AN70" i="3"/>
  <c r="AN39" i="3"/>
  <c r="AR70" i="3"/>
  <c r="AV39" i="3"/>
  <c r="AV70" i="3"/>
  <c r="T74" i="9"/>
  <c r="T32" i="9"/>
  <c r="T131" i="9"/>
  <c r="CL7" i="3"/>
  <c r="L136" i="9"/>
  <c r="L38" i="9"/>
  <c r="L78" i="9"/>
  <c r="AF32" i="9"/>
  <c r="AF74" i="9"/>
  <c r="AF131" i="9"/>
  <c r="P35" i="9"/>
  <c r="P136" i="9"/>
  <c r="P78" i="9"/>
  <c r="P38" i="9"/>
  <c r="AN95" i="9"/>
  <c r="AN69" i="9"/>
  <c r="AN70" i="9"/>
  <c r="AN96" i="9" s="1"/>
  <c r="AB32" i="9"/>
  <c r="AB131" i="9"/>
  <c r="AB74" i="9"/>
  <c r="R137" i="9"/>
  <c r="R43" i="9"/>
  <c r="R145" i="9" s="1"/>
  <c r="BF60" i="3"/>
  <c r="AK39" i="3"/>
  <c r="AK70" i="3"/>
  <c r="P134" i="9"/>
  <c r="P76" i="9"/>
  <c r="P83" i="9" s="1"/>
  <c r="P85" i="9" s="1"/>
  <c r="AW66" i="3"/>
  <c r="BL1042" i="4"/>
  <c r="BL1039" i="4"/>
  <c r="BL1041" i="4"/>
  <c r="BL1040" i="4"/>
  <c r="DI18" i="4"/>
  <c r="BH11" i="3"/>
  <c r="BJ10" i="3"/>
  <c r="DK611" i="4"/>
  <c r="BE59" i="3"/>
  <c r="BE61" i="3"/>
  <c r="BI10" i="3"/>
  <c r="DM1077" i="4"/>
  <c r="BE75" i="3"/>
  <c r="BL44" i="3"/>
  <c r="DK183" i="4"/>
  <c r="AL7" i="12"/>
  <c r="AL10" i="12" s="1"/>
  <c r="AV4" i="9"/>
  <c r="BJ44" i="3"/>
  <c r="DL149" i="4"/>
  <c r="AK19" i="12"/>
  <c r="DI323" i="4"/>
  <c r="AW18" i="12"/>
  <c r="BD2" i="12"/>
  <c r="BC5" i="12"/>
  <c r="BV887" i="4"/>
  <c r="BV888" i="4" s="1"/>
  <c r="BV885" i="4"/>
  <c r="BI602" i="4"/>
  <c r="BI604" i="4"/>
  <c r="BZ1150" i="4"/>
  <c r="BZ1123" i="4"/>
  <c r="BZ1125" i="4" s="1"/>
  <c r="BZ1038" i="4"/>
  <c r="BZ40" i="4"/>
  <c r="BR884" i="4"/>
  <c r="BR36" i="4"/>
  <c r="BV60" i="4" s="1"/>
  <c r="BR58" i="4"/>
  <c r="CB1150" i="4"/>
  <c r="CB1123" i="4"/>
  <c r="CB1125" i="4" s="1"/>
  <c r="CB1038" i="4"/>
  <c r="CB40" i="4"/>
  <c r="DI171" i="4"/>
  <c r="DJ167" i="4"/>
  <c r="DL616" i="4"/>
  <c r="DL612" i="4"/>
  <c r="DL15" i="4"/>
  <c r="CJ101" i="4"/>
  <c r="CH97" i="4"/>
  <c r="CH96" i="4"/>
  <c r="DK155" i="4"/>
  <c r="DJ154" i="4"/>
  <c r="CD1150" i="4"/>
  <c r="CD1123" i="4"/>
  <c r="CD1125" i="4" s="1"/>
  <c r="CD1038" i="4"/>
  <c r="CE38" i="4"/>
  <c r="CD40" i="4"/>
  <c r="BQ753" i="4"/>
  <c r="BQ755" i="4" s="1"/>
  <c r="BQ726" i="4"/>
  <c r="BT720" i="4"/>
  <c r="BT887" i="4"/>
  <c r="BT888" i="4" s="1"/>
  <c r="BT885" i="4"/>
  <c r="CW1044" i="4"/>
  <c r="CW1045" i="4" s="1"/>
  <c r="CW1039" i="4"/>
  <c r="CW1040" i="4"/>
  <c r="CW1041" i="4"/>
  <c r="CW1042" i="4"/>
  <c r="BR95" i="4"/>
  <c r="BV96" i="4" s="1"/>
  <c r="BR79" i="4"/>
  <c r="DM135" i="4"/>
  <c r="DP135" i="4" s="1"/>
  <c r="DL136" i="4"/>
  <c r="DL23" i="4"/>
  <c r="DL50" i="4"/>
  <c r="BT96" i="4"/>
  <c r="BX96" i="4"/>
  <c r="CC1123" i="4"/>
  <c r="CC1125" i="4" s="1"/>
  <c r="CC1150" i="4"/>
  <c r="CC1038" i="4"/>
  <c r="CC40" i="4"/>
  <c r="CT96" i="4"/>
  <c r="CT97" i="4"/>
  <c r="CO101" i="4"/>
  <c r="CR1148" i="4"/>
  <c r="CR1146" i="4"/>
  <c r="AR32" i="3" s="1"/>
  <c r="BQ1038" i="4"/>
  <c r="BQ60" i="4"/>
  <c r="BQ42" i="4"/>
  <c r="BQ44" i="4" s="1"/>
  <c r="BQ38" i="4"/>
  <c r="DB115" i="4"/>
  <c r="DM176" i="4"/>
  <c r="DM825" i="4"/>
  <c r="DL829" i="4"/>
  <c r="BH1422" i="4"/>
  <c r="BH1402" i="4"/>
  <c r="BH1122" i="4"/>
  <c r="BM1123" i="4"/>
  <c r="BM1125" i="4" s="1"/>
  <c r="BM40" i="4"/>
  <c r="CP96" i="4"/>
  <c r="CP97" i="4"/>
  <c r="BJ887" i="4"/>
  <c r="BJ888" i="4" s="1"/>
  <c r="BJ885" i="4"/>
  <c r="CF1044" i="4"/>
  <c r="CF1045" i="4" s="1"/>
  <c r="CF1040" i="4"/>
  <c r="CF1039" i="4"/>
  <c r="CF1042" i="4"/>
  <c r="CF1041" i="4"/>
  <c r="CL102" i="4"/>
  <c r="CL60" i="4"/>
  <c r="CL42" i="4"/>
  <c r="CL38" i="4"/>
  <c r="CM36" i="4"/>
  <c r="BP1402" i="4"/>
  <c r="BP1122" i="4"/>
  <c r="DI320" i="4"/>
  <c r="DI360" i="4"/>
  <c r="DJ360" i="4" s="1"/>
  <c r="BI590" i="4"/>
  <c r="BI574" i="4"/>
  <c r="BI576" i="4" s="1"/>
  <c r="CL97" i="4"/>
  <c r="CL96" i="4"/>
  <c r="DJ50" i="4"/>
  <c r="DJ23" i="4"/>
  <c r="DI1328" i="4"/>
  <c r="CB101" i="4"/>
  <c r="CZ101" i="4"/>
  <c r="CP887" i="4"/>
  <c r="CP888" i="4" s="1"/>
  <c r="CP1063" i="4" s="1"/>
  <c r="CP885" i="4"/>
  <c r="CW1130" i="4"/>
  <c r="CW1132" i="4" s="1"/>
  <c r="CW964" i="4"/>
  <c r="CW1051" i="4"/>
  <c r="CW1052" i="4"/>
  <c r="DL671" i="4"/>
  <c r="DL677" i="4" s="1"/>
  <c r="DL675" i="4"/>
  <c r="CT102" i="4"/>
  <c r="CT38" i="4"/>
  <c r="CU36" i="4"/>
  <c r="CT60" i="4"/>
  <c r="CT42" i="4"/>
  <c r="BI1040" i="4"/>
  <c r="BI1039" i="4"/>
  <c r="BI1041" i="4"/>
  <c r="BW16" i="3" s="1"/>
  <c r="BI1042" i="4"/>
  <c r="CO1150" i="4"/>
  <c r="CO1123" i="4"/>
  <c r="CO1125" i="4" s="1"/>
  <c r="CO1038" i="4"/>
  <c r="CO40" i="4"/>
  <c r="CS1123" i="4"/>
  <c r="CS1125" i="4" s="1"/>
  <c r="CS1150" i="4"/>
  <c r="CS1038" i="4"/>
  <c r="CS40" i="4"/>
  <c r="DM331" i="4"/>
  <c r="DP331" i="4" s="1"/>
  <c r="DL316" i="4"/>
  <c r="BY1402" i="4"/>
  <c r="BY1122" i="4"/>
  <c r="BH1123" i="4"/>
  <c r="BH1125" i="4" s="1"/>
  <c r="BH40" i="4"/>
  <c r="CV1150" i="4"/>
  <c r="CV1123" i="4"/>
  <c r="CV1125" i="4" s="1"/>
  <c r="CV1038" i="4"/>
  <c r="CV40" i="4"/>
  <c r="BM1039" i="4"/>
  <c r="BM1040" i="4"/>
  <c r="BM1041" i="4"/>
  <c r="BM1042" i="4"/>
  <c r="BJ1420" i="4"/>
  <c r="BJ1038" i="4"/>
  <c r="BJ42" i="4"/>
  <c r="BJ44" i="4" s="1"/>
  <c r="BJ38" i="4"/>
  <c r="BN60" i="4"/>
  <c r="CF1130" i="4"/>
  <c r="CF1132" i="4" s="1"/>
  <c r="CF964" i="4"/>
  <c r="CF965" i="4" s="1"/>
  <c r="CF969" i="4" s="1"/>
  <c r="CF1051" i="4"/>
  <c r="CF1052" i="4"/>
  <c r="DM985" i="4"/>
  <c r="DM987" i="4" s="1"/>
  <c r="DM946" i="4" s="1"/>
  <c r="DL946" i="4"/>
  <c r="DL663" i="4"/>
  <c r="DL662" i="4" s="1"/>
  <c r="DL618" i="4"/>
  <c r="DL17" i="4"/>
  <c r="BV58" i="4"/>
  <c r="BI798" i="4"/>
  <c r="BZ1402" i="4"/>
  <c r="BZ1122" i="4"/>
  <c r="CH38" i="4"/>
  <c r="CH60" i="4"/>
  <c r="CH102" i="4"/>
  <c r="CH42" i="4"/>
  <c r="CH44" i="4" s="1"/>
  <c r="CI36" i="4"/>
  <c r="CB1402" i="4"/>
  <c r="CB1122" i="4"/>
  <c r="DB102" i="4"/>
  <c r="DB60" i="4"/>
  <c r="DB42" i="4"/>
  <c r="DC36" i="4"/>
  <c r="DB38" i="4"/>
  <c r="BU1150" i="4"/>
  <c r="BU1123" i="4"/>
  <c r="BU1125" i="4" s="1"/>
  <c r="BU1038" i="4"/>
  <c r="BU40" i="4"/>
  <c r="DL1346" i="4"/>
  <c r="DL189" i="4"/>
  <c r="DN608" i="4"/>
  <c r="DM609" i="4"/>
  <c r="BH604" i="4"/>
  <c r="BH602" i="4"/>
  <c r="CJ1150" i="4"/>
  <c r="CJ1123" i="4"/>
  <c r="CJ1125" i="4" s="1"/>
  <c r="CJ1038" i="4"/>
  <c r="CJ40" i="4"/>
  <c r="CD1402" i="4"/>
  <c r="CD1122" i="4"/>
  <c r="CD101" i="4"/>
  <c r="DE1109" i="4"/>
  <c r="CX97" i="4"/>
  <c r="CX96" i="4"/>
  <c r="DA101" i="4"/>
  <c r="CN1123" i="4"/>
  <c r="CN1125" i="4" s="1"/>
  <c r="CN1150" i="4"/>
  <c r="CN1038" i="4"/>
  <c r="CN40" i="4"/>
  <c r="DL317" i="4"/>
  <c r="DM332" i="4"/>
  <c r="DP332" i="4" s="1"/>
  <c r="CT887" i="4"/>
  <c r="CT888" i="4" s="1"/>
  <c r="CT1063" i="4" s="1"/>
  <c r="CT885" i="4"/>
  <c r="BI1123" i="4"/>
  <c r="BI1125" i="4" s="1"/>
  <c r="BI40" i="4"/>
  <c r="DI53" i="4"/>
  <c r="CS101" i="4"/>
  <c r="BQ887" i="4"/>
  <c r="BQ888" i="4" s="1"/>
  <c r="BQ885" i="4"/>
  <c r="BY1150" i="4"/>
  <c r="BY1123" i="4"/>
  <c r="BY1125" i="4" s="1"/>
  <c r="BY1038" i="4"/>
  <c r="BY40" i="4"/>
  <c r="DI779" i="4"/>
  <c r="DI831" i="4"/>
  <c r="DI830" i="4"/>
  <c r="CX38" i="4"/>
  <c r="CX42" i="4"/>
  <c r="CX102" i="4"/>
  <c r="CX60" i="4"/>
  <c r="CY36" i="4"/>
  <c r="BH1040" i="4"/>
  <c r="BH1039" i="4"/>
  <c r="BH1042" i="4"/>
  <c r="BH1041" i="4"/>
  <c r="BV16" i="3" s="1"/>
  <c r="BM1402" i="4"/>
  <c r="BM1122" i="4"/>
  <c r="CK101" i="4"/>
  <c r="CL887" i="4"/>
  <c r="CL888" i="4" s="1"/>
  <c r="CL885" i="4"/>
  <c r="BH574" i="4"/>
  <c r="BH576" i="4" s="1"/>
  <c r="BH590" i="4"/>
  <c r="DK176" i="4"/>
  <c r="DJ175" i="4"/>
  <c r="DK175" i="4" s="1"/>
  <c r="CR1107" i="4"/>
  <c r="CT998" i="4"/>
  <c r="CT999" i="4" s="1"/>
  <c r="CV1107" i="4"/>
  <c r="CX998" i="4"/>
  <c r="CX999" i="4" s="1"/>
  <c r="CN101" i="4"/>
  <c r="DI619" i="4"/>
  <c r="DJ612" i="4"/>
  <c r="CC101" i="4"/>
  <c r="DK146" i="4"/>
  <c r="DJ145" i="4"/>
  <c r="BP1123" i="4"/>
  <c r="BP1125" i="4" s="1"/>
  <c r="BP40" i="4"/>
  <c r="DM327" i="4"/>
  <c r="DP327" i="4" s="1"/>
  <c r="DL312" i="4"/>
  <c r="DN629" i="4"/>
  <c r="DN630" i="4" s="1"/>
  <c r="BV42" i="4"/>
  <c r="BV44" i="4" s="1"/>
  <c r="BV38" i="4"/>
  <c r="DM148" i="4"/>
  <c r="DN144" i="4"/>
  <c r="DM183" i="4"/>
  <c r="DJ831" i="4"/>
  <c r="DK829" i="4"/>
  <c r="BI580" i="4"/>
  <c r="BI568" i="4"/>
  <c r="BZ60" i="4"/>
  <c r="CH887" i="4"/>
  <c r="CH888" i="4" s="1"/>
  <c r="CH885" i="4"/>
  <c r="DB887" i="4"/>
  <c r="DB888" i="4" s="1"/>
  <c r="DB1063" i="4" s="1"/>
  <c r="DB885" i="4"/>
  <c r="BU1402" i="4"/>
  <c r="BU1122" i="4"/>
  <c r="DL146" i="4"/>
  <c r="BH578" i="4"/>
  <c r="DJ1260" i="4"/>
  <c r="DJ1259" i="4"/>
  <c r="DK1259" i="4" s="1"/>
  <c r="CZ1150" i="4"/>
  <c r="CZ1123" i="4"/>
  <c r="CZ1125" i="4" s="1"/>
  <c r="CZ1038" i="4"/>
  <c r="CZ40" i="4"/>
  <c r="CP102" i="4"/>
  <c r="CP38" i="4"/>
  <c r="CP60" i="4"/>
  <c r="CP42" i="4"/>
  <c r="CQ36" i="4"/>
  <c r="BT60" i="4"/>
  <c r="BT42" i="4"/>
  <c r="BT44" i="4" s="1"/>
  <c r="BT38" i="4"/>
  <c r="BX60" i="4"/>
  <c r="DJ136" i="4"/>
  <c r="DI123" i="4"/>
  <c r="DI141" i="4"/>
  <c r="BV79" i="4"/>
  <c r="DN556" i="4"/>
  <c r="DN99" i="4" s="1"/>
  <c r="DL99" i="4"/>
  <c r="BP2" i="4"/>
  <c r="BN3" i="4"/>
  <c r="BT748" i="4"/>
  <c r="BV745" i="4"/>
  <c r="BV748" i="4" s="1"/>
  <c r="DB97" i="4"/>
  <c r="DB96" i="4"/>
  <c r="DN683" i="4"/>
  <c r="DN669" i="4"/>
  <c r="DN671" i="4" s="1"/>
  <c r="AM48" i="12" s="1"/>
  <c r="DA1150" i="4"/>
  <c r="DA1123" i="4"/>
  <c r="DA1125" i="4" s="1"/>
  <c r="DA1038" i="4"/>
  <c r="DA40" i="4"/>
  <c r="BJ604" i="4"/>
  <c r="BJ602" i="4"/>
  <c r="BJ590" i="4"/>
  <c r="BJ574" i="4"/>
  <c r="BJ576" i="4" s="1"/>
  <c r="BJ578" i="4"/>
  <c r="DL977" i="4"/>
  <c r="DN973" i="4"/>
  <c r="DN977" i="4" s="1"/>
  <c r="CC1402" i="4"/>
  <c r="CC1122" i="4"/>
  <c r="BI1422" i="4"/>
  <c r="BI1402" i="4"/>
  <c r="BI1122" i="4"/>
  <c r="DI364" i="4"/>
  <c r="DJ364" i="4" s="1"/>
  <c r="DN777" i="4"/>
  <c r="DM167" i="4"/>
  <c r="DN165" i="4"/>
  <c r="DM169" i="4"/>
  <c r="DM557" i="4"/>
  <c r="DN557" i="4" s="1"/>
  <c r="DM669" i="4"/>
  <c r="DM673" i="4"/>
  <c r="DM20" i="4"/>
  <c r="DM622" i="4" s="1"/>
  <c r="CX887" i="4"/>
  <c r="CX888" i="4" s="1"/>
  <c r="CX1063" i="4" s="1"/>
  <c r="CX885" i="4"/>
  <c r="CV101" i="4"/>
  <c r="CK1150" i="4"/>
  <c r="CK1123" i="4"/>
  <c r="CK1125" i="4" s="1"/>
  <c r="CK1038" i="4"/>
  <c r="CK40" i="4"/>
  <c r="BP1040" i="4"/>
  <c r="BP1039" i="4"/>
  <c r="BP1042" i="4"/>
  <c r="BP1041" i="4"/>
  <c r="AF125" i="9" l="1"/>
  <c r="AN125" i="9"/>
  <c r="AJ125" i="9"/>
  <c r="AF126" i="9"/>
  <c r="AF155" i="9" s="1"/>
  <c r="AM71" i="12"/>
  <c r="AN126" i="9"/>
  <c r="AN155" i="9" s="1"/>
  <c r="BR24" i="3"/>
  <c r="BQ24" i="3"/>
  <c r="BP44" i="3"/>
  <c r="BP72" i="3" s="1"/>
  <c r="AF154" i="9"/>
  <c r="AF31" i="3"/>
  <c r="AN154" i="9"/>
  <c r="Z66" i="3"/>
  <c r="Z67" i="3"/>
  <c r="AN127" i="9"/>
  <c r="AN132" i="9" s="1"/>
  <c r="AR125" i="9"/>
  <c r="BM76" i="3"/>
  <c r="DM159" i="4"/>
  <c r="AR141" i="9"/>
  <c r="AR79" i="9"/>
  <c r="AR138" i="9"/>
  <c r="DR1199" i="4"/>
  <c r="EF44" i="3" s="1"/>
  <c r="DQ557" i="4"/>
  <c r="BL72" i="3"/>
  <c r="BD130" i="9"/>
  <c r="BD107" i="9"/>
  <c r="BD53" i="9"/>
  <c r="BD73" i="9"/>
  <c r="DP316" i="4"/>
  <c r="DQ331" i="4"/>
  <c r="DP1346" i="4"/>
  <c r="DP189" i="4"/>
  <c r="DP220" i="4"/>
  <c r="DP217" i="4"/>
  <c r="DQ327" i="4"/>
  <c r="DP312" i="4"/>
  <c r="DP1077" i="4"/>
  <c r="DR556" i="4"/>
  <c r="DR99" i="4" s="1"/>
  <c r="DP99" i="4"/>
  <c r="DQ777" i="4"/>
  <c r="DQ803" i="4"/>
  <c r="DQ175" i="4"/>
  <c r="DP166" i="4"/>
  <c r="DP176" i="4"/>
  <c r="DP180" i="4" s="1"/>
  <c r="DQ100" i="4"/>
  <c r="DQ1345" i="4"/>
  <c r="DP27" i="4"/>
  <c r="DR1206" i="4"/>
  <c r="DR683" i="4"/>
  <c r="DR669" i="4"/>
  <c r="DR671" i="4" s="1"/>
  <c r="DP616" i="4"/>
  <c r="DP15" i="4"/>
  <c r="BP8" i="3" s="1"/>
  <c r="DP317" i="4"/>
  <c r="DQ332" i="4"/>
  <c r="DP675" i="4"/>
  <c r="DP671" i="4"/>
  <c r="DR608" i="4"/>
  <c r="DQ609" i="4"/>
  <c r="DQ807" i="4"/>
  <c r="DR919" i="4"/>
  <c r="DQ919" i="4"/>
  <c r="DS133" i="4"/>
  <c r="DQ629" i="4"/>
  <c r="DP630" i="4"/>
  <c r="DP611" i="4" s="1"/>
  <c r="DR383" i="4"/>
  <c r="DR517" i="4"/>
  <c r="DR518" i="4" s="1"/>
  <c r="DS153" i="4"/>
  <c r="DR165" i="4"/>
  <c r="DQ169" i="4"/>
  <c r="DQ669" i="4"/>
  <c r="DQ673" i="4"/>
  <c r="DQ20" i="4"/>
  <c r="DR20" i="4" s="1"/>
  <c r="DR314" i="4"/>
  <c r="DQ362" i="4"/>
  <c r="DR362" i="4" s="1"/>
  <c r="DQ391" i="4"/>
  <c r="DR144" i="4"/>
  <c r="DQ148" i="4"/>
  <c r="DQ183" i="4"/>
  <c r="DP622" i="4"/>
  <c r="DP50" i="4"/>
  <c r="DP23" i="4"/>
  <c r="DM829" i="4"/>
  <c r="DN829" i="4" s="1"/>
  <c r="DP825" i="4"/>
  <c r="DQ135" i="4"/>
  <c r="DP136" i="4"/>
  <c r="DQ365" i="4"/>
  <c r="DP557" i="4"/>
  <c r="DR348" i="4"/>
  <c r="DQ349" i="4"/>
  <c r="DQ154" i="4"/>
  <c r="DP145" i="4"/>
  <c r="DP155" i="4"/>
  <c r="BP76" i="3" s="1"/>
  <c r="DR801" i="4"/>
  <c r="CG1146" i="4"/>
  <c r="CG1147" i="4" s="1"/>
  <c r="AG30" i="3"/>
  <c r="CU16" i="3"/>
  <c r="DM623" i="4"/>
  <c r="DJ224" i="4"/>
  <c r="DJ237" i="4" s="1"/>
  <c r="DI237" i="4"/>
  <c r="DL224" i="4"/>
  <c r="DL237" i="4" s="1"/>
  <c r="AS67" i="3"/>
  <c r="DL982" i="4"/>
  <c r="DL945" i="4" s="1"/>
  <c r="BT704" i="4"/>
  <c r="BT708" i="4" s="1"/>
  <c r="CU7" i="3"/>
  <c r="CV1402" i="4"/>
  <c r="BV703" i="4"/>
  <c r="DM217" i="4"/>
  <c r="DM220" i="4"/>
  <c r="DN27" i="4"/>
  <c r="CW1141" i="4"/>
  <c r="CN1122" i="4"/>
  <c r="CN1143" i="4" s="1"/>
  <c r="CO1402" i="4"/>
  <c r="DM149" i="4"/>
  <c r="DM146" i="4"/>
  <c r="DM150" i="4" s="1"/>
  <c r="CZ1122" i="4"/>
  <c r="CZ1143" i="4" s="1"/>
  <c r="DI1190" i="4"/>
  <c r="BI577" i="4"/>
  <c r="AF67" i="3"/>
  <c r="CJ1122" i="4"/>
  <c r="CJ1143" i="4" s="1"/>
  <c r="DA1122" i="4"/>
  <c r="DA1141" i="4" s="1"/>
  <c r="AD67" i="3"/>
  <c r="CH964" i="4"/>
  <c r="CH965" i="4" s="1"/>
  <c r="DB1177" i="4"/>
  <c r="BB66" i="3"/>
  <c r="BF59" i="3"/>
  <c r="BF61" i="3"/>
  <c r="CK1141" i="4"/>
  <c r="CS1141" i="4"/>
  <c r="CK1144" i="4"/>
  <c r="DO777" i="4"/>
  <c r="AB37" i="9"/>
  <c r="AP40" i="3"/>
  <c r="BU1141" i="4"/>
  <c r="CV34" i="3"/>
  <c r="BP1144" i="4"/>
  <c r="AX40" i="3"/>
  <c r="AJ37" i="9"/>
  <c r="BY1144" i="4"/>
  <c r="DH34" i="3"/>
  <c r="CD1141" i="4"/>
  <c r="U25" i="3"/>
  <c r="BB40" i="3"/>
  <c r="AN37" i="9"/>
  <c r="AV29" i="3"/>
  <c r="AV54" i="3" s="1"/>
  <c r="AV31" i="3"/>
  <c r="CZ889" i="4"/>
  <c r="BJ13" i="3"/>
  <c r="CL44" i="4"/>
  <c r="CL1122" i="4" s="1"/>
  <c r="CL1143" i="4" s="1"/>
  <c r="M25" i="3"/>
  <c r="CJ889" i="4"/>
  <c r="BZ16" i="3"/>
  <c r="L41" i="9"/>
  <c r="AK29" i="3"/>
  <c r="AK54" i="3" s="1"/>
  <c r="AK31" i="3"/>
  <c r="BW27" i="3"/>
  <c r="BA25" i="3"/>
  <c r="CP44" i="4"/>
  <c r="CP1122" i="4" s="1"/>
  <c r="CP1143" i="4" s="1"/>
  <c r="BH577" i="4"/>
  <c r="CZ34" i="3"/>
  <c r="Y29" i="3"/>
  <c r="Y31" i="3"/>
  <c r="DO608" i="4"/>
  <c r="CB1141" i="4"/>
  <c r="T37" i="9"/>
  <c r="AH40" i="3"/>
  <c r="BZ1141" i="4"/>
  <c r="AV25" i="3"/>
  <c r="DL34" i="3"/>
  <c r="BI1141" i="4"/>
  <c r="DA1144" i="4"/>
  <c r="AP23" i="3"/>
  <c r="AZ25" i="3"/>
  <c r="P25" i="3"/>
  <c r="CC889" i="4"/>
  <c r="DL18" i="3"/>
  <c r="CK889" i="4"/>
  <c r="BI1144" i="4"/>
  <c r="CN1144" i="4"/>
  <c r="CD889" i="4"/>
  <c r="U29" i="3"/>
  <c r="U54" i="3" s="1"/>
  <c r="U31" i="3"/>
  <c r="U56" i="3" s="1"/>
  <c r="AH23" i="3"/>
  <c r="BN76" i="3"/>
  <c r="CV1144" i="4"/>
  <c r="BY1141" i="4"/>
  <c r="AS25" i="3"/>
  <c r="AO25" i="3"/>
  <c r="CT44" i="4"/>
  <c r="CT1402" i="4" s="1"/>
  <c r="AF37" i="9"/>
  <c r="AT40" i="3"/>
  <c r="AL23" i="3"/>
  <c r="CT16" i="3"/>
  <c r="DI48" i="4"/>
  <c r="AD81" i="12"/>
  <c r="AD58" i="12"/>
  <c r="AD57" i="12" s="1"/>
  <c r="AD25" i="3"/>
  <c r="AD29" i="3"/>
  <c r="AD31" i="3"/>
  <c r="BL8" i="3"/>
  <c r="AB29" i="3"/>
  <c r="AB54" i="3" s="1"/>
  <c r="AB31" i="3"/>
  <c r="AB56" i="3" s="1"/>
  <c r="BZ1144" i="4"/>
  <c r="CJ34" i="3"/>
  <c r="AB134" i="9"/>
  <c r="AB76" i="9"/>
  <c r="AB83" i="9" s="1"/>
  <c r="AB85" i="9" s="1"/>
  <c r="P140" i="9"/>
  <c r="P158" i="9"/>
  <c r="AF134" i="9"/>
  <c r="AF76" i="9"/>
  <c r="AF83" i="9" s="1"/>
  <c r="AF85" i="9" s="1"/>
  <c r="L99" i="9"/>
  <c r="L81" i="9"/>
  <c r="AF66" i="12"/>
  <c r="AF67" i="12"/>
  <c r="AF68" i="12"/>
  <c r="AF92" i="12"/>
  <c r="AH68" i="12"/>
  <c r="AH66" i="12"/>
  <c r="AH67" i="12"/>
  <c r="AH92" i="12"/>
  <c r="N137" i="9"/>
  <c r="N43" i="9"/>
  <c r="N145" i="9" s="1"/>
  <c r="AH66" i="3"/>
  <c r="H136" i="9"/>
  <c r="H158" i="9" s="1"/>
  <c r="H78" i="9"/>
  <c r="H99" i="9" s="1"/>
  <c r="H38" i="9"/>
  <c r="AO71" i="3"/>
  <c r="V137" i="9"/>
  <c r="V43" i="9"/>
  <c r="V145" i="9" s="1"/>
  <c r="BL1141" i="4"/>
  <c r="CX1177" i="4"/>
  <c r="DI457" i="4"/>
  <c r="DL457" i="4"/>
  <c r="DL458" i="4" s="1"/>
  <c r="DJ458" i="4"/>
  <c r="DI458" i="4" s="1"/>
  <c r="AX66" i="3"/>
  <c r="DN807" i="4"/>
  <c r="FW10" i="3"/>
  <c r="BB39" i="3"/>
  <c r="BB70" i="3"/>
  <c r="AN76" i="9"/>
  <c r="AN83" i="9" s="1"/>
  <c r="AN85" i="9" s="1"/>
  <c r="AN134" i="9"/>
  <c r="AZ65" i="9"/>
  <c r="BD65" i="9" s="1"/>
  <c r="AZ130" i="9"/>
  <c r="CT7" i="3"/>
  <c r="AN67" i="3"/>
  <c r="AR67" i="3"/>
  <c r="AZ67" i="3"/>
  <c r="AZ71" i="3"/>
  <c r="D131" i="9"/>
  <c r="D32" i="9"/>
  <c r="D74" i="9"/>
  <c r="BA29" i="3"/>
  <c r="BA54" i="3" s="1"/>
  <c r="BA31" i="3"/>
  <c r="BA56" i="3" s="1"/>
  <c r="AC67" i="3"/>
  <c r="AG67" i="3"/>
  <c r="CB7" i="3"/>
  <c r="AN38" i="9"/>
  <c r="AR39" i="9" s="1"/>
  <c r="AN136" i="9"/>
  <c r="AN78" i="9"/>
  <c r="AN35" i="9"/>
  <c r="T78" i="9"/>
  <c r="T35" i="9"/>
  <c r="T38" i="9"/>
  <c r="T136" i="9"/>
  <c r="AB66" i="12"/>
  <c r="AB68" i="12"/>
  <c r="AB67" i="12"/>
  <c r="AB92" i="12"/>
  <c r="BI60" i="3"/>
  <c r="AJ71" i="3"/>
  <c r="N30" i="3"/>
  <c r="CB8" i="3"/>
  <c r="AJ136" i="9"/>
  <c r="AJ35" i="9"/>
  <c r="AJ38" i="9"/>
  <c r="AJ78" i="9"/>
  <c r="AN71" i="3"/>
  <c r="AR71" i="3"/>
  <c r="AB38" i="9"/>
  <c r="AB136" i="9"/>
  <c r="AB78" i="9"/>
  <c r="BI596" i="4"/>
  <c r="DH47" i="3"/>
  <c r="P137" i="9"/>
  <c r="P43" i="9"/>
  <c r="P145" i="9" s="1"/>
  <c r="BJ8" i="3"/>
  <c r="AK71" i="3"/>
  <c r="L141" i="9"/>
  <c r="L138" i="9"/>
  <c r="L79" i="9"/>
  <c r="CO1141" i="4"/>
  <c r="BP1141" i="4"/>
  <c r="BX34" i="3"/>
  <c r="AC29" i="3"/>
  <c r="AC31" i="3"/>
  <c r="DK154" i="4"/>
  <c r="AB25" i="3"/>
  <c r="P138" i="9"/>
  <c r="P141" i="9"/>
  <c r="P79" i="9"/>
  <c r="DK136" i="4"/>
  <c r="DI29" i="4"/>
  <c r="H25" i="3"/>
  <c r="AS29" i="3"/>
  <c r="AW54" i="3" s="1"/>
  <c r="AS31" i="3"/>
  <c r="AW56" i="3" s="1"/>
  <c r="CO1144" i="4"/>
  <c r="BM1144" i="4"/>
  <c r="CO889" i="4"/>
  <c r="CC1144" i="4"/>
  <c r="BL13" i="3"/>
  <c r="AA56" i="12"/>
  <c r="D34" i="9"/>
  <c r="R21" i="3"/>
  <c r="AC81" i="12"/>
  <c r="Z25" i="3"/>
  <c r="AC58" i="12"/>
  <c r="AC57" i="12" s="1"/>
  <c r="P39" i="9"/>
  <c r="P41" i="9"/>
  <c r="L158" i="9"/>
  <c r="L140" i="9"/>
  <c r="DN456" i="4"/>
  <c r="AL66" i="3"/>
  <c r="Y66" i="12"/>
  <c r="Y92" i="12"/>
  <c r="Y68" i="12"/>
  <c r="Y67" i="12"/>
  <c r="AT66" i="3"/>
  <c r="AJ66" i="12"/>
  <c r="AJ68" i="12"/>
  <c r="AJ67" i="12"/>
  <c r="AJ92" i="12"/>
  <c r="AE68" i="12"/>
  <c r="AE66" i="12"/>
  <c r="AE67" i="12"/>
  <c r="AE92" i="12"/>
  <c r="AH70" i="3"/>
  <c r="AH39" i="3"/>
  <c r="FC10" i="3"/>
  <c r="AR30" i="3"/>
  <c r="AI66" i="12"/>
  <c r="AI68" i="12"/>
  <c r="AI67" i="12"/>
  <c r="AI92" i="12"/>
  <c r="O137" i="9"/>
  <c r="O43" i="9"/>
  <c r="O145" i="9" s="1"/>
  <c r="AG68" i="12"/>
  <c r="AG67" i="12"/>
  <c r="AG92" i="12"/>
  <c r="AG66" i="12"/>
  <c r="DD47" i="3"/>
  <c r="FG10" i="3"/>
  <c r="AL70" i="3"/>
  <c r="AL39" i="3"/>
  <c r="AW67" i="3"/>
  <c r="BL1144" i="4"/>
  <c r="AJ134" i="9"/>
  <c r="AJ76" i="9"/>
  <c r="AJ83" i="9" s="1"/>
  <c r="AJ85" i="9" s="1"/>
  <c r="CN708" i="4"/>
  <c r="CP703" i="4"/>
  <c r="AX39" i="3"/>
  <c r="FS10" i="3"/>
  <c r="BI579" i="4"/>
  <c r="BW31" i="3"/>
  <c r="BM1141" i="4"/>
  <c r="CS889" i="4"/>
  <c r="AN25" i="3"/>
  <c r="CJ1144" i="4"/>
  <c r="BB23" i="3"/>
  <c r="BH1141" i="4"/>
  <c r="BR96" i="4"/>
  <c r="Z29" i="3"/>
  <c r="Z31" i="3"/>
  <c r="DO671" i="4"/>
  <c r="DL100" i="4"/>
  <c r="CZ1144" i="4"/>
  <c r="CX44" i="4"/>
  <c r="AJ29" i="3"/>
  <c r="AJ54" i="3" s="1"/>
  <c r="AJ31" i="3"/>
  <c r="CD16" i="3"/>
  <c r="AK25" i="3"/>
  <c r="CV889" i="4"/>
  <c r="CC1141" i="4"/>
  <c r="BJ579" i="4"/>
  <c r="DN100" i="4"/>
  <c r="AZ29" i="3"/>
  <c r="AZ31" i="3"/>
  <c r="BH579" i="4"/>
  <c r="DP34" i="3"/>
  <c r="BW36" i="4"/>
  <c r="H35" i="9" s="1"/>
  <c r="CK1402" i="4"/>
  <c r="CH969" i="4"/>
  <c r="CN889" i="4"/>
  <c r="DH18" i="3"/>
  <c r="AX23" i="3"/>
  <c r="Y25" i="3"/>
  <c r="CE34" i="3"/>
  <c r="CS1402" i="4"/>
  <c r="I25" i="3"/>
  <c r="AN29" i="3"/>
  <c r="AN31" i="3"/>
  <c r="DA889" i="4"/>
  <c r="AJ25" i="3"/>
  <c r="BU1144" i="4"/>
  <c r="DB44" i="4"/>
  <c r="DB1402" i="4" s="1"/>
  <c r="CA16" i="3"/>
  <c r="BH1144" i="4"/>
  <c r="CS1144" i="4"/>
  <c r="AO29" i="3"/>
  <c r="AO31" i="3"/>
  <c r="AT23" i="3"/>
  <c r="DD34" i="3"/>
  <c r="CB889" i="4"/>
  <c r="X37" i="9"/>
  <c r="AL40" i="3"/>
  <c r="CV1141" i="4"/>
  <c r="BV27" i="3"/>
  <c r="AC25" i="3"/>
  <c r="DK16" i="3"/>
  <c r="CH34" i="3"/>
  <c r="CD1144" i="4"/>
  <c r="DJ166" i="4"/>
  <c r="CB1144" i="4"/>
  <c r="P99" i="9"/>
  <c r="P81" i="9"/>
  <c r="T76" i="9"/>
  <c r="T83" i="9" s="1"/>
  <c r="T85" i="9" s="1"/>
  <c r="T134" i="9"/>
  <c r="AB35" i="9"/>
  <c r="X35" i="9"/>
  <c r="X38" i="9"/>
  <c r="X136" i="9"/>
  <c r="X78" i="9"/>
  <c r="J66" i="3"/>
  <c r="N66" i="3"/>
  <c r="AS71" i="3"/>
  <c r="AF35" i="9"/>
  <c r="AF78" i="9"/>
  <c r="AF38" i="9"/>
  <c r="AF136" i="9"/>
  <c r="T66" i="3"/>
  <c r="X66" i="3"/>
  <c r="AA137" i="9"/>
  <c r="AA43" i="9"/>
  <c r="AA145" i="9" s="1"/>
  <c r="X134" i="9"/>
  <c r="X76" i="9"/>
  <c r="X83" i="9" s="1"/>
  <c r="X85" i="9" s="1"/>
  <c r="AX70" i="3"/>
  <c r="AT39" i="3"/>
  <c r="FO10" i="3"/>
  <c r="AT70" i="3"/>
  <c r="H76" i="9"/>
  <c r="H134" i="9"/>
  <c r="AZ121" i="9"/>
  <c r="BD121" i="9" s="1"/>
  <c r="Z137" i="9"/>
  <c r="Z43" i="9"/>
  <c r="Z145" i="9" s="1"/>
  <c r="AP66" i="3"/>
  <c r="AP39" i="3"/>
  <c r="AP70" i="3"/>
  <c r="FK10" i="3"/>
  <c r="L25" i="3"/>
  <c r="BL1130" i="4"/>
  <c r="BL1132" i="4" s="1"/>
  <c r="BL1146" i="4" s="1"/>
  <c r="L32" i="3" s="1"/>
  <c r="BL964" i="4"/>
  <c r="BL965" i="4" s="1"/>
  <c r="BL969" i="4" s="1"/>
  <c r="AZ73" i="9"/>
  <c r="U66" i="3"/>
  <c r="AV71" i="3"/>
  <c r="CF1142" i="4"/>
  <c r="AF30" i="3"/>
  <c r="AO67" i="3"/>
  <c r="DK7" i="3"/>
  <c r="W137" i="9"/>
  <c r="W43" i="9"/>
  <c r="W145" i="9" s="1"/>
  <c r="BM28" i="3"/>
  <c r="BI11" i="3"/>
  <c r="BI59" i="3" s="1"/>
  <c r="DI24" i="4"/>
  <c r="DJ24" i="4" s="1"/>
  <c r="BH61" i="3"/>
  <c r="BH59" i="3"/>
  <c r="BL10" i="3"/>
  <c r="DL619" i="4"/>
  <c r="DK612" i="4"/>
  <c r="AV16" i="9"/>
  <c r="BJ11" i="3"/>
  <c r="DR19" i="3"/>
  <c r="BH75" i="3"/>
  <c r="BF75" i="3"/>
  <c r="AV5" i="9"/>
  <c r="AK30" i="12"/>
  <c r="BJ72" i="3"/>
  <c r="BM44" i="3"/>
  <c r="DL364" i="4"/>
  <c r="DL373" i="4" s="1"/>
  <c r="DI373" i="4"/>
  <c r="BD46" i="3"/>
  <c r="DL150" i="4"/>
  <c r="DK145" i="4"/>
  <c r="DL323" i="4"/>
  <c r="AY17" i="12"/>
  <c r="BE2" i="12"/>
  <c r="BD5" i="12"/>
  <c r="AX18" i="12"/>
  <c r="BI1426" i="4"/>
  <c r="BI1403" i="4"/>
  <c r="BI1404" i="4"/>
  <c r="CZ1044" i="4"/>
  <c r="CZ1045" i="4" s="1"/>
  <c r="CZ1040" i="4"/>
  <c r="CZ1039" i="4"/>
  <c r="CZ1041" i="4"/>
  <c r="CZ1042" i="4"/>
  <c r="DB1062" i="4"/>
  <c r="CK1130" i="4"/>
  <c r="CK1132" i="4" s="1"/>
  <c r="CK964" i="4"/>
  <c r="CK1051" i="4"/>
  <c r="CK1052" i="4"/>
  <c r="DM23" i="4"/>
  <c r="DM50" i="4"/>
  <c r="BV754" i="4"/>
  <c r="BW748" i="4"/>
  <c r="DI184" i="4"/>
  <c r="DI127" i="4"/>
  <c r="DI124" i="4"/>
  <c r="CP1150" i="4"/>
  <c r="CP1123" i="4"/>
  <c r="CP1125" i="4" s="1"/>
  <c r="CP1038" i="4"/>
  <c r="CP40" i="4"/>
  <c r="CQ38" i="4"/>
  <c r="DO144" i="4"/>
  <c r="DN183" i="4"/>
  <c r="AM7" i="12" s="1"/>
  <c r="AM10" i="12" s="1"/>
  <c r="BV1150" i="4"/>
  <c r="BV1123" i="4"/>
  <c r="BV1125" i="4" s="1"/>
  <c r="BV1038" i="4"/>
  <c r="BV40" i="4"/>
  <c r="DM663" i="4"/>
  <c r="DM662" i="4" s="1"/>
  <c r="DN662" i="4" s="1"/>
  <c r="DN663" i="4" s="1"/>
  <c r="DM618" i="4"/>
  <c r="DN611" i="4"/>
  <c r="DN621" i="4" s="1"/>
  <c r="DM17" i="4"/>
  <c r="DN17" i="4" s="1"/>
  <c r="CT1001" i="4"/>
  <c r="CT1114" i="4" s="1"/>
  <c r="CT1021" i="4"/>
  <c r="CT1012" i="4"/>
  <c r="CT1013" i="4"/>
  <c r="BY1130" i="4"/>
  <c r="BY1132" i="4" s="1"/>
  <c r="BY1146" i="4" s="1"/>
  <c r="Y32" i="3" s="1"/>
  <c r="BY964" i="4"/>
  <c r="BY1051" i="4"/>
  <c r="BY1052" i="4"/>
  <c r="CT1062" i="4"/>
  <c r="CN1130" i="4"/>
  <c r="CN1132" i="4" s="1"/>
  <c r="CN964" i="4"/>
  <c r="CN965" i="4" s="1"/>
  <c r="CN969" i="4" s="1"/>
  <c r="CN1051" i="4"/>
  <c r="CN1052" i="4"/>
  <c r="CJ1130" i="4"/>
  <c r="CJ1132" i="4" s="1"/>
  <c r="CJ964" i="4"/>
  <c r="CJ965" i="4" s="1"/>
  <c r="CJ969" i="4" s="1"/>
  <c r="CJ1051" i="4"/>
  <c r="CJ1052" i="4"/>
  <c r="CH1402" i="4"/>
  <c r="CH1122" i="4"/>
  <c r="BJ1123" i="4"/>
  <c r="BJ1125" i="4" s="1"/>
  <c r="BJ40" i="4"/>
  <c r="CV1130" i="4"/>
  <c r="CV1132" i="4" s="1"/>
  <c r="CV964" i="4"/>
  <c r="CV965" i="4" s="1"/>
  <c r="CV969" i="4" s="1"/>
  <c r="CV1051" i="4"/>
  <c r="CV1052" i="4"/>
  <c r="BH1130" i="4"/>
  <c r="BH1132" i="4" s="1"/>
  <c r="BH1146" i="4" s="1"/>
  <c r="H32" i="3" s="1"/>
  <c r="BH964" i="4"/>
  <c r="BH965" i="4" s="1"/>
  <c r="BH969" i="4" s="1"/>
  <c r="CS1044" i="4"/>
  <c r="CS1045" i="4" s="1"/>
  <c r="CS1039" i="4"/>
  <c r="CS1040" i="4"/>
  <c r="CS1041" i="4"/>
  <c r="CS1042" i="4"/>
  <c r="CO1044" i="4"/>
  <c r="CO1045" i="4" s="1"/>
  <c r="CO1040" i="4"/>
  <c r="CO1039" i="4"/>
  <c r="CO1041" i="4"/>
  <c r="CO1042" i="4"/>
  <c r="DI1344" i="4"/>
  <c r="DI1315" i="4" s="1"/>
  <c r="DJ1328" i="4"/>
  <c r="BM1130" i="4"/>
  <c r="BM1132" i="4" s="1"/>
  <c r="BM1146" i="4" s="1"/>
  <c r="M32" i="3" s="1"/>
  <c r="BM964" i="4"/>
  <c r="DL830" i="4"/>
  <c r="DL779" i="4"/>
  <c r="DL831" i="4"/>
  <c r="BQ1040" i="4"/>
  <c r="BQ1039" i="4"/>
  <c r="BQ1042" i="4"/>
  <c r="BQ1041" i="4"/>
  <c r="DL123" i="4"/>
  <c r="DL141" i="4"/>
  <c r="BT724" i="4"/>
  <c r="BV720" i="4"/>
  <c r="BV724" i="4" s="1"/>
  <c r="BR887" i="4"/>
  <c r="BR888" i="4" s="1"/>
  <c r="BR885" i="4"/>
  <c r="BZ1044" i="4"/>
  <c r="BZ1045" i="4" s="1"/>
  <c r="BZ1040" i="4"/>
  <c r="BZ1039" i="4"/>
  <c r="BZ1042" i="4"/>
  <c r="BZ1041" i="4"/>
  <c r="BI605" i="4"/>
  <c r="CK1044" i="4"/>
  <c r="CK1045" i="4" s="1"/>
  <c r="CK1039" i="4"/>
  <c r="CK1040" i="4"/>
  <c r="CK1041" i="4"/>
  <c r="CK1042" i="4"/>
  <c r="DM973" i="4"/>
  <c r="DM977" i="4" s="1"/>
  <c r="DL942" i="4"/>
  <c r="BN4" i="4"/>
  <c r="BM4" i="4"/>
  <c r="BM1426" i="4" s="1"/>
  <c r="BL4" i="4"/>
  <c r="BT1150" i="4"/>
  <c r="BT1123" i="4"/>
  <c r="BT1125" i="4" s="1"/>
  <c r="BT1038" i="4"/>
  <c r="BT40" i="4"/>
  <c r="CP101" i="4"/>
  <c r="BV1402" i="4"/>
  <c r="CA1402" i="4" s="1"/>
  <c r="BV1122" i="4"/>
  <c r="CX1001" i="4"/>
  <c r="CX1114" i="4" s="1"/>
  <c r="CX1012" i="4"/>
  <c r="CX1013" i="4"/>
  <c r="CX1021" i="4"/>
  <c r="CX101" i="4"/>
  <c r="BY1044" i="4"/>
  <c r="BY1045" i="4" s="1"/>
  <c r="BY1040" i="4"/>
  <c r="BY1039" i="4"/>
  <c r="BY1042" i="4"/>
  <c r="BY1041" i="4"/>
  <c r="BI1130" i="4"/>
  <c r="BI1132" i="4" s="1"/>
  <c r="BI1146" i="4" s="1"/>
  <c r="I32" i="3" s="1"/>
  <c r="BI964" i="4"/>
  <c r="CN1044" i="4"/>
  <c r="CN1045" i="4" s="1"/>
  <c r="CN1040" i="4"/>
  <c r="CN1039" i="4"/>
  <c r="CN1041" i="4"/>
  <c r="CN1042" i="4"/>
  <c r="CJ1044" i="4"/>
  <c r="CJ1045" i="4" s="1"/>
  <c r="CJ1040" i="4"/>
  <c r="CJ1039" i="4"/>
  <c r="CJ1042" i="4"/>
  <c r="CJ1041" i="4"/>
  <c r="DL1328" i="4"/>
  <c r="CH101" i="4"/>
  <c r="DL1019" i="4"/>
  <c r="DL502" i="4"/>
  <c r="BJ1422" i="4"/>
  <c r="BJ1402" i="4"/>
  <c r="BJ1122" i="4"/>
  <c r="CV1044" i="4"/>
  <c r="CV1045" i="4" s="1"/>
  <c r="CV1039" i="4"/>
  <c r="CV1040" i="4"/>
  <c r="CV1041" i="4"/>
  <c r="CV1042" i="4"/>
  <c r="CP1062" i="4"/>
  <c r="DL1258" i="4"/>
  <c r="DL1259" i="4" s="1"/>
  <c r="DN1254" i="4"/>
  <c r="DJ53" i="4"/>
  <c r="CL101" i="4"/>
  <c r="BQ1123" i="4"/>
  <c r="BQ1125" i="4" s="1"/>
  <c r="BQ40" i="4"/>
  <c r="CC1130" i="4"/>
  <c r="CC1132" i="4" s="1"/>
  <c r="CC1146" i="4" s="1"/>
  <c r="AC32" i="3" s="1"/>
  <c r="CC964" i="4"/>
  <c r="CC1052" i="4"/>
  <c r="CC1051" i="4"/>
  <c r="DN135" i="4"/>
  <c r="DM136" i="4"/>
  <c r="CD1044" i="4"/>
  <c r="CD1045" i="4" s="1"/>
  <c r="CD1039" i="4"/>
  <c r="CD1040" i="4"/>
  <c r="CD1042" i="4"/>
  <c r="CD1041" i="4"/>
  <c r="DL18" i="4"/>
  <c r="BI603" i="4"/>
  <c r="CX1062" i="4"/>
  <c r="BU745" i="4"/>
  <c r="BU748" i="4" s="1"/>
  <c r="BT754" i="4"/>
  <c r="BT749" i="4"/>
  <c r="DM675" i="4"/>
  <c r="DM671" i="4"/>
  <c r="DM677" i="4" s="1"/>
  <c r="DM171" i="4"/>
  <c r="DN167" i="4"/>
  <c r="BJ577" i="4"/>
  <c r="DA1130" i="4"/>
  <c r="DA1132" i="4" s="1"/>
  <c r="DA964" i="4"/>
  <c r="DA1051" i="4"/>
  <c r="DA1052" i="4"/>
  <c r="BP3" i="4"/>
  <c r="BQ2" i="4"/>
  <c r="BT1402" i="4"/>
  <c r="BT1122" i="4"/>
  <c r="CZ1130" i="4"/>
  <c r="CZ1132" i="4" s="1"/>
  <c r="CZ964" i="4"/>
  <c r="CZ965" i="4" s="1"/>
  <c r="CZ969" i="4" s="1"/>
  <c r="CZ1052" i="4"/>
  <c r="CZ1051" i="4"/>
  <c r="DL320" i="4"/>
  <c r="DL360" i="4"/>
  <c r="BP1130" i="4"/>
  <c r="BP1132" i="4" s="1"/>
  <c r="BP1146" i="4" s="1"/>
  <c r="P32" i="3" s="1"/>
  <c r="BP964" i="4"/>
  <c r="BP965" i="4" s="1"/>
  <c r="BP969" i="4" s="1"/>
  <c r="DN332" i="4"/>
  <c r="DO332" i="4" s="1"/>
  <c r="DM317" i="4"/>
  <c r="DN317" i="4" s="1"/>
  <c r="CE1402" i="4"/>
  <c r="DM616" i="4"/>
  <c r="DM612" i="4"/>
  <c r="DN609" i="4"/>
  <c r="DM15" i="4"/>
  <c r="BU1130" i="4"/>
  <c r="BU1132" i="4" s="1"/>
  <c r="BU1146" i="4" s="1"/>
  <c r="U32" i="3" s="1"/>
  <c r="BU964" i="4"/>
  <c r="BU1052" i="4"/>
  <c r="BU1051" i="4"/>
  <c r="DB1150" i="4"/>
  <c r="DB1123" i="4"/>
  <c r="DB1125" i="4" s="1"/>
  <c r="DB1038" i="4"/>
  <c r="DB40" i="4"/>
  <c r="DB101" i="4"/>
  <c r="DO155" i="4"/>
  <c r="DN154" i="4"/>
  <c r="DM1019" i="4"/>
  <c r="DN1019" i="4" s="1"/>
  <c r="DN946" i="4"/>
  <c r="DM502" i="4"/>
  <c r="CF1148" i="4"/>
  <c r="CF1146" i="4"/>
  <c r="BJ1040" i="4"/>
  <c r="BJ1039" i="4"/>
  <c r="BJ1042" i="4"/>
  <c r="BJ1041" i="4"/>
  <c r="BX16" i="3" s="1"/>
  <c r="DN331" i="4"/>
  <c r="DO331" i="4" s="1"/>
  <c r="DM316" i="4"/>
  <c r="CT1150" i="4"/>
  <c r="CT1123" i="4"/>
  <c r="CT1125" i="4" s="1"/>
  <c r="CT1038" i="4"/>
  <c r="CT40" i="4"/>
  <c r="CW965" i="4"/>
  <c r="CW969" i="4" s="1"/>
  <c r="BI591" i="4"/>
  <c r="DI371" i="4"/>
  <c r="CL1150" i="4"/>
  <c r="CL1123" i="4"/>
  <c r="CL1125" i="4" s="1"/>
  <c r="CL1038" i="4"/>
  <c r="CL40" i="4"/>
  <c r="CM38" i="4"/>
  <c r="BH1426" i="4"/>
  <c r="BH1404" i="4"/>
  <c r="BH1403" i="4"/>
  <c r="DN825" i="4"/>
  <c r="DO825" i="4" s="1"/>
  <c r="BQ1402" i="4"/>
  <c r="BQ1122" i="4"/>
  <c r="CC1044" i="4"/>
  <c r="CC1045" i="4" s="1"/>
  <c r="CC1039" i="4"/>
  <c r="CC1040" i="4"/>
  <c r="CC1041" i="4"/>
  <c r="CC1042" i="4"/>
  <c r="DL53" i="4"/>
  <c r="CB1130" i="4"/>
  <c r="CB1132" i="4" s="1"/>
  <c r="CB1146" i="4" s="1"/>
  <c r="AB32" i="3" s="1"/>
  <c r="CB964" i="4"/>
  <c r="CB965" i="4" s="1"/>
  <c r="CB969" i="4" s="1"/>
  <c r="CB1051" i="4"/>
  <c r="CB1052" i="4"/>
  <c r="BZ1130" i="4"/>
  <c r="BZ1132" i="4" s="1"/>
  <c r="BZ1146" i="4" s="1"/>
  <c r="Z32" i="3" s="1"/>
  <c r="BZ1051" i="4"/>
  <c r="BZ1052" i="4"/>
  <c r="DA1044" i="4"/>
  <c r="DA1045" i="4" s="1"/>
  <c r="DA1039" i="4"/>
  <c r="DA1040" i="4"/>
  <c r="DA1041" i="4"/>
  <c r="DA1042" i="4"/>
  <c r="DM1346" i="4"/>
  <c r="DM189" i="4"/>
  <c r="DN327" i="4"/>
  <c r="DO327" i="4" s="1"/>
  <c r="DM312" i="4"/>
  <c r="CX1123" i="4"/>
  <c r="CX1125" i="4" s="1"/>
  <c r="CX1150" i="4"/>
  <c r="CX1038" i="4"/>
  <c r="CX40" i="4"/>
  <c r="BU1040" i="4"/>
  <c r="BU1039" i="4"/>
  <c r="BU1042" i="4"/>
  <c r="BU1041" i="4"/>
  <c r="CH1123" i="4"/>
  <c r="CH1125" i="4" s="1"/>
  <c r="CH1150" i="4"/>
  <c r="CH1038" i="4"/>
  <c r="CH40" i="4"/>
  <c r="CI38" i="4"/>
  <c r="DJ779" i="4"/>
  <c r="CS1130" i="4"/>
  <c r="CS1132" i="4" s="1"/>
  <c r="CS964" i="4"/>
  <c r="CS1051" i="4"/>
  <c r="CS1052" i="4"/>
  <c r="CO1130" i="4"/>
  <c r="CO1132" i="4" s="1"/>
  <c r="CO964" i="4"/>
  <c r="CO1051" i="4"/>
  <c r="CO1052" i="4"/>
  <c r="CT101" i="4"/>
  <c r="CW1148" i="4"/>
  <c r="CW1146" i="4"/>
  <c r="AW32" i="3" s="1"/>
  <c r="DM180" i="4"/>
  <c r="DN176" i="4"/>
  <c r="DN20" i="4"/>
  <c r="DN622" i="4" s="1"/>
  <c r="CD1130" i="4"/>
  <c r="CD1132" i="4" s="1"/>
  <c r="CD1146" i="4" s="1"/>
  <c r="AD32" i="3" s="1"/>
  <c r="CD1052" i="4"/>
  <c r="CD1051" i="4"/>
  <c r="CB1044" i="4"/>
  <c r="CB1045" i="4" s="1"/>
  <c r="CB1040" i="4"/>
  <c r="CB1039" i="4"/>
  <c r="CB1041" i="4"/>
  <c r="CB1042" i="4"/>
  <c r="BR1038" i="4"/>
  <c r="BR60" i="4"/>
  <c r="BR42" i="4"/>
  <c r="BR44" i="4" s="1"/>
  <c r="BR38" i="4"/>
  <c r="BS36" i="4"/>
  <c r="D35" i="9" s="1"/>
  <c r="CA38" i="4"/>
  <c r="AG32" i="3" l="1"/>
  <c r="EI6" i="3"/>
  <c r="EI7" i="3" s="1"/>
  <c r="EI9" i="3" s="1"/>
  <c r="DP612" i="4"/>
  <c r="BQ44" i="3"/>
  <c r="BP13" i="3"/>
  <c r="BQ28" i="3"/>
  <c r="R66" i="3"/>
  <c r="AH67" i="3"/>
  <c r="DM830" i="4"/>
  <c r="DM831" i="4"/>
  <c r="DR557" i="4"/>
  <c r="DM779" i="4"/>
  <c r="DS671" i="4"/>
  <c r="AN48" i="12"/>
  <c r="AN71" i="12" s="1"/>
  <c r="BM72" i="3"/>
  <c r="BQ72" i="3"/>
  <c r="BL60" i="3"/>
  <c r="BP60" i="3"/>
  <c r="DP123" i="4"/>
  <c r="DP141" i="4"/>
  <c r="DQ1346" i="4"/>
  <c r="DQ189" i="4"/>
  <c r="DQ217" i="4"/>
  <c r="DQ220" i="4"/>
  <c r="DR629" i="4"/>
  <c r="DR630" i="4" s="1"/>
  <c r="DQ630" i="4"/>
  <c r="DQ611" i="4" s="1"/>
  <c r="DP677" i="4"/>
  <c r="DP323" i="4"/>
  <c r="DM456" i="4"/>
  <c r="DN457" i="4" s="1"/>
  <c r="DP456" i="4"/>
  <c r="DR807" i="4"/>
  <c r="DP170" i="4"/>
  <c r="DP167" i="4"/>
  <c r="DP320" i="4"/>
  <c r="DP360" i="4"/>
  <c r="DP1328" i="4"/>
  <c r="DR622" i="4"/>
  <c r="DR23" i="4"/>
  <c r="DR50" i="4"/>
  <c r="DS144" i="4"/>
  <c r="DR183" i="4"/>
  <c r="DR327" i="4"/>
  <c r="DS327" i="4" s="1"/>
  <c r="DQ312" i="4"/>
  <c r="DP159" i="4"/>
  <c r="DR135" i="4"/>
  <c r="DQ136" i="4"/>
  <c r="DP53" i="4"/>
  <c r="DQ616" i="4"/>
  <c r="DQ15" i="4"/>
  <c r="BQ8" i="3" s="1"/>
  <c r="DR609" i="4"/>
  <c r="DP149" i="4"/>
  <c r="DP146" i="4"/>
  <c r="DQ825" i="4"/>
  <c r="DQ829" i="4" s="1"/>
  <c r="DP829" i="4"/>
  <c r="DQ671" i="4"/>
  <c r="DQ677" i="4" s="1"/>
  <c r="DQ675" i="4"/>
  <c r="DQ27" i="4"/>
  <c r="DS801" i="4"/>
  <c r="DR803" i="4"/>
  <c r="DQ622" i="4"/>
  <c r="DQ50" i="4"/>
  <c r="DQ23" i="4"/>
  <c r="DQ166" i="4"/>
  <c r="DQ176" i="4"/>
  <c r="DQ145" i="4"/>
  <c r="DQ155" i="4"/>
  <c r="BQ76" i="3" s="1"/>
  <c r="DR777" i="4"/>
  <c r="DP100" i="4"/>
  <c r="DR100" i="4"/>
  <c r="DP224" i="4"/>
  <c r="DP237" i="4" s="1"/>
  <c r="DR331" i="4"/>
  <c r="DS331" i="4" s="1"/>
  <c r="DQ316" i="4"/>
  <c r="DM942" i="4"/>
  <c r="DN942" i="4" s="1"/>
  <c r="DP973" i="4"/>
  <c r="DQ357" i="4"/>
  <c r="DR349" i="4"/>
  <c r="DR365" i="4"/>
  <c r="DR391" i="4"/>
  <c r="DP17" i="4"/>
  <c r="DP618" i="4"/>
  <c r="DP621" i="4"/>
  <c r="DP623" i="4" s="1"/>
  <c r="DP663" i="4"/>
  <c r="DP662" i="4" s="1"/>
  <c r="DS608" i="4"/>
  <c r="DR332" i="4"/>
  <c r="DS332" i="4" s="1"/>
  <c r="DQ317" i="4"/>
  <c r="DQ1077" i="4"/>
  <c r="DP364" i="4"/>
  <c r="DL501" i="4"/>
  <c r="BV704" i="4"/>
  <c r="BT710" i="4"/>
  <c r="DN623" i="4"/>
  <c r="DM224" i="4"/>
  <c r="DM980" i="4"/>
  <c r="DM982" i="4" s="1"/>
  <c r="DM945" i="4" s="1"/>
  <c r="BU703" i="4"/>
  <c r="BU708" i="4" s="1"/>
  <c r="DN312" i="4"/>
  <c r="DN316" i="4"/>
  <c r="CE1144" i="4"/>
  <c r="CL1402" i="4"/>
  <c r="CP1402" i="4"/>
  <c r="DS62" i="3"/>
  <c r="DS63" i="3"/>
  <c r="DN220" i="4"/>
  <c r="DN233" i="4" s="1"/>
  <c r="DI218" i="4"/>
  <c r="DI221" i="4"/>
  <c r="DN217" i="4"/>
  <c r="AW30" i="3"/>
  <c r="AZ54" i="3"/>
  <c r="CZ1141" i="4"/>
  <c r="CN1141" i="4"/>
  <c r="CJ1141" i="4"/>
  <c r="DN146" i="4"/>
  <c r="DN145" i="4" s="1"/>
  <c r="AO54" i="3"/>
  <c r="AF56" i="3"/>
  <c r="CH970" i="4"/>
  <c r="DJ1190" i="4"/>
  <c r="DJ29" i="4"/>
  <c r="DI1265" i="4"/>
  <c r="DB1144" i="4"/>
  <c r="DG1144" i="4" s="1"/>
  <c r="DA1143" i="4"/>
  <c r="CX1402" i="4"/>
  <c r="CX1122" i="4"/>
  <c r="CX1143" i="4" s="1"/>
  <c r="AF54" i="3"/>
  <c r="CT1122" i="4"/>
  <c r="V66" i="3"/>
  <c r="FG11" i="3"/>
  <c r="AT67" i="3"/>
  <c r="FK11" i="3"/>
  <c r="DB1122" i="4"/>
  <c r="DP47" i="3"/>
  <c r="DI1175" i="4"/>
  <c r="H66" i="12"/>
  <c r="AL67" i="3"/>
  <c r="BI61" i="3"/>
  <c r="AF58" i="12"/>
  <c r="AF57" i="12" s="1"/>
  <c r="AL25" i="3"/>
  <c r="AF81" i="12"/>
  <c r="AH81" i="12"/>
  <c r="AH58" i="12"/>
  <c r="AH111" i="12" s="1"/>
  <c r="AT25" i="3"/>
  <c r="DO135" i="4"/>
  <c r="BQ1144" i="4"/>
  <c r="CL889" i="4"/>
  <c r="DL10" i="3"/>
  <c r="DC16" i="3"/>
  <c r="BJ1144" i="4"/>
  <c r="BK1144" i="4" s="1"/>
  <c r="D79" i="9"/>
  <c r="D138" i="9"/>
  <c r="CX1144" i="4"/>
  <c r="CQ16" i="3"/>
  <c r="BQ1141" i="4"/>
  <c r="DB889" i="4"/>
  <c r="BB29" i="3"/>
  <c r="BB31" i="3"/>
  <c r="DN166" i="4"/>
  <c r="DJ16" i="3"/>
  <c r="BJ1141" i="4"/>
  <c r="BK1141" i="4" s="1"/>
  <c r="AB58" i="12"/>
  <c r="AB57" i="12" s="1"/>
  <c r="V25" i="3"/>
  <c r="AB81" i="12"/>
  <c r="AG81" i="12"/>
  <c r="AP25" i="3"/>
  <c r="AG58" i="12"/>
  <c r="AG111" i="12" s="1"/>
  <c r="L39" i="9"/>
  <c r="CP16" i="3"/>
  <c r="CH1144" i="4"/>
  <c r="AL29" i="3"/>
  <c r="AL31" i="3"/>
  <c r="CX969" i="4"/>
  <c r="AT29" i="3"/>
  <c r="AT31" i="3"/>
  <c r="DO154" i="4"/>
  <c r="DO609" i="4"/>
  <c r="Q25" i="3"/>
  <c r="BX27" i="3"/>
  <c r="CX889" i="4"/>
  <c r="BV1141" i="4"/>
  <c r="CP889" i="4"/>
  <c r="T29" i="3"/>
  <c r="T31" i="3"/>
  <c r="CN16" i="3"/>
  <c r="CE16" i="3"/>
  <c r="BJ1130" i="4"/>
  <c r="BJ1132" i="4" s="1"/>
  <c r="BJ1146" i="4" s="1"/>
  <c r="J32" i="3" s="1"/>
  <c r="Y81" i="12"/>
  <c r="Y58" i="12"/>
  <c r="Y57" i="12" s="1"/>
  <c r="J25" i="3"/>
  <c r="BV1144" i="4"/>
  <c r="CP1144" i="4"/>
  <c r="BM13" i="3"/>
  <c r="DN16" i="3"/>
  <c r="BI1424" i="4"/>
  <c r="BW29" i="3"/>
  <c r="AF158" i="9"/>
  <c r="AF140" i="9"/>
  <c r="X99" i="9"/>
  <c r="X81" i="9"/>
  <c r="AB141" i="9"/>
  <c r="AB138" i="9"/>
  <c r="AB79" i="9"/>
  <c r="AV30" i="3"/>
  <c r="AV55" i="3" s="1"/>
  <c r="BA30" i="3"/>
  <c r="AN56" i="3"/>
  <c r="AR56" i="3"/>
  <c r="H79" i="9"/>
  <c r="H138" i="9"/>
  <c r="H30" i="3"/>
  <c r="H55" i="3" s="1"/>
  <c r="BV8" i="3"/>
  <c r="BB67" i="3"/>
  <c r="M30" i="3"/>
  <c r="CA8" i="3"/>
  <c r="CP708" i="4"/>
  <c r="AS54" i="3"/>
  <c r="AO30" i="3"/>
  <c r="AB158" i="9"/>
  <c r="AB140" i="9"/>
  <c r="AJ39" i="9"/>
  <c r="AJ41" i="9"/>
  <c r="T41" i="9"/>
  <c r="T39" i="9"/>
  <c r="AN138" i="9"/>
  <c r="AN141" i="9"/>
  <c r="AN79" i="9"/>
  <c r="FW11" i="3"/>
  <c r="AD56" i="3"/>
  <c r="AT71" i="3"/>
  <c r="FO12" i="3"/>
  <c r="Y30" i="3"/>
  <c r="AP67" i="3"/>
  <c r="T137" i="9"/>
  <c r="T43" i="9"/>
  <c r="T145" i="9" s="1"/>
  <c r="AK56" i="3"/>
  <c r="AV56" i="3"/>
  <c r="CM7" i="3"/>
  <c r="FS12" i="3"/>
  <c r="AX71" i="3"/>
  <c r="AP71" i="3"/>
  <c r="FK12" i="3"/>
  <c r="CL1141" i="4"/>
  <c r="AF41" i="9"/>
  <c r="AF39" i="9"/>
  <c r="X158" i="9"/>
  <c r="X140" i="9"/>
  <c r="FG12" i="3"/>
  <c r="AL71" i="3"/>
  <c r="DG7" i="3"/>
  <c r="BN28" i="3"/>
  <c r="AJ56" i="3"/>
  <c r="CO703" i="4"/>
  <c r="P143" i="9"/>
  <c r="P44" i="9"/>
  <c r="CQ7" i="3"/>
  <c r="CA7" i="3"/>
  <c r="AB41" i="9"/>
  <c r="AB39" i="9"/>
  <c r="AJ141" i="9"/>
  <c r="AJ138" i="9"/>
  <c r="AJ79" i="9"/>
  <c r="T138" i="9"/>
  <c r="T141" i="9"/>
  <c r="T79" i="9"/>
  <c r="AN99" i="9"/>
  <c r="AN81" i="9"/>
  <c r="L30" i="3"/>
  <c r="BZ8" i="3"/>
  <c r="BW7" i="3"/>
  <c r="Z30" i="3"/>
  <c r="L46" i="9"/>
  <c r="CN8" i="3"/>
  <c r="L44" i="9"/>
  <c r="L143" i="9"/>
  <c r="AN137" i="9"/>
  <c r="AN43" i="9"/>
  <c r="AN145" i="9" s="1"/>
  <c r="CY7" i="3"/>
  <c r="AS30" i="3"/>
  <c r="AF99" i="9"/>
  <c r="AF81" i="9"/>
  <c r="X39" i="9"/>
  <c r="X41" i="9"/>
  <c r="CP7" i="3"/>
  <c r="CR7" i="3"/>
  <c r="CI7" i="3"/>
  <c r="AN54" i="3"/>
  <c r="AR54" i="3"/>
  <c r="AE86" i="12"/>
  <c r="AE96" i="12" s="1"/>
  <c r="AZ56" i="3"/>
  <c r="DN7" i="3"/>
  <c r="BL28" i="3"/>
  <c r="D41" i="9"/>
  <c r="D136" i="9"/>
  <c r="D158" i="9" s="1"/>
  <c r="D38" i="9"/>
  <c r="D78" i="9"/>
  <c r="D99" i="9" s="1"/>
  <c r="AS56" i="3"/>
  <c r="AC56" i="3"/>
  <c r="AG56" i="3"/>
  <c r="AC54" i="3"/>
  <c r="AG54" i="3"/>
  <c r="AJ158" i="9"/>
  <c r="AJ140" i="9"/>
  <c r="T99" i="9"/>
  <c r="T81" i="9"/>
  <c r="AN140" i="9"/>
  <c r="AN158" i="9"/>
  <c r="DO807" i="4"/>
  <c r="DL47" i="3"/>
  <c r="CN7" i="3"/>
  <c r="AF137" i="9"/>
  <c r="AF43" i="9"/>
  <c r="AF145" i="9" s="1"/>
  <c r="DJ7" i="3"/>
  <c r="FC12" i="3"/>
  <c r="AH71" i="3"/>
  <c r="AB30" i="3"/>
  <c r="AB55" i="3" s="1"/>
  <c r="Y54" i="3"/>
  <c r="BB71" i="3"/>
  <c r="FW12" i="3"/>
  <c r="CE1141" i="4"/>
  <c r="P45" i="9" s="1"/>
  <c r="AD30" i="3"/>
  <c r="P46" i="9"/>
  <c r="CR8" i="3"/>
  <c r="AJ137" i="9"/>
  <c r="AJ43" i="9"/>
  <c r="AJ145" i="9" s="1"/>
  <c r="CD7" i="3"/>
  <c r="AB137" i="9"/>
  <c r="AB43" i="9"/>
  <c r="AB145" i="9" s="1"/>
  <c r="AE81" i="12"/>
  <c r="AE58" i="12"/>
  <c r="AE57" i="12" s="1"/>
  <c r="AH25" i="3"/>
  <c r="CI16" i="3"/>
  <c r="AX29" i="3"/>
  <c r="AX31" i="3"/>
  <c r="BH1424" i="4"/>
  <c r="BV29" i="3"/>
  <c r="CP1141" i="4"/>
  <c r="CX16" i="3"/>
  <c r="T25" i="3"/>
  <c r="CF34" i="3"/>
  <c r="V29" i="3"/>
  <c r="V54" i="3" s="1"/>
  <c r="V31" i="3"/>
  <c r="AP29" i="3"/>
  <c r="AP31" i="3"/>
  <c r="DK779" i="4"/>
  <c r="BV30" i="3"/>
  <c r="DN987" i="4"/>
  <c r="DP985" i="4" s="1"/>
  <c r="DB16" i="3"/>
  <c r="AJ161" i="9"/>
  <c r="DL11" i="3"/>
  <c r="DL13" i="3" s="1"/>
  <c r="DG16" i="3"/>
  <c r="CH1141" i="4"/>
  <c r="DH10" i="3"/>
  <c r="DH12" i="3" s="1"/>
  <c r="CT889" i="4"/>
  <c r="AH29" i="3"/>
  <c r="AH54" i="3" s="1"/>
  <c r="AH31" i="3"/>
  <c r="AI81" i="12"/>
  <c r="AI58" i="12"/>
  <c r="AI111" i="12" s="1"/>
  <c r="AX25" i="3"/>
  <c r="DO16" i="3"/>
  <c r="CL1144" i="4"/>
  <c r="CX964" i="4"/>
  <c r="CX965" i="4" s="1"/>
  <c r="CT1144" i="4"/>
  <c r="CF1147" i="4"/>
  <c r="AF32" i="3"/>
  <c r="AJ58" i="12"/>
  <c r="AJ111" i="12" s="1"/>
  <c r="BB25" i="3"/>
  <c r="AJ81" i="12"/>
  <c r="BM8" i="3"/>
  <c r="BT1141" i="4"/>
  <c r="CR16" i="3"/>
  <c r="CH889" i="4"/>
  <c r="CM16" i="3"/>
  <c r="BT1144" i="4"/>
  <c r="CY16" i="3"/>
  <c r="AF161" i="9"/>
  <c r="DH11" i="3"/>
  <c r="DH13" i="3" s="1"/>
  <c r="BW30" i="3"/>
  <c r="FS11" i="3"/>
  <c r="FO11" i="3"/>
  <c r="AF79" i="9"/>
  <c r="AF138" i="9"/>
  <c r="AF141" i="9"/>
  <c r="X141" i="9"/>
  <c r="X79" i="9"/>
  <c r="X138" i="9"/>
  <c r="X137" i="9"/>
  <c r="X43" i="9"/>
  <c r="X145" i="9" s="1"/>
  <c r="AO56" i="3"/>
  <c r="BV7" i="3"/>
  <c r="AX67" i="3"/>
  <c r="AC30" i="3"/>
  <c r="AO48" i="12"/>
  <c r="AP48" i="12" s="1"/>
  <c r="AQ48" i="12" s="1"/>
  <c r="AR48" i="12" s="1"/>
  <c r="AS48" i="12" s="1"/>
  <c r="AT48" i="12" s="1"/>
  <c r="AU48" i="12" s="1"/>
  <c r="CX7" i="3"/>
  <c r="BZ7" i="3"/>
  <c r="AA67" i="12"/>
  <c r="AA68" i="12"/>
  <c r="AA66" i="12"/>
  <c r="AA92" i="12"/>
  <c r="DC7" i="3"/>
  <c r="P30" i="3"/>
  <c r="CD8" i="3"/>
  <c r="AB99" i="9"/>
  <c r="AB81" i="9"/>
  <c r="AJ99" i="9"/>
  <c r="AJ81" i="9"/>
  <c r="T140" i="9"/>
  <c r="T158" i="9"/>
  <c r="AN41" i="9"/>
  <c r="AN39" i="9"/>
  <c r="D134" i="9"/>
  <c r="D76" i="9"/>
  <c r="H41" i="9"/>
  <c r="AD54" i="3"/>
  <c r="DB7" i="3"/>
  <c r="DO7" i="3"/>
  <c r="I30" i="3"/>
  <c r="I55" i="3" s="1"/>
  <c r="BW8" i="3"/>
  <c r="Y56" i="3"/>
  <c r="BJ60" i="3"/>
  <c r="U30" i="3"/>
  <c r="CI8" i="3"/>
  <c r="AK30" i="3"/>
  <c r="AK55" i="3" s="1"/>
  <c r="DM18" i="4"/>
  <c r="BN10" i="3"/>
  <c r="BL11" i="3"/>
  <c r="BJ61" i="3"/>
  <c r="BJ59" i="3"/>
  <c r="BM10" i="3"/>
  <c r="AV116" i="9"/>
  <c r="AV62" i="9"/>
  <c r="DO611" i="4"/>
  <c r="BI75" i="3"/>
  <c r="DO183" i="4"/>
  <c r="AZ4" i="9"/>
  <c r="BN44" i="3"/>
  <c r="BD74" i="3"/>
  <c r="BD45" i="3"/>
  <c r="BD73" i="3" s="1"/>
  <c r="DT40" i="3"/>
  <c r="DM323" i="4"/>
  <c r="AL19" i="12"/>
  <c r="AK27" i="12"/>
  <c r="AK22" i="12"/>
  <c r="BE46" i="3"/>
  <c r="AY18" i="12"/>
  <c r="AZ17" i="12"/>
  <c r="BE5" i="12"/>
  <c r="BF2" i="12"/>
  <c r="DM1254" i="4"/>
  <c r="DL1190" i="4"/>
  <c r="BR1123" i="4"/>
  <c r="BR1125" i="4" s="1"/>
  <c r="BR40" i="4"/>
  <c r="DO176" i="4"/>
  <c r="DN175" i="4"/>
  <c r="DO175" i="4" s="1"/>
  <c r="CP964" i="4"/>
  <c r="CP965" i="4" s="1"/>
  <c r="CO965" i="4"/>
  <c r="CO969" i="4" s="1"/>
  <c r="CS965" i="4"/>
  <c r="CS969" i="4" s="1"/>
  <c r="CT964" i="4"/>
  <c r="CT965" i="4" s="1"/>
  <c r="CH1044" i="4"/>
  <c r="CH1045" i="4" s="1"/>
  <c r="CH1040" i="4"/>
  <c r="CH1039" i="4"/>
  <c r="CH1041" i="4"/>
  <c r="CH1042" i="4"/>
  <c r="CX1130" i="4"/>
  <c r="CX1132" i="4" s="1"/>
  <c r="CX1052" i="4"/>
  <c r="CX1051" i="4"/>
  <c r="CT1044" i="4"/>
  <c r="CT1045" i="4" s="1"/>
  <c r="CT1040" i="4"/>
  <c r="CT1039" i="4"/>
  <c r="CT1041" i="4"/>
  <c r="CT1042" i="4"/>
  <c r="DB1044" i="4"/>
  <c r="DB1045" i="4" s="1"/>
  <c r="DB1040" i="4"/>
  <c r="DB1039" i="4"/>
  <c r="DB1041" i="4"/>
  <c r="DB1042" i="4"/>
  <c r="CZ1148" i="4"/>
  <c r="CZ1146" i="4"/>
  <c r="AZ32" i="3" s="1"/>
  <c r="DN15" i="4"/>
  <c r="BJ1426" i="4"/>
  <c r="BJ1404" i="4"/>
  <c r="BJ1403" i="4"/>
  <c r="BM1403" i="4"/>
  <c r="BN856" i="4"/>
  <c r="BN855" i="4"/>
  <c r="BN594" i="4"/>
  <c r="BN589" i="4"/>
  <c r="BN431" i="4"/>
  <c r="BN205" i="4"/>
  <c r="BN1415" i="4"/>
  <c r="BN1417" i="4"/>
  <c r="BN1230" i="4"/>
  <c r="BN1421" i="4"/>
  <c r="BN1410" i="4"/>
  <c r="BN597" i="4"/>
  <c r="BN1419" i="4"/>
  <c r="BN206" i="4"/>
  <c r="BN697" i="4"/>
  <c r="BO697" i="4" s="1"/>
  <c r="BN1411" i="4"/>
  <c r="BN869" i="4"/>
  <c r="BN567" i="4"/>
  <c r="BN874" i="4"/>
  <c r="BN873" i="4"/>
  <c r="CB79" i="3" s="1"/>
  <c r="BN797" i="4"/>
  <c r="BO797" i="4" s="1"/>
  <c r="BN1213" i="4"/>
  <c r="BN791" i="4"/>
  <c r="BN570" i="4"/>
  <c r="BN872" i="4"/>
  <c r="CB76" i="3" s="1"/>
  <c r="BN877" i="4"/>
  <c r="BN1413" i="4"/>
  <c r="BN430" i="4"/>
  <c r="BN1412" i="4"/>
  <c r="BN575" i="4"/>
  <c r="BN879" i="4"/>
  <c r="BN871" i="4"/>
  <c r="BN1414" i="4"/>
  <c r="BN870" i="4"/>
  <c r="BN601" i="4"/>
  <c r="BN1416" i="4"/>
  <c r="BN878" i="4"/>
  <c r="BN1425" i="4"/>
  <c r="BN715" i="4"/>
  <c r="BN1418" i="4"/>
  <c r="BN1420" i="4"/>
  <c r="BN1422" i="4"/>
  <c r="BN1403" i="4"/>
  <c r="BN1404" i="4"/>
  <c r="BN1426" i="4"/>
  <c r="BV753" i="4"/>
  <c r="BV755" i="4" s="1"/>
  <c r="BW724" i="4"/>
  <c r="CV1146" i="4"/>
  <c r="AV32" i="3" s="1"/>
  <c r="CV1148" i="4"/>
  <c r="CP1044" i="4"/>
  <c r="CP1045" i="4" s="1"/>
  <c r="CP1040" i="4"/>
  <c r="CP1039" i="4"/>
  <c r="CP1041" i="4"/>
  <c r="CP1042" i="4"/>
  <c r="DM53" i="4"/>
  <c r="CK1146" i="4"/>
  <c r="AK32" i="3" s="1"/>
  <c r="CK1148" i="4"/>
  <c r="CH1130" i="4"/>
  <c r="CH1132" i="4" s="1"/>
  <c r="CH1052" i="4"/>
  <c r="CH1051" i="4"/>
  <c r="CT1130" i="4"/>
  <c r="CT1132" i="4" s="1"/>
  <c r="CT1051" i="4"/>
  <c r="CT1052" i="4"/>
  <c r="DB1130" i="4"/>
  <c r="DB1132" i="4" s="1"/>
  <c r="DB1051" i="4"/>
  <c r="DB1052" i="4"/>
  <c r="BR1402" i="4"/>
  <c r="BR1122" i="4"/>
  <c r="CO1148" i="4"/>
  <c r="CO1146" i="4"/>
  <c r="AO32" i="3" s="1"/>
  <c r="CS1148" i="4"/>
  <c r="CS1146" i="4"/>
  <c r="AS32" i="3" s="1"/>
  <c r="CX1044" i="4"/>
  <c r="CX1045" i="4" s="1"/>
  <c r="CX1040" i="4"/>
  <c r="CX1039" i="4"/>
  <c r="CX1042" i="4"/>
  <c r="CX1041" i="4"/>
  <c r="DM320" i="4"/>
  <c r="DM360" i="4"/>
  <c r="DN360" i="4" s="1"/>
  <c r="DM1328" i="4"/>
  <c r="BU965" i="4"/>
  <c r="BU969" i="4" s="1"/>
  <c r="DM619" i="4"/>
  <c r="DN612" i="4"/>
  <c r="DB964" i="4"/>
  <c r="DB965" i="4" s="1"/>
  <c r="DA965" i="4"/>
  <c r="DA969" i="4" s="1"/>
  <c r="BU754" i="4"/>
  <c r="BU749" i="4"/>
  <c r="BX745" i="4"/>
  <c r="DL48" i="4"/>
  <c r="DL24" i="4"/>
  <c r="CD964" i="4"/>
  <c r="CD965" i="4" s="1"/>
  <c r="CC965" i="4"/>
  <c r="CC969" i="4" s="1"/>
  <c r="DL1344" i="4"/>
  <c r="DL1315" i="4" s="1"/>
  <c r="BJ964" i="4"/>
  <c r="BJ965" i="4" s="1"/>
  <c r="BI965" i="4"/>
  <c r="BI969" i="4" s="1"/>
  <c r="BM1404" i="4"/>
  <c r="BT726" i="4"/>
  <c r="BT753" i="4"/>
  <c r="BT755" i="4" s="1"/>
  <c r="BU720" i="4"/>
  <c r="BU724" i="4" s="1"/>
  <c r="BN964" i="4"/>
  <c r="BN965" i="4" s="1"/>
  <c r="BM965" i="4"/>
  <c r="BM969" i="4" s="1"/>
  <c r="DJ1344" i="4"/>
  <c r="CI1402" i="4"/>
  <c r="CJ1148" i="4"/>
  <c r="CJ1146" i="4"/>
  <c r="AJ32" i="3" s="1"/>
  <c r="CN1146" i="4"/>
  <c r="AN32" i="3" s="1"/>
  <c r="CN1148" i="4"/>
  <c r="BW38" i="4"/>
  <c r="DI1355" i="4"/>
  <c r="DI528" i="4"/>
  <c r="DI529" i="4" s="1"/>
  <c r="DI190" i="4"/>
  <c r="BR1040" i="4"/>
  <c r="BR1039" i="4"/>
  <c r="BR1042" i="4"/>
  <c r="BR1041" i="4"/>
  <c r="CL1044" i="4"/>
  <c r="CL1045" i="4" s="1"/>
  <c r="CL1039" i="4"/>
  <c r="CL1040" i="4"/>
  <c r="CL1041" i="4"/>
  <c r="CL1042" i="4"/>
  <c r="DN23" i="4"/>
  <c r="DN50" i="4"/>
  <c r="CL1130" i="4"/>
  <c r="CL1132" i="4" s="1"/>
  <c r="CL1051" i="4"/>
  <c r="CL1052" i="4"/>
  <c r="DL371" i="4"/>
  <c r="DA1148" i="4"/>
  <c r="DA1146" i="4"/>
  <c r="BA32" i="3" s="1"/>
  <c r="DN502" i="4"/>
  <c r="BT1130" i="4"/>
  <c r="BT1132" i="4" s="1"/>
  <c r="BT1146" i="4" s="1"/>
  <c r="T32" i="3" s="1"/>
  <c r="BT964" i="4"/>
  <c r="BT965" i="4" s="1"/>
  <c r="BT969" i="4" s="1"/>
  <c r="BT1052" i="4"/>
  <c r="BT1051" i="4"/>
  <c r="BL1421" i="4"/>
  <c r="BL1419" i="4"/>
  <c r="BL1410" i="4"/>
  <c r="BL1417" i="4"/>
  <c r="BL856" i="4"/>
  <c r="BL855" i="4"/>
  <c r="BL765" i="4"/>
  <c r="BL750" i="4"/>
  <c r="BL713" i="4"/>
  <c r="BL712" i="4"/>
  <c r="BL711" i="4"/>
  <c r="BL589" i="4"/>
  <c r="BL727" i="4"/>
  <c r="BL597" i="4"/>
  <c r="BL431" i="4"/>
  <c r="BL594" i="4"/>
  <c r="BL751" i="4"/>
  <c r="BL205" i="4"/>
  <c r="BL206" i="4"/>
  <c r="BL1412" i="4"/>
  <c r="BL728" i="4"/>
  <c r="BL1411" i="4"/>
  <c r="BL1413" i="4"/>
  <c r="BL570" i="4"/>
  <c r="BL874" i="4"/>
  <c r="BL797" i="4"/>
  <c r="BL1213" i="4"/>
  <c r="BL1230" i="4"/>
  <c r="BL697" i="4"/>
  <c r="BL698" i="4" s="1"/>
  <c r="BL873" i="4"/>
  <c r="BL567" i="4"/>
  <c r="BL872" i="4"/>
  <c r="BL430" i="4"/>
  <c r="BL791" i="4"/>
  <c r="BL871" i="4"/>
  <c r="BL575" i="4"/>
  <c r="BL869" i="4"/>
  <c r="BL1414" i="4"/>
  <c r="BL877" i="4"/>
  <c r="BL1415" i="4"/>
  <c r="BL879" i="4"/>
  <c r="BL878" i="4"/>
  <c r="BL601" i="4"/>
  <c r="BL1425" i="4"/>
  <c r="BL870" i="4"/>
  <c r="BL1416" i="4"/>
  <c r="BL715" i="4"/>
  <c r="BL716" i="4" s="1"/>
  <c r="BL1418" i="4"/>
  <c r="BL1420" i="4"/>
  <c r="BL1422" i="4"/>
  <c r="BL1426" i="4"/>
  <c r="BL1403" i="4"/>
  <c r="BL1404" i="4"/>
  <c r="DL29" i="4"/>
  <c r="BZ964" i="4"/>
  <c r="BZ965" i="4" s="1"/>
  <c r="BY965" i="4"/>
  <c r="BY969" i="4" s="1"/>
  <c r="BV1130" i="4"/>
  <c r="BV1132" i="4" s="1"/>
  <c r="BV1146" i="4" s="1"/>
  <c r="V32" i="3" s="1"/>
  <c r="BV1051" i="4"/>
  <c r="BV1052" i="4"/>
  <c r="DM364" i="4"/>
  <c r="DN364" i="4" s="1"/>
  <c r="BQ3" i="4"/>
  <c r="BR2" i="4"/>
  <c r="DN136" i="4"/>
  <c r="DM123" i="4"/>
  <c r="DM141" i="4"/>
  <c r="BQ1130" i="4"/>
  <c r="BQ1132" i="4" s="1"/>
  <c r="BQ1146" i="4" s="1"/>
  <c r="Q32" i="3" s="1"/>
  <c r="BQ964" i="4"/>
  <c r="BT1040" i="4"/>
  <c r="BT1039" i="4"/>
  <c r="BT1041" i="4"/>
  <c r="BT1042" i="4"/>
  <c r="BM1421" i="4"/>
  <c r="BM1419" i="4"/>
  <c r="BM1417" i="4"/>
  <c r="BM1410" i="4"/>
  <c r="BM855" i="4"/>
  <c r="BM765" i="4"/>
  <c r="BM750" i="4"/>
  <c r="BM856" i="4"/>
  <c r="BM751" i="4"/>
  <c r="BM727" i="4"/>
  <c r="BM713" i="4"/>
  <c r="BM712" i="4"/>
  <c r="BM711" i="4"/>
  <c r="BM589" i="4"/>
  <c r="BM597" i="4"/>
  <c r="BM874" i="4"/>
  <c r="BM594" i="4"/>
  <c r="BM570" i="4"/>
  <c r="BM431" i="4"/>
  <c r="BM206" i="4"/>
  <c r="BM205" i="4"/>
  <c r="BM1413" i="4"/>
  <c r="BM567" i="4"/>
  <c r="BM869" i="4"/>
  <c r="BM1213" i="4"/>
  <c r="BM1230" i="4"/>
  <c r="BM601" i="4"/>
  <c r="BM877" i="4"/>
  <c r="BM715" i="4"/>
  <c r="BM575" i="4"/>
  <c r="BM873" i="4"/>
  <c r="BM1415" i="4"/>
  <c r="BM791" i="4"/>
  <c r="BM728" i="4"/>
  <c r="BM697" i="4"/>
  <c r="BM797" i="4"/>
  <c r="BM872" i="4"/>
  <c r="BM1411" i="4"/>
  <c r="BM879" i="4"/>
  <c r="BM430" i="4"/>
  <c r="BM871" i="4"/>
  <c r="BM878" i="4"/>
  <c r="BM870" i="4"/>
  <c r="BM1412" i="4"/>
  <c r="BM1414" i="4"/>
  <c r="BM1416" i="4"/>
  <c r="BM1425" i="4"/>
  <c r="BM1418" i="4"/>
  <c r="BM1420" i="4"/>
  <c r="BM1422" i="4"/>
  <c r="DL184" i="4"/>
  <c r="DL127" i="4"/>
  <c r="DL124" i="4"/>
  <c r="DO829" i="4"/>
  <c r="DN831" i="4"/>
  <c r="DI1347" i="4"/>
  <c r="DI1348" i="4"/>
  <c r="DJ1315" i="4"/>
  <c r="BV1039" i="4"/>
  <c r="BV1040" i="4"/>
  <c r="BV1041" i="4"/>
  <c r="BV1042" i="4"/>
  <c r="CP1130" i="4"/>
  <c r="CP1132" i="4" s="1"/>
  <c r="CP1051" i="4"/>
  <c r="CP1052" i="4"/>
  <c r="DJ124" i="4"/>
  <c r="DI185" i="4"/>
  <c r="DI128" i="4"/>
  <c r="CL964" i="4"/>
  <c r="CL965" i="4" s="1"/>
  <c r="CK965" i="4"/>
  <c r="CK969" i="4" s="1"/>
  <c r="DP619" i="4" l="1"/>
  <c r="BR13" i="3"/>
  <c r="BQ13" i="3"/>
  <c r="BQ60" i="3" s="1"/>
  <c r="BP28" i="3"/>
  <c r="DQ612" i="4"/>
  <c r="BR28" i="3"/>
  <c r="DM29" i="4"/>
  <c r="DN779" i="4"/>
  <c r="DO779" i="4" s="1"/>
  <c r="V56" i="3"/>
  <c r="DP18" i="4"/>
  <c r="BP11" i="3" s="1"/>
  <c r="BP59" i="3" s="1"/>
  <c r="BP10" i="3"/>
  <c r="DR27" i="4"/>
  <c r="DP457" i="4"/>
  <c r="BR44" i="3"/>
  <c r="BR72" i="3" s="1"/>
  <c r="BD4" i="9"/>
  <c r="AN7" i="12"/>
  <c r="AN10" i="12" s="1"/>
  <c r="BN72" i="3"/>
  <c r="BM60" i="3"/>
  <c r="DS349" i="4"/>
  <c r="DS777" i="4"/>
  <c r="DQ830" i="4"/>
  <c r="DQ779" i="4"/>
  <c r="DQ831" i="4"/>
  <c r="DP373" i="4"/>
  <c r="DQ159" i="4"/>
  <c r="DR155" i="4"/>
  <c r="BR76" i="3" s="1"/>
  <c r="DP150" i="4"/>
  <c r="DS183" i="4"/>
  <c r="BD5" i="9" s="1"/>
  <c r="DQ149" i="4"/>
  <c r="DQ146" i="4"/>
  <c r="DS609" i="4"/>
  <c r="DQ320" i="4"/>
  <c r="DR312" i="4"/>
  <c r="DQ360" i="4"/>
  <c r="DP1344" i="4"/>
  <c r="DP1315" i="4" s="1"/>
  <c r="DR611" i="4"/>
  <c r="DQ17" i="4"/>
  <c r="BQ10" i="3" s="1"/>
  <c r="DQ618" i="4"/>
  <c r="DQ621" i="4"/>
  <c r="DQ623" i="4" s="1"/>
  <c r="DQ663" i="4"/>
  <c r="DQ662" i="4" s="1"/>
  <c r="DR662" i="4" s="1"/>
  <c r="DR663" i="4" s="1"/>
  <c r="DR973" i="4"/>
  <c r="DR977" i="4" s="1"/>
  <c r="DP977" i="4"/>
  <c r="DQ180" i="4"/>
  <c r="DR176" i="4"/>
  <c r="DQ141" i="4"/>
  <c r="DQ123" i="4"/>
  <c r="DR136" i="4"/>
  <c r="DR15" i="4"/>
  <c r="BR8" i="3" s="1"/>
  <c r="DP371" i="4"/>
  <c r="DS807" i="4"/>
  <c r="DR220" i="4"/>
  <c r="DR233" i="4" s="1"/>
  <c r="DQ323" i="4"/>
  <c r="DR317" i="4"/>
  <c r="DR316" i="4"/>
  <c r="DQ364" i="4"/>
  <c r="DQ170" i="4"/>
  <c r="DQ167" i="4"/>
  <c r="DS135" i="4"/>
  <c r="DR456" i="4"/>
  <c r="DQ224" i="4"/>
  <c r="DR217" i="4"/>
  <c r="DP127" i="4"/>
  <c r="DP184" i="4"/>
  <c r="DP124" i="4"/>
  <c r="BP75" i="3" s="1"/>
  <c r="DQ53" i="4"/>
  <c r="DR825" i="4"/>
  <c r="DS825" i="4" s="1"/>
  <c r="DR53" i="4"/>
  <c r="DR985" i="4"/>
  <c r="DP987" i="4"/>
  <c r="DP831" i="4"/>
  <c r="DR829" i="4"/>
  <c r="DP779" i="4"/>
  <c r="DP830" i="4"/>
  <c r="DP171" i="4"/>
  <c r="DQ1328" i="4"/>
  <c r="BV708" i="4"/>
  <c r="BW708" i="4" s="1"/>
  <c r="DT61" i="3"/>
  <c r="DN224" i="4"/>
  <c r="DN237" i="4" s="1"/>
  <c r="DM237" i="4"/>
  <c r="DV62" i="3"/>
  <c r="DI260" i="4"/>
  <c r="DI225" i="4"/>
  <c r="DV63" i="3"/>
  <c r="DM501" i="4"/>
  <c r="DN501" i="4" s="1"/>
  <c r="DN945" i="4"/>
  <c r="DO146" i="4"/>
  <c r="AZ30" i="3"/>
  <c r="BO1141" i="4"/>
  <c r="DS64" i="3"/>
  <c r="DS61" i="3"/>
  <c r="DT62" i="3"/>
  <c r="DN230" i="4"/>
  <c r="DT63" i="3"/>
  <c r="DJ218" i="4"/>
  <c r="DI219" i="4"/>
  <c r="DL221" i="4"/>
  <c r="DL222" i="4" s="1"/>
  <c r="DL218" i="4"/>
  <c r="DJ221" i="4"/>
  <c r="DI222" i="4"/>
  <c r="AJ30" i="3"/>
  <c r="AJ55" i="3" s="1"/>
  <c r="AN30" i="3"/>
  <c r="AR55" i="3" s="1"/>
  <c r="CM1144" i="4"/>
  <c r="AP54" i="3"/>
  <c r="CX1141" i="4"/>
  <c r="DB1143" i="4"/>
  <c r="CT1141" i="4"/>
  <c r="CT1143" i="4"/>
  <c r="CQ1141" i="4"/>
  <c r="AB45" i="9" s="1"/>
  <c r="AB147" i="9" s="1"/>
  <c r="P55" i="3"/>
  <c r="CX970" i="4"/>
  <c r="CQ1144" i="4"/>
  <c r="DB1141" i="4"/>
  <c r="AS55" i="3"/>
  <c r="FW13" i="3"/>
  <c r="BM716" i="4"/>
  <c r="BM798" i="4"/>
  <c r="AE87" i="12"/>
  <c r="AE90" i="12" s="1"/>
  <c r="DC1144" i="4"/>
  <c r="DJ1175" i="4"/>
  <c r="DL1175" i="4"/>
  <c r="BO1144" i="4"/>
  <c r="AX54" i="3"/>
  <c r="AF55" i="3"/>
  <c r="FG13" i="3"/>
  <c r="BU710" i="4"/>
  <c r="BX703" i="4"/>
  <c r="DM24" i="4"/>
  <c r="DN24" i="4" s="1"/>
  <c r="DM48" i="4"/>
  <c r="CL969" i="4"/>
  <c r="CL970" i="4" s="1"/>
  <c r="CA25" i="3"/>
  <c r="BZ27" i="3"/>
  <c r="BZ24" i="3"/>
  <c r="BV79" i="3"/>
  <c r="BZ79" i="3"/>
  <c r="DB969" i="4"/>
  <c r="DB970" i="4" s="1"/>
  <c r="BN595" i="4"/>
  <c r="DN18" i="4"/>
  <c r="BN8" i="3"/>
  <c r="DP16" i="3"/>
  <c r="CJ16" i="3"/>
  <c r="CA24" i="3"/>
  <c r="BW77" i="3"/>
  <c r="CA77" i="3"/>
  <c r="CA76" i="3"/>
  <c r="BW76" i="3"/>
  <c r="BM595" i="4"/>
  <c r="BV77" i="3"/>
  <c r="BZ77" i="3"/>
  <c r="L7" i="3"/>
  <c r="CZ16" i="3"/>
  <c r="CB30" i="3"/>
  <c r="CB26" i="3"/>
  <c r="CB77" i="3"/>
  <c r="CT969" i="4"/>
  <c r="CT970" i="4" s="1"/>
  <c r="DM457" i="4"/>
  <c r="DN458" i="4"/>
  <c r="DM458" i="4" s="1"/>
  <c r="CZ7" i="3"/>
  <c r="FS19" i="3"/>
  <c r="P147" i="9"/>
  <c r="P88" i="9"/>
  <c r="CM1141" i="4"/>
  <c r="X45" i="9" s="1"/>
  <c r="X46" i="9"/>
  <c r="AL30" i="3"/>
  <c r="CZ8" i="3"/>
  <c r="FK13" i="3"/>
  <c r="FO13" i="3"/>
  <c r="AO55" i="3"/>
  <c r="T56" i="3"/>
  <c r="X56" i="3"/>
  <c r="AI86" i="12"/>
  <c r="AI96" i="12" s="1"/>
  <c r="AG105" i="12"/>
  <c r="AG121" i="12" s="1"/>
  <c r="AG127" i="12" s="1"/>
  <c r="AG128" i="12" s="1"/>
  <c r="AG57" i="12"/>
  <c r="DL12" i="3"/>
  <c r="CE7" i="3"/>
  <c r="BN1424" i="4"/>
  <c r="CB29" i="3"/>
  <c r="BH1423" i="4"/>
  <c r="FS15" i="3"/>
  <c r="AX56" i="3"/>
  <c r="CO708" i="4"/>
  <c r="T44" i="9"/>
  <c r="T143" i="9"/>
  <c r="M55" i="3"/>
  <c r="DD7" i="3"/>
  <c r="AL54" i="3"/>
  <c r="CI1144" i="4"/>
  <c r="CV7" i="3"/>
  <c r="BZ26" i="3"/>
  <c r="CB78" i="3"/>
  <c r="CB25" i="3"/>
  <c r="BR1130" i="4"/>
  <c r="BR1132" i="4" s="1"/>
  <c r="BR1146" i="4" s="1"/>
  <c r="R32" i="3" s="1"/>
  <c r="AA81" i="12"/>
  <c r="AA58" i="12"/>
  <c r="AA57" i="12" s="1"/>
  <c r="R25" i="3"/>
  <c r="DL1265" i="4"/>
  <c r="AN143" i="9"/>
  <c r="AN44" i="9"/>
  <c r="BW78" i="3"/>
  <c r="CA78" i="3"/>
  <c r="BW79" i="3"/>
  <c r="CA79" i="3"/>
  <c r="M7" i="3"/>
  <c r="CH16" i="3"/>
  <c r="BZ969" i="4"/>
  <c r="BZ970" i="4" s="1"/>
  <c r="BZ30" i="3"/>
  <c r="BZ78" i="3"/>
  <c r="BV78" i="3"/>
  <c r="BN13" i="3"/>
  <c r="BN969" i="4"/>
  <c r="BN970" i="4" s="1"/>
  <c r="CA30" i="3"/>
  <c r="CD969" i="4"/>
  <c r="CD970" i="4" s="1"/>
  <c r="DD16" i="3"/>
  <c r="CB27" i="3"/>
  <c r="BN580" i="4"/>
  <c r="CB31" i="3" s="1"/>
  <c r="N7" i="3"/>
  <c r="BJ1424" i="4"/>
  <c r="BX29" i="3"/>
  <c r="DH16" i="3"/>
  <c r="BR1144" i="4"/>
  <c r="Y55" i="3"/>
  <c r="AC55" i="3"/>
  <c r="AG55" i="3"/>
  <c r="FO19" i="3"/>
  <c r="CH7" i="3"/>
  <c r="T30" i="3"/>
  <c r="CH8" i="3"/>
  <c r="AJ105" i="12"/>
  <c r="AJ121" i="12" s="1"/>
  <c r="AJ127" i="12" s="1"/>
  <c r="AJ128" i="12" s="1"/>
  <c r="AJ57" i="12"/>
  <c r="AI105" i="12"/>
  <c r="AI57" i="12"/>
  <c r="AH56" i="3"/>
  <c r="FC15" i="3"/>
  <c r="CI1141" i="4"/>
  <c r="T45" i="9" s="1"/>
  <c r="T46" i="9"/>
  <c r="AH30" i="3"/>
  <c r="CV8" i="3"/>
  <c r="AP30" i="3"/>
  <c r="AB46" i="9"/>
  <c r="DD8" i="3"/>
  <c r="L146" i="9"/>
  <c r="L87" i="9"/>
  <c r="L55" i="3"/>
  <c r="P146" i="9"/>
  <c r="P87" i="9"/>
  <c r="Z56" i="3"/>
  <c r="AF44" i="9"/>
  <c r="AF143" i="9"/>
  <c r="DP7" i="3"/>
  <c r="FS13" i="3"/>
  <c r="AW55" i="3"/>
  <c r="Z54" i="3"/>
  <c r="BA55" i="3"/>
  <c r="T54" i="3"/>
  <c r="X54" i="3"/>
  <c r="H46" i="9"/>
  <c r="V30" i="3"/>
  <c r="Z55" i="3" s="1"/>
  <c r="CJ8" i="3"/>
  <c r="CA1141" i="4"/>
  <c r="L45" i="9" s="1"/>
  <c r="AT56" i="3"/>
  <c r="FO15" i="3"/>
  <c r="AT54" i="3"/>
  <c r="FG15" i="3"/>
  <c r="AL56" i="3"/>
  <c r="J30" i="3"/>
  <c r="BX8" i="3"/>
  <c r="BB54" i="3"/>
  <c r="Q30" i="3"/>
  <c r="Q55" i="3" s="1"/>
  <c r="CE8" i="3"/>
  <c r="CY1144" i="4"/>
  <c r="DL7" i="3"/>
  <c r="BX7" i="3"/>
  <c r="DO136" i="4"/>
  <c r="BV964" i="4"/>
  <c r="BV965" i="4" s="1"/>
  <c r="DL16" i="3"/>
  <c r="CP969" i="4"/>
  <c r="CP970" i="4" s="1"/>
  <c r="H44" i="9"/>
  <c r="H43" i="9"/>
  <c r="H143" i="9"/>
  <c r="H85" i="9"/>
  <c r="CU1144" i="4"/>
  <c r="DH7" i="3"/>
  <c r="CA27" i="3"/>
  <c r="CA26" i="3"/>
  <c r="BM571" i="4"/>
  <c r="BL1424" i="4"/>
  <c r="BZ29" i="3"/>
  <c r="BZ25" i="3"/>
  <c r="BV76" i="3"/>
  <c r="BZ76" i="3"/>
  <c r="BL595" i="4"/>
  <c r="CF16" i="3"/>
  <c r="H39" i="9"/>
  <c r="BJ969" i="4"/>
  <c r="BJ970" i="4" s="1"/>
  <c r="BR1141" i="4"/>
  <c r="CB24" i="3"/>
  <c r="BM1424" i="4"/>
  <c r="BM1423" i="4" s="1"/>
  <c r="CA29" i="3"/>
  <c r="BX30" i="3"/>
  <c r="CV16" i="3"/>
  <c r="BM11" i="3"/>
  <c r="FK15" i="3"/>
  <c r="AP56" i="3"/>
  <c r="AD55" i="3"/>
  <c r="D44" i="9"/>
  <c r="D43" i="9"/>
  <c r="D143" i="9"/>
  <c r="D85" i="9"/>
  <c r="X143" i="9"/>
  <c r="X44" i="9"/>
  <c r="AB143" i="9"/>
  <c r="AB44" i="9"/>
  <c r="AJ143" i="9"/>
  <c r="AJ44" i="9"/>
  <c r="CQ708" i="4"/>
  <c r="BI1423" i="4"/>
  <c r="CJ7" i="3"/>
  <c r="CA1144" i="4"/>
  <c r="FW15" i="3"/>
  <c r="BB56" i="3"/>
  <c r="AH105" i="12"/>
  <c r="AH121" i="12" s="1"/>
  <c r="AH127" i="12" s="1"/>
  <c r="AH128" i="12" s="1"/>
  <c r="AH57" i="12"/>
  <c r="DO612" i="4"/>
  <c r="BL59" i="3"/>
  <c r="BL61" i="3"/>
  <c r="BL75" i="3"/>
  <c r="BJ75" i="3"/>
  <c r="DO145" i="4"/>
  <c r="DR57" i="3"/>
  <c r="AK9" i="12"/>
  <c r="BF46" i="3"/>
  <c r="AL30" i="12"/>
  <c r="BH46" i="3"/>
  <c r="BD49" i="3"/>
  <c r="BD79" i="3" s="1"/>
  <c r="BE74" i="3"/>
  <c r="BE45" i="3"/>
  <c r="BE73" i="3" s="1"/>
  <c r="AZ5" i="9"/>
  <c r="AK20" i="12"/>
  <c r="AK21" i="12" s="1"/>
  <c r="DJ1347" i="4"/>
  <c r="DR68" i="3"/>
  <c r="DM373" i="4"/>
  <c r="BD80" i="3"/>
  <c r="BF5" i="12"/>
  <c r="BG2" i="12"/>
  <c r="BA17" i="12"/>
  <c r="AZ18" i="12"/>
  <c r="DI524" i="4"/>
  <c r="DJ524" i="4" s="1"/>
  <c r="DI191" i="4"/>
  <c r="DI380" i="4"/>
  <c r="DI187" i="4"/>
  <c r="CP1148" i="4"/>
  <c r="CP1146" i="4"/>
  <c r="AP32" i="3" s="1"/>
  <c r="DL128" i="4"/>
  <c r="DL185" i="4"/>
  <c r="DM184" i="4"/>
  <c r="DM127" i="4"/>
  <c r="DM124" i="4"/>
  <c r="BL590" i="4"/>
  <c r="BL574" i="4"/>
  <c r="BL576" i="4" s="1"/>
  <c r="DL1348" i="4"/>
  <c r="DL1347" i="4"/>
  <c r="DM371" i="4"/>
  <c r="CH1148" i="4"/>
  <c r="CH1146" i="4"/>
  <c r="AH32" i="3" s="1"/>
  <c r="DK124" i="4"/>
  <c r="DJ185" i="4"/>
  <c r="DJ123" i="4"/>
  <c r="BQ965" i="4"/>
  <c r="BQ969" i="4" s="1"/>
  <c r="BR964" i="4"/>
  <c r="BR965" i="4" s="1"/>
  <c r="BL604" i="4"/>
  <c r="BL605" i="4" s="1"/>
  <c r="BL602" i="4"/>
  <c r="BL603" i="4" s="1"/>
  <c r="BL569" i="4"/>
  <c r="BL580" i="4"/>
  <c r="BZ31" i="3" s="1"/>
  <c r="BL568" i="4"/>
  <c r="DN53" i="4"/>
  <c r="DI1329" i="4"/>
  <c r="DI1358" i="4"/>
  <c r="DJ1358" i="4" s="1"/>
  <c r="DK1358" i="4" s="1"/>
  <c r="BU726" i="4"/>
  <c r="BX720" i="4"/>
  <c r="BU753" i="4"/>
  <c r="BU755" i="4" s="1"/>
  <c r="DI1174" i="4"/>
  <c r="DJ1345" i="4"/>
  <c r="DK1315" i="4"/>
  <c r="DL1355" i="4"/>
  <c r="DL528" i="4"/>
  <c r="DL529" i="4" s="1"/>
  <c r="DL190" i="4"/>
  <c r="BM698" i="4"/>
  <c r="BM604" i="4"/>
  <c r="BM602" i="4"/>
  <c r="BM580" i="4"/>
  <c r="CA31" i="3" s="1"/>
  <c r="BM568" i="4"/>
  <c r="BM578" i="4"/>
  <c r="BT2" i="4"/>
  <c r="BR3" i="4"/>
  <c r="BL799" i="4"/>
  <c r="BL798" i="4"/>
  <c r="BL578" i="4"/>
  <c r="CL1148" i="4"/>
  <c r="CL1146" i="4"/>
  <c r="AL32" i="3" s="1"/>
  <c r="BV969" i="4"/>
  <c r="DN1328" i="4"/>
  <c r="AM19" i="12" s="1"/>
  <c r="DM1344" i="4"/>
  <c r="DM1315" i="4" s="1"/>
  <c r="CT1148" i="4"/>
  <c r="CT1146" i="4"/>
  <c r="AT32" i="3" s="1"/>
  <c r="BN578" i="4"/>
  <c r="BN590" i="4"/>
  <c r="BN574" i="4"/>
  <c r="BN576" i="4" s="1"/>
  <c r="BM574" i="4"/>
  <c r="BM576" i="4" s="1"/>
  <c r="BM590" i="4"/>
  <c r="BX748" i="4"/>
  <c r="BZ745" i="4"/>
  <c r="BZ748" i="4" s="1"/>
  <c r="DB1148" i="4"/>
  <c r="DB1146" i="4"/>
  <c r="BB32" i="3" s="1"/>
  <c r="BN602" i="4"/>
  <c r="BN604" i="4"/>
  <c r="CX1146" i="4"/>
  <c r="AX32" i="3" s="1"/>
  <c r="CX1148" i="4"/>
  <c r="DM1258" i="4"/>
  <c r="DN1258" i="4" s="1"/>
  <c r="DN29" i="4" l="1"/>
  <c r="DQ619" i="4"/>
  <c r="DR612" i="4"/>
  <c r="M10" i="12"/>
  <c r="N10" i="12"/>
  <c r="BP61" i="3"/>
  <c r="DP458" i="4"/>
  <c r="DG1141" i="4"/>
  <c r="AO7" i="12"/>
  <c r="AO19" i="12" s="1"/>
  <c r="DR17" i="4"/>
  <c r="BR10" i="3" s="1"/>
  <c r="DQ18" i="4"/>
  <c r="BQ11" i="3" s="1"/>
  <c r="BQ61" i="3" s="1"/>
  <c r="DP48" i="4"/>
  <c r="DP24" i="4"/>
  <c r="BM61" i="3"/>
  <c r="BN60" i="3"/>
  <c r="BR60" i="3"/>
  <c r="DP185" i="4"/>
  <c r="DP128" i="4"/>
  <c r="DR224" i="4"/>
  <c r="DR237" i="4" s="1"/>
  <c r="DQ237" i="4"/>
  <c r="DQ29" i="4"/>
  <c r="DR779" i="4"/>
  <c r="DP29" i="4"/>
  <c r="DP190" i="4"/>
  <c r="DP1355" i="4"/>
  <c r="DP218" i="4"/>
  <c r="DP221" i="4"/>
  <c r="DP222" i="4" s="1"/>
  <c r="DP528" i="4"/>
  <c r="DQ373" i="4"/>
  <c r="DR364" i="4"/>
  <c r="DQ973" i="4"/>
  <c r="DQ977" i="4" s="1"/>
  <c r="DQ942" i="4" s="1"/>
  <c r="DP942" i="4"/>
  <c r="DP1347" i="4"/>
  <c r="DP1348" i="4"/>
  <c r="DS829" i="4"/>
  <c r="DR831" i="4"/>
  <c r="DQ456" i="4"/>
  <c r="DR457" i="4" s="1"/>
  <c r="DR458" i="4" s="1"/>
  <c r="DQ458" i="4" s="1"/>
  <c r="DS136" i="4"/>
  <c r="DQ150" i="4"/>
  <c r="DR146" i="4"/>
  <c r="DQ1344" i="4"/>
  <c r="DQ1315" i="4" s="1"/>
  <c r="DR1328" i="4"/>
  <c r="AN19" i="12" s="1"/>
  <c r="DQ184" i="4"/>
  <c r="DQ127" i="4"/>
  <c r="DQ124" i="4"/>
  <c r="BQ75" i="3" s="1"/>
  <c r="DQ985" i="4"/>
  <c r="DQ987" i="4" s="1"/>
  <c r="DQ946" i="4" s="1"/>
  <c r="DP946" i="4"/>
  <c r="DR360" i="4"/>
  <c r="DQ371" i="4"/>
  <c r="DR154" i="4"/>
  <c r="DS155" i="4"/>
  <c r="DR230" i="4"/>
  <c r="DR167" i="4"/>
  <c r="DQ171" i="4"/>
  <c r="DR175" i="4"/>
  <c r="DS175" i="4" s="1"/>
  <c r="DS176" i="4"/>
  <c r="DS611" i="4"/>
  <c r="DR621" i="4"/>
  <c r="DR623" i="4" s="1"/>
  <c r="DT64" i="3"/>
  <c r="DV61" i="3"/>
  <c r="DV64" i="3"/>
  <c r="DM221" i="4"/>
  <c r="DN221" i="4" s="1"/>
  <c r="DM218" i="4"/>
  <c r="DJ225" i="4"/>
  <c r="DI238" i="4"/>
  <c r="DL219" i="4"/>
  <c r="DL223" i="4" s="1"/>
  <c r="DL225" i="4"/>
  <c r="DL238" i="4" s="1"/>
  <c r="DN982" i="4"/>
  <c r="DP980" i="4" s="1"/>
  <c r="AZ55" i="3"/>
  <c r="BV970" i="4"/>
  <c r="DI232" i="4"/>
  <c r="DW62" i="3" s="1"/>
  <c r="DJ222" i="4"/>
  <c r="DI235" i="4"/>
  <c r="DW63" i="3" s="1"/>
  <c r="DJ219" i="4"/>
  <c r="DI223" i="4"/>
  <c r="AX30" i="3"/>
  <c r="AJ46" i="9"/>
  <c r="DL8" i="3"/>
  <c r="AN55" i="3"/>
  <c r="CU1141" i="4"/>
  <c r="AF45" i="9" s="1"/>
  <c r="AF88" i="9" s="1"/>
  <c r="AN46" i="9"/>
  <c r="DP8" i="3"/>
  <c r="BB30" i="3"/>
  <c r="CY1141" i="4"/>
  <c r="AJ45" i="9" s="1"/>
  <c r="AJ147" i="9" s="1"/>
  <c r="DC1141" i="4"/>
  <c r="AN45" i="9" s="1"/>
  <c r="AN147" i="9" s="1"/>
  <c r="AF46" i="9"/>
  <c r="AB88" i="9"/>
  <c r="AT30" i="3"/>
  <c r="DH8" i="3"/>
  <c r="FO18" i="3" s="1"/>
  <c r="AI87" i="12"/>
  <c r="BZ703" i="4"/>
  <c r="BX708" i="4"/>
  <c r="DM1175" i="4"/>
  <c r="DP1175" i="4" s="1"/>
  <c r="U55" i="3"/>
  <c r="BM59" i="3"/>
  <c r="AZ16" i="9"/>
  <c r="AZ116" i="9" s="1"/>
  <c r="BN11" i="3"/>
  <c r="DN48" i="4"/>
  <c r="BM591" i="4"/>
  <c r="BN579" i="4"/>
  <c r="BM603" i="4"/>
  <c r="BL591" i="4"/>
  <c r="BW28" i="3"/>
  <c r="AB87" i="9"/>
  <c r="AB146" i="9"/>
  <c r="X146" i="9"/>
  <c r="X87" i="9"/>
  <c r="Y86" i="12"/>
  <c r="H87" i="9"/>
  <c r="H100" i="9" s="1"/>
  <c r="H145" i="9"/>
  <c r="H146" i="9"/>
  <c r="FK18" i="3"/>
  <c r="AI121" i="12"/>
  <c r="AI127" i="12" s="1"/>
  <c r="AI128" i="12" s="1"/>
  <c r="BJ1423" i="4"/>
  <c r="AC86" i="12"/>
  <c r="AL55" i="3"/>
  <c r="BM596" i="4"/>
  <c r="BL577" i="4"/>
  <c r="AB86" i="12"/>
  <c r="BM577" i="4"/>
  <c r="BM605" i="4"/>
  <c r="BR969" i="4"/>
  <c r="CA28" i="3"/>
  <c r="N55" i="3"/>
  <c r="J55" i="3"/>
  <c r="L88" i="9"/>
  <c r="L147" i="9"/>
  <c r="AF146" i="9"/>
  <c r="AF87" i="9"/>
  <c r="P100" i="9"/>
  <c r="P89" i="9"/>
  <c r="BS1144" i="4"/>
  <c r="CG7" i="3" s="1"/>
  <c r="CF7" i="3"/>
  <c r="BW1144" i="4"/>
  <c r="T87" i="9"/>
  <c r="T146" i="9"/>
  <c r="CO710" i="4"/>
  <c r="AJ146" i="9"/>
  <c r="AJ87" i="9"/>
  <c r="BL596" i="4"/>
  <c r="P148" i="9"/>
  <c r="P159" i="9"/>
  <c r="L100" i="9"/>
  <c r="L89" i="9"/>
  <c r="FC18" i="3"/>
  <c r="T88" i="9"/>
  <c r="T147" i="9"/>
  <c r="AD86" i="12"/>
  <c r="Z86" i="12"/>
  <c r="AN87" i="9"/>
  <c r="AN146" i="9"/>
  <c r="FG18" i="3"/>
  <c r="AH86" i="12"/>
  <c r="D145" i="9"/>
  <c r="D87" i="9"/>
  <c r="D100" i="9" s="1"/>
  <c r="D146" i="9"/>
  <c r="BS1141" i="4"/>
  <c r="D46" i="9"/>
  <c r="R30" i="3"/>
  <c r="R55" i="3" s="1"/>
  <c r="CF8" i="3"/>
  <c r="BW1141" i="4"/>
  <c r="H45" i="9" s="1"/>
  <c r="BL1423" i="4"/>
  <c r="AG86" i="12"/>
  <c r="L148" i="9"/>
  <c r="L159" i="9"/>
  <c r="AP55" i="3"/>
  <c r="AH55" i="3"/>
  <c r="T55" i="3"/>
  <c r="X55" i="3"/>
  <c r="BV28" i="3"/>
  <c r="BN1423" i="4"/>
  <c r="X88" i="9"/>
  <c r="X147" i="9"/>
  <c r="AJ86" i="12"/>
  <c r="AF86" i="12"/>
  <c r="BM75" i="3"/>
  <c r="AK8" i="12"/>
  <c r="AK11" i="12" s="1"/>
  <c r="L11" i="12" s="1"/>
  <c r="AK12" i="12"/>
  <c r="L12" i="12" s="1"/>
  <c r="BI46" i="3"/>
  <c r="DS68" i="3"/>
  <c r="BH74" i="3"/>
  <c r="BH45" i="3"/>
  <c r="BH73" i="3" s="1"/>
  <c r="BF74" i="3"/>
  <c r="BF45" i="3"/>
  <c r="BF73" i="3" s="1"/>
  <c r="BD50" i="3"/>
  <c r="DX40" i="3"/>
  <c r="AL22" i="12"/>
  <c r="AL27" i="12"/>
  <c r="BB17" i="12"/>
  <c r="BA18" i="12"/>
  <c r="BH2" i="12"/>
  <c r="BG5" i="12"/>
  <c r="CA748" i="4"/>
  <c r="BZ754" i="4"/>
  <c r="DN1344" i="4"/>
  <c r="BU2" i="4"/>
  <c r="BT3" i="4"/>
  <c r="BL579" i="4"/>
  <c r="DJ260" i="4"/>
  <c r="DJ277" i="4" s="1"/>
  <c r="DM1355" i="4"/>
  <c r="DM528" i="4"/>
  <c r="DM529" i="4" s="1"/>
  <c r="DM190" i="4"/>
  <c r="DL1329" i="4"/>
  <c r="DL1358" i="4"/>
  <c r="DJ184" i="4"/>
  <c r="DJ234" i="4" s="1"/>
  <c r="DK123" i="4"/>
  <c r="DL524" i="4"/>
  <c r="DL380" i="4"/>
  <c r="DL191" i="4"/>
  <c r="DL187" i="4"/>
  <c r="DI1059" i="4"/>
  <c r="DI868" i="4"/>
  <c r="DI521" i="4"/>
  <c r="DI266" i="4"/>
  <c r="DI193" i="4"/>
  <c r="DM1259" i="4"/>
  <c r="DJ1329" i="4"/>
  <c r="DI1338" i="4"/>
  <c r="DI1330" i="4"/>
  <c r="DK185" i="4"/>
  <c r="DJ380" i="4"/>
  <c r="DJ187" i="4"/>
  <c r="DM128" i="4"/>
  <c r="DN124" i="4"/>
  <c r="DM185" i="4"/>
  <c r="DI386" i="4"/>
  <c r="DI443" i="4"/>
  <c r="DN1260" i="4"/>
  <c r="DN1259" i="4"/>
  <c r="DO1259" i="4" s="1"/>
  <c r="BX754" i="4"/>
  <c r="BX749" i="4"/>
  <c r="BY745" i="4"/>
  <c r="BY748" i="4" s="1"/>
  <c r="BN577" i="4"/>
  <c r="DM1348" i="4"/>
  <c r="DM1347" i="4"/>
  <c r="DN1315" i="4"/>
  <c r="AM30" i="12" s="1"/>
  <c r="BR4" i="4"/>
  <c r="BQ4" i="4"/>
  <c r="BP4" i="4"/>
  <c r="BM579" i="4"/>
  <c r="DL1174" i="4"/>
  <c r="DJ1174" i="4"/>
  <c r="BX724" i="4"/>
  <c r="BZ720" i="4"/>
  <c r="BZ724" i="4" s="1"/>
  <c r="DM888" i="4"/>
  <c r="DP888" i="4" s="1"/>
  <c r="DQ888" i="4" s="1"/>
  <c r="DS612" i="4" l="1"/>
  <c r="DI1377" i="4"/>
  <c r="DI1373" i="4" s="1"/>
  <c r="DJ1373" i="4" s="1"/>
  <c r="H159" i="9"/>
  <c r="D159" i="9"/>
  <c r="AI107" i="12"/>
  <c r="AI108" i="12" s="1"/>
  <c r="AI109" i="12" s="1"/>
  <c r="AI90" i="12"/>
  <c r="AI113" i="12" s="1"/>
  <c r="AI114" i="12" s="1"/>
  <c r="AI115" i="12" s="1"/>
  <c r="AP7" i="12"/>
  <c r="AP19" i="12" s="1"/>
  <c r="DR18" i="4"/>
  <c r="DQ24" i="4"/>
  <c r="DR24" i="4" s="1"/>
  <c r="DQ48" i="4"/>
  <c r="BQ59" i="3"/>
  <c r="AM22" i="12"/>
  <c r="AM27" i="12"/>
  <c r="DM260" i="4"/>
  <c r="DZ61" i="3"/>
  <c r="BN61" i="3"/>
  <c r="DQ1019" i="4"/>
  <c r="DR1019" i="4" s="1"/>
  <c r="DR946" i="4"/>
  <c r="DQ502" i="4"/>
  <c r="DP529" i="4"/>
  <c r="DR29" i="4"/>
  <c r="DS779" i="4"/>
  <c r="DR1344" i="4"/>
  <c r="DP225" i="4"/>
  <c r="DP238" i="4" s="1"/>
  <c r="DP219" i="4"/>
  <c r="DQ1175" i="4"/>
  <c r="DR980" i="4"/>
  <c r="DP982" i="4"/>
  <c r="DS154" i="4"/>
  <c r="DQ128" i="4"/>
  <c r="DQ185" i="4"/>
  <c r="DR124" i="4"/>
  <c r="BR75" i="3" s="1"/>
  <c r="DR1315" i="4"/>
  <c r="AN30" i="12" s="1"/>
  <c r="DQ1348" i="4"/>
  <c r="DQ1347" i="4"/>
  <c r="DP1329" i="4"/>
  <c r="DP1358" i="4"/>
  <c r="DP524" i="4"/>
  <c r="DP187" i="4"/>
  <c r="BP46" i="3" s="1"/>
  <c r="BP45" i="3" s="1"/>
  <c r="DP380" i="4"/>
  <c r="DP191" i="4"/>
  <c r="DQ190" i="4"/>
  <c r="DQ221" i="4"/>
  <c r="DQ1355" i="4"/>
  <c r="DQ528" i="4"/>
  <c r="DQ529" i="4" s="1"/>
  <c r="DQ218" i="4"/>
  <c r="DQ457" i="4"/>
  <c r="DR942" i="4"/>
  <c r="DR166" i="4"/>
  <c r="DS146" i="4"/>
  <c r="DR145" i="4"/>
  <c r="DM1190" i="4"/>
  <c r="DP1254" i="4"/>
  <c r="DP1019" i="4"/>
  <c r="DP502" i="4"/>
  <c r="V55" i="3"/>
  <c r="DI263" i="4"/>
  <c r="DL260" i="4"/>
  <c r="DL263" i="4"/>
  <c r="DZ68" i="3" s="1"/>
  <c r="DM222" i="4"/>
  <c r="DN222" i="4" s="1"/>
  <c r="DL232" i="4"/>
  <c r="DZ62" i="3" s="1"/>
  <c r="DJ238" i="4"/>
  <c r="DN218" i="4"/>
  <c r="DN219" i="4" s="1"/>
  <c r="DM219" i="4"/>
  <c r="DM225" i="4"/>
  <c r="BZ708" i="4"/>
  <c r="DL235" i="4"/>
  <c r="DZ63" i="3" s="1"/>
  <c r="FW18" i="3"/>
  <c r="FS18" i="3"/>
  <c r="DI236" i="4"/>
  <c r="DW64" i="3" s="1"/>
  <c r="DW61" i="3"/>
  <c r="DJ232" i="4"/>
  <c r="DX62" i="3" s="1"/>
  <c r="DJ223" i="4"/>
  <c r="DX61" i="3" s="1"/>
  <c r="AF147" i="9"/>
  <c r="DL236" i="4"/>
  <c r="DZ64" i="3" s="1"/>
  <c r="DJ231" i="4"/>
  <c r="DJ235" i="4"/>
  <c r="DX63" i="3" s="1"/>
  <c r="BX710" i="4"/>
  <c r="BY703" i="4"/>
  <c r="BY708" i="4" s="1"/>
  <c r="BB55" i="3"/>
  <c r="AJ88" i="9"/>
  <c r="AN88" i="9"/>
  <c r="AX55" i="3"/>
  <c r="AT55" i="3"/>
  <c r="AZ62" i="9"/>
  <c r="DN1175" i="4"/>
  <c r="BN59" i="3"/>
  <c r="CB28" i="3"/>
  <c r="D45" i="9"/>
  <c r="CG8" i="3"/>
  <c r="AA86" i="12"/>
  <c r="AB96" i="12"/>
  <c r="AB87" i="12"/>
  <c r="X89" i="9"/>
  <c r="X100" i="9"/>
  <c r="AF96" i="12"/>
  <c r="AF87" i="12"/>
  <c r="AF90" i="12" s="1"/>
  <c r="AN148" i="9"/>
  <c r="AN159" i="9"/>
  <c r="AF89" i="9"/>
  <c r="AF100" i="9"/>
  <c r="BX28" i="3"/>
  <c r="Y96" i="12"/>
  <c r="Y87" i="12"/>
  <c r="X159" i="9"/>
  <c r="X148" i="9"/>
  <c r="BZ28" i="3"/>
  <c r="AN100" i="9"/>
  <c r="AN89" i="9"/>
  <c r="AD96" i="12"/>
  <c r="AD87" i="12"/>
  <c r="AD90" i="12" s="1"/>
  <c r="AJ100" i="9"/>
  <c r="AJ89" i="9"/>
  <c r="T148" i="9"/>
  <c r="T159" i="9"/>
  <c r="AF159" i="9"/>
  <c r="AF148" i="9"/>
  <c r="AC96" i="12"/>
  <c r="AC87" i="12"/>
  <c r="AB159" i="9"/>
  <c r="AB148" i="9"/>
  <c r="AJ96" i="12"/>
  <c r="AJ87" i="12"/>
  <c r="AG96" i="12"/>
  <c r="AG87" i="12"/>
  <c r="H147" i="9"/>
  <c r="H88" i="9"/>
  <c r="AH96" i="12"/>
  <c r="AH87" i="12"/>
  <c r="Z96" i="12"/>
  <c r="Z87" i="12"/>
  <c r="AJ148" i="9"/>
  <c r="AJ159" i="9"/>
  <c r="T100" i="9"/>
  <c r="T89" i="9"/>
  <c r="AB89" i="9"/>
  <c r="AB100" i="9"/>
  <c r="BR970" i="4"/>
  <c r="BN75" i="3"/>
  <c r="DJ1330" i="4"/>
  <c r="AL20" i="12"/>
  <c r="AL21" i="12" s="1"/>
  <c r="BH80" i="3"/>
  <c r="AO30" i="12"/>
  <c r="BL46" i="3"/>
  <c r="DN1347" i="4"/>
  <c r="AL9" i="12"/>
  <c r="AV8" i="9"/>
  <c r="AV6" i="9" s="1"/>
  <c r="BJ46" i="3"/>
  <c r="DJ266" i="4"/>
  <c r="DV68" i="3"/>
  <c r="BE49" i="3"/>
  <c r="BE79" i="3" s="1"/>
  <c r="BE80" i="3"/>
  <c r="BI74" i="3"/>
  <c r="BI45" i="3"/>
  <c r="BI73" i="3" s="1"/>
  <c r="DM1174" i="4"/>
  <c r="DP1174" i="4" s="1"/>
  <c r="BH49" i="3"/>
  <c r="BH79" i="3" s="1"/>
  <c r="DT68" i="3"/>
  <c r="BD81" i="3"/>
  <c r="BI2" i="12"/>
  <c r="BH5" i="12"/>
  <c r="BC17" i="12"/>
  <c r="BB18" i="12"/>
  <c r="BR431" i="4"/>
  <c r="BR1421" i="4"/>
  <c r="BR1415" i="4"/>
  <c r="BR589" i="4"/>
  <c r="BR1413" i="4"/>
  <c r="BR206" i="4"/>
  <c r="BR1417" i="4"/>
  <c r="BR1419" i="4"/>
  <c r="BR856" i="4"/>
  <c r="BR205" i="4"/>
  <c r="BR869" i="4"/>
  <c r="BR597" i="4"/>
  <c r="BR872" i="4"/>
  <c r="BR877" i="4"/>
  <c r="BR874" i="4"/>
  <c r="BR1410" i="4"/>
  <c r="BR873" i="4"/>
  <c r="CF79" i="3" s="1"/>
  <c r="BR855" i="4"/>
  <c r="BR594" i="4"/>
  <c r="BR791" i="4"/>
  <c r="BR430" i="4"/>
  <c r="BR879" i="4"/>
  <c r="BR797" i="4"/>
  <c r="BR871" i="4"/>
  <c r="BR1230" i="4"/>
  <c r="BR570" i="4"/>
  <c r="BR1213" i="4"/>
  <c r="BR567" i="4"/>
  <c r="BR878" i="4"/>
  <c r="BR697" i="4"/>
  <c r="BS697" i="4" s="1"/>
  <c r="BR575" i="4"/>
  <c r="BR870" i="4"/>
  <c r="BR715" i="4"/>
  <c r="BR1411" i="4"/>
  <c r="BR601" i="4"/>
  <c r="BR1412" i="4"/>
  <c r="BR1414" i="4"/>
  <c r="BR1416" i="4"/>
  <c r="BR1425" i="4"/>
  <c r="BR1418" i="4"/>
  <c r="BR1420" i="4"/>
  <c r="BR1422" i="4"/>
  <c r="BR1426" i="4"/>
  <c r="BR1403" i="4"/>
  <c r="BR1404" i="4"/>
  <c r="DJ386" i="4"/>
  <c r="DO124" i="4"/>
  <c r="DN185" i="4"/>
  <c r="DN123" i="4"/>
  <c r="DJ1059" i="4"/>
  <c r="DJ868" i="4"/>
  <c r="DJ876" i="4" s="1"/>
  <c r="DK187" i="4"/>
  <c r="AV9" i="9" s="1"/>
  <c r="DL443" i="4"/>
  <c r="DL386" i="4"/>
  <c r="DL1338" i="4"/>
  <c r="DL1330" i="4"/>
  <c r="DI257" i="4"/>
  <c r="DI258" i="4" s="1"/>
  <c r="DJ258" i="4" s="1"/>
  <c r="BZ753" i="4"/>
  <c r="BZ755" i="4" s="1"/>
  <c r="CA724" i="4"/>
  <c r="BP1417" i="4"/>
  <c r="BP1419" i="4"/>
  <c r="BP1421" i="4"/>
  <c r="BP877" i="4"/>
  <c r="BP751" i="4"/>
  <c r="BP713" i="4"/>
  <c r="BP712" i="4"/>
  <c r="BP711" i="4"/>
  <c r="BP765" i="4"/>
  <c r="BP750" i="4"/>
  <c r="BP728" i="4"/>
  <c r="BP431" i="4"/>
  <c r="BP205" i="4"/>
  <c r="BP206" i="4"/>
  <c r="BP856" i="4"/>
  <c r="BP589" i="4"/>
  <c r="BP727" i="4"/>
  <c r="BP869" i="4"/>
  <c r="BP1410" i="4"/>
  <c r="BP1413" i="4"/>
  <c r="BP597" i="4"/>
  <c r="BP874" i="4"/>
  <c r="BP872" i="4"/>
  <c r="BP873" i="4"/>
  <c r="CD79" i="3" s="1"/>
  <c r="BP1415" i="4"/>
  <c r="BP855" i="4"/>
  <c r="BP1213" i="4"/>
  <c r="BP879" i="4"/>
  <c r="BP797" i="4"/>
  <c r="BP430" i="4"/>
  <c r="BP567" i="4"/>
  <c r="BP1411" i="4"/>
  <c r="BP594" i="4"/>
  <c r="BP871" i="4"/>
  <c r="BP715" i="4"/>
  <c r="BP716" i="4" s="1"/>
  <c r="BP570" i="4"/>
  <c r="BP1230" i="4"/>
  <c r="BP791" i="4"/>
  <c r="BP697" i="4"/>
  <c r="BP698" i="4" s="1"/>
  <c r="BP870" i="4"/>
  <c r="BP1412" i="4"/>
  <c r="BP878" i="4"/>
  <c r="BP575" i="4"/>
  <c r="BP601" i="4"/>
  <c r="BP1414" i="4"/>
  <c r="BP1425" i="4"/>
  <c r="BP1416" i="4"/>
  <c r="BP1418" i="4"/>
  <c r="BP1420" i="4"/>
  <c r="BP1422" i="4"/>
  <c r="BP1426" i="4"/>
  <c r="BP1404" i="4"/>
  <c r="BP1403" i="4"/>
  <c r="DN1345" i="4"/>
  <c r="EB40" i="3" s="1"/>
  <c r="DO1315" i="4"/>
  <c r="BY749" i="4"/>
  <c r="BY754" i="4"/>
  <c r="DJ443" i="4"/>
  <c r="DM1329" i="4"/>
  <c r="DM1358" i="4"/>
  <c r="DN1358" i="4" s="1"/>
  <c r="DO1358" i="4" s="1"/>
  <c r="BY720" i="4"/>
  <c r="BY724" i="4" s="1"/>
  <c r="BX753" i="4"/>
  <c r="BX755" i="4" s="1"/>
  <c r="BX726" i="4"/>
  <c r="BQ1421" i="4"/>
  <c r="BQ1417" i="4"/>
  <c r="BQ1419" i="4"/>
  <c r="BQ751" i="4"/>
  <c r="BQ713" i="4"/>
  <c r="BQ712" i="4"/>
  <c r="BQ711" i="4"/>
  <c r="BQ765" i="4"/>
  <c r="BQ750" i="4"/>
  <c r="BQ728" i="4"/>
  <c r="BQ589" i="4"/>
  <c r="BQ597" i="4"/>
  <c r="BQ431" i="4"/>
  <c r="BQ594" i="4"/>
  <c r="BQ205" i="4"/>
  <c r="BQ206" i="4"/>
  <c r="BQ1415" i="4"/>
  <c r="BQ872" i="4"/>
  <c r="BQ697" i="4"/>
  <c r="BQ791" i="4"/>
  <c r="BQ856" i="4"/>
  <c r="BQ1230" i="4"/>
  <c r="BQ1413" i="4"/>
  <c r="BQ855" i="4"/>
  <c r="BQ874" i="4"/>
  <c r="BQ727" i="4"/>
  <c r="BQ869" i="4"/>
  <c r="BQ1410" i="4"/>
  <c r="BQ797" i="4"/>
  <c r="BQ873" i="4"/>
  <c r="CE79" i="3" s="1"/>
  <c r="BQ877" i="4"/>
  <c r="BQ871" i="4"/>
  <c r="BQ430" i="4"/>
  <c r="BQ879" i="4"/>
  <c r="BQ567" i="4"/>
  <c r="BQ1213" i="4"/>
  <c r="BQ570" i="4"/>
  <c r="BQ870" i="4"/>
  <c r="BQ878" i="4"/>
  <c r="BQ575" i="4"/>
  <c r="BQ715" i="4"/>
  <c r="BQ1411" i="4"/>
  <c r="BQ1412" i="4"/>
  <c r="BQ601" i="4"/>
  <c r="BQ1414" i="4"/>
  <c r="BQ1416" i="4"/>
  <c r="BQ1425" i="4"/>
  <c r="BQ1418" i="4"/>
  <c r="BQ1420" i="4"/>
  <c r="BQ1422" i="4"/>
  <c r="BQ1404" i="4"/>
  <c r="BQ1426" i="4"/>
  <c r="BQ1403" i="4"/>
  <c r="DI393" i="4"/>
  <c r="DI395" i="4"/>
  <c r="DI390" i="4"/>
  <c r="DI394" i="4"/>
  <c r="DI522" i="4"/>
  <c r="DI486" i="4" s="1"/>
  <c r="DJ521" i="4"/>
  <c r="DJ522" i="4" s="1"/>
  <c r="DL1059" i="4"/>
  <c r="DL868" i="4"/>
  <c r="DL521" i="4"/>
  <c r="DL522" i="4" s="1"/>
  <c r="DL486" i="4" s="1"/>
  <c r="DL193" i="4"/>
  <c r="DL266" i="4"/>
  <c r="DM524" i="4"/>
  <c r="DN524" i="4" s="1"/>
  <c r="DM380" i="4"/>
  <c r="DM191" i="4"/>
  <c r="DM187" i="4"/>
  <c r="DJ1338" i="4"/>
  <c r="DI1336" i="4"/>
  <c r="DI1335" i="4"/>
  <c r="DI876" i="4"/>
  <c r="DJ528" i="4"/>
  <c r="DJ529" i="4" s="1"/>
  <c r="DK184" i="4"/>
  <c r="DJ257" i="4"/>
  <c r="BU3" i="4"/>
  <c r="BV2" i="4"/>
  <c r="DL1377" i="4" l="1"/>
  <c r="DL1373" i="4" s="1"/>
  <c r="DJ1377" i="4"/>
  <c r="DJ1378" i="4" s="1"/>
  <c r="AJ107" i="12"/>
  <c r="AJ108" i="12" s="1"/>
  <c r="AJ109" i="12" s="1"/>
  <c r="AJ90" i="12"/>
  <c r="AJ113" i="12" s="1"/>
  <c r="AJ114" i="12" s="1"/>
  <c r="AJ115" i="12" s="1"/>
  <c r="AH107" i="12"/>
  <c r="AH108" i="12" s="1"/>
  <c r="AH109" i="12" s="1"/>
  <c r="AH90" i="12"/>
  <c r="AH113" i="12" s="1"/>
  <c r="AH114" i="12" s="1"/>
  <c r="AH115" i="12" s="1"/>
  <c r="AG107" i="12"/>
  <c r="AG108" i="12" s="1"/>
  <c r="AG109" i="12" s="1"/>
  <c r="AG90" i="12"/>
  <c r="AG113" i="12" s="1"/>
  <c r="AG114" i="12" s="1"/>
  <c r="AG115" i="12" s="1"/>
  <c r="AQ7" i="12"/>
  <c r="AQ19" i="12" s="1"/>
  <c r="BR11" i="3"/>
  <c r="BR61" i="3" s="1"/>
  <c r="BD16" i="9"/>
  <c r="BD116" i="9" s="1"/>
  <c r="DR48" i="4"/>
  <c r="BP74" i="3"/>
  <c r="DM1265" i="4"/>
  <c r="DN1190" i="4"/>
  <c r="AN22" i="12"/>
  <c r="AN27" i="12"/>
  <c r="DQ1174" i="4"/>
  <c r="DQ1329" i="4"/>
  <c r="DQ1358" i="4"/>
  <c r="DR1358" i="4" s="1"/>
  <c r="DS1358" i="4" s="1"/>
  <c r="DP266" i="4"/>
  <c r="DP521" i="4"/>
  <c r="DP1059" i="4"/>
  <c r="DP868" i="4"/>
  <c r="DP193" i="4"/>
  <c r="DR1347" i="4"/>
  <c r="DP232" i="4"/>
  <c r="ED62" i="3" s="1"/>
  <c r="DP223" i="4"/>
  <c r="ED61" i="3" s="1"/>
  <c r="DR221" i="4"/>
  <c r="DQ222" i="4"/>
  <c r="DS1315" i="4"/>
  <c r="DR1345" i="4"/>
  <c r="DP235" i="4"/>
  <c r="ED63" i="3" s="1"/>
  <c r="DR502" i="4"/>
  <c r="DR185" i="4"/>
  <c r="DR123" i="4"/>
  <c r="DS124" i="4"/>
  <c r="DQ980" i="4"/>
  <c r="DQ982" i="4" s="1"/>
  <c r="DQ945" i="4" s="1"/>
  <c r="DP945" i="4"/>
  <c r="DR987" i="4"/>
  <c r="DQ380" i="4"/>
  <c r="DQ524" i="4"/>
  <c r="DR524" i="4" s="1"/>
  <c r="DQ187" i="4"/>
  <c r="BQ46" i="3" s="1"/>
  <c r="BQ45" i="3" s="1"/>
  <c r="DQ191" i="4"/>
  <c r="DR1254" i="4"/>
  <c r="DP1258" i="4"/>
  <c r="DP1259" i="4" s="1"/>
  <c r="DS145" i="4"/>
  <c r="DR218" i="4"/>
  <c r="DQ225" i="4"/>
  <c r="DQ219" i="4"/>
  <c r="DP1338" i="4"/>
  <c r="DP1330" i="4"/>
  <c r="DR1175" i="4"/>
  <c r="DP386" i="4"/>
  <c r="DP443" i="4"/>
  <c r="CA708" i="4"/>
  <c r="DN232" i="4"/>
  <c r="EB62" i="3" s="1"/>
  <c r="DM223" i="4"/>
  <c r="DM232" i="4"/>
  <c r="EA62" i="3" s="1"/>
  <c r="DN225" i="4"/>
  <c r="DM238" i="4"/>
  <c r="DN223" i="4"/>
  <c r="EB61" i="3" s="1"/>
  <c r="DM235" i="4"/>
  <c r="EA63" i="3" s="1"/>
  <c r="DJ236" i="4"/>
  <c r="DX64" i="3" s="1"/>
  <c r="DK223" i="4"/>
  <c r="BQ798" i="4"/>
  <c r="CE27" i="3"/>
  <c r="BQ595" i="4"/>
  <c r="BR595" i="4"/>
  <c r="CF25" i="3"/>
  <c r="CE24" i="3"/>
  <c r="CE25" i="3"/>
  <c r="CD27" i="3"/>
  <c r="CD77" i="3"/>
  <c r="CF27" i="3"/>
  <c r="CF26" i="3"/>
  <c r="CF78" i="3"/>
  <c r="D147" i="9"/>
  <c r="D88" i="9"/>
  <c r="CE78" i="3"/>
  <c r="CE76" i="3"/>
  <c r="CD26" i="3"/>
  <c r="BQ1424" i="4"/>
  <c r="BQ1423" i="4" s="1"/>
  <c r="CE29" i="3"/>
  <c r="BQ716" i="4"/>
  <c r="BQ571" i="4"/>
  <c r="CE77" i="3"/>
  <c r="BP1424" i="4"/>
  <c r="BP1423" i="4" s="1"/>
  <c r="CD29" i="3"/>
  <c r="CD24" i="3"/>
  <c r="BP595" i="4"/>
  <c r="CD25" i="3"/>
  <c r="CF30" i="3"/>
  <c r="CF24" i="3"/>
  <c r="CF76" i="3"/>
  <c r="AA96" i="12"/>
  <c r="AA87" i="12"/>
  <c r="CE26" i="3"/>
  <c r="P7" i="3"/>
  <c r="CD76" i="3"/>
  <c r="CE30" i="3"/>
  <c r="Q7" i="3"/>
  <c r="BQ698" i="4"/>
  <c r="CD30" i="3"/>
  <c r="BP571" i="4"/>
  <c r="CD78" i="3"/>
  <c r="BR1424" i="4"/>
  <c r="CF29" i="3"/>
  <c r="D13" i="9"/>
  <c r="R7" i="3"/>
  <c r="CF77" i="3"/>
  <c r="BY710" i="4"/>
  <c r="BF80" i="3"/>
  <c r="DT69" i="3"/>
  <c r="BM46" i="3"/>
  <c r="BH50" i="3"/>
  <c r="DJ393" i="4"/>
  <c r="DN1174" i="4"/>
  <c r="BE50" i="3"/>
  <c r="BF49" i="3"/>
  <c r="BF79" i="3" s="1"/>
  <c r="DJ279" i="4"/>
  <c r="AV7" i="9"/>
  <c r="BL45" i="3"/>
  <c r="BL74" i="3"/>
  <c r="AO27" i="12"/>
  <c r="DJ395" i="4"/>
  <c r="DW68" i="3"/>
  <c r="BJ45" i="3"/>
  <c r="BJ73" i="3" s="1"/>
  <c r="BJ74" i="3"/>
  <c r="AP30" i="12"/>
  <c r="AL8" i="12"/>
  <c r="AL12" i="12"/>
  <c r="BI5" i="12"/>
  <c r="BJ2" i="12"/>
  <c r="BD17" i="12"/>
  <c r="BC18" i="12"/>
  <c r="DJ454" i="4"/>
  <c r="BX2" i="4"/>
  <c r="BV3" i="4"/>
  <c r="DI1324" i="4"/>
  <c r="DJ1336" i="4"/>
  <c r="DM443" i="4"/>
  <c r="DM386" i="4"/>
  <c r="DJ390" i="4"/>
  <c r="DJ455" i="4" s="1"/>
  <c r="BP799" i="4"/>
  <c r="BP798" i="4"/>
  <c r="BP578" i="4"/>
  <c r="DJ1335" i="4"/>
  <c r="DI1323" i="4"/>
  <c r="DI1337" i="4"/>
  <c r="BQ604" i="4"/>
  <c r="BQ602" i="4"/>
  <c r="BQ578" i="4"/>
  <c r="BP604" i="4"/>
  <c r="BP605" i="4" s="1"/>
  <c r="BP602" i="4"/>
  <c r="BP603" i="4" s="1"/>
  <c r="BP590" i="4"/>
  <c r="BP574" i="4"/>
  <c r="BP576" i="4" s="1"/>
  <c r="DL1335" i="4"/>
  <c r="DL1336" i="4"/>
  <c r="DN184" i="4"/>
  <c r="DO123" i="4"/>
  <c r="DJ405" i="4"/>
  <c r="DM1059" i="4"/>
  <c r="DM868" i="4"/>
  <c r="DM521" i="4"/>
  <c r="DM266" i="4"/>
  <c r="DM193" i="4"/>
  <c r="DN260" i="4"/>
  <c r="DN277" i="4" s="1"/>
  <c r="DL525" i="4"/>
  <c r="DL526" i="4" s="1"/>
  <c r="DL492" i="4"/>
  <c r="DL587" i="4"/>
  <c r="DL487" i="4"/>
  <c r="DL519" i="4"/>
  <c r="DI587" i="4"/>
  <c r="DI525" i="4"/>
  <c r="DI526" i="4" s="1"/>
  <c r="DI487" i="4"/>
  <c r="DI492" i="4"/>
  <c r="DI519" i="4"/>
  <c r="DJ486" i="4"/>
  <c r="BQ580" i="4"/>
  <c r="BQ569" i="4"/>
  <c r="BQ568" i="4"/>
  <c r="BQ590" i="4"/>
  <c r="BQ574" i="4"/>
  <c r="BQ576" i="4" s="1"/>
  <c r="DM1338" i="4"/>
  <c r="DN1329" i="4"/>
  <c r="AM20" i="12" s="1"/>
  <c r="AM21" i="12" s="1"/>
  <c r="DM1330" i="4"/>
  <c r="BP568" i="4"/>
  <c r="BP580" i="4"/>
  <c r="BP569" i="4"/>
  <c r="DI1243" i="4"/>
  <c r="DJ1243" i="4" s="1"/>
  <c r="DJ263" i="4"/>
  <c r="DJ278" i="4" s="1"/>
  <c r="DL257" i="4"/>
  <c r="DL258" i="4" s="1"/>
  <c r="DO185" i="4"/>
  <c r="DN380" i="4"/>
  <c r="DN187" i="4"/>
  <c r="AM9" i="12" s="1"/>
  <c r="BR580" i="4"/>
  <c r="BR569" i="4"/>
  <c r="D14" i="9" s="1"/>
  <c r="BR578" i="4"/>
  <c r="BR590" i="4"/>
  <c r="BR574" i="4"/>
  <c r="BR576" i="4" s="1"/>
  <c r="DL876" i="4"/>
  <c r="DI467" i="4"/>
  <c r="DJ394" i="4"/>
  <c r="BY753" i="4"/>
  <c r="BY755" i="4" s="1"/>
  <c r="BY726" i="4"/>
  <c r="DJ274" i="4"/>
  <c r="DL395" i="4"/>
  <c r="DL394" i="4"/>
  <c r="DL390" i="4"/>
  <c r="DL393" i="4"/>
  <c r="BR604" i="4"/>
  <c r="BR602" i="4"/>
  <c r="DM1377" i="4" l="1"/>
  <c r="DM1373" i="4" s="1"/>
  <c r="DN1373" i="4" s="1"/>
  <c r="DP1377" i="4"/>
  <c r="DP1373" i="4" s="1"/>
  <c r="AR7" i="12"/>
  <c r="AR19" i="12" s="1"/>
  <c r="BR59" i="3"/>
  <c r="BD62" i="9"/>
  <c r="BQ74" i="3"/>
  <c r="AM8" i="12"/>
  <c r="AM11" i="12" s="1"/>
  <c r="AM12" i="12"/>
  <c r="DP260" i="4"/>
  <c r="EA61" i="3"/>
  <c r="EF40" i="3"/>
  <c r="BL73" i="3"/>
  <c r="BP73" i="3"/>
  <c r="AL11" i="12"/>
  <c r="DR225" i="4"/>
  <c r="DQ238" i="4"/>
  <c r="DR219" i="4"/>
  <c r="DQ868" i="4"/>
  <c r="DQ193" i="4"/>
  <c r="DQ266" i="4"/>
  <c r="DQ1059" i="4"/>
  <c r="DQ521" i="4"/>
  <c r="DQ235" i="4"/>
  <c r="EE63" i="3" s="1"/>
  <c r="DR222" i="4"/>
  <c r="DP876" i="4"/>
  <c r="DP501" i="4"/>
  <c r="DQ223" i="4"/>
  <c r="EE61" i="3" s="1"/>
  <c r="DQ232" i="4"/>
  <c r="EE62" i="3" s="1"/>
  <c r="DQ386" i="4"/>
  <c r="DQ443" i="4"/>
  <c r="DR945" i="4"/>
  <c r="DQ501" i="4"/>
  <c r="DP263" i="4"/>
  <c r="ED68" i="3" s="1"/>
  <c r="DP236" i="4"/>
  <c r="ED64" i="3" s="1"/>
  <c r="DQ260" i="4"/>
  <c r="DP522" i="4"/>
  <c r="DP486" i="4" s="1"/>
  <c r="DP394" i="4"/>
  <c r="DP395" i="4"/>
  <c r="DP393" i="4"/>
  <c r="DP390" i="4"/>
  <c r="DR1329" i="4"/>
  <c r="AN20" i="12" s="1"/>
  <c r="AN21" i="12" s="1"/>
  <c r="DQ1338" i="4"/>
  <c r="DQ1330" i="4"/>
  <c r="DP1190" i="4"/>
  <c r="DQ1254" i="4"/>
  <c r="DS123" i="4"/>
  <c r="DR184" i="4"/>
  <c r="DR1174" i="4"/>
  <c r="DP1336" i="4"/>
  <c r="DP1335" i="4"/>
  <c r="DR187" i="4"/>
  <c r="DS185" i="4"/>
  <c r="DR380" i="4"/>
  <c r="DM263" i="4"/>
  <c r="DM236" i="4"/>
  <c r="EA64" i="3" s="1"/>
  <c r="BF50" i="3"/>
  <c r="DN238" i="4"/>
  <c r="DN235" i="4"/>
  <c r="EB63" i="3" s="1"/>
  <c r="DN231" i="4"/>
  <c r="DN234" i="4"/>
  <c r="DO223" i="4"/>
  <c r="DN236" i="4"/>
  <c r="EB64" i="3" s="1"/>
  <c r="DL1337" i="4"/>
  <c r="DL1325" i="4" s="1"/>
  <c r="D114" i="9"/>
  <c r="D60" i="9"/>
  <c r="BQ579" i="4"/>
  <c r="CE31" i="3"/>
  <c r="BR579" i="4"/>
  <c r="CF31" i="3"/>
  <c r="BQ591" i="4"/>
  <c r="BP591" i="4"/>
  <c r="CE28" i="3"/>
  <c r="CD28" i="3"/>
  <c r="BP596" i="4"/>
  <c r="BP579" i="4"/>
  <c r="CD31" i="3"/>
  <c r="BQ603" i="4"/>
  <c r="BQ605" i="4"/>
  <c r="D113" i="9"/>
  <c r="D153" i="9" s="1"/>
  <c r="D59" i="9"/>
  <c r="D94" i="9" s="1"/>
  <c r="BR1423" i="4"/>
  <c r="BQ596" i="4"/>
  <c r="BI49" i="3"/>
  <c r="BI79" i="3" s="1"/>
  <c r="DN1330" i="4"/>
  <c r="AV10" i="9"/>
  <c r="BI80" i="3"/>
  <c r="BL80" i="3"/>
  <c r="DJ1324" i="4"/>
  <c r="BM45" i="3"/>
  <c r="BM74" i="3"/>
  <c r="AZ8" i="9"/>
  <c r="AZ6" i="9" s="1"/>
  <c r="BN46" i="3"/>
  <c r="DL1324" i="4"/>
  <c r="DJ1340" i="4"/>
  <c r="AP27" i="12"/>
  <c r="AQ30" i="12"/>
  <c r="BE81" i="3"/>
  <c r="DX68" i="3"/>
  <c r="DL467" i="4"/>
  <c r="DI488" i="4"/>
  <c r="DI511" i="4" s="1"/>
  <c r="BL49" i="3"/>
  <c r="DN266" i="4"/>
  <c r="DL1323" i="4"/>
  <c r="DJ1341" i="4"/>
  <c r="DJ449" i="4"/>
  <c r="DJ447" i="4"/>
  <c r="BH81" i="3"/>
  <c r="BJ5" i="12"/>
  <c r="BK2" i="12"/>
  <c r="BD18" i="12"/>
  <c r="BE17" i="12"/>
  <c r="DN1059" i="4"/>
  <c r="DN868" i="4"/>
  <c r="DN876" i="4" s="1"/>
  <c r="DO187" i="4"/>
  <c r="AZ9" i="9" s="1"/>
  <c r="DJ587" i="4"/>
  <c r="DK486" i="4"/>
  <c r="DJ523" i="4"/>
  <c r="DJ525" i="4"/>
  <c r="DJ526" i="4" s="1"/>
  <c r="DJ519" i="4"/>
  <c r="DI592" i="4"/>
  <c r="DI493" i="4"/>
  <c r="DJ487" i="4"/>
  <c r="DL592" i="4"/>
  <c r="DL493" i="4"/>
  <c r="DM876" i="4"/>
  <c r="BQ577" i="4"/>
  <c r="BT4" i="4"/>
  <c r="BU4" i="4"/>
  <c r="BV4" i="4"/>
  <c r="DN443" i="4"/>
  <c r="DN257" i="4"/>
  <c r="DN1338" i="4"/>
  <c r="DM1335" i="4"/>
  <c r="DM1336" i="4"/>
  <c r="DN528" i="4"/>
  <c r="DN529" i="4" s="1"/>
  <c r="DO184" i="4"/>
  <c r="DJ1323" i="4"/>
  <c r="DI1352" i="4"/>
  <c r="DJ445" i="4"/>
  <c r="DN386" i="4"/>
  <c r="BY2" i="4"/>
  <c r="BX3" i="4"/>
  <c r="BP577" i="4"/>
  <c r="DL455" i="4"/>
  <c r="DI455" i="4"/>
  <c r="DI454" i="4"/>
  <c r="DJ459" i="4"/>
  <c r="DJ469" i="4" s="1"/>
  <c r="DL454" i="4"/>
  <c r="DJ448" i="4"/>
  <c r="DJ467" i="4"/>
  <c r="BR577" i="4"/>
  <c r="DL488" i="4"/>
  <c r="DL1243" i="4"/>
  <c r="DM257" i="4"/>
  <c r="DM258" i="4" s="1"/>
  <c r="DN258" i="4" s="1"/>
  <c r="DM522" i="4"/>
  <c r="DM486" i="4" s="1"/>
  <c r="DN521" i="4"/>
  <c r="DN522" i="4" s="1"/>
  <c r="DI1342" i="4"/>
  <c r="DJ1337" i="4"/>
  <c r="DJ1342" i="4" s="1"/>
  <c r="DI1325" i="4"/>
  <c r="DJ1325" i="4" s="1"/>
  <c r="DM394" i="4"/>
  <c r="DM393" i="4"/>
  <c r="DM395" i="4"/>
  <c r="DM390" i="4"/>
  <c r="DN1377" i="4" l="1"/>
  <c r="DN1378" i="4" s="1"/>
  <c r="DQ1377" i="4"/>
  <c r="DQ1373" i="4" s="1"/>
  <c r="DR1373" i="4" s="1"/>
  <c r="AS7" i="12"/>
  <c r="AS19" i="12" s="1"/>
  <c r="DR260" i="4"/>
  <c r="DR277" i="4" s="1"/>
  <c r="DP1337" i="4"/>
  <c r="DP1325" i="4" s="1"/>
  <c r="AN9" i="12"/>
  <c r="BR46" i="3"/>
  <c r="BR45" i="3" s="1"/>
  <c r="BD8" i="9"/>
  <c r="BD6" i="9" s="1"/>
  <c r="BD7" i="9" s="1"/>
  <c r="DP257" i="4"/>
  <c r="DP258" i="4" s="1"/>
  <c r="EA68" i="3"/>
  <c r="BM73" i="3"/>
  <c r="BQ73" i="3"/>
  <c r="BL79" i="3"/>
  <c r="AZ7" i="9"/>
  <c r="DP587" i="4"/>
  <c r="DP525" i="4"/>
  <c r="DP526" i="4" s="1"/>
  <c r="DP487" i="4"/>
  <c r="BP80" i="3" s="1"/>
  <c r="DP492" i="4"/>
  <c r="DP519" i="4"/>
  <c r="BP49" i="3" s="1"/>
  <c r="BP79" i="3" s="1"/>
  <c r="DP1323" i="4"/>
  <c r="DR1338" i="4"/>
  <c r="DQ1336" i="4"/>
  <c r="DQ1335" i="4"/>
  <c r="DQ393" i="4"/>
  <c r="DQ390" i="4"/>
  <c r="DQ395" i="4"/>
  <c r="DQ394" i="4"/>
  <c r="DQ522" i="4"/>
  <c r="DQ486" i="4" s="1"/>
  <c r="DR521" i="4"/>
  <c r="DR522" i="4" s="1"/>
  <c r="DP1324" i="4"/>
  <c r="DR1330" i="4"/>
  <c r="DR386" i="4"/>
  <c r="DR443" i="4"/>
  <c r="DP1243" i="4"/>
  <c r="DQ257" i="4"/>
  <c r="DQ258" i="4" s="1"/>
  <c r="DR266" i="4"/>
  <c r="DR501" i="4"/>
  <c r="DR223" i="4"/>
  <c r="EF61" i="3" s="1"/>
  <c r="DR232" i="4"/>
  <c r="EF62" i="3" s="1"/>
  <c r="DR528" i="4"/>
  <c r="DR529" i="4" s="1"/>
  <c r="DS184" i="4"/>
  <c r="DR1059" i="4"/>
  <c r="DR868" i="4"/>
  <c r="DR876" i="4" s="1"/>
  <c r="DS187" i="4"/>
  <c r="BD9" i="9" s="1"/>
  <c r="DQ1258" i="4"/>
  <c r="DR1258" i="4" s="1"/>
  <c r="DR982" i="4"/>
  <c r="DQ263" i="4"/>
  <c r="EE68" i="3" s="1"/>
  <c r="DQ236" i="4"/>
  <c r="EE64" i="3" s="1"/>
  <c r="DQ876" i="4"/>
  <c r="DR231" i="4"/>
  <c r="DP1265" i="4"/>
  <c r="DR235" i="4"/>
  <c r="EF63" i="3" s="1"/>
  <c r="DP467" i="4"/>
  <c r="DR234" i="4"/>
  <c r="DR238" i="4"/>
  <c r="BF81" i="3"/>
  <c r="DL1342" i="4"/>
  <c r="DJ1351" i="4"/>
  <c r="DL1352" i="4"/>
  <c r="DL1326" i="4"/>
  <c r="DL1316" i="4" s="1"/>
  <c r="DK1324" i="4"/>
  <c r="CF28" i="3"/>
  <c r="DI494" i="4"/>
  <c r="DN274" i="4"/>
  <c r="DI509" i="4"/>
  <c r="DI566" i="4"/>
  <c r="DI459" i="4"/>
  <c r="DI469" i="4" s="1"/>
  <c r="DJ285" i="4"/>
  <c r="DX69" i="3"/>
  <c r="AR30" i="12"/>
  <c r="AQ27" i="12"/>
  <c r="BN74" i="3"/>
  <c r="BN45" i="3"/>
  <c r="BL50" i="3"/>
  <c r="AK31" i="12"/>
  <c r="AK23" i="12" s="1"/>
  <c r="DN393" i="4"/>
  <c r="DM1337" i="4"/>
  <c r="DM1325" i="4" s="1"/>
  <c r="DN1325" i="4" s="1"/>
  <c r="AV110" i="9"/>
  <c r="AV56" i="9"/>
  <c r="DN395" i="4"/>
  <c r="AV11" i="9"/>
  <c r="BJ80" i="3"/>
  <c r="BJ49" i="3"/>
  <c r="BJ79" i="3" s="1"/>
  <c r="DN279" i="4"/>
  <c r="DJ488" i="4"/>
  <c r="BI50" i="3"/>
  <c r="BL2" i="12"/>
  <c r="BK5" i="12"/>
  <c r="BE18" i="12"/>
  <c r="BF17" i="12"/>
  <c r="DM467" i="4"/>
  <c r="DN394" i="4"/>
  <c r="DJ1353" i="4"/>
  <c r="DK1325" i="4"/>
  <c r="DM587" i="4"/>
  <c r="DM487" i="4"/>
  <c r="DM488" i="4" s="1"/>
  <c r="DN488" i="4" s="1"/>
  <c r="DM492" i="4"/>
  <c r="DM525" i="4"/>
  <c r="DM526" i="4" s="1"/>
  <c r="DM519" i="4"/>
  <c r="DN486" i="4"/>
  <c r="BZ2" i="4"/>
  <c r="BY3" i="4"/>
  <c r="DI1326" i="4"/>
  <c r="DN1336" i="4"/>
  <c r="DM1324" i="4"/>
  <c r="BV431" i="4"/>
  <c r="BV1417" i="4"/>
  <c r="BV1421" i="4"/>
  <c r="BV589" i="4"/>
  <c r="BV205" i="4"/>
  <c r="BV206" i="4"/>
  <c r="BV1413" i="4"/>
  <c r="BV1410" i="4"/>
  <c r="BV597" i="4"/>
  <c r="BV874" i="4"/>
  <c r="BV856" i="4"/>
  <c r="BV873" i="4"/>
  <c r="CJ79" i="3" s="1"/>
  <c r="BV1213" i="4"/>
  <c r="BV869" i="4"/>
  <c r="BV570" i="4"/>
  <c r="BV1419" i="4"/>
  <c r="BV594" i="4"/>
  <c r="BV872" i="4"/>
  <c r="BV877" i="4"/>
  <c r="BV567" i="4"/>
  <c r="BV575" i="4"/>
  <c r="BV791" i="4"/>
  <c r="BV879" i="4"/>
  <c r="BV1411" i="4"/>
  <c r="BV797" i="4"/>
  <c r="BV855" i="4"/>
  <c r="BV1415" i="4"/>
  <c r="BV1230" i="4"/>
  <c r="BV871" i="4"/>
  <c r="BV430" i="4"/>
  <c r="BV601" i="4"/>
  <c r="BV697" i="4"/>
  <c r="BW697" i="4" s="1"/>
  <c r="BV870" i="4"/>
  <c r="BV715" i="4"/>
  <c r="BV878" i="4"/>
  <c r="BV1412" i="4"/>
  <c r="BV1414" i="4"/>
  <c r="BV1416" i="4"/>
  <c r="BV1425" i="4"/>
  <c r="BV1418" i="4"/>
  <c r="BV1420" i="4"/>
  <c r="BV1422" i="4"/>
  <c r="BV1403" i="4"/>
  <c r="BV1404" i="4"/>
  <c r="BV1426" i="4"/>
  <c r="DN390" i="4"/>
  <c r="DN455" i="4" s="1"/>
  <c r="DL509" i="4"/>
  <c r="DL494" i="4"/>
  <c r="DL566" i="4"/>
  <c r="DN405" i="4"/>
  <c r="DN1335" i="4"/>
  <c r="DM1323" i="4"/>
  <c r="BU1421" i="4"/>
  <c r="BU1417" i="4"/>
  <c r="BU1410" i="4"/>
  <c r="BU1213" i="4"/>
  <c r="BU765" i="4"/>
  <c r="BU750" i="4"/>
  <c r="BU727" i="4"/>
  <c r="BU713" i="4"/>
  <c r="BU712" i="4"/>
  <c r="BU570" i="4"/>
  <c r="BU589" i="4"/>
  <c r="BU597" i="4"/>
  <c r="BU431" i="4"/>
  <c r="BU205" i="4"/>
  <c r="BU206" i="4"/>
  <c r="BU5" i="4"/>
  <c r="BU575" i="4"/>
  <c r="BU594" i="4"/>
  <c r="BU728" i="4"/>
  <c r="BU751" i="4"/>
  <c r="BU874" i="4"/>
  <c r="BU872" i="4"/>
  <c r="BU856" i="4"/>
  <c r="BU567" i="4"/>
  <c r="BU697" i="4"/>
  <c r="BU873" i="4"/>
  <c r="CI79" i="3" s="1"/>
  <c r="BU1413" i="4"/>
  <c r="BU1419" i="4"/>
  <c r="BU855" i="4"/>
  <c r="BU601" i="4"/>
  <c r="BU1411" i="4"/>
  <c r="BU1415" i="4"/>
  <c r="BU879" i="4"/>
  <c r="BU869" i="4"/>
  <c r="BU791" i="4"/>
  <c r="BU711" i="4"/>
  <c r="BU877" i="4"/>
  <c r="BU1230" i="4"/>
  <c r="BU871" i="4"/>
  <c r="BU797" i="4"/>
  <c r="BU430" i="4"/>
  <c r="BU878" i="4"/>
  <c r="BU1412" i="4"/>
  <c r="BU715" i="4"/>
  <c r="BU870" i="4"/>
  <c r="BU1414" i="4"/>
  <c r="BU1425" i="4"/>
  <c r="BU1416" i="4"/>
  <c r="BU1418" i="4"/>
  <c r="BU1420" i="4"/>
  <c r="BU1422" i="4"/>
  <c r="BU1426" i="4"/>
  <c r="BU1404" i="4"/>
  <c r="BU1403" i="4"/>
  <c r="BU1061" i="4"/>
  <c r="BU1062" i="4" s="1"/>
  <c r="DN454" i="4"/>
  <c r="DP454" i="4" s="1"/>
  <c r="DL459" i="4"/>
  <c r="DL469" i="4" s="1"/>
  <c r="DM1243" i="4"/>
  <c r="DN1243" i="4" s="1"/>
  <c r="DN263" i="4"/>
  <c r="EB68" i="3" s="1"/>
  <c r="BT1417" i="4"/>
  <c r="BT1410" i="4"/>
  <c r="BT1421" i="4"/>
  <c r="BT765" i="4"/>
  <c r="BT750" i="4"/>
  <c r="BT728" i="4"/>
  <c r="BT597" i="4"/>
  <c r="BT727" i="4"/>
  <c r="BT594" i="4"/>
  <c r="BT751" i="4"/>
  <c r="BT712" i="4"/>
  <c r="BT711" i="4"/>
  <c r="BT713" i="4"/>
  <c r="BT589" i="4"/>
  <c r="BT567" i="4"/>
  <c r="BT431" i="4"/>
  <c r="BT206" i="4"/>
  <c r="BT205" i="4"/>
  <c r="BT874" i="4"/>
  <c r="BT1213" i="4"/>
  <c r="BT1413" i="4"/>
  <c r="BT1419" i="4"/>
  <c r="BT856" i="4"/>
  <c r="BT877" i="4"/>
  <c r="BT872" i="4"/>
  <c r="BT570" i="4"/>
  <c r="BT869" i="4"/>
  <c r="BT873" i="4"/>
  <c r="CH79" i="3" s="1"/>
  <c r="BT871" i="4"/>
  <c r="BT575" i="4"/>
  <c r="BT879" i="4"/>
  <c r="BT791" i="4"/>
  <c r="BT1230" i="4"/>
  <c r="BT855" i="4"/>
  <c r="BT715" i="4"/>
  <c r="BT716" i="4" s="1"/>
  <c r="BT797" i="4"/>
  <c r="BT1415" i="4"/>
  <c r="BT1411" i="4"/>
  <c r="BT601" i="4"/>
  <c r="BT870" i="4"/>
  <c r="BT878" i="4"/>
  <c r="BT697" i="4"/>
  <c r="BT698" i="4" s="1"/>
  <c r="BT430" i="4"/>
  <c r="BT1412" i="4"/>
  <c r="BT1414" i="4"/>
  <c r="BT1425" i="4"/>
  <c r="BT1416" i="4"/>
  <c r="BT1418" i="4"/>
  <c r="BT1420" i="4"/>
  <c r="BT1422" i="4"/>
  <c r="BT1404" i="4"/>
  <c r="BT1426" i="4"/>
  <c r="BT1403" i="4"/>
  <c r="BT1061" i="4"/>
  <c r="DL511" i="4"/>
  <c r="DJ1350" i="4"/>
  <c r="DJ1352" i="4"/>
  <c r="DK1323" i="4"/>
  <c r="DK487" i="4"/>
  <c r="DJ510" i="4"/>
  <c r="DJ592" i="4"/>
  <c r="AT7" i="12" l="1"/>
  <c r="AT19" i="12" s="1"/>
  <c r="DR1377" i="4"/>
  <c r="DR1378" i="4" s="1"/>
  <c r="DP1342" i="4"/>
  <c r="DQ1259" i="4"/>
  <c r="DQ1190" i="4" s="1"/>
  <c r="DR1190" i="4" s="1"/>
  <c r="BR74" i="3"/>
  <c r="DP488" i="4"/>
  <c r="DR258" i="4"/>
  <c r="AN12" i="12"/>
  <c r="M12" i="12" s="1"/>
  <c r="AN8" i="12"/>
  <c r="AN11" i="12" s="1"/>
  <c r="BL81" i="3"/>
  <c r="BN73" i="3"/>
  <c r="BR73" i="3"/>
  <c r="DQ1323" i="4"/>
  <c r="DR1335" i="4"/>
  <c r="DQ1243" i="4"/>
  <c r="DR1243" i="4" s="1"/>
  <c r="DR263" i="4"/>
  <c r="EF68" i="3" s="1"/>
  <c r="DR1336" i="4"/>
  <c r="DQ1324" i="4"/>
  <c r="DQ1337" i="4"/>
  <c r="DP493" i="4"/>
  <c r="DP592" i="4"/>
  <c r="DQ587" i="4"/>
  <c r="DQ525" i="4"/>
  <c r="DQ526" i="4" s="1"/>
  <c r="DQ492" i="4"/>
  <c r="DQ487" i="4"/>
  <c r="BQ80" i="3" s="1"/>
  <c r="DQ519" i="4"/>
  <c r="BQ49" i="3" s="1"/>
  <c r="DN278" i="4"/>
  <c r="EB69" i="3" s="1"/>
  <c r="DR257" i="4"/>
  <c r="DR405" i="4"/>
  <c r="DR394" i="4"/>
  <c r="DQ467" i="4"/>
  <c r="DR395" i="4"/>
  <c r="DP1352" i="4"/>
  <c r="DR454" i="4"/>
  <c r="DM455" i="4"/>
  <c r="DP455" i="4"/>
  <c r="DR279" i="4"/>
  <c r="DR390" i="4"/>
  <c r="DR1260" i="4"/>
  <c r="DR1259" i="4"/>
  <c r="DS1259" i="4" s="1"/>
  <c r="DR236" i="4"/>
  <c r="EF64" i="3" s="1"/>
  <c r="DS223" i="4"/>
  <c r="DP1326" i="4"/>
  <c r="DP1316" i="4" s="1"/>
  <c r="DR393" i="4"/>
  <c r="DR486" i="4"/>
  <c r="BD10" i="9" s="1"/>
  <c r="DL1356" i="4"/>
  <c r="DL1357" i="4"/>
  <c r="DL1317" i="4"/>
  <c r="DN1337" i="4"/>
  <c r="DN1342" i="4" s="1"/>
  <c r="DM1342" i="4"/>
  <c r="CH27" i="3"/>
  <c r="BT1058" i="4"/>
  <c r="CH77" i="3"/>
  <c r="CH30" i="3"/>
  <c r="CH26" i="3"/>
  <c r="CH78" i="3"/>
  <c r="T7" i="3"/>
  <c r="CI30" i="3"/>
  <c r="CI78" i="3"/>
  <c r="BV1424" i="4"/>
  <c r="CJ29" i="3"/>
  <c r="CJ25" i="3"/>
  <c r="CJ78" i="3"/>
  <c r="BT571" i="4"/>
  <c r="CJ76" i="3"/>
  <c r="CI25" i="3"/>
  <c r="U7" i="3"/>
  <c r="CJ26" i="3"/>
  <c r="BT595" i="4"/>
  <c r="CI27" i="3"/>
  <c r="BU1058" i="4"/>
  <c r="CI77" i="3"/>
  <c r="CJ24" i="3"/>
  <c r="BV1058" i="4"/>
  <c r="CJ77" i="3"/>
  <c r="BV595" i="4"/>
  <c r="CI26" i="3"/>
  <c r="CJ27" i="3"/>
  <c r="BT1424" i="4"/>
  <c r="CH29" i="3"/>
  <c r="CH24" i="3"/>
  <c r="CH25" i="3"/>
  <c r="CH76" i="3"/>
  <c r="BU1424" i="4"/>
  <c r="CI29" i="3"/>
  <c r="CI24" i="3"/>
  <c r="CI76" i="3"/>
  <c r="BU595" i="4"/>
  <c r="CJ30" i="3"/>
  <c r="H13" i="9"/>
  <c r="V7" i="3"/>
  <c r="AK32" i="12"/>
  <c r="AZ12" i="9"/>
  <c r="BN50" i="3"/>
  <c r="BM49" i="3"/>
  <c r="BM80" i="3"/>
  <c r="BI81" i="3"/>
  <c r="DN447" i="4"/>
  <c r="AU7" i="12"/>
  <c r="AV12" i="9"/>
  <c r="BJ50" i="3"/>
  <c r="DK488" i="4"/>
  <c r="DJ566" i="4"/>
  <c r="DJ509" i="4"/>
  <c r="AV111" i="9"/>
  <c r="AV112" i="9" s="1"/>
  <c r="AV57" i="9"/>
  <c r="AV58" i="9" s="1"/>
  <c r="AR27" i="12"/>
  <c r="AS30" i="12"/>
  <c r="DJ511" i="4"/>
  <c r="DN1340" i="4"/>
  <c r="DN1324" i="4"/>
  <c r="BM50" i="3"/>
  <c r="DN1341" i="4"/>
  <c r="AZ10" i="9"/>
  <c r="DN449" i="4"/>
  <c r="BG17" i="12"/>
  <c r="BM2" i="12"/>
  <c r="BL5" i="12"/>
  <c r="BF18" i="12"/>
  <c r="BV1061" i="4"/>
  <c r="BT1062" i="4"/>
  <c r="BT590" i="4"/>
  <c r="BT574" i="4"/>
  <c r="BT576" i="4" s="1"/>
  <c r="BU1063" i="4"/>
  <c r="BU1064" i="4" s="1"/>
  <c r="BU1065" i="4" s="1"/>
  <c r="BU590" i="4"/>
  <c r="BU574" i="4"/>
  <c r="BU576" i="4" s="1"/>
  <c r="BV578" i="4"/>
  <c r="BU604" i="4"/>
  <c r="BU602" i="4"/>
  <c r="BU571" i="4"/>
  <c r="DM1352" i="4"/>
  <c r="DN1323" i="4"/>
  <c r="DM1326" i="4"/>
  <c r="DN509" i="4"/>
  <c r="DN566" i="4"/>
  <c r="DO488" i="4"/>
  <c r="DN445" i="4"/>
  <c r="BV580" i="4"/>
  <c r="BV569" i="4"/>
  <c r="H14" i="9" s="1"/>
  <c r="BV590" i="4"/>
  <c r="BV574" i="4"/>
  <c r="BV576" i="4" s="1"/>
  <c r="BZ3" i="4"/>
  <c r="CB2" i="4"/>
  <c r="DM566" i="4"/>
  <c r="DM509" i="4"/>
  <c r="DM494" i="4"/>
  <c r="DO1325" i="4"/>
  <c r="DM454" i="4"/>
  <c r="DN459" i="4"/>
  <c r="DN469" i="4" s="1"/>
  <c r="BU698" i="4"/>
  <c r="BV604" i="4"/>
  <c r="BV602" i="4"/>
  <c r="DN587" i="4"/>
  <c r="DN525" i="4"/>
  <c r="DN526" i="4" s="1"/>
  <c r="DN523" i="4"/>
  <c r="DO486" i="4"/>
  <c r="DN519" i="4"/>
  <c r="BT798" i="4"/>
  <c r="BT799" i="4"/>
  <c r="BT602" i="4"/>
  <c r="BT603" i="4" s="1"/>
  <c r="BT604" i="4"/>
  <c r="BT605" i="4" s="1"/>
  <c r="BT580" i="4"/>
  <c r="BT569" i="4"/>
  <c r="BT568" i="4"/>
  <c r="BT578" i="4"/>
  <c r="BU716" i="4"/>
  <c r="BU798" i="4"/>
  <c r="BU568" i="4"/>
  <c r="BU580" i="4"/>
  <c r="BU569" i="4"/>
  <c r="BU578" i="4"/>
  <c r="DJ1326" i="4"/>
  <c r="DI1316" i="4"/>
  <c r="DM592" i="4"/>
  <c r="DM493" i="4"/>
  <c r="DM511" i="4"/>
  <c r="DN487" i="4"/>
  <c r="DN467" i="4"/>
  <c r="DN448" i="4"/>
  <c r="M11" i="12" l="1"/>
  <c r="N11" i="12"/>
  <c r="DQ1265" i="4"/>
  <c r="DP494" i="4"/>
  <c r="DR274" i="4"/>
  <c r="DP566" i="4"/>
  <c r="DP511" i="4"/>
  <c r="DP509" i="4"/>
  <c r="BP50" i="3"/>
  <c r="BP81" i="3" s="1"/>
  <c r="AO8" i="12"/>
  <c r="AP8" i="12" s="1"/>
  <c r="BD56" i="9"/>
  <c r="BD110" i="9"/>
  <c r="DM459" i="4"/>
  <c r="DM469" i="4" s="1"/>
  <c r="BM79" i="3"/>
  <c r="BQ79" i="3"/>
  <c r="BM81" i="3"/>
  <c r="DR447" i="4"/>
  <c r="DR449" i="4"/>
  <c r="DR467" i="4"/>
  <c r="DR448" i="4"/>
  <c r="DQ592" i="4"/>
  <c r="DQ493" i="4"/>
  <c r="DR1337" i="4"/>
  <c r="DR1342" i="4" s="1"/>
  <c r="DQ1342" i="4"/>
  <c r="DQ1325" i="4"/>
  <c r="DR1325" i="4" s="1"/>
  <c r="DP1356" i="4"/>
  <c r="DP1357" i="4"/>
  <c r="DP1317" i="4"/>
  <c r="DR445" i="4"/>
  <c r="DR455" i="4"/>
  <c r="DQ455" i="4" s="1"/>
  <c r="DR1324" i="4"/>
  <c r="DP459" i="4"/>
  <c r="DP469" i="4" s="1"/>
  <c r="DR487" i="4"/>
  <c r="DR1341" i="4"/>
  <c r="DQ454" i="4"/>
  <c r="DQ488" i="4"/>
  <c r="DR1340" i="4"/>
  <c r="DR278" i="4"/>
  <c r="EF69" i="3" s="1"/>
  <c r="DQ1352" i="4"/>
  <c r="DR1323" i="4"/>
  <c r="DR523" i="4"/>
  <c r="DR525" i="4"/>
  <c r="DR526" i="4" s="1"/>
  <c r="DR587" i="4"/>
  <c r="DS486" i="4"/>
  <c r="DR519" i="4"/>
  <c r="BR49" i="3" s="1"/>
  <c r="DL1359" i="4"/>
  <c r="DN1353" i="4"/>
  <c r="DN1351" i="4"/>
  <c r="BU596" i="4"/>
  <c r="DO1324" i="4"/>
  <c r="BU1423" i="4"/>
  <c r="H59" i="9"/>
  <c r="H94" i="9" s="1"/>
  <c r="H113" i="9"/>
  <c r="H153" i="9" s="1"/>
  <c r="BT596" i="4"/>
  <c r="BU577" i="4"/>
  <c r="BU591" i="4"/>
  <c r="BT579" i="4"/>
  <c r="CH31" i="3"/>
  <c r="BV579" i="4"/>
  <c r="CJ31" i="3"/>
  <c r="BV1423" i="4"/>
  <c r="H114" i="9"/>
  <c r="H60" i="9"/>
  <c r="BT591" i="4"/>
  <c r="BU579" i="4"/>
  <c r="CI31" i="3"/>
  <c r="BT577" i="4"/>
  <c r="BT1423" i="4"/>
  <c r="AZ11" i="9"/>
  <c r="BN80" i="3"/>
  <c r="AZ110" i="9"/>
  <c r="AZ56" i="9"/>
  <c r="AS27" i="12"/>
  <c r="DN285" i="4"/>
  <c r="BN81" i="3"/>
  <c r="BJ81" i="3"/>
  <c r="AV7" i="12"/>
  <c r="AU19" i="12"/>
  <c r="BN49" i="3"/>
  <c r="AT30" i="12"/>
  <c r="BH17" i="12"/>
  <c r="BG18" i="12"/>
  <c r="BM5" i="12"/>
  <c r="BN2" i="12"/>
  <c r="DN592" i="4"/>
  <c r="DO487" i="4"/>
  <c r="DN511" i="4"/>
  <c r="DN510" i="4"/>
  <c r="DI1357" i="4"/>
  <c r="DJ1316" i="4"/>
  <c r="DI1356" i="4"/>
  <c r="DI1317" i="4"/>
  <c r="DN1326" i="4"/>
  <c r="DM1316" i="4"/>
  <c r="BV577" i="4"/>
  <c r="BT1063" i="4"/>
  <c r="BV1063" i="4" s="1"/>
  <c r="CB3" i="4"/>
  <c r="CC2" i="4"/>
  <c r="DN1350" i="4"/>
  <c r="DN1352" i="4"/>
  <c r="DO1323" i="4"/>
  <c r="BU603" i="4"/>
  <c r="BV1060" i="4"/>
  <c r="BV1062" i="4"/>
  <c r="BY4" i="4"/>
  <c r="BX4" i="4"/>
  <c r="BZ4" i="4"/>
  <c r="BU605" i="4"/>
  <c r="AO9" i="12" l="1"/>
  <c r="AO12" i="12" s="1"/>
  <c r="AO52" i="12"/>
  <c r="AO20" i="12"/>
  <c r="AO21" i="12" s="1"/>
  <c r="BQ50" i="3"/>
  <c r="BQ81" i="3" s="1"/>
  <c r="DQ511" i="4"/>
  <c r="BD11" i="9"/>
  <c r="BR80" i="3"/>
  <c r="BN79" i="3"/>
  <c r="BR79" i="3"/>
  <c r="DQ459" i="4"/>
  <c r="DQ469" i="4" s="1"/>
  <c r="DR1353" i="4"/>
  <c r="DS1325" i="4"/>
  <c r="DR592" i="4"/>
  <c r="DR510" i="4"/>
  <c r="DS487" i="4"/>
  <c r="DR285" i="4"/>
  <c r="DQ1326" i="4"/>
  <c r="DR1352" i="4"/>
  <c r="DR1350" i="4"/>
  <c r="DS1323" i="4"/>
  <c r="DQ494" i="4"/>
  <c r="DQ566" i="4"/>
  <c r="DQ509" i="4"/>
  <c r="DR488" i="4"/>
  <c r="DP1359" i="4"/>
  <c r="DR459" i="4"/>
  <c r="DR469" i="4" s="1"/>
  <c r="DS1324" i="4"/>
  <c r="DR1351" i="4"/>
  <c r="BV1064" i="4"/>
  <c r="BV1065" i="4" s="1"/>
  <c r="CI28" i="3"/>
  <c r="CH28" i="3"/>
  <c r="CJ28" i="3"/>
  <c r="AP20" i="12"/>
  <c r="AP52" i="12"/>
  <c r="AQ8" i="12"/>
  <c r="AP9" i="12"/>
  <c r="DJ1356" i="4"/>
  <c r="AT27" i="12"/>
  <c r="AV19" i="12"/>
  <c r="AW7" i="12"/>
  <c r="AZ111" i="9"/>
  <c r="AZ112" i="9" s="1"/>
  <c r="AZ57" i="9"/>
  <c r="AZ58" i="9" s="1"/>
  <c r="AU30" i="12"/>
  <c r="AL31" i="12"/>
  <c r="AL23" i="12" s="1"/>
  <c r="BN5" i="12"/>
  <c r="BO2" i="12"/>
  <c r="BH18" i="12"/>
  <c r="BI17" i="12"/>
  <c r="BY1421" i="4"/>
  <c r="BY1417" i="4"/>
  <c r="BY873" i="4"/>
  <c r="CM79" i="3" s="1"/>
  <c r="BY765" i="4"/>
  <c r="BY728" i="4"/>
  <c r="BY431" i="4"/>
  <c r="BY206" i="4"/>
  <c r="BY205" i="4"/>
  <c r="BY5" i="4"/>
  <c r="BY855" i="4"/>
  <c r="BY1413" i="4"/>
  <c r="BY1419" i="4"/>
  <c r="BY750" i="4"/>
  <c r="BY877" i="4"/>
  <c r="BY872" i="4"/>
  <c r="BY727" i="4"/>
  <c r="BY1410" i="4"/>
  <c r="BY430" i="4"/>
  <c r="BY856" i="4"/>
  <c r="BY597" i="4"/>
  <c r="BY751" i="4"/>
  <c r="BY697" i="4"/>
  <c r="BY874" i="4"/>
  <c r="BY869" i="4"/>
  <c r="BY1213" i="4"/>
  <c r="BY871" i="4"/>
  <c r="BY791" i="4"/>
  <c r="BY1415" i="4"/>
  <c r="BY797" i="4"/>
  <c r="BY570" i="4"/>
  <c r="BY1230" i="4"/>
  <c r="BY879" i="4"/>
  <c r="BY713" i="4"/>
  <c r="BY711" i="4"/>
  <c r="BY1411" i="4"/>
  <c r="BY567" i="4"/>
  <c r="BY589" i="4"/>
  <c r="BY712" i="4"/>
  <c r="BY594" i="4"/>
  <c r="BY870" i="4"/>
  <c r="BY1412" i="4"/>
  <c r="BY878" i="4"/>
  <c r="BY575" i="4"/>
  <c r="BY715" i="4"/>
  <c r="BY1414" i="4"/>
  <c r="BY601" i="4"/>
  <c r="BY1416" i="4"/>
  <c r="BY1425" i="4"/>
  <c r="BY1418" i="4"/>
  <c r="BY1420" i="4"/>
  <c r="BY1422" i="4"/>
  <c r="BY1404" i="4"/>
  <c r="BY1403" i="4"/>
  <c r="BY1426" i="4"/>
  <c r="BY905" i="4"/>
  <c r="BY1061" i="4"/>
  <c r="BY1062" i="4" s="1"/>
  <c r="DM1356" i="4"/>
  <c r="DM1357" i="4"/>
  <c r="DN1316" i="4"/>
  <c r="AM31" i="12" s="1"/>
  <c r="AM23" i="12" s="1"/>
  <c r="DM1317" i="4"/>
  <c r="DJ1357" i="4"/>
  <c r="DK1316" i="4"/>
  <c r="BZ1410" i="4"/>
  <c r="BZ206" i="4"/>
  <c r="BZ205" i="4"/>
  <c r="BZ597" i="4"/>
  <c r="BZ567" i="4"/>
  <c r="BZ1421" i="4"/>
  <c r="BZ1417" i="4"/>
  <c r="BZ1413" i="4"/>
  <c r="BZ1419" i="4"/>
  <c r="BZ1415" i="4"/>
  <c r="BZ589" i="4"/>
  <c r="BZ570" i="4"/>
  <c r="BZ697" i="4"/>
  <c r="CA697" i="4" s="1"/>
  <c r="BZ872" i="4"/>
  <c r="BZ430" i="4"/>
  <c r="BZ1411" i="4"/>
  <c r="BZ874" i="4"/>
  <c r="BZ1213" i="4"/>
  <c r="BZ431" i="4"/>
  <c r="BZ873" i="4"/>
  <c r="CN79" i="3" s="1"/>
  <c r="BZ856" i="4"/>
  <c r="BZ869" i="4"/>
  <c r="BZ791" i="4"/>
  <c r="BZ877" i="4"/>
  <c r="BZ871" i="4"/>
  <c r="BZ855" i="4"/>
  <c r="BZ1230" i="4"/>
  <c r="BZ797" i="4"/>
  <c r="BZ799" i="4" s="1"/>
  <c r="BZ879" i="4"/>
  <c r="BZ1412" i="4"/>
  <c r="BZ1414" i="4"/>
  <c r="BZ594" i="4"/>
  <c r="BZ575" i="4"/>
  <c r="BZ870" i="4"/>
  <c r="BZ715" i="4"/>
  <c r="BZ878" i="4"/>
  <c r="BZ1425" i="4"/>
  <c r="BZ601" i="4"/>
  <c r="BZ1416" i="4"/>
  <c r="BZ1418" i="4"/>
  <c r="BZ1420" i="4"/>
  <c r="BZ1422" i="4"/>
  <c r="BZ1403" i="4"/>
  <c r="BZ1426" i="4"/>
  <c r="BZ1404" i="4"/>
  <c r="BT1064" i="4"/>
  <c r="BT1065" i="4" s="1"/>
  <c r="BX1421" i="4"/>
  <c r="BX1419" i="4"/>
  <c r="BX1417" i="4"/>
  <c r="BX1410" i="4"/>
  <c r="BX751" i="4"/>
  <c r="BX727" i="4"/>
  <c r="BX750" i="4"/>
  <c r="BX589" i="4"/>
  <c r="BX597" i="4"/>
  <c r="BX797" i="4"/>
  <c r="BX728" i="4"/>
  <c r="BX570" i="4"/>
  <c r="BX765" i="4"/>
  <c r="BX206" i="4"/>
  <c r="BX205" i="4"/>
  <c r="BX5" i="4"/>
  <c r="BX1411" i="4"/>
  <c r="BX431" i="4"/>
  <c r="BX575" i="4"/>
  <c r="BX715" i="4"/>
  <c r="BX716" i="4" s="1"/>
  <c r="BX1415" i="4"/>
  <c r="BX1413" i="4"/>
  <c r="BX713" i="4"/>
  <c r="BX873" i="4"/>
  <c r="CL79" i="3" s="1"/>
  <c r="BX874" i="4"/>
  <c r="BX1412" i="4"/>
  <c r="BX567" i="4"/>
  <c r="BX594" i="4"/>
  <c r="BX872" i="4"/>
  <c r="BX711" i="4"/>
  <c r="BX712" i="4"/>
  <c r="BX1213" i="4"/>
  <c r="BX1230" i="4"/>
  <c r="BX879" i="4"/>
  <c r="BX1414" i="4"/>
  <c r="BX856" i="4"/>
  <c r="BX855" i="4"/>
  <c r="BX871" i="4"/>
  <c r="BX791" i="4"/>
  <c r="BX697" i="4"/>
  <c r="BX698" i="4" s="1"/>
  <c r="BX601" i="4"/>
  <c r="BX430" i="4"/>
  <c r="BX1416" i="4"/>
  <c r="BX878" i="4"/>
  <c r="BX869" i="4"/>
  <c r="BX1425" i="4"/>
  <c r="BX870" i="4"/>
  <c r="BX877" i="4"/>
  <c r="BX1418" i="4"/>
  <c r="BX1420" i="4"/>
  <c r="BX1422" i="4"/>
  <c r="BX1403" i="4"/>
  <c r="BX1426" i="4"/>
  <c r="BX1404" i="4"/>
  <c r="BX1061" i="4"/>
  <c r="CD2" i="4"/>
  <c r="CC3" i="4"/>
  <c r="DI1359" i="4"/>
  <c r="DJ1317" i="4"/>
  <c r="DK1317" i="4" s="1"/>
  <c r="AO31" i="12" l="1"/>
  <c r="AO32" i="12" s="1"/>
  <c r="O12" i="12"/>
  <c r="AO75" i="12"/>
  <c r="O75" i="12" s="1"/>
  <c r="AP12" i="12"/>
  <c r="DR511" i="4"/>
  <c r="BR50" i="3"/>
  <c r="BR81" i="3" s="1"/>
  <c r="BD12" i="9"/>
  <c r="BD57" i="9"/>
  <c r="BD58" i="9" s="1"/>
  <c r="BD111" i="9"/>
  <c r="BD112" i="9" s="1"/>
  <c r="DR509" i="4"/>
  <c r="DS488" i="4"/>
  <c r="DR566" i="4"/>
  <c r="DR1326" i="4"/>
  <c r="DQ1316" i="4"/>
  <c r="BX1424" i="4"/>
  <c r="CL29" i="3"/>
  <c r="CL26" i="3"/>
  <c r="CL24" i="3"/>
  <c r="CN78" i="3"/>
  <c r="L13" i="9"/>
  <c r="Z7" i="3"/>
  <c r="BZ905" i="4"/>
  <c r="CM27" i="3"/>
  <c r="CM26" i="3"/>
  <c r="BY595" i="4"/>
  <c r="CM76" i="3"/>
  <c r="CL27" i="3"/>
  <c r="X7" i="3"/>
  <c r="CN30" i="3"/>
  <c r="BZ1058" i="4"/>
  <c r="CN77" i="3"/>
  <c r="CL30" i="3"/>
  <c r="BX1058" i="4"/>
  <c r="CL77" i="3"/>
  <c r="CL78" i="3"/>
  <c r="BZ595" i="4"/>
  <c r="BY1058" i="4"/>
  <c r="CM77" i="3"/>
  <c r="BZ578" i="4"/>
  <c r="CL76" i="3"/>
  <c r="CL25" i="3"/>
  <c r="BX578" i="4"/>
  <c r="BZ1424" i="4"/>
  <c r="CN29" i="3"/>
  <c r="L47" i="9"/>
  <c r="CN26" i="3"/>
  <c r="CN24" i="3"/>
  <c r="BY1424" i="4"/>
  <c r="BY1423" i="4" s="1"/>
  <c r="CM29" i="3"/>
  <c r="CM24" i="3"/>
  <c r="BX595" i="4"/>
  <c r="BX571" i="4"/>
  <c r="CN27" i="3"/>
  <c r="CN76" i="3"/>
  <c r="CN25" i="3"/>
  <c r="CM30" i="3"/>
  <c r="Y7" i="3"/>
  <c r="CM78" i="3"/>
  <c r="CM25" i="3"/>
  <c r="AP75" i="12"/>
  <c r="AV30" i="12"/>
  <c r="AP31" i="12"/>
  <c r="AP32" i="12" s="1"/>
  <c r="AP21" i="12"/>
  <c r="AL32" i="12"/>
  <c r="AQ52" i="12"/>
  <c r="AQ20" i="12"/>
  <c r="AR8" i="12"/>
  <c r="AQ9" i="12"/>
  <c r="AQ12" i="12" s="1"/>
  <c r="DJ1359" i="4"/>
  <c r="DN1356" i="4"/>
  <c r="AU27" i="12"/>
  <c r="AW19" i="12"/>
  <c r="AX7" i="12"/>
  <c r="BJ17" i="12"/>
  <c r="BI18" i="12"/>
  <c r="BP2" i="12"/>
  <c r="BO5" i="12"/>
  <c r="BX798" i="4"/>
  <c r="BX799" i="4"/>
  <c r="BY1063" i="4"/>
  <c r="BY1064" i="4" s="1"/>
  <c r="BY1065" i="4" s="1"/>
  <c r="BY716" i="4"/>
  <c r="BY580" i="4"/>
  <c r="BY569" i="4"/>
  <c r="BY568" i="4"/>
  <c r="BY578" i="4"/>
  <c r="CF2" i="4"/>
  <c r="CD3" i="4"/>
  <c r="BX574" i="4"/>
  <c r="BX576" i="4" s="1"/>
  <c r="BX590" i="4"/>
  <c r="BZ604" i="4"/>
  <c r="BZ602" i="4"/>
  <c r="DM1359" i="4"/>
  <c r="DN1317" i="4"/>
  <c r="BY602" i="4"/>
  <c r="BY604" i="4"/>
  <c r="BY571" i="4"/>
  <c r="BY698" i="4"/>
  <c r="BX604" i="4"/>
  <c r="BX605" i="4" s="1"/>
  <c r="BX602" i="4"/>
  <c r="BX603" i="4" s="1"/>
  <c r="BZ590" i="4"/>
  <c r="BZ574" i="4"/>
  <c r="BZ576" i="4" s="1"/>
  <c r="BZ1061" i="4"/>
  <c r="BX1062" i="4"/>
  <c r="BX568" i="4"/>
  <c r="BX580" i="4"/>
  <c r="BX569" i="4"/>
  <c r="BZ580" i="4"/>
  <c r="BZ569" i="4"/>
  <c r="L14" i="9" s="1"/>
  <c r="DN1357" i="4"/>
  <c r="DO1316" i="4"/>
  <c r="BY590" i="4"/>
  <c r="BY574" i="4"/>
  <c r="BY576" i="4" s="1"/>
  <c r="BY798" i="4"/>
  <c r="BY799" i="4"/>
  <c r="AM32" i="12" l="1"/>
  <c r="DO1317" i="4"/>
  <c r="DQ1356" i="4"/>
  <c r="DR1316" i="4"/>
  <c r="AN31" i="12" s="1"/>
  <c r="AN23" i="12" s="1"/>
  <c r="DQ1357" i="4"/>
  <c r="DQ1317" i="4"/>
  <c r="BY596" i="4"/>
  <c r="BZ577" i="4"/>
  <c r="BX577" i="4"/>
  <c r="BY603" i="4"/>
  <c r="CM28" i="3"/>
  <c r="BZ904" i="4"/>
  <c r="BY591" i="4"/>
  <c r="L114" i="9"/>
  <c r="L60" i="9"/>
  <c r="BY579" i="4"/>
  <c r="CM31" i="3"/>
  <c r="BZ579" i="4"/>
  <c r="CN31" i="3"/>
  <c r="AQ75" i="12"/>
  <c r="BX596" i="4"/>
  <c r="BZ1423" i="4"/>
  <c r="L113" i="9"/>
  <c r="L59" i="9"/>
  <c r="L94" i="9" s="1"/>
  <c r="BX579" i="4"/>
  <c r="CL31" i="3"/>
  <c r="BX591" i="4"/>
  <c r="BX1423" i="4"/>
  <c r="AW30" i="12"/>
  <c r="AS8" i="12"/>
  <c r="AR52" i="12"/>
  <c r="AR20" i="12"/>
  <c r="AR9" i="12"/>
  <c r="AR12" i="12" s="1"/>
  <c r="DN1359" i="4"/>
  <c r="AY7" i="12"/>
  <c r="AX19" i="12"/>
  <c r="AQ31" i="12"/>
  <c r="AQ32" i="12" s="1"/>
  <c r="AQ21" i="12"/>
  <c r="AV27" i="12"/>
  <c r="BJ18" i="12"/>
  <c r="BK17" i="12"/>
  <c r="BQ2" i="12"/>
  <c r="BP5" i="12"/>
  <c r="BZ1060" i="4"/>
  <c r="BZ1062" i="4"/>
  <c r="CD4" i="4"/>
  <c r="CC4" i="4"/>
  <c r="CB4" i="4"/>
  <c r="CF3" i="4"/>
  <c r="CG2" i="4"/>
  <c r="BY577" i="4"/>
  <c r="BX1063" i="4"/>
  <c r="BZ1063" i="4" s="1"/>
  <c r="BY605" i="4"/>
  <c r="DR1317" i="4" l="1"/>
  <c r="DS1317" i="4" s="1"/>
  <c r="DQ1359" i="4"/>
  <c r="DR1357" i="4"/>
  <c r="DS1316" i="4"/>
  <c r="DR1356" i="4"/>
  <c r="CN28" i="3"/>
  <c r="CL28" i="3"/>
  <c r="L153" i="9"/>
  <c r="AY19" i="12"/>
  <c r="AZ7" i="12"/>
  <c r="AS52" i="12"/>
  <c r="AT8" i="12"/>
  <c r="AS20" i="12"/>
  <c r="AS9" i="12"/>
  <c r="AS12" i="12" s="1"/>
  <c r="AW27" i="12"/>
  <c r="AR31" i="12"/>
  <c r="AR32" i="12" s="1"/>
  <c r="AR21" i="12"/>
  <c r="AX30" i="12"/>
  <c r="AR75" i="12"/>
  <c r="BK18" i="12"/>
  <c r="BL17" i="12"/>
  <c r="BQ5" i="12"/>
  <c r="BR2" i="12"/>
  <c r="CC1421" i="4"/>
  <c r="CC1419" i="4"/>
  <c r="CC1410" i="4"/>
  <c r="CC1417" i="4"/>
  <c r="CC1230" i="4"/>
  <c r="CC765" i="4"/>
  <c r="CC589" i="4"/>
  <c r="CC597" i="4"/>
  <c r="CC431" i="4"/>
  <c r="CC206" i="4"/>
  <c r="CC205" i="4"/>
  <c r="CC5" i="4"/>
  <c r="CC873" i="4"/>
  <c r="CQ79" i="3" s="1"/>
  <c r="CC567" i="4"/>
  <c r="CC797" i="4"/>
  <c r="CC872" i="4"/>
  <c r="CC869" i="4"/>
  <c r="CC1413" i="4"/>
  <c r="CC594" i="4"/>
  <c r="CC877" i="4"/>
  <c r="CC874" i="4"/>
  <c r="CC1415" i="4"/>
  <c r="CC697" i="4"/>
  <c r="CC1213" i="4"/>
  <c r="CC430" i="4"/>
  <c r="CC856" i="4"/>
  <c r="CC879" i="4"/>
  <c r="CC871" i="4"/>
  <c r="CC791" i="4"/>
  <c r="CC1411" i="4"/>
  <c r="CC878" i="4"/>
  <c r="CC1412" i="4"/>
  <c r="CC870" i="4"/>
  <c r="CC855" i="4"/>
  <c r="CC1414" i="4"/>
  <c r="CC1416" i="4"/>
  <c r="CC1425" i="4"/>
  <c r="CC1418" i="4"/>
  <c r="CC1420" i="4"/>
  <c r="CC1405" i="4"/>
  <c r="CC1422" i="4"/>
  <c r="CC1426" i="4"/>
  <c r="CC1404" i="4"/>
  <c r="CC1403" i="4"/>
  <c r="CC905" i="4"/>
  <c r="CC1061" i="4"/>
  <c r="CC1062" i="4" s="1"/>
  <c r="CH2" i="4"/>
  <c r="CG3" i="4"/>
  <c r="CD589" i="4"/>
  <c r="CD431" i="4"/>
  <c r="CD205" i="4"/>
  <c r="CD1421" i="4"/>
  <c r="CD1415" i="4"/>
  <c r="CD1410" i="4"/>
  <c r="CD1413" i="4"/>
  <c r="CD597" i="4"/>
  <c r="CD1417" i="4"/>
  <c r="CD1419" i="4"/>
  <c r="CD206" i="4"/>
  <c r="CD567" i="4"/>
  <c r="CD856" i="4"/>
  <c r="CD797" i="4"/>
  <c r="CD799" i="4" s="1"/>
  <c r="CD872" i="4"/>
  <c r="CD873" i="4"/>
  <c r="CR79" i="3" s="1"/>
  <c r="CD697" i="4"/>
  <c r="CE697" i="4" s="1"/>
  <c r="CD594" i="4"/>
  <c r="CD1411" i="4"/>
  <c r="CD1230" i="4"/>
  <c r="CD874" i="4"/>
  <c r="CD791" i="4"/>
  <c r="CD871" i="4"/>
  <c r="CD1412" i="4"/>
  <c r="CD430" i="4"/>
  <c r="CD1213" i="4"/>
  <c r="CD877" i="4"/>
  <c r="CD879" i="4"/>
  <c r="CD855" i="4"/>
  <c r="CD869" i="4"/>
  <c r="CD1414" i="4"/>
  <c r="CD878" i="4"/>
  <c r="CD870" i="4"/>
  <c r="CD1425" i="4"/>
  <c r="CD1416" i="4"/>
  <c r="CD1418" i="4"/>
  <c r="CD1420" i="4"/>
  <c r="CD1422" i="4"/>
  <c r="CD1405" i="4"/>
  <c r="CD1426" i="4"/>
  <c r="CD1404" i="4"/>
  <c r="CD1403" i="4"/>
  <c r="BZ1064" i="4"/>
  <c r="BZ1065" i="4" s="1"/>
  <c r="BX1064" i="4"/>
  <c r="BX1065" i="4" s="1"/>
  <c r="CB1421" i="4"/>
  <c r="CB1417" i="4"/>
  <c r="CB1410" i="4"/>
  <c r="CB1419" i="4"/>
  <c r="CB765" i="4"/>
  <c r="CB589" i="4"/>
  <c r="CB597" i="4"/>
  <c r="CB431" i="4"/>
  <c r="CB594" i="4"/>
  <c r="CB205" i="4"/>
  <c r="CB206" i="4"/>
  <c r="CB5" i="4"/>
  <c r="CB1413" i="4"/>
  <c r="CB567" i="4"/>
  <c r="CB879" i="4"/>
  <c r="CB874" i="4"/>
  <c r="CB1415" i="4"/>
  <c r="CB871" i="4"/>
  <c r="CB797" i="4"/>
  <c r="CB873" i="4"/>
  <c r="CP79" i="3" s="1"/>
  <c r="CB856" i="4"/>
  <c r="CB872" i="4"/>
  <c r="CB1213" i="4"/>
  <c r="CB1230" i="4"/>
  <c r="CB869" i="4"/>
  <c r="CB877" i="4"/>
  <c r="CB855" i="4"/>
  <c r="CB697" i="4"/>
  <c r="CB698" i="4" s="1"/>
  <c r="CB1411" i="4"/>
  <c r="CB430" i="4"/>
  <c r="CB791" i="4"/>
  <c r="CB1412" i="4"/>
  <c r="CB870" i="4"/>
  <c r="CB878" i="4"/>
  <c r="CB1414" i="4"/>
  <c r="CB1416" i="4"/>
  <c r="CB1425" i="4"/>
  <c r="CB1418" i="4"/>
  <c r="CB1420" i="4"/>
  <c r="CB1405" i="4"/>
  <c r="CB1422" i="4"/>
  <c r="CB1403" i="4"/>
  <c r="CB1404" i="4"/>
  <c r="CB1426" i="4"/>
  <c r="CB1061" i="4"/>
  <c r="CB905" i="4"/>
  <c r="AN32" i="12" l="1"/>
  <c r="DR1359" i="4"/>
  <c r="CB1424" i="4"/>
  <c r="CB1423" i="4" s="1"/>
  <c r="N47" i="9"/>
  <c r="CP29" i="3"/>
  <c r="CB1058" i="4"/>
  <c r="CP77" i="3"/>
  <c r="CD1424" i="4"/>
  <c r="CR29" i="3"/>
  <c r="P47" i="9"/>
  <c r="CR27" i="3"/>
  <c r="CQ25" i="3"/>
  <c r="AC7" i="3"/>
  <c r="CP27" i="3"/>
  <c r="CP25" i="3"/>
  <c r="CB595" i="4"/>
  <c r="CR30" i="3"/>
  <c r="CR78" i="3"/>
  <c r="P13" i="9"/>
  <c r="AD7" i="3"/>
  <c r="CC1424" i="4"/>
  <c r="CC1423" i="4" s="1"/>
  <c r="O47" i="9"/>
  <c r="CQ29" i="3"/>
  <c r="CQ26" i="3"/>
  <c r="CC1058" i="4"/>
  <c r="CQ77" i="3"/>
  <c r="CQ76" i="3"/>
  <c r="CP76" i="3"/>
  <c r="AB7" i="3"/>
  <c r="CD595" i="4"/>
  <c r="CR25" i="3"/>
  <c r="CQ27" i="3"/>
  <c r="CP26" i="3"/>
  <c r="CP30" i="3"/>
  <c r="CP24" i="3"/>
  <c r="CP78" i="3"/>
  <c r="CR26" i="3"/>
  <c r="CR24" i="3"/>
  <c r="CD1058" i="4"/>
  <c r="CR77" i="3"/>
  <c r="CR76" i="3"/>
  <c r="CQ30" i="3"/>
  <c r="CQ24" i="3"/>
  <c r="CQ78" i="3"/>
  <c r="CC595" i="4"/>
  <c r="AS75" i="12"/>
  <c r="AZ19" i="12"/>
  <c r="BA7" i="12"/>
  <c r="AS31" i="12"/>
  <c r="AS32" i="12" s="1"/>
  <c r="AS21" i="12"/>
  <c r="AX27" i="12"/>
  <c r="AU8" i="12"/>
  <c r="AT52" i="12"/>
  <c r="AT20" i="12"/>
  <c r="AT9" i="12"/>
  <c r="AT12" i="12" s="1"/>
  <c r="AY30" i="12"/>
  <c r="BM17" i="12"/>
  <c r="BR5" i="12"/>
  <c r="BS2" i="12"/>
  <c r="BL18" i="12"/>
  <c r="CB907" i="4"/>
  <c r="CD905" i="4"/>
  <c r="CB564" i="4"/>
  <c r="CB580" i="4"/>
  <c r="CP31" i="3" s="1"/>
  <c r="CB569" i="4"/>
  <c r="CB568" i="4"/>
  <c r="CB590" i="4"/>
  <c r="CB574" i="4"/>
  <c r="CD580" i="4"/>
  <c r="CR31" i="3" s="1"/>
  <c r="CD569" i="4"/>
  <c r="P14" i="9" s="1"/>
  <c r="CD1061" i="4"/>
  <c r="CB1062" i="4"/>
  <c r="CJ2" i="4"/>
  <c r="CH3" i="4"/>
  <c r="CC698" i="4"/>
  <c r="CC799" i="4"/>
  <c r="CC798" i="4"/>
  <c r="CC574" i="4"/>
  <c r="CC590" i="4"/>
  <c r="CC1063" i="4"/>
  <c r="CC1064" i="4" s="1"/>
  <c r="CC1065" i="4" s="1"/>
  <c r="CC580" i="4"/>
  <c r="CQ31" i="3" s="1"/>
  <c r="CC569" i="4"/>
  <c r="CC568" i="4"/>
  <c r="CB799" i="4"/>
  <c r="CB798" i="4"/>
  <c r="CD590" i="4"/>
  <c r="CD574" i="4"/>
  <c r="CC907" i="4"/>
  <c r="CC564" i="4"/>
  <c r="CC596" i="4" l="1"/>
  <c r="P60" i="9"/>
  <c r="P114" i="9"/>
  <c r="CC591" i="4"/>
  <c r="CD904" i="4"/>
  <c r="P113" i="9"/>
  <c r="P59" i="9"/>
  <c r="P94" i="9" s="1"/>
  <c r="CB596" i="4"/>
  <c r="CD1423" i="4"/>
  <c r="AT75" i="12"/>
  <c r="CQ28" i="3"/>
  <c r="CB591" i="4"/>
  <c r="CP28" i="3"/>
  <c r="AZ30" i="12"/>
  <c r="AY27" i="12"/>
  <c r="AU20" i="12"/>
  <c r="AU52" i="12"/>
  <c r="AV8" i="12"/>
  <c r="AU9" i="12"/>
  <c r="AU12" i="12" s="1"/>
  <c r="AT31" i="12"/>
  <c r="AT32" i="12" s="1"/>
  <c r="AT21" i="12"/>
  <c r="BA19" i="12"/>
  <c r="BB7" i="12"/>
  <c r="BM18" i="12"/>
  <c r="BT2" i="12"/>
  <c r="BS5" i="12"/>
  <c r="BN17" i="12"/>
  <c r="CH4" i="4"/>
  <c r="CF4" i="4"/>
  <c r="CG4" i="4"/>
  <c r="CB570" i="4"/>
  <c r="CB563" i="4"/>
  <c r="CB562" i="4" s="1"/>
  <c r="CK2" i="4"/>
  <c r="CJ3" i="4"/>
  <c r="CD564" i="4"/>
  <c r="CC570" i="4"/>
  <c r="CC563" i="4"/>
  <c r="CC562" i="4" s="1"/>
  <c r="CB1063" i="4"/>
  <c r="CD1063" i="4" s="1"/>
  <c r="CD1060" i="4"/>
  <c r="CD1062" i="4"/>
  <c r="H75" i="12" l="1"/>
  <c r="N12" i="12"/>
  <c r="CD1064" i="4"/>
  <c r="CD1065" i="4" s="1"/>
  <c r="CB571" i="4"/>
  <c r="CR28" i="3"/>
  <c r="P153" i="9"/>
  <c r="CC571" i="4"/>
  <c r="BB19" i="12"/>
  <c r="BC7" i="12"/>
  <c r="BA30" i="12"/>
  <c r="AV20" i="12"/>
  <c r="AW8" i="12"/>
  <c r="AV9" i="12"/>
  <c r="AV12" i="12" s="1"/>
  <c r="AU75" i="12"/>
  <c r="AU31" i="12"/>
  <c r="AU32" i="12" s="1"/>
  <c r="AU21" i="12"/>
  <c r="AZ27" i="12"/>
  <c r="BO17" i="12"/>
  <c r="BN18" i="12"/>
  <c r="BU2" i="12"/>
  <c r="BT5" i="12"/>
  <c r="CC575" i="4"/>
  <c r="CC600" i="4"/>
  <c r="CD562" i="4"/>
  <c r="CG1421" i="4"/>
  <c r="CG1417" i="4"/>
  <c r="CG1419" i="4"/>
  <c r="CG1410" i="4"/>
  <c r="CG765" i="4"/>
  <c r="CG589" i="4"/>
  <c r="CG431" i="4"/>
  <c r="CG594" i="4"/>
  <c r="CG205" i="4"/>
  <c r="CG206" i="4"/>
  <c r="CG5" i="4"/>
  <c r="CG1412" i="4"/>
  <c r="CG856" i="4"/>
  <c r="CG697" i="4"/>
  <c r="CG869" i="4"/>
  <c r="CG1413" i="4"/>
  <c r="CG855" i="4"/>
  <c r="CG711" i="4"/>
  <c r="CG874" i="4"/>
  <c r="CG712" i="4"/>
  <c r="CG877" i="4"/>
  <c r="CG713" i="4"/>
  <c r="CG873" i="4"/>
  <c r="CU79" i="3" s="1"/>
  <c r="CG1411" i="4"/>
  <c r="CG567" i="4"/>
  <c r="CG597" i="4"/>
  <c r="CG872" i="4"/>
  <c r="CG1230" i="4"/>
  <c r="CG791" i="4"/>
  <c r="CG797" i="4"/>
  <c r="CG871" i="4"/>
  <c r="CG1213" i="4"/>
  <c r="CG1415" i="4"/>
  <c r="CG430" i="4"/>
  <c r="CG1414" i="4"/>
  <c r="CG879" i="4"/>
  <c r="CG1425" i="4"/>
  <c r="CG1416" i="4"/>
  <c r="CG870" i="4"/>
  <c r="CG878" i="4"/>
  <c r="CG1418" i="4"/>
  <c r="CG1420" i="4"/>
  <c r="CG1405" i="4"/>
  <c r="CG1422" i="4"/>
  <c r="CG1403" i="4"/>
  <c r="CG1404" i="4"/>
  <c r="CG1426" i="4"/>
  <c r="CG1061" i="4"/>
  <c r="CG1062" i="4" s="1"/>
  <c r="CG905" i="4"/>
  <c r="CK3" i="4"/>
  <c r="CL2" i="4"/>
  <c r="CF1417" i="4"/>
  <c r="CF1421" i="4"/>
  <c r="CF1419" i="4"/>
  <c r="CF1410" i="4"/>
  <c r="CF872" i="4"/>
  <c r="CF765" i="4"/>
  <c r="CF713" i="4"/>
  <c r="CF712" i="4"/>
  <c r="CF711" i="4"/>
  <c r="CF589" i="4"/>
  <c r="CF431" i="4"/>
  <c r="CF597" i="4"/>
  <c r="CF205" i="4"/>
  <c r="CF5" i="4"/>
  <c r="CF206" i="4"/>
  <c r="CF873" i="4"/>
  <c r="CT79" i="3" s="1"/>
  <c r="CF869" i="4"/>
  <c r="CF594" i="4"/>
  <c r="CF856" i="4"/>
  <c r="CF567" i="4"/>
  <c r="CF877" i="4"/>
  <c r="CF874" i="4"/>
  <c r="CF1415" i="4"/>
  <c r="CF791" i="4"/>
  <c r="CF1413" i="4"/>
  <c r="CF871" i="4"/>
  <c r="CF797" i="4"/>
  <c r="CF1411" i="4"/>
  <c r="CF879" i="4"/>
  <c r="CF1230" i="4"/>
  <c r="CF855" i="4"/>
  <c r="CF1412" i="4"/>
  <c r="CF430" i="4"/>
  <c r="CF1213" i="4"/>
  <c r="CF878" i="4"/>
  <c r="CF870" i="4"/>
  <c r="CF697" i="4"/>
  <c r="CF698" i="4" s="1"/>
  <c r="CF1414" i="4"/>
  <c r="CF1425" i="4"/>
  <c r="CF1416" i="4"/>
  <c r="CF1418" i="4"/>
  <c r="CF1420" i="4"/>
  <c r="CF1422" i="4"/>
  <c r="CF1405" i="4"/>
  <c r="CF1404" i="4"/>
  <c r="CF1403" i="4"/>
  <c r="CF1426" i="4"/>
  <c r="CF1061" i="4"/>
  <c r="CF905" i="4"/>
  <c r="CD570" i="4"/>
  <c r="CD563" i="4"/>
  <c r="CB600" i="4"/>
  <c r="CB575" i="4"/>
  <c r="CH1417" i="4"/>
  <c r="CH1410" i="4"/>
  <c r="CH205" i="4"/>
  <c r="CH431" i="4"/>
  <c r="CH597" i="4"/>
  <c r="CH856" i="4"/>
  <c r="CH589" i="4"/>
  <c r="CH1419" i="4"/>
  <c r="CH206" i="4"/>
  <c r="CH1421" i="4"/>
  <c r="CH594" i="4"/>
  <c r="CH874" i="4"/>
  <c r="CH869" i="4"/>
  <c r="CH567" i="4"/>
  <c r="CH873" i="4"/>
  <c r="CV79" i="3" s="1"/>
  <c r="CH1230" i="4"/>
  <c r="CH1413" i="4"/>
  <c r="CH877" i="4"/>
  <c r="CH872" i="4"/>
  <c r="CH879" i="4"/>
  <c r="CH871" i="4"/>
  <c r="CH855" i="4"/>
  <c r="CH791" i="4"/>
  <c r="CH797" i="4"/>
  <c r="CH799" i="4" s="1"/>
  <c r="CH1411" i="4"/>
  <c r="CH1415" i="4"/>
  <c r="CH1412" i="4"/>
  <c r="CH878" i="4"/>
  <c r="CH1213" i="4"/>
  <c r="CH870" i="4"/>
  <c r="CH430" i="4"/>
  <c r="CH697" i="4"/>
  <c r="CI697" i="4" s="1"/>
  <c r="CH1414" i="4"/>
  <c r="CH1425" i="4"/>
  <c r="CH1416" i="4"/>
  <c r="CH1418" i="4"/>
  <c r="CH1420" i="4"/>
  <c r="CH1422" i="4"/>
  <c r="CH1405" i="4"/>
  <c r="CH1404" i="4"/>
  <c r="CH1403" i="4"/>
  <c r="CH1426" i="4"/>
  <c r="CB1064" i="4"/>
  <c r="CB1065" i="4" s="1"/>
  <c r="CV26" i="3" l="1"/>
  <c r="CC601" i="4"/>
  <c r="CV27" i="3"/>
  <c r="CV25" i="3"/>
  <c r="T13" i="9"/>
  <c r="AH7" i="3"/>
  <c r="CT27" i="3"/>
  <c r="CT25" i="3"/>
  <c r="CU30" i="3"/>
  <c r="CU26" i="3"/>
  <c r="CV76" i="3"/>
  <c r="CH595" i="4"/>
  <c r="CT26" i="3"/>
  <c r="AF7" i="3"/>
  <c r="CU24" i="3"/>
  <c r="CG1058" i="4"/>
  <c r="CU77" i="3"/>
  <c r="CU76" i="3"/>
  <c r="CH1424" i="4"/>
  <c r="CV29" i="3"/>
  <c r="T47" i="9"/>
  <c r="CV24" i="3"/>
  <c r="CH1058" i="4"/>
  <c r="CV77" i="3"/>
  <c r="CF1424" i="4"/>
  <c r="R47" i="9"/>
  <c r="CT29" i="3"/>
  <c r="CT24" i="3"/>
  <c r="CF1058" i="4"/>
  <c r="CT77" i="3"/>
  <c r="CF595" i="4"/>
  <c r="CG1424" i="4"/>
  <c r="CG1423" i="4" s="1"/>
  <c r="S47" i="9"/>
  <c r="CU29" i="3"/>
  <c r="CU25" i="3"/>
  <c r="AG7" i="3"/>
  <c r="CB601" i="4"/>
  <c r="CV30" i="3"/>
  <c r="CV78" i="3"/>
  <c r="CT30" i="3"/>
  <c r="CT78" i="3"/>
  <c r="CT76" i="3"/>
  <c r="CU27" i="3"/>
  <c r="CU78" i="3"/>
  <c r="CG595" i="4"/>
  <c r="BA27" i="12"/>
  <c r="AX8" i="12"/>
  <c r="AW20" i="12"/>
  <c r="AW9" i="12"/>
  <c r="AW12" i="12" s="1"/>
  <c r="AV31" i="12"/>
  <c r="AV32" i="12" s="1"/>
  <c r="AV21" i="12"/>
  <c r="BC19" i="12"/>
  <c r="BD7" i="12"/>
  <c r="BB30" i="12"/>
  <c r="BU5" i="12"/>
  <c r="BV2" i="12"/>
  <c r="BP17" i="12"/>
  <c r="BO18" i="12"/>
  <c r="CF590" i="4"/>
  <c r="CF574" i="4"/>
  <c r="CG907" i="4"/>
  <c r="CG564" i="4"/>
  <c r="CG580" i="4"/>
  <c r="CU31" i="3" s="1"/>
  <c r="CG569" i="4"/>
  <c r="CG568" i="4"/>
  <c r="CH905" i="4"/>
  <c r="CF907" i="4"/>
  <c r="CF564" i="4"/>
  <c r="CG1063" i="4"/>
  <c r="CG1064" i="4" s="1"/>
  <c r="CG1065" i="4" s="1"/>
  <c r="CD575" i="4"/>
  <c r="CD600" i="4"/>
  <c r="CB578" i="4"/>
  <c r="CB576" i="4"/>
  <c r="CH574" i="4"/>
  <c r="CH590" i="4"/>
  <c r="CH1061" i="4"/>
  <c r="CF1062" i="4"/>
  <c r="CF568" i="4"/>
  <c r="CF580" i="4"/>
  <c r="CT31" i="3" s="1"/>
  <c r="CF569" i="4"/>
  <c r="CL3" i="4"/>
  <c r="CN2" i="4"/>
  <c r="CH580" i="4"/>
  <c r="CV31" i="3" s="1"/>
  <c r="CH569" i="4"/>
  <c r="T14" i="9" s="1"/>
  <c r="CF799" i="4"/>
  <c r="CF798" i="4"/>
  <c r="CG798" i="4"/>
  <c r="CG799" i="4"/>
  <c r="CG698" i="4"/>
  <c r="CG590" i="4"/>
  <c r="CG574" i="4"/>
  <c r="CC578" i="4"/>
  <c r="CC576" i="4"/>
  <c r="CC604" i="4" l="1"/>
  <c r="CC602" i="4"/>
  <c r="CB604" i="4"/>
  <c r="CB605" i="4" s="1"/>
  <c r="CF591" i="4"/>
  <c r="CH1423" i="4"/>
  <c r="CB602" i="4"/>
  <c r="CB603" i="4" s="1"/>
  <c r="CF1423" i="4"/>
  <c r="CG591" i="4"/>
  <c r="CU28" i="3"/>
  <c r="FC17" i="3"/>
  <c r="CH904" i="4"/>
  <c r="T60" i="9"/>
  <c r="T114" i="9"/>
  <c r="CD601" i="4"/>
  <c r="CG596" i="4"/>
  <c r="CF596" i="4"/>
  <c r="T59" i="9"/>
  <c r="T94" i="9" s="1"/>
  <c r="T113" i="9"/>
  <c r="BB27" i="12"/>
  <c r="BC30" i="12"/>
  <c r="AW31" i="12"/>
  <c r="AW32" i="12" s="1"/>
  <c r="AW21" i="12"/>
  <c r="AX20" i="12"/>
  <c r="AY8" i="12"/>
  <c r="AX9" i="12"/>
  <c r="AX12" i="12" s="1"/>
  <c r="BD19" i="12"/>
  <c r="BE7" i="12"/>
  <c r="BP18" i="12"/>
  <c r="BQ17" i="12"/>
  <c r="BV5" i="12"/>
  <c r="BW2" i="12"/>
  <c r="CF1063" i="4"/>
  <c r="CH1063" i="4" s="1"/>
  <c r="CF570" i="4"/>
  <c r="CF563" i="4"/>
  <c r="CF562" i="4" s="1"/>
  <c r="CH1060" i="4"/>
  <c r="CH1062" i="4"/>
  <c r="CD578" i="4"/>
  <c r="CD576" i="4"/>
  <c r="CO2" i="4"/>
  <c r="CN3" i="4"/>
  <c r="CC577" i="4"/>
  <c r="CC579" i="4"/>
  <c r="CJ4" i="4"/>
  <c r="CL4" i="4"/>
  <c r="CK4" i="4"/>
  <c r="CB577" i="4"/>
  <c r="CB579" i="4"/>
  <c r="CH564" i="4"/>
  <c r="CG570" i="4"/>
  <c r="CG563" i="4"/>
  <c r="CG562" i="4" s="1"/>
  <c r="CC605" i="4" l="1"/>
  <c r="CC603" i="4"/>
  <c r="CD602" i="4"/>
  <c r="CG571" i="4"/>
  <c r="CF571" i="4"/>
  <c r="T153" i="9"/>
  <c r="CT28" i="3"/>
  <c r="CH1064" i="4"/>
  <c r="CH1065" i="4" s="1"/>
  <c r="CD604" i="4"/>
  <c r="CV28" i="3"/>
  <c r="BE19" i="12"/>
  <c r="BF7" i="12"/>
  <c r="AX31" i="12"/>
  <c r="AX32" i="12" s="1"/>
  <c r="AX21" i="12"/>
  <c r="BC27" i="12"/>
  <c r="BD30" i="12"/>
  <c r="AZ8" i="12"/>
  <c r="AY20" i="12"/>
  <c r="AY9" i="12"/>
  <c r="AY12" i="12" s="1"/>
  <c r="BR17" i="12"/>
  <c r="BX2" i="12"/>
  <c r="BW5" i="12"/>
  <c r="BQ18" i="12"/>
  <c r="CK1417" i="4"/>
  <c r="CK1421" i="4"/>
  <c r="CK1410" i="4"/>
  <c r="CK765" i="4"/>
  <c r="CK589" i="4"/>
  <c r="CK597" i="4"/>
  <c r="CK431" i="4"/>
  <c r="CK205" i="4"/>
  <c r="CK5" i="4"/>
  <c r="CK206" i="4"/>
  <c r="CK1413" i="4"/>
  <c r="CK594" i="4"/>
  <c r="CK711" i="4"/>
  <c r="CK713" i="4"/>
  <c r="CK855" i="4"/>
  <c r="CK567" i="4"/>
  <c r="CK874" i="4"/>
  <c r="CK1213" i="4"/>
  <c r="CK1419" i="4"/>
  <c r="CK856" i="4"/>
  <c r="CK712" i="4"/>
  <c r="CK872" i="4"/>
  <c r="CK873" i="4"/>
  <c r="CY79" i="3" s="1"/>
  <c r="CK869" i="4"/>
  <c r="CK791" i="4"/>
  <c r="CK879" i="4"/>
  <c r="CK877" i="4"/>
  <c r="CK1415" i="4"/>
  <c r="CK1230" i="4"/>
  <c r="CK430" i="4"/>
  <c r="CK871" i="4"/>
  <c r="CK797" i="4"/>
  <c r="CK1411" i="4"/>
  <c r="CK697" i="4"/>
  <c r="CK1412" i="4"/>
  <c r="CK870" i="4"/>
  <c r="CK878" i="4"/>
  <c r="CK1414" i="4"/>
  <c r="CK1416" i="4"/>
  <c r="CK1425" i="4"/>
  <c r="CK1418" i="4"/>
  <c r="CK1420" i="4"/>
  <c r="CK1405" i="4"/>
  <c r="CK1422" i="4"/>
  <c r="CK1403" i="4"/>
  <c r="CK1426" i="4"/>
  <c r="CK1404" i="4"/>
  <c r="CK1061" i="4"/>
  <c r="CK1062" i="4" s="1"/>
  <c r="CK905" i="4"/>
  <c r="CD577" i="4"/>
  <c r="CD579" i="4"/>
  <c r="CF575" i="4"/>
  <c r="CF600" i="4"/>
  <c r="CF1064" i="4"/>
  <c r="CF1065" i="4" s="1"/>
  <c r="CH570" i="4"/>
  <c r="CH563" i="4"/>
  <c r="CL589" i="4"/>
  <c r="CL1417" i="4"/>
  <c r="CL1421" i="4"/>
  <c r="CL1410" i="4"/>
  <c r="CL431" i="4"/>
  <c r="CL1413" i="4"/>
  <c r="CL205" i="4"/>
  <c r="CL206" i="4"/>
  <c r="CL597" i="4"/>
  <c r="CL1415" i="4"/>
  <c r="CL594" i="4"/>
  <c r="CL869" i="4"/>
  <c r="CL567" i="4"/>
  <c r="CL874" i="4"/>
  <c r="CL877" i="4"/>
  <c r="CL873" i="4"/>
  <c r="CZ79" i="3" s="1"/>
  <c r="CL1213" i="4"/>
  <c r="CL856" i="4"/>
  <c r="CL1419" i="4"/>
  <c r="CL872" i="4"/>
  <c r="CL855" i="4"/>
  <c r="CL1230" i="4"/>
  <c r="CL1411" i="4"/>
  <c r="CL871" i="4"/>
  <c r="CL791" i="4"/>
  <c r="CL879" i="4"/>
  <c r="CL797" i="4"/>
  <c r="CL799" i="4" s="1"/>
  <c r="CL430" i="4"/>
  <c r="CL870" i="4"/>
  <c r="CL697" i="4"/>
  <c r="CM697" i="4" s="1"/>
  <c r="CL1412" i="4"/>
  <c r="CL878" i="4"/>
  <c r="CL1414" i="4"/>
  <c r="CL1416" i="4"/>
  <c r="CL1425" i="4"/>
  <c r="CL1418" i="4"/>
  <c r="CL1420" i="4"/>
  <c r="CL1405" i="4"/>
  <c r="CL1422" i="4"/>
  <c r="CL1426" i="4"/>
  <c r="CL1403" i="4"/>
  <c r="CL1404" i="4"/>
  <c r="CJ1421" i="4"/>
  <c r="CJ1417" i="4"/>
  <c r="CJ1410" i="4"/>
  <c r="CJ765" i="4"/>
  <c r="CJ713" i="4"/>
  <c r="CJ712" i="4"/>
  <c r="CJ711" i="4"/>
  <c r="CJ873" i="4"/>
  <c r="CX79" i="3" s="1"/>
  <c r="CJ597" i="4"/>
  <c r="CJ594" i="4"/>
  <c r="CJ589" i="4"/>
  <c r="CJ567" i="4"/>
  <c r="CJ206" i="4"/>
  <c r="CJ5" i="4"/>
  <c r="CJ205" i="4"/>
  <c r="CJ856" i="4"/>
  <c r="CJ431" i="4"/>
  <c r="CJ872" i="4"/>
  <c r="CJ1419" i="4"/>
  <c r="CJ697" i="4"/>
  <c r="CJ698" i="4" s="1"/>
  <c r="CJ877" i="4"/>
  <c r="CJ1413" i="4"/>
  <c r="CJ869" i="4"/>
  <c r="CJ874" i="4"/>
  <c r="CJ1213" i="4"/>
  <c r="CJ879" i="4"/>
  <c r="CJ791" i="4"/>
  <c r="CJ797" i="4"/>
  <c r="CJ1411" i="4"/>
  <c r="CJ1415" i="4"/>
  <c r="CJ871" i="4"/>
  <c r="CJ855" i="4"/>
  <c r="CJ1230" i="4"/>
  <c r="CJ430" i="4"/>
  <c r="CJ1412" i="4"/>
  <c r="CJ870" i="4"/>
  <c r="CJ878" i="4"/>
  <c r="CJ1414" i="4"/>
  <c r="CJ1425" i="4"/>
  <c r="CJ1416" i="4"/>
  <c r="CJ1418" i="4"/>
  <c r="CJ1420" i="4"/>
  <c r="CJ1405" i="4"/>
  <c r="CJ1422" i="4"/>
  <c r="CJ1404" i="4"/>
  <c r="CJ1426" i="4"/>
  <c r="CJ1403" i="4"/>
  <c r="CJ1061" i="4"/>
  <c r="CJ905" i="4"/>
  <c r="CG600" i="4"/>
  <c r="CH562" i="4"/>
  <c r="CG575" i="4"/>
  <c r="CP2" i="4"/>
  <c r="CO3" i="4"/>
  <c r="CZ78" i="3" l="1"/>
  <c r="CY24" i="3"/>
  <c r="CY78" i="3"/>
  <c r="CY76" i="3"/>
  <c r="CJ1424" i="4"/>
  <c r="CJ1423" i="4" s="1"/>
  <c r="CX29" i="3"/>
  <c r="V47" i="9"/>
  <c r="CJ1058" i="4"/>
  <c r="CX77" i="3"/>
  <c r="CL1424" i="4"/>
  <c r="CL1423" i="4" s="1"/>
  <c r="X47" i="9"/>
  <c r="CZ29" i="3"/>
  <c r="CZ24" i="3"/>
  <c r="X13" i="9"/>
  <c r="AL7" i="3"/>
  <c r="CF601" i="4"/>
  <c r="CK1424" i="4"/>
  <c r="CK1423" i="4" s="1"/>
  <c r="W47" i="9"/>
  <c r="CY29" i="3"/>
  <c r="CX27" i="3"/>
  <c r="AJ7" i="3"/>
  <c r="CZ30" i="3"/>
  <c r="CZ26" i="3"/>
  <c r="CZ25" i="3"/>
  <c r="CG601" i="4"/>
  <c r="CX24" i="3"/>
  <c r="CX25" i="3"/>
  <c r="CX78" i="3"/>
  <c r="CX76" i="3"/>
  <c r="CJ595" i="4"/>
  <c r="CZ77" i="3"/>
  <c r="CZ76" i="3"/>
  <c r="CY27" i="3"/>
  <c r="CY25" i="3"/>
  <c r="AK7" i="3"/>
  <c r="CK595" i="4"/>
  <c r="CX26" i="3"/>
  <c r="CX30" i="3"/>
  <c r="CZ27" i="3"/>
  <c r="CL595" i="4"/>
  <c r="CY30" i="3"/>
  <c r="CY26" i="3"/>
  <c r="CK1058" i="4"/>
  <c r="CY77" i="3"/>
  <c r="BD27" i="12"/>
  <c r="AY31" i="12"/>
  <c r="AY32" i="12" s="1"/>
  <c r="AY21" i="12"/>
  <c r="BA8" i="12"/>
  <c r="AZ20" i="12"/>
  <c r="AZ9" i="12"/>
  <c r="AZ12" i="12" s="1"/>
  <c r="BF19" i="12"/>
  <c r="BG7" i="12"/>
  <c r="BE30" i="12"/>
  <c r="BS17" i="12"/>
  <c r="BR18" i="12"/>
  <c r="BY2" i="12"/>
  <c r="BX5" i="12"/>
  <c r="CL1058" i="4"/>
  <c r="CF578" i="4"/>
  <c r="CF576" i="4"/>
  <c r="CK1063" i="4"/>
  <c r="CK1064" i="4" s="1"/>
  <c r="CK1065" i="4" s="1"/>
  <c r="CK799" i="4"/>
  <c r="CK798" i="4"/>
  <c r="CK568" i="4"/>
  <c r="CK580" i="4"/>
  <c r="CY31" i="3" s="1"/>
  <c r="CK569" i="4"/>
  <c r="CH575" i="4"/>
  <c r="CH600" i="4"/>
  <c r="CL905" i="4"/>
  <c r="CJ907" i="4"/>
  <c r="CJ564" i="4"/>
  <c r="CG578" i="4"/>
  <c r="CG576" i="4"/>
  <c r="CL1061" i="4"/>
  <c r="CJ1062" i="4"/>
  <c r="CJ799" i="4"/>
  <c r="CJ798" i="4"/>
  <c r="CJ580" i="4"/>
  <c r="CX31" i="3" s="1"/>
  <c r="CJ569" i="4"/>
  <c r="CJ568" i="4"/>
  <c r="CK698" i="4"/>
  <c r="CP3" i="4"/>
  <c r="CR2" i="4"/>
  <c r="CJ590" i="4"/>
  <c r="CJ574" i="4"/>
  <c r="CL580" i="4"/>
  <c r="CZ31" i="3" s="1"/>
  <c r="CL569" i="4"/>
  <c r="CL590" i="4"/>
  <c r="CL574" i="4"/>
  <c r="CK907" i="4"/>
  <c r="CK564" i="4"/>
  <c r="CK590" i="4"/>
  <c r="CK574" i="4"/>
  <c r="CG602" i="4" l="1"/>
  <c r="CF602" i="4"/>
  <c r="CF603" i="4" s="1"/>
  <c r="CG604" i="4"/>
  <c r="CK591" i="4"/>
  <c r="CJ591" i="4"/>
  <c r="FG17" i="3"/>
  <c r="CY28" i="3"/>
  <c r="CF604" i="4"/>
  <c r="CF605" i="4" s="1"/>
  <c r="CX28" i="3"/>
  <c r="CK596" i="4"/>
  <c r="CJ596" i="4"/>
  <c r="CZ28" i="3"/>
  <c r="CL904" i="4"/>
  <c r="X113" i="9"/>
  <c r="X59" i="9"/>
  <c r="X94" i="9" s="1"/>
  <c r="X14" i="9"/>
  <c r="CH601" i="4"/>
  <c r="BE27" i="12"/>
  <c r="BF30" i="12"/>
  <c r="AZ31" i="12"/>
  <c r="AZ32" i="12" s="1"/>
  <c r="AZ21" i="12"/>
  <c r="BH7" i="12"/>
  <c r="BG19" i="12"/>
  <c r="BA20" i="12"/>
  <c r="BB8" i="12"/>
  <c r="BA9" i="12"/>
  <c r="BA12" i="12" s="1"/>
  <c r="BS18" i="12"/>
  <c r="BY5" i="12"/>
  <c r="BZ2" i="12"/>
  <c r="BT17" i="12"/>
  <c r="CS2" i="4"/>
  <c r="CR3" i="4"/>
  <c r="CG577" i="4"/>
  <c r="CG579" i="4"/>
  <c r="CF577" i="4"/>
  <c r="CF579" i="4"/>
  <c r="CJ1063" i="4"/>
  <c r="CL1063" i="4" s="1"/>
  <c r="CO4" i="4"/>
  <c r="CN4" i="4"/>
  <c r="CP4" i="4"/>
  <c r="CL564" i="4"/>
  <c r="CK570" i="4"/>
  <c r="CK563" i="4"/>
  <c r="CK562" i="4" s="1"/>
  <c r="CL1060" i="4"/>
  <c r="CL1062" i="4"/>
  <c r="CJ570" i="4"/>
  <c r="CJ563" i="4"/>
  <c r="CJ562" i="4" s="1"/>
  <c r="CH578" i="4"/>
  <c r="CH576" i="4"/>
  <c r="CG603" i="4" l="1"/>
  <c r="CG605" i="4"/>
  <c r="CH602" i="4"/>
  <c r="CH604" i="4"/>
  <c r="CJ571" i="4"/>
  <c r="CL1064" i="4"/>
  <c r="CL1065" i="4" s="1"/>
  <c r="X60" i="9"/>
  <c r="X114" i="9"/>
  <c r="X153" i="9"/>
  <c r="BG30" i="12"/>
  <c r="BH19" i="12"/>
  <c r="BI7" i="12"/>
  <c r="BA31" i="12"/>
  <c r="BA32" i="12" s="1"/>
  <c r="BA21" i="12"/>
  <c r="BB20" i="12"/>
  <c r="BC8" i="12"/>
  <c r="BB9" i="12"/>
  <c r="BB12" i="12" s="1"/>
  <c r="BF27" i="12"/>
  <c r="BU17" i="12"/>
  <c r="BZ5" i="12"/>
  <c r="CA2" i="12"/>
  <c r="BT18" i="12"/>
  <c r="CH577" i="4"/>
  <c r="CH579" i="4"/>
  <c r="CP597" i="4"/>
  <c r="CP206" i="4"/>
  <c r="CP1421" i="4"/>
  <c r="CP1417" i="4"/>
  <c r="CP589" i="4"/>
  <c r="CP205" i="4"/>
  <c r="CP1413" i="4"/>
  <c r="CP431" i="4"/>
  <c r="CP797" i="4"/>
  <c r="CP799" i="4" s="1"/>
  <c r="CP872" i="4"/>
  <c r="CP594" i="4"/>
  <c r="CP856" i="4"/>
  <c r="DD75" i="3" s="1"/>
  <c r="CP874" i="4"/>
  <c r="CP1415" i="4"/>
  <c r="CP1419" i="4"/>
  <c r="CP1410" i="4"/>
  <c r="CP873" i="4"/>
  <c r="DD79" i="3" s="1"/>
  <c r="CP1213" i="4"/>
  <c r="CP567" i="4"/>
  <c r="CP869" i="4"/>
  <c r="CP1230" i="4"/>
  <c r="CP791" i="4"/>
  <c r="CP1411" i="4"/>
  <c r="CP871" i="4"/>
  <c r="CP697" i="4"/>
  <c r="CQ697" i="4" s="1"/>
  <c r="CP877" i="4"/>
  <c r="CP855" i="4"/>
  <c r="CP879" i="4"/>
  <c r="CP430" i="4"/>
  <c r="CP1412" i="4"/>
  <c r="CP870" i="4"/>
  <c r="CP878" i="4"/>
  <c r="CP1414" i="4"/>
  <c r="CP1425" i="4"/>
  <c r="CP1416" i="4"/>
  <c r="CP1418" i="4"/>
  <c r="CP1420" i="4"/>
  <c r="CP1405" i="4"/>
  <c r="CP1422" i="4"/>
  <c r="CP1426" i="4"/>
  <c r="CP1404" i="4"/>
  <c r="CP1403" i="4"/>
  <c r="CJ575" i="4"/>
  <c r="CJ600" i="4"/>
  <c r="CK571" i="4"/>
  <c r="CN1421" i="4"/>
  <c r="CN1417" i="4"/>
  <c r="CN589" i="4"/>
  <c r="CN713" i="4"/>
  <c r="CN712" i="4"/>
  <c r="CN711" i="4"/>
  <c r="CN597" i="4"/>
  <c r="CN431" i="4"/>
  <c r="CN206" i="4"/>
  <c r="CN205" i="4"/>
  <c r="CN5" i="4"/>
  <c r="CN872" i="4"/>
  <c r="CN1410" i="4"/>
  <c r="CN1419" i="4"/>
  <c r="CN594" i="4"/>
  <c r="CN874" i="4"/>
  <c r="CN1413" i="4"/>
  <c r="CN873" i="4"/>
  <c r="DB79" i="3" s="1"/>
  <c r="CN855" i="4"/>
  <c r="CN1411" i="4"/>
  <c r="CN791" i="4"/>
  <c r="CN871" i="4"/>
  <c r="CN856" i="4"/>
  <c r="CN797" i="4"/>
  <c r="CN697" i="4"/>
  <c r="CN698" i="4" s="1"/>
  <c r="CN567" i="4"/>
  <c r="CN1415" i="4"/>
  <c r="CN1213" i="4"/>
  <c r="CN879" i="4"/>
  <c r="CN1230" i="4"/>
  <c r="CN878" i="4"/>
  <c r="CN869" i="4"/>
  <c r="CN870" i="4"/>
  <c r="CN430" i="4"/>
  <c r="CN877" i="4"/>
  <c r="CN1412" i="4"/>
  <c r="CN1414" i="4"/>
  <c r="CN1416" i="4"/>
  <c r="CN1425" i="4"/>
  <c r="CN1418" i="4"/>
  <c r="CN1420" i="4"/>
  <c r="CN1422" i="4"/>
  <c r="CN1405" i="4"/>
  <c r="CN1403" i="4"/>
  <c r="CN1426" i="4"/>
  <c r="CN1404" i="4"/>
  <c r="CN905" i="4"/>
  <c r="CN1061" i="4"/>
  <c r="CN1062" i="4" s="1"/>
  <c r="CL563" i="4"/>
  <c r="CL570" i="4"/>
  <c r="CO1419" i="4"/>
  <c r="CO1421" i="4"/>
  <c r="CO1417" i="4"/>
  <c r="CO713" i="4"/>
  <c r="CO712" i="4"/>
  <c r="CO711" i="4"/>
  <c r="CO597" i="4"/>
  <c r="CO594" i="4"/>
  <c r="CO589" i="4"/>
  <c r="CO431" i="4"/>
  <c r="CO206" i="4"/>
  <c r="CO205" i="4"/>
  <c r="CO5" i="4"/>
  <c r="CO877" i="4"/>
  <c r="CO873" i="4"/>
  <c r="DC79" i="3" s="1"/>
  <c r="CO869" i="4"/>
  <c r="CO856" i="4"/>
  <c r="CO797" i="4"/>
  <c r="CO874" i="4"/>
  <c r="CO1213" i="4"/>
  <c r="CO1415" i="4"/>
  <c r="CO1413" i="4"/>
  <c r="CO1410" i="4"/>
  <c r="CO855" i="4"/>
  <c r="CO430" i="4"/>
  <c r="CO872" i="4"/>
  <c r="CO791" i="4"/>
  <c r="CO879" i="4"/>
  <c r="CO1230" i="4"/>
  <c r="CO567" i="4"/>
  <c r="CO871" i="4"/>
  <c r="CO1411" i="4"/>
  <c r="CO697" i="4"/>
  <c r="CO1412" i="4"/>
  <c r="CO870" i="4"/>
  <c r="CO878" i="4"/>
  <c r="CO1414" i="4"/>
  <c r="CO1425" i="4"/>
  <c r="CO1416" i="4"/>
  <c r="CO1418" i="4"/>
  <c r="CO1420" i="4"/>
  <c r="CO1405" i="4"/>
  <c r="CO1422" i="4"/>
  <c r="CO1404" i="4"/>
  <c r="CO1426" i="4"/>
  <c r="CO1403" i="4"/>
  <c r="CO1061" i="4"/>
  <c r="CO1062" i="4" s="1"/>
  <c r="CO905" i="4"/>
  <c r="CP1061" i="4"/>
  <c r="CP1060" i="4" s="1"/>
  <c r="CJ1064" i="4"/>
  <c r="CJ1065" i="4" s="1"/>
  <c r="CK575" i="4"/>
  <c r="CK600" i="4"/>
  <c r="CL562" i="4"/>
  <c r="CT2" i="4"/>
  <c r="CS3" i="4"/>
  <c r="CO698" i="4" l="1"/>
  <c r="CK601" i="4"/>
  <c r="DB27" i="3"/>
  <c r="CN1058" i="4"/>
  <c r="DB77" i="3"/>
  <c r="DD27" i="3"/>
  <c r="AB13" i="9"/>
  <c r="AP7" i="3"/>
  <c r="CP595" i="4"/>
  <c r="DC27" i="3"/>
  <c r="DC26" i="3"/>
  <c r="CO1058" i="4"/>
  <c r="DC77" i="3"/>
  <c r="DB24" i="3"/>
  <c r="DB78" i="3"/>
  <c r="CP1424" i="4"/>
  <c r="AB47" i="9"/>
  <c r="DD29" i="3"/>
  <c r="DD25" i="3"/>
  <c r="DD76" i="3"/>
  <c r="DC78" i="3"/>
  <c r="CO595" i="4"/>
  <c r="DB30" i="3"/>
  <c r="DB26" i="3"/>
  <c r="AN7" i="3"/>
  <c r="DD26" i="3"/>
  <c r="DD74" i="3"/>
  <c r="CO1424" i="4"/>
  <c r="AA47" i="9"/>
  <c r="DC29" i="3"/>
  <c r="AO7" i="3"/>
  <c r="DC76" i="3"/>
  <c r="CN1424" i="4"/>
  <c r="Z47" i="9"/>
  <c r="DB29" i="3"/>
  <c r="DB76" i="3"/>
  <c r="DD30" i="3"/>
  <c r="DD24" i="3"/>
  <c r="DC30" i="3"/>
  <c r="DC24" i="3"/>
  <c r="DC25" i="3"/>
  <c r="DB25" i="3"/>
  <c r="CN595" i="4"/>
  <c r="CJ601" i="4"/>
  <c r="DD78" i="3"/>
  <c r="DD77" i="3"/>
  <c r="BB31" i="12"/>
  <c r="BB32" i="12" s="1"/>
  <c r="BB21" i="12"/>
  <c r="BI19" i="12"/>
  <c r="BJ7" i="12"/>
  <c r="BH30" i="12"/>
  <c r="BD8" i="12"/>
  <c r="BC20" i="12"/>
  <c r="BC9" i="12"/>
  <c r="BC12" i="12" s="1"/>
  <c r="BG27" i="12"/>
  <c r="BV17" i="12"/>
  <c r="BU18" i="12"/>
  <c r="CB2" i="12"/>
  <c r="CA5" i="12"/>
  <c r="CO798" i="4"/>
  <c r="CO799" i="4"/>
  <c r="CL600" i="4"/>
  <c r="CL575" i="4"/>
  <c r="CP590" i="4"/>
  <c r="CP574" i="4"/>
  <c r="CN798" i="4"/>
  <c r="CN799" i="4"/>
  <c r="CK578" i="4"/>
  <c r="CK576" i="4"/>
  <c r="CO590" i="4"/>
  <c r="CO574" i="4"/>
  <c r="CN907" i="4"/>
  <c r="CP905" i="4"/>
  <c r="CN564" i="4"/>
  <c r="CN590" i="4"/>
  <c r="CN574" i="4"/>
  <c r="CP1058" i="4"/>
  <c r="CO580" i="4"/>
  <c r="DC31" i="3" s="1"/>
  <c r="CO569" i="4"/>
  <c r="CO568" i="4"/>
  <c r="CN1063" i="4"/>
  <c r="CO1063" i="4" s="1"/>
  <c r="CO1064" i="4" s="1"/>
  <c r="CO1065" i="4" s="1"/>
  <c r="CV2" i="4"/>
  <c r="CT3" i="4"/>
  <c r="CO907" i="4"/>
  <c r="CO564" i="4"/>
  <c r="CN568" i="4"/>
  <c r="CN580" i="4"/>
  <c r="DB31" i="3" s="1"/>
  <c r="CN569" i="4"/>
  <c r="CJ578" i="4"/>
  <c r="CJ576" i="4"/>
  <c r="CP580" i="4"/>
  <c r="DD31" i="3" s="1"/>
  <c r="CP569" i="4"/>
  <c r="CK604" i="4" l="1"/>
  <c r="CK602" i="4"/>
  <c r="CJ604" i="4"/>
  <c r="CJ605" i="4" s="1"/>
  <c r="CJ602" i="4"/>
  <c r="CJ603" i="4" s="1"/>
  <c r="CO1423" i="4"/>
  <c r="AB14" i="9"/>
  <c r="CN1064" i="4"/>
  <c r="CN1065" i="4" s="1"/>
  <c r="CP904" i="4"/>
  <c r="CL601" i="4"/>
  <c r="CO596" i="4"/>
  <c r="AB59" i="9"/>
  <c r="AB94" i="9" s="1"/>
  <c r="AB113" i="9"/>
  <c r="CN1423" i="4"/>
  <c r="FK17" i="3"/>
  <c r="CN591" i="4"/>
  <c r="CP1423" i="4"/>
  <c r="CN596" i="4"/>
  <c r="BD20" i="12"/>
  <c r="BE8" i="12"/>
  <c r="BD9" i="12"/>
  <c r="BD12" i="12" s="1"/>
  <c r="BK7" i="12"/>
  <c r="BJ19" i="12"/>
  <c r="BI30" i="12"/>
  <c r="BH27" i="12"/>
  <c r="BC31" i="12"/>
  <c r="BC32" i="12" s="1"/>
  <c r="BC21" i="12"/>
  <c r="BW17" i="12"/>
  <c r="CC2" i="12"/>
  <c r="CB5" i="12"/>
  <c r="BV18" i="12"/>
  <c r="CJ577" i="4"/>
  <c r="CJ579" i="4"/>
  <c r="CP564" i="4"/>
  <c r="CO563" i="4"/>
  <c r="CO562" i="4" s="1"/>
  <c r="CO570" i="4"/>
  <c r="CL578" i="4"/>
  <c r="CL576" i="4"/>
  <c r="CK577" i="4"/>
  <c r="CK579" i="4"/>
  <c r="CT4" i="4"/>
  <c r="CS4" i="4"/>
  <c r="CR4" i="4"/>
  <c r="CV3" i="4"/>
  <c r="CW2" i="4"/>
  <c r="CN563" i="4"/>
  <c r="CN562" i="4" s="1"/>
  <c r="CN570" i="4"/>
  <c r="CO591" i="4"/>
  <c r="CK605" i="4" l="1"/>
  <c r="CK603" i="4"/>
  <c r="CL604" i="4"/>
  <c r="AB114" i="9"/>
  <c r="AB60" i="9"/>
  <c r="DB28" i="3"/>
  <c r="CN571" i="4"/>
  <c r="DD28" i="3"/>
  <c r="AB153" i="9"/>
  <c r="DC28" i="3"/>
  <c r="CL602" i="4"/>
  <c r="BL7" i="12"/>
  <c r="BK19" i="12"/>
  <c r="BE20" i="12"/>
  <c r="BF8" i="12"/>
  <c r="BE9" i="12"/>
  <c r="BE12" i="12" s="1"/>
  <c r="BI27" i="12"/>
  <c r="BJ30" i="12"/>
  <c r="BD31" i="12"/>
  <c r="BD32" i="12" s="1"/>
  <c r="BD21" i="12"/>
  <c r="BW18" i="12"/>
  <c r="CC5" i="12"/>
  <c r="CD2" i="12"/>
  <c r="BX17" i="12"/>
  <c r="CO575" i="4"/>
  <c r="CO600" i="4"/>
  <c r="CP562" i="4"/>
  <c r="CW3" i="4"/>
  <c r="CX2" i="4"/>
  <c r="CR1421" i="4"/>
  <c r="CR1419" i="4"/>
  <c r="CR1417" i="4"/>
  <c r="CR1410" i="4"/>
  <c r="CR589" i="4"/>
  <c r="CR597" i="4"/>
  <c r="CR594" i="4"/>
  <c r="CR431" i="4"/>
  <c r="CR205" i="4"/>
  <c r="CR206" i="4"/>
  <c r="CR5" i="4"/>
  <c r="CR874" i="4"/>
  <c r="CR1412" i="4"/>
  <c r="CR1411" i="4"/>
  <c r="CR869" i="4"/>
  <c r="CR873" i="4"/>
  <c r="DF79" i="3" s="1"/>
  <c r="CR1213" i="4"/>
  <c r="CR856" i="4"/>
  <c r="DF75" i="3" s="1"/>
  <c r="CR567" i="4"/>
  <c r="CR877" i="4"/>
  <c r="CR872" i="4"/>
  <c r="CR1413" i="4"/>
  <c r="CR871" i="4"/>
  <c r="CR1414" i="4"/>
  <c r="CR797" i="4"/>
  <c r="CR1415" i="4"/>
  <c r="CR879" i="4"/>
  <c r="CR855" i="4"/>
  <c r="CR791" i="4"/>
  <c r="CR430" i="4"/>
  <c r="CR1416" i="4"/>
  <c r="CR1425" i="4"/>
  <c r="CR870" i="4"/>
  <c r="CR878" i="4"/>
  <c r="CR1230" i="4"/>
  <c r="CR1418" i="4"/>
  <c r="CR1420" i="4"/>
  <c r="CR1405" i="4"/>
  <c r="CR1422" i="4"/>
  <c r="CR1426" i="4"/>
  <c r="CR1403" i="4"/>
  <c r="CR1404" i="4"/>
  <c r="CR905" i="4"/>
  <c r="CR1061" i="4"/>
  <c r="CR1062" i="4" s="1"/>
  <c r="CT589" i="4"/>
  <c r="CT431" i="4"/>
  <c r="CT205" i="4"/>
  <c r="CT1413" i="4"/>
  <c r="CT206" i="4"/>
  <c r="CT597" i="4"/>
  <c r="CT1419" i="4"/>
  <c r="CT1417" i="4"/>
  <c r="CT1421" i="4"/>
  <c r="CT1410" i="4"/>
  <c r="CT594" i="4"/>
  <c r="CT869" i="4"/>
  <c r="CT1415" i="4"/>
  <c r="CT874" i="4"/>
  <c r="CT1213" i="4"/>
  <c r="CT873" i="4"/>
  <c r="DH79" i="3" s="1"/>
  <c r="CT872" i="4"/>
  <c r="CT856" i="4"/>
  <c r="DH75" i="3" s="1"/>
  <c r="CT877" i="4"/>
  <c r="CT567" i="4"/>
  <c r="CT1411" i="4"/>
  <c r="CT430" i="4"/>
  <c r="CT879" i="4"/>
  <c r="CT855" i="4"/>
  <c r="CT871" i="4"/>
  <c r="CT791" i="4"/>
  <c r="CT797" i="4"/>
  <c r="CT799" i="4" s="1"/>
  <c r="CT1230" i="4"/>
  <c r="CT878" i="4"/>
  <c r="CT870" i="4"/>
  <c r="CT1412" i="4"/>
  <c r="CT1414" i="4"/>
  <c r="CT1425" i="4"/>
  <c r="CT1416" i="4"/>
  <c r="CT1418" i="4"/>
  <c r="CT1420" i="4"/>
  <c r="CT1405" i="4"/>
  <c r="CT1422" i="4"/>
  <c r="CT1426" i="4"/>
  <c r="CT1403" i="4"/>
  <c r="CT1404" i="4"/>
  <c r="CL577" i="4"/>
  <c r="CL579" i="4"/>
  <c r="CN575" i="4"/>
  <c r="CN600" i="4"/>
  <c r="CT1061" i="4"/>
  <c r="CT1060" i="4" s="1"/>
  <c r="CP570" i="4"/>
  <c r="CP563" i="4"/>
  <c r="CS1421" i="4"/>
  <c r="CS1419" i="4"/>
  <c r="CS1417" i="4"/>
  <c r="CS1410" i="4"/>
  <c r="CS589" i="4"/>
  <c r="CS597" i="4"/>
  <c r="CS206" i="4"/>
  <c r="CS205" i="4"/>
  <c r="CS5" i="4"/>
  <c r="CS1413" i="4"/>
  <c r="CS431" i="4"/>
  <c r="CS869" i="4"/>
  <c r="CS1213" i="4"/>
  <c r="CS567" i="4"/>
  <c r="CS594" i="4"/>
  <c r="CS797" i="4"/>
  <c r="CS873" i="4"/>
  <c r="DG79" i="3" s="1"/>
  <c r="CS877" i="4"/>
  <c r="CS874" i="4"/>
  <c r="CS1230" i="4"/>
  <c r="CS872" i="4"/>
  <c r="CS879" i="4"/>
  <c r="CS1415" i="4"/>
  <c r="CS1411" i="4"/>
  <c r="CS871" i="4"/>
  <c r="CS430" i="4"/>
  <c r="CS791" i="4"/>
  <c r="CS856" i="4"/>
  <c r="DG75" i="3" s="1"/>
  <c r="CS855" i="4"/>
  <c r="CS878" i="4"/>
  <c r="CS870" i="4"/>
  <c r="CS1412" i="4"/>
  <c r="CS1414" i="4"/>
  <c r="CS1425" i="4"/>
  <c r="CS1416" i="4"/>
  <c r="CS1418" i="4"/>
  <c r="CS1420" i="4"/>
  <c r="CS1405" i="4"/>
  <c r="CS1422" i="4"/>
  <c r="CS1403" i="4"/>
  <c r="CS1426" i="4"/>
  <c r="CS1404" i="4"/>
  <c r="CS1061" i="4"/>
  <c r="CS1062" i="4" s="1"/>
  <c r="CS905" i="4"/>
  <c r="CO571" i="4"/>
  <c r="CN601" i="4" l="1"/>
  <c r="DH30" i="3"/>
  <c r="DH76" i="3"/>
  <c r="DH25" i="3"/>
  <c r="CR1424" i="4"/>
  <c r="AD47" i="9"/>
  <c r="DF29" i="3"/>
  <c r="DF76" i="3"/>
  <c r="CO601" i="4"/>
  <c r="CS1424" i="4"/>
  <c r="AE47" i="9"/>
  <c r="DG29" i="3"/>
  <c r="CT1424" i="4"/>
  <c r="CT1423" i="4" s="1"/>
  <c r="DH29" i="3"/>
  <c r="AF47" i="9"/>
  <c r="DH24" i="3"/>
  <c r="DH74" i="3"/>
  <c r="AF13" i="9"/>
  <c r="AT7" i="3"/>
  <c r="DF74" i="3"/>
  <c r="DF24" i="3"/>
  <c r="DG27" i="3"/>
  <c r="DG26" i="3"/>
  <c r="DG25" i="3"/>
  <c r="CS595" i="4"/>
  <c r="DH78" i="3"/>
  <c r="CT595" i="4"/>
  <c r="DF27" i="3"/>
  <c r="DF26" i="3"/>
  <c r="DF78" i="3"/>
  <c r="CR1058" i="4"/>
  <c r="DF77" i="3"/>
  <c r="AR7" i="3"/>
  <c r="CR595" i="4"/>
  <c r="DG24" i="3"/>
  <c r="DG74" i="3"/>
  <c r="CS1058" i="4"/>
  <c r="DG77" i="3"/>
  <c r="DG76" i="3"/>
  <c r="DH77" i="3"/>
  <c r="DG30" i="3"/>
  <c r="DG78" i="3"/>
  <c r="AS7" i="3"/>
  <c r="DH27" i="3"/>
  <c r="DH26" i="3"/>
  <c r="DF30" i="3"/>
  <c r="DF25" i="3"/>
  <c r="BE31" i="12"/>
  <c r="BE32" i="12" s="1"/>
  <c r="BE21" i="12"/>
  <c r="BK30" i="12"/>
  <c r="BJ27" i="12"/>
  <c r="BG8" i="12"/>
  <c r="BF20" i="12"/>
  <c r="BF9" i="12"/>
  <c r="BF12" i="12" s="1"/>
  <c r="BL19" i="12"/>
  <c r="BM7" i="12"/>
  <c r="BY17" i="12"/>
  <c r="BX18" i="12"/>
  <c r="CD5" i="12"/>
  <c r="CE2" i="12"/>
  <c r="CS907" i="4"/>
  <c r="CS564" i="4"/>
  <c r="CS574" i="4"/>
  <c r="CS590" i="4"/>
  <c r="CR907" i="4"/>
  <c r="CR564" i="4"/>
  <c r="CT905" i="4"/>
  <c r="CR580" i="4"/>
  <c r="DF31" i="3" s="1"/>
  <c r="CR569" i="4"/>
  <c r="CR568" i="4"/>
  <c r="CP575" i="4"/>
  <c r="CP600" i="4"/>
  <c r="CT1058" i="4"/>
  <c r="CT590" i="4"/>
  <c r="CT574" i="4"/>
  <c r="CR798" i="4"/>
  <c r="CR799" i="4"/>
  <c r="CR590" i="4"/>
  <c r="CR574" i="4"/>
  <c r="CS799" i="4"/>
  <c r="CS798" i="4"/>
  <c r="CS580" i="4"/>
  <c r="DG31" i="3" s="1"/>
  <c r="CS569" i="4"/>
  <c r="CS568" i="4"/>
  <c r="CN578" i="4"/>
  <c r="CN576" i="4"/>
  <c r="CT580" i="4"/>
  <c r="DH31" i="3" s="1"/>
  <c r="CT569" i="4"/>
  <c r="CR1063" i="4"/>
  <c r="CS1063" i="4" s="1"/>
  <c r="CS1064" i="4" s="1"/>
  <c r="CS1065" i="4" s="1"/>
  <c r="CX6" i="4"/>
  <c r="CZ2" i="4"/>
  <c r="CX3" i="4"/>
  <c r="CO578" i="4"/>
  <c r="CO576" i="4"/>
  <c r="CN602" i="4" l="1"/>
  <c r="CN603" i="4" s="1"/>
  <c r="CN604" i="4"/>
  <c r="CN605" i="4" s="1"/>
  <c r="CO604" i="4"/>
  <c r="CO602" i="4"/>
  <c r="DH28" i="3"/>
  <c r="CR591" i="4"/>
  <c r="CP601" i="4"/>
  <c r="CR596" i="4"/>
  <c r="FO17" i="3"/>
  <c r="CS1423" i="4"/>
  <c r="CS596" i="4"/>
  <c r="AF59" i="9"/>
  <c r="AF94" i="9" s="1"/>
  <c r="AF113" i="9"/>
  <c r="AF14" i="9"/>
  <c r="CT904" i="4"/>
  <c r="CR1423" i="4"/>
  <c r="BF31" i="12"/>
  <c r="BF32" i="12" s="1"/>
  <c r="BF21" i="12"/>
  <c r="BM19" i="12"/>
  <c r="BN7" i="12"/>
  <c r="BH8" i="12"/>
  <c r="BG20" i="12"/>
  <c r="BG9" i="12"/>
  <c r="BG12" i="12" s="1"/>
  <c r="BK27" i="12"/>
  <c r="BL30" i="12"/>
  <c r="BY18" i="12"/>
  <c r="BZ17" i="12"/>
  <c r="CF2" i="12"/>
  <c r="CE5" i="12"/>
  <c r="DA2" i="4"/>
  <c r="CZ3" i="4"/>
  <c r="CN577" i="4"/>
  <c r="CN579" i="4"/>
  <c r="CS591" i="4"/>
  <c r="CO577" i="4"/>
  <c r="CO579" i="4"/>
  <c r="CR1064" i="4"/>
  <c r="CR1065" i="4" s="1"/>
  <c r="CR570" i="4"/>
  <c r="CR563" i="4"/>
  <c r="CR562" i="4" s="1"/>
  <c r="CT564" i="4"/>
  <c r="CS570" i="4"/>
  <c r="CS563" i="4"/>
  <c r="CS562" i="4" s="1"/>
  <c r="CP578" i="4"/>
  <c r="CP576" i="4"/>
  <c r="CX4" i="4"/>
  <c r="CW4" i="4"/>
  <c r="CV4" i="4"/>
  <c r="CP604" i="4" l="1"/>
  <c r="CO603" i="4"/>
  <c r="CO605" i="4"/>
  <c r="CP602" i="4"/>
  <c r="CR571" i="4"/>
  <c r="CS571" i="4"/>
  <c r="DF28" i="3"/>
  <c r="AF114" i="9"/>
  <c r="AF60" i="9"/>
  <c r="AF153" i="9"/>
  <c r="DG28" i="3"/>
  <c r="BL27" i="12"/>
  <c r="BO7" i="12"/>
  <c r="BN19" i="12"/>
  <c r="BG31" i="12"/>
  <c r="BG32" i="12" s="1"/>
  <c r="BG21" i="12"/>
  <c r="BH20" i="12"/>
  <c r="BI8" i="12"/>
  <c r="BH9" i="12"/>
  <c r="BH12" i="12" s="1"/>
  <c r="BM30" i="12"/>
  <c r="CG2" i="12"/>
  <c r="CF5" i="12"/>
  <c r="CA17" i="12"/>
  <c r="BZ18" i="12"/>
  <c r="CT570" i="4"/>
  <c r="CT563" i="4"/>
  <c r="CR600" i="4"/>
  <c r="CR575" i="4"/>
  <c r="CX431" i="4"/>
  <c r="CX1415" i="4"/>
  <c r="CX856" i="4"/>
  <c r="DL75" i="3" s="1"/>
  <c r="CX206" i="4"/>
  <c r="CX205" i="4"/>
  <c r="CX1413" i="4"/>
  <c r="CX1417" i="4"/>
  <c r="CX1419" i="4"/>
  <c r="CX1421" i="4"/>
  <c r="CX597" i="4"/>
  <c r="CX1410" i="4"/>
  <c r="CX589" i="4"/>
  <c r="CX594" i="4"/>
  <c r="CX874" i="4"/>
  <c r="CX873" i="4"/>
  <c r="DL79" i="3" s="1"/>
  <c r="CX1230" i="4"/>
  <c r="CX872" i="4"/>
  <c r="CX869" i="4"/>
  <c r="CX877" i="4"/>
  <c r="CX567" i="4"/>
  <c r="CX791" i="4"/>
  <c r="CX879" i="4"/>
  <c r="CX797" i="4"/>
  <c r="CX1213" i="4"/>
  <c r="CX871" i="4"/>
  <c r="CX1411" i="4"/>
  <c r="CX855" i="4"/>
  <c r="CX430" i="4"/>
  <c r="CX1412" i="4"/>
  <c r="CX878" i="4"/>
  <c r="CX870" i="4"/>
  <c r="CX1414" i="4"/>
  <c r="CX1416" i="4"/>
  <c r="CX1425" i="4"/>
  <c r="CX1418" i="4"/>
  <c r="CX1420" i="4"/>
  <c r="CX1405" i="4"/>
  <c r="CX1422" i="4"/>
  <c r="CX1426" i="4"/>
  <c r="CX1404" i="4"/>
  <c r="CX1403" i="4"/>
  <c r="CX1061" i="4"/>
  <c r="CX1060" i="4" s="1"/>
  <c r="CV1419" i="4"/>
  <c r="CV1417" i="4"/>
  <c r="CV1421" i="4"/>
  <c r="CV1410" i="4"/>
  <c r="CV872" i="4"/>
  <c r="CV589" i="4"/>
  <c r="CV431" i="4"/>
  <c r="CV597" i="4"/>
  <c r="CV205" i="4"/>
  <c r="CV5" i="4"/>
  <c r="CV206" i="4"/>
  <c r="CV856" i="4"/>
  <c r="DJ75" i="3" s="1"/>
  <c r="CV869" i="4"/>
  <c r="CV1413" i="4"/>
  <c r="CV877" i="4"/>
  <c r="CV874" i="4"/>
  <c r="CV594" i="4"/>
  <c r="CV873" i="4"/>
  <c r="DJ79" i="3" s="1"/>
  <c r="CV1415" i="4"/>
  <c r="CV567" i="4"/>
  <c r="CV1213" i="4"/>
  <c r="CV430" i="4"/>
  <c r="CV855" i="4"/>
  <c r="CV879" i="4"/>
  <c r="CV797" i="4"/>
  <c r="CV791" i="4"/>
  <c r="CV871" i="4"/>
  <c r="CV1230" i="4"/>
  <c r="CV1411" i="4"/>
  <c r="CV1412" i="4"/>
  <c r="CV870" i="4"/>
  <c r="CV878" i="4"/>
  <c r="CV1414" i="4"/>
  <c r="CV1416" i="4"/>
  <c r="CV1425" i="4"/>
  <c r="CV1418" i="4"/>
  <c r="CV1420" i="4"/>
  <c r="CV1405" i="4"/>
  <c r="CV1422" i="4"/>
  <c r="CV1403" i="4"/>
  <c r="CV1404" i="4"/>
  <c r="CV1426" i="4"/>
  <c r="CV1061" i="4"/>
  <c r="CV1062" i="4" s="1"/>
  <c r="CV905" i="4"/>
  <c r="CP577" i="4"/>
  <c r="CP579" i="4"/>
  <c r="CW1421" i="4"/>
  <c r="CW1419" i="4"/>
  <c r="CW1417" i="4"/>
  <c r="CW1410" i="4"/>
  <c r="CW589" i="4"/>
  <c r="CW597" i="4"/>
  <c r="CW791" i="4"/>
  <c r="CW431" i="4"/>
  <c r="CW594" i="4"/>
  <c r="CW205" i="4"/>
  <c r="CW206" i="4"/>
  <c r="CW5" i="4"/>
  <c r="CW1413" i="4"/>
  <c r="CW1415" i="4"/>
  <c r="CW855" i="4"/>
  <c r="CW874" i="4"/>
  <c r="CW1230" i="4"/>
  <c r="CW873" i="4"/>
  <c r="DK79" i="3" s="1"/>
  <c r="CW1411" i="4"/>
  <c r="CW567" i="4"/>
  <c r="CW869" i="4"/>
  <c r="CW797" i="4"/>
  <c r="CW872" i="4"/>
  <c r="CW856" i="4"/>
  <c r="DK75" i="3" s="1"/>
  <c r="CW877" i="4"/>
  <c r="CW871" i="4"/>
  <c r="CW1412" i="4"/>
  <c r="CW430" i="4"/>
  <c r="CW879" i="4"/>
  <c r="CW1213" i="4"/>
  <c r="CW870" i="4"/>
  <c r="CW1414" i="4"/>
  <c r="CW878" i="4"/>
  <c r="CW1425" i="4"/>
  <c r="CW1416" i="4"/>
  <c r="CW1418" i="4"/>
  <c r="CW1420" i="4"/>
  <c r="CW1405" i="4"/>
  <c r="CW1422" i="4"/>
  <c r="CW1403" i="4"/>
  <c r="CW1404" i="4"/>
  <c r="CW1426" i="4"/>
  <c r="CW1061" i="4"/>
  <c r="CW1062" i="4" s="1"/>
  <c r="CW905" i="4"/>
  <c r="CS575" i="4"/>
  <c r="CS600" i="4"/>
  <c r="CT562" i="4"/>
  <c r="DA3" i="4"/>
  <c r="DB2" i="4"/>
  <c r="DK26" i="3" l="1"/>
  <c r="DK76" i="3"/>
  <c r="DK74" i="3"/>
  <c r="DJ24" i="3"/>
  <c r="DJ76" i="3"/>
  <c r="CS601" i="4"/>
  <c r="DL27" i="3"/>
  <c r="DL78" i="3"/>
  <c r="DL25" i="3"/>
  <c r="DK30" i="3"/>
  <c r="DK78" i="3"/>
  <c r="CW595" i="4"/>
  <c r="DJ27" i="3"/>
  <c r="CV1058" i="4"/>
  <c r="DJ77" i="3"/>
  <c r="DJ74" i="3"/>
  <c r="DJ25" i="3"/>
  <c r="CX1424" i="4"/>
  <c r="DL29" i="3"/>
  <c r="AJ47" i="9"/>
  <c r="DL26" i="3"/>
  <c r="CX1058" i="4"/>
  <c r="DL77" i="3"/>
  <c r="DL76" i="3"/>
  <c r="CX595" i="4"/>
  <c r="DK27" i="3"/>
  <c r="DJ30" i="3"/>
  <c r="CV595" i="4"/>
  <c r="DL74" i="3"/>
  <c r="CR601" i="4"/>
  <c r="CW1058" i="4"/>
  <c r="DK77" i="3"/>
  <c r="DK25" i="3"/>
  <c r="CV1424" i="4"/>
  <c r="AH47" i="9"/>
  <c r="DJ29" i="3"/>
  <c r="DJ78" i="3"/>
  <c r="AV7" i="3"/>
  <c r="CW1424" i="4"/>
  <c r="AI47" i="9"/>
  <c r="DK29" i="3"/>
  <c r="DK24" i="3"/>
  <c r="AW7" i="3"/>
  <c r="DJ26" i="3"/>
  <c r="DL30" i="3"/>
  <c r="DL24" i="3"/>
  <c r="AJ13" i="9"/>
  <c r="AX7" i="3"/>
  <c r="BH31" i="12"/>
  <c r="BH32" i="12" s="1"/>
  <c r="BH21" i="12"/>
  <c r="BN30" i="12"/>
  <c r="BM27" i="12"/>
  <c r="BO19" i="12"/>
  <c r="BP7" i="12"/>
  <c r="BJ8" i="12"/>
  <c r="BI20" i="12"/>
  <c r="BI9" i="12"/>
  <c r="BI12" i="12" s="1"/>
  <c r="CA18" i="12"/>
  <c r="CB17" i="12"/>
  <c r="CG5" i="12"/>
  <c r="CH2" i="12"/>
  <c r="DB6" i="4"/>
  <c r="DD2" i="4"/>
  <c r="DB3" i="4"/>
  <c r="CW590" i="4"/>
  <c r="CW574" i="4"/>
  <c r="CW798" i="4"/>
  <c r="CW799" i="4"/>
  <c r="CX905" i="4"/>
  <c r="CV907" i="4"/>
  <c r="CV564" i="4"/>
  <c r="CV568" i="4"/>
  <c r="CV580" i="4"/>
  <c r="DJ31" i="3" s="1"/>
  <c r="CV569" i="4"/>
  <c r="CR578" i="4"/>
  <c r="CR576" i="4"/>
  <c r="CS578" i="4"/>
  <c r="CS576" i="4"/>
  <c r="CV590" i="4"/>
  <c r="CV574" i="4"/>
  <c r="CX580" i="4"/>
  <c r="DL31" i="3" s="1"/>
  <c r="CX569" i="4"/>
  <c r="CX574" i="4"/>
  <c r="CX590" i="4"/>
  <c r="CV1063" i="4"/>
  <c r="CW1063" i="4" s="1"/>
  <c r="CW1064" i="4" s="1"/>
  <c r="CW1065" i="4" s="1"/>
  <c r="CW907" i="4"/>
  <c r="CW564" i="4"/>
  <c r="CW580" i="4"/>
  <c r="DK31" i="3" s="1"/>
  <c r="CW569" i="4"/>
  <c r="CW568" i="4"/>
  <c r="CT575" i="4"/>
  <c r="CT600" i="4"/>
  <c r="CV799" i="4"/>
  <c r="CV798" i="4"/>
  <c r="CX799" i="4"/>
  <c r="CY797" i="4"/>
  <c r="CS602" i="4" l="1"/>
  <c r="CR602" i="4"/>
  <c r="CR603" i="4" s="1"/>
  <c r="CR604" i="4"/>
  <c r="CR605" i="4" s="1"/>
  <c r="CT601" i="4"/>
  <c r="CV591" i="4"/>
  <c r="CX1423" i="4"/>
  <c r="CW596" i="4"/>
  <c r="AJ14" i="9"/>
  <c r="CX904" i="4"/>
  <c r="CS604" i="4"/>
  <c r="AJ113" i="9"/>
  <c r="AJ59" i="9"/>
  <c r="AJ94" i="9" s="1"/>
  <c r="CW1423" i="4"/>
  <c r="CV596" i="4"/>
  <c r="FS17" i="3"/>
  <c r="CV1423" i="4"/>
  <c r="BP19" i="12"/>
  <c r="BQ7" i="12"/>
  <c r="BO30" i="12"/>
  <c r="BI31" i="12"/>
  <c r="BI32" i="12" s="1"/>
  <c r="BI21" i="12"/>
  <c r="BK8" i="12"/>
  <c r="BJ20" i="12"/>
  <c r="BJ9" i="12"/>
  <c r="BJ12" i="12" s="1"/>
  <c r="BN27" i="12"/>
  <c r="CC17" i="12"/>
  <c r="CB18" i="12"/>
  <c r="CH5" i="12"/>
  <c r="CI2" i="12"/>
  <c r="CV1064" i="4"/>
  <c r="CV1065" i="4" s="1"/>
  <c r="CS577" i="4"/>
  <c r="CS579" i="4"/>
  <c r="CR577" i="4"/>
  <c r="CR579" i="4"/>
  <c r="CW591" i="4"/>
  <c r="CZ4" i="4"/>
  <c r="CZ228" i="4" s="1"/>
  <c r="DA4" i="4"/>
  <c r="DB4" i="4"/>
  <c r="DB228" i="4" s="1"/>
  <c r="DE2" i="4"/>
  <c r="DD3" i="4"/>
  <c r="CT578" i="4"/>
  <c r="CT576" i="4"/>
  <c r="CX564" i="4"/>
  <c r="CW570" i="4"/>
  <c r="CW563" i="4"/>
  <c r="CW562" i="4" s="1"/>
  <c r="CV570" i="4"/>
  <c r="CV563" i="4"/>
  <c r="CV562" i="4" s="1"/>
  <c r="AJ153" i="9" l="1"/>
  <c r="DA228" i="4"/>
  <c r="DA905" i="4"/>
  <c r="DB1061" i="4"/>
  <c r="DB1060" i="4" s="1"/>
  <c r="CS603" i="4"/>
  <c r="CS605" i="4"/>
  <c r="CT602" i="4"/>
  <c r="CT604" i="4"/>
  <c r="DL28" i="3"/>
  <c r="DJ28" i="3"/>
  <c r="CV571" i="4"/>
  <c r="DK28" i="3"/>
  <c r="AJ114" i="9"/>
  <c r="AJ60" i="9"/>
  <c r="BK20" i="12"/>
  <c r="BL8" i="12"/>
  <c r="BK9" i="12"/>
  <c r="BK12" i="12" s="1"/>
  <c r="BO27" i="12"/>
  <c r="BR7" i="12"/>
  <c r="BQ19" i="12"/>
  <c r="BJ31" i="12"/>
  <c r="BJ32" i="12" s="1"/>
  <c r="BJ21" i="12"/>
  <c r="BP30" i="12"/>
  <c r="CC18" i="12"/>
  <c r="CJ2" i="12"/>
  <c r="CI5" i="12"/>
  <c r="CD17" i="12"/>
  <c r="CV575" i="4"/>
  <c r="CV600" i="4"/>
  <c r="CW571" i="4"/>
  <c r="CX570" i="4"/>
  <c r="CX563" i="4"/>
  <c r="DA1419" i="4"/>
  <c r="DA1417" i="4"/>
  <c r="DA1421" i="4"/>
  <c r="DA1410" i="4"/>
  <c r="DA872" i="4"/>
  <c r="DA589" i="4"/>
  <c r="DA431" i="4"/>
  <c r="DA597" i="4"/>
  <c r="DA205" i="4"/>
  <c r="DA5" i="4"/>
  <c r="DA206" i="4"/>
  <c r="DA874" i="4"/>
  <c r="DA1415" i="4"/>
  <c r="DA855" i="4"/>
  <c r="DA856" i="4"/>
  <c r="DO75" i="3" s="1"/>
  <c r="DA873" i="4"/>
  <c r="DO79" i="3" s="1"/>
  <c r="DA1413" i="4"/>
  <c r="DA797" i="4"/>
  <c r="DA567" i="4"/>
  <c r="DA594" i="4"/>
  <c r="DA1213" i="4"/>
  <c r="DA791" i="4"/>
  <c r="DA879" i="4"/>
  <c r="DA1411" i="4"/>
  <c r="DA869" i="4"/>
  <c r="DA1230" i="4"/>
  <c r="DA877" i="4"/>
  <c r="DA871" i="4"/>
  <c r="DA430" i="4"/>
  <c r="DA870" i="4"/>
  <c r="DA878" i="4"/>
  <c r="DA1412" i="4"/>
  <c r="DA1414" i="4"/>
  <c r="DA1425" i="4"/>
  <c r="DA1416" i="4"/>
  <c r="DA1418" i="4"/>
  <c r="DA1420" i="4"/>
  <c r="DA1422" i="4"/>
  <c r="DA1405" i="4"/>
  <c r="DA1404" i="4"/>
  <c r="DA1403" i="4"/>
  <c r="DA1426" i="4"/>
  <c r="DA1061" i="4"/>
  <c r="DA1062" i="4" s="1"/>
  <c r="DB589" i="4"/>
  <c r="DB205" i="4"/>
  <c r="DB206" i="4"/>
  <c r="DB597" i="4"/>
  <c r="DB1421" i="4"/>
  <c r="DB1410" i="4"/>
  <c r="DB1413" i="4"/>
  <c r="DB1415" i="4"/>
  <c r="DB1417" i="4"/>
  <c r="DB1419" i="4"/>
  <c r="DB431" i="4"/>
  <c r="DB797" i="4"/>
  <c r="DB869" i="4"/>
  <c r="DB567" i="4"/>
  <c r="DB594" i="4"/>
  <c r="DB873" i="4"/>
  <c r="DP79" i="3" s="1"/>
  <c r="DB874" i="4"/>
  <c r="DB1213" i="4"/>
  <c r="DB877" i="4"/>
  <c r="DB856" i="4"/>
  <c r="DP75" i="3" s="1"/>
  <c r="DB872" i="4"/>
  <c r="DB871" i="4"/>
  <c r="DB855" i="4"/>
  <c r="DB1230" i="4"/>
  <c r="DB791" i="4"/>
  <c r="DB1411" i="4"/>
  <c r="DB879" i="4"/>
  <c r="DB870" i="4"/>
  <c r="DB430" i="4"/>
  <c r="DB1412" i="4"/>
  <c r="DB878" i="4"/>
  <c r="DB1414" i="4"/>
  <c r="DB1416" i="4"/>
  <c r="DB1425" i="4"/>
  <c r="DB1418" i="4"/>
  <c r="DB1420" i="4"/>
  <c r="DB1405" i="4"/>
  <c r="DB1422" i="4"/>
  <c r="DB1403" i="4"/>
  <c r="DB1404" i="4"/>
  <c r="DB1426" i="4"/>
  <c r="CW600" i="4"/>
  <c r="CX562" i="4"/>
  <c r="CW575" i="4"/>
  <c r="CT577" i="4"/>
  <c r="CT579" i="4"/>
  <c r="DF2" i="4"/>
  <c r="DE3" i="4"/>
  <c r="CZ1419" i="4"/>
  <c r="CZ1417" i="4"/>
  <c r="CZ1421" i="4"/>
  <c r="CZ1410" i="4"/>
  <c r="CZ597" i="4"/>
  <c r="CZ594" i="4"/>
  <c r="CZ589" i="4"/>
  <c r="CZ567" i="4"/>
  <c r="CZ873" i="4"/>
  <c r="DN79" i="3" s="1"/>
  <c r="CZ431" i="4"/>
  <c r="CZ206" i="4"/>
  <c r="CZ205" i="4"/>
  <c r="CZ5" i="4"/>
  <c r="CZ1415" i="4"/>
  <c r="CZ877" i="4"/>
  <c r="CZ874" i="4"/>
  <c r="CZ1213" i="4"/>
  <c r="CZ856" i="4"/>
  <c r="DN75" i="3" s="1"/>
  <c r="CZ869" i="4"/>
  <c r="CZ872" i="4"/>
  <c r="CZ1413" i="4"/>
  <c r="CZ871" i="4"/>
  <c r="CZ791" i="4"/>
  <c r="CZ855" i="4"/>
  <c r="CZ879" i="4"/>
  <c r="CZ797" i="4"/>
  <c r="CZ1411" i="4"/>
  <c r="CZ1230" i="4"/>
  <c r="CZ878" i="4"/>
  <c r="CZ1412" i="4"/>
  <c r="CZ870" i="4"/>
  <c r="CZ430" i="4"/>
  <c r="CZ1414" i="4"/>
  <c r="CZ1425" i="4"/>
  <c r="CZ1416" i="4"/>
  <c r="CZ1418" i="4"/>
  <c r="CZ1420" i="4"/>
  <c r="CZ1405" i="4"/>
  <c r="CZ1422" i="4"/>
  <c r="CZ1404" i="4"/>
  <c r="CZ1403" i="4"/>
  <c r="CZ1426" i="4"/>
  <c r="CZ1061" i="4"/>
  <c r="CZ1062" i="4" s="1"/>
  <c r="CZ905" i="4"/>
  <c r="DF6" i="4" l="1"/>
  <c r="DP78" i="3"/>
  <c r="DN25" i="3"/>
  <c r="CZ595" i="4"/>
  <c r="CW601" i="4"/>
  <c r="CZ1424" i="4"/>
  <c r="DN29" i="3"/>
  <c r="AL47" i="9"/>
  <c r="DN24" i="3"/>
  <c r="DN78" i="3"/>
  <c r="DP26" i="3"/>
  <c r="DP76" i="3"/>
  <c r="DA1424" i="4"/>
  <c r="AM47" i="9"/>
  <c r="DO29" i="3"/>
  <c r="DO24" i="3"/>
  <c r="DO25" i="3"/>
  <c r="DO76" i="3"/>
  <c r="CV601" i="4"/>
  <c r="DN27" i="3"/>
  <c r="DN26" i="3"/>
  <c r="DB1424" i="4"/>
  <c r="DB1423" i="4" s="1"/>
  <c r="DP29" i="3"/>
  <c r="AN47" i="9"/>
  <c r="DP74" i="3"/>
  <c r="DB595" i="4"/>
  <c r="DO26" i="3"/>
  <c r="DO78" i="3"/>
  <c r="BA7" i="3"/>
  <c r="CZ1058" i="4"/>
  <c r="DN77" i="3"/>
  <c r="DP27" i="3"/>
  <c r="DB1058" i="4"/>
  <c r="DP77" i="3"/>
  <c r="AN13" i="9"/>
  <c r="BB7" i="3"/>
  <c r="DO27" i="3"/>
  <c r="DO74" i="3"/>
  <c r="DN30" i="3"/>
  <c r="DN74" i="3"/>
  <c r="DN76" i="3"/>
  <c r="AZ7" i="3"/>
  <c r="DP30" i="3"/>
  <c r="DP24" i="3"/>
  <c r="DP25" i="3"/>
  <c r="DO30" i="3"/>
  <c r="DA1058" i="4"/>
  <c r="DO77" i="3"/>
  <c r="DA595" i="4"/>
  <c r="BR19" i="12"/>
  <c r="BS7" i="12"/>
  <c r="BP27" i="12"/>
  <c r="BQ30" i="12"/>
  <c r="BM8" i="12"/>
  <c r="BL20" i="12"/>
  <c r="BL9" i="12"/>
  <c r="BL12" i="12" s="1"/>
  <c r="BK31" i="12"/>
  <c r="BK32" i="12" s="1"/>
  <c r="BK21" i="12"/>
  <c r="CK2" i="12"/>
  <c r="CJ5" i="12"/>
  <c r="CE17" i="12"/>
  <c r="CD18" i="12"/>
  <c r="CZ1423" i="4"/>
  <c r="DB590" i="4"/>
  <c r="DB574" i="4"/>
  <c r="DB905" i="4"/>
  <c r="CZ564" i="4"/>
  <c r="CZ907" i="4"/>
  <c r="CZ580" i="4"/>
  <c r="DN31" i="3" s="1"/>
  <c r="CZ569" i="4"/>
  <c r="CZ568" i="4"/>
  <c r="CW578" i="4"/>
  <c r="CW576" i="4"/>
  <c r="DC797" i="4"/>
  <c r="DB799" i="4"/>
  <c r="DA907" i="4"/>
  <c r="DA564" i="4"/>
  <c r="CZ799" i="4"/>
  <c r="CZ798" i="4"/>
  <c r="CZ1063" i="4"/>
  <c r="DA1063" i="4" s="1"/>
  <c r="DA1064" i="4" s="1"/>
  <c r="DA1065" i="4" s="1"/>
  <c r="CZ590" i="4"/>
  <c r="CZ574" i="4"/>
  <c r="DF3" i="4"/>
  <c r="DH2" i="4"/>
  <c r="CX575" i="4"/>
  <c r="CX600" i="4"/>
  <c r="DA568" i="4"/>
  <c r="DA580" i="4"/>
  <c r="DO31" i="3" s="1"/>
  <c r="DA569" i="4"/>
  <c r="DB580" i="4"/>
  <c r="DP31" i="3" s="1"/>
  <c r="DB569" i="4"/>
  <c r="DA799" i="4"/>
  <c r="DA798" i="4"/>
  <c r="DA590" i="4"/>
  <c r="DA574" i="4"/>
  <c r="CV578" i="4"/>
  <c r="CV576" i="4"/>
  <c r="CV604" i="4" l="1"/>
  <c r="CV605" i="4" s="1"/>
  <c r="CW602" i="4"/>
  <c r="CW604" i="4"/>
  <c r="CV602" i="4"/>
  <c r="CV603" i="4" s="1"/>
  <c r="DA596" i="4"/>
  <c r="CZ1064" i="4"/>
  <c r="CZ1065" i="4" s="1"/>
  <c r="DP28" i="3"/>
  <c r="FW17" i="3"/>
  <c r="CX601" i="4"/>
  <c r="DB904" i="4"/>
  <c r="CZ596" i="4"/>
  <c r="AN14" i="9"/>
  <c r="DA1423" i="4"/>
  <c r="AN59" i="9"/>
  <c r="AN113" i="9"/>
  <c r="DN28" i="3"/>
  <c r="CZ591" i="4"/>
  <c r="BN8" i="12"/>
  <c r="BM20" i="12"/>
  <c r="BM9" i="12"/>
  <c r="BM12" i="12" s="1"/>
  <c r="BQ27" i="12"/>
  <c r="BS19" i="12"/>
  <c r="BT7" i="12"/>
  <c r="BL31" i="12"/>
  <c r="BL32" i="12" s="1"/>
  <c r="BL21" i="12"/>
  <c r="BR30" i="12"/>
  <c r="CE18" i="12"/>
  <c r="CF17" i="12"/>
  <c r="CK5" i="12"/>
  <c r="CL2" i="12"/>
  <c r="DH3" i="4"/>
  <c r="DI2" i="4"/>
  <c r="DE4" i="4"/>
  <c r="DE905" i="4" s="1"/>
  <c r="DD4" i="4"/>
  <c r="DF4" i="4"/>
  <c r="DF1061" i="4" s="1"/>
  <c r="DF1060" i="4" s="1"/>
  <c r="CW577" i="4"/>
  <c r="CW579" i="4"/>
  <c r="CZ570" i="4"/>
  <c r="CZ563" i="4"/>
  <c r="CZ562" i="4" s="1"/>
  <c r="DA591" i="4"/>
  <c r="CX578" i="4"/>
  <c r="CX576" i="4"/>
  <c r="CV577" i="4"/>
  <c r="CV579" i="4"/>
  <c r="DB564" i="4"/>
  <c r="DA570" i="4"/>
  <c r="DA563" i="4"/>
  <c r="DA562" i="4" s="1"/>
  <c r="DE1419" i="4" l="1"/>
  <c r="DE597" i="4"/>
  <c r="DE431" i="4"/>
  <c r="DE1411" i="4"/>
  <c r="DE589" i="4"/>
  <c r="DE1415" i="4"/>
  <c r="DE1413" i="4"/>
  <c r="DE797" i="4"/>
  <c r="DE1417" i="4"/>
  <c r="DE1410" i="4"/>
  <c r="DE567" i="4"/>
  <c r="DE874" i="4"/>
  <c r="DE856" i="4"/>
  <c r="DE1421" i="4"/>
  <c r="DE873" i="4"/>
  <c r="DE872" i="4"/>
  <c r="DE594" i="4"/>
  <c r="DE595" i="4" s="1"/>
  <c r="DE871" i="4"/>
  <c r="DE855" i="4"/>
  <c r="DE879" i="4"/>
  <c r="DE228" i="4"/>
  <c r="DE1412" i="4"/>
  <c r="DE1414" i="4"/>
  <c r="DE791" i="4"/>
  <c r="DE1416" i="4"/>
  <c r="DE1418" i="4"/>
  <c r="DE1420" i="4"/>
  <c r="DE1422" i="4"/>
  <c r="DE1404" i="4"/>
  <c r="DE1403" i="4"/>
  <c r="DE1424" i="4" s="1"/>
  <c r="DE1426" i="4"/>
  <c r="DE430" i="4"/>
  <c r="DE877" i="4"/>
  <c r="DE1213" i="4"/>
  <c r="DE869" i="4"/>
  <c r="DE1230" i="4"/>
  <c r="DE870" i="4"/>
  <c r="DE1425" i="4"/>
  <c r="DE878" i="4"/>
  <c r="DE1405" i="4"/>
  <c r="DE1061" i="4"/>
  <c r="DE1062" i="4" s="1"/>
  <c r="DE1064" i="4" s="1"/>
  <c r="DE1065" i="4" s="1"/>
  <c r="DF1419" i="4"/>
  <c r="DF872" i="4"/>
  <c r="DF567" i="4"/>
  <c r="DF1417" i="4"/>
  <c r="DF589" i="4"/>
  <c r="DF597" i="4"/>
  <c r="DF431" i="4"/>
  <c r="DF873" i="4"/>
  <c r="DF1421" i="4"/>
  <c r="DF874" i="4"/>
  <c r="DF1415" i="4"/>
  <c r="DF1410" i="4"/>
  <c r="DF228" i="4"/>
  <c r="DF871" i="4"/>
  <c r="DF879" i="4"/>
  <c r="K76" i="12" s="1"/>
  <c r="DF1413" i="4"/>
  <c r="DF594" i="4"/>
  <c r="DF595" i="4" s="1"/>
  <c r="DF797" i="4"/>
  <c r="DF856" i="4"/>
  <c r="DF791" i="4"/>
  <c r="DF1411" i="4"/>
  <c r="DF1412" i="4"/>
  <c r="DF855" i="4"/>
  <c r="DF1414" i="4"/>
  <c r="DF1416" i="4"/>
  <c r="DF1425" i="4"/>
  <c r="DF1418" i="4"/>
  <c r="DF1420" i="4"/>
  <c r="DF1422" i="4"/>
  <c r="DF1426" i="4"/>
  <c r="DF1403" i="4"/>
  <c r="DF1424" i="4" s="1"/>
  <c r="DF1404" i="4"/>
  <c r="DF1213" i="4"/>
  <c r="DF877" i="4"/>
  <c r="DF1230" i="4"/>
  <c r="DF869" i="4"/>
  <c r="DF870" i="4"/>
  <c r="DF430" i="4"/>
  <c r="DF878" i="4"/>
  <c r="DF1405" i="4"/>
  <c r="DD228" i="4"/>
  <c r="CW605" i="4"/>
  <c r="DD1405" i="4"/>
  <c r="DD905" i="4"/>
  <c r="DD1419" i="4"/>
  <c r="DD1413" i="4"/>
  <c r="DD1410" i="4"/>
  <c r="DD1417" i="4"/>
  <c r="DD791" i="4"/>
  <c r="DD873" i="4"/>
  <c r="DD856" i="4"/>
  <c r="DD589" i="4"/>
  <c r="DD1411" i="4"/>
  <c r="DD874" i="4"/>
  <c r="DD1415" i="4"/>
  <c r="DD594" i="4"/>
  <c r="DD595" i="4" s="1"/>
  <c r="DD1421" i="4"/>
  <c r="DD872" i="4"/>
  <c r="DD567" i="4"/>
  <c r="DD1412" i="4"/>
  <c r="DD879" i="4"/>
  <c r="DD597" i="4"/>
  <c r="DD797" i="4"/>
  <c r="DD871" i="4"/>
  <c r="DD855" i="4"/>
  <c r="DD1414" i="4"/>
  <c r="DD1416" i="4"/>
  <c r="DD1418" i="4"/>
  <c r="DD1420" i="4"/>
  <c r="DD1422" i="4"/>
  <c r="DD1404" i="4"/>
  <c r="DD1426" i="4"/>
  <c r="DD1403" i="4"/>
  <c r="DD1424" i="4" s="1"/>
  <c r="DD877" i="4"/>
  <c r="DD1213" i="4"/>
  <c r="DD1230" i="4"/>
  <c r="DD869" i="4"/>
  <c r="DD878" i="4"/>
  <c r="DD870" i="4"/>
  <c r="DD1425" i="4"/>
  <c r="DD431" i="4"/>
  <c r="DD430" i="4"/>
  <c r="CX602" i="4"/>
  <c r="CX604" i="4"/>
  <c r="CW603" i="4"/>
  <c r="AN94" i="9"/>
  <c r="AN114" i="9"/>
  <c r="AN60" i="9"/>
  <c r="CZ571" i="4"/>
  <c r="DS5" i="3"/>
  <c r="BE5" i="3"/>
  <c r="DA571" i="4"/>
  <c r="DT5" i="3"/>
  <c r="BF5" i="3"/>
  <c r="AN153" i="9"/>
  <c r="BD5" i="3"/>
  <c r="DR5" i="3"/>
  <c r="DO28" i="3"/>
  <c r="BR27" i="12"/>
  <c r="BS30" i="12"/>
  <c r="BM31" i="12"/>
  <c r="BM32" i="12" s="1"/>
  <c r="BM21" i="12"/>
  <c r="BT19" i="12"/>
  <c r="BU7" i="12"/>
  <c r="BO8" i="12"/>
  <c r="BN20" i="12"/>
  <c r="BN9" i="12"/>
  <c r="BN12" i="12" s="1"/>
  <c r="CL5" i="12"/>
  <c r="CM2" i="12"/>
  <c r="CF18" i="12"/>
  <c r="CG17" i="12"/>
  <c r="DA575" i="4"/>
  <c r="DA600" i="4"/>
  <c r="DB562" i="4"/>
  <c r="DB563" i="4"/>
  <c r="DB570" i="4"/>
  <c r="DD5" i="4"/>
  <c r="DE5" i="4"/>
  <c r="DJ2" i="4"/>
  <c r="DI3" i="4"/>
  <c r="CX577" i="4"/>
  <c r="CX579" i="4"/>
  <c r="CZ575" i="4"/>
  <c r="CZ600" i="4"/>
  <c r="DF1058" i="4" l="1"/>
  <c r="K75" i="12"/>
  <c r="DF1423" i="4"/>
  <c r="DF905" i="4"/>
  <c r="DF904" i="4" s="1"/>
  <c r="DF799" i="4"/>
  <c r="DG797" i="4"/>
  <c r="DE1423" i="4"/>
  <c r="DE799" i="4"/>
  <c r="DE798" i="4"/>
  <c r="DF569" i="4"/>
  <c r="DF580" i="4"/>
  <c r="DE574" i="4"/>
  <c r="DE590" i="4"/>
  <c r="DE907" i="4"/>
  <c r="DE564" i="4"/>
  <c r="DE1058" i="4"/>
  <c r="DS77" i="3"/>
  <c r="DE580" i="4"/>
  <c r="DE569" i="4"/>
  <c r="DE568" i="4"/>
  <c r="DE596" i="4"/>
  <c r="DF574" i="4"/>
  <c r="DF590" i="4"/>
  <c r="DS65" i="3"/>
  <c r="DD1423" i="4"/>
  <c r="DD564" i="4"/>
  <c r="DD907" i="4"/>
  <c r="BD7" i="3"/>
  <c r="DD596" i="4"/>
  <c r="DD1058" i="4"/>
  <c r="DR77" i="3"/>
  <c r="DD799" i="4"/>
  <c r="DD798" i="4"/>
  <c r="DD568" i="4"/>
  <c r="DD580" i="4"/>
  <c r="DD569" i="4"/>
  <c r="DD574" i="4"/>
  <c r="DD590" i="4"/>
  <c r="CZ601" i="4"/>
  <c r="DA601" i="4"/>
  <c r="BU19" i="12"/>
  <c r="BV7" i="12"/>
  <c r="BN31" i="12"/>
  <c r="BN32" i="12" s="1"/>
  <c r="BN21" i="12"/>
  <c r="BT30" i="12"/>
  <c r="BS27" i="12"/>
  <c r="BP8" i="12"/>
  <c r="BO20" i="12"/>
  <c r="BO9" i="12"/>
  <c r="BO12" i="12" s="1"/>
  <c r="CN2" i="12"/>
  <c r="CM5" i="12"/>
  <c r="CH17" i="12"/>
  <c r="CG18" i="12"/>
  <c r="DB600" i="4"/>
  <c r="DB575" i="4"/>
  <c r="CZ578" i="4"/>
  <c r="CZ576" i="4"/>
  <c r="DL2" i="4"/>
  <c r="DJ3" i="4"/>
  <c r="DJ6" i="4"/>
  <c r="DA578" i="4"/>
  <c r="DA576" i="4"/>
  <c r="DH7" i="4" l="1"/>
  <c r="DF564" i="4"/>
  <c r="DE570" i="4"/>
  <c r="DE563" i="4"/>
  <c r="DE562" i="4" s="1"/>
  <c r="DE591" i="4"/>
  <c r="DT65" i="3"/>
  <c r="DR31" i="3"/>
  <c r="DD591" i="4"/>
  <c r="DD563" i="4"/>
  <c r="DD562" i="4" s="1"/>
  <c r="DD570" i="4"/>
  <c r="DD571" i="4" s="1"/>
  <c r="BE7" i="3"/>
  <c r="DS31" i="3"/>
  <c r="CZ604" i="4"/>
  <c r="CZ605" i="4" s="1"/>
  <c r="CZ602" i="4"/>
  <c r="CZ603" i="4" s="1"/>
  <c r="DA602" i="4"/>
  <c r="DA604" i="4"/>
  <c r="BD6" i="3"/>
  <c r="BD58" i="3" s="1"/>
  <c r="DB601" i="4"/>
  <c r="DS76" i="3"/>
  <c r="BE38" i="3"/>
  <c r="BE17" i="3"/>
  <c r="BE65" i="3" s="1"/>
  <c r="BD12" i="3"/>
  <c r="BO31" i="12"/>
  <c r="BO32" i="12" s="1"/>
  <c r="BO21" i="12"/>
  <c r="BT27" i="12"/>
  <c r="BV19" i="12"/>
  <c r="BW7" i="12"/>
  <c r="BP20" i="12"/>
  <c r="BQ8" i="12"/>
  <c r="BP9" i="12"/>
  <c r="BP12" i="12" s="1"/>
  <c r="BU30" i="12"/>
  <c r="BD17" i="3"/>
  <c r="BD65" i="3" s="1"/>
  <c r="BD38" i="3"/>
  <c r="DR76" i="3"/>
  <c r="CH18" i="12"/>
  <c r="CI17" i="12"/>
  <c r="CO2" i="12"/>
  <c r="CN5" i="12"/>
  <c r="DA577" i="4"/>
  <c r="DA579" i="4"/>
  <c r="DI7" i="4"/>
  <c r="DJ7" i="4"/>
  <c r="AL5" i="12" s="1"/>
  <c r="DJ4" i="4"/>
  <c r="DI4" i="4"/>
  <c r="DI854" i="4" s="1"/>
  <c r="DH4" i="4"/>
  <c r="CZ577" i="4"/>
  <c r="CZ579" i="4"/>
  <c r="DL3" i="4"/>
  <c r="DM2" i="4"/>
  <c r="DB578" i="4"/>
  <c r="DB576" i="4"/>
  <c r="DH597" i="4" l="1"/>
  <c r="DH873" i="4"/>
  <c r="DH872" i="4"/>
  <c r="DH797" i="4"/>
  <c r="DH589" i="4"/>
  <c r="DH594" i="4"/>
  <c r="DH567" i="4"/>
  <c r="DH228" i="4"/>
  <c r="DH791" i="4"/>
  <c r="DH1425" i="4"/>
  <c r="DH1417" i="4"/>
  <c r="DH1419" i="4"/>
  <c r="DH1413" i="4"/>
  <c r="DH1411" i="4"/>
  <c r="DH856" i="4"/>
  <c r="DH1416" i="4"/>
  <c r="DH871" i="4"/>
  <c r="DH1410" i="4"/>
  <c r="DH879" i="4"/>
  <c r="DH1412" i="4"/>
  <c r="DH855" i="4"/>
  <c r="DH1414" i="4"/>
  <c r="DH1421" i="4"/>
  <c r="DH1415" i="4"/>
  <c r="DH1418" i="4"/>
  <c r="DH1420" i="4"/>
  <c r="DH1422" i="4"/>
  <c r="DH1405" i="4"/>
  <c r="DH1404" i="4"/>
  <c r="DH1403" i="4"/>
  <c r="DH1424" i="4" s="1"/>
  <c r="DH1423" i="4" s="1"/>
  <c r="DH1426" i="4"/>
  <c r="DH874" i="4"/>
  <c r="DH1213" i="4"/>
  <c r="DH869" i="4"/>
  <c r="DH877" i="4"/>
  <c r="DH1230" i="4"/>
  <c r="DH431" i="4"/>
  <c r="DH430" i="4"/>
  <c r="DH870" i="4"/>
  <c r="DH878" i="4"/>
  <c r="DH905" i="4"/>
  <c r="DE571" i="4"/>
  <c r="DE575" i="4"/>
  <c r="DE600" i="4"/>
  <c r="DE601" i="4" s="1"/>
  <c r="DF562" i="4"/>
  <c r="DF563" i="4"/>
  <c r="DF570" i="4"/>
  <c r="DI227" i="4"/>
  <c r="DA605" i="4"/>
  <c r="DD575" i="4"/>
  <c r="DD600" i="4"/>
  <c r="DD601" i="4" s="1"/>
  <c r="BH7" i="3"/>
  <c r="DI567" i="4"/>
  <c r="DI565" i="4" s="1"/>
  <c r="DA603" i="4"/>
  <c r="DB602" i="4"/>
  <c r="DB604" i="4"/>
  <c r="DV5" i="3"/>
  <c r="BH5" i="3"/>
  <c r="AV2" i="9"/>
  <c r="DX5" i="3"/>
  <c r="BJ5" i="3"/>
  <c r="BI5" i="3"/>
  <c r="DW5" i="3"/>
  <c r="DR78" i="3"/>
  <c r="BR8" i="12"/>
  <c r="BQ20" i="12"/>
  <c r="BQ9" i="12"/>
  <c r="BQ12" i="12" s="1"/>
  <c r="BW19" i="12"/>
  <c r="BX7" i="12"/>
  <c r="DT76" i="3"/>
  <c r="BP31" i="12"/>
  <c r="BP32" i="12" s="1"/>
  <c r="BP21" i="12"/>
  <c r="BV30" i="12"/>
  <c r="DS78" i="3"/>
  <c r="DR32" i="3"/>
  <c r="BD14" i="3"/>
  <c r="AK52" i="12"/>
  <c r="BF38" i="3"/>
  <c r="BF17" i="3"/>
  <c r="BF65" i="3" s="1"/>
  <c r="BU27" i="12"/>
  <c r="CJ17" i="12"/>
  <c r="CO5" i="12"/>
  <c r="CP2" i="12"/>
  <c r="CI18" i="12"/>
  <c r="DH5" i="4"/>
  <c r="DI5" i="4"/>
  <c r="DI1061" i="4"/>
  <c r="DB577" i="4"/>
  <c r="DB579" i="4"/>
  <c r="DN2" i="4"/>
  <c r="DM3" i="4"/>
  <c r="DH798" i="4" l="1"/>
  <c r="DH799" i="4"/>
  <c r="DI797" i="4"/>
  <c r="DH574" i="4"/>
  <c r="DH590" i="4"/>
  <c r="DH591" i="4" s="1"/>
  <c r="DH1058" i="4"/>
  <c r="DV77" i="3"/>
  <c r="DH595" i="4"/>
  <c r="DH907" i="4"/>
  <c r="DH564" i="4"/>
  <c r="DH580" i="4"/>
  <c r="DH569" i="4"/>
  <c r="DH568" i="4"/>
  <c r="DF575" i="4"/>
  <c r="DF600" i="4"/>
  <c r="DF601" i="4" s="1"/>
  <c r="DE604" i="4"/>
  <c r="DE602" i="4"/>
  <c r="DE578" i="4"/>
  <c r="DE576" i="4"/>
  <c r="DP2" i="4"/>
  <c r="BD62" i="3"/>
  <c r="DW65" i="3"/>
  <c r="DI284" i="4"/>
  <c r="DI286" i="4" s="1"/>
  <c r="DJ1225" i="4"/>
  <c r="DJ227" i="4"/>
  <c r="DV65" i="3"/>
  <c r="BE6" i="3"/>
  <c r="BE58" i="3" s="1"/>
  <c r="DI569" i="4"/>
  <c r="BI7" i="3"/>
  <c r="DI580" i="4"/>
  <c r="DW31" i="3" s="1"/>
  <c r="DL567" i="4"/>
  <c r="DD604" i="4"/>
  <c r="DD605" i="4" s="1"/>
  <c r="DD602" i="4"/>
  <c r="DD603" i="4" s="1"/>
  <c r="AR13" i="9"/>
  <c r="DD578" i="4"/>
  <c r="DD576" i="4"/>
  <c r="DI14" i="4"/>
  <c r="AV150" i="9"/>
  <c r="AV91" i="9"/>
  <c r="DT78" i="3"/>
  <c r="BX19" i="12"/>
  <c r="BY7" i="12"/>
  <c r="BV27" i="12"/>
  <c r="BW30" i="12"/>
  <c r="BQ31" i="12"/>
  <c r="BQ32" i="12" s="1"/>
  <c r="BQ21" i="12"/>
  <c r="AK76" i="12"/>
  <c r="L76" i="12" s="1"/>
  <c r="AK75" i="12"/>
  <c r="L75" i="12" s="1"/>
  <c r="BS8" i="12"/>
  <c r="BR20" i="12"/>
  <c r="BR9" i="12"/>
  <c r="BR12" i="12" s="1"/>
  <c r="DJ565" i="4"/>
  <c r="DT77" i="3"/>
  <c r="CJ18" i="12"/>
  <c r="CP5" i="12"/>
  <c r="CQ2" i="12"/>
  <c r="DJ854" i="4"/>
  <c r="DI872" i="4"/>
  <c r="DI864" i="4"/>
  <c r="DI874" i="4"/>
  <c r="DI32" i="4"/>
  <c r="DN6" i="4"/>
  <c r="DN3" i="4"/>
  <c r="DJ1061" i="4"/>
  <c r="DJ1060" i="4" s="1"/>
  <c r="DI590" i="4" l="1"/>
  <c r="DV31" i="3"/>
  <c r="DH563" i="4"/>
  <c r="DH562" i="4" s="1"/>
  <c r="DH570" i="4"/>
  <c r="DH571" i="4" s="1"/>
  <c r="DL797" i="4"/>
  <c r="DI793" i="4"/>
  <c r="DI799" i="4"/>
  <c r="DH596" i="4"/>
  <c r="DI595" i="4"/>
  <c r="DE577" i="4"/>
  <c r="DE579" i="4"/>
  <c r="DE603" i="4"/>
  <c r="DE605" i="4"/>
  <c r="DF602" i="4"/>
  <c r="DF604" i="4"/>
  <c r="DF578" i="4"/>
  <c r="DF576" i="4"/>
  <c r="AR59" i="9"/>
  <c r="AR113" i="9"/>
  <c r="DQ2" i="4"/>
  <c r="DP3" i="4"/>
  <c r="DI1225" i="4"/>
  <c r="DX65" i="3"/>
  <c r="DJ284" i="4"/>
  <c r="DJ286" i="4" s="1"/>
  <c r="DK227" i="4"/>
  <c r="DJ228" i="4"/>
  <c r="DJ1208" i="4"/>
  <c r="DD577" i="4"/>
  <c r="DD579" i="4"/>
  <c r="BF6" i="3"/>
  <c r="BF58" i="3" s="1"/>
  <c r="DT31" i="3"/>
  <c r="BF7" i="3"/>
  <c r="AR14" i="9"/>
  <c r="BL7" i="3"/>
  <c r="DL580" i="4"/>
  <c r="DZ31" i="3" s="1"/>
  <c r="DL569" i="4"/>
  <c r="DM567" i="4"/>
  <c r="DP567" i="4" s="1"/>
  <c r="DL590" i="4"/>
  <c r="DI589" i="4"/>
  <c r="BE12" i="3"/>
  <c r="DI19" i="4"/>
  <c r="BI6" i="3"/>
  <c r="BI58" i="3" s="1"/>
  <c r="DI47" i="4"/>
  <c r="BH6" i="3"/>
  <c r="DW76" i="3"/>
  <c r="DV76" i="3"/>
  <c r="DJ567" i="4"/>
  <c r="DJ569" i="4" s="1"/>
  <c r="AV14" i="9" s="1"/>
  <c r="BW27" i="12"/>
  <c r="BH38" i="3"/>
  <c r="BH17" i="3"/>
  <c r="BH65" i="3" s="1"/>
  <c r="BD35" i="3"/>
  <c r="BY19" i="12"/>
  <c r="BZ7" i="12"/>
  <c r="BI17" i="3"/>
  <c r="BI65" i="3" s="1"/>
  <c r="BI38" i="3"/>
  <c r="BR31" i="12"/>
  <c r="BR32" i="12" s="1"/>
  <c r="BR21" i="12"/>
  <c r="BS20" i="12"/>
  <c r="BT8" i="12"/>
  <c r="BS9" i="12"/>
  <c r="BS12" i="12" s="1"/>
  <c r="BX30" i="12"/>
  <c r="CR2" i="12"/>
  <c r="CQ5" i="12"/>
  <c r="DN7" i="4"/>
  <c r="DM7" i="4"/>
  <c r="EA5" i="3" s="1"/>
  <c r="DL7" i="4"/>
  <c r="DI245" i="4"/>
  <c r="DI57" i="4"/>
  <c r="DJ32" i="4"/>
  <c r="DI879" i="4"/>
  <c r="DJ14" i="4"/>
  <c r="DN4" i="4"/>
  <c r="DL4" i="4"/>
  <c r="DM4" i="4"/>
  <c r="DJ872" i="4"/>
  <c r="DJ864" i="4"/>
  <c r="DJ874" i="4"/>
  <c r="DH575" i="4" l="1"/>
  <c r="DH600" i="4"/>
  <c r="DH601" i="4" s="1"/>
  <c r="DI594" i="4"/>
  <c r="DL595" i="4"/>
  <c r="DJ793" i="4"/>
  <c r="DI776" i="4"/>
  <c r="DL799" i="4"/>
  <c r="DM797" i="4"/>
  <c r="DM793" i="4" s="1"/>
  <c r="BH58" i="3"/>
  <c r="DF577" i="4"/>
  <c r="DF579" i="4"/>
  <c r="DZ5" i="3"/>
  <c r="AM5" i="12"/>
  <c r="EB5" i="3"/>
  <c r="BP7" i="3"/>
  <c r="AR60" i="9"/>
  <c r="AR114" i="9"/>
  <c r="AR153" i="9"/>
  <c r="AV113" i="9"/>
  <c r="AR94" i="9"/>
  <c r="AV59" i="9"/>
  <c r="DQ567" i="4"/>
  <c r="DP569" i="4"/>
  <c r="DP580" i="4"/>
  <c r="ED31" i="3" s="1"/>
  <c r="DR2" i="4"/>
  <c r="DQ3" i="4"/>
  <c r="DI1208" i="4"/>
  <c r="DI49" i="4"/>
  <c r="DM227" i="4"/>
  <c r="EA65" i="3" s="1"/>
  <c r="DI25" i="4"/>
  <c r="DL227" i="4"/>
  <c r="DZ65" i="3" s="1"/>
  <c r="BI12" i="3"/>
  <c r="DI574" i="4"/>
  <c r="DI588" i="4"/>
  <c r="BF12" i="3"/>
  <c r="BE14" i="3"/>
  <c r="DS32" i="3"/>
  <c r="DM590" i="4"/>
  <c r="DP590" i="4" s="1"/>
  <c r="DL589" i="4"/>
  <c r="DL588" i="4" s="1"/>
  <c r="BM7" i="3"/>
  <c r="DM569" i="4"/>
  <c r="DM580" i="4"/>
  <c r="EA31" i="3" s="1"/>
  <c r="BL5" i="3"/>
  <c r="BM5" i="3"/>
  <c r="AZ2" i="9"/>
  <c r="BN5" i="3"/>
  <c r="DJ580" i="4"/>
  <c r="DX31" i="3" s="1"/>
  <c r="DV78" i="3"/>
  <c r="BX27" i="12"/>
  <c r="BZ19" i="12"/>
  <c r="CA7" i="12"/>
  <c r="BD68" i="3"/>
  <c r="BS31" i="12"/>
  <c r="BS32" i="12" s="1"/>
  <c r="BS21" i="12"/>
  <c r="DX76" i="3"/>
  <c r="AV15" i="9"/>
  <c r="AV18" i="9" s="1"/>
  <c r="BJ6" i="3"/>
  <c r="BJ58" i="3" s="1"/>
  <c r="AV27" i="9"/>
  <c r="AL52" i="12"/>
  <c r="BJ38" i="3"/>
  <c r="BJ17" i="3"/>
  <c r="BJ65" i="3" s="1"/>
  <c r="BU8" i="12"/>
  <c r="BT20" i="12"/>
  <c r="BT9" i="12"/>
  <c r="BT12" i="12" s="1"/>
  <c r="BY30" i="12"/>
  <c r="AV13" i="9"/>
  <c r="BJ7" i="3"/>
  <c r="BH12" i="3"/>
  <c r="DW78" i="3"/>
  <c r="CS2" i="12"/>
  <c r="CR5" i="12"/>
  <c r="DJ871" i="4"/>
  <c r="DJ879" i="4"/>
  <c r="DM5" i="4"/>
  <c r="DM1061" i="4"/>
  <c r="DM565" i="4"/>
  <c r="DM854" i="4"/>
  <c r="DI1226" i="4"/>
  <c r="DJ1226" i="4" s="1"/>
  <c r="DJ245" i="4"/>
  <c r="DJ57" i="4"/>
  <c r="DL5" i="4"/>
  <c r="DL854" i="4"/>
  <c r="DL565" i="4"/>
  <c r="DL1061" i="4"/>
  <c r="DL793" i="4"/>
  <c r="DJ47" i="4"/>
  <c r="DJ19" i="4"/>
  <c r="DL594" i="4" l="1"/>
  <c r="DM595" i="4"/>
  <c r="DI593" i="4"/>
  <c r="DP797" i="4"/>
  <c r="DM799" i="4"/>
  <c r="DJ776" i="4"/>
  <c r="DI26" i="4"/>
  <c r="DH602" i="4"/>
  <c r="DH603" i="4" s="1"/>
  <c r="DH604" i="4"/>
  <c r="DH605" i="4" s="1"/>
  <c r="DJ797" i="4"/>
  <c r="DK793" i="4"/>
  <c r="DH578" i="4"/>
  <c r="DH576" i="4"/>
  <c r="BQ7" i="3"/>
  <c r="AZ59" i="9"/>
  <c r="AV61" i="9"/>
  <c r="AV63" i="9" s="1"/>
  <c r="AV64" i="9" s="1"/>
  <c r="AZ113" i="9"/>
  <c r="AV115" i="9"/>
  <c r="AV119" i="9" s="1"/>
  <c r="AV120" i="9" s="1"/>
  <c r="DQ590" i="4"/>
  <c r="DP589" i="4"/>
  <c r="DR6" i="4"/>
  <c r="DR3" i="4"/>
  <c r="DQ569" i="4"/>
  <c r="DQ580" i="4"/>
  <c r="EE31" i="3" s="1"/>
  <c r="BE62" i="3"/>
  <c r="DL284" i="4"/>
  <c r="DL286" i="4" s="1"/>
  <c r="DM284" i="4"/>
  <c r="DM286" i="4" s="1"/>
  <c r="DI545" i="4"/>
  <c r="DI546" i="4" s="1"/>
  <c r="BI14" i="3"/>
  <c r="BI62" i="3" s="1"/>
  <c r="DI54" i="4"/>
  <c r="DW32" i="3"/>
  <c r="DI74" i="4"/>
  <c r="DN227" i="4"/>
  <c r="EB65" i="3" s="1"/>
  <c r="DM589" i="4"/>
  <c r="DL574" i="4"/>
  <c r="DT32" i="3"/>
  <c r="BF14" i="3"/>
  <c r="BF62" i="3" s="1"/>
  <c r="AK49" i="12"/>
  <c r="DI561" i="4"/>
  <c r="DJ588" i="4"/>
  <c r="DI1229" i="4"/>
  <c r="DL1225" i="4" s="1"/>
  <c r="AZ150" i="9"/>
  <c r="AZ91" i="9"/>
  <c r="BD15" i="3"/>
  <c r="BD63" i="3" s="1"/>
  <c r="DR33" i="3"/>
  <c r="DM776" i="4"/>
  <c r="DM26" i="4" s="1"/>
  <c r="DN1061" i="4"/>
  <c r="DN1060" i="4" s="1"/>
  <c r="DK245" i="4"/>
  <c r="DJ1058" i="4"/>
  <c r="DX77" i="3"/>
  <c r="BU20" i="12"/>
  <c r="BV8" i="12"/>
  <c r="BU9" i="12"/>
  <c r="BU12" i="12" s="1"/>
  <c r="AV28" i="9"/>
  <c r="AV156" i="9"/>
  <c r="AV97" i="9"/>
  <c r="AV29" i="9"/>
  <c r="AV19" i="9"/>
  <c r="BJ12" i="3"/>
  <c r="DV32" i="3"/>
  <c r="BH14" i="3"/>
  <c r="BH62" i="3" s="1"/>
  <c r="BY27" i="12"/>
  <c r="CA19" i="12"/>
  <c r="CB7" i="12"/>
  <c r="DX78" i="3"/>
  <c r="AV94" i="9"/>
  <c r="AV153" i="9"/>
  <c r="BT31" i="12"/>
  <c r="BT32" i="12" s="1"/>
  <c r="BT21" i="12"/>
  <c r="AL76" i="12"/>
  <c r="AL75" i="12"/>
  <c r="BZ30" i="12"/>
  <c r="CS5" i="12"/>
  <c r="CT2" i="12"/>
  <c r="DL14" i="4"/>
  <c r="DJ49" i="4"/>
  <c r="DJ25" i="4"/>
  <c r="DN793" i="4"/>
  <c r="DL776" i="4"/>
  <c r="DL864" i="4"/>
  <c r="DL874" i="4"/>
  <c r="DL872" i="4"/>
  <c r="DZ76" i="3" s="1"/>
  <c r="DN854" i="4"/>
  <c r="DL32" i="4"/>
  <c r="DM874" i="4"/>
  <c r="DM872" i="4"/>
  <c r="EA76" i="3" s="1"/>
  <c r="DM864" i="4"/>
  <c r="DM32" i="4"/>
  <c r="DJ1230" i="4"/>
  <c r="DJ1229" i="4"/>
  <c r="DN565" i="4"/>
  <c r="DM14" i="4"/>
  <c r="DJ425" i="4"/>
  <c r="DI1211" i="4"/>
  <c r="DJ1211" i="4" s="1"/>
  <c r="DJ1213" i="4" s="1"/>
  <c r="DK776" i="4" l="1"/>
  <c r="DH577" i="4"/>
  <c r="DH579" i="4"/>
  <c r="DJ799" i="4"/>
  <c r="DK797" i="4"/>
  <c r="DJ593" i="4"/>
  <c r="DQ797" i="4"/>
  <c r="DQ799" i="4" s="1"/>
  <c r="DP799" i="4"/>
  <c r="DP595" i="4"/>
  <c r="DM594" i="4"/>
  <c r="DL593" i="4"/>
  <c r="DJ26" i="4"/>
  <c r="AV93" i="9"/>
  <c r="AV152" i="9"/>
  <c r="AZ115" i="9"/>
  <c r="AZ119" i="9" s="1"/>
  <c r="AZ120" i="9" s="1"/>
  <c r="BD113" i="9"/>
  <c r="BD115" i="9" s="1"/>
  <c r="BD119" i="9" s="1"/>
  <c r="AZ61" i="9"/>
  <c r="AZ63" i="9" s="1"/>
  <c r="AZ64" i="9" s="1"/>
  <c r="BD59" i="9"/>
  <c r="BD61" i="9" s="1"/>
  <c r="BD63" i="9" s="1"/>
  <c r="DP7" i="4"/>
  <c r="DQ7" i="4"/>
  <c r="DR7" i="4"/>
  <c r="DP574" i="4"/>
  <c r="DQ589" i="4"/>
  <c r="DQ4" i="4"/>
  <c r="DR4" i="4"/>
  <c r="DP4" i="4"/>
  <c r="DN284" i="4"/>
  <c r="DN286" i="4" s="1"/>
  <c r="DI549" i="4"/>
  <c r="DI550" i="4"/>
  <c r="DI78" i="4"/>
  <c r="DI107" i="4"/>
  <c r="DI108" i="4" s="1"/>
  <c r="DI1191" i="4"/>
  <c r="DO227" i="4"/>
  <c r="DN228" i="4"/>
  <c r="DJ589" i="4"/>
  <c r="AK47" i="12"/>
  <c r="AK70" i="12" s="1"/>
  <c r="L70" i="12" s="1"/>
  <c r="AK72" i="12"/>
  <c r="L72" i="12" s="1"/>
  <c r="BE35" i="3"/>
  <c r="DM574" i="4"/>
  <c r="DM588" i="4"/>
  <c r="DI597" i="4"/>
  <c r="DJ561" i="4"/>
  <c r="DI1212" i="4"/>
  <c r="DI1214" i="4" s="1"/>
  <c r="BU31" i="12"/>
  <c r="BU32" i="12" s="1"/>
  <c r="BU21" i="12"/>
  <c r="BM38" i="3"/>
  <c r="BM17" i="3"/>
  <c r="BM6" i="3"/>
  <c r="BL6" i="3"/>
  <c r="CC7" i="12"/>
  <c r="CB19" i="12"/>
  <c r="AV98" i="9"/>
  <c r="AV157" i="9"/>
  <c r="BD16" i="3"/>
  <c r="BD64" i="3" s="1"/>
  <c r="BL38" i="3"/>
  <c r="BL17" i="3"/>
  <c r="BZ27" i="12"/>
  <c r="CA30" i="12"/>
  <c r="AL49" i="12"/>
  <c r="DX32" i="3"/>
  <c r="BJ14" i="3"/>
  <c r="BJ62" i="3" s="1"/>
  <c r="BV20" i="12"/>
  <c r="BW8" i="12"/>
  <c r="BV9" i="12"/>
  <c r="BV12" i="12" s="1"/>
  <c r="CT5" i="12"/>
  <c r="CU2" i="12"/>
  <c r="DM245" i="4"/>
  <c r="DM57" i="4"/>
  <c r="DN776" i="4"/>
  <c r="DL26" i="4"/>
  <c r="DJ545" i="4"/>
  <c r="DJ54" i="4"/>
  <c r="DK25" i="4"/>
  <c r="DJ74" i="4"/>
  <c r="DM879" i="4"/>
  <c r="EA78" i="3" s="1"/>
  <c r="DN797" i="4"/>
  <c r="DO793" i="4"/>
  <c r="DM47" i="4"/>
  <c r="DM19" i="4"/>
  <c r="DN32" i="4"/>
  <c r="AM52" i="12" s="1"/>
  <c r="DL245" i="4"/>
  <c r="DL57" i="4"/>
  <c r="DL1226" i="4"/>
  <c r="DL1229" i="4" s="1"/>
  <c r="DN1225" i="4"/>
  <c r="DJ430" i="4"/>
  <c r="DN567" i="4"/>
  <c r="DN872" i="4"/>
  <c r="EB76" i="3" s="1"/>
  <c r="DN864" i="4"/>
  <c r="DN874" i="4"/>
  <c r="DL879" i="4"/>
  <c r="DZ78" i="3" s="1"/>
  <c r="DL47" i="4"/>
  <c r="DN14" i="4"/>
  <c r="DL19" i="4"/>
  <c r="DJ594" i="4" l="1"/>
  <c r="DL561" i="4"/>
  <c r="DM593" i="4"/>
  <c r="DP594" i="4"/>
  <c r="DQ595" i="4"/>
  <c r="DP588" i="4"/>
  <c r="DN799" i="4"/>
  <c r="DO797" i="4"/>
  <c r="BD2" i="9"/>
  <c r="BR5" i="3"/>
  <c r="EF5" i="3"/>
  <c r="AN5" i="12"/>
  <c r="BQ5" i="3"/>
  <c r="EE5" i="3"/>
  <c r="BP5" i="3"/>
  <c r="ED5" i="3"/>
  <c r="BD64" i="9"/>
  <c r="BD120" i="9"/>
  <c r="AM76" i="12"/>
  <c r="AM75" i="12"/>
  <c r="BM58" i="3"/>
  <c r="BM65" i="3"/>
  <c r="BL65" i="3"/>
  <c r="BL58" i="3"/>
  <c r="DQ5" i="4"/>
  <c r="DQ227" i="4"/>
  <c r="DQ854" i="4"/>
  <c r="DQ1061" i="4"/>
  <c r="DQ793" i="4"/>
  <c r="DQ565" i="4"/>
  <c r="DQ574" i="4"/>
  <c r="DQ588" i="4"/>
  <c r="DP5" i="4"/>
  <c r="DP593" i="4"/>
  <c r="DP227" i="4"/>
  <c r="ED65" i="3" s="1"/>
  <c r="DP1061" i="4"/>
  <c r="DP854" i="4"/>
  <c r="DP793" i="4"/>
  <c r="DP565" i="4"/>
  <c r="DE74" i="3"/>
  <c r="DI75" i="3"/>
  <c r="DI74" i="3"/>
  <c r="DE75" i="3"/>
  <c r="BE68" i="3"/>
  <c r="DI1266" i="4"/>
  <c r="DJ1191" i="4"/>
  <c r="DI1054" i="4"/>
  <c r="BI35" i="3"/>
  <c r="BI68" i="3" s="1"/>
  <c r="DI79" i="4"/>
  <c r="DN588" i="4"/>
  <c r="DM561" i="4"/>
  <c r="DJ597" i="4"/>
  <c r="BF35" i="3"/>
  <c r="BF68" i="3" s="1"/>
  <c r="DJ574" i="4"/>
  <c r="DJ590" i="4"/>
  <c r="DI1186" i="4"/>
  <c r="DL1208" i="4"/>
  <c r="DN1208" i="4" s="1"/>
  <c r="BD36" i="3"/>
  <c r="AZ13" i="9"/>
  <c r="BN7" i="3"/>
  <c r="BD18" i="3"/>
  <c r="BX8" i="12"/>
  <c r="BW20" i="12"/>
  <c r="BW9" i="12"/>
  <c r="BW12" i="12" s="1"/>
  <c r="CC19" i="12"/>
  <c r="CD7" i="12"/>
  <c r="AZ27" i="9"/>
  <c r="BN17" i="3"/>
  <c r="BN38" i="3"/>
  <c r="BM12" i="3"/>
  <c r="BH35" i="3"/>
  <c r="BL12" i="3"/>
  <c r="DR9" i="3"/>
  <c r="BV31" i="12"/>
  <c r="BV32" i="12" s="1"/>
  <c r="BV21" i="12"/>
  <c r="CA27" i="12"/>
  <c r="AZ15" i="9"/>
  <c r="AZ18" i="9" s="1"/>
  <c r="BN6" i="3"/>
  <c r="AL47" i="12"/>
  <c r="AL70" i="12" s="1"/>
  <c r="AL72" i="12"/>
  <c r="CB30" i="12"/>
  <c r="CV2" i="12"/>
  <c r="CU5" i="12"/>
  <c r="DL49" i="4"/>
  <c r="DL25" i="4"/>
  <c r="DN47" i="4"/>
  <c r="DN19" i="4"/>
  <c r="DM49" i="4"/>
  <c r="DM25" i="4"/>
  <c r="DI425" i="4"/>
  <c r="DN26" i="4"/>
  <c r="DN580" i="4"/>
  <c r="EB31" i="3" s="1"/>
  <c r="DN569" i="4"/>
  <c r="AZ14" i="9" s="1"/>
  <c r="DM1225" i="4"/>
  <c r="DL1191" i="4"/>
  <c r="DN245" i="4"/>
  <c r="DN57" i="4"/>
  <c r="DJ107" i="4"/>
  <c r="DJ78" i="4"/>
  <c r="DJ549" i="4"/>
  <c r="DJ546" i="4"/>
  <c r="DJ550" i="4" s="1"/>
  <c r="DO776" i="4"/>
  <c r="DN871" i="4"/>
  <c r="EB77" i="3" s="1"/>
  <c r="DN879" i="4"/>
  <c r="EB78" i="3" s="1"/>
  <c r="DQ594" i="4" l="1"/>
  <c r="DN593" i="4"/>
  <c r="DL597" i="4"/>
  <c r="BD91" i="9"/>
  <c r="BD150" i="9"/>
  <c r="EA32" i="3"/>
  <c r="DQ284" i="4"/>
  <c r="DQ286" i="4" s="1"/>
  <c r="EE65" i="3"/>
  <c r="DZ32" i="3"/>
  <c r="BN58" i="3"/>
  <c r="BN65" i="3"/>
  <c r="DR793" i="4"/>
  <c r="DP776" i="4"/>
  <c r="DQ14" i="4"/>
  <c r="DR565" i="4"/>
  <c r="DP32" i="4"/>
  <c r="DP864" i="4"/>
  <c r="DP879" i="4" s="1"/>
  <c r="DP874" i="4"/>
  <c r="DR854" i="4"/>
  <c r="DP872" i="4"/>
  <c r="DQ776" i="4"/>
  <c r="DR1061" i="4"/>
  <c r="DR1060" i="4" s="1"/>
  <c r="DP284" i="4"/>
  <c r="DP286" i="4" s="1"/>
  <c r="DR227" i="4"/>
  <c r="EF65" i="3" s="1"/>
  <c r="DQ872" i="4"/>
  <c r="DQ864" i="4"/>
  <c r="DQ879" i="4" s="1"/>
  <c r="DQ32" i="4"/>
  <c r="DQ874" i="4"/>
  <c r="DP561" i="4"/>
  <c r="DR588" i="4"/>
  <c r="DP14" i="4"/>
  <c r="DL1211" i="4"/>
  <c r="DL1212" i="4" s="1"/>
  <c r="DM1208" i="4" s="1"/>
  <c r="DJ1186" i="4"/>
  <c r="DN561" i="4"/>
  <c r="DM597" i="4"/>
  <c r="DN589" i="4"/>
  <c r="DJ595" i="4"/>
  <c r="DJ591" i="4"/>
  <c r="DL1266" i="4"/>
  <c r="BE15" i="3"/>
  <c r="BE63" i="3" s="1"/>
  <c r="DS33" i="3"/>
  <c r="BD69" i="3"/>
  <c r="BD41" i="3"/>
  <c r="BD37" i="3"/>
  <c r="AZ28" i="9"/>
  <c r="AZ29" i="9"/>
  <c r="AZ156" i="9"/>
  <c r="AZ97" i="9"/>
  <c r="CC30" i="12"/>
  <c r="BX20" i="12"/>
  <c r="BY8" i="12"/>
  <c r="BX9" i="12"/>
  <c r="BX12" i="12" s="1"/>
  <c r="AV17" i="9"/>
  <c r="BJ35" i="3"/>
  <c r="BL14" i="3"/>
  <c r="BH68" i="3"/>
  <c r="AZ94" i="9"/>
  <c r="AZ153" i="9"/>
  <c r="BM14" i="3"/>
  <c r="AZ19" i="9"/>
  <c r="AZ93" i="9"/>
  <c r="AZ152" i="9"/>
  <c r="DN1058" i="4"/>
  <c r="DO245" i="4"/>
  <c r="BN12" i="3"/>
  <c r="CB27" i="12"/>
  <c r="CD19" i="12"/>
  <c r="CE7" i="12"/>
  <c r="BW31" i="12"/>
  <c r="BW32" i="12" s="1"/>
  <c r="BW21" i="12"/>
  <c r="CW2" i="12"/>
  <c r="CV5" i="12"/>
  <c r="DJ108" i="4"/>
  <c r="DI427" i="4"/>
  <c r="DI430" i="4"/>
  <c r="DN49" i="4"/>
  <c r="DN25" i="4"/>
  <c r="DM545" i="4"/>
  <c r="DM74" i="4"/>
  <c r="DM54" i="4"/>
  <c r="DL545" i="4"/>
  <c r="DL74" i="4"/>
  <c r="DL54" i="4"/>
  <c r="DJ1054" i="4"/>
  <c r="DJ79" i="4"/>
  <c r="DM1226" i="4"/>
  <c r="DN1226" i="4" s="1"/>
  <c r="DN594" i="4" l="1"/>
  <c r="DQ593" i="4"/>
  <c r="DL1214" i="4"/>
  <c r="AV20" i="9"/>
  <c r="AV117" i="9" s="1"/>
  <c r="AV118" i="9" s="1"/>
  <c r="DJ1212" i="4"/>
  <c r="DJ1214" i="4" s="1"/>
  <c r="DL1186" i="4"/>
  <c r="BQ38" i="3"/>
  <c r="BQ17" i="3"/>
  <c r="BQ65" i="3" s="1"/>
  <c r="ED76" i="3"/>
  <c r="BQ6" i="3"/>
  <c r="BQ58" i="3" s="1"/>
  <c r="EE78" i="3"/>
  <c r="BP6" i="3"/>
  <c r="EE76" i="3"/>
  <c r="ED78" i="3"/>
  <c r="EB32" i="3"/>
  <c r="AM49" i="12"/>
  <c r="BP38" i="3"/>
  <c r="BP17" i="3"/>
  <c r="BP65" i="3" s="1"/>
  <c r="BM62" i="3"/>
  <c r="BL62" i="3"/>
  <c r="DQ26" i="4"/>
  <c r="DR567" i="4"/>
  <c r="DQ57" i="4"/>
  <c r="DQ245" i="4"/>
  <c r="DQ47" i="4"/>
  <c r="DQ19" i="4"/>
  <c r="BQ12" i="3" s="1"/>
  <c r="DR864" i="4"/>
  <c r="DR872" i="4"/>
  <c r="DR874" i="4"/>
  <c r="DP47" i="4"/>
  <c r="DR14" i="4"/>
  <c r="DP19" i="4"/>
  <c r="BP12" i="3" s="1"/>
  <c r="DR776" i="4"/>
  <c r="DP26" i="4"/>
  <c r="DP597" i="4"/>
  <c r="DS227" i="4"/>
  <c r="DR284" i="4"/>
  <c r="DR286" i="4" s="1"/>
  <c r="DR228" i="4"/>
  <c r="DR797" i="4"/>
  <c r="DS793" i="4"/>
  <c r="DR589" i="4"/>
  <c r="DP245" i="4"/>
  <c r="DP57" i="4"/>
  <c r="DR32" i="4"/>
  <c r="DN590" i="4"/>
  <c r="DN574" i="4"/>
  <c r="DN597" i="4"/>
  <c r="DM1229" i="4"/>
  <c r="BD39" i="3"/>
  <c r="BD70" i="3"/>
  <c r="AK50" i="12"/>
  <c r="BF15" i="3"/>
  <c r="BF63" i="3" s="1"/>
  <c r="DT33" i="3"/>
  <c r="CD30" i="12"/>
  <c r="BJ68" i="3"/>
  <c r="BY20" i="12"/>
  <c r="BZ8" i="12"/>
  <c r="BY9" i="12"/>
  <c r="BY12" i="12" s="1"/>
  <c r="DR34" i="3"/>
  <c r="BD19" i="3"/>
  <c r="BE16" i="3"/>
  <c r="CE19" i="12"/>
  <c r="CF7" i="12"/>
  <c r="BX31" i="12"/>
  <c r="BX32" i="12" s="1"/>
  <c r="BX21" i="12"/>
  <c r="BN14" i="3"/>
  <c r="CC27" i="12"/>
  <c r="AZ98" i="9"/>
  <c r="AZ157" i="9"/>
  <c r="CW5" i="12"/>
  <c r="CX2" i="12"/>
  <c r="DM107" i="4"/>
  <c r="DM78" i="4"/>
  <c r="DN545" i="4"/>
  <c r="DN74" i="4"/>
  <c r="DN54" i="4"/>
  <c r="DO25" i="4"/>
  <c r="DN1230" i="4"/>
  <c r="DN1229" i="4"/>
  <c r="DL546" i="4"/>
  <c r="DL550" i="4" s="1"/>
  <c r="DL549" i="4"/>
  <c r="DI820" i="4"/>
  <c r="DI805" i="4" s="1"/>
  <c r="DJ427" i="4"/>
  <c r="DM549" i="4"/>
  <c r="DM546" i="4"/>
  <c r="DM550" i="4" s="1"/>
  <c r="DM1211" i="4"/>
  <c r="DN1211" i="4" s="1"/>
  <c r="DN1213" i="4" s="1"/>
  <c r="DI429" i="4"/>
  <c r="DL107" i="4"/>
  <c r="DL78" i="4"/>
  <c r="DQ561" i="4" l="1"/>
  <c r="DR593" i="4"/>
  <c r="BP58" i="3"/>
  <c r="AV127" i="9"/>
  <c r="AV132" i="9" s="1"/>
  <c r="DR799" i="4"/>
  <c r="DS797" i="4"/>
  <c r="BR17" i="3"/>
  <c r="BR65" i="3" s="1"/>
  <c r="AN52" i="12"/>
  <c r="BR38" i="3"/>
  <c r="BD27" i="9"/>
  <c r="BD13" i="9"/>
  <c r="BR7" i="3"/>
  <c r="BD15" i="9"/>
  <c r="BD18" i="9" s="1"/>
  <c r="BR6" i="3"/>
  <c r="BR58" i="3" s="1"/>
  <c r="EF76" i="3"/>
  <c r="AM72" i="12"/>
  <c r="AM47" i="12"/>
  <c r="AM70" i="12" s="1"/>
  <c r="BN62" i="3"/>
  <c r="DR57" i="4"/>
  <c r="DR245" i="4"/>
  <c r="DR879" i="4"/>
  <c r="DR871" i="4"/>
  <c r="DQ49" i="4"/>
  <c r="DQ25" i="4"/>
  <c r="DR569" i="4"/>
  <c r="BD14" i="9" s="1"/>
  <c r="DR580" i="4"/>
  <c r="EF31" i="3" s="1"/>
  <c r="DR574" i="4"/>
  <c r="DR590" i="4"/>
  <c r="DP49" i="4"/>
  <c r="DP25" i="4"/>
  <c r="DR26" i="4"/>
  <c r="DR47" i="4"/>
  <c r="DR19" i="4"/>
  <c r="BR12" i="3" s="1"/>
  <c r="DS776" i="4"/>
  <c r="DM1191" i="4"/>
  <c r="DP1225" i="4"/>
  <c r="BE64" i="3"/>
  <c r="BF16" i="3"/>
  <c r="BF64" i="3" s="1"/>
  <c r="AK51" i="12"/>
  <c r="DN591" i="4"/>
  <c r="DN595" i="4"/>
  <c r="BF36" i="3"/>
  <c r="BE36" i="3"/>
  <c r="DI416" i="4"/>
  <c r="DI1216" i="4" s="1"/>
  <c r="DI1217" i="4" s="1"/>
  <c r="DI1189" i="4" s="1"/>
  <c r="AK73" i="12"/>
  <c r="L73" i="12" s="1"/>
  <c r="AK74" i="12"/>
  <c r="BL35" i="3"/>
  <c r="CF19" i="12"/>
  <c r="CG7" i="12"/>
  <c r="CA8" i="12"/>
  <c r="BZ20" i="12"/>
  <c r="BZ9" i="12"/>
  <c r="BZ12" i="12" s="1"/>
  <c r="BD21" i="3"/>
  <c r="BD66" i="3" s="1"/>
  <c r="BE18" i="3"/>
  <c r="BM35" i="3"/>
  <c r="CE30" i="12"/>
  <c r="BY31" i="12"/>
  <c r="BY32" i="12" s="1"/>
  <c r="BY21" i="12"/>
  <c r="CD27" i="12"/>
  <c r="CX5" i="12"/>
  <c r="CY2" i="12"/>
  <c r="DJ431" i="4"/>
  <c r="DJ429" i="4"/>
  <c r="DL108" i="4"/>
  <c r="DM1212" i="4"/>
  <c r="DP1208" i="4" s="1"/>
  <c r="DI823" i="4"/>
  <c r="DJ823" i="4" s="1"/>
  <c r="DJ820" i="4"/>
  <c r="DM1054" i="4"/>
  <c r="DM79" i="4"/>
  <c r="DN78" i="4"/>
  <c r="DN107" i="4"/>
  <c r="DM108" i="4"/>
  <c r="DL1054" i="4"/>
  <c r="DL79" i="4"/>
  <c r="DN546" i="4"/>
  <c r="DN550" i="4" s="1"/>
  <c r="DN549" i="4"/>
  <c r="DR594" i="4" l="1"/>
  <c r="DR561" i="4"/>
  <c r="DQ597" i="4"/>
  <c r="DN1191" i="4"/>
  <c r="DM1266" i="4"/>
  <c r="BD153" i="9"/>
  <c r="BD94" i="9"/>
  <c r="EF77" i="3"/>
  <c r="EF78" i="3"/>
  <c r="BD93" i="9"/>
  <c r="BD152" i="9"/>
  <c r="BD19" i="9"/>
  <c r="BD29" i="9"/>
  <c r="BD28" i="9"/>
  <c r="BD156" i="9"/>
  <c r="BD97" i="9"/>
  <c r="ED32" i="3"/>
  <c r="BP14" i="3"/>
  <c r="AN75" i="12"/>
  <c r="AN76" i="12"/>
  <c r="EE32" i="3"/>
  <c r="BQ14" i="3"/>
  <c r="BQ62" i="3" s="1"/>
  <c r="DR591" i="4"/>
  <c r="DS245" i="4"/>
  <c r="DR1225" i="4"/>
  <c r="DP1226" i="4"/>
  <c r="DP1229" i="4" s="1"/>
  <c r="DQ545" i="4"/>
  <c r="DQ54" i="4"/>
  <c r="DQ74" i="4"/>
  <c r="DR1058" i="4"/>
  <c r="DP545" i="4"/>
  <c r="DP74" i="4"/>
  <c r="DP54" i="4"/>
  <c r="DR1208" i="4"/>
  <c r="DP1211" i="4"/>
  <c r="DP1212" i="4" s="1"/>
  <c r="DR49" i="4"/>
  <c r="DR25" i="4"/>
  <c r="BE69" i="3"/>
  <c r="BF18" i="3"/>
  <c r="AK53" i="12"/>
  <c r="DI421" i="4"/>
  <c r="DI1220" i="4" s="1"/>
  <c r="DI1221" i="4" s="1"/>
  <c r="DI1187" i="4" s="1"/>
  <c r="DI432" i="4"/>
  <c r="BE37" i="3"/>
  <c r="BE41" i="3"/>
  <c r="DJ1189" i="4"/>
  <c r="BF69" i="3"/>
  <c r="BF41" i="3"/>
  <c r="BF37" i="3"/>
  <c r="BD23" i="3"/>
  <c r="BD67" i="3" s="1"/>
  <c r="AZ17" i="9"/>
  <c r="AZ20" i="9" s="1"/>
  <c r="AZ117" i="9" s="1"/>
  <c r="AZ118" i="9" s="1"/>
  <c r="AZ127" i="9" s="1"/>
  <c r="AZ132" i="9" s="1"/>
  <c r="BN35" i="3"/>
  <c r="BM68" i="3"/>
  <c r="CB8" i="12"/>
  <c r="CA20" i="12"/>
  <c r="CA9" i="12"/>
  <c r="CA12" i="12" s="1"/>
  <c r="CG19" i="12"/>
  <c r="CH7" i="12"/>
  <c r="BD40" i="3"/>
  <c r="BD71" i="3" s="1"/>
  <c r="CE27" i="12"/>
  <c r="BZ31" i="12"/>
  <c r="BZ32" i="12" s="1"/>
  <c r="BZ21" i="12"/>
  <c r="CF30" i="12"/>
  <c r="BL68" i="3"/>
  <c r="CZ2" i="12"/>
  <c r="CY5" i="12"/>
  <c r="DI810" i="4"/>
  <c r="DI812" i="4"/>
  <c r="DJ805" i="4"/>
  <c r="DN108" i="4"/>
  <c r="DM1214" i="4"/>
  <c r="DM1186" i="4"/>
  <c r="DJ416" i="4"/>
  <c r="DL425" i="4"/>
  <c r="DN1054" i="4"/>
  <c r="DN79" i="4"/>
  <c r="DR595" i="4" l="1"/>
  <c r="DR597" i="4"/>
  <c r="BP62" i="3"/>
  <c r="S76" i="12"/>
  <c r="M76" i="12"/>
  <c r="N76" i="12"/>
  <c r="N75" i="12"/>
  <c r="M75" i="12"/>
  <c r="BD98" i="9"/>
  <c r="BD157" i="9"/>
  <c r="EF32" i="3"/>
  <c r="BR14" i="3"/>
  <c r="BR62" i="3" s="1"/>
  <c r="AN49" i="12"/>
  <c r="S75" i="12"/>
  <c r="C38" i="12"/>
  <c r="DQ1225" i="4"/>
  <c r="DP1191" i="4"/>
  <c r="DP107" i="4"/>
  <c r="DP78" i="4"/>
  <c r="DP1186" i="4"/>
  <c r="DP1214" i="4"/>
  <c r="DQ1208" i="4"/>
  <c r="DP546" i="4"/>
  <c r="DP550" i="4" s="1"/>
  <c r="DP549" i="4"/>
  <c r="DQ107" i="4"/>
  <c r="DQ78" i="4"/>
  <c r="DR54" i="4"/>
  <c r="DS25" i="4"/>
  <c r="DR545" i="4"/>
  <c r="DR74" i="4"/>
  <c r="DQ549" i="4"/>
  <c r="DQ546" i="4"/>
  <c r="DQ550" i="4" s="1"/>
  <c r="DI385" i="4"/>
  <c r="DJ1217" i="4"/>
  <c r="BE70" i="3"/>
  <c r="BE39" i="3"/>
  <c r="BH15" i="3"/>
  <c r="DV33" i="3"/>
  <c r="BF39" i="3"/>
  <c r="BF70" i="3"/>
  <c r="BD25" i="3"/>
  <c r="BE19" i="3"/>
  <c r="CF27" i="12"/>
  <c r="CC8" i="12"/>
  <c r="CB20" i="12"/>
  <c r="CB9" i="12"/>
  <c r="CB12" i="12" s="1"/>
  <c r="BD29" i="3"/>
  <c r="BD54" i="3" s="1"/>
  <c r="BD31" i="3"/>
  <c r="DS34" i="3"/>
  <c r="CH19" i="12"/>
  <c r="CI7" i="12"/>
  <c r="CG30" i="12"/>
  <c r="BN68" i="3"/>
  <c r="CA31" i="12"/>
  <c r="CA32" i="12" s="1"/>
  <c r="CA21" i="12"/>
  <c r="DA2" i="12"/>
  <c r="CZ5" i="12"/>
  <c r="DJ1187" i="4"/>
  <c r="DN425" i="4"/>
  <c r="DL427" i="4"/>
  <c r="DL430" i="4"/>
  <c r="DJ810" i="4"/>
  <c r="DK805" i="4"/>
  <c r="DJ1216" i="4"/>
  <c r="DJ421" i="4"/>
  <c r="DN1186" i="4"/>
  <c r="DI778" i="4"/>
  <c r="DI816" i="4"/>
  <c r="BQ35" i="3" l="1"/>
  <c r="BQ68" i="3" s="1"/>
  <c r="BP35" i="3"/>
  <c r="BP68" i="3" s="1"/>
  <c r="BH63" i="3"/>
  <c r="BD56" i="3"/>
  <c r="AN72" i="12"/>
  <c r="M72" i="12" s="1"/>
  <c r="AN47" i="12"/>
  <c r="AN70" i="12" s="1"/>
  <c r="M70" i="12" s="1"/>
  <c r="DQ108" i="4"/>
  <c r="DP1054" i="4"/>
  <c r="DP79" i="4"/>
  <c r="DP108" i="4"/>
  <c r="DR107" i="4"/>
  <c r="DR78" i="4"/>
  <c r="DR546" i="4"/>
  <c r="DR550" i="4" s="1"/>
  <c r="DR549" i="4"/>
  <c r="DQ1211" i="4"/>
  <c r="DR1211" i="4" s="1"/>
  <c r="DR1213" i="4" s="1"/>
  <c r="DP1266" i="4"/>
  <c r="DQ1226" i="4"/>
  <c r="DR1226" i="4" s="1"/>
  <c r="DQ79" i="4"/>
  <c r="DQ1054" i="4"/>
  <c r="DI1398" i="4"/>
  <c r="DJ1398" i="4" s="1"/>
  <c r="DJ1218" i="4"/>
  <c r="DJ385" i="4"/>
  <c r="DJ1009" i="4" s="1"/>
  <c r="AL89" i="12" s="1"/>
  <c r="DI1009" i="4"/>
  <c r="DI1018" i="4" s="1"/>
  <c r="DJ1018" i="4" s="1"/>
  <c r="DK810" i="4"/>
  <c r="DL429" i="4"/>
  <c r="DL416" i="4" s="1"/>
  <c r="CG27" i="12"/>
  <c r="CH30" i="12"/>
  <c r="CD8" i="12"/>
  <c r="CC20" i="12"/>
  <c r="CC9" i="12"/>
  <c r="CC12" i="12" s="1"/>
  <c r="AK54" i="12"/>
  <c r="AK77" i="12" s="1"/>
  <c r="BF19" i="3"/>
  <c r="BH16" i="3"/>
  <c r="BH64" i="3" s="1"/>
  <c r="DR7" i="3"/>
  <c r="DR14" i="3"/>
  <c r="DR17" i="3" s="1"/>
  <c r="BE21" i="3"/>
  <c r="DT34" i="3"/>
  <c r="CI19" i="12"/>
  <c r="CJ7" i="12"/>
  <c r="CB31" i="12"/>
  <c r="CB32" i="12" s="1"/>
  <c r="CB21" i="12"/>
  <c r="DA5" i="12"/>
  <c r="DB2" i="12"/>
  <c r="DI28" i="4"/>
  <c r="DI780" i="4"/>
  <c r="DJ778" i="4"/>
  <c r="DJ1220" i="4"/>
  <c r="BD32" i="3"/>
  <c r="DN1212" i="4"/>
  <c r="DN1214" i="4" s="1"/>
  <c r="DL820" i="4"/>
  <c r="DN430" i="4"/>
  <c r="DJ1221" i="4"/>
  <c r="DQ1212" i="4" l="1"/>
  <c r="DQ1214" i="4" s="1"/>
  <c r="BR35" i="3"/>
  <c r="BD17" i="9"/>
  <c r="BD20" i="9" s="1"/>
  <c r="BD117" i="9" s="1"/>
  <c r="BD118" i="9" s="1"/>
  <c r="BD127" i="9" s="1"/>
  <c r="BD132" i="9" s="1"/>
  <c r="DQ1229" i="4"/>
  <c r="DQ1191" i="4" s="1"/>
  <c r="DR1230" i="4"/>
  <c r="DR1229" i="4"/>
  <c r="DR79" i="4"/>
  <c r="DR1054" i="4"/>
  <c r="DR108" i="4"/>
  <c r="BE66" i="3"/>
  <c r="DM425" i="4"/>
  <c r="DJ1222" i="4"/>
  <c r="BD30" i="3"/>
  <c r="BH36" i="3"/>
  <c r="BE40" i="3"/>
  <c r="BH18" i="3"/>
  <c r="DR16" i="3"/>
  <c r="CJ19" i="12"/>
  <c r="BD33" i="3"/>
  <c r="AK56" i="12"/>
  <c r="AK68" i="12" s="1"/>
  <c r="L68" i="12" s="1"/>
  <c r="BF21" i="3"/>
  <c r="BF66" i="3" s="1"/>
  <c r="BE23" i="3"/>
  <c r="CI30" i="12"/>
  <c r="CC31" i="12"/>
  <c r="CC32" i="12" s="1"/>
  <c r="CC21" i="12"/>
  <c r="CE8" i="12"/>
  <c r="CD20" i="12"/>
  <c r="CD9" i="12"/>
  <c r="CD12" i="12" s="1"/>
  <c r="CH27" i="12"/>
  <c r="DB5" i="12"/>
  <c r="DC2" i="12"/>
  <c r="DL823" i="4"/>
  <c r="DL805" i="4"/>
  <c r="DK778" i="4"/>
  <c r="DJ780" i="4"/>
  <c r="DI787" i="4"/>
  <c r="DI789" i="4"/>
  <c r="DI774" i="4"/>
  <c r="DI770" i="4"/>
  <c r="DL1216" i="4"/>
  <c r="DL1217" i="4" s="1"/>
  <c r="DL1189" i="4" s="1"/>
  <c r="DL432" i="4"/>
  <c r="DL421" i="4"/>
  <c r="DI30" i="4"/>
  <c r="DJ28" i="4"/>
  <c r="DQ1186" i="4" l="1"/>
  <c r="DM430" i="4"/>
  <c r="BR68" i="3"/>
  <c r="DQ1266" i="4"/>
  <c r="DR1191" i="4"/>
  <c r="BE71" i="3"/>
  <c r="BE67" i="3"/>
  <c r="BD55" i="3"/>
  <c r="DM427" i="4"/>
  <c r="DM429" i="4" s="1"/>
  <c r="DM416" i="4" s="1"/>
  <c r="DM1216" i="4" s="1"/>
  <c r="DM1217" i="4" s="1"/>
  <c r="DM1189" i="4" s="1"/>
  <c r="DD506" i="4"/>
  <c r="DD507" i="4" s="1"/>
  <c r="DI790" i="4"/>
  <c r="DJ30" i="4"/>
  <c r="DK30" i="4" s="1"/>
  <c r="BI15" i="3"/>
  <c r="BI63" i="3" s="1"/>
  <c r="DW33" i="3"/>
  <c r="BH69" i="3"/>
  <c r="BH41" i="3"/>
  <c r="BH37" i="3"/>
  <c r="BE25" i="3"/>
  <c r="CD31" i="12"/>
  <c r="CD32" i="12" s="1"/>
  <c r="CD21" i="12"/>
  <c r="CI27" i="12"/>
  <c r="CE20" i="12"/>
  <c r="CF8" i="12"/>
  <c r="CE9" i="12"/>
  <c r="CE12" i="12" s="1"/>
  <c r="BD47" i="3"/>
  <c r="BD77" i="3" s="1"/>
  <c r="AK82" i="12"/>
  <c r="BD57" i="3"/>
  <c r="BF40" i="3"/>
  <c r="BF71" i="3" s="1"/>
  <c r="DS50" i="3"/>
  <c r="BF23" i="3"/>
  <c r="BF67" i="3" s="1"/>
  <c r="CJ30" i="12"/>
  <c r="DD2" i="12"/>
  <c r="DC5" i="12"/>
  <c r="DL1220" i="4"/>
  <c r="DL1221" i="4" s="1"/>
  <c r="DL1187" i="4" s="1"/>
  <c r="DL385" i="4"/>
  <c r="DL812" i="4"/>
  <c r="DL810" i="4"/>
  <c r="DI83" i="4"/>
  <c r="DI55" i="4"/>
  <c r="DI31" i="4"/>
  <c r="DI773" i="4"/>
  <c r="DI772" i="4"/>
  <c r="DJ789" i="4"/>
  <c r="DJ774" i="4"/>
  <c r="DJ770" i="4"/>
  <c r="DJ773" i="4" s="1"/>
  <c r="DK780" i="4"/>
  <c r="DJ787" i="4"/>
  <c r="DR1186" i="4" l="1"/>
  <c r="DM820" i="4"/>
  <c r="DN820" i="4" s="1"/>
  <c r="DN427" i="4"/>
  <c r="DM421" i="4"/>
  <c r="DM385" i="4" s="1"/>
  <c r="DM432" i="4"/>
  <c r="DD399" i="4"/>
  <c r="DD468" i="4"/>
  <c r="DD470" i="4" s="1"/>
  <c r="AL50" i="12"/>
  <c r="AV24" i="9"/>
  <c r="BJ15" i="3"/>
  <c r="BJ63" i="3" s="1"/>
  <c r="DX33" i="3"/>
  <c r="DJ55" i="4"/>
  <c r="BH39" i="3"/>
  <c r="BH70" i="3"/>
  <c r="DJ31" i="4"/>
  <c r="AL51" i="12" s="1"/>
  <c r="DJ83" i="4"/>
  <c r="DJ111" i="4" s="1"/>
  <c r="DN1189" i="4"/>
  <c r="AK81" i="12"/>
  <c r="AK58" i="12"/>
  <c r="AK111" i="12" s="1"/>
  <c r="BF25" i="3"/>
  <c r="BI16" i="3"/>
  <c r="BI64" i="3" s="1"/>
  <c r="DV34" i="3"/>
  <c r="CJ27" i="12"/>
  <c r="AK134" i="12"/>
  <c r="AK92" i="12"/>
  <c r="AK85" i="12"/>
  <c r="AK95" i="12" s="1"/>
  <c r="CF20" i="12"/>
  <c r="CG8" i="12"/>
  <c r="CF9" i="12"/>
  <c r="CF12" i="12" s="1"/>
  <c r="DT50" i="3"/>
  <c r="AK83" i="12"/>
  <c r="AK93" i="12" s="1"/>
  <c r="BH19" i="3"/>
  <c r="CE31" i="12"/>
  <c r="CE32" i="12" s="1"/>
  <c r="CE21" i="12"/>
  <c r="DE2" i="12"/>
  <c r="DD5" i="12"/>
  <c r="DL1398" i="4"/>
  <c r="DL1009" i="4"/>
  <c r="DL1018" i="4" s="1"/>
  <c r="DJ790" i="4"/>
  <c r="DK787" i="4"/>
  <c r="DI111" i="4"/>
  <c r="DI81" i="4"/>
  <c r="DI90" i="4"/>
  <c r="DI94" i="4"/>
  <c r="DL816" i="4"/>
  <c r="DL778" i="4"/>
  <c r="DI1057" i="4"/>
  <c r="DI1062" i="4" s="1"/>
  <c r="DI33" i="4"/>
  <c r="DI56" i="4"/>
  <c r="DE1076" i="4"/>
  <c r="DE1077" i="4" s="1"/>
  <c r="DR1212" i="4" l="1"/>
  <c r="DR1214" i="4" s="1"/>
  <c r="DM805" i="4"/>
  <c r="DN429" i="4"/>
  <c r="DN431" i="4"/>
  <c r="DM823" i="4"/>
  <c r="DN823" i="4" s="1"/>
  <c r="DM1220" i="4"/>
  <c r="DM1221" i="4" s="1"/>
  <c r="DM1187" i="4" s="1"/>
  <c r="DJ94" i="4"/>
  <c r="DJ81" i="4"/>
  <c r="DD471" i="4"/>
  <c r="DD481" i="4"/>
  <c r="DD480" i="4"/>
  <c r="DJ56" i="4"/>
  <c r="BJ16" i="3"/>
  <c r="DJ90" i="4"/>
  <c r="DJ33" i="4"/>
  <c r="BJ18" i="3" s="1"/>
  <c r="DJ1057" i="4"/>
  <c r="DJ1062" i="4" s="1"/>
  <c r="BI36" i="3"/>
  <c r="DN1217" i="4"/>
  <c r="AV25" i="9"/>
  <c r="AV26" i="9"/>
  <c r="AL73" i="12"/>
  <c r="AL74" i="12"/>
  <c r="CF31" i="12"/>
  <c r="CF32" i="12" s="1"/>
  <c r="CF21" i="12"/>
  <c r="C16" i="12"/>
  <c r="AK135" i="12"/>
  <c r="AK146" i="12"/>
  <c r="AK148" i="12" s="1"/>
  <c r="AK149" i="12" s="1"/>
  <c r="AK105" i="12"/>
  <c r="AK121" i="12" s="1"/>
  <c r="AK57" i="12"/>
  <c r="DS16" i="3"/>
  <c r="BI18" i="3"/>
  <c r="DJ967" i="4"/>
  <c r="BH21" i="3"/>
  <c r="BH66" i="3" s="1"/>
  <c r="CH8" i="12"/>
  <c r="CG20" i="12"/>
  <c r="CG9" i="12"/>
  <c r="CG12" i="12" s="1"/>
  <c r="DE5" i="12"/>
  <c r="DF2" i="12"/>
  <c r="DF1076" i="4"/>
  <c r="DI1063" i="4"/>
  <c r="DJ1063" i="4" s="1"/>
  <c r="DI112" i="4"/>
  <c r="DI114" i="4"/>
  <c r="DI115" i="4" s="1"/>
  <c r="DE1071" i="4"/>
  <c r="DF1078" i="4"/>
  <c r="DM1398" i="4"/>
  <c r="DN1398" i="4" s="1"/>
  <c r="DM1009" i="4"/>
  <c r="DM1018" i="4" s="1"/>
  <c r="DN1018" i="4" s="1"/>
  <c r="DN385" i="4"/>
  <c r="DJ112" i="4"/>
  <c r="DJ114" i="4"/>
  <c r="DJ115" i="4" s="1"/>
  <c r="DI1055" i="4"/>
  <c r="DI1056" i="4" s="1"/>
  <c r="DI92" i="4"/>
  <c r="DI95" i="4"/>
  <c r="DI884" i="4"/>
  <c r="DI887" i="4" s="1"/>
  <c r="DI883" i="4" s="1"/>
  <c r="DI58" i="4"/>
  <c r="DL28" i="4"/>
  <c r="DL780" i="4"/>
  <c r="BJ64" i="3" l="1"/>
  <c r="DN805" i="4"/>
  <c r="DE1042" i="4"/>
  <c r="DF1052" i="4"/>
  <c r="DF1042" i="4"/>
  <c r="DE1052" i="4"/>
  <c r="DN416" i="4"/>
  <c r="DN1216" i="4" s="1"/>
  <c r="DN1218" i="4" s="1"/>
  <c r="DP425" i="4"/>
  <c r="DM810" i="4"/>
  <c r="DM812" i="4"/>
  <c r="DN1187" i="4"/>
  <c r="DJ1055" i="4"/>
  <c r="DJ1056" i="4" s="1"/>
  <c r="DJ58" i="4"/>
  <c r="AV30" i="9"/>
  <c r="DJ95" i="4"/>
  <c r="DJ92" i="4"/>
  <c r="AV21" i="9"/>
  <c r="BJ36" i="3"/>
  <c r="BJ69" i="3" s="1"/>
  <c r="DJ884" i="4"/>
  <c r="DJ887" i="4" s="1"/>
  <c r="AL53" i="12"/>
  <c r="DJ1064" i="4"/>
  <c r="DN1009" i="4"/>
  <c r="AM89" i="12" s="1"/>
  <c r="BI69" i="3"/>
  <c r="BI37" i="3"/>
  <c r="BI41" i="3"/>
  <c r="CI8" i="12"/>
  <c r="CH20" i="12"/>
  <c r="CH9" i="12"/>
  <c r="CH12" i="12" s="1"/>
  <c r="DF1077" i="4"/>
  <c r="BH40" i="3"/>
  <c r="BH71" i="3" s="1"/>
  <c r="BH23" i="3"/>
  <c r="BH67" i="3" s="1"/>
  <c r="DR11" i="3"/>
  <c r="DR13" i="3" s="1"/>
  <c r="DT16" i="3"/>
  <c r="CG31" i="12"/>
  <c r="CG32" i="12" s="1"/>
  <c r="CG21" i="12"/>
  <c r="DF5" i="12"/>
  <c r="DG2" i="12"/>
  <c r="DL787" i="4"/>
  <c r="DL774" i="4"/>
  <c r="DL770" i="4"/>
  <c r="DL789" i="4"/>
  <c r="DL30" i="4"/>
  <c r="DZ33" i="3" s="1"/>
  <c r="DI885" i="4"/>
  <c r="DI34" i="4"/>
  <c r="DJ883" i="4"/>
  <c r="DJ960" i="4"/>
  <c r="DI1064" i="4"/>
  <c r="DI97" i="4"/>
  <c r="DI96" i="4"/>
  <c r="DN810" i="4" l="1"/>
  <c r="DO810" i="4" s="1"/>
  <c r="DO805" i="4"/>
  <c r="AV22" i="9"/>
  <c r="DN421" i="4"/>
  <c r="DN1220" i="4" s="1"/>
  <c r="DM816" i="4"/>
  <c r="DR425" i="4"/>
  <c r="DP427" i="4"/>
  <c r="DP429" i="4" s="1"/>
  <c r="DP430" i="4"/>
  <c r="DN1221" i="4"/>
  <c r="DM778" i="4"/>
  <c r="DJ97" i="4"/>
  <c r="DJ96" i="4"/>
  <c r="AV23" i="9"/>
  <c r="AV67" i="9" s="1"/>
  <c r="AV68" i="9" s="1"/>
  <c r="BJ41" i="3"/>
  <c r="BJ37" i="3"/>
  <c r="BJ70" i="3" s="1"/>
  <c r="BL15" i="3"/>
  <c r="BI39" i="3"/>
  <c r="BI70" i="3"/>
  <c r="DL790" i="4"/>
  <c r="BH25" i="3"/>
  <c r="DW34" i="3"/>
  <c r="BI19" i="3"/>
  <c r="DV50" i="3"/>
  <c r="DR10" i="3"/>
  <c r="DR12" i="3" s="1"/>
  <c r="CH31" i="12"/>
  <c r="CH32" i="12" s="1"/>
  <c r="CH21" i="12"/>
  <c r="CJ8" i="12"/>
  <c r="CI20" i="12"/>
  <c r="CI9" i="12"/>
  <c r="CI12" i="12" s="1"/>
  <c r="DH2" i="12"/>
  <c r="DG5" i="12"/>
  <c r="DI59" i="4"/>
  <c r="DJ34" i="4"/>
  <c r="DI36" i="4"/>
  <c r="DL773" i="4"/>
  <c r="DL772" i="4"/>
  <c r="DL55" i="4"/>
  <c r="DL83" i="4"/>
  <c r="DL31" i="4"/>
  <c r="DJ888" i="4"/>
  <c r="DJ885" i="4"/>
  <c r="DN1222" i="4" l="1"/>
  <c r="DN778" i="4"/>
  <c r="DM780" i="4"/>
  <c r="BL63" i="3"/>
  <c r="DQ425" i="4"/>
  <c r="DP416" i="4"/>
  <c r="DP820" i="4"/>
  <c r="DR430" i="4"/>
  <c r="DM28" i="4"/>
  <c r="AV123" i="9"/>
  <c r="AV124" i="9" s="1"/>
  <c r="AV154" i="9" s="1"/>
  <c r="BJ39" i="3"/>
  <c r="AV95" i="9"/>
  <c r="AV69" i="9"/>
  <c r="AV70" i="9"/>
  <c r="AV31" i="9"/>
  <c r="AV32" i="9" s="1"/>
  <c r="AL54" i="12"/>
  <c r="AL77" i="12" s="1"/>
  <c r="BJ19" i="3"/>
  <c r="CI31" i="12"/>
  <c r="CI32" i="12" s="1"/>
  <c r="CI21" i="12"/>
  <c r="DX34" i="3"/>
  <c r="CJ20" i="12"/>
  <c r="CJ9" i="12"/>
  <c r="CJ12" i="12" s="1"/>
  <c r="BL16" i="3"/>
  <c r="BI21" i="3"/>
  <c r="BI66" i="3" s="1"/>
  <c r="DI2" i="12"/>
  <c r="DH5" i="12"/>
  <c r="DL111" i="4"/>
  <c r="DL90" i="4"/>
  <c r="DL81" i="4"/>
  <c r="DL94" i="4"/>
  <c r="DI968" i="4"/>
  <c r="DJ59" i="4"/>
  <c r="DJ36" i="4"/>
  <c r="DI960" i="4"/>
  <c r="DL1057" i="4"/>
  <c r="DL1062" i="4" s="1"/>
  <c r="DL56" i="4"/>
  <c r="DL33" i="4"/>
  <c r="DI1038" i="4"/>
  <c r="DI102" i="4"/>
  <c r="DI38" i="4"/>
  <c r="DI42" i="4"/>
  <c r="DI60" i="4"/>
  <c r="DO778" i="4" l="1"/>
  <c r="DN780" i="4"/>
  <c r="DM789" i="4"/>
  <c r="DM770" i="4"/>
  <c r="DM772" i="4" s="1"/>
  <c r="DM787" i="4"/>
  <c r="DM790" i="4" s="1"/>
  <c r="DM774" i="4"/>
  <c r="DN28" i="4"/>
  <c r="BL64" i="3"/>
  <c r="DP1216" i="4"/>
  <c r="DP1217" i="4" s="1"/>
  <c r="DP1189" i="4" s="1"/>
  <c r="DP432" i="4"/>
  <c r="DP421" i="4"/>
  <c r="DQ427" i="4"/>
  <c r="DQ429" i="4" s="1"/>
  <c r="DQ430" i="4"/>
  <c r="DM30" i="4"/>
  <c r="DM83" i="4" s="1"/>
  <c r="DP823" i="4"/>
  <c r="DP805" i="4"/>
  <c r="AV125" i="9"/>
  <c r="AV126" i="9"/>
  <c r="AV155" i="9" s="1"/>
  <c r="AV74" i="9"/>
  <c r="AV96" i="9"/>
  <c r="BL36" i="3"/>
  <c r="DV16" i="3"/>
  <c r="CJ31" i="12"/>
  <c r="CJ32" i="12" s="1"/>
  <c r="CJ21" i="12"/>
  <c r="BL18" i="3"/>
  <c r="AV134" i="9"/>
  <c r="AV76" i="9"/>
  <c r="DI44" i="4"/>
  <c r="DI1122" i="4" s="1"/>
  <c r="BI23" i="3"/>
  <c r="BI67" i="3" s="1"/>
  <c r="DJ968" i="4"/>
  <c r="BI40" i="3"/>
  <c r="BI71" i="3" s="1"/>
  <c r="AV34" i="9"/>
  <c r="AL56" i="12"/>
  <c r="BJ21" i="3"/>
  <c r="DI5" i="12"/>
  <c r="DJ2" i="12"/>
  <c r="DI1044" i="4"/>
  <c r="DI1036" i="4"/>
  <c r="DI1035" i="4"/>
  <c r="DL884" i="4"/>
  <c r="DL887" i="4" s="1"/>
  <c r="DL883" i="4" s="1"/>
  <c r="DL58" i="4"/>
  <c r="DL112" i="4"/>
  <c r="DL114" i="4"/>
  <c r="DL115" i="4" s="1"/>
  <c r="DI101" i="4"/>
  <c r="DL1055" i="4"/>
  <c r="DL1056" i="4" s="1"/>
  <c r="DL92" i="4"/>
  <c r="DL95" i="4"/>
  <c r="DI1123" i="4"/>
  <c r="DI1125" i="4" s="1"/>
  <c r="DI40" i="4"/>
  <c r="DL1063" i="4"/>
  <c r="DJ1038" i="4"/>
  <c r="DJ1044" i="4" s="1"/>
  <c r="DJ102" i="4"/>
  <c r="DJ38" i="4"/>
  <c r="DK36" i="4"/>
  <c r="DJ60" i="4"/>
  <c r="DJ42" i="4"/>
  <c r="DI952" i="4"/>
  <c r="DN770" i="4" l="1"/>
  <c r="DN773" i="4" s="1"/>
  <c r="DO780" i="4"/>
  <c r="DN789" i="4"/>
  <c r="DN774" i="4"/>
  <c r="DN787" i="4"/>
  <c r="DM773" i="4"/>
  <c r="DM31" i="4"/>
  <c r="DM56" i="4" s="1"/>
  <c r="DN30" i="4"/>
  <c r="EB33" i="3" s="1"/>
  <c r="BM15" i="3"/>
  <c r="BM63" i="3" s="1"/>
  <c r="DM55" i="4"/>
  <c r="EA33" i="3"/>
  <c r="DQ416" i="4"/>
  <c r="DQ820" i="4"/>
  <c r="DR427" i="4"/>
  <c r="DP1220" i="4"/>
  <c r="DP1221" i="4" s="1"/>
  <c r="DP1187" i="4" s="1"/>
  <c r="DP385" i="4"/>
  <c r="DP810" i="4"/>
  <c r="DP812" i="4"/>
  <c r="AV131" i="9"/>
  <c r="AV133" i="9" s="1"/>
  <c r="AV136" i="9" s="1"/>
  <c r="DI1402" i="4"/>
  <c r="BL69" i="3"/>
  <c r="BL37" i="3"/>
  <c r="BL41" i="3"/>
  <c r="DJ952" i="4"/>
  <c r="BJ66" i="3"/>
  <c r="AL82" i="12"/>
  <c r="BJ23" i="3"/>
  <c r="DI889" i="4"/>
  <c r="AV83" i="9"/>
  <c r="AV85" i="9" s="1"/>
  <c r="AV75" i="9"/>
  <c r="AV78" i="9" s="1"/>
  <c r="BI25" i="3"/>
  <c r="AV35" i="9"/>
  <c r="AV38" i="9"/>
  <c r="DJ44" i="4"/>
  <c r="DJ1122" i="4" s="1"/>
  <c r="AV37" i="9"/>
  <c r="BJ40" i="3"/>
  <c r="BJ71" i="3" s="1"/>
  <c r="AV137" i="9"/>
  <c r="DJ5" i="12"/>
  <c r="DK2" i="12"/>
  <c r="DI953" i="4"/>
  <c r="DW50" i="3" s="1"/>
  <c r="DJ1123" i="4"/>
  <c r="DJ1125" i="4" s="1"/>
  <c r="DJ40" i="4"/>
  <c r="DJ1035" i="4"/>
  <c r="DI1037" i="4"/>
  <c r="DJ1036" i="4"/>
  <c r="DJ1040" i="4" s="1"/>
  <c r="DI1032" i="4"/>
  <c r="DJ1032" i="4" s="1"/>
  <c r="DI1130" i="4"/>
  <c r="DI1132" i="4" s="1"/>
  <c r="DI964" i="4"/>
  <c r="DL96" i="4"/>
  <c r="DL97" i="4"/>
  <c r="DJ101" i="4"/>
  <c r="DI996" i="4"/>
  <c r="DJ996" i="4" s="1"/>
  <c r="DI995" i="4"/>
  <c r="DJ995" i="4" s="1"/>
  <c r="DL1064" i="4"/>
  <c r="DM111" i="4"/>
  <c r="DM81" i="4"/>
  <c r="DM90" i="4"/>
  <c r="DM94" i="4"/>
  <c r="DL885" i="4"/>
  <c r="DZ34" i="3" s="1"/>
  <c r="DL34" i="4"/>
  <c r="BJ67" i="3" l="1"/>
  <c r="DN790" i="4"/>
  <c r="DO787" i="4"/>
  <c r="DM33" i="4"/>
  <c r="DM1057" i="4"/>
  <c r="DM1062" i="4" s="1"/>
  <c r="DM1063" i="4" s="1"/>
  <c r="DN1063" i="4" s="1"/>
  <c r="AM50" i="12"/>
  <c r="AM74" i="12" s="1"/>
  <c r="DO30" i="4"/>
  <c r="BM16" i="3"/>
  <c r="BM64" i="3" s="1"/>
  <c r="DN31" i="4"/>
  <c r="DN1057" i="4" s="1"/>
  <c r="DN1062" i="4" s="1"/>
  <c r="BN15" i="3"/>
  <c r="BN63" i="3" s="1"/>
  <c r="DN83" i="4"/>
  <c r="DN90" i="4" s="1"/>
  <c r="DN55" i="4"/>
  <c r="AZ24" i="9"/>
  <c r="AZ26" i="9" s="1"/>
  <c r="DP778" i="4"/>
  <c r="DP816" i="4"/>
  <c r="DR431" i="4"/>
  <c r="DR429" i="4"/>
  <c r="DQ823" i="4"/>
  <c r="DR823" i="4" s="1"/>
  <c r="DQ805" i="4"/>
  <c r="DR820" i="4"/>
  <c r="DP1398" i="4"/>
  <c r="DP1009" i="4"/>
  <c r="DP1018" i="4" s="1"/>
  <c r="DQ432" i="4"/>
  <c r="DQ1216" i="4"/>
  <c r="DQ1217" i="4" s="1"/>
  <c r="DQ1189" i="4" s="1"/>
  <c r="DQ421" i="4"/>
  <c r="BM36" i="3"/>
  <c r="BL70" i="3"/>
  <c r="BL39" i="3"/>
  <c r="DJ1402" i="4"/>
  <c r="DJ889" i="4"/>
  <c r="AL92" i="12"/>
  <c r="AL134" i="12"/>
  <c r="AV41" i="9"/>
  <c r="AV39" i="9"/>
  <c r="AV79" i="9"/>
  <c r="AV99" i="9"/>
  <c r="AV81" i="9"/>
  <c r="AV82" i="9" s="1"/>
  <c r="DJ1130" i="4"/>
  <c r="DJ1132" i="4" s="1"/>
  <c r="AL81" i="12"/>
  <c r="AL58" i="12"/>
  <c r="AL111" i="12" s="1"/>
  <c r="BJ25" i="3"/>
  <c r="DJ953" i="4"/>
  <c r="DX50" i="3" s="1"/>
  <c r="BL19" i="3"/>
  <c r="AV140" i="9"/>
  <c r="AV138" i="9"/>
  <c r="AV158" i="9"/>
  <c r="AL83" i="12"/>
  <c r="AL93" i="12" s="1"/>
  <c r="DL2" i="12"/>
  <c r="DK5" i="12"/>
  <c r="DI1065" i="4"/>
  <c r="DI1076" i="4"/>
  <c r="DI1078" i="4" s="1"/>
  <c r="DI1051" i="4"/>
  <c r="DI1050" i="4"/>
  <c r="DJ1050" i="4" s="1"/>
  <c r="DI1045" i="4"/>
  <c r="DI1041" i="4"/>
  <c r="DL967" i="4"/>
  <c r="DL59" i="4"/>
  <c r="DL36" i="4"/>
  <c r="DM1055" i="4"/>
  <c r="DM1056" i="4" s="1"/>
  <c r="DM92" i="4"/>
  <c r="DM95" i="4"/>
  <c r="DJ1039" i="4"/>
  <c r="DJ1037" i="4"/>
  <c r="DJ964" i="4"/>
  <c r="DJ965" i="4" s="1"/>
  <c r="DJ970" i="4" s="1"/>
  <c r="DI965" i="4"/>
  <c r="DI970" i="4" s="1"/>
  <c r="DM112" i="4"/>
  <c r="DM114" i="4"/>
  <c r="DM115" i="4" s="1"/>
  <c r="DN1055" i="4" l="1"/>
  <c r="DN1056" i="4" s="1"/>
  <c r="DM58" i="4"/>
  <c r="DM884" i="4"/>
  <c r="DM887" i="4" s="1"/>
  <c r="DM883" i="4" s="1"/>
  <c r="DM885" i="4" s="1"/>
  <c r="EA34" i="3" s="1"/>
  <c r="BM18" i="3"/>
  <c r="AM73" i="12"/>
  <c r="BN16" i="3"/>
  <c r="BN64" i="3" s="1"/>
  <c r="DN56" i="4"/>
  <c r="DN33" i="4"/>
  <c r="AM51" i="12"/>
  <c r="DN81" i="4"/>
  <c r="BN36" i="3"/>
  <c r="BN69" i="3" s="1"/>
  <c r="AZ21" i="9"/>
  <c r="AZ23" i="9" s="1"/>
  <c r="AZ123" i="9" s="1"/>
  <c r="AZ124" i="9" s="1"/>
  <c r="DN111" i="4"/>
  <c r="DN112" i="4" s="1"/>
  <c r="DN94" i="4"/>
  <c r="DN95" i="4"/>
  <c r="DN92" i="4"/>
  <c r="AZ25" i="9"/>
  <c r="DR416" i="4"/>
  <c r="DQ1220" i="4"/>
  <c r="DQ1221" i="4" s="1"/>
  <c r="DQ1187" i="4" s="1"/>
  <c r="DQ385" i="4"/>
  <c r="DP28" i="4"/>
  <c r="DP780" i="4"/>
  <c r="DR1189" i="4"/>
  <c r="DQ810" i="4"/>
  <c r="DQ812" i="4"/>
  <c r="DR805" i="4"/>
  <c r="DN1064" i="4"/>
  <c r="BM69" i="3"/>
  <c r="BM37" i="3"/>
  <c r="BM41" i="3"/>
  <c r="BL21" i="3"/>
  <c r="AL57" i="12"/>
  <c r="AL105" i="12"/>
  <c r="AL121" i="12" s="1"/>
  <c r="AV143" i="9"/>
  <c r="AV141" i="9"/>
  <c r="DN967" i="4"/>
  <c r="DW16" i="3"/>
  <c r="AL135" i="12"/>
  <c r="AL146" i="12"/>
  <c r="AL148" i="12" s="1"/>
  <c r="AL149" i="12" s="1"/>
  <c r="DM2" i="12"/>
  <c r="DL5" i="12"/>
  <c r="DJ1065" i="4"/>
  <c r="DJ1076" i="4"/>
  <c r="DJ1045" i="4"/>
  <c r="DJ1041" i="4"/>
  <c r="DJ1051" i="4"/>
  <c r="DL1038" i="4"/>
  <c r="DL102" i="4"/>
  <c r="DL60" i="4"/>
  <c r="DL42" i="4"/>
  <c r="DL38" i="4"/>
  <c r="DI1080" i="4"/>
  <c r="DI1082" i="4"/>
  <c r="DI1052" i="4" s="1"/>
  <c r="DL952" i="4"/>
  <c r="DJ1078" i="4"/>
  <c r="DM97" i="4"/>
  <c r="DM96" i="4"/>
  <c r="DL960" i="4"/>
  <c r="DI943" i="4"/>
  <c r="DM1064" i="4"/>
  <c r="DN883" i="4" l="1"/>
  <c r="DM34" i="4"/>
  <c r="AZ30" i="9"/>
  <c r="DN884" i="4"/>
  <c r="DN887" i="4" s="1"/>
  <c r="BN18" i="3"/>
  <c r="AM53" i="12"/>
  <c r="DN58" i="4"/>
  <c r="DN96" i="4"/>
  <c r="BN37" i="3"/>
  <c r="BN39" i="3" s="1"/>
  <c r="BN41" i="3"/>
  <c r="DN114" i="4"/>
  <c r="DN115" i="4" s="1"/>
  <c r="AZ22" i="9"/>
  <c r="DN97" i="4"/>
  <c r="BL66" i="3"/>
  <c r="DS805" i="4"/>
  <c r="DR810" i="4"/>
  <c r="DP30" i="4"/>
  <c r="DQ816" i="4"/>
  <c r="DQ778" i="4"/>
  <c r="DQ1009" i="4"/>
  <c r="DQ1018" i="4" s="1"/>
  <c r="DR1018" i="4" s="1"/>
  <c r="DQ1398" i="4"/>
  <c r="DR1398" i="4" s="1"/>
  <c r="DR385" i="4"/>
  <c r="DR1187" i="4"/>
  <c r="DR1217" i="4"/>
  <c r="DP770" i="4"/>
  <c r="DP774" i="4"/>
  <c r="DP787" i="4"/>
  <c r="DP790" i="4" s="1"/>
  <c r="DP789" i="4"/>
  <c r="DR1216" i="4"/>
  <c r="DR421" i="4"/>
  <c r="AZ67" i="9"/>
  <c r="AZ68" i="9" s="1"/>
  <c r="BM39" i="3"/>
  <c r="BM70" i="3"/>
  <c r="AZ154" i="9"/>
  <c r="AZ125" i="9"/>
  <c r="AZ126" i="9"/>
  <c r="BL23" i="3"/>
  <c r="DJ943" i="4"/>
  <c r="DL44" i="4"/>
  <c r="DL1122" i="4" s="1"/>
  <c r="DJ1042" i="4"/>
  <c r="DJ1052" i="4"/>
  <c r="BL40" i="3"/>
  <c r="DX16" i="3"/>
  <c r="DM5" i="12"/>
  <c r="DN2" i="12"/>
  <c r="DI1083" i="4"/>
  <c r="DL996" i="4" s="1"/>
  <c r="DL995" i="4"/>
  <c r="DL101" i="4"/>
  <c r="DJ1077" i="4"/>
  <c r="DL1123" i="4"/>
  <c r="DL1125" i="4" s="1"/>
  <c r="DL40" i="4"/>
  <c r="DL1036" i="4"/>
  <c r="DL1044" i="4"/>
  <c r="DL1035" i="4"/>
  <c r="DN960" i="4"/>
  <c r="DL953" i="4"/>
  <c r="DZ50" i="3" s="1"/>
  <c r="DI1042" i="4"/>
  <c r="DM36" i="4" l="1"/>
  <c r="DN34" i="4"/>
  <c r="AM54" i="12" s="1"/>
  <c r="AM77" i="12" s="1"/>
  <c r="DN888" i="4"/>
  <c r="BM19" i="3"/>
  <c r="DM59" i="4"/>
  <c r="DN885" i="4"/>
  <c r="EB34" i="3" s="1"/>
  <c r="BN70" i="3"/>
  <c r="DR1220" i="4"/>
  <c r="BP15" i="3"/>
  <c r="ED33" i="3"/>
  <c r="BL67" i="3"/>
  <c r="BL71" i="3"/>
  <c r="AZ69" i="9"/>
  <c r="DP773" i="4"/>
  <c r="DP772" i="4"/>
  <c r="DR1009" i="4"/>
  <c r="AN89" i="12" s="1"/>
  <c r="AO89" i="12" s="1"/>
  <c r="AP89" i="12" s="1"/>
  <c r="AQ89" i="12" s="1"/>
  <c r="AR89" i="12" s="1"/>
  <c r="AS89" i="12" s="1"/>
  <c r="AT89" i="12" s="1"/>
  <c r="AU89" i="12" s="1"/>
  <c r="AV89" i="12" s="1"/>
  <c r="AW89" i="12" s="1"/>
  <c r="AX89" i="12" s="1"/>
  <c r="AY89" i="12" s="1"/>
  <c r="AZ89" i="12" s="1"/>
  <c r="BA89" i="12" s="1"/>
  <c r="BB89" i="12" s="1"/>
  <c r="BC89" i="12" s="1"/>
  <c r="BD89" i="12" s="1"/>
  <c r="BE89" i="12" s="1"/>
  <c r="BF89" i="12" s="1"/>
  <c r="BG89" i="12" s="1"/>
  <c r="BH89" i="12" s="1"/>
  <c r="BI89" i="12" s="1"/>
  <c r="BJ89" i="12" s="1"/>
  <c r="BK89" i="12" s="1"/>
  <c r="BL89" i="12" s="1"/>
  <c r="BM89" i="12" s="1"/>
  <c r="BN89" i="12" s="1"/>
  <c r="BO89" i="12" s="1"/>
  <c r="BP89" i="12" s="1"/>
  <c r="BQ89" i="12" s="1"/>
  <c r="BR89" i="12" s="1"/>
  <c r="BS89" i="12" s="1"/>
  <c r="BT89" i="12" s="1"/>
  <c r="BU89" i="12" s="1"/>
  <c r="BV89" i="12" s="1"/>
  <c r="BW89" i="12" s="1"/>
  <c r="BX89" i="12" s="1"/>
  <c r="BY89" i="12" s="1"/>
  <c r="BZ89" i="12" s="1"/>
  <c r="CA89" i="12" s="1"/>
  <c r="CB89" i="12" s="1"/>
  <c r="CC89" i="12" s="1"/>
  <c r="CD89" i="12" s="1"/>
  <c r="CE89" i="12" s="1"/>
  <c r="CF89" i="12" s="1"/>
  <c r="CG89" i="12" s="1"/>
  <c r="CH89" i="12" s="1"/>
  <c r="CI89" i="12" s="1"/>
  <c r="CJ89" i="12" s="1"/>
  <c r="DP55" i="4"/>
  <c r="DP83" i="4"/>
  <c r="DP31" i="4"/>
  <c r="DR1218" i="4"/>
  <c r="DS810" i="4"/>
  <c r="DR1221" i="4"/>
  <c r="DQ28" i="4"/>
  <c r="DQ780" i="4"/>
  <c r="DR778" i="4"/>
  <c r="AZ95" i="9"/>
  <c r="AZ70" i="9"/>
  <c r="AZ96" i="9" s="1"/>
  <c r="AZ131" i="9"/>
  <c r="AZ155" i="9"/>
  <c r="DL1402" i="4"/>
  <c r="DL1032" i="4"/>
  <c r="DL889" i="4"/>
  <c r="BL25" i="3"/>
  <c r="DN5" i="12"/>
  <c r="DO2" i="12"/>
  <c r="DL1130" i="4"/>
  <c r="DL1132" i="4" s="1"/>
  <c r="DL964" i="4"/>
  <c r="DL965" i="4" s="1"/>
  <c r="DL970" i="4" s="1"/>
  <c r="DL1037" i="4"/>
  <c r="BP63" i="3" l="1"/>
  <c r="DM102" i="4"/>
  <c r="DM1038" i="4"/>
  <c r="DM1044" i="4" s="1"/>
  <c r="DM38" i="4"/>
  <c r="BM21" i="3"/>
  <c r="BM66" i="3" s="1"/>
  <c r="DM42" i="4"/>
  <c r="DM60" i="4"/>
  <c r="DN36" i="4"/>
  <c r="AM56" i="12" s="1"/>
  <c r="DN59" i="4"/>
  <c r="AZ31" i="9"/>
  <c r="AZ32" i="9" s="1"/>
  <c r="AZ76" i="9" s="1"/>
  <c r="BN19" i="3"/>
  <c r="DR1222" i="4"/>
  <c r="BP16" i="3"/>
  <c r="BP64" i="3" s="1"/>
  <c r="DQ774" i="4"/>
  <c r="DQ787" i="4"/>
  <c r="DQ790" i="4" s="1"/>
  <c r="DQ770" i="4"/>
  <c r="DQ789" i="4"/>
  <c r="DP33" i="4"/>
  <c r="DP56" i="4"/>
  <c r="DP1057" i="4"/>
  <c r="DP1062" i="4" s="1"/>
  <c r="DP81" i="4"/>
  <c r="DP90" i="4"/>
  <c r="DP111" i="4"/>
  <c r="DP94" i="4"/>
  <c r="DQ30" i="4"/>
  <c r="DR28" i="4"/>
  <c r="DS778" i="4"/>
  <c r="DR780" i="4"/>
  <c r="AZ74" i="9"/>
  <c r="DP2" i="12"/>
  <c r="DO5" i="12"/>
  <c r="DL1076" i="4"/>
  <c r="DL1078" i="4" s="1"/>
  <c r="DL1065" i="4"/>
  <c r="DL1045" i="4"/>
  <c r="DL1041" i="4"/>
  <c r="DZ16" i="3" s="1"/>
  <c r="DL1051" i="4"/>
  <c r="DL1050" i="4"/>
  <c r="DM968" i="4"/>
  <c r="DL943" i="4"/>
  <c r="DM960" i="4"/>
  <c r="BP36" i="3" l="1"/>
  <c r="BP37" i="3" s="1"/>
  <c r="DM101" i="4"/>
  <c r="DM889" i="4" s="1"/>
  <c r="BM40" i="3"/>
  <c r="BM71" i="3" s="1"/>
  <c r="DN1038" i="4"/>
  <c r="DN1044" i="4" s="1"/>
  <c r="DM1035" i="4"/>
  <c r="DN1035" i="4" s="1"/>
  <c r="DO36" i="4"/>
  <c r="DM40" i="4"/>
  <c r="DN42" i="4"/>
  <c r="DN44" i="4" s="1"/>
  <c r="DN1122" i="4" s="1"/>
  <c r="DN60" i="4"/>
  <c r="DM44" i="4"/>
  <c r="DM1402" i="4" s="1"/>
  <c r="BM23" i="3"/>
  <c r="BM67" i="3" s="1"/>
  <c r="DM1123" i="4"/>
  <c r="DM1125" i="4" s="1"/>
  <c r="DM1036" i="4"/>
  <c r="DN38" i="4"/>
  <c r="AZ34" i="9"/>
  <c r="AZ35" i="9" s="1"/>
  <c r="DN102" i="4"/>
  <c r="BN21" i="3"/>
  <c r="BN66" i="3" s="1"/>
  <c r="AZ134" i="9"/>
  <c r="AZ137" i="9" s="1"/>
  <c r="BQ15" i="3"/>
  <c r="BQ63" i="3" s="1"/>
  <c r="EE33" i="3"/>
  <c r="BP18" i="3"/>
  <c r="DQ772" i="4"/>
  <c r="DQ773" i="4"/>
  <c r="DP112" i="4"/>
  <c r="DP114" i="4"/>
  <c r="DP115" i="4" s="1"/>
  <c r="DP1063" i="4"/>
  <c r="DP1064" i="4" s="1"/>
  <c r="DP92" i="4"/>
  <c r="DP1055" i="4"/>
  <c r="DP1056" i="4" s="1"/>
  <c r="DP95" i="4"/>
  <c r="DR770" i="4"/>
  <c r="DR773" i="4" s="1"/>
  <c r="DR774" i="4"/>
  <c r="DR787" i="4"/>
  <c r="DS780" i="4"/>
  <c r="DR789" i="4"/>
  <c r="DR30" i="4"/>
  <c r="DQ83" i="4"/>
  <c r="DQ55" i="4"/>
  <c r="DQ31" i="4"/>
  <c r="DP58" i="4"/>
  <c r="DP884" i="4"/>
  <c r="DP887" i="4" s="1"/>
  <c r="DP883" i="4" s="1"/>
  <c r="AZ83" i="9"/>
  <c r="AZ85" i="9" s="1"/>
  <c r="AZ75" i="9"/>
  <c r="AZ78" i="9" s="1"/>
  <c r="DN968" i="4"/>
  <c r="AM82" i="12" s="1"/>
  <c r="DQ2" i="12"/>
  <c r="DP5" i="12"/>
  <c r="DL1082" i="4"/>
  <c r="DL1080" i="4"/>
  <c r="DM952" i="4"/>
  <c r="BP69" i="3" l="1"/>
  <c r="BP41" i="3"/>
  <c r="DM1032" i="4"/>
  <c r="DN1032" i="4" s="1"/>
  <c r="DM964" i="4"/>
  <c r="DN964" i="4" s="1"/>
  <c r="DN965" i="4" s="1"/>
  <c r="DN970" i="4" s="1"/>
  <c r="DM1130" i="4"/>
  <c r="DM1132" i="4" s="1"/>
  <c r="BM25" i="3"/>
  <c r="DN101" i="4"/>
  <c r="DN889" i="4" s="1"/>
  <c r="AZ37" i="9"/>
  <c r="AZ38" i="9"/>
  <c r="AZ39" i="9" s="1"/>
  <c r="AZ133" i="9"/>
  <c r="AZ136" i="9" s="1"/>
  <c r="AZ158" i="9" s="1"/>
  <c r="DM1122" i="4"/>
  <c r="BN40" i="3"/>
  <c r="BN71" i="3" s="1"/>
  <c r="DN1036" i="4"/>
  <c r="DN1040" i="4" s="1"/>
  <c r="DM1037" i="4"/>
  <c r="DP967" i="4" s="1"/>
  <c r="DN40" i="4"/>
  <c r="DN1123" i="4"/>
  <c r="DN1125" i="4" s="1"/>
  <c r="BN23" i="3"/>
  <c r="BN67" i="3" s="1"/>
  <c r="BP39" i="3"/>
  <c r="BP70" i="3"/>
  <c r="AN50" i="12"/>
  <c r="BR15" i="3"/>
  <c r="BR63" i="3" s="1"/>
  <c r="BD24" i="9"/>
  <c r="EF33" i="3"/>
  <c r="AM92" i="12"/>
  <c r="AM134" i="12"/>
  <c r="BQ16" i="3"/>
  <c r="BQ64" i="3" s="1"/>
  <c r="DQ111" i="4"/>
  <c r="DQ90" i="4"/>
  <c r="DQ81" i="4"/>
  <c r="DQ94" i="4"/>
  <c r="DR55" i="4"/>
  <c r="DR83" i="4"/>
  <c r="DS30" i="4"/>
  <c r="DR31" i="4"/>
  <c r="DP97" i="4"/>
  <c r="DP96" i="4"/>
  <c r="DP885" i="4"/>
  <c r="DP34" i="4"/>
  <c r="DS787" i="4"/>
  <c r="DR790" i="4"/>
  <c r="DQ56" i="4"/>
  <c r="DQ33" i="4"/>
  <c r="DQ1057" i="4"/>
  <c r="DQ1062" i="4" s="1"/>
  <c r="DN1402" i="4"/>
  <c r="DN952" i="4"/>
  <c r="AZ81" i="9"/>
  <c r="AZ99" i="9"/>
  <c r="AZ79" i="9"/>
  <c r="DQ5" i="12"/>
  <c r="DR2" i="12"/>
  <c r="DN1039" i="4"/>
  <c r="DM953" i="4"/>
  <c r="EA50" i="3" s="1"/>
  <c r="DL1042" i="4"/>
  <c r="DL1052" i="4"/>
  <c r="DL1083" i="4"/>
  <c r="DM996" i="4" s="1"/>
  <c r="DN996" i="4" s="1"/>
  <c r="DM995" i="4"/>
  <c r="DN995" i="4" s="1"/>
  <c r="DM965" i="4" l="1"/>
  <c r="DM970" i="4" s="1"/>
  <c r="DM943" i="4" s="1"/>
  <c r="DN943" i="4" s="1"/>
  <c r="BQ36" i="3"/>
  <c r="BQ69" i="3" s="1"/>
  <c r="AZ41" i="9"/>
  <c r="AZ138" i="9"/>
  <c r="AZ140" i="9"/>
  <c r="AZ143" i="9" s="1"/>
  <c r="AM81" i="12"/>
  <c r="AM58" i="12"/>
  <c r="BN25" i="3"/>
  <c r="DN1037" i="4"/>
  <c r="DM1041" i="4"/>
  <c r="EA16" i="3" s="1"/>
  <c r="DM1045" i="4"/>
  <c r="DM1076" i="4"/>
  <c r="DM1078" i="4" s="1"/>
  <c r="DP952" i="4" s="1"/>
  <c r="DR967" i="4"/>
  <c r="DM1065" i="4"/>
  <c r="DN1130" i="4"/>
  <c r="DN1132" i="4" s="1"/>
  <c r="DM1050" i="4"/>
  <c r="DN1050" i="4" s="1"/>
  <c r="DM1051" i="4"/>
  <c r="BD26" i="9"/>
  <c r="BD25" i="9"/>
  <c r="AN73" i="12"/>
  <c r="AN74" i="12"/>
  <c r="AO50" i="12"/>
  <c r="AP50" i="12" s="1"/>
  <c r="AQ50" i="12" s="1"/>
  <c r="AR50" i="12" s="1"/>
  <c r="AS50" i="12" s="1"/>
  <c r="AT50" i="12" s="1"/>
  <c r="AU50" i="12" s="1"/>
  <c r="AM146" i="12"/>
  <c r="AM148" i="12" s="1"/>
  <c r="AM149" i="12" s="1"/>
  <c r="AM135" i="12"/>
  <c r="BQ18" i="3"/>
  <c r="ED34" i="3"/>
  <c r="AM83" i="12"/>
  <c r="AM93" i="12" s="1"/>
  <c r="AN51" i="12"/>
  <c r="BR16" i="3"/>
  <c r="BR64" i="3" s="1"/>
  <c r="BP19" i="3"/>
  <c r="AZ82" i="9"/>
  <c r="DR33" i="4"/>
  <c r="DR1057" i="4"/>
  <c r="DR1062" i="4" s="1"/>
  <c r="DR56" i="4"/>
  <c r="DQ1063" i="4"/>
  <c r="DR1063" i="4" s="1"/>
  <c r="DP59" i="4"/>
  <c r="DP36" i="4"/>
  <c r="DR81" i="4"/>
  <c r="DR90" i="4"/>
  <c r="DR111" i="4"/>
  <c r="DR94" i="4"/>
  <c r="DQ58" i="4"/>
  <c r="DQ884" i="4"/>
  <c r="DQ887" i="4" s="1"/>
  <c r="DQ883" i="4" s="1"/>
  <c r="DQ1055" i="4"/>
  <c r="DQ1056" i="4" s="1"/>
  <c r="DQ92" i="4"/>
  <c r="DQ95" i="4"/>
  <c r="DQ112" i="4"/>
  <c r="DQ114" i="4"/>
  <c r="DQ115" i="4" s="1"/>
  <c r="DN953" i="4"/>
  <c r="DR5" i="12"/>
  <c r="DS2" i="12"/>
  <c r="DP960" i="4" l="1"/>
  <c r="DR960" i="4" s="1"/>
  <c r="BQ41" i="3"/>
  <c r="BQ37" i="3"/>
  <c r="BQ70" i="3" s="1"/>
  <c r="AZ141" i="9"/>
  <c r="AM105" i="12"/>
  <c r="AM121" i="12" s="1"/>
  <c r="AM111" i="12"/>
  <c r="M73" i="12"/>
  <c r="N73" i="12"/>
  <c r="DM1080" i="4"/>
  <c r="DM1083" i="4" s="1"/>
  <c r="DP996" i="4" s="1"/>
  <c r="AM57" i="12"/>
  <c r="DN1065" i="4"/>
  <c r="DN1041" i="4"/>
  <c r="EB16" i="3" s="1"/>
  <c r="DN1045" i="4"/>
  <c r="DN1051" i="4"/>
  <c r="DN1076" i="4"/>
  <c r="DM1082" i="4"/>
  <c r="DP953" i="4" s="1"/>
  <c r="ED50" i="3" s="1"/>
  <c r="DN1078" i="4"/>
  <c r="DN1042" i="4" s="1"/>
  <c r="BD21" i="9"/>
  <c r="BR36" i="3"/>
  <c r="BQ39" i="3"/>
  <c r="BP21" i="3"/>
  <c r="BP66" i="3" s="1"/>
  <c r="AN53" i="12"/>
  <c r="BD30" i="9"/>
  <c r="BR18" i="3"/>
  <c r="EB50" i="3"/>
  <c r="DQ97" i="4"/>
  <c r="DQ96" i="4"/>
  <c r="DR1064" i="4"/>
  <c r="DR884" i="4"/>
  <c r="DR887" i="4" s="1"/>
  <c r="DR58" i="4"/>
  <c r="DR112" i="4"/>
  <c r="DR114" i="4"/>
  <c r="DR115" i="4" s="1"/>
  <c r="DR1055" i="4"/>
  <c r="DR1056" i="4" s="1"/>
  <c r="DR92" i="4"/>
  <c r="DR95" i="4"/>
  <c r="DQ885" i="4"/>
  <c r="DQ34" i="4"/>
  <c r="DR883" i="4"/>
  <c r="DP1038" i="4"/>
  <c r="DP102" i="4"/>
  <c r="DP42" i="4"/>
  <c r="DP60" i="4"/>
  <c r="DP38" i="4"/>
  <c r="DQ1064" i="4"/>
  <c r="DT2" i="12"/>
  <c r="DS5" i="12"/>
  <c r="DP44" i="4" l="1"/>
  <c r="DP995" i="4"/>
  <c r="DN1077" i="4"/>
  <c r="DM1052" i="4"/>
  <c r="DN1052" i="4"/>
  <c r="DM1042" i="4"/>
  <c r="BR37" i="3"/>
  <c r="BR41" i="3"/>
  <c r="BR69" i="3"/>
  <c r="BD22" i="9"/>
  <c r="BD23" i="9"/>
  <c r="BP23" i="3"/>
  <c r="BP67" i="3" s="1"/>
  <c r="BQ19" i="3"/>
  <c r="BP40" i="3"/>
  <c r="BP71" i="3" s="1"/>
  <c r="EE34" i="3"/>
  <c r="DR97" i="4"/>
  <c r="DR96" i="4"/>
  <c r="DP1123" i="4"/>
  <c r="DP1125" i="4" s="1"/>
  <c r="DP40" i="4"/>
  <c r="DR888" i="4"/>
  <c r="DR885" i="4"/>
  <c r="DQ59" i="4"/>
  <c r="DQ36" i="4"/>
  <c r="DR34" i="4"/>
  <c r="DP101" i="4"/>
  <c r="DP1044" i="4"/>
  <c r="DP1036" i="4"/>
  <c r="DP1035" i="4"/>
  <c r="DU2" i="12"/>
  <c r="DT5" i="12"/>
  <c r="DP1122" i="4" l="1"/>
  <c r="DP1402" i="4"/>
  <c r="BD67" i="9"/>
  <c r="BD68" i="9" s="1"/>
  <c r="BD123" i="9"/>
  <c r="BD124" i="9" s="1"/>
  <c r="DP1037" i="4"/>
  <c r="BR39" i="3"/>
  <c r="BR70" i="3"/>
  <c r="DP1032" i="4"/>
  <c r="EF34" i="3"/>
  <c r="BQ21" i="3"/>
  <c r="BQ66" i="3" s="1"/>
  <c r="BP25" i="3"/>
  <c r="BR19" i="3"/>
  <c r="BD31" i="9"/>
  <c r="BD32" i="9" s="1"/>
  <c r="AN54" i="12"/>
  <c r="AN77" i="12" s="1"/>
  <c r="DP889" i="4"/>
  <c r="DP1130" i="4"/>
  <c r="DP1132" i="4" s="1"/>
  <c r="DP964" i="4"/>
  <c r="DP965" i="4" s="1"/>
  <c r="DP970" i="4" s="1"/>
  <c r="DQ1038" i="4"/>
  <c r="DQ42" i="4"/>
  <c r="DQ60" i="4"/>
  <c r="DQ38" i="4"/>
  <c r="DQ102" i="4"/>
  <c r="DR59" i="4"/>
  <c r="DR36" i="4"/>
  <c r="DU5" i="12"/>
  <c r="DV2" i="12"/>
  <c r="DQ44" i="4" l="1"/>
  <c r="DP1076" i="4"/>
  <c r="DP1078" i="4" s="1"/>
  <c r="DP1080" i="4" s="1"/>
  <c r="DP1045" i="4"/>
  <c r="DQ968" i="4"/>
  <c r="DR968" i="4" s="1"/>
  <c r="DP1050" i="4"/>
  <c r="DP1065" i="4"/>
  <c r="DP1041" i="4"/>
  <c r="ED16" i="3" s="1"/>
  <c r="DP1051" i="4"/>
  <c r="BD154" i="9"/>
  <c r="BD126" i="9"/>
  <c r="BD125" i="9"/>
  <c r="BD95" i="9"/>
  <c r="BD70" i="9"/>
  <c r="BD69" i="9"/>
  <c r="BD34" i="9"/>
  <c r="BR21" i="3"/>
  <c r="BR66" i="3" s="1"/>
  <c r="AN56" i="12"/>
  <c r="C42" i="12" s="1"/>
  <c r="BQ23" i="3"/>
  <c r="BQ67" i="3" s="1"/>
  <c r="BD76" i="9"/>
  <c r="BD134" i="9"/>
  <c r="BQ40" i="3"/>
  <c r="BQ71" i="3" s="1"/>
  <c r="DQ1036" i="4"/>
  <c r="DQ1035" i="4"/>
  <c r="DQ1044" i="4"/>
  <c r="DQ101" i="4"/>
  <c r="DQ960" i="4"/>
  <c r="DP943" i="4"/>
  <c r="DR1038" i="4"/>
  <c r="DR1044" i="4" s="1"/>
  <c r="DR38" i="4"/>
  <c r="DS36" i="4"/>
  <c r="DR102" i="4"/>
  <c r="DR42" i="4"/>
  <c r="DR60" i="4"/>
  <c r="DQ1123" i="4"/>
  <c r="DQ1125" i="4" s="1"/>
  <c r="DQ40" i="4"/>
  <c r="DV5" i="12"/>
  <c r="DW2" i="12"/>
  <c r="DQ1402" i="4" l="1"/>
  <c r="DQ1122" i="4"/>
  <c r="DR44" i="4"/>
  <c r="DP1082" i="4"/>
  <c r="DQ953" i="4" s="1"/>
  <c r="DQ952" i="4"/>
  <c r="DR952" i="4" s="1"/>
  <c r="BD74" i="9"/>
  <c r="BD75" i="9" s="1"/>
  <c r="BD78" i="9" s="1"/>
  <c r="BD96" i="9"/>
  <c r="BD131" i="9"/>
  <c r="BD133" i="9" s="1"/>
  <c r="BD136" i="9" s="1"/>
  <c r="BD155" i="9"/>
  <c r="BQ25" i="3"/>
  <c r="BR40" i="3"/>
  <c r="BR71" i="3" s="1"/>
  <c r="BD37" i="9"/>
  <c r="BR23" i="3"/>
  <c r="BR67" i="3" s="1"/>
  <c r="AN82" i="12"/>
  <c r="BD137" i="9"/>
  <c r="BD83" i="9"/>
  <c r="BD85" i="9" s="1"/>
  <c r="BD38" i="9"/>
  <c r="BD35" i="9"/>
  <c r="DR1036" i="4"/>
  <c r="DR1040" i="4" s="1"/>
  <c r="DQ1032" i="4"/>
  <c r="DR1032" i="4" s="1"/>
  <c r="DQ889" i="4"/>
  <c r="DP1083" i="4"/>
  <c r="DQ996" i="4" s="1"/>
  <c r="DR996" i="4" s="1"/>
  <c r="DQ995" i="4"/>
  <c r="DR995" i="4" s="1"/>
  <c r="DQ1037" i="4"/>
  <c r="DR1035" i="4"/>
  <c r="DR1123" i="4"/>
  <c r="DR1125" i="4" s="1"/>
  <c r="DR40" i="4"/>
  <c r="DQ1130" i="4"/>
  <c r="DQ1132" i="4" s="1"/>
  <c r="DQ964" i="4"/>
  <c r="DR964" i="4" s="1"/>
  <c r="DR965" i="4" s="1"/>
  <c r="DR970" i="4" s="1"/>
  <c r="DR101" i="4"/>
  <c r="DX2" i="12"/>
  <c r="DW5" i="12"/>
  <c r="DP1042" i="4" l="1"/>
  <c r="DP1052" i="4"/>
  <c r="DR1122" i="4"/>
  <c r="DR1402" i="4"/>
  <c r="EE50" i="3"/>
  <c r="BD41" i="9"/>
  <c r="BD39" i="9"/>
  <c r="AN83" i="12"/>
  <c r="AN93" i="12" s="1"/>
  <c r="BD140" i="9"/>
  <c r="BD158" i="9"/>
  <c r="BD138" i="9"/>
  <c r="AN92" i="12"/>
  <c r="S92" i="12" s="1"/>
  <c r="AN134" i="12"/>
  <c r="BD99" i="9"/>
  <c r="BD81" i="9"/>
  <c r="BD82" i="9" s="1"/>
  <c r="BD79" i="9"/>
  <c r="BR25" i="3"/>
  <c r="AN81" i="12"/>
  <c r="AN58" i="12"/>
  <c r="AN111" i="12" s="1"/>
  <c r="DR953" i="4"/>
  <c r="EF50" i="3" s="1"/>
  <c r="DR1130" i="4"/>
  <c r="DR1132" i="4" s="1"/>
  <c r="DQ965" i="4"/>
  <c r="DQ970" i="4" s="1"/>
  <c r="DQ943" i="4" s="1"/>
  <c r="DQ1050" i="4"/>
  <c r="DR1050" i="4" s="1"/>
  <c r="DQ1041" i="4"/>
  <c r="DQ1045" i="4"/>
  <c r="DQ1076" i="4"/>
  <c r="DQ1078" i="4" s="1"/>
  <c r="DQ1065" i="4"/>
  <c r="DQ1051" i="4"/>
  <c r="DR889" i="4"/>
  <c r="DR1039" i="4"/>
  <c r="DR1037" i="4"/>
  <c r="DY2" i="12"/>
  <c r="DX5" i="12"/>
  <c r="AN146" i="12" l="1"/>
  <c r="AN148" i="12" s="1"/>
  <c r="AN149" i="12" s="1"/>
  <c r="AN135" i="12"/>
  <c r="EE16" i="3"/>
  <c r="AN105" i="12"/>
  <c r="AN121" i="12" s="1"/>
  <c r="AN57" i="12"/>
  <c r="BD143" i="9"/>
  <c r="BD141" i="9"/>
  <c r="DQ1082" i="4"/>
  <c r="DQ1042" i="4" s="1"/>
  <c r="DQ1080" i="4"/>
  <c r="DQ1083" i="4" s="1"/>
  <c r="DR1078" i="4"/>
  <c r="DR1052" i="4" s="1"/>
  <c r="DR1041" i="4"/>
  <c r="DR1065" i="4"/>
  <c r="DR1076" i="4"/>
  <c r="DR1051" i="4"/>
  <c r="DR1045" i="4"/>
  <c r="DR943" i="4"/>
  <c r="DY5" i="12"/>
  <c r="DZ2" i="12"/>
  <c r="EF16" i="3" l="1"/>
  <c r="DQ1052" i="4"/>
  <c r="DR1077" i="4"/>
  <c r="DR1042" i="4"/>
  <c r="DZ5" i="12"/>
  <c r="EA2" i="12"/>
  <c r="EB2" i="12" l="1"/>
  <c r="EA5" i="12"/>
  <c r="EC2" i="12" l="1"/>
  <c r="EB5" i="12"/>
  <c r="EC5" i="12" l="1"/>
  <c r="ED2" i="12"/>
  <c r="ED5" i="12" l="1"/>
  <c r="EE2" i="12"/>
  <c r="EF2" i="12" l="1"/>
  <c r="EE5" i="12"/>
  <c r="EG2" i="12" l="1"/>
  <c r="EF5" i="12"/>
  <c r="EG5" i="12" l="1"/>
  <c r="EH2" i="12"/>
  <c r="EH5" i="12" l="1"/>
  <c r="EI2" i="12"/>
  <c r="EJ2" i="12" l="1"/>
  <c r="EI5" i="12"/>
  <c r="EK2" i="12" l="1"/>
  <c r="EJ5" i="12"/>
  <c r="EK5" i="12" l="1"/>
  <c r="EL2" i="12"/>
  <c r="EL5" i="12" l="1"/>
  <c r="EM2" i="12"/>
  <c r="EN2" i="12" l="1"/>
  <c r="EM5" i="12"/>
  <c r="EO2" i="12" l="1"/>
  <c r="EN5" i="12"/>
  <c r="EO5" i="12" l="1"/>
  <c r="EP2" i="12"/>
  <c r="EP5" i="12" l="1"/>
  <c r="EQ2" i="12"/>
  <c r="ER2" i="12" l="1"/>
  <c r="ER5" i="12" s="1"/>
  <c r="EQ5" i="12"/>
  <c r="DE1104" i="4" l="1"/>
  <c r="DR24" i="3" l="1"/>
  <c r="DR25" i="3"/>
  <c r="DR26" i="3"/>
  <c r="DR27" i="3"/>
  <c r="BD43" i="3"/>
  <c r="BD51" i="3"/>
  <c r="BD52" i="3"/>
  <c r="DR55" i="3"/>
  <c r="DR56" i="3"/>
  <c r="DR66" i="3"/>
  <c r="DR67" i="3"/>
  <c r="DR70" i="3"/>
  <c r="DR71" i="3"/>
  <c r="DR74" i="3"/>
  <c r="DR30" i="3" l="1"/>
  <c r="DR75" i="3"/>
  <c r="AP47" i="9" l="1"/>
  <c r="DR29" i="3"/>
  <c r="DR28" i="3" l="1"/>
  <c r="DD269" i="4"/>
  <c r="DD271" i="4" s="1"/>
  <c r="DD272" i="4" l="1"/>
  <c r="DR72" i="3"/>
  <c r="DR79" i="3"/>
  <c r="DR38" i="3"/>
  <c r="DR41" i="3"/>
  <c r="DD270" i="4" l="1"/>
  <c r="DR39" i="3"/>
  <c r="DD273" i="4" l="1"/>
  <c r="DR73" i="3" s="1"/>
  <c r="DT18" i="3" l="1"/>
  <c r="AK84" i="12" l="1"/>
  <c r="AK94" i="12" s="1"/>
  <c r="DT51" i="3"/>
  <c r="DJ993" i="4"/>
  <c r="DS18" i="3"/>
  <c r="DE506" i="4" l="1"/>
  <c r="DE507" i="4" s="1"/>
  <c r="BE47" i="3"/>
  <c r="BE77" i="3" s="1"/>
  <c r="DJ950" i="4"/>
  <c r="AK87" i="12"/>
  <c r="DS19" i="3"/>
  <c r="AK107" i="12" l="1"/>
  <c r="AK108" i="12" s="1"/>
  <c r="AK109" i="12" s="1"/>
  <c r="AK90" i="12"/>
  <c r="AK113" i="12" s="1"/>
  <c r="AK114" i="12" s="1"/>
  <c r="AK115" i="12" s="1"/>
  <c r="DE468" i="4"/>
  <c r="DE470" i="4" s="1"/>
  <c r="DE399" i="4"/>
  <c r="AL80" i="12"/>
  <c r="AL96" i="12" s="1"/>
  <c r="BF47" i="3"/>
  <c r="BF77" i="3" s="1"/>
  <c r="DS14" i="3"/>
  <c r="DS17" i="3" s="1"/>
  <c r="AR42" i="9"/>
  <c r="DT19" i="3"/>
  <c r="AK41" i="12"/>
  <c r="AR86" i="9" l="1"/>
  <c r="AV86" i="9" s="1"/>
  <c r="AR144" i="9"/>
  <c r="AR44" i="9"/>
  <c r="AR43" i="9"/>
  <c r="AR145" i="9" s="1"/>
  <c r="DF468" i="4"/>
  <c r="DF470" i="4" s="1"/>
  <c r="DF399" i="4"/>
  <c r="DE471" i="4"/>
  <c r="DE481" i="4"/>
  <c r="DE480" i="4"/>
  <c r="AL68" i="12"/>
  <c r="AR161" i="9"/>
  <c r="BE33" i="3"/>
  <c r="DT14" i="3"/>
  <c r="DT17" i="3" s="1"/>
  <c r="DD1068" i="4"/>
  <c r="AR46" i="9"/>
  <c r="DS9" i="3"/>
  <c r="AK88" i="12"/>
  <c r="BE30" i="3"/>
  <c r="BE32" i="3"/>
  <c r="BF32" i="3"/>
  <c r="BE29" i="3"/>
  <c r="BE54" i="3" s="1"/>
  <c r="BE31" i="3"/>
  <c r="BE56" i="3" s="1"/>
  <c r="AR146" i="9" l="1"/>
  <c r="AR159" i="9" s="1"/>
  <c r="AR87" i="9"/>
  <c r="AR100" i="9" s="1"/>
  <c r="AZ86" i="9"/>
  <c r="AV87" i="9"/>
  <c r="DF471" i="4"/>
  <c r="DF481" i="4"/>
  <c r="DF480" i="4"/>
  <c r="BE57" i="3"/>
  <c r="BF33" i="3"/>
  <c r="DT11" i="3"/>
  <c r="DT13" i="3" s="1"/>
  <c r="AR45" i="9"/>
  <c r="BF30" i="3"/>
  <c r="DT8" i="3"/>
  <c r="DT15" i="3"/>
  <c r="DT9" i="3"/>
  <c r="DS7" i="3"/>
  <c r="BF29" i="3"/>
  <c r="BF54" i="3" s="1"/>
  <c r="BF31" i="3"/>
  <c r="DS11" i="3"/>
  <c r="DS13" i="3" s="1"/>
  <c r="BE55" i="3"/>
  <c r="AR148" i="9" l="1"/>
  <c r="AR89" i="9"/>
  <c r="AV88" i="9"/>
  <c r="BD86" i="9"/>
  <c r="BD87" i="9" s="1"/>
  <c r="AZ87" i="9"/>
  <c r="AR88" i="9"/>
  <c r="AR147" i="9"/>
  <c r="BF57" i="3"/>
  <c r="BF56" i="3"/>
  <c r="DT7" i="3"/>
  <c r="DT10" i="3"/>
  <c r="BF55" i="3"/>
  <c r="DT12" i="3" l="1"/>
  <c r="AZ88" i="9"/>
  <c r="BD88" i="9"/>
  <c r="DS10" i="3"/>
  <c r="DS12" i="3" s="1"/>
  <c r="DD1072" i="4" l="1"/>
  <c r="DD1073" i="4"/>
  <c r="DD1166" i="4" s="1"/>
  <c r="DD1168" i="4" s="1"/>
  <c r="DR43" i="3"/>
  <c r="DR45" i="3"/>
  <c r="DR46" i="3"/>
  <c r="DR48" i="3"/>
  <c r="DI298" i="4"/>
  <c r="DJ298" i="4" l="1"/>
  <c r="DL298" i="4"/>
  <c r="DK298" i="4" l="1"/>
  <c r="DM298" i="4"/>
  <c r="DP298" i="4" s="1"/>
  <c r="DQ298" i="4" l="1"/>
  <c r="DN298" i="4"/>
  <c r="DR298" i="4" l="1"/>
  <c r="DO298" i="4"/>
  <c r="DS298" i="4" l="1"/>
  <c r="DD304" i="4" l="1"/>
  <c r="DD310" i="4"/>
  <c r="DD361" i="4"/>
  <c r="DD366" i="4" l="1"/>
  <c r="DE375" i="4" s="1"/>
  <c r="DE372" i="4"/>
  <c r="DD478" i="4"/>
  <c r="DD477" i="4"/>
  <c r="DD375" i="4"/>
  <c r="DD372" i="4"/>
  <c r="DI294" i="4"/>
  <c r="DI296" i="4" s="1"/>
  <c r="DI306" i="4" s="1"/>
  <c r="BD48" i="3" l="1"/>
  <c r="BD78" i="3" s="1"/>
  <c r="DJ294" i="4"/>
  <c r="DK294" i="4" s="1"/>
  <c r="DL294" i="4"/>
  <c r="DL296" i="4" s="1"/>
  <c r="DL306" i="4" s="1"/>
  <c r="DM294" i="4" l="1"/>
  <c r="DM296" i="4" l="1"/>
  <c r="DM306" i="4" s="1"/>
  <c r="DP294" i="4"/>
  <c r="DN294" i="4"/>
  <c r="DO294" i="4" s="1"/>
  <c r="DP296" i="4" l="1"/>
  <c r="DQ294" i="4"/>
  <c r="DR294" i="4" l="1"/>
  <c r="DQ296" i="4"/>
  <c r="DP306" i="4"/>
  <c r="DP299" i="4"/>
  <c r="DP310" i="4" l="1"/>
  <c r="DQ306" i="4"/>
  <c r="DR296" i="4"/>
  <c r="DQ299" i="4"/>
  <c r="DS294" i="4"/>
  <c r="DQ309" i="4" l="1"/>
  <c r="DR299" i="4"/>
  <c r="DQ310" i="4"/>
  <c r="DI299" i="4"/>
  <c r="DJ296" i="4"/>
  <c r="DK296" i="4" s="1"/>
  <c r="DR310" i="4" l="1"/>
  <c r="DL299" i="4"/>
  <c r="DI310" i="4"/>
  <c r="DJ299" i="4"/>
  <c r="DI309" i="4"/>
  <c r="DJ310" i="4" l="1"/>
  <c r="DK299" i="4"/>
  <c r="DM299" i="4"/>
  <c r="DN296" i="4"/>
  <c r="DL309" i="4"/>
  <c r="DL310" i="4"/>
  <c r="DO296" i="4" l="1"/>
  <c r="DS296" i="4"/>
  <c r="DN299" i="4"/>
  <c r="DS299" i="4" s="1"/>
  <c r="DP309" i="4"/>
  <c r="DM310" i="4"/>
  <c r="DM309" i="4"/>
  <c r="DN310" i="4" l="1"/>
  <c r="DO299" i="4"/>
  <c r="DI954" i="4" l="1"/>
  <c r="DI997" i="4"/>
  <c r="DJ997" i="4" s="1"/>
  <c r="DI1104" i="4" l="1"/>
  <c r="DL997" i="4" s="1"/>
  <c r="DJ954" i="4"/>
  <c r="AL85" i="12" l="1"/>
  <c r="AL95" i="12" s="1"/>
  <c r="DL1104" i="4" l="1"/>
  <c r="DM997" i="4" s="1"/>
  <c r="DN997" i="4" s="1"/>
  <c r="AM85" i="12" l="1"/>
  <c r="DJ248" i="4" l="1"/>
  <c r="DT75" i="3"/>
  <c r="DJ858" i="4"/>
  <c r="DS27" i="3"/>
  <c r="DT27" i="3"/>
  <c r="DT24" i="3"/>
  <c r="BE43" i="3"/>
  <c r="BF43" i="3"/>
  <c r="DT49" i="3" s="1"/>
  <c r="BE48" i="3"/>
  <c r="BE78" i="3" s="1"/>
  <c r="BF48" i="3"/>
  <c r="BF78" i="3" s="1"/>
  <c r="BE51" i="3"/>
  <c r="BF51" i="3"/>
  <c r="BE52" i="3"/>
  <c r="BF52" i="3"/>
  <c r="DS55" i="3"/>
  <c r="DT55" i="3"/>
  <c r="DS56" i="3"/>
  <c r="DT56" i="3"/>
  <c r="DS57" i="3"/>
  <c r="DT57" i="3"/>
  <c r="DS66" i="3"/>
  <c r="DT66" i="3"/>
  <c r="DS67" i="3"/>
  <c r="DT67" i="3"/>
  <c r="DS70" i="3"/>
  <c r="DT70" i="3"/>
  <c r="DS71" i="3"/>
  <c r="DT71" i="3"/>
  <c r="DS74" i="3"/>
  <c r="AK15" i="12"/>
  <c r="AK13" i="12" s="1"/>
  <c r="AK44" i="12"/>
  <c r="AK66" i="12" s="1"/>
  <c r="L66" i="12" s="1"/>
  <c r="AK45" i="12"/>
  <c r="AK67" i="12" s="1"/>
  <c r="L67" i="12" s="1"/>
  <c r="AK16" i="12" l="1"/>
  <c r="AK60" i="12"/>
  <c r="L60" i="12" s="1"/>
  <c r="AK61" i="12"/>
  <c r="AK62" i="12"/>
  <c r="AK65" i="12"/>
  <c r="DT26" i="3"/>
  <c r="DT74" i="3"/>
  <c r="DS24" i="3"/>
  <c r="AK64" i="12"/>
  <c r="AK14" i="12"/>
  <c r="AK28" i="12"/>
  <c r="AK63" i="12"/>
  <c r="DT25" i="3"/>
  <c r="DS75" i="3"/>
  <c r="L62" i="12" l="1"/>
  <c r="DS25" i="3"/>
  <c r="DS26" i="3"/>
  <c r="DE269" i="4"/>
  <c r="AQ47" i="9"/>
  <c r="DS29" i="3"/>
  <c r="DT29" i="3" l="1"/>
  <c r="AR47" i="9"/>
  <c r="DS41" i="3"/>
  <c r="DS79" i="3"/>
  <c r="DS38" i="3"/>
  <c r="AK34" i="12"/>
  <c r="DF269" i="4"/>
  <c r="DF271" i="4" s="1"/>
  <c r="DE271" i="4"/>
  <c r="DH272" i="4" s="1"/>
  <c r="DS30" i="3" l="1"/>
  <c r="DT30" i="3"/>
  <c r="DE272" i="4"/>
  <c r="DS72" i="3"/>
  <c r="AK33" i="12"/>
  <c r="AK24" i="12" s="1"/>
  <c r="AK25" i="12"/>
  <c r="DT72" i="3"/>
  <c r="DT41" i="3"/>
  <c r="DE270" i="4"/>
  <c r="DE1087" i="4"/>
  <c r="DS39" i="3"/>
  <c r="DS28" i="3"/>
  <c r="DT79" i="3"/>
  <c r="DT38" i="3"/>
  <c r="DT28" i="3" l="1"/>
  <c r="DI271" i="4"/>
  <c r="DV72" i="3"/>
  <c r="DF270" i="4"/>
  <c r="DE273" i="4"/>
  <c r="DS73" i="3" s="1"/>
  <c r="AK36" i="12"/>
  <c r="DT39" i="3"/>
  <c r="AK29" i="12" l="1"/>
  <c r="AK123" i="12"/>
  <c r="AK127" i="12" s="1"/>
  <c r="AK128" i="12" s="1"/>
  <c r="AK35" i="12"/>
  <c r="AK26" i="12" s="1"/>
  <c r="DW72" i="3"/>
  <c r="DL271" i="4"/>
  <c r="DF273" i="4"/>
  <c r="DT73" i="3" s="1"/>
  <c r="DT42" i="3"/>
  <c r="DZ72" i="3" l="1"/>
  <c r="DM271" i="4"/>
  <c r="DP271" i="4" l="1"/>
  <c r="EA72" i="3"/>
  <c r="ED72" i="3" l="1"/>
  <c r="DQ271" i="4"/>
  <c r="EE72" i="3" l="1"/>
  <c r="DE1072" i="4" l="1"/>
  <c r="DE1073" i="4"/>
  <c r="DA1166" i="4" s="1"/>
  <c r="DA1168" i="4" s="1"/>
  <c r="DE1086" i="4"/>
  <c r="DE1088" i="4"/>
  <c r="DA1164" i="4"/>
  <c r="DS43" i="3"/>
  <c r="DT43" i="3"/>
  <c r="DS45" i="3"/>
  <c r="DT45" i="3"/>
  <c r="DS46" i="3"/>
  <c r="DT46" i="3"/>
  <c r="DT47" i="3"/>
  <c r="DS48" i="3"/>
  <c r="DT48" i="3"/>
  <c r="AK39" i="12"/>
  <c r="AK40" i="12" s="1"/>
  <c r="AK42" i="12" l="1"/>
  <c r="AK38" i="12"/>
  <c r="L38" i="12" s="1"/>
  <c r="AK98" i="12" l="1"/>
  <c r="AK100" i="12" s="1"/>
  <c r="AK101" i="12" s="1"/>
  <c r="AK102" i="12" s="1"/>
  <c r="C8" i="12" l="1"/>
  <c r="H11" i="12" l="1"/>
  <c r="H23" i="12"/>
  <c r="DI993" i="4"/>
  <c r="DV18" i="3"/>
  <c r="DI950" i="4"/>
  <c r="DI1109" i="4" l="1"/>
  <c r="DI956" i="4" s="1"/>
  <c r="DJ956" i="4" s="1"/>
  <c r="DV14" i="3" l="1"/>
  <c r="DV17" i="3" s="1"/>
  <c r="BH47" i="3"/>
  <c r="BH77" i="3" s="1"/>
  <c r="DV19" i="3"/>
  <c r="BH33" i="3" l="1"/>
  <c r="BH57" i="3" s="1"/>
  <c r="BH29" i="3" l="1"/>
  <c r="BH54" i="3" s="1"/>
  <c r="BH31" i="3"/>
  <c r="BH56" i="3" s="1"/>
  <c r="BH30" i="3"/>
  <c r="BH55" i="3" s="1"/>
  <c r="DV9" i="3"/>
  <c r="BH32" i="3"/>
  <c r="DV7" i="3" l="1"/>
  <c r="G17" i="12"/>
  <c r="H17" i="12" s="1"/>
  <c r="C9" i="12" l="1"/>
  <c r="DV11" i="3"/>
  <c r="DV13" i="3" s="1"/>
  <c r="G5" i="12" l="1"/>
  <c r="H5" i="12" s="1"/>
  <c r="J5" i="12" s="1"/>
  <c r="DV10" i="3"/>
  <c r="DV12" i="3" s="1"/>
  <c r="DE1160" i="4"/>
  <c r="DF1160" i="4" l="1"/>
  <c r="DE1161" i="4"/>
  <c r="DF1161" i="4" l="1"/>
  <c r="BH48" i="3" l="1"/>
  <c r="BH78" i="3" s="1"/>
  <c r="DV57" i="3" l="1"/>
  <c r="DI328" i="4"/>
  <c r="DI330" i="4" l="1"/>
  <c r="DI313" i="4"/>
  <c r="DJ328" i="4"/>
  <c r="DK328" i="4" s="1"/>
  <c r="DJ313" i="4" l="1"/>
  <c r="DI321" i="4"/>
  <c r="DI361" i="4"/>
  <c r="DI337" i="4"/>
  <c r="DJ330" i="4"/>
  <c r="DK330" i="4" s="1"/>
  <c r="DI333" i="4"/>
  <c r="DI315" i="4"/>
  <c r="DJ315" i="4" l="1"/>
  <c r="DI318" i="4"/>
  <c r="DI322" i="4"/>
  <c r="DI363" i="4"/>
  <c r="DJ363" i="4" s="1"/>
  <c r="DJ333" i="4"/>
  <c r="DK333" i="4" s="1"/>
  <c r="DI340" i="4"/>
  <c r="DI341" i="4"/>
  <c r="DI372" i="4"/>
  <c r="DJ361" i="4"/>
  <c r="DJ318" i="4" l="1"/>
  <c r="DI324" i="4"/>
  <c r="DI367" i="4"/>
  <c r="DJ367" i="4" l="1"/>
  <c r="DI366" i="4"/>
  <c r="DI376" i="4"/>
  <c r="DI389" i="4"/>
  <c r="DI369" i="4"/>
  <c r="DI476" i="4"/>
  <c r="DI368" i="4"/>
  <c r="DI477" i="4"/>
  <c r="DI478" i="4"/>
  <c r="DJ389" i="4" l="1"/>
  <c r="DI408" i="4"/>
  <c r="DI409" i="4"/>
  <c r="DI444" i="4"/>
  <c r="DI465" i="4"/>
  <c r="DJ366" i="4"/>
  <c r="DI375" i="4"/>
  <c r="DJ476" i="4"/>
  <c r="DJ477" i="4"/>
  <c r="DJ478" i="4"/>
  <c r="DJ368" i="4"/>
  <c r="DJ369" i="4"/>
  <c r="BI48" i="3"/>
  <c r="BI78" i="3" s="1"/>
  <c r="DI461" i="4" l="1"/>
  <c r="DI897" i="4"/>
  <c r="DI899" i="4"/>
  <c r="DI896" i="4"/>
  <c r="BJ48" i="3"/>
  <c r="BJ78" i="3" s="1"/>
  <c r="DJ408" i="4"/>
  <c r="DJ409" i="4"/>
  <c r="DJ444" i="4"/>
  <c r="DJ465" i="4"/>
  <c r="DJ461" i="4" l="1"/>
  <c r="DI482" i="4"/>
  <c r="DI462" i="4"/>
  <c r="DW57" i="3" l="1"/>
  <c r="DJ482" i="4"/>
  <c r="DJ462" i="4"/>
  <c r="DX57" i="3" l="1"/>
  <c r="DL328" i="4"/>
  <c r="DL330" i="4" l="1"/>
  <c r="DL313" i="4"/>
  <c r="DL361" i="4" l="1"/>
  <c r="DL321" i="4"/>
  <c r="DL315" i="4"/>
  <c r="DL337" i="4"/>
  <c r="DL333" i="4"/>
  <c r="DL340" i="4" l="1"/>
  <c r="DL341" i="4"/>
  <c r="DL322" i="4"/>
  <c r="DL363" i="4"/>
  <c r="DL318" i="4"/>
  <c r="DL372" i="4"/>
  <c r="DL367" i="4" l="1"/>
  <c r="DL324" i="4"/>
  <c r="DL369" i="4" l="1"/>
  <c r="DL366" i="4"/>
  <c r="DL368" i="4"/>
  <c r="DL478" i="4"/>
  <c r="DL477" i="4"/>
  <c r="DL476" i="4"/>
  <c r="DL389" i="4"/>
  <c r="DL376" i="4"/>
  <c r="DL375" i="4" l="1"/>
  <c r="DL444" i="4"/>
  <c r="DL408" i="4"/>
  <c r="DL465" i="4"/>
  <c r="DL409" i="4"/>
  <c r="BL48" i="3"/>
  <c r="BL78" i="3" s="1"/>
  <c r="DL897" i="4" l="1"/>
  <c r="DL896" i="4"/>
  <c r="DL899" i="4"/>
  <c r="DL461" i="4"/>
  <c r="DM328" i="4"/>
  <c r="DM313" i="4" s="1"/>
  <c r="DN328" i="4" l="1"/>
  <c r="DO328" i="4" s="1"/>
  <c r="DL462" i="4"/>
  <c r="DL482" i="4"/>
  <c r="DM330" i="4"/>
  <c r="DM321" i="4"/>
  <c r="DM361" i="4"/>
  <c r="DN313" i="4"/>
  <c r="DN330" i="4" l="1"/>
  <c r="DO330" i="4" s="1"/>
  <c r="DM333" i="4"/>
  <c r="DM337" i="4"/>
  <c r="DZ57" i="3"/>
  <c r="DM315" i="4"/>
  <c r="DM363" i="4" s="1"/>
  <c r="DN363" i="4" s="1"/>
  <c r="DN361" i="4"/>
  <c r="DM372" i="4"/>
  <c r="DM322" i="4" l="1"/>
  <c r="DM318" i="4"/>
  <c r="DN318" i="4" s="1"/>
  <c r="DN315" i="4"/>
  <c r="DN333" i="4"/>
  <c r="DO333" i="4" s="1"/>
  <c r="DM340" i="4"/>
  <c r="DM341" i="4"/>
  <c r="DM367" i="4"/>
  <c r="DM324" i="4" l="1"/>
  <c r="DN367" i="4"/>
  <c r="DM476" i="4"/>
  <c r="DM369" i="4"/>
  <c r="DM366" i="4"/>
  <c r="DM389" i="4"/>
  <c r="DM376" i="4"/>
  <c r="DM368" i="4"/>
  <c r="DM478" i="4"/>
  <c r="DM477" i="4"/>
  <c r="DN476" i="4" l="1"/>
  <c r="DN477" i="4"/>
  <c r="DN478" i="4"/>
  <c r="DM409" i="4"/>
  <c r="DN389" i="4"/>
  <c r="DM465" i="4"/>
  <c r="DM408" i="4"/>
  <c r="DM444" i="4"/>
  <c r="DN368" i="4"/>
  <c r="DM375" i="4"/>
  <c r="DN366" i="4"/>
  <c r="DN369" i="4"/>
  <c r="BM48" i="3"/>
  <c r="BM78" i="3" s="1"/>
  <c r="BN48" i="3" l="1"/>
  <c r="BN78" i="3" s="1"/>
  <c r="DM461" i="4"/>
  <c r="DM896" i="4"/>
  <c r="DM899" i="4"/>
  <c r="DM897" i="4"/>
  <c r="DN444" i="4"/>
  <c r="DN465" i="4"/>
  <c r="DN409" i="4"/>
  <c r="DN408" i="4"/>
  <c r="DN461" i="4" l="1"/>
  <c r="DM462" i="4"/>
  <c r="DM482" i="4"/>
  <c r="EA57" i="3" l="1"/>
  <c r="DN462" i="4"/>
  <c r="DN482" i="4"/>
  <c r="EB57" i="3" l="1"/>
  <c r="DP328" i="4"/>
  <c r="DP313" i="4" s="1"/>
  <c r="DP330" i="4" l="1"/>
  <c r="DP333" i="4" s="1"/>
  <c r="DP340" i="4" s="1"/>
  <c r="DP361" i="4"/>
  <c r="DP372" i="4" s="1"/>
  <c r="DP321" i="4"/>
  <c r="DP337" i="4" l="1"/>
  <c r="DP341" i="4"/>
  <c r="DP315" i="4"/>
  <c r="DP363" i="4" s="1"/>
  <c r="DP322" i="4"/>
  <c r="DP318" i="4"/>
  <c r="DP367" i="4" l="1"/>
  <c r="DP324" i="4"/>
  <c r="DP476" i="4" l="1"/>
  <c r="DP376" i="4"/>
  <c r="DP477" i="4"/>
  <c r="DP369" i="4"/>
  <c r="DP368" i="4"/>
  <c r="DP366" i="4"/>
  <c r="DP478" i="4"/>
  <c r="DP389" i="4"/>
  <c r="DP408" i="4" l="1"/>
  <c r="DP409" i="4"/>
  <c r="DP465" i="4"/>
  <c r="DP444" i="4"/>
  <c r="DP375" i="4"/>
  <c r="BP48" i="3"/>
  <c r="BP78" i="3" s="1"/>
  <c r="DQ328" i="4"/>
  <c r="DQ313" i="4" s="1"/>
  <c r="DP461" i="4" l="1"/>
  <c r="DP896" i="4"/>
  <c r="DP897" i="4"/>
  <c r="DP899" i="4"/>
  <c r="DQ321" i="4"/>
  <c r="DR313" i="4"/>
  <c r="DQ361" i="4"/>
  <c r="DQ330" i="4"/>
  <c r="DR328" i="4"/>
  <c r="DS328" i="4" s="1"/>
  <c r="DP482" i="4" l="1"/>
  <c r="DP462" i="4"/>
  <c r="DR330" i="4"/>
  <c r="DS330" i="4" s="1"/>
  <c r="DQ333" i="4"/>
  <c r="DQ337" i="4"/>
  <c r="DQ315" i="4"/>
  <c r="DR361" i="4"/>
  <c r="DQ372" i="4"/>
  <c r="ED57" i="3" l="1"/>
  <c r="DQ318" i="4"/>
  <c r="DQ363" i="4"/>
  <c r="DR363" i="4" s="1"/>
  <c r="DQ322" i="4"/>
  <c r="DR315" i="4"/>
  <c r="DR333" i="4"/>
  <c r="DS333" i="4" s="1"/>
  <c r="DQ340" i="4"/>
  <c r="DQ341" i="4"/>
  <c r="DR318" i="4" l="1"/>
  <c r="DQ324" i="4"/>
  <c r="DQ367" i="4"/>
  <c r="DQ369" i="4" l="1"/>
  <c r="DQ389" i="4"/>
  <c r="DQ476" i="4"/>
  <c r="DQ366" i="4"/>
  <c r="DQ376" i="4"/>
  <c r="DR367" i="4"/>
  <c r="DQ368" i="4"/>
  <c r="DQ478" i="4"/>
  <c r="DQ477" i="4"/>
  <c r="DR366" i="4" l="1"/>
  <c r="DQ375" i="4"/>
  <c r="DQ408" i="4"/>
  <c r="DR389" i="4"/>
  <c r="DQ409" i="4"/>
  <c r="DQ465" i="4"/>
  <c r="DQ444" i="4"/>
  <c r="DR369" i="4"/>
  <c r="BQ48" i="3"/>
  <c r="BQ78" i="3" s="1"/>
  <c r="DR368" i="4"/>
  <c r="DR476" i="4"/>
  <c r="DR478" i="4"/>
  <c r="DR477" i="4"/>
  <c r="DR408" i="4" l="1"/>
  <c r="DR409" i="4"/>
  <c r="DR465" i="4"/>
  <c r="DR444" i="4"/>
  <c r="BR48" i="3"/>
  <c r="BR78" i="3" s="1"/>
  <c r="DQ461" i="4"/>
  <c r="DQ896" i="4"/>
  <c r="DQ897" i="4"/>
  <c r="DQ899" i="4"/>
  <c r="DR461" i="4" l="1"/>
  <c r="DQ462" i="4"/>
  <c r="DQ482" i="4"/>
  <c r="EE57" i="3" l="1"/>
  <c r="DR462" i="4"/>
  <c r="DR482" i="4"/>
  <c r="EF57" i="3" l="1"/>
  <c r="DM1104" i="4" l="1"/>
  <c r="DP997" i="4" s="1"/>
  <c r="DR997" i="4" s="1"/>
  <c r="AN85" i="12" l="1"/>
  <c r="DQ1104" i="4" l="1"/>
  <c r="AT47" i="9" l="1"/>
  <c r="DI248" i="4"/>
  <c r="DI858" i="4"/>
  <c r="DI951" i="4"/>
  <c r="DI994" i="4"/>
  <c r="DI999" i="4" s="1"/>
  <c r="DW18" i="3" s="1"/>
  <c r="DV24" i="3"/>
  <c r="DV25" i="3"/>
  <c r="DV26" i="3"/>
  <c r="DV27" i="3"/>
  <c r="DV28" i="3"/>
  <c r="DV29" i="3"/>
  <c r="DV30" i="3"/>
  <c r="DV38" i="3"/>
  <c r="DV39" i="3"/>
  <c r="DV41" i="3"/>
  <c r="BH43" i="3"/>
  <c r="DV43" i="3"/>
  <c r="DV45" i="3"/>
  <c r="DV46" i="3"/>
  <c r="DV48" i="3"/>
  <c r="BH51" i="3"/>
  <c r="BH52" i="3"/>
  <c r="DV55" i="3"/>
  <c r="DV56" i="3"/>
  <c r="DV66" i="3"/>
  <c r="DV67" i="3"/>
  <c r="DV70" i="3"/>
  <c r="DV71" i="3"/>
  <c r="DV73" i="3"/>
  <c r="DV74" i="3"/>
  <c r="DV75" i="3"/>
  <c r="DV79" i="3"/>
  <c r="DJ994" i="4" l="1"/>
  <c r="DJ999" i="4" s="1"/>
  <c r="DX18" i="3" s="1"/>
  <c r="DJ951" i="4"/>
  <c r="DI957" i="4"/>
  <c r="DL993" i="4"/>
  <c r="DI1034" i="4"/>
  <c r="DI1003" i="4"/>
  <c r="DI1000" i="4" s="1"/>
  <c r="DJ1000" i="4" s="1"/>
  <c r="DJ1001" i="4" l="1"/>
  <c r="DJ1114" i="4" s="1"/>
  <c r="DJ1034" i="4"/>
  <c r="DI1031" i="4"/>
  <c r="DI941" i="4"/>
  <c r="DL950" i="4"/>
  <c r="DI1203" i="4"/>
  <c r="DI1202" i="4" s="1"/>
  <c r="DI1182" i="4" s="1"/>
  <c r="DJ1182" i="4" s="1"/>
  <c r="DJ1202" i="4" s="1"/>
  <c r="DI1001" i="4"/>
  <c r="DI1114" i="4" s="1"/>
  <c r="DJ957" i="4"/>
  <c r="DJ1203" i="4" s="1"/>
  <c r="DX51" i="3"/>
  <c r="AL84" i="12"/>
  <c r="DN993" i="4"/>
  <c r="DJ1204" i="4" l="1"/>
  <c r="DN950" i="4"/>
  <c r="DL1109" i="4"/>
  <c r="DL956" i="4" s="1"/>
  <c r="DJ941" i="4"/>
  <c r="DI944" i="4"/>
  <c r="DI1046" i="4"/>
  <c r="DI1033" i="4"/>
  <c r="DW14" i="3"/>
  <c r="DW17" i="3" s="1"/>
  <c r="DJ1031" i="4"/>
  <c r="AL87" i="12"/>
  <c r="AL94" i="12"/>
  <c r="DI1115" i="4"/>
  <c r="DI1117" i="4" s="1"/>
  <c r="DI1049" i="4" l="1"/>
  <c r="DJ1049" i="4" s="1"/>
  <c r="BI33" i="3"/>
  <c r="BI57" i="3" s="1"/>
  <c r="DI506" i="4"/>
  <c r="DI947" i="4"/>
  <c r="DI1181" i="4"/>
  <c r="DI1185" i="4" s="1"/>
  <c r="BI47" i="3"/>
  <c r="BI77" i="3" s="1"/>
  <c r="AL90" i="12"/>
  <c r="AL113" i="12" s="1"/>
  <c r="AL114" i="12" s="1"/>
  <c r="AL115" i="12" s="1"/>
  <c r="AL107" i="12"/>
  <c r="AL108" i="12" s="1"/>
  <c r="AL109" i="12" s="1"/>
  <c r="DJ944" i="4"/>
  <c r="DH1068" i="4"/>
  <c r="DJ1046" i="4"/>
  <c r="DJ1033" i="4"/>
  <c r="DX14" i="3"/>
  <c r="DX17" i="3" s="1"/>
  <c r="DK1031" i="4"/>
  <c r="DI1068" i="4"/>
  <c r="AM80" i="12"/>
  <c r="DI1120" i="4"/>
  <c r="DI1135" i="4"/>
  <c r="DJ1117" i="4"/>
  <c r="DI1127" i="4"/>
  <c r="DW19" i="3"/>
  <c r="DI399" i="4" l="1"/>
  <c r="DI398" i="4" s="1"/>
  <c r="DI400" i="4" s="1"/>
  <c r="DI401" i="4" s="1"/>
  <c r="DI468" i="4"/>
  <c r="DI1006" i="4"/>
  <c r="DI1136" i="4"/>
  <c r="DI1143" i="4"/>
  <c r="DJ947" i="4"/>
  <c r="DJ1181" i="4"/>
  <c r="BJ47" i="3"/>
  <c r="AM95" i="12"/>
  <c r="AM96" i="12"/>
  <c r="AM68" i="12"/>
  <c r="DK1033" i="4"/>
  <c r="DJ1047" i="4"/>
  <c r="BJ33" i="3"/>
  <c r="DJ1127" i="4"/>
  <c r="DJ1137" i="4" s="1"/>
  <c r="DI1137" i="4"/>
  <c r="DJ1120" i="4"/>
  <c r="DJ1135" i="4"/>
  <c r="DX19" i="3"/>
  <c r="DI1151" i="4"/>
  <c r="DI1150" i="4"/>
  <c r="DI1141" i="4"/>
  <c r="DJ1146" i="4" l="1"/>
  <c r="BJ32" i="3" s="1"/>
  <c r="DJ1148" i="4"/>
  <c r="DJ1136" i="4"/>
  <c r="DJ1143" i="4"/>
  <c r="DI1008" i="4"/>
  <c r="DI1017" i="4"/>
  <c r="BJ57" i="3"/>
  <c r="DI1144" i="4"/>
  <c r="DI1146" i="4"/>
  <c r="BI32" i="3" s="1"/>
  <c r="DI1148" i="4"/>
  <c r="BI30" i="3"/>
  <c r="BI55" i="3" s="1"/>
  <c r="BI29" i="3"/>
  <c r="BI54" i="3" s="1"/>
  <c r="BI31" i="3"/>
  <c r="BI56" i="3" s="1"/>
  <c r="DX15" i="3"/>
  <c r="DW9" i="3"/>
  <c r="BJ77" i="3"/>
  <c r="DJ401" i="4"/>
  <c r="DJ1400" i="4" s="1"/>
  <c r="DI1400" i="4"/>
  <c r="DJ1185" i="4"/>
  <c r="AL41" i="12"/>
  <c r="DJ1006" i="4"/>
  <c r="DJ1008" i="4" s="1"/>
  <c r="DJ468" i="4"/>
  <c r="DJ399" i="4"/>
  <c r="AV42" i="9"/>
  <c r="DJ1151" i="4"/>
  <c r="DK1135" i="4"/>
  <c r="DJ1150" i="4"/>
  <c r="DJ1141" i="4"/>
  <c r="AL88" i="12" l="1"/>
  <c r="DW7" i="3"/>
  <c r="AV43" i="9"/>
  <c r="AV44" i="9"/>
  <c r="AV100" i="9" s="1"/>
  <c r="AV144" i="9"/>
  <c r="DJ1144" i="4"/>
  <c r="AV46" i="9"/>
  <c r="DK1141" i="4"/>
  <c r="AV45" i="9" s="1"/>
  <c r="BJ30" i="3"/>
  <c r="BJ55" i="3" s="1"/>
  <c r="DX8" i="3"/>
  <c r="C61" i="12"/>
  <c r="C25" i="12" s="1"/>
  <c r="BJ31" i="3"/>
  <c r="BJ29" i="3"/>
  <c r="BJ54" i="3" s="1"/>
  <c r="DX9" i="3"/>
  <c r="DJ1017" i="4"/>
  <c r="DI1020" i="4"/>
  <c r="DJ1012" i="4"/>
  <c r="DJ1010" i="4"/>
  <c r="DI1010" i="4"/>
  <c r="DI1012" i="4"/>
  <c r="AV161" i="9" l="1"/>
  <c r="AV89" i="9" s="1"/>
  <c r="DX11" i="3"/>
  <c r="DX13" i="3" s="1"/>
  <c r="C62" i="12"/>
  <c r="C26" i="12" s="1"/>
  <c r="DW11" i="3"/>
  <c r="DW13" i="3" s="1"/>
  <c r="DJ1013" i="4"/>
  <c r="DI1013" i="4"/>
  <c r="BJ56" i="3"/>
  <c r="DJ1020" i="4"/>
  <c r="DJ1021" i="4" s="1"/>
  <c r="DI1021" i="4"/>
  <c r="AV145" i="9"/>
  <c r="AV146" i="9"/>
  <c r="DK1144" i="4"/>
  <c r="DX7" i="3"/>
  <c r="AV159" i="9" l="1"/>
  <c r="AV147" i="9"/>
  <c r="AV148" i="9"/>
  <c r="DX10" i="3"/>
  <c r="DX12" i="3" s="1"/>
  <c r="DW10" i="3"/>
  <c r="DW12" i="3" s="1"/>
  <c r="O60" i="12" l="1"/>
  <c r="AP60" i="12"/>
  <c r="AQ60" i="12" s="1"/>
  <c r="AR60" i="12" s="1"/>
  <c r="AS60" i="12" s="1"/>
  <c r="AT60" i="12" s="1"/>
  <c r="AU60" i="12" s="1"/>
  <c r="K28" i="10" l="1"/>
  <c r="M28" i="10" s="1"/>
  <c r="K34" i="10"/>
  <c r="M34" i="10" s="1"/>
  <c r="K36" i="10"/>
  <c r="K37" i="10"/>
  <c r="K38" i="10"/>
  <c r="K39" i="10"/>
  <c r="K40" i="10"/>
  <c r="K41" i="10"/>
  <c r="I3" i="12"/>
  <c r="AZ42" i="9" l="1"/>
  <c r="BD42" i="9"/>
  <c r="AZ43" i="9"/>
  <c r="BD43" i="9"/>
  <c r="AZ44" i="9"/>
  <c r="BD44" i="9"/>
  <c r="AZ45" i="9"/>
  <c r="BD45" i="9"/>
  <c r="AZ46" i="9"/>
  <c r="BD46" i="9"/>
  <c r="AU47" i="9"/>
  <c r="AV47" i="9"/>
  <c r="AZ47" i="9"/>
  <c r="BD47" i="9"/>
  <c r="AZ89" i="9"/>
  <c r="BD89" i="9"/>
  <c r="AZ100" i="9"/>
  <c r="BD100" i="9"/>
  <c r="AZ144" i="9"/>
  <c r="BD144" i="9"/>
  <c r="AZ145" i="9"/>
  <c r="BD145" i="9"/>
  <c r="AZ146" i="9"/>
  <c r="BD146" i="9"/>
  <c r="AZ147" i="9"/>
  <c r="BD147" i="9"/>
  <c r="AZ148" i="9"/>
  <c r="BD148" i="9"/>
  <c r="AZ159" i="9"/>
  <c r="BD159" i="9"/>
  <c r="AZ161" i="9"/>
  <c r="BD161" i="9"/>
  <c r="DI12" i="4"/>
  <c r="DJ12" i="4"/>
  <c r="DL12" i="4"/>
  <c r="DM12" i="4"/>
  <c r="DN12" i="4"/>
  <c r="DP12" i="4"/>
  <c r="DQ12" i="4"/>
  <c r="DR12" i="4"/>
  <c r="DI13" i="4"/>
  <c r="DJ13" i="4"/>
  <c r="DL13" i="4"/>
  <c r="DM13" i="4"/>
  <c r="DN13" i="4"/>
  <c r="DP13" i="4"/>
  <c r="DQ13" i="4"/>
  <c r="DR13" i="4"/>
  <c r="DI243" i="4"/>
  <c r="DJ243" i="4"/>
  <c r="DK243" i="4"/>
  <c r="DL243" i="4"/>
  <c r="DM243" i="4"/>
  <c r="DN243" i="4"/>
  <c r="DO243" i="4"/>
  <c r="DP243" i="4"/>
  <c r="DQ243" i="4"/>
  <c r="DR243" i="4"/>
  <c r="DS243" i="4"/>
  <c r="DI244" i="4"/>
  <c r="DJ244" i="4"/>
  <c r="DL244" i="4"/>
  <c r="DM244" i="4"/>
  <c r="DN244" i="4"/>
  <c r="DP244" i="4"/>
  <c r="DQ244" i="4"/>
  <c r="DR244" i="4"/>
  <c r="DL248" i="4"/>
  <c r="DM248" i="4"/>
  <c r="DN248" i="4"/>
  <c r="DP248" i="4"/>
  <c r="DQ248" i="4"/>
  <c r="DR248" i="4"/>
  <c r="DI250" i="4"/>
  <c r="DJ250" i="4"/>
  <c r="DL250" i="4"/>
  <c r="DM250" i="4"/>
  <c r="DN250" i="4"/>
  <c r="DP250" i="4"/>
  <c r="DQ250" i="4"/>
  <c r="DR250" i="4"/>
  <c r="DI251" i="4"/>
  <c r="DJ251" i="4"/>
  <c r="DL251" i="4"/>
  <c r="DM251" i="4"/>
  <c r="DN251" i="4"/>
  <c r="DP251" i="4"/>
  <c r="DQ251" i="4"/>
  <c r="DR251" i="4"/>
  <c r="DI253" i="4"/>
  <c r="DJ253" i="4"/>
  <c r="DL253" i="4"/>
  <c r="DM253" i="4"/>
  <c r="DN253" i="4"/>
  <c r="DP253" i="4"/>
  <c r="DQ253" i="4"/>
  <c r="DR253" i="4"/>
  <c r="DI254" i="4"/>
  <c r="DJ254" i="4"/>
  <c r="DL254" i="4"/>
  <c r="DM254" i="4"/>
  <c r="DN254" i="4"/>
  <c r="DP254" i="4"/>
  <c r="DQ254" i="4"/>
  <c r="DR254" i="4"/>
  <c r="DI261" i="4"/>
  <c r="DJ261" i="4"/>
  <c r="DL261" i="4"/>
  <c r="DM261" i="4"/>
  <c r="DN261" i="4"/>
  <c r="DP261" i="4"/>
  <c r="DQ261" i="4"/>
  <c r="DR261" i="4"/>
  <c r="DI262" i="4"/>
  <c r="DJ262" i="4"/>
  <c r="DL262" i="4"/>
  <c r="DM262" i="4"/>
  <c r="DN262" i="4"/>
  <c r="DP262" i="4"/>
  <c r="DQ262" i="4"/>
  <c r="DR262" i="4"/>
  <c r="DI265" i="4"/>
  <c r="DJ265" i="4"/>
  <c r="DL265" i="4"/>
  <c r="DM265" i="4"/>
  <c r="DN265" i="4"/>
  <c r="DP265" i="4"/>
  <c r="DQ265" i="4"/>
  <c r="DR265" i="4"/>
  <c r="DI267" i="4"/>
  <c r="DJ267" i="4"/>
  <c r="DL267" i="4"/>
  <c r="DM267" i="4"/>
  <c r="DN267" i="4"/>
  <c r="DP267" i="4"/>
  <c r="DQ267" i="4"/>
  <c r="DR267" i="4"/>
  <c r="DI269" i="4"/>
  <c r="DJ269" i="4"/>
  <c r="DL269" i="4"/>
  <c r="DM269" i="4"/>
  <c r="DN269" i="4"/>
  <c r="DP269" i="4"/>
  <c r="DQ269" i="4"/>
  <c r="DR269" i="4"/>
  <c r="DI270" i="4"/>
  <c r="DJ270" i="4"/>
  <c r="DL270" i="4"/>
  <c r="DM270" i="4"/>
  <c r="DN270" i="4"/>
  <c r="DP270" i="4"/>
  <c r="DQ270" i="4"/>
  <c r="DR270" i="4"/>
  <c r="DJ271" i="4"/>
  <c r="DN271" i="4"/>
  <c r="DR271" i="4"/>
  <c r="DI273" i="4"/>
  <c r="DJ273" i="4"/>
  <c r="DL273" i="4"/>
  <c r="DM273" i="4"/>
  <c r="DN273" i="4"/>
  <c r="DP273" i="4"/>
  <c r="DQ273" i="4"/>
  <c r="DR273" i="4"/>
  <c r="DI280" i="4"/>
  <c r="DJ280" i="4"/>
  <c r="DL280" i="4"/>
  <c r="DM280" i="4"/>
  <c r="DN280" i="4"/>
  <c r="DP280" i="4"/>
  <c r="DQ280" i="4"/>
  <c r="DR280" i="4"/>
  <c r="DI281" i="4"/>
  <c r="DJ281" i="4"/>
  <c r="DL281" i="4"/>
  <c r="DM281" i="4"/>
  <c r="DN281" i="4"/>
  <c r="DP281" i="4"/>
  <c r="DQ281" i="4"/>
  <c r="DR281" i="4"/>
  <c r="DI282" i="4"/>
  <c r="DJ282" i="4"/>
  <c r="DL282" i="4"/>
  <c r="DM282" i="4"/>
  <c r="DN282" i="4"/>
  <c r="DP282" i="4"/>
  <c r="DQ282" i="4"/>
  <c r="DR282" i="4"/>
  <c r="DI287" i="4"/>
  <c r="DJ287" i="4"/>
  <c r="DL287" i="4"/>
  <c r="DM287" i="4"/>
  <c r="DN287" i="4"/>
  <c r="DP287" i="4"/>
  <c r="DQ287" i="4"/>
  <c r="DR287" i="4"/>
  <c r="DI288" i="4"/>
  <c r="DJ288" i="4"/>
  <c r="DL288" i="4"/>
  <c r="DM288" i="4"/>
  <c r="DN288" i="4"/>
  <c r="DP288" i="4"/>
  <c r="DQ288" i="4"/>
  <c r="DR288" i="4"/>
  <c r="DI381" i="4"/>
  <c r="DJ381" i="4"/>
  <c r="DL381" i="4"/>
  <c r="DM381" i="4"/>
  <c r="DN381" i="4"/>
  <c r="DP381" i="4"/>
  <c r="DQ381" i="4"/>
  <c r="DR381" i="4"/>
  <c r="DI382" i="4"/>
  <c r="DJ382" i="4"/>
  <c r="DL382" i="4"/>
  <c r="DM382" i="4"/>
  <c r="DN382" i="4"/>
  <c r="DP382" i="4"/>
  <c r="DQ382" i="4"/>
  <c r="DR382" i="4"/>
  <c r="DI387" i="4"/>
  <c r="DJ387" i="4"/>
  <c r="DL387" i="4"/>
  <c r="DM387" i="4"/>
  <c r="DN387" i="4"/>
  <c r="DP387" i="4"/>
  <c r="DQ387" i="4"/>
  <c r="DR387" i="4"/>
  <c r="DI392" i="4"/>
  <c r="DJ392" i="4"/>
  <c r="DL392" i="4"/>
  <c r="DM392" i="4"/>
  <c r="DN392" i="4"/>
  <c r="DP392" i="4"/>
  <c r="DQ392" i="4"/>
  <c r="DR392" i="4"/>
  <c r="DI396" i="4"/>
  <c r="DJ396" i="4"/>
  <c r="DL396" i="4"/>
  <c r="DM396" i="4"/>
  <c r="DN396" i="4"/>
  <c r="DP396" i="4"/>
  <c r="DQ396" i="4"/>
  <c r="DR396" i="4"/>
  <c r="DJ398" i="4"/>
  <c r="DL398" i="4"/>
  <c r="DM398" i="4"/>
  <c r="DN398" i="4"/>
  <c r="DP398" i="4"/>
  <c r="DQ398" i="4"/>
  <c r="DR398" i="4"/>
  <c r="DL399" i="4"/>
  <c r="DM399" i="4"/>
  <c r="DN399" i="4"/>
  <c r="DP399" i="4"/>
  <c r="DQ399" i="4"/>
  <c r="DR399" i="4"/>
  <c r="DJ400" i="4"/>
  <c r="DL400" i="4"/>
  <c r="DM400" i="4"/>
  <c r="DN400" i="4"/>
  <c r="DP400" i="4"/>
  <c r="DQ400" i="4"/>
  <c r="DR400" i="4"/>
  <c r="DL401" i="4"/>
  <c r="DM401" i="4"/>
  <c r="DN401" i="4"/>
  <c r="DP401" i="4"/>
  <c r="DQ401" i="4"/>
  <c r="DR401" i="4"/>
  <c r="DI403" i="4"/>
  <c r="DJ403" i="4"/>
  <c r="DL403" i="4"/>
  <c r="DM403" i="4"/>
  <c r="DN403" i="4"/>
  <c r="DP403" i="4"/>
  <c r="DQ403" i="4"/>
  <c r="DR403" i="4"/>
  <c r="DI404" i="4"/>
  <c r="DJ404" i="4"/>
  <c r="DL404" i="4"/>
  <c r="DM404" i="4"/>
  <c r="DN404" i="4"/>
  <c r="DP404" i="4"/>
  <c r="DQ404" i="4"/>
  <c r="DR404" i="4"/>
  <c r="DI406" i="4"/>
  <c r="DJ406" i="4"/>
  <c r="DL406" i="4"/>
  <c r="DM406" i="4"/>
  <c r="DN406" i="4"/>
  <c r="DP406" i="4"/>
  <c r="DQ406" i="4"/>
  <c r="DR406" i="4"/>
  <c r="DI407" i="4"/>
  <c r="DJ407" i="4"/>
  <c r="DL407" i="4"/>
  <c r="DM407" i="4"/>
  <c r="DN407" i="4"/>
  <c r="DP407" i="4"/>
  <c r="DQ407" i="4"/>
  <c r="DR407" i="4"/>
  <c r="DI446" i="4"/>
  <c r="DJ446" i="4"/>
  <c r="DL446" i="4"/>
  <c r="DM446" i="4"/>
  <c r="DN446" i="4"/>
  <c r="DP446" i="4"/>
  <c r="DQ446" i="4"/>
  <c r="DR446" i="4"/>
  <c r="DI466" i="4"/>
  <c r="DJ466" i="4"/>
  <c r="DL466" i="4"/>
  <c r="DM466" i="4"/>
  <c r="DN466" i="4"/>
  <c r="DP466" i="4"/>
  <c r="DQ466" i="4"/>
  <c r="DR466" i="4"/>
  <c r="DL468" i="4"/>
  <c r="DM468" i="4"/>
  <c r="DN468" i="4"/>
  <c r="DP468" i="4"/>
  <c r="DQ468" i="4"/>
  <c r="DR468" i="4"/>
  <c r="DI470" i="4"/>
  <c r="DJ470" i="4"/>
  <c r="DL470" i="4"/>
  <c r="DM470" i="4"/>
  <c r="DN470" i="4"/>
  <c r="DP470" i="4"/>
  <c r="DQ470" i="4"/>
  <c r="DR470" i="4"/>
  <c r="DI471" i="4"/>
  <c r="DJ471" i="4"/>
  <c r="DL471" i="4"/>
  <c r="DM471" i="4"/>
  <c r="DN471" i="4"/>
  <c r="DP471" i="4"/>
  <c r="DQ471" i="4"/>
  <c r="DR471" i="4"/>
  <c r="DI473" i="4"/>
  <c r="DJ473" i="4"/>
  <c r="DL473" i="4"/>
  <c r="DM473" i="4"/>
  <c r="DN473" i="4"/>
  <c r="DP473" i="4"/>
  <c r="DQ473" i="4"/>
  <c r="DR473" i="4"/>
  <c r="DI480" i="4"/>
  <c r="DJ480" i="4"/>
  <c r="DL480" i="4"/>
  <c r="DM480" i="4"/>
  <c r="DN480" i="4"/>
  <c r="DP480" i="4"/>
  <c r="DQ480" i="4"/>
  <c r="DR480" i="4"/>
  <c r="DI481" i="4"/>
  <c r="DJ481" i="4"/>
  <c r="DL481" i="4"/>
  <c r="DM481" i="4"/>
  <c r="DN481" i="4"/>
  <c r="DP481" i="4"/>
  <c r="DQ481" i="4"/>
  <c r="DR481" i="4"/>
  <c r="DI489" i="4"/>
  <c r="DJ489" i="4"/>
  <c r="DK489" i="4"/>
  <c r="DL489" i="4"/>
  <c r="DM489" i="4"/>
  <c r="DN489" i="4"/>
  <c r="DO489" i="4"/>
  <c r="DP489" i="4"/>
  <c r="DQ489" i="4"/>
  <c r="DR489" i="4"/>
  <c r="DS489" i="4"/>
  <c r="DI490" i="4"/>
  <c r="DJ490" i="4"/>
  <c r="DK490" i="4"/>
  <c r="DL490" i="4"/>
  <c r="DM490" i="4"/>
  <c r="DN490" i="4"/>
  <c r="DO490" i="4"/>
  <c r="DP490" i="4"/>
  <c r="DQ490" i="4"/>
  <c r="DR490" i="4"/>
  <c r="DS490" i="4"/>
  <c r="DI497" i="4"/>
  <c r="DJ497" i="4"/>
  <c r="DL497" i="4"/>
  <c r="DM497" i="4"/>
  <c r="DN497" i="4"/>
  <c r="DP497" i="4"/>
  <c r="DQ497" i="4"/>
  <c r="DR497" i="4"/>
  <c r="DI498" i="4"/>
  <c r="DJ498" i="4"/>
  <c r="DL498" i="4"/>
  <c r="DM498" i="4"/>
  <c r="DN498" i="4"/>
  <c r="DP498" i="4"/>
  <c r="DQ498" i="4"/>
  <c r="DR498" i="4"/>
  <c r="DI500" i="4"/>
  <c r="DJ500" i="4"/>
  <c r="DL500" i="4"/>
  <c r="DM500" i="4"/>
  <c r="DN500" i="4"/>
  <c r="DP500" i="4"/>
  <c r="DQ500" i="4"/>
  <c r="DR500" i="4"/>
  <c r="DI503" i="4"/>
  <c r="DJ503" i="4"/>
  <c r="DL503" i="4"/>
  <c r="DM503" i="4"/>
  <c r="DN503" i="4"/>
  <c r="DP503" i="4"/>
  <c r="DQ503" i="4"/>
  <c r="DR503" i="4"/>
  <c r="DL506" i="4"/>
  <c r="DM506" i="4"/>
  <c r="DP506" i="4"/>
  <c r="DQ506" i="4"/>
  <c r="DI507" i="4"/>
  <c r="DL507" i="4"/>
  <c r="DM507" i="4"/>
  <c r="DP507" i="4"/>
  <c r="DQ507" i="4"/>
  <c r="DI512" i="4"/>
  <c r="DJ512" i="4"/>
  <c r="DL512" i="4"/>
  <c r="DM512" i="4"/>
  <c r="DN512" i="4"/>
  <c r="DP512" i="4"/>
  <c r="DQ512" i="4"/>
  <c r="DR512" i="4"/>
  <c r="DI513" i="4"/>
  <c r="DJ513" i="4"/>
  <c r="DL513" i="4"/>
  <c r="DM513" i="4"/>
  <c r="DN513" i="4"/>
  <c r="DP513" i="4"/>
  <c r="DQ513" i="4"/>
  <c r="DR513" i="4"/>
  <c r="DI514" i="4"/>
  <c r="DJ514" i="4"/>
  <c r="DL514" i="4"/>
  <c r="DM514" i="4"/>
  <c r="DN514" i="4"/>
  <c r="DP514" i="4"/>
  <c r="DQ514" i="4"/>
  <c r="DR514" i="4"/>
  <c r="DI515" i="4"/>
  <c r="DJ515" i="4"/>
  <c r="DL515" i="4"/>
  <c r="DM515" i="4"/>
  <c r="DN515" i="4"/>
  <c r="DP515" i="4"/>
  <c r="DQ515" i="4"/>
  <c r="DR515" i="4"/>
  <c r="DI531" i="4"/>
  <c r="DJ531" i="4"/>
  <c r="DL531" i="4"/>
  <c r="DM531" i="4"/>
  <c r="DN531" i="4"/>
  <c r="DP531" i="4"/>
  <c r="DQ531" i="4"/>
  <c r="DR531" i="4"/>
  <c r="DI532" i="4"/>
  <c r="DJ532" i="4"/>
  <c r="DL532" i="4"/>
  <c r="DM532" i="4"/>
  <c r="DN532" i="4"/>
  <c r="DP532" i="4"/>
  <c r="DQ532" i="4"/>
  <c r="DR532" i="4"/>
  <c r="DJ533" i="4"/>
  <c r="DN533" i="4"/>
  <c r="DR533" i="4"/>
  <c r="DI535" i="4"/>
  <c r="DJ535" i="4"/>
  <c r="DL535" i="4"/>
  <c r="DM535" i="4"/>
  <c r="DN535" i="4"/>
  <c r="DP535" i="4"/>
  <c r="DQ535" i="4"/>
  <c r="DR535" i="4"/>
  <c r="DI536" i="4"/>
  <c r="DJ536" i="4"/>
  <c r="DL536" i="4"/>
  <c r="DM536" i="4"/>
  <c r="DN536" i="4"/>
  <c r="DP536" i="4"/>
  <c r="DQ536" i="4"/>
  <c r="DR536" i="4"/>
  <c r="DJ537" i="4"/>
  <c r="DN537" i="4"/>
  <c r="DR537" i="4"/>
  <c r="DJ538" i="4"/>
  <c r="DN538" i="4"/>
  <c r="DR538" i="4"/>
  <c r="DI562" i="4"/>
  <c r="DJ562" i="4"/>
  <c r="DL562" i="4"/>
  <c r="DM562" i="4"/>
  <c r="DN562" i="4"/>
  <c r="DP562" i="4"/>
  <c r="DQ562" i="4"/>
  <c r="DR562" i="4"/>
  <c r="DI563" i="4"/>
  <c r="DJ563" i="4"/>
  <c r="DL563" i="4"/>
  <c r="DM563" i="4"/>
  <c r="DN563" i="4"/>
  <c r="DP563" i="4"/>
  <c r="DQ563" i="4"/>
  <c r="DR563" i="4"/>
  <c r="DI564" i="4"/>
  <c r="DJ564" i="4"/>
  <c r="DL564" i="4"/>
  <c r="DM564" i="4"/>
  <c r="DN564" i="4"/>
  <c r="DP564" i="4"/>
  <c r="DQ564" i="4"/>
  <c r="DR564" i="4"/>
  <c r="DI570" i="4"/>
  <c r="DJ570" i="4"/>
  <c r="DL570" i="4"/>
  <c r="DM570" i="4"/>
  <c r="DN570" i="4"/>
  <c r="DP570" i="4"/>
  <c r="DQ570" i="4"/>
  <c r="DR570" i="4"/>
  <c r="DI571" i="4"/>
  <c r="DL571" i="4"/>
  <c r="DM571" i="4"/>
  <c r="DP571" i="4"/>
  <c r="DQ571" i="4"/>
  <c r="DI575" i="4"/>
  <c r="DJ575" i="4"/>
  <c r="DL575" i="4"/>
  <c r="DM575" i="4"/>
  <c r="DN575" i="4"/>
  <c r="DP575" i="4"/>
  <c r="DQ575" i="4"/>
  <c r="DR575" i="4"/>
  <c r="DI576" i="4"/>
  <c r="DJ576" i="4"/>
  <c r="DL576" i="4"/>
  <c r="DM576" i="4"/>
  <c r="DN576" i="4"/>
  <c r="DP576" i="4"/>
  <c r="DQ576" i="4"/>
  <c r="DR576" i="4"/>
  <c r="DI577" i="4"/>
  <c r="DJ577" i="4"/>
  <c r="DL577" i="4"/>
  <c r="DM577" i="4"/>
  <c r="DN577" i="4"/>
  <c r="DP577" i="4"/>
  <c r="DQ577" i="4"/>
  <c r="DR577" i="4"/>
  <c r="DI578" i="4"/>
  <c r="DJ578" i="4"/>
  <c r="DL578" i="4"/>
  <c r="DM578" i="4"/>
  <c r="DN578" i="4"/>
  <c r="DP578" i="4"/>
  <c r="DQ578" i="4"/>
  <c r="DR578" i="4"/>
  <c r="DI579" i="4"/>
  <c r="DJ579" i="4"/>
  <c r="DL579" i="4"/>
  <c r="DM579" i="4"/>
  <c r="DN579" i="4"/>
  <c r="DP579" i="4"/>
  <c r="DQ579" i="4"/>
  <c r="DR579" i="4"/>
  <c r="DI599" i="4"/>
  <c r="DJ599" i="4"/>
  <c r="DL599" i="4"/>
  <c r="DM599" i="4"/>
  <c r="DN599" i="4"/>
  <c r="DP599" i="4"/>
  <c r="DQ599" i="4"/>
  <c r="DR599" i="4"/>
  <c r="DI600" i="4"/>
  <c r="DJ600" i="4"/>
  <c r="DL600" i="4"/>
  <c r="DM600" i="4"/>
  <c r="DN600" i="4"/>
  <c r="DP600" i="4"/>
  <c r="DQ600" i="4"/>
  <c r="DR600" i="4"/>
  <c r="DI601" i="4"/>
  <c r="DJ601" i="4"/>
  <c r="DL601" i="4"/>
  <c r="DM601" i="4"/>
  <c r="DN601" i="4"/>
  <c r="DP601" i="4"/>
  <c r="DQ601" i="4"/>
  <c r="DR601" i="4"/>
  <c r="DI602" i="4"/>
  <c r="DJ602" i="4"/>
  <c r="DL602" i="4"/>
  <c r="DM602" i="4"/>
  <c r="DN602" i="4"/>
  <c r="DP602" i="4"/>
  <c r="DQ602" i="4"/>
  <c r="DR602" i="4"/>
  <c r="DI603" i="4"/>
  <c r="DJ603" i="4"/>
  <c r="DL603" i="4"/>
  <c r="DM603" i="4"/>
  <c r="DN603" i="4"/>
  <c r="DP603" i="4"/>
  <c r="DQ603" i="4"/>
  <c r="DR603" i="4"/>
  <c r="DI604" i="4"/>
  <c r="DJ604" i="4"/>
  <c r="DL604" i="4"/>
  <c r="DM604" i="4"/>
  <c r="DN604" i="4"/>
  <c r="DP604" i="4"/>
  <c r="DQ604" i="4"/>
  <c r="DR604" i="4"/>
  <c r="DI605" i="4"/>
  <c r="DJ605" i="4"/>
  <c r="DL605" i="4"/>
  <c r="DM605" i="4"/>
  <c r="DN605" i="4"/>
  <c r="DP605" i="4"/>
  <c r="DQ605" i="4"/>
  <c r="DR605" i="4"/>
  <c r="CJ732" i="4"/>
  <c r="CK732" i="4"/>
  <c r="CL732" i="4"/>
  <c r="CM732" i="4"/>
  <c r="CN732" i="4"/>
  <c r="CO732" i="4"/>
  <c r="CP732" i="4"/>
  <c r="CQ732" i="4"/>
  <c r="CU732" i="4"/>
  <c r="CJ733" i="4"/>
  <c r="CK733" i="4"/>
  <c r="CL733" i="4"/>
  <c r="CN733" i="4"/>
  <c r="CO733" i="4"/>
  <c r="CP733" i="4"/>
  <c r="CJ735" i="4"/>
  <c r="CK735" i="4"/>
  <c r="CN735" i="4"/>
  <c r="CO735" i="4"/>
  <c r="CR735" i="4"/>
  <c r="CJ736" i="4"/>
  <c r="CK736" i="4"/>
  <c r="CL736" i="4"/>
  <c r="CN736" i="4"/>
  <c r="CO736" i="4"/>
  <c r="CP736" i="4"/>
  <c r="CJ737" i="4"/>
  <c r="CK737" i="4"/>
  <c r="CL737" i="4"/>
  <c r="CN737" i="4"/>
  <c r="CO737" i="4"/>
  <c r="CP737" i="4"/>
  <c r="CJ740" i="4"/>
  <c r="CK740" i="4"/>
  <c r="CL740" i="4"/>
  <c r="CN740" i="4"/>
  <c r="CO740" i="4"/>
  <c r="CP740" i="4"/>
  <c r="DI791" i="4"/>
  <c r="DJ791" i="4"/>
  <c r="DL791" i="4"/>
  <c r="DM791" i="4"/>
  <c r="DN791" i="4"/>
  <c r="DP791" i="4"/>
  <c r="DQ791" i="4"/>
  <c r="DR791" i="4"/>
  <c r="DI852" i="4"/>
  <c r="DJ852" i="4"/>
  <c r="DL852" i="4"/>
  <c r="DM852" i="4"/>
  <c r="DN852" i="4"/>
  <c r="DP852" i="4"/>
  <c r="DQ852" i="4"/>
  <c r="DR852" i="4"/>
  <c r="DI853" i="4"/>
  <c r="DJ853" i="4"/>
  <c r="DL853" i="4"/>
  <c r="DM853" i="4"/>
  <c r="DN853" i="4"/>
  <c r="DP853" i="4"/>
  <c r="DQ853" i="4"/>
  <c r="DR853" i="4"/>
  <c r="DI855" i="4"/>
  <c r="DJ855" i="4"/>
  <c r="DL855" i="4"/>
  <c r="DM855" i="4"/>
  <c r="DN855" i="4"/>
  <c r="DP855" i="4"/>
  <c r="DQ855" i="4"/>
  <c r="DR855" i="4"/>
  <c r="DI856" i="4"/>
  <c r="DJ856" i="4"/>
  <c r="DL856" i="4"/>
  <c r="DM856" i="4"/>
  <c r="DN856" i="4"/>
  <c r="DP856" i="4"/>
  <c r="DQ856" i="4"/>
  <c r="DR856" i="4"/>
  <c r="DL858" i="4"/>
  <c r="DM858" i="4"/>
  <c r="DN858" i="4"/>
  <c r="DP858" i="4"/>
  <c r="DQ858" i="4"/>
  <c r="DR858" i="4"/>
  <c r="DI860" i="4"/>
  <c r="DJ860" i="4"/>
  <c r="DL860" i="4"/>
  <c r="DM860" i="4"/>
  <c r="DN860" i="4"/>
  <c r="DP860" i="4"/>
  <c r="DQ860" i="4"/>
  <c r="DR860" i="4"/>
  <c r="DI861" i="4"/>
  <c r="DJ861" i="4"/>
  <c r="DL861" i="4"/>
  <c r="DM861" i="4"/>
  <c r="DN861" i="4"/>
  <c r="DP861" i="4"/>
  <c r="DQ861" i="4"/>
  <c r="DR861" i="4"/>
  <c r="DI862" i="4"/>
  <c r="DJ862" i="4"/>
  <c r="DL862" i="4"/>
  <c r="DM862" i="4"/>
  <c r="DN862" i="4"/>
  <c r="DP862" i="4"/>
  <c r="DQ862" i="4"/>
  <c r="DR862" i="4"/>
  <c r="DI863" i="4"/>
  <c r="DJ863" i="4"/>
  <c r="DL863" i="4"/>
  <c r="DM863" i="4"/>
  <c r="DN863" i="4"/>
  <c r="DP863" i="4"/>
  <c r="DQ863" i="4"/>
  <c r="DR863" i="4"/>
  <c r="DI865" i="4"/>
  <c r="DJ865" i="4"/>
  <c r="DL865" i="4"/>
  <c r="DM865" i="4"/>
  <c r="DN865" i="4"/>
  <c r="DP865" i="4"/>
  <c r="DQ865" i="4"/>
  <c r="DR865" i="4"/>
  <c r="DI866" i="4"/>
  <c r="DJ866" i="4"/>
  <c r="DL866" i="4"/>
  <c r="DM866" i="4"/>
  <c r="DN866" i="4"/>
  <c r="DP866" i="4"/>
  <c r="DQ866" i="4"/>
  <c r="DR866" i="4"/>
  <c r="DI869" i="4"/>
  <c r="DJ869" i="4"/>
  <c r="DL869" i="4"/>
  <c r="DM869" i="4"/>
  <c r="DN869" i="4"/>
  <c r="DP869" i="4"/>
  <c r="DQ869" i="4"/>
  <c r="DR869" i="4"/>
  <c r="DI870" i="4"/>
  <c r="DJ870" i="4"/>
  <c r="DL870" i="4"/>
  <c r="DM870" i="4"/>
  <c r="DN870" i="4"/>
  <c r="DP870" i="4"/>
  <c r="DQ870" i="4"/>
  <c r="DR870" i="4"/>
  <c r="DI873" i="4"/>
  <c r="DJ873" i="4"/>
  <c r="DL873" i="4"/>
  <c r="DM873" i="4"/>
  <c r="DN873" i="4"/>
  <c r="DP873" i="4"/>
  <c r="DQ873" i="4"/>
  <c r="DR873" i="4"/>
  <c r="DI877" i="4"/>
  <c r="DJ877" i="4"/>
  <c r="DL877" i="4"/>
  <c r="DM877" i="4"/>
  <c r="DN877" i="4"/>
  <c r="DP877" i="4"/>
  <c r="DQ877" i="4"/>
  <c r="DR877" i="4"/>
  <c r="DI878" i="4"/>
  <c r="DJ878" i="4"/>
  <c r="DL878" i="4"/>
  <c r="DM878" i="4"/>
  <c r="DN878" i="4"/>
  <c r="DP878" i="4"/>
  <c r="DQ878" i="4"/>
  <c r="DR878" i="4"/>
  <c r="DI893" i="4"/>
  <c r="DL893" i="4"/>
  <c r="DM893" i="4"/>
  <c r="DP893" i="4"/>
  <c r="DQ893" i="4"/>
  <c r="DI895" i="4"/>
  <c r="DL895" i="4"/>
  <c r="DM895" i="4"/>
  <c r="DP895" i="4"/>
  <c r="DQ895" i="4"/>
  <c r="DI900" i="4"/>
  <c r="DJ900" i="4"/>
  <c r="DL900" i="4"/>
  <c r="DM900" i="4"/>
  <c r="DN900" i="4"/>
  <c r="DP900" i="4"/>
  <c r="DQ900" i="4"/>
  <c r="DR900" i="4"/>
  <c r="DJ904" i="4"/>
  <c r="DN904" i="4"/>
  <c r="DR904" i="4"/>
  <c r="DI905" i="4"/>
  <c r="DJ905" i="4"/>
  <c r="DL905" i="4"/>
  <c r="DM905" i="4"/>
  <c r="DN905" i="4"/>
  <c r="DP905" i="4"/>
  <c r="DQ905" i="4"/>
  <c r="DR905" i="4"/>
  <c r="DI906" i="4"/>
  <c r="DJ906" i="4"/>
  <c r="DL906" i="4"/>
  <c r="DM906" i="4"/>
  <c r="DN906" i="4"/>
  <c r="DP906" i="4"/>
  <c r="DQ906" i="4"/>
  <c r="DR906" i="4"/>
  <c r="DI907" i="4"/>
  <c r="DL907" i="4"/>
  <c r="DM907" i="4"/>
  <c r="DP907" i="4"/>
  <c r="DQ907" i="4"/>
  <c r="DL941" i="4"/>
  <c r="DM941" i="4"/>
  <c r="DN941" i="4"/>
  <c r="DP941" i="4"/>
  <c r="DQ941" i="4"/>
  <c r="DR941" i="4"/>
  <c r="DL944" i="4"/>
  <c r="DM944" i="4"/>
  <c r="DN944" i="4"/>
  <c r="DP944" i="4"/>
  <c r="DQ944" i="4"/>
  <c r="DR944" i="4"/>
  <c r="DL947" i="4"/>
  <c r="DM947" i="4"/>
  <c r="DN947" i="4"/>
  <c r="DP947" i="4"/>
  <c r="DQ947" i="4"/>
  <c r="DR947" i="4"/>
  <c r="DM950" i="4"/>
  <c r="DP950" i="4"/>
  <c r="DQ950" i="4"/>
  <c r="DR950" i="4"/>
  <c r="DL951" i="4"/>
  <c r="DM951" i="4"/>
  <c r="DN951" i="4"/>
  <c r="DP951" i="4"/>
  <c r="DQ951" i="4"/>
  <c r="DR951" i="4"/>
  <c r="DM956" i="4"/>
  <c r="DN956" i="4"/>
  <c r="DP956" i="4"/>
  <c r="DQ956" i="4"/>
  <c r="DR956" i="4"/>
  <c r="DL957" i="4"/>
  <c r="DM957" i="4"/>
  <c r="DN957" i="4"/>
  <c r="DP957" i="4"/>
  <c r="DQ957" i="4"/>
  <c r="DR957" i="4"/>
  <c r="DM993" i="4"/>
  <c r="DP993" i="4"/>
  <c r="DQ993" i="4"/>
  <c r="DR993" i="4"/>
  <c r="DL994" i="4"/>
  <c r="DM994" i="4"/>
  <c r="DN994" i="4"/>
  <c r="DP994" i="4"/>
  <c r="DQ994" i="4"/>
  <c r="DR994" i="4"/>
  <c r="DL999" i="4"/>
  <c r="DM999" i="4"/>
  <c r="DN999" i="4"/>
  <c r="DP999" i="4"/>
  <c r="DQ999" i="4"/>
  <c r="DR999" i="4"/>
  <c r="DL1000" i="4"/>
  <c r="DM1000" i="4"/>
  <c r="DN1000" i="4"/>
  <c r="DP1000" i="4"/>
  <c r="DQ1000" i="4"/>
  <c r="DR1000" i="4"/>
  <c r="DL1001" i="4"/>
  <c r="DM1001" i="4"/>
  <c r="DN1001" i="4"/>
  <c r="DP1001" i="4"/>
  <c r="DQ1001" i="4"/>
  <c r="DR1001" i="4"/>
  <c r="DL1003" i="4"/>
  <c r="DM1003" i="4"/>
  <c r="DP1003" i="4"/>
  <c r="DQ1003" i="4"/>
  <c r="DL1006" i="4"/>
  <c r="DM1006" i="4"/>
  <c r="DN1006" i="4"/>
  <c r="DP1006" i="4"/>
  <c r="DQ1006" i="4"/>
  <c r="DR1006" i="4"/>
  <c r="DL1008" i="4"/>
  <c r="DM1008" i="4"/>
  <c r="DN1008" i="4"/>
  <c r="DP1008" i="4"/>
  <c r="DQ1008" i="4"/>
  <c r="DR1008" i="4"/>
  <c r="DL1010" i="4"/>
  <c r="DM1010" i="4"/>
  <c r="DN1010" i="4"/>
  <c r="DP1010" i="4"/>
  <c r="DQ1010" i="4"/>
  <c r="DR1010" i="4"/>
  <c r="DL1012" i="4"/>
  <c r="DM1012" i="4"/>
  <c r="DN1012" i="4"/>
  <c r="DP1012" i="4"/>
  <c r="DQ1012" i="4"/>
  <c r="DR1012" i="4"/>
  <c r="DL1013" i="4"/>
  <c r="DM1013" i="4"/>
  <c r="DN1013" i="4"/>
  <c r="DP1013" i="4"/>
  <c r="DQ1013" i="4"/>
  <c r="DR1013" i="4"/>
  <c r="DL1017" i="4"/>
  <c r="DM1017" i="4"/>
  <c r="DN1017" i="4"/>
  <c r="DP1017" i="4"/>
  <c r="DQ1017" i="4"/>
  <c r="DR1017" i="4"/>
  <c r="DL1020" i="4"/>
  <c r="DM1020" i="4"/>
  <c r="DN1020" i="4"/>
  <c r="DP1020" i="4"/>
  <c r="DQ1020" i="4"/>
  <c r="DR1020" i="4"/>
  <c r="DL1021" i="4"/>
  <c r="DM1021" i="4"/>
  <c r="DN1021" i="4"/>
  <c r="DP1021" i="4"/>
  <c r="DQ1021" i="4"/>
  <c r="DR1021" i="4"/>
  <c r="DL1031" i="4"/>
  <c r="DM1031" i="4"/>
  <c r="DN1031" i="4"/>
  <c r="DO1031" i="4"/>
  <c r="DP1031" i="4"/>
  <c r="DQ1031" i="4"/>
  <c r="DR1031" i="4"/>
  <c r="DS1031" i="4"/>
  <c r="DL1033" i="4"/>
  <c r="DM1033" i="4"/>
  <c r="DN1033" i="4"/>
  <c r="DO1033" i="4"/>
  <c r="DP1033" i="4"/>
  <c r="DQ1033" i="4"/>
  <c r="DR1033" i="4"/>
  <c r="DS1033" i="4"/>
  <c r="DL1034" i="4"/>
  <c r="DM1034" i="4"/>
  <c r="DN1034" i="4"/>
  <c r="DP1034" i="4"/>
  <c r="DQ1034" i="4"/>
  <c r="DR1034" i="4"/>
  <c r="DL1046" i="4"/>
  <c r="DM1046" i="4"/>
  <c r="DN1046" i="4"/>
  <c r="DP1046" i="4"/>
  <c r="DQ1046" i="4"/>
  <c r="DR1046" i="4"/>
  <c r="DN1047" i="4"/>
  <c r="DR1047" i="4"/>
  <c r="DL1049" i="4"/>
  <c r="DM1049" i="4"/>
  <c r="DN1049" i="4"/>
  <c r="DP1049" i="4"/>
  <c r="DQ1049" i="4"/>
  <c r="DR1049" i="4"/>
  <c r="DL1068" i="4"/>
  <c r="DM1068" i="4"/>
  <c r="DP1068" i="4"/>
  <c r="DQ1068" i="4"/>
  <c r="DI1070" i="4"/>
  <c r="DL1070" i="4"/>
  <c r="DM1070" i="4"/>
  <c r="DP1070" i="4"/>
  <c r="DQ1070" i="4"/>
  <c r="DI1071" i="4"/>
  <c r="DL1071" i="4"/>
  <c r="DM1071" i="4"/>
  <c r="DP1071" i="4"/>
  <c r="DQ1071" i="4"/>
  <c r="DI1072" i="4"/>
  <c r="DL1072" i="4"/>
  <c r="DM1072" i="4"/>
  <c r="DP1072" i="4"/>
  <c r="DQ1072" i="4"/>
  <c r="DI1073" i="4"/>
  <c r="DL1073" i="4"/>
  <c r="DM1073" i="4"/>
  <c r="DP1073" i="4"/>
  <c r="DQ1073" i="4"/>
  <c r="DI1086" i="4"/>
  <c r="DL1086" i="4"/>
  <c r="DM1086" i="4"/>
  <c r="DP1086" i="4"/>
  <c r="DQ1086" i="4"/>
  <c r="DI1087" i="4"/>
  <c r="DL1087" i="4"/>
  <c r="DM1087" i="4"/>
  <c r="DP1087" i="4"/>
  <c r="DQ1087" i="4"/>
  <c r="DI1088" i="4"/>
  <c r="DL1088" i="4"/>
  <c r="DM1088" i="4"/>
  <c r="DP1088" i="4"/>
  <c r="DQ1088" i="4"/>
  <c r="DI1090" i="4"/>
  <c r="DL1090" i="4"/>
  <c r="DM1090" i="4"/>
  <c r="DP1090" i="4"/>
  <c r="DQ1090" i="4"/>
  <c r="DI1091" i="4"/>
  <c r="DL1091" i="4"/>
  <c r="DM1091" i="4"/>
  <c r="DP1091" i="4"/>
  <c r="DQ1091" i="4"/>
  <c r="DI1093" i="4"/>
  <c r="DL1093" i="4"/>
  <c r="DM1093" i="4"/>
  <c r="DP1093" i="4"/>
  <c r="DQ1093" i="4"/>
  <c r="DI1095" i="4"/>
  <c r="DL1095" i="4"/>
  <c r="DM1095" i="4"/>
  <c r="DP1095" i="4"/>
  <c r="DQ1095" i="4"/>
  <c r="DI1099" i="4"/>
  <c r="DL1099" i="4"/>
  <c r="DM1099" i="4"/>
  <c r="DP1099" i="4"/>
  <c r="DQ1099" i="4"/>
  <c r="DI1100" i="4"/>
  <c r="DL1100" i="4"/>
  <c r="DM1100" i="4"/>
  <c r="DP1100" i="4"/>
  <c r="DQ1100" i="4"/>
  <c r="DM1109" i="4"/>
  <c r="DP1109" i="4"/>
  <c r="DQ1109" i="4"/>
  <c r="DL1114" i="4"/>
  <c r="DM1114" i="4"/>
  <c r="DN1114" i="4"/>
  <c r="DP1114" i="4"/>
  <c r="DQ1114" i="4"/>
  <c r="DR1114" i="4"/>
  <c r="DL1115" i="4"/>
  <c r="DM1115" i="4"/>
  <c r="DP1115" i="4"/>
  <c r="DQ1115" i="4"/>
  <c r="DL1117" i="4"/>
  <c r="DM1117" i="4"/>
  <c r="DN1117" i="4"/>
  <c r="DP1117" i="4"/>
  <c r="DQ1117" i="4"/>
  <c r="DR1117" i="4"/>
  <c r="DL1120" i="4"/>
  <c r="DM1120" i="4"/>
  <c r="DN1120" i="4"/>
  <c r="DP1120" i="4"/>
  <c r="DQ1120" i="4"/>
  <c r="DR1120" i="4"/>
  <c r="DL1127" i="4"/>
  <c r="DM1127" i="4"/>
  <c r="DN1127" i="4"/>
  <c r="DP1127" i="4"/>
  <c r="DQ1127" i="4"/>
  <c r="DR1127" i="4"/>
  <c r="DL1135" i="4"/>
  <c r="DM1135" i="4"/>
  <c r="DN1135" i="4"/>
  <c r="DO1135" i="4"/>
  <c r="DP1135" i="4"/>
  <c r="DQ1135" i="4"/>
  <c r="DR1135" i="4"/>
  <c r="DS1135" i="4"/>
  <c r="DL1136" i="4"/>
  <c r="DM1136" i="4"/>
  <c r="DN1136" i="4"/>
  <c r="DP1136" i="4"/>
  <c r="DQ1136" i="4"/>
  <c r="DR1136" i="4"/>
  <c r="DL1137" i="4"/>
  <c r="DM1137" i="4"/>
  <c r="DN1137" i="4"/>
  <c r="DP1137" i="4"/>
  <c r="DQ1137" i="4"/>
  <c r="DR1137" i="4"/>
  <c r="DL1141" i="4"/>
  <c r="DM1141" i="4"/>
  <c r="DN1141" i="4"/>
  <c r="DO1141" i="4"/>
  <c r="DP1141" i="4"/>
  <c r="DQ1141" i="4"/>
  <c r="DR1141" i="4"/>
  <c r="DS1141" i="4"/>
  <c r="DL1143" i="4"/>
  <c r="DM1143" i="4"/>
  <c r="DN1143" i="4"/>
  <c r="DP1143" i="4"/>
  <c r="DQ1143" i="4"/>
  <c r="DR1143" i="4"/>
  <c r="DL1144" i="4"/>
  <c r="DM1144" i="4"/>
  <c r="DN1144" i="4"/>
  <c r="DO1144" i="4"/>
  <c r="DP1144" i="4"/>
  <c r="DQ1144" i="4"/>
  <c r="DR1144" i="4"/>
  <c r="DS1144" i="4"/>
  <c r="DL1146" i="4"/>
  <c r="DM1146" i="4"/>
  <c r="DN1146" i="4"/>
  <c r="DP1146" i="4"/>
  <c r="DQ1146" i="4"/>
  <c r="DR1146" i="4"/>
  <c r="DL1148" i="4"/>
  <c r="DM1148" i="4"/>
  <c r="DN1148" i="4"/>
  <c r="DP1148" i="4"/>
  <c r="DQ1148" i="4"/>
  <c r="DR1148" i="4"/>
  <c r="DL1150" i="4"/>
  <c r="DM1150" i="4"/>
  <c r="DN1150" i="4"/>
  <c r="DP1150" i="4"/>
  <c r="DQ1150" i="4"/>
  <c r="DR1150" i="4"/>
  <c r="DL1151" i="4"/>
  <c r="DM1151" i="4"/>
  <c r="DN1151" i="4"/>
  <c r="DP1151" i="4"/>
  <c r="DQ1151" i="4"/>
  <c r="DR1151" i="4"/>
  <c r="DI1157" i="4"/>
  <c r="DJ1157" i="4"/>
  <c r="DL1157" i="4"/>
  <c r="DM1157" i="4"/>
  <c r="DN1157" i="4"/>
  <c r="DP1157" i="4"/>
  <c r="DQ1157" i="4"/>
  <c r="DR1157" i="4"/>
  <c r="DI1158" i="4"/>
  <c r="DJ1158" i="4"/>
  <c r="DL1158" i="4"/>
  <c r="DM1158" i="4"/>
  <c r="DN1158" i="4"/>
  <c r="DP1158" i="4"/>
  <c r="DQ1158" i="4"/>
  <c r="DR1158" i="4"/>
  <c r="DI1159" i="4"/>
  <c r="DJ1159" i="4"/>
  <c r="DL1159" i="4"/>
  <c r="DM1159" i="4"/>
  <c r="DN1159" i="4"/>
  <c r="DP1159" i="4"/>
  <c r="DQ1159" i="4"/>
  <c r="DR1159" i="4"/>
  <c r="DI1161" i="4"/>
  <c r="DJ1161" i="4"/>
  <c r="DL1161" i="4"/>
  <c r="DM1161" i="4"/>
  <c r="DN1161" i="4"/>
  <c r="DP1161" i="4"/>
  <c r="DQ1161" i="4"/>
  <c r="DR1161" i="4"/>
  <c r="DE1164" i="4"/>
  <c r="DI1164" i="4"/>
  <c r="DL1164" i="4"/>
  <c r="DM1164" i="4"/>
  <c r="DP1164" i="4"/>
  <c r="DQ1164" i="4"/>
  <c r="DE1166" i="4"/>
  <c r="DI1166" i="4"/>
  <c r="DL1166" i="4"/>
  <c r="DM1166" i="4"/>
  <c r="DP1166" i="4"/>
  <c r="DQ1166" i="4"/>
  <c r="DE1168" i="4"/>
  <c r="DI1168" i="4"/>
  <c r="DL1168" i="4"/>
  <c r="DM1168" i="4"/>
  <c r="DP1168" i="4"/>
  <c r="DQ1168" i="4"/>
  <c r="DI1170" i="4"/>
  <c r="DJ1170" i="4"/>
  <c r="DL1170" i="4"/>
  <c r="DM1170" i="4"/>
  <c r="DN1170" i="4"/>
  <c r="DP1170" i="4"/>
  <c r="DQ1170" i="4"/>
  <c r="DR1170" i="4"/>
  <c r="DI1173" i="4"/>
  <c r="DJ1173" i="4"/>
  <c r="DL1173" i="4"/>
  <c r="DM1173" i="4"/>
  <c r="DN1173" i="4"/>
  <c r="DP1173" i="4"/>
  <c r="DQ1173" i="4"/>
  <c r="DR1173" i="4"/>
  <c r="CK1175" i="4"/>
  <c r="CL1175" i="4"/>
  <c r="CK1176" i="4"/>
  <c r="CL1176" i="4"/>
  <c r="DI1176" i="4"/>
  <c r="DJ1176" i="4"/>
  <c r="DL1176" i="4"/>
  <c r="DM1176" i="4"/>
  <c r="DN1176" i="4"/>
  <c r="DP1176" i="4"/>
  <c r="DQ1176" i="4"/>
  <c r="DR1176" i="4"/>
  <c r="CL1177" i="4"/>
  <c r="DI1177" i="4"/>
  <c r="DJ1177" i="4"/>
  <c r="DL1177" i="4"/>
  <c r="DM1177" i="4"/>
  <c r="DN1177" i="4"/>
  <c r="DP1177" i="4"/>
  <c r="DQ1177" i="4"/>
  <c r="DR1177" i="4"/>
  <c r="DL1181" i="4"/>
  <c r="DM1181" i="4"/>
  <c r="DN1181" i="4"/>
  <c r="DP1181" i="4"/>
  <c r="DQ1181" i="4"/>
  <c r="DR1181" i="4"/>
  <c r="DL1182" i="4"/>
  <c r="DM1182" i="4"/>
  <c r="DN1182" i="4"/>
  <c r="DP1182" i="4"/>
  <c r="DQ1182" i="4"/>
  <c r="DR1182" i="4"/>
  <c r="DL1185" i="4"/>
  <c r="DM1185" i="4"/>
  <c r="DN1185" i="4"/>
  <c r="DP1185" i="4"/>
  <c r="DQ1185" i="4"/>
  <c r="DR1185" i="4"/>
  <c r="DI1192" i="4"/>
  <c r="DJ1192" i="4"/>
  <c r="DL1192" i="4"/>
  <c r="DM1192" i="4"/>
  <c r="DN1192" i="4"/>
  <c r="DP1192" i="4"/>
  <c r="DQ1192" i="4"/>
  <c r="DR1192" i="4"/>
  <c r="DI1193" i="4"/>
  <c r="DJ1193" i="4"/>
  <c r="DL1193" i="4"/>
  <c r="DM1193" i="4"/>
  <c r="DN1193" i="4"/>
  <c r="DP1193" i="4"/>
  <c r="DQ1193" i="4"/>
  <c r="DR1193" i="4"/>
  <c r="DI1195" i="4"/>
  <c r="DJ1195" i="4"/>
  <c r="DL1195" i="4"/>
  <c r="DM1195" i="4"/>
  <c r="DN1195" i="4"/>
  <c r="DP1195" i="4"/>
  <c r="DQ1195" i="4"/>
  <c r="DR1195" i="4"/>
  <c r="DI1196" i="4"/>
  <c r="DJ1196" i="4"/>
  <c r="DL1196" i="4"/>
  <c r="DM1196" i="4"/>
  <c r="DN1196" i="4"/>
  <c r="DP1196" i="4"/>
  <c r="DQ1196" i="4"/>
  <c r="DR1196" i="4"/>
  <c r="DI1200" i="4"/>
  <c r="DJ1200" i="4"/>
  <c r="DL1200" i="4"/>
  <c r="DM1200" i="4"/>
  <c r="DN1200" i="4"/>
  <c r="DP1200" i="4"/>
  <c r="DQ1200" i="4"/>
  <c r="DR1200" i="4"/>
  <c r="DL1202" i="4"/>
  <c r="DM1202" i="4"/>
  <c r="DN1202" i="4"/>
  <c r="DP1202" i="4"/>
  <c r="DQ1202" i="4"/>
  <c r="DR1202" i="4"/>
  <c r="DL1203" i="4"/>
  <c r="DM1203" i="4"/>
  <c r="DN1203" i="4"/>
  <c r="DP1203" i="4"/>
  <c r="DQ1203" i="4"/>
  <c r="DR1203" i="4"/>
  <c r="DN1204" i="4"/>
  <c r="DR1204" i="4"/>
  <c r="DK1228" i="4"/>
  <c r="DO1228" i="4"/>
  <c r="DS1228" i="4"/>
  <c r="DI1231" i="4"/>
  <c r="DJ1231" i="4"/>
  <c r="DL1231" i="4"/>
  <c r="DM1231" i="4"/>
  <c r="DN1231" i="4"/>
  <c r="DP1231" i="4"/>
  <c r="DQ1231" i="4"/>
  <c r="DR1231" i="4"/>
  <c r="DI1233" i="4"/>
  <c r="DJ1233" i="4"/>
  <c r="DL1233" i="4"/>
  <c r="DM1233" i="4"/>
  <c r="DN1233" i="4"/>
  <c r="DP1233" i="4"/>
  <c r="DQ1233" i="4"/>
  <c r="DR1233" i="4"/>
  <c r="DI1234" i="4"/>
  <c r="DJ1234" i="4"/>
  <c r="DL1234" i="4"/>
  <c r="DM1234" i="4"/>
  <c r="DN1234" i="4"/>
  <c r="DP1234" i="4"/>
  <c r="DQ1234" i="4"/>
  <c r="DR1234" i="4"/>
  <c r="DI1235" i="4"/>
  <c r="DJ1235" i="4"/>
  <c r="DL1235" i="4"/>
  <c r="DM1235" i="4"/>
  <c r="DN1235" i="4"/>
  <c r="DP1235" i="4"/>
  <c r="DQ1235" i="4"/>
  <c r="DR1235" i="4"/>
  <c r="DI1236" i="4"/>
  <c r="DJ1236" i="4"/>
  <c r="DL1236" i="4"/>
  <c r="DM1236" i="4"/>
  <c r="DN1236" i="4"/>
  <c r="DP1236" i="4"/>
  <c r="DQ1236" i="4"/>
  <c r="DR1236" i="4"/>
  <c r="DI1237" i="4"/>
  <c r="DJ1237" i="4"/>
  <c r="DL1237" i="4"/>
  <c r="DM1237" i="4"/>
  <c r="DN1237" i="4"/>
  <c r="DP1237" i="4"/>
  <c r="DQ1237" i="4"/>
  <c r="DR1237" i="4"/>
  <c r="DJ1238" i="4"/>
  <c r="DN1238" i="4"/>
  <c r="DR1238" i="4"/>
  <c r="DI1239" i="4"/>
  <c r="DJ1239" i="4"/>
  <c r="DL1239" i="4"/>
  <c r="DM1239" i="4"/>
  <c r="DN1239" i="4"/>
  <c r="DP1239" i="4"/>
  <c r="DQ1239" i="4"/>
  <c r="DR1239" i="4"/>
  <c r="DI1240" i="4"/>
  <c r="DJ1240" i="4"/>
  <c r="DL1240" i="4"/>
  <c r="DM1240" i="4"/>
  <c r="DN1240" i="4"/>
  <c r="DP1240" i="4"/>
  <c r="DQ1240" i="4"/>
  <c r="DR1240" i="4"/>
  <c r="DI1242" i="4"/>
  <c r="DJ1242" i="4"/>
  <c r="DL1242" i="4"/>
  <c r="DM1242" i="4"/>
  <c r="DN1242" i="4"/>
  <c r="DP1242" i="4"/>
  <c r="DQ1242" i="4"/>
  <c r="DR1242" i="4"/>
  <c r="DI1245" i="4"/>
  <c r="DJ1245" i="4"/>
  <c r="DL1245" i="4"/>
  <c r="DM1245" i="4"/>
  <c r="DN1245" i="4"/>
  <c r="DP1245" i="4"/>
  <c r="DQ1245" i="4"/>
  <c r="DR1245" i="4"/>
  <c r="DI1246" i="4"/>
  <c r="DJ1246" i="4"/>
  <c r="DL1246" i="4"/>
  <c r="DM1246" i="4"/>
  <c r="DN1246" i="4"/>
  <c r="DP1246" i="4"/>
  <c r="DQ1246" i="4"/>
  <c r="DR1246" i="4"/>
  <c r="DI1247" i="4"/>
  <c r="DJ1247" i="4"/>
  <c r="DL1247" i="4"/>
  <c r="DM1247" i="4"/>
  <c r="DN1247" i="4"/>
  <c r="DP1247" i="4"/>
  <c r="DQ1247" i="4"/>
  <c r="DR1247" i="4"/>
  <c r="DI1249" i="4"/>
  <c r="DJ1249" i="4"/>
  <c r="DL1249" i="4"/>
  <c r="DM1249" i="4"/>
  <c r="DN1249" i="4"/>
  <c r="DP1249" i="4"/>
  <c r="DQ1249" i="4"/>
  <c r="DR1249" i="4"/>
  <c r="DI1250" i="4"/>
  <c r="DJ1250" i="4"/>
  <c r="DL1250" i="4"/>
  <c r="DM1250" i="4"/>
  <c r="DN1250" i="4"/>
  <c r="DP1250" i="4"/>
  <c r="DQ1250" i="4"/>
  <c r="DR1250" i="4"/>
  <c r="DI1251" i="4"/>
  <c r="DJ1251" i="4"/>
  <c r="DL1251" i="4"/>
  <c r="DM1251" i="4"/>
  <c r="DN1251" i="4"/>
  <c r="DP1251" i="4"/>
  <c r="DQ1251" i="4"/>
  <c r="DR1251" i="4"/>
  <c r="DI1301" i="4"/>
  <c r="DJ1301" i="4"/>
  <c r="DL1301" i="4"/>
  <c r="DM1301" i="4"/>
  <c r="DN1301" i="4"/>
  <c r="DP1301" i="4"/>
  <c r="DQ1301" i="4"/>
  <c r="DR1301" i="4"/>
  <c r="DI1305" i="4"/>
  <c r="DJ1305" i="4"/>
  <c r="DK1305" i="4"/>
  <c r="DL1305" i="4"/>
  <c r="DM1305" i="4"/>
  <c r="DN1305" i="4"/>
  <c r="DO1305" i="4"/>
  <c r="DP1305" i="4"/>
  <c r="DQ1305" i="4"/>
  <c r="DR1305" i="4"/>
  <c r="DS1305" i="4"/>
  <c r="DI1306" i="4"/>
  <c r="DJ1306" i="4"/>
  <c r="DK1306" i="4"/>
  <c r="DL1306" i="4"/>
  <c r="DM1306" i="4"/>
  <c r="DN1306" i="4"/>
  <c r="DO1306" i="4"/>
  <c r="DP1306" i="4"/>
  <c r="DQ1306" i="4"/>
  <c r="DR1306" i="4"/>
  <c r="DS1306" i="4"/>
  <c r="DI1307" i="4"/>
  <c r="DJ1307" i="4"/>
  <c r="DK1307" i="4"/>
  <c r="DL1307" i="4"/>
  <c r="DM1307" i="4"/>
  <c r="DN1307" i="4"/>
  <c r="DO1307" i="4"/>
  <c r="DP1307" i="4"/>
  <c r="DQ1307" i="4"/>
  <c r="DR1307" i="4"/>
  <c r="DS1307" i="4"/>
  <c r="DI1308" i="4"/>
  <c r="DJ1308" i="4"/>
  <c r="DK1308" i="4"/>
  <c r="DL1308" i="4"/>
  <c r="DM1308" i="4"/>
  <c r="DN1308" i="4"/>
  <c r="DO1308" i="4"/>
  <c r="DP1308" i="4"/>
  <c r="DQ1308" i="4"/>
  <c r="DR1308" i="4"/>
  <c r="DS1308" i="4"/>
  <c r="DI1309" i="4"/>
  <c r="DJ1309" i="4"/>
  <c r="DL1309" i="4"/>
  <c r="DM1309" i="4"/>
  <c r="DN1309" i="4"/>
  <c r="DP1309" i="4"/>
  <c r="DQ1309" i="4"/>
  <c r="DR1309" i="4"/>
  <c r="DI1310" i="4"/>
  <c r="DJ1310" i="4"/>
  <c r="DK1310" i="4"/>
  <c r="DL1310" i="4"/>
  <c r="DM1310" i="4"/>
  <c r="DN1310" i="4"/>
  <c r="DO1310" i="4"/>
  <c r="DP1310" i="4"/>
  <c r="DQ1310" i="4"/>
  <c r="DR1310" i="4"/>
  <c r="DS1310" i="4"/>
  <c r="DI1312" i="4"/>
  <c r="DJ1312" i="4"/>
  <c r="DL1312" i="4"/>
  <c r="DM1312" i="4"/>
  <c r="DN1312" i="4"/>
  <c r="DP1312" i="4"/>
  <c r="DQ1312" i="4"/>
  <c r="DR1312" i="4"/>
  <c r="DI1313" i="4"/>
  <c r="DJ1313" i="4"/>
  <c r="DL1313" i="4"/>
  <c r="DM1313" i="4"/>
  <c r="DN1313" i="4"/>
  <c r="DP1313" i="4"/>
  <c r="DQ1313" i="4"/>
  <c r="DR1313" i="4"/>
  <c r="DI1318" i="4"/>
  <c r="DJ1318" i="4"/>
  <c r="DK1318" i="4"/>
  <c r="DL1318" i="4"/>
  <c r="DM1318" i="4"/>
  <c r="DN1318" i="4"/>
  <c r="DO1318" i="4"/>
  <c r="DP1318" i="4"/>
  <c r="DQ1318" i="4"/>
  <c r="DR1318" i="4"/>
  <c r="DS1318" i="4"/>
  <c r="DI1319" i="4"/>
  <c r="DJ1319" i="4"/>
  <c r="DK1319" i="4"/>
  <c r="DL1319" i="4"/>
  <c r="DM1319" i="4"/>
  <c r="DN1319" i="4"/>
  <c r="DO1319" i="4"/>
  <c r="DP1319" i="4"/>
  <c r="DQ1319" i="4"/>
  <c r="DR1319" i="4"/>
  <c r="DS1319" i="4"/>
  <c r="DI1320" i="4"/>
  <c r="DJ1320" i="4"/>
  <c r="DK1320" i="4"/>
  <c r="DL1320" i="4"/>
  <c r="DM1320" i="4"/>
  <c r="DN1320" i="4"/>
  <c r="DO1320" i="4"/>
  <c r="DP1320" i="4"/>
  <c r="DQ1320" i="4"/>
  <c r="DR1320" i="4"/>
  <c r="DS1320" i="4"/>
  <c r="DI1321" i="4"/>
  <c r="DJ1321" i="4"/>
  <c r="DK1321" i="4"/>
  <c r="DL1321" i="4"/>
  <c r="DM1321" i="4"/>
  <c r="DN1321" i="4"/>
  <c r="DO1321" i="4"/>
  <c r="DP1321" i="4"/>
  <c r="DQ1321" i="4"/>
  <c r="DR1321" i="4"/>
  <c r="DS1321" i="4"/>
  <c r="DI1360" i="4"/>
  <c r="DJ1360" i="4"/>
  <c r="DL1360" i="4"/>
  <c r="DM1360" i="4"/>
  <c r="DN1360" i="4"/>
  <c r="DP1360" i="4"/>
  <c r="DQ1360" i="4"/>
  <c r="DR1360" i="4"/>
  <c r="DI1361" i="4"/>
  <c r="DJ1361" i="4"/>
  <c r="DL1361" i="4"/>
  <c r="DM1361" i="4"/>
  <c r="DN1361" i="4"/>
  <c r="DP1361" i="4"/>
  <c r="DQ1361" i="4"/>
  <c r="DR1361" i="4"/>
  <c r="DI1362" i="4"/>
  <c r="DJ1362" i="4"/>
  <c r="DL1362" i="4"/>
  <c r="DM1362" i="4"/>
  <c r="DN1362" i="4"/>
  <c r="DP1362" i="4"/>
  <c r="DQ1362" i="4"/>
  <c r="DR1362" i="4"/>
  <c r="DI1363" i="4"/>
  <c r="DJ1363" i="4"/>
  <c r="DL1363" i="4"/>
  <c r="DM1363" i="4"/>
  <c r="DN1363" i="4"/>
  <c r="DP1363" i="4"/>
  <c r="DQ1363" i="4"/>
  <c r="DR1363" i="4"/>
  <c r="DI1364" i="4"/>
  <c r="DJ1364" i="4"/>
  <c r="DL1364" i="4"/>
  <c r="DM1364" i="4"/>
  <c r="DN1364" i="4"/>
  <c r="DP1364" i="4"/>
  <c r="DQ1364" i="4"/>
  <c r="DR1364" i="4"/>
  <c r="DI1365" i="4"/>
  <c r="DL1365" i="4"/>
  <c r="DM1365" i="4"/>
  <c r="DP1365" i="4"/>
  <c r="DQ1365" i="4"/>
  <c r="DJ1366" i="4"/>
  <c r="DN1366" i="4"/>
  <c r="DR1366" i="4"/>
  <c r="DI1367" i="4"/>
  <c r="DJ1367" i="4"/>
  <c r="DL1367" i="4"/>
  <c r="DM1367" i="4"/>
  <c r="DN1367" i="4"/>
  <c r="DP1367" i="4"/>
  <c r="DQ1367" i="4"/>
  <c r="DR1367" i="4"/>
  <c r="DJ1368" i="4"/>
  <c r="DN1368" i="4"/>
  <c r="DR1368" i="4"/>
  <c r="DJ1369" i="4"/>
  <c r="DN1369" i="4"/>
  <c r="DR1369" i="4"/>
  <c r="DI1370" i="4"/>
  <c r="DJ1370" i="4"/>
  <c r="DL1370" i="4"/>
  <c r="DM1370" i="4"/>
  <c r="DN1370" i="4"/>
  <c r="DP1370" i="4"/>
  <c r="DQ1370" i="4"/>
  <c r="DR1370" i="4"/>
  <c r="DI1374" i="4"/>
  <c r="DJ1374" i="4"/>
  <c r="DL1374" i="4"/>
  <c r="DM1374" i="4"/>
  <c r="DN1374" i="4"/>
  <c r="DP1374" i="4"/>
  <c r="DQ1374" i="4"/>
  <c r="DR1374" i="4"/>
  <c r="DI1375" i="4"/>
  <c r="DJ1375" i="4"/>
  <c r="DL1375" i="4"/>
  <c r="DM1375" i="4"/>
  <c r="DN1375" i="4"/>
  <c r="DP1375" i="4"/>
  <c r="DQ1375" i="4"/>
  <c r="DR1375" i="4"/>
  <c r="DI1376" i="4"/>
  <c r="DJ1376" i="4"/>
  <c r="DL1376" i="4"/>
  <c r="DM1376" i="4"/>
  <c r="DN1376" i="4"/>
  <c r="DP1376" i="4"/>
  <c r="DQ1376" i="4"/>
  <c r="DR1376" i="4"/>
  <c r="DI1381" i="4"/>
  <c r="DJ1381" i="4"/>
  <c r="DL1381" i="4"/>
  <c r="DM1381" i="4"/>
  <c r="DN1381" i="4"/>
  <c r="DP1381" i="4"/>
  <c r="DQ1381" i="4"/>
  <c r="DR1381" i="4"/>
  <c r="DI1383" i="4"/>
  <c r="DJ1383" i="4"/>
  <c r="DL1383" i="4"/>
  <c r="DM1383" i="4"/>
  <c r="DN1383" i="4"/>
  <c r="DP1383" i="4"/>
  <c r="DQ1383" i="4"/>
  <c r="DR1383" i="4"/>
  <c r="DI1384" i="4"/>
  <c r="DJ1384" i="4"/>
  <c r="DL1384" i="4"/>
  <c r="DM1384" i="4"/>
  <c r="DN1384" i="4"/>
  <c r="DP1384" i="4"/>
  <c r="DQ1384" i="4"/>
  <c r="DR1384" i="4"/>
  <c r="DI1385" i="4"/>
  <c r="DJ1385" i="4"/>
  <c r="DL1385" i="4"/>
  <c r="DM1385" i="4"/>
  <c r="DN1385" i="4"/>
  <c r="DP1385" i="4"/>
  <c r="DQ1385" i="4"/>
  <c r="DR1385" i="4"/>
  <c r="DI1386" i="4"/>
  <c r="DJ1386" i="4"/>
  <c r="DL1386" i="4"/>
  <c r="DM1386" i="4"/>
  <c r="DN1386" i="4"/>
  <c r="DP1386" i="4"/>
  <c r="DQ1386" i="4"/>
  <c r="DR1386" i="4"/>
  <c r="DI1387" i="4"/>
  <c r="DJ1387" i="4"/>
  <c r="DL1387" i="4"/>
  <c r="DM1387" i="4"/>
  <c r="DN1387" i="4"/>
  <c r="DP1387" i="4"/>
  <c r="DQ1387" i="4"/>
  <c r="DR1387" i="4"/>
  <c r="DI1389" i="4"/>
  <c r="DJ1389" i="4"/>
  <c r="DL1389" i="4"/>
  <c r="DM1389" i="4"/>
  <c r="DN1389" i="4"/>
  <c r="DP1389" i="4"/>
  <c r="DQ1389" i="4"/>
  <c r="DR1389" i="4"/>
  <c r="DI1391" i="4"/>
  <c r="DJ1391" i="4"/>
  <c r="DL1391" i="4"/>
  <c r="DM1391" i="4"/>
  <c r="DN1391" i="4"/>
  <c r="DP1391" i="4"/>
  <c r="DQ1391" i="4"/>
  <c r="DR1391" i="4"/>
  <c r="DI1395" i="4"/>
  <c r="DJ1395" i="4"/>
  <c r="DL1395" i="4"/>
  <c r="DM1395" i="4"/>
  <c r="DN1395" i="4"/>
  <c r="DP1395" i="4"/>
  <c r="DQ1395" i="4"/>
  <c r="DR1395" i="4"/>
  <c r="DI1397" i="4"/>
  <c r="DJ1397" i="4"/>
  <c r="DL1397" i="4"/>
  <c r="DM1397" i="4"/>
  <c r="DN1397" i="4"/>
  <c r="DP1397" i="4"/>
  <c r="DQ1397" i="4"/>
  <c r="DR1397" i="4"/>
  <c r="DI1399" i="4"/>
  <c r="DJ1399" i="4"/>
  <c r="DL1399" i="4"/>
  <c r="DM1399" i="4"/>
  <c r="DN1399" i="4"/>
  <c r="DP1399" i="4"/>
  <c r="DQ1399" i="4"/>
  <c r="DR1399" i="4"/>
  <c r="DL1400" i="4"/>
  <c r="DM1400" i="4"/>
  <c r="DN1400" i="4"/>
  <c r="DP1400" i="4"/>
  <c r="DQ1400" i="4"/>
  <c r="DR1400" i="4"/>
  <c r="DI1403" i="4"/>
  <c r="DJ1403" i="4"/>
  <c r="DL1403" i="4"/>
  <c r="DM1403" i="4"/>
  <c r="DN1403" i="4"/>
  <c r="DP1403" i="4"/>
  <c r="DQ1403" i="4"/>
  <c r="DR1403" i="4"/>
  <c r="DI1404" i="4"/>
  <c r="DJ1404" i="4"/>
  <c r="DL1404" i="4"/>
  <c r="DM1404" i="4"/>
  <c r="DN1404" i="4"/>
  <c r="DP1404" i="4"/>
  <c r="DQ1404" i="4"/>
  <c r="DR1404" i="4"/>
  <c r="DI1405" i="4"/>
  <c r="DJ1405" i="4"/>
  <c r="DL1405" i="4"/>
  <c r="DM1405" i="4"/>
  <c r="DN1405" i="4"/>
  <c r="DP1405" i="4"/>
  <c r="DQ1405" i="4"/>
  <c r="DR1405" i="4"/>
  <c r="DI1407" i="4"/>
  <c r="DJ1407" i="4"/>
  <c r="DL1407" i="4"/>
  <c r="DM1407" i="4"/>
  <c r="DN1407" i="4"/>
  <c r="DP1407" i="4"/>
  <c r="DQ1407" i="4"/>
  <c r="DR1407" i="4"/>
  <c r="DI1408" i="4"/>
  <c r="DJ1408" i="4"/>
  <c r="DL1408" i="4"/>
  <c r="DM1408" i="4"/>
  <c r="DN1408" i="4"/>
  <c r="DP1408" i="4"/>
  <c r="DQ1408" i="4"/>
  <c r="DR1408" i="4"/>
  <c r="DI1410" i="4"/>
  <c r="DJ1410" i="4"/>
  <c r="DL1410" i="4"/>
  <c r="DM1410" i="4"/>
  <c r="DN1410" i="4"/>
  <c r="DP1410" i="4"/>
  <c r="DQ1410" i="4"/>
  <c r="DR1410" i="4"/>
  <c r="DI1411" i="4"/>
  <c r="DJ1411" i="4"/>
  <c r="DL1411" i="4"/>
  <c r="DM1411" i="4"/>
  <c r="DN1411" i="4"/>
  <c r="DP1411" i="4"/>
  <c r="DQ1411" i="4"/>
  <c r="DR1411" i="4"/>
  <c r="DI1412" i="4"/>
  <c r="DJ1412" i="4"/>
  <c r="DL1412" i="4"/>
  <c r="DM1412" i="4"/>
  <c r="DN1412" i="4"/>
  <c r="DP1412" i="4"/>
  <c r="DQ1412" i="4"/>
  <c r="DR1412" i="4"/>
  <c r="DI1413" i="4"/>
  <c r="DJ1413" i="4"/>
  <c r="DL1413" i="4"/>
  <c r="DM1413" i="4"/>
  <c r="DN1413" i="4"/>
  <c r="DP1413" i="4"/>
  <c r="DQ1413" i="4"/>
  <c r="DR1413" i="4"/>
  <c r="DI1414" i="4"/>
  <c r="DJ1414" i="4"/>
  <c r="DL1414" i="4"/>
  <c r="DM1414" i="4"/>
  <c r="DN1414" i="4"/>
  <c r="DP1414" i="4"/>
  <c r="DQ1414" i="4"/>
  <c r="DR1414" i="4"/>
  <c r="DI1415" i="4"/>
  <c r="DJ1415" i="4"/>
  <c r="DL1415" i="4"/>
  <c r="DM1415" i="4"/>
  <c r="DN1415" i="4"/>
  <c r="DP1415" i="4"/>
  <c r="DQ1415" i="4"/>
  <c r="DR1415" i="4"/>
  <c r="DI1416" i="4"/>
  <c r="DJ1416" i="4"/>
  <c r="DL1416" i="4"/>
  <c r="DM1416" i="4"/>
  <c r="DN1416" i="4"/>
  <c r="DP1416" i="4"/>
  <c r="DQ1416" i="4"/>
  <c r="DR1416" i="4"/>
  <c r="DI1417" i="4"/>
  <c r="DJ1417" i="4"/>
  <c r="DL1417" i="4"/>
  <c r="DM1417" i="4"/>
  <c r="DN1417" i="4"/>
  <c r="DP1417" i="4"/>
  <c r="DQ1417" i="4"/>
  <c r="DR1417" i="4"/>
  <c r="DI1418" i="4"/>
  <c r="DJ1418" i="4"/>
  <c r="DL1418" i="4"/>
  <c r="DM1418" i="4"/>
  <c r="DN1418" i="4"/>
  <c r="DP1418" i="4"/>
  <c r="DQ1418" i="4"/>
  <c r="DR1418" i="4"/>
  <c r="DI1419" i="4"/>
  <c r="DJ1419" i="4"/>
  <c r="DL1419" i="4"/>
  <c r="DM1419" i="4"/>
  <c r="DN1419" i="4"/>
  <c r="DP1419" i="4"/>
  <c r="DQ1419" i="4"/>
  <c r="DR1419" i="4"/>
  <c r="DI1420" i="4"/>
  <c r="DJ1420" i="4"/>
  <c r="DL1420" i="4"/>
  <c r="DM1420" i="4"/>
  <c r="DN1420" i="4"/>
  <c r="DP1420" i="4"/>
  <c r="DQ1420" i="4"/>
  <c r="DR1420" i="4"/>
  <c r="DI1421" i="4"/>
  <c r="DJ1421" i="4"/>
  <c r="DL1421" i="4"/>
  <c r="DM1421" i="4"/>
  <c r="DN1421" i="4"/>
  <c r="DP1421" i="4"/>
  <c r="DQ1421" i="4"/>
  <c r="DR1421" i="4"/>
  <c r="DI1422" i="4"/>
  <c r="DJ1422" i="4"/>
  <c r="DL1422" i="4"/>
  <c r="DM1422" i="4"/>
  <c r="DN1422" i="4"/>
  <c r="DP1422" i="4"/>
  <c r="DQ1422" i="4"/>
  <c r="DR1422" i="4"/>
  <c r="DI1423" i="4"/>
  <c r="DJ1423" i="4"/>
  <c r="DL1423" i="4"/>
  <c r="DM1423" i="4"/>
  <c r="DN1423" i="4"/>
  <c r="DP1423" i="4"/>
  <c r="DQ1423" i="4"/>
  <c r="DR1423" i="4"/>
  <c r="DI1424" i="4"/>
  <c r="DJ1424" i="4"/>
  <c r="DL1424" i="4"/>
  <c r="DM1424" i="4"/>
  <c r="DN1424" i="4"/>
  <c r="DP1424" i="4"/>
  <c r="DQ1424" i="4"/>
  <c r="DR1424" i="4"/>
  <c r="DI1425" i="4"/>
  <c r="DJ1425" i="4"/>
  <c r="DL1425" i="4"/>
  <c r="DM1425" i="4"/>
  <c r="DN1425" i="4"/>
  <c r="DP1425" i="4"/>
  <c r="DQ1425" i="4"/>
  <c r="DR1425" i="4"/>
  <c r="DI1426" i="4"/>
  <c r="DJ1426" i="4"/>
  <c r="DL1426" i="4"/>
  <c r="DM1426" i="4"/>
  <c r="DN1426" i="4"/>
  <c r="DP1426" i="4"/>
  <c r="DQ1426" i="4"/>
  <c r="DR1426" i="4"/>
  <c r="DZ7" i="3"/>
  <c r="EA7" i="3"/>
  <c r="EB7" i="3"/>
  <c r="ED7" i="3"/>
  <c r="EE7" i="3"/>
  <c r="EF7" i="3"/>
  <c r="EB8" i="3"/>
  <c r="EF8" i="3"/>
  <c r="DZ9" i="3"/>
  <c r="EA9" i="3"/>
  <c r="EB9" i="3"/>
  <c r="ED9" i="3"/>
  <c r="EE9" i="3"/>
  <c r="EF9" i="3"/>
  <c r="DZ10" i="3"/>
  <c r="EA10" i="3"/>
  <c r="EB10" i="3"/>
  <c r="ED10" i="3"/>
  <c r="EE10" i="3"/>
  <c r="EF10" i="3"/>
  <c r="DZ11" i="3"/>
  <c r="EA11" i="3"/>
  <c r="EB11" i="3"/>
  <c r="ED11" i="3"/>
  <c r="EE11" i="3"/>
  <c r="EF11" i="3"/>
  <c r="DZ12" i="3"/>
  <c r="EA12" i="3"/>
  <c r="EB12" i="3"/>
  <c r="ED12" i="3"/>
  <c r="EE12" i="3"/>
  <c r="EF12" i="3"/>
  <c r="DZ13" i="3"/>
  <c r="EA13" i="3"/>
  <c r="EB13" i="3"/>
  <c r="ED13" i="3"/>
  <c r="EE13" i="3"/>
  <c r="EF13" i="3"/>
  <c r="DZ14" i="3"/>
  <c r="EA14" i="3"/>
  <c r="EB14" i="3"/>
  <c r="ED14" i="3"/>
  <c r="EE14" i="3"/>
  <c r="EF14" i="3"/>
  <c r="EB15" i="3"/>
  <c r="EF15" i="3"/>
  <c r="DZ17" i="3"/>
  <c r="EA17" i="3"/>
  <c r="EB17" i="3"/>
  <c r="ED17" i="3"/>
  <c r="EE17" i="3"/>
  <c r="EF17" i="3"/>
  <c r="DZ18" i="3"/>
  <c r="EA18" i="3"/>
  <c r="EB18" i="3"/>
  <c r="ED18" i="3"/>
  <c r="EE18" i="3"/>
  <c r="EF18" i="3"/>
  <c r="DZ19" i="3"/>
  <c r="EA19" i="3"/>
  <c r="EB19" i="3"/>
  <c r="ED19" i="3"/>
  <c r="EE19" i="3"/>
  <c r="EF19" i="3"/>
  <c r="DW24" i="3"/>
  <c r="DX24" i="3"/>
  <c r="DZ24" i="3"/>
  <c r="EA24" i="3"/>
  <c r="EB24" i="3"/>
  <c r="ED24" i="3"/>
  <c r="EE24" i="3"/>
  <c r="EF24" i="3"/>
  <c r="DW25" i="3"/>
  <c r="DX25" i="3"/>
  <c r="DZ25" i="3"/>
  <c r="EA25" i="3"/>
  <c r="EB25" i="3"/>
  <c r="ED25" i="3"/>
  <c r="EE25" i="3"/>
  <c r="EF25" i="3"/>
  <c r="DW26" i="3"/>
  <c r="DX26" i="3"/>
  <c r="DZ26" i="3"/>
  <c r="EA26" i="3"/>
  <c r="EB26" i="3"/>
  <c r="ED26" i="3"/>
  <c r="EE26" i="3"/>
  <c r="EF26" i="3"/>
  <c r="DW27" i="3"/>
  <c r="DX27" i="3"/>
  <c r="DZ27" i="3"/>
  <c r="EA27" i="3"/>
  <c r="EB27" i="3"/>
  <c r="ED27" i="3"/>
  <c r="EE27" i="3"/>
  <c r="EF27" i="3"/>
  <c r="DW28" i="3"/>
  <c r="DX28" i="3"/>
  <c r="DZ28" i="3"/>
  <c r="EA28" i="3"/>
  <c r="EB28" i="3"/>
  <c r="ED28" i="3"/>
  <c r="EE28" i="3"/>
  <c r="EF28" i="3"/>
  <c r="BL29" i="3"/>
  <c r="BM29" i="3"/>
  <c r="BN29" i="3"/>
  <c r="BP29" i="3"/>
  <c r="BQ29" i="3"/>
  <c r="BR29" i="3"/>
  <c r="DW29" i="3"/>
  <c r="DX29" i="3"/>
  <c r="DZ29" i="3"/>
  <c r="EA29" i="3"/>
  <c r="EB29" i="3"/>
  <c r="ED29" i="3"/>
  <c r="EE29" i="3"/>
  <c r="EF29" i="3"/>
  <c r="BL30" i="3"/>
  <c r="BM30" i="3"/>
  <c r="BN30" i="3"/>
  <c r="BP30" i="3"/>
  <c r="BQ30" i="3"/>
  <c r="BR30" i="3"/>
  <c r="DW30" i="3"/>
  <c r="DX30" i="3"/>
  <c r="DZ30" i="3"/>
  <c r="EA30" i="3"/>
  <c r="EB30" i="3"/>
  <c r="ED30" i="3"/>
  <c r="EE30" i="3"/>
  <c r="EF30" i="3"/>
  <c r="BL31" i="3"/>
  <c r="BM31" i="3"/>
  <c r="BN31" i="3"/>
  <c r="BP31" i="3"/>
  <c r="BQ31" i="3"/>
  <c r="BR31" i="3"/>
  <c r="BL32" i="3"/>
  <c r="BM32" i="3"/>
  <c r="BN32" i="3"/>
  <c r="BP32" i="3"/>
  <c r="BQ32" i="3"/>
  <c r="BR32" i="3"/>
  <c r="BL33" i="3"/>
  <c r="BM33" i="3"/>
  <c r="BN33" i="3"/>
  <c r="BP33" i="3"/>
  <c r="BQ33" i="3"/>
  <c r="BR33" i="3"/>
  <c r="DW38" i="3"/>
  <c r="DX38" i="3"/>
  <c r="DZ38" i="3"/>
  <c r="EA38" i="3"/>
  <c r="EB38" i="3"/>
  <c r="ED38" i="3"/>
  <c r="EE38" i="3"/>
  <c r="EF38" i="3"/>
  <c r="DW39" i="3"/>
  <c r="DX39" i="3"/>
  <c r="DZ39" i="3"/>
  <c r="EA39" i="3"/>
  <c r="EB39" i="3"/>
  <c r="ED39" i="3"/>
  <c r="EE39" i="3"/>
  <c r="EF39" i="3"/>
  <c r="DW41" i="3"/>
  <c r="DX41" i="3"/>
  <c r="DZ41" i="3"/>
  <c r="EA41" i="3"/>
  <c r="EB41" i="3"/>
  <c r="ED41" i="3"/>
  <c r="EE41" i="3"/>
  <c r="EF41" i="3"/>
  <c r="DX42" i="3"/>
  <c r="EB42" i="3"/>
  <c r="EF42" i="3"/>
  <c r="BI43" i="3"/>
  <c r="BJ43" i="3"/>
  <c r="BL43" i="3"/>
  <c r="BM43" i="3"/>
  <c r="BN43" i="3"/>
  <c r="BP43" i="3"/>
  <c r="BQ43" i="3"/>
  <c r="BR43" i="3"/>
  <c r="DW43" i="3"/>
  <c r="DX43" i="3"/>
  <c r="DZ43" i="3"/>
  <c r="EA43" i="3"/>
  <c r="EB43" i="3"/>
  <c r="ED43" i="3"/>
  <c r="EE43" i="3"/>
  <c r="EF43" i="3"/>
  <c r="DW45" i="3"/>
  <c r="DX45" i="3"/>
  <c r="DZ45" i="3"/>
  <c r="EA45" i="3"/>
  <c r="EB45" i="3"/>
  <c r="ED45" i="3"/>
  <c r="EE45" i="3"/>
  <c r="EF45" i="3"/>
  <c r="DW46" i="3"/>
  <c r="DX46" i="3"/>
  <c r="DZ46" i="3"/>
  <c r="EA46" i="3"/>
  <c r="EB46" i="3"/>
  <c r="ED46" i="3"/>
  <c r="EE46" i="3"/>
  <c r="EF46" i="3"/>
  <c r="BL47" i="3"/>
  <c r="BM47" i="3"/>
  <c r="BN47" i="3"/>
  <c r="BP47" i="3"/>
  <c r="BQ47" i="3"/>
  <c r="BR47" i="3"/>
  <c r="CZ47" i="3"/>
  <c r="DX47" i="3"/>
  <c r="EB47" i="3"/>
  <c r="EF47" i="3"/>
  <c r="DW48" i="3"/>
  <c r="DX48" i="3"/>
  <c r="DZ48" i="3"/>
  <c r="EA48" i="3"/>
  <c r="EB48" i="3"/>
  <c r="ED48" i="3"/>
  <c r="EE48" i="3"/>
  <c r="EF48" i="3"/>
  <c r="DX49" i="3"/>
  <c r="EB49" i="3"/>
  <c r="EF49" i="3"/>
  <c r="BI51" i="3"/>
  <c r="BJ51" i="3"/>
  <c r="BL51" i="3"/>
  <c r="BM51" i="3"/>
  <c r="BN51" i="3"/>
  <c r="BP51" i="3"/>
  <c r="BQ51" i="3"/>
  <c r="BR51" i="3"/>
  <c r="EB51" i="3"/>
  <c r="EF51" i="3"/>
  <c r="BI52" i="3"/>
  <c r="BJ52" i="3"/>
  <c r="BL52" i="3"/>
  <c r="BM52" i="3"/>
  <c r="BN52" i="3"/>
  <c r="BP52" i="3"/>
  <c r="BQ52" i="3"/>
  <c r="BR52" i="3"/>
  <c r="BL54" i="3"/>
  <c r="BM54" i="3"/>
  <c r="BN54" i="3"/>
  <c r="BP54" i="3"/>
  <c r="BQ54" i="3"/>
  <c r="BR54" i="3"/>
  <c r="BL55" i="3"/>
  <c r="BM55" i="3"/>
  <c r="BN55" i="3"/>
  <c r="BP55" i="3"/>
  <c r="BQ55" i="3"/>
  <c r="BR55" i="3"/>
  <c r="DW55" i="3"/>
  <c r="DX55" i="3"/>
  <c r="DZ55" i="3"/>
  <c r="EA55" i="3"/>
  <c r="EB55" i="3"/>
  <c r="ED55" i="3"/>
  <c r="EE55" i="3"/>
  <c r="EF55" i="3"/>
  <c r="BL56" i="3"/>
  <c r="BM56" i="3"/>
  <c r="BN56" i="3"/>
  <c r="BP56" i="3"/>
  <c r="BQ56" i="3"/>
  <c r="BR56" i="3"/>
  <c r="DW56" i="3"/>
  <c r="DX56" i="3"/>
  <c r="DZ56" i="3"/>
  <c r="EA56" i="3"/>
  <c r="EB56" i="3"/>
  <c r="ED56" i="3"/>
  <c r="EE56" i="3"/>
  <c r="EF56" i="3"/>
  <c r="BL57" i="3"/>
  <c r="BM57" i="3"/>
  <c r="BN57" i="3"/>
  <c r="BP57" i="3"/>
  <c r="BQ57" i="3"/>
  <c r="BR57" i="3"/>
  <c r="DW66" i="3"/>
  <c r="DX66" i="3"/>
  <c r="DZ66" i="3"/>
  <c r="EA66" i="3"/>
  <c r="EB66" i="3"/>
  <c r="ED66" i="3"/>
  <c r="EE66" i="3"/>
  <c r="EF66" i="3"/>
  <c r="DW67" i="3"/>
  <c r="DX67" i="3"/>
  <c r="DZ67" i="3"/>
  <c r="EA67" i="3"/>
  <c r="EB67" i="3"/>
  <c r="ED67" i="3"/>
  <c r="EE67" i="3"/>
  <c r="EF67" i="3"/>
  <c r="DW70" i="3"/>
  <c r="DX70" i="3"/>
  <c r="DZ70" i="3"/>
  <c r="EA70" i="3"/>
  <c r="EB70" i="3"/>
  <c r="ED70" i="3"/>
  <c r="EE70" i="3"/>
  <c r="EF70" i="3"/>
  <c r="DW71" i="3"/>
  <c r="DX71" i="3"/>
  <c r="DZ71" i="3"/>
  <c r="EA71" i="3"/>
  <c r="EB71" i="3"/>
  <c r="ED71" i="3"/>
  <c r="EE71" i="3"/>
  <c r="EF71" i="3"/>
  <c r="DX72" i="3"/>
  <c r="EB72" i="3"/>
  <c r="EF72" i="3"/>
  <c r="DW73" i="3"/>
  <c r="DX73" i="3"/>
  <c r="DZ73" i="3"/>
  <c r="EA73" i="3"/>
  <c r="EB73" i="3"/>
  <c r="ED73" i="3"/>
  <c r="EE73" i="3"/>
  <c r="EF73" i="3"/>
  <c r="DW74" i="3"/>
  <c r="DX74" i="3"/>
  <c r="DZ74" i="3"/>
  <c r="EA74" i="3"/>
  <c r="EB74" i="3"/>
  <c r="ED74" i="3"/>
  <c r="EE74" i="3"/>
  <c r="EF74" i="3"/>
  <c r="DW75" i="3"/>
  <c r="DX75" i="3"/>
  <c r="DZ75" i="3"/>
  <c r="EA75" i="3"/>
  <c r="EB75" i="3"/>
  <c r="ED75" i="3"/>
  <c r="EE75" i="3"/>
  <c r="EF75" i="3"/>
  <c r="BL77" i="3"/>
  <c r="BM77" i="3"/>
  <c r="BN77" i="3"/>
  <c r="BP77" i="3"/>
  <c r="BQ77" i="3"/>
  <c r="BR77" i="3"/>
  <c r="DW79" i="3"/>
  <c r="DX79" i="3"/>
  <c r="DZ79" i="3"/>
  <c r="EA79" i="3"/>
  <c r="EB79" i="3"/>
  <c r="ED79" i="3"/>
  <c r="EE79" i="3"/>
  <c r="EF79" i="3"/>
  <c r="C6" i="12"/>
  <c r="G6" i="12"/>
  <c r="H6" i="12"/>
  <c r="J6" i="12"/>
  <c r="G7" i="12"/>
  <c r="H7" i="12"/>
  <c r="J7" i="12"/>
  <c r="G8" i="12"/>
  <c r="H8" i="12"/>
  <c r="J8" i="12"/>
  <c r="G9" i="12"/>
  <c r="H9" i="12"/>
  <c r="J9" i="12"/>
  <c r="G10" i="12"/>
  <c r="H10" i="12"/>
  <c r="J10" i="12"/>
  <c r="G12" i="12"/>
  <c r="H12" i="12"/>
  <c r="J12" i="12"/>
  <c r="H13" i="12"/>
  <c r="J13" i="12"/>
  <c r="AL13" i="12"/>
  <c r="AM13" i="12"/>
  <c r="AN13" i="12"/>
  <c r="AO13" i="12"/>
  <c r="AP13" i="12"/>
  <c r="AQ13" i="12"/>
  <c r="AR13" i="12"/>
  <c r="AS13" i="12"/>
  <c r="AT13" i="12"/>
  <c r="AU13" i="12"/>
  <c r="AV13" i="12"/>
  <c r="AW13" i="12"/>
  <c r="AX13" i="12"/>
  <c r="AY13" i="12"/>
  <c r="AZ13" i="12"/>
  <c r="BA13" i="12"/>
  <c r="BB13" i="12"/>
  <c r="BC13" i="12"/>
  <c r="BD13" i="12"/>
  <c r="BE13" i="12"/>
  <c r="BF13" i="12"/>
  <c r="BG13" i="12"/>
  <c r="BH13" i="12"/>
  <c r="BI13" i="12"/>
  <c r="BJ13" i="12"/>
  <c r="BK13" i="12"/>
  <c r="BL13" i="12"/>
  <c r="BM13" i="12"/>
  <c r="BN13" i="12"/>
  <c r="BO13" i="12"/>
  <c r="BP13" i="12"/>
  <c r="BQ13" i="12"/>
  <c r="BR13" i="12"/>
  <c r="BS13" i="12"/>
  <c r="BT13" i="12"/>
  <c r="BU13" i="12"/>
  <c r="BV13" i="12"/>
  <c r="BW13" i="12"/>
  <c r="BX13" i="12"/>
  <c r="BY13" i="12"/>
  <c r="BZ13" i="12"/>
  <c r="CA13" i="12"/>
  <c r="CB13" i="12"/>
  <c r="CC13" i="12"/>
  <c r="CD13" i="12"/>
  <c r="CE13" i="12"/>
  <c r="CF13" i="12"/>
  <c r="CG13" i="12"/>
  <c r="CH13" i="12"/>
  <c r="CI13" i="12"/>
  <c r="CJ13" i="12"/>
  <c r="H14" i="12"/>
  <c r="AL14" i="12"/>
  <c r="AM14" i="12"/>
  <c r="AN14" i="12"/>
  <c r="AL15" i="12"/>
  <c r="AM15" i="12"/>
  <c r="AN15" i="12"/>
  <c r="AO15" i="12"/>
  <c r="AP15" i="12"/>
  <c r="AQ15" i="12"/>
  <c r="AR15" i="12"/>
  <c r="AS15" i="12"/>
  <c r="AT15" i="12"/>
  <c r="AU15" i="12"/>
  <c r="AV15" i="12"/>
  <c r="AW15" i="12"/>
  <c r="AX15" i="12"/>
  <c r="AY15" i="12"/>
  <c r="AZ15" i="12"/>
  <c r="BA15" i="12"/>
  <c r="BB15" i="12"/>
  <c r="BC15" i="12"/>
  <c r="BD15" i="12"/>
  <c r="BE15" i="12"/>
  <c r="BF15" i="12"/>
  <c r="BG15" i="12"/>
  <c r="BH15" i="12"/>
  <c r="BI15" i="12"/>
  <c r="BJ15" i="12"/>
  <c r="BK15" i="12"/>
  <c r="BL15" i="12"/>
  <c r="BM15" i="12"/>
  <c r="BN15" i="12"/>
  <c r="BO15" i="12"/>
  <c r="BP15" i="12"/>
  <c r="BQ15" i="12"/>
  <c r="BR15" i="12"/>
  <c r="BS15" i="12"/>
  <c r="BT15" i="12"/>
  <c r="BU15" i="12"/>
  <c r="BV15" i="12"/>
  <c r="BW15" i="12"/>
  <c r="BX15" i="12"/>
  <c r="BY15" i="12"/>
  <c r="BZ15" i="12"/>
  <c r="CA15" i="12"/>
  <c r="CB15" i="12"/>
  <c r="CC15" i="12"/>
  <c r="CD15" i="12"/>
  <c r="CE15" i="12"/>
  <c r="CF15" i="12"/>
  <c r="CG15" i="12"/>
  <c r="CH15" i="12"/>
  <c r="CI15" i="12"/>
  <c r="CJ15" i="12"/>
  <c r="S16" i="12"/>
  <c r="AL16" i="12"/>
  <c r="AM16" i="12"/>
  <c r="AN16" i="12"/>
  <c r="AO16" i="12"/>
  <c r="AP16" i="12"/>
  <c r="AQ16" i="12"/>
  <c r="AR16" i="12"/>
  <c r="AS16" i="12"/>
  <c r="AT16" i="12"/>
  <c r="AU16" i="12"/>
  <c r="AV16" i="12"/>
  <c r="AW16" i="12"/>
  <c r="AX16" i="12"/>
  <c r="AY16" i="12"/>
  <c r="AZ16" i="12"/>
  <c r="BA16" i="12"/>
  <c r="BB16" i="12"/>
  <c r="BC16" i="12"/>
  <c r="BD16" i="12"/>
  <c r="BE16" i="12"/>
  <c r="BF16" i="12"/>
  <c r="BG16" i="12"/>
  <c r="BH16" i="12"/>
  <c r="BI16" i="12"/>
  <c r="BJ16" i="12"/>
  <c r="BK16" i="12"/>
  <c r="BL16" i="12"/>
  <c r="BM16" i="12"/>
  <c r="BN16" i="12"/>
  <c r="BO16" i="12"/>
  <c r="BP16" i="12"/>
  <c r="BQ16" i="12"/>
  <c r="BR16" i="12"/>
  <c r="BS16" i="12"/>
  <c r="BT16" i="12"/>
  <c r="BU16" i="12"/>
  <c r="BV16" i="12"/>
  <c r="BW16" i="12"/>
  <c r="BX16" i="12"/>
  <c r="BY16" i="12"/>
  <c r="BZ16" i="12"/>
  <c r="CA16" i="12"/>
  <c r="CB16" i="12"/>
  <c r="CC16" i="12"/>
  <c r="CD16" i="12"/>
  <c r="CE16" i="12"/>
  <c r="CF16" i="12"/>
  <c r="CG16" i="12"/>
  <c r="CH16" i="12"/>
  <c r="CI16" i="12"/>
  <c r="CJ16" i="12"/>
  <c r="G18" i="12"/>
  <c r="H18" i="12"/>
  <c r="G19" i="12"/>
  <c r="H19" i="12"/>
  <c r="G20" i="12"/>
  <c r="H20" i="12"/>
  <c r="G21" i="12"/>
  <c r="H21" i="12"/>
  <c r="C22" i="12"/>
  <c r="G22" i="12"/>
  <c r="H22" i="12"/>
  <c r="C23" i="12"/>
  <c r="G24" i="12"/>
  <c r="H24" i="12"/>
  <c r="AL24" i="12"/>
  <c r="AM24" i="12"/>
  <c r="AN24" i="12"/>
  <c r="AO24" i="12"/>
  <c r="AP24" i="12"/>
  <c r="AQ24" i="12"/>
  <c r="AR24" i="12"/>
  <c r="AS24" i="12"/>
  <c r="AT24" i="12"/>
  <c r="AU24" i="12"/>
  <c r="AV24" i="12"/>
  <c r="AW24" i="12"/>
  <c r="AX24" i="12"/>
  <c r="AY24" i="12"/>
  <c r="AZ24" i="12"/>
  <c r="BA24" i="12"/>
  <c r="BB24" i="12"/>
  <c r="BC24" i="12"/>
  <c r="BD24" i="12"/>
  <c r="BE24" i="12"/>
  <c r="BF24" i="12"/>
  <c r="BG24" i="12"/>
  <c r="BH24" i="12"/>
  <c r="BI24" i="12"/>
  <c r="BJ24" i="12"/>
  <c r="BK24" i="12"/>
  <c r="BL24" i="12"/>
  <c r="BM24" i="12"/>
  <c r="BN24" i="12"/>
  <c r="BO24" i="12"/>
  <c r="BP24" i="12"/>
  <c r="BQ24" i="12"/>
  <c r="BR24" i="12"/>
  <c r="BS24" i="12"/>
  <c r="BT24" i="12"/>
  <c r="BU24" i="12"/>
  <c r="BV24" i="12"/>
  <c r="BW24" i="12"/>
  <c r="BX24" i="12"/>
  <c r="BY24" i="12"/>
  <c r="BZ24" i="12"/>
  <c r="CA24" i="12"/>
  <c r="CB24" i="12"/>
  <c r="CC24" i="12"/>
  <c r="CD24" i="12"/>
  <c r="CE24" i="12"/>
  <c r="CF24" i="12"/>
  <c r="CG24" i="12"/>
  <c r="CH24" i="12"/>
  <c r="CI24" i="12"/>
  <c r="CJ24" i="12"/>
  <c r="H25" i="12"/>
  <c r="S25" i="12"/>
  <c r="AL25" i="12"/>
  <c r="AM25" i="12"/>
  <c r="AN25" i="12"/>
  <c r="AO25" i="12"/>
  <c r="AP25" i="12"/>
  <c r="AQ25" i="12"/>
  <c r="AR25" i="12"/>
  <c r="AS25" i="12"/>
  <c r="AT25" i="12"/>
  <c r="AU25" i="12"/>
  <c r="AV25" i="12"/>
  <c r="AW25" i="12"/>
  <c r="AX25" i="12"/>
  <c r="AY25" i="12"/>
  <c r="AZ25" i="12"/>
  <c r="BA25" i="12"/>
  <c r="BB25" i="12"/>
  <c r="BC25" i="12"/>
  <c r="BD25" i="12"/>
  <c r="BE25" i="12"/>
  <c r="BF25" i="12"/>
  <c r="BG25" i="12"/>
  <c r="BH25" i="12"/>
  <c r="BI25" i="12"/>
  <c r="BJ25" i="12"/>
  <c r="BK25" i="12"/>
  <c r="BL25" i="12"/>
  <c r="BM25" i="12"/>
  <c r="BN25" i="12"/>
  <c r="BO25" i="12"/>
  <c r="BP25" i="12"/>
  <c r="BQ25" i="12"/>
  <c r="BR25" i="12"/>
  <c r="BS25" i="12"/>
  <c r="BT25" i="12"/>
  <c r="BU25" i="12"/>
  <c r="BV25" i="12"/>
  <c r="BW25" i="12"/>
  <c r="BX25" i="12"/>
  <c r="BY25" i="12"/>
  <c r="BZ25" i="12"/>
  <c r="CA25" i="12"/>
  <c r="CB25" i="12"/>
  <c r="CC25" i="12"/>
  <c r="CD25" i="12"/>
  <c r="CE25" i="12"/>
  <c r="CF25" i="12"/>
  <c r="CG25" i="12"/>
  <c r="CH25" i="12"/>
  <c r="CI25" i="12"/>
  <c r="CJ25" i="12"/>
  <c r="H26" i="12"/>
  <c r="AL26" i="12"/>
  <c r="AM26" i="12"/>
  <c r="AN26" i="12"/>
  <c r="AO26" i="12"/>
  <c r="AP26" i="12"/>
  <c r="AQ26" i="12"/>
  <c r="AR26" i="12"/>
  <c r="AS26" i="12"/>
  <c r="AT26" i="12"/>
  <c r="AU26" i="12"/>
  <c r="AV26" i="12"/>
  <c r="AW26" i="12"/>
  <c r="AX26" i="12"/>
  <c r="AY26" i="12"/>
  <c r="AZ26" i="12"/>
  <c r="BA26" i="12"/>
  <c r="BB26" i="12"/>
  <c r="BC26" i="12"/>
  <c r="BD26" i="12"/>
  <c r="BE26" i="12"/>
  <c r="BF26" i="12"/>
  <c r="BG26" i="12"/>
  <c r="BH26" i="12"/>
  <c r="BI26" i="12"/>
  <c r="BJ26" i="12"/>
  <c r="BK26" i="12"/>
  <c r="BL26" i="12"/>
  <c r="BM26" i="12"/>
  <c r="BN26" i="12"/>
  <c r="BO26" i="12"/>
  <c r="BP26" i="12"/>
  <c r="BQ26" i="12"/>
  <c r="BR26" i="12"/>
  <c r="BS26" i="12"/>
  <c r="BT26" i="12"/>
  <c r="BU26" i="12"/>
  <c r="BV26" i="12"/>
  <c r="BW26" i="12"/>
  <c r="BX26" i="12"/>
  <c r="BY26" i="12"/>
  <c r="BZ26" i="12"/>
  <c r="CA26" i="12"/>
  <c r="CB26" i="12"/>
  <c r="CC26" i="12"/>
  <c r="CD26" i="12"/>
  <c r="CE26" i="12"/>
  <c r="CF26" i="12"/>
  <c r="CG26" i="12"/>
  <c r="CH26" i="12"/>
  <c r="CI26" i="12"/>
  <c r="CJ26" i="12"/>
  <c r="C27" i="12"/>
  <c r="AL28" i="12"/>
  <c r="AM28" i="12"/>
  <c r="AN28" i="12"/>
  <c r="AO28" i="12"/>
  <c r="AP28" i="12"/>
  <c r="AQ28" i="12"/>
  <c r="AR28" i="12"/>
  <c r="AS28" i="12"/>
  <c r="AT28" i="12"/>
  <c r="AU28" i="12"/>
  <c r="AV28" i="12"/>
  <c r="AW28" i="12"/>
  <c r="AX28" i="12"/>
  <c r="AY28" i="12"/>
  <c r="AZ28" i="12"/>
  <c r="BA28" i="12"/>
  <c r="BB28" i="12"/>
  <c r="BC28" i="12"/>
  <c r="BD28" i="12"/>
  <c r="BE28" i="12"/>
  <c r="BF28" i="12"/>
  <c r="BG28" i="12"/>
  <c r="BH28" i="12"/>
  <c r="BI28" i="12"/>
  <c r="BJ28" i="12"/>
  <c r="BK28" i="12"/>
  <c r="BL28" i="12"/>
  <c r="BM28" i="12"/>
  <c r="BN28" i="12"/>
  <c r="BO28" i="12"/>
  <c r="BP28" i="12"/>
  <c r="BQ28" i="12"/>
  <c r="BR28" i="12"/>
  <c r="BS28" i="12"/>
  <c r="BT28" i="12"/>
  <c r="BU28" i="12"/>
  <c r="BV28" i="12"/>
  <c r="BW28" i="12"/>
  <c r="BX28" i="12"/>
  <c r="BY28" i="12"/>
  <c r="BZ28" i="12"/>
  <c r="CA28" i="12"/>
  <c r="CB28" i="12"/>
  <c r="CC28" i="12"/>
  <c r="CD28" i="12"/>
  <c r="CE28" i="12"/>
  <c r="CF28" i="12"/>
  <c r="CG28" i="12"/>
  <c r="CH28" i="12"/>
  <c r="CI28" i="12"/>
  <c r="CJ28" i="12"/>
  <c r="C29" i="12"/>
  <c r="G29" i="12"/>
  <c r="H29" i="12"/>
  <c r="AL29" i="12"/>
  <c r="AM29" i="12"/>
  <c r="AN29" i="12"/>
  <c r="AO29" i="12"/>
  <c r="AP29" i="12"/>
  <c r="AQ29" i="12"/>
  <c r="AR29" i="12"/>
  <c r="AS29" i="12"/>
  <c r="AT29" i="12"/>
  <c r="AU29" i="12"/>
  <c r="AV29" i="12"/>
  <c r="AW29" i="12"/>
  <c r="AX29" i="12"/>
  <c r="AY29" i="12"/>
  <c r="AZ29" i="12"/>
  <c r="BA29" i="12"/>
  <c r="BB29" i="12"/>
  <c r="BC29" i="12"/>
  <c r="BD29" i="12"/>
  <c r="BE29" i="12"/>
  <c r="BF29" i="12"/>
  <c r="BG29" i="12"/>
  <c r="BH29" i="12"/>
  <c r="BI29" i="12"/>
  <c r="BJ29" i="12"/>
  <c r="BK29" i="12"/>
  <c r="BL29" i="12"/>
  <c r="BM29" i="12"/>
  <c r="BN29" i="12"/>
  <c r="BO29" i="12"/>
  <c r="BP29" i="12"/>
  <c r="BQ29" i="12"/>
  <c r="BR29" i="12"/>
  <c r="BS29" i="12"/>
  <c r="BT29" i="12"/>
  <c r="BU29" i="12"/>
  <c r="BV29" i="12"/>
  <c r="BW29" i="12"/>
  <c r="BX29" i="12"/>
  <c r="BY29" i="12"/>
  <c r="BZ29" i="12"/>
  <c r="CA29" i="12"/>
  <c r="CB29" i="12"/>
  <c r="CC29" i="12"/>
  <c r="CD29" i="12"/>
  <c r="CE29" i="12"/>
  <c r="CF29" i="12"/>
  <c r="CG29" i="12"/>
  <c r="CH29" i="12"/>
  <c r="CI29" i="12"/>
  <c r="CJ29" i="12"/>
  <c r="C30" i="12"/>
  <c r="G32" i="12"/>
  <c r="H32" i="12"/>
  <c r="G33" i="12"/>
  <c r="H33" i="12"/>
  <c r="AL33" i="12"/>
  <c r="AM33" i="12"/>
  <c r="AN33" i="12"/>
  <c r="AO33" i="12"/>
  <c r="AP33" i="12"/>
  <c r="AQ33" i="12"/>
  <c r="AR33" i="12"/>
  <c r="AS33" i="12"/>
  <c r="AT33" i="12"/>
  <c r="AU33" i="12"/>
  <c r="AV33" i="12"/>
  <c r="AW33" i="12"/>
  <c r="AX33" i="12"/>
  <c r="AY33" i="12"/>
  <c r="AZ33" i="12"/>
  <c r="BA33" i="12"/>
  <c r="BB33" i="12"/>
  <c r="BC33" i="12"/>
  <c r="BD33" i="12"/>
  <c r="BE33" i="12"/>
  <c r="BF33" i="12"/>
  <c r="BG33" i="12"/>
  <c r="BH33" i="12"/>
  <c r="BI33" i="12"/>
  <c r="BJ33" i="12"/>
  <c r="BK33" i="12"/>
  <c r="BL33" i="12"/>
  <c r="BM33" i="12"/>
  <c r="BN33" i="12"/>
  <c r="BO33" i="12"/>
  <c r="BP33" i="12"/>
  <c r="BQ33" i="12"/>
  <c r="BR33" i="12"/>
  <c r="BS33" i="12"/>
  <c r="BT33" i="12"/>
  <c r="BU33" i="12"/>
  <c r="BV33" i="12"/>
  <c r="BW33" i="12"/>
  <c r="BX33" i="12"/>
  <c r="BY33" i="12"/>
  <c r="BZ33" i="12"/>
  <c r="CA33" i="12"/>
  <c r="CB33" i="12"/>
  <c r="CC33" i="12"/>
  <c r="CD33" i="12"/>
  <c r="CE33" i="12"/>
  <c r="CF33" i="12"/>
  <c r="CG33" i="12"/>
  <c r="CH33" i="12"/>
  <c r="CI33" i="12"/>
  <c r="CJ33" i="12"/>
  <c r="C34" i="12"/>
  <c r="H34" i="12"/>
  <c r="AL34" i="12"/>
  <c r="AM34" i="12"/>
  <c r="AN34" i="12"/>
  <c r="AO34" i="12"/>
  <c r="AP34" i="12"/>
  <c r="AQ34" i="12"/>
  <c r="AR34" i="12"/>
  <c r="AS34" i="12"/>
  <c r="AT34" i="12"/>
  <c r="AU34" i="12"/>
  <c r="AV34" i="12"/>
  <c r="AW34" i="12"/>
  <c r="AX34" i="12"/>
  <c r="AY34" i="12"/>
  <c r="AZ34" i="12"/>
  <c r="BA34" i="12"/>
  <c r="BB34" i="12"/>
  <c r="BC34" i="12"/>
  <c r="BD34" i="12"/>
  <c r="BE34" i="12"/>
  <c r="BF34" i="12"/>
  <c r="BG34" i="12"/>
  <c r="BH34" i="12"/>
  <c r="BI34" i="12"/>
  <c r="BJ34" i="12"/>
  <c r="BK34" i="12"/>
  <c r="BL34" i="12"/>
  <c r="BM34" i="12"/>
  <c r="BN34" i="12"/>
  <c r="BO34" i="12"/>
  <c r="BP34" i="12"/>
  <c r="BQ34" i="12"/>
  <c r="BR34" i="12"/>
  <c r="BS34" i="12"/>
  <c r="BT34" i="12"/>
  <c r="BU34" i="12"/>
  <c r="BV34" i="12"/>
  <c r="BW34" i="12"/>
  <c r="BX34" i="12"/>
  <c r="BY34" i="12"/>
  <c r="BZ34" i="12"/>
  <c r="CA34" i="12"/>
  <c r="CB34" i="12"/>
  <c r="CC34" i="12"/>
  <c r="CD34" i="12"/>
  <c r="CE34" i="12"/>
  <c r="CF34" i="12"/>
  <c r="CG34" i="12"/>
  <c r="CH34" i="12"/>
  <c r="CI34" i="12"/>
  <c r="CJ34" i="12"/>
  <c r="C35" i="12"/>
  <c r="H35" i="12"/>
  <c r="AL35" i="12"/>
  <c r="AM35" i="12"/>
  <c r="AN35" i="12"/>
  <c r="AO35" i="12"/>
  <c r="AP35" i="12"/>
  <c r="AQ35" i="12"/>
  <c r="AR35" i="12"/>
  <c r="AS35" i="12"/>
  <c r="AT35" i="12"/>
  <c r="AU35" i="12"/>
  <c r="AV35" i="12"/>
  <c r="AW35" i="12"/>
  <c r="AX35" i="12"/>
  <c r="AY35" i="12"/>
  <c r="AZ35" i="12"/>
  <c r="BA35" i="12"/>
  <c r="BB35" i="12"/>
  <c r="BC35" i="12"/>
  <c r="BD35" i="12"/>
  <c r="BE35" i="12"/>
  <c r="BF35" i="12"/>
  <c r="BG35" i="12"/>
  <c r="BH35" i="12"/>
  <c r="BI35" i="12"/>
  <c r="BJ35" i="12"/>
  <c r="BK35" i="12"/>
  <c r="BL35" i="12"/>
  <c r="BM35" i="12"/>
  <c r="BN35" i="12"/>
  <c r="BO35" i="12"/>
  <c r="BP35" i="12"/>
  <c r="BQ35" i="12"/>
  <c r="BR35" i="12"/>
  <c r="BS35" i="12"/>
  <c r="BT35" i="12"/>
  <c r="BU35" i="12"/>
  <c r="BV35" i="12"/>
  <c r="BW35" i="12"/>
  <c r="BX35" i="12"/>
  <c r="BY35" i="12"/>
  <c r="BZ35" i="12"/>
  <c r="CA35" i="12"/>
  <c r="CB35" i="12"/>
  <c r="CC35" i="12"/>
  <c r="CD35" i="12"/>
  <c r="CE35" i="12"/>
  <c r="CF35" i="12"/>
  <c r="CG35" i="12"/>
  <c r="CH35" i="12"/>
  <c r="CI35" i="12"/>
  <c r="CJ35" i="12"/>
  <c r="C36" i="12"/>
  <c r="AL36" i="12"/>
  <c r="AM36" i="12"/>
  <c r="AN36" i="12"/>
  <c r="AO36" i="12"/>
  <c r="AP36" i="12"/>
  <c r="AQ36" i="12"/>
  <c r="AR36" i="12"/>
  <c r="AS36" i="12"/>
  <c r="AT36" i="12"/>
  <c r="AU36" i="12"/>
  <c r="AV36" i="12"/>
  <c r="AW36" i="12"/>
  <c r="AX36" i="12"/>
  <c r="AY36" i="12"/>
  <c r="AZ36" i="12"/>
  <c r="BA36" i="12"/>
  <c r="BB36" i="12"/>
  <c r="BC36" i="12"/>
  <c r="BD36" i="12"/>
  <c r="BE36" i="12"/>
  <c r="BF36" i="12"/>
  <c r="BG36" i="12"/>
  <c r="BH36" i="12"/>
  <c r="BI36" i="12"/>
  <c r="BJ36" i="12"/>
  <c r="BK36" i="12"/>
  <c r="BL36" i="12"/>
  <c r="BM36" i="12"/>
  <c r="BN36" i="12"/>
  <c r="BO36" i="12"/>
  <c r="BP36" i="12"/>
  <c r="BQ36" i="12"/>
  <c r="BR36" i="12"/>
  <c r="BS36" i="12"/>
  <c r="BT36" i="12"/>
  <c r="BU36" i="12"/>
  <c r="BV36" i="12"/>
  <c r="BW36" i="12"/>
  <c r="BX36" i="12"/>
  <c r="BY36" i="12"/>
  <c r="BZ36" i="12"/>
  <c r="CA36" i="12"/>
  <c r="CB36" i="12"/>
  <c r="CC36" i="12"/>
  <c r="CD36" i="12"/>
  <c r="CE36" i="12"/>
  <c r="CF36" i="12"/>
  <c r="CG36" i="12"/>
  <c r="CH36" i="12"/>
  <c r="CI36" i="12"/>
  <c r="CJ36" i="12"/>
  <c r="C37" i="12"/>
  <c r="M38" i="12"/>
  <c r="N38" i="12"/>
  <c r="O38" i="12"/>
  <c r="S38" i="12"/>
  <c r="AL38" i="12"/>
  <c r="AM38" i="12"/>
  <c r="AN38" i="12"/>
  <c r="AO38" i="12"/>
  <c r="AP38" i="12"/>
  <c r="AQ38" i="12"/>
  <c r="AR38" i="12"/>
  <c r="AS38" i="12"/>
  <c r="AT38" i="12"/>
  <c r="AU38" i="12"/>
  <c r="AV38" i="12"/>
  <c r="AW38" i="12"/>
  <c r="AX38" i="12"/>
  <c r="AY38" i="12"/>
  <c r="AZ38" i="12"/>
  <c r="BA38" i="12"/>
  <c r="BB38" i="12"/>
  <c r="BC38" i="12"/>
  <c r="BD38" i="12"/>
  <c r="BE38" i="12"/>
  <c r="BF38" i="12"/>
  <c r="BG38" i="12"/>
  <c r="BH38" i="12"/>
  <c r="BI38" i="12"/>
  <c r="BJ38" i="12"/>
  <c r="BK38" i="12"/>
  <c r="BL38" i="12"/>
  <c r="BM38" i="12"/>
  <c r="BN38" i="12"/>
  <c r="BO38" i="12"/>
  <c r="BP38" i="12"/>
  <c r="BQ38" i="12"/>
  <c r="BR38" i="12"/>
  <c r="BS38" i="12"/>
  <c r="BT38" i="12"/>
  <c r="BU38" i="12"/>
  <c r="BV38" i="12"/>
  <c r="BW38" i="12"/>
  <c r="BX38" i="12"/>
  <c r="BY38" i="12"/>
  <c r="BZ38" i="12"/>
  <c r="CA38" i="12"/>
  <c r="CB38" i="12"/>
  <c r="CC38" i="12"/>
  <c r="CD38" i="12"/>
  <c r="CE38" i="12"/>
  <c r="CF38" i="12"/>
  <c r="CG38" i="12"/>
  <c r="CH38" i="12"/>
  <c r="CI38" i="12"/>
  <c r="CJ38" i="12"/>
  <c r="C39" i="12"/>
  <c r="G39" i="12"/>
  <c r="H39" i="12"/>
  <c r="AL39" i="12"/>
  <c r="AM39" i="12"/>
  <c r="AN39" i="12"/>
  <c r="AO39" i="12"/>
  <c r="AP39" i="12"/>
  <c r="AQ39" i="12"/>
  <c r="AR39" i="12"/>
  <c r="AS39" i="12"/>
  <c r="AT39" i="12"/>
  <c r="AU39" i="12"/>
  <c r="AV39" i="12"/>
  <c r="AW39" i="12"/>
  <c r="AX39" i="12"/>
  <c r="AY39" i="12"/>
  <c r="AZ39" i="12"/>
  <c r="BA39" i="12"/>
  <c r="BB39" i="12"/>
  <c r="BC39" i="12"/>
  <c r="BD39" i="12"/>
  <c r="BE39" i="12"/>
  <c r="BF39" i="12"/>
  <c r="BG39" i="12"/>
  <c r="BH39" i="12"/>
  <c r="BI39" i="12"/>
  <c r="BJ39" i="12"/>
  <c r="BK39" i="12"/>
  <c r="BL39" i="12"/>
  <c r="BM39" i="12"/>
  <c r="BN39" i="12"/>
  <c r="BO39" i="12"/>
  <c r="BP39" i="12"/>
  <c r="BQ39" i="12"/>
  <c r="BR39" i="12"/>
  <c r="BS39" i="12"/>
  <c r="BT39" i="12"/>
  <c r="BU39" i="12"/>
  <c r="BV39" i="12"/>
  <c r="BW39" i="12"/>
  <c r="BX39" i="12"/>
  <c r="BY39" i="12"/>
  <c r="BZ39" i="12"/>
  <c r="CA39" i="12"/>
  <c r="CB39" i="12"/>
  <c r="CC39" i="12"/>
  <c r="CD39" i="12"/>
  <c r="CE39" i="12"/>
  <c r="CF39" i="12"/>
  <c r="CG39" i="12"/>
  <c r="CH39" i="12"/>
  <c r="CI39" i="12"/>
  <c r="CJ39" i="12"/>
  <c r="C40" i="12"/>
  <c r="AL40" i="12"/>
  <c r="AM40" i="12"/>
  <c r="AN40" i="12"/>
  <c r="AO40" i="12"/>
  <c r="AP40" i="12"/>
  <c r="AQ40" i="12"/>
  <c r="AR40" i="12"/>
  <c r="AS40" i="12"/>
  <c r="AT40" i="12"/>
  <c r="AU40" i="12"/>
  <c r="AV40" i="12"/>
  <c r="AW40" i="12"/>
  <c r="AX40" i="12"/>
  <c r="AY40" i="12"/>
  <c r="AZ40" i="12"/>
  <c r="BA40" i="12"/>
  <c r="BB40" i="12"/>
  <c r="BC40" i="12"/>
  <c r="BD40" i="12"/>
  <c r="BE40" i="12"/>
  <c r="BF40" i="12"/>
  <c r="BG40" i="12"/>
  <c r="BH40" i="12"/>
  <c r="BI40" i="12"/>
  <c r="BJ40" i="12"/>
  <c r="BK40" i="12"/>
  <c r="BL40" i="12"/>
  <c r="BM40" i="12"/>
  <c r="BN40" i="12"/>
  <c r="BO40" i="12"/>
  <c r="BP40" i="12"/>
  <c r="BQ40" i="12"/>
  <c r="BR40" i="12"/>
  <c r="BS40" i="12"/>
  <c r="BT40" i="12"/>
  <c r="BU40" i="12"/>
  <c r="BV40" i="12"/>
  <c r="BW40" i="12"/>
  <c r="BX40" i="12"/>
  <c r="BY40" i="12"/>
  <c r="BZ40" i="12"/>
  <c r="CA40" i="12"/>
  <c r="CB40" i="12"/>
  <c r="CC40" i="12"/>
  <c r="CD40" i="12"/>
  <c r="CE40" i="12"/>
  <c r="CF40" i="12"/>
  <c r="CG40" i="12"/>
  <c r="CH40" i="12"/>
  <c r="CI40" i="12"/>
  <c r="CJ40" i="12"/>
  <c r="C41" i="12"/>
  <c r="AM41" i="12"/>
  <c r="AN41" i="12"/>
  <c r="AO41" i="12"/>
  <c r="AP41" i="12"/>
  <c r="AQ41" i="12"/>
  <c r="AR41" i="12"/>
  <c r="AS41" i="12"/>
  <c r="AT41" i="12"/>
  <c r="AU41" i="12"/>
  <c r="AV41" i="12"/>
  <c r="AW41" i="12"/>
  <c r="AX41" i="12"/>
  <c r="AY41" i="12"/>
  <c r="AZ41" i="12"/>
  <c r="BA41" i="12"/>
  <c r="BB41" i="12"/>
  <c r="BC41" i="12"/>
  <c r="BD41" i="12"/>
  <c r="BE41" i="12"/>
  <c r="BF41" i="12"/>
  <c r="BG41" i="12"/>
  <c r="BH41" i="12"/>
  <c r="BI41" i="12"/>
  <c r="BJ41" i="12"/>
  <c r="BK41" i="12"/>
  <c r="BL41" i="12"/>
  <c r="BM41" i="12"/>
  <c r="BN41" i="12"/>
  <c r="BO41" i="12"/>
  <c r="BP41" i="12"/>
  <c r="BQ41" i="12"/>
  <c r="BR41" i="12"/>
  <c r="BS41" i="12"/>
  <c r="BT41" i="12"/>
  <c r="BU41" i="12"/>
  <c r="BV41" i="12"/>
  <c r="BW41" i="12"/>
  <c r="BX41" i="12"/>
  <c r="BY41" i="12"/>
  <c r="BZ41" i="12"/>
  <c r="CA41" i="12"/>
  <c r="CB41" i="12"/>
  <c r="CC41" i="12"/>
  <c r="CD41" i="12"/>
  <c r="CE41" i="12"/>
  <c r="CF41" i="12"/>
  <c r="CG41" i="12"/>
  <c r="CH41" i="12"/>
  <c r="CI41" i="12"/>
  <c r="CJ41" i="12"/>
  <c r="G42" i="12"/>
  <c r="H42" i="12"/>
  <c r="AL42" i="12"/>
  <c r="AM42" i="12"/>
  <c r="AN42" i="12"/>
  <c r="AO42" i="12"/>
  <c r="AP42" i="12"/>
  <c r="AQ42" i="12"/>
  <c r="AR42" i="12"/>
  <c r="AS42" i="12"/>
  <c r="AT42" i="12"/>
  <c r="AU42" i="12"/>
  <c r="AV42" i="12"/>
  <c r="AW42" i="12"/>
  <c r="AX42" i="12"/>
  <c r="AY42" i="12"/>
  <c r="AZ42" i="12"/>
  <c r="BA42" i="12"/>
  <c r="BB42" i="12"/>
  <c r="BC42" i="12"/>
  <c r="BD42" i="12"/>
  <c r="BE42" i="12"/>
  <c r="BF42" i="12"/>
  <c r="BG42" i="12"/>
  <c r="BH42" i="12"/>
  <c r="BI42" i="12"/>
  <c r="BJ42" i="12"/>
  <c r="BK42" i="12"/>
  <c r="BL42" i="12"/>
  <c r="BM42" i="12"/>
  <c r="BN42" i="12"/>
  <c r="BO42" i="12"/>
  <c r="BP42" i="12"/>
  <c r="BQ42" i="12"/>
  <c r="BR42" i="12"/>
  <c r="BS42" i="12"/>
  <c r="BT42" i="12"/>
  <c r="BU42" i="12"/>
  <c r="BV42" i="12"/>
  <c r="BW42" i="12"/>
  <c r="BX42" i="12"/>
  <c r="BY42" i="12"/>
  <c r="BZ42" i="12"/>
  <c r="CA42" i="12"/>
  <c r="CB42" i="12"/>
  <c r="CC42" i="12"/>
  <c r="CD42" i="12"/>
  <c r="CE42" i="12"/>
  <c r="CF42" i="12"/>
  <c r="CG42" i="12"/>
  <c r="CH42" i="12"/>
  <c r="CI42" i="12"/>
  <c r="CJ42" i="12"/>
  <c r="G43" i="12"/>
  <c r="H43" i="12"/>
  <c r="G44" i="12"/>
  <c r="H44" i="12"/>
  <c r="AL44" i="12"/>
  <c r="AM44" i="12"/>
  <c r="AN44" i="12"/>
  <c r="AO44" i="12"/>
  <c r="AP44" i="12"/>
  <c r="AQ44" i="12"/>
  <c r="AR44" i="12"/>
  <c r="AS44" i="12"/>
  <c r="AT44" i="12"/>
  <c r="AU44" i="12"/>
  <c r="AV44" i="12"/>
  <c r="AW44" i="12"/>
  <c r="AX44" i="12"/>
  <c r="AY44" i="12"/>
  <c r="AZ44" i="12"/>
  <c r="BA44" i="12"/>
  <c r="BB44" i="12"/>
  <c r="BC44" i="12"/>
  <c r="BD44" i="12"/>
  <c r="BE44" i="12"/>
  <c r="BF44" i="12"/>
  <c r="BG44" i="12"/>
  <c r="BH44" i="12"/>
  <c r="BI44" i="12"/>
  <c r="BJ44" i="12"/>
  <c r="BK44" i="12"/>
  <c r="BL44" i="12"/>
  <c r="BM44" i="12"/>
  <c r="BN44" i="12"/>
  <c r="BO44" i="12"/>
  <c r="BP44" i="12"/>
  <c r="BQ44" i="12"/>
  <c r="BR44" i="12"/>
  <c r="BS44" i="12"/>
  <c r="BT44" i="12"/>
  <c r="BU44" i="12"/>
  <c r="BV44" i="12"/>
  <c r="BW44" i="12"/>
  <c r="BX44" i="12"/>
  <c r="BY44" i="12"/>
  <c r="BZ44" i="12"/>
  <c r="CA44" i="12"/>
  <c r="CB44" i="12"/>
  <c r="CC44" i="12"/>
  <c r="CD44" i="12"/>
  <c r="CE44" i="12"/>
  <c r="CF44" i="12"/>
  <c r="CG44" i="12"/>
  <c r="CH44" i="12"/>
  <c r="CI44" i="12"/>
  <c r="CJ44" i="12"/>
  <c r="G45" i="12"/>
  <c r="H45" i="12"/>
  <c r="AL45" i="12"/>
  <c r="AM45" i="12"/>
  <c r="AN45" i="12"/>
  <c r="AO45" i="12"/>
  <c r="AP45" i="12"/>
  <c r="AQ45" i="12"/>
  <c r="AR45" i="12"/>
  <c r="AS45" i="12"/>
  <c r="AT45" i="12"/>
  <c r="AU45" i="12"/>
  <c r="AV45" i="12"/>
  <c r="AW45" i="12"/>
  <c r="AX45" i="12"/>
  <c r="AY45" i="12"/>
  <c r="AZ45" i="12"/>
  <c r="BA45" i="12"/>
  <c r="BB45" i="12"/>
  <c r="BC45" i="12"/>
  <c r="BD45" i="12"/>
  <c r="BE45" i="12"/>
  <c r="BF45" i="12"/>
  <c r="BG45" i="12"/>
  <c r="BH45" i="12"/>
  <c r="BI45" i="12"/>
  <c r="BJ45" i="12"/>
  <c r="BK45" i="12"/>
  <c r="BL45" i="12"/>
  <c r="BM45" i="12"/>
  <c r="BN45" i="12"/>
  <c r="BO45" i="12"/>
  <c r="BP45" i="12"/>
  <c r="BQ45" i="12"/>
  <c r="BR45" i="12"/>
  <c r="BS45" i="12"/>
  <c r="BT45" i="12"/>
  <c r="BU45" i="12"/>
  <c r="BV45" i="12"/>
  <c r="BW45" i="12"/>
  <c r="BX45" i="12"/>
  <c r="BY45" i="12"/>
  <c r="BZ45" i="12"/>
  <c r="CA45" i="12"/>
  <c r="CB45" i="12"/>
  <c r="CC45" i="12"/>
  <c r="CD45" i="12"/>
  <c r="CE45" i="12"/>
  <c r="CF45" i="12"/>
  <c r="CG45" i="12"/>
  <c r="CH45" i="12"/>
  <c r="CI45" i="12"/>
  <c r="CJ45" i="12"/>
  <c r="C46" i="12"/>
  <c r="H46" i="12"/>
  <c r="C47" i="12"/>
  <c r="H47" i="12"/>
  <c r="AO47" i="12"/>
  <c r="AP47" i="12"/>
  <c r="AQ47" i="12"/>
  <c r="AR47" i="12"/>
  <c r="AS47" i="12"/>
  <c r="AT47" i="12"/>
  <c r="AU47" i="12"/>
  <c r="C48" i="12"/>
  <c r="C49" i="12"/>
  <c r="AO49" i="12"/>
  <c r="AP49" i="12"/>
  <c r="AQ49" i="12"/>
  <c r="AR49" i="12"/>
  <c r="AS49" i="12"/>
  <c r="AT49" i="12"/>
  <c r="AU49" i="12"/>
  <c r="AO51" i="12"/>
  <c r="AP51" i="12"/>
  <c r="AQ51" i="12"/>
  <c r="AR51" i="12"/>
  <c r="AS51" i="12"/>
  <c r="AT51" i="12"/>
  <c r="AU51" i="12"/>
  <c r="C53" i="12"/>
  <c r="AO53" i="12"/>
  <c r="AP53" i="12"/>
  <c r="AQ53" i="12"/>
  <c r="AR53" i="12"/>
  <c r="AS53" i="12"/>
  <c r="AT53" i="12"/>
  <c r="AU53" i="12"/>
  <c r="C54" i="12"/>
  <c r="AO54" i="12"/>
  <c r="AP54" i="12"/>
  <c r="AQ54" i="12"/>
  <c r="AR54" i="12"/>
  <c r="AS54" i="12"/>
  <c r="AT54" i="12"/>
  <c r="AU54" i="12"/>
  <c r="C55" i="12"/>
  <c r="C56" i="12"/>
  <c r="G56" i="12"/>
  <c r="H56" i="12"/>
  <c r="AO56" i="12"/>
  <c r="AP56" i="12"/>
  <c r="AQ56" i="12"/>
  <c r="AR56" i="12"/>
  <c r="AS56" i="12"/>
  <c r="AT56" i="12"/>
  <c r="AU56" i="12"/>
  <c r="AV56" i="12"/>
  <c r="AW56" i="12"/>
  <c r="AX56" i="12"/>
  <c r="AY56" i="12"/>
  <c r="AZ56" i="12"/>
  <c r="BA56" i="12"/>
  <c r="BB56" i="12"/>
  <c r="BC56" i="12"/>
  <c r="BD56" i="12"/>
  <c r="BE56" i="12"/>
  <c r="BF56" i="12"/>
  <c r="BG56" i="12"/>
  <c r="BH56" i="12"/>
  <c r="BI56" i="12"/>
  <c r="BJ56" i="12"/>
  <c r="BK56" i="12"/>
  <c r="BL56" i="12"/>
  <c r="BM56" i="12"/>
  <c r="BN56" i="12"/>
  <c r="BO56" i="12"/>
  <c r="BP56" i="12"/>
  <c r="BQ56" i="12"/>
  <c r="BR56" i="12"/>
  <c r="BS56" i="12"/>
  <c r="BT56" i="12"/>
  <c r="BU56" i="12"/>
  <c r="BV56" i="12"/>
  <c r="BW56" i="12"/>
  <c r="BX56" i="12"/>
  <c r="BY56" i="12"/>
  <c r="BZ56" i="12"/>
  <c r="CA56" i="12"/>
  <c r="CB56" i="12"/>
  <c r="CC56" i="12"/>
  <c r="CD56" i="12"/>
  <c r="CE56" i="12"/>
  <c r="CF56" i="12"/>
  <c r="CG56" i="12"/>
  <c r="CH56" i="12"/>
  <c r="CI56" i="12"/>
  <c r="CJ56" i="12"/>
  <c r="G57" i="12"/>
  <c r="H57" i="12"/>
  <c r="G58" i="12"/>
  <c r="H58" i="12"/>
  <c r="AO58" i="12"/>
  <c r="AP58" i="12"/>
  <c r="AQ58" i="12"/>
  <c r="AR58" i="12"/>
  <c r="AS58" i="12"/>
  <c r="AT58" i="12"/>
  <c r="AU58" i="12"/>
  <c r="AV58" i="12"/>
  <c r="AW58" i="12"/>
  <c r="AX58" i="12"/>
  <c r="AY58" i="12"/>
  <c r="AZ58" i="12"/>
  <c r="BA58" i="12"/>
  <c r="BB58" i="12"/>
  <c r="BC58" i="12"/>
  <c r="BD58" i="12"/>
  <c r="BE58" i="12"/>
  <c r="BF58" i="12"/>
  <c r="BG58" i="12"/>
  <c r="BH58" i="12"/>
  <c r="BI58" i="12"/>
  <c r="BJ58" i="12"/>
  <c r="BK58" i="12"/>
  <c r="BL58" i="12"/>
  <c r="BM58" i="12"/>
  <c r="BN58" i="12"/>
  <c r="BO58" i="12"/>
  <c r="BP58" i="12"/>
  <c r="BQ58" i="12"/>
  <c r="BR58" i="12"/>
  <c r="BS58" i="12"/>
  <c r="BT58" i="12"/>
  <c r="BU58" i="12"/>
  <c r="BV58" i="12"/>
  <c r="BW58" i="12"/>
  <c r="BX58" i="12"/>
  <c r="BY58" i="12"/>
  <c r="BZ58" i="12"/>
  <c r="CA58" i="12"/>
  <c r="CB58" i="12"/>
  <c r="CC58" i="12"/>
  <c r="CD58" i="12"/>
  <c r="CE58" i="12"/>
  <c r="CF58" i="12"/>
  <c r="CG58" i="12"/>
  <c r="CH58" i="12"/>
  <c r="CI58" i="12"/>
  <c r="CJ58" i="12"/>
  <c r="G59" i="12"/>
  <c r="H59" i="12"/>
  <c r="H60" i="12"/>
  <c r="M60" i="12"/>
  <c r="N60" i="12"/>
  <c r="S60" i="12"/>
  <c r="AL60" i="12"/>
  <c r="AM60" i="12"/>
  <c r="AN60" i="12"/>
  <c r="H61" i="12"/>
  <c r="AL61" i="12"/>
  <c r="AM61" i="12"/>
  <c r="AN61" i="12"/>
  <c r="AO61" i="12"/>
  <c r="AP61" i="12"/>
  <c r="AQ61" i="12"/>
  <c r="AR61" i="12"/>
  <c r="AS61" i="12"/>
  <c r="AT61" i="12"/>
  <c r="AU61" i="12"/>
  <c r="M62" i="12"/>
  <c r="N62" i="12"/>
  <c r="O62" i="12"/>
  <c r="AL62" i="12"/>
  <c r="AM62" i="12"/>
  <c r="AN62" i="12"/>
  <c r="AO62" i="12"/>
  <c r="AP62" i="12"/>
  <c r="AQ62" i="12"/>
  <c r="AR62" i="12"/>
  <c r="AS62" i="12"/>
  <c r="AT62" i="12"/>
  <c r="AU62" i="12"/>
  <c r="C63" i="12"/>
  <c r="AL63" i="12"/>
  <c r="AM63" i="12"/>
  <c r="AN63" i="12"/>
  <c r="AO63" i="12"/>
  <c r="AP63" i="12"/>
  <c r="AQ63" i="12"/>
  <c r="AR63" i="12"/>
  <c r="AS63" i="12"/>
  <c r="AT63" i="12"/>
  <c r="AU63" i="12"/>
  <c r="AL64" i="12"/>
  <c r="AM64" i="12"/>
  <c r="AN64" i="12"/>
  <c r="AO64" i="12"/>
  <c r="AP64" i="12"/>
  <c r="AQ64" i="12"/>
  <c r="AR64" i="12"/>
  <c r="AS64" i="12"/>
  <c r="AT64" i="12"/>
  <c r="AU64" i="12"/>
  <c r="AL65" i="12"/>
  <c r="AM65" i="12"/>
  <c r="AN65" i="12"/>
  <c r="AO65" i="12"/>
  <c r="AP65" i="12"/>
  <c r="AQ65" i="12"/>
  <c r="AR65" i="12"/>
  <c r="AS65" i="12"/>
  <c r="AT65" i="12"/>
  <c r="AU65" i="12"/>
  <c r="M66" i="12"/>
  <c r="N66" i="12"/>
  <c r="O66" i="12"/>
  <c r="AL66" i="12"/>
  <c r="AM66" i="12"/>
  <c r="AN66" i="12"/>
  <c r="AO66" i="12"/>
  <c r="AP66" i="12"/>
  <c r="AQ66" i="12"/>
  <c r="AR66" i="12"/>
  <c r="AS66" i="12"/>
  <c r="AT66" i="12"/>
  <c r="AU66" i="12"/>
  <c r="AV66" i="12"/>
  <c r="AW66" i="12"/>
  <c r="AX66" i="12"/>
  <c r="AY66" i="12"/>
  <c r="AZ66" i="12"/>
  <c r="BA66" i="12"/>
  <c r="BB66" i="12"/>
  <c r="BC66" i="12"/>
  <c r="BD66" i="12"/>
  <c r="BE66" i="12"/>
  <c r="BF66" i="12"/>
  <c r="BG66" i="12"/>
  <c r="BH66" i="12"/>
  <c r="BI66" i="12"/>
  <c r="BJ66" i="12"/>
  <c r="BK66" i="12"/>
  <c r="BL66" i="12"/>
  <c r="BM66" i="12"/>
  <c r="BN66" i="12"/>
  <c r="BO66" i="12"/>
  <c r="BP66" i="12"/>
  <c r="BQ66" i="12"/>
  <c r="BR66" i="12"/>
  <c r="BS66" i="12"/>
  <c r="BT66" i="12"/>
  <c r="BU66" i="12"/>
  <c r="BV66" i="12"/>
  <c r="BW66" i="12"/>
  <c r="BX66" i="12"/>
  <c r="BY66" i="12"/>
  <c r="BZ66" i="12"/>
  <c r="CA66" i="12"/>
  <c r="CB66" i="12"/>
  <c r="CC66" i="12"/>
  <c r="CD66" i="12"/>
  <c r="CE66" i="12"/>
  <c r="CF66" i="12"/>
  <c r="CG66" i="12"/>
  <c r="CH66" i="12"/>
  <c r="CI66" i="12"/>
  <c r="CJ66" i="12"/>
  <c r="H67" i="12"/>
  <c r="M67" i="12"/>
  <c r="N67" i="12"/>
  <c r="O67" i="12"/>
  <c r="S67" i="12"/>
  <c r="AL67" i="12"/>
  <c r="AM67" i="12"/>
  <c r="AN67" i="12"/>
  <c r="AO67" i="12"/>
  <c r="AP67" i="12"/>
  <c r="AQ67" i="12"/>
  <c r="AR67" i="12"/>
  <c r="AS67" i="12"/>
  <c r="AT67" i="12"/>
  <c r="AU67" i="12"/>
  <c r="AV67" i="12"/>
  <c r="AW67" i="12"/>
  <c r="AX67" i="12"/>
  <c r="AY67" i="12"/>
  <c r="AZ67" i="12"/>
  <c r="BA67" i="12"/>
  <c r="BB67" i="12"/>
  <c r="BC67" i="12"/>
  <c r="BD67" i="12"/>
  <c r="BE67" i="12"/>
  <c r="BF67" i="12"/>
  <c r="BG67" i="12"/>
  <c r="BH67" i="12"/>
  <c r="BI67" i="12"/>
  <c r="BJ67" i="12"/>
  <c r="BK67" i="12"/>
  <c r="BL67" i="12"/>
  <c r="BM67" i="12"/>
  <c r="BN67" i="12"/>
  <c r="BO67" i="12"/>
  <c r="BP67" i="12"/>
  <c r="BQ67" i="12"/>
  <c r="BR67" i="12"/>
  <c r="BS67" i="12"/>
  <c r="BT67" i="12"/>
  <c r="BU67" i="12"/>
  <c r="BV67" i="12"/>
  <c r="BW67" i="12"/>
  <c r="BX67" i="12"/>
  <c r="BY67" i="12"/>
  <c r="BZ67" i="12"/>
  <c r="CA67" i="12"/>
  <c r="CB67" i="12"/>
  <c r="CC67" i="12"/>
  <c r="CD67" i="12"/>
  <c r="CE67" i="12"/>
  <c r="CF67" i="12"/>
  <c r="CG67" i="12"/>
  <c r="CH67" i="12"/>
  <c r="CI67" i="12"/>
  <c r="CJ67" i="12"/>
  <c r="H68" i="12"/>
  <c r="M68" i="12"/>
  <c r="N68" i="12"/>
  <c r="O68" i="12"/>
  <c r="S68" i="12"/>
  <c r="AN68" i="12"/>
  <c r="AO68" i="12"/>
  <c r="AP68" i="12"/>
  <c r="AQ68" i="12"/>
  <c r="AR68" i="12"/>
  <c r="AS68" i="12"/>
  <c r="AT68" i="12"/>
  <c r="AU68" i="12"/>
  <c r="AV68" i="12"/>
  <c r="AW68" i="12"/>
  <c r="AX68" i="12"/>
  <c r="AY68" i="12"/>
  <c r="AZ68" i="12"/>
  <c r="BA68" i="12"/>
  <c r="BB68" i="12"/>
  <c r="BC68" i="12"/>
  <c r="BD68" i="12"/>
  <c r="BE68" i="12"/>
  <c r="BF68" i="12"/>
  <c r="BG68" i="12"/>
  <c r="BH68" i="12"/>
  <c r="BI68" i="12"/>
  <c r="BJ68" i="12"/>
  <c r="BK68" i="12"/>
  <c r="BL68" i="12"/>
  <c r="BM68" i="12"/>
  <c r="BN68" i="12"/>
  <c r="BO68" i="12"/>
  <c r="BP68" i="12"/>
  <c r="BQ68" i="12"/>
  <c r="BR68" i="12"/>
  <c r="BS68" i="12"/>
  <c r="BT68" i="12"/>
  <c r="BU68" i="12"/>
  <c r="BV68" i="12"/>
  <c r="BW68" i="12"/>
  <c r="BX68" i="12"/>
  <c r="BY68" i="12"/>
  <c r="BZ68" i="12"/>
  <c r="CA68" i="12"/>
  <c r="CB68" i="12"/>
  <c r="CC68" i="12"/>
  <c r="CD68" i="12"/>
  <c r="CE68" i="12"/>
  <c r="CF68" i="12"/>
  <c r="CG68" i="12"/>
  <c r="CH68" i="12"/>
  <c r="CI68" i="12"/>
  <c r="CJ68" i="12"/>
  <c r="N70" i="12"/>
  <c r="O70" i="12"/>
  <c r="AO70" i="12"/>
  <c r="AP70" i="12"/>
  <c r="AQ70" i="12"/>
  <c r="AR70" i="12"/>
  <c r="AS70" i="12"/>
  <c r="AT70" i="12"/>
  <c r="AU70" i="12"/>
  <c r="N72" i="12"/>
  <c r="O72" i="12"/>
  <c r="AO72" i="12"/>
  <c r="AP72" i="12"/>
  <c r="AQ72" i="12"/>
  <c r="AR72" i="12"/>
  <c r="AS72" i="12"/>
  <c r="AT72" i="12"/>
  <c r="AU72" i="12"/>
  <c r="S74" i="12"/>
  <c r="AO74" i="12"/>
  <c r="AP74" i="12"/>
  <c r="AQ74" i="12"/>
  <c r="AR74" i="12"/>
  <c r="AS74" i="12"/>
  <c r="AT74" i="12"/>
  <c r="AU74" i="12"/>
  <c r="H76" i="12"/>
  <c r="H77" i="12"/>
  <c r="H79" i="12"/>
  <c r="AN80" i="12"/>
  <c r="AO80" i="12"/>
  <c r="AP80" i="12"/>
  <c r="AQ80" i="12"/>
  <c r="AR80" i="12"/>
  <c r="AS80" i="12"/>
  <c r="AT80" i="12"/>
  <c r="AU80" i="12"/>
  <c r="AV80" i="12"/>
  <c r="AW80" i="12"/>
  <c r="AX80" i="12"/>
  <c r="AY80" i="12"/>
  <c r="AZ80" i="12"/>
  <c r="BA80" i="12"/>
  <c r="BB80" i="12"/>
  <c r="BC80" i="12"/>
  <c r="BD80" i="12"/>
  <c r="BE80" i="12"/>
  <c r="BF80" i="12"/>
  <c r="BG80" i="12"/>
  <c r="BH80" i="12"/>
  <c r="BI80" i="12"/>
  <c r="BJ80" i="12"/>
  <c r="BK80" i="12"/>
  <c r="BL80" i="12"/>
  <c r="BM80" i="12"/>
  <c r="BN80" i="12"/>
  <c r="BO80" i="12"/>
  <c r="BP80" i="12"/>
  <c r="BQ80" i="12"/>
  <c r="BR80" i="12"/>
  <c r="BS80" i="12"/>
  <c r="BT80" i="12"/>
  <c r="BU80" i="12"/>
  <c r="BV80" i="12"/>
  <c r="BW80" i="12"/>
  <c r="BX80" i="12"/>
  <c r="BY80" i="12"/>
  <c r="BZ80" i="12"/>
  <c r="CA80" i="12"/>
  <c r="CB80" i="12"/>
  <c r="CC80" i="12"/>
  <c r="CD80" i="12"/>
  <c r="CE80" i="12"/>
  <c r="CF80" i="12"/>
  <c r="CG80" i="12"/>
  <c r="CH80" i="12"/>
  <c r="CI80" i="12"/>
  <c r="CJ80" i="12"/>
  <c r="AO81" i="12"/>
  <c r="AP81" i="12"/>
  <c r="AQ81" i="12"/>
  <c r="AR81" i="12"/>
  <c r="AS81" i="12"/>
  <c r="AT81" i="12"/>
  <c r="AU81" i="12"/>
  <c r="AV81" i="12"/>
  <c r="AW81" i="12"/>
  <c r="AX81" i="12"/>
  <c r="AY81" i="12"/>
  <c r="AZ81" i="12"/>
  <c r="BA81" i="12"/>
  <c r="BB81" i="12"/>
  <c r="BC81" i="12"/>
  <c r="BD81" i="12"/>
  <c r="BE81" i="12"/>
  <c r="BF81" i="12"/>
  <c r="BG81" i="12"/>
  <c r="BH81" i="12"/>
  <c r="BI81" i="12"/>
  <c r="BJ81" i="12"/>
  <c r="BK81" i="12"/>
  <c r="BL81" i="12"/>
  <c r="BM81" i="12"/>
  <c r="BN81" i="12"/>
  <c r="BO81" i="12"/>
  <c r="BP81" i="12"/>
  <c r="BQ81" i="12"/>
  <c r="BR81" i="12"/>
  <c r="BS81" i="12"/>
  <c r="BT81" i="12"/>
  <c r="BU81" i="12"/>
  <c r="BV81" i="12"/>
  <c r="BW81" i="12"/>
  <c r="BX81" i="12"/>
  <c r="BY81" i="12"/>
  <c r="BZ81" i="12"/>
  <c r="CA81" i="12"/>
  <c r="CB81" i="12"/>
  <c r="CC81" i="12"/>
  <c r="CD81" i="12"/>
  <c r="CE81" i="12"/>
  <c r="CF81" i="12"/>
  <c r="CG81" i="12"/>
  <c r="CH81" i="12"/>
  <c r="CI81" i="12"/>
  <c r="CJ81" i="12"/>
  <c r="AO82" i="12"/>
  <c r="AP82" i="12"/>
  <c r="AQ82" i="12"/>
  <c r="AR82" i="12"/>
  <c r="AS82" i="12"/>
  <c r="AT82" i="12"/>
  <c r="AU82" i="12"/>
  <c r="AV82" i="12"/>
  <c r="AW82" i="12"/>
  <c r="AX82" i="12"/>
  <c r="AY82" i="12"/>
  <c r="AZ82" i="12"/>
  <c r="BA82" i="12"/>
  <c r="BB82" i="12"/>
  <c r="BC82" i="12"/>
  <c r="BD82" i="12"/>
  <c r="BE82" i="12"/>
  <c r="BF82" i="12"/>
  <c r="BG82" i="12"/>
  <c r="BH82" i="12"/>
  <c r="BI82" i="12"/>
  <c r="BJ82" i="12"/>
  <c r="BK82" i="12"/>
  <c r="BL82" i="12"/>
  <c r="BM82" i="12"/>
  <c r="BN82" i="12"/>
  <c r="BO82" i="12"/>
  <c r="BP82" i="12"/>
  <c r="BQ82" i="12"/>
  <c r="BR82" i="12"/>
  <c r="BS82" i="12"/>
  <c r="BT82" i="12"/>
  <c r="BU82" i="12"/>
  <c r="BV82" i="12"/>
  <c r="BW82" i="12"/>
  <c r="BX82" i="12"/>
  <c r="BY82" i="12"/>
  <c r="BZ82" i="12"/>
  <c r="CA82" i="12"/>
  <c r="CB82" i="12"/>
  <c r="CC82" i="12"/>
  <c r="CD82" i="12"/>
  <c r="CE82" i="12"/>
  <c r="CF82" i="12"/>
  <c r="CG82" i="12"/>
  <c r="CH82" i="12"/>
  <c r="CI82" i="12"/>
  <c r="CJ82" i="12"/>
  <c r="AO83" i="12"/>
  <c r="AP83" i="12"/>
  <c r="AQ83" i="12"/>
  <c r="AR83" i="12"/>
  <c r="AS83" i="12"/>
  <c r="AT83" i="12"/>
  <c r="AU83" i="12"/>
  <c r="AV83" i="12"/>
  <c r="AW83" i="12"/>
  <c r="AX83" i="12"/>
  <c r="AY83" i="12"/>
  <c r="AZ83" i="12"/>
  <c r="BA83" i="12"/>
  <c r="BB83" i="12"/>
  <c r="BC83" i="12"/>
  <c r="BD83" i="12"/>
  <c r="BE83" i="12"/>
  <c r="BF83" i="12"/>
  <c r="BG83" i="12"/>
  <c r="BH83" i="12"/>
  <c r="BI83" i="12"/>
  <c r="BJ83" i="12"/>
  <c r="BK83" i="12"/>
  <c r="BL83" i="12"/>
  <c r="BM83" i="12"/>
  <c r="BN83" i="12"/>
  <c r="BO83" i="12"/>
  <c r="BP83" i="12"/>
  <c r="BQ83" i="12"/>
  <c r="BR83" i="12"/>
  <c r="BS83" i="12"/>
  <c r="BT83" i="12"/>
  <c r="BU83" i="12"/>
  <c r="BV83" i="12"/>
  <c r="BW83" i="12"/>
  <c r="BX83" i="12"/>
  <c r="BY83" i="12"/>
  <c r="BZ83" i="12"/>
  <c r="CA83" i="12"/>
  <c r="CB83" i="12"/>
  <c r="CC83" i="12"/>
  <c r="CD83" i="12"/>
  <c r="CE83" i="12"/>
  <c r="CF83" i="12"/>
  <c r="CG83" i="12"/>
  <c r="CH83" i="12"/>
  <c r="CI83" i="12"/>
  <c r="CJ83" i="12"/>
  <c r="AM84" i="12"/>
  <c r="AN84" i="12"/>
  <c r="AO84" i="12"/>
  <c r="AP84" i="12"/>
  <c r="AQ84" i="12"/>
  <c r="AR84" i="12"/>
  <c r="AS84" i="12"/>
  <c r="AT84" i="12"/>
  <c r="AU84" i="12"/>
  <c r="AV84" i="12"/>
  <c r="AW84" i="12"/>
  <c r="AX84" i="12"/>
  <c r="AY84" i="12"/>
  <c r="AZ84" i="12"/>
  <c r="BA84" i="12"/>
  <c r="BB84" i="12"/>
  <c r="BC84" i="12"/>
  <c r="BD84" i="12"/>
  <c r="BE84" i="12"/>
  <c r="BF84" i="12"/>
  <c r="BG84" i="12"/>
  <c r="BH84" i="12"/>
  <c r="BI84" i="12"/>
  <c r="BJ84" i="12"/>
  <c r="BK84" i="12"/>
  <c r="BL84" i="12"/>
  <c r="BM84" i="12"/>
  <c r="BN84" i="12"/>
  <c r="BO84" i="12"/>
  <c r="BP84" i="12"/>
  <c r="BQ84" i="12"/>
  <c r="BR84" i="12"/>
  <c r="BS84" i="12"/>
  <c r="BT84" i="12"/>
  <c r="BU84" i="12"/>
  <c r="BV84" i="12"/>
  <c r="BW84" i="12"/>
  <c r="BX84" i="12"/>
  <c r="BY84" i="12"/>
  <c r="BZ84" i="12"/>
  <c r="CA84" i="12"/>
  <c r="CB84" i="12"/>
  <c r="CC84" i="12"/>
  <c r="CD84" i="12"/>
  <c r="CE84" i="12"/>
  <c r="CF84" i="12"/>
  <c r="CG84" i="12"/>
  <c r="CH84" i="12"/>
  <c r="CI84" i="12"/>
  <c r="CJ84" i="12"/>
  <c r="AO85" i="12"/>
  <c r="AP85" i="12"/>
  <c r="AQ85" i="12"/>
  <c r="AR85" i="12"/>
  <c r="AS85" i="12"/>
  <c r="AT85" i="12"/>
  <c r="AU85" i="12"/>
  <c r="AV85" i="12"/>
  <c r="AW85" i="12"/>
  <c r="AX85" i="12"/>
  <c r="AY85" i="12"/>
  <c r="AZ85" i="12"/>
  <c r="BA85" i="12"/>
  <c r="BB85" i="12"/>
  <c r="BC85" i="12"/>
  <c r="BD85" i="12"/>
  <c r="BE85" i="12"/>
  <c r="BF85" i="12"/>
  <c r="BG85" i="12"/>
  <c r="BH85" i="12"/>
  <c r="BI85" i="12"/>
  <c r="BJ85" i="12"/>
  <c r="BK85" i="12"/>
  <c r="BL85" i="12"/>
  <c r="BM85" i="12"/>
  <c r="BN85" i="12"/>
  <c r="BO85" i="12"/>
  <c r="BP85" i="12"/>
  <c r="BQ85" i="12"/>
  <c r="BR85" i="12"/>
  <c r="BS85" i="12"/>
  <c r="BT85" i="12"/>
  <c r="BU85" i="12"/>
  <c r="BV85" i="12"/>
  <c r="BW85" i="12"/>
  <c r="BX85" i="12"/>
  <c r="BY85" i="12"/>
  <c r="BZ85" i="12"/>
  <c r="CA85" i="12"/>
  <c r="CB85" i="12"/>
  <c r="CC85" i="12"/>
  <c r="CD85" i="12"/>
  <c r="CE85" i="12"/>
  <c r="CF85" i="12"/>
  <c r="CG85" i="12"/>
  <c r="CH85" i="12"/>
  <c r="CI85" i="12"/>
  <c r="CJ85" i="12"/>
  <c r="AO86" i="12"/>
  <c r="AP86" i="12"/>
  <c r="AQ86" i="12"/>
  <c r="AR86" i="12"/>
  <c r="AS86" i="12"/>
  <c r="AT86" i="12"/>
  <c r="AU86" i="12"/>
  <c r="AV86" i="12"/>
  <c r="AW86" i="12"/>
  <c r="AX86" i="12"/>
  <c r="AY86" i="12"/>
  <c r="AZ86" i="12"/>
  <c r="BA86" i="12"/>
  <c r="BB86" i="12"/>
  <c r="BC86" i="12"/>
  <c r="BD86" i="12"/>
  <c r="BE86" i="12"/>
  <c r="BF86" i="12"/>
  <c r="BG86" i="12"/>
  <c r="BH86" i="12"/>
  <c r="BI86" i="12"/>
  <c r="BJ86" i="12"/>
  <c r="BK86" i="12"/>
  <c r="BL86" i="12"/>
  <c r="BM86" i="12"/>
  <c r="BN86" i="12"/>
  <c r="BO86" i="12"/>
  <c r="BP86" i="12"/>
  <c r="BQ86" i="12"/>
  <c r="BR86" i="12"/>
  <c r="BS86" i="12"/>
  <c r="BT86" i="12"/>
  <c r="BU86" i="12"/>
  <c r="BV86" i="12"/>
  <c r="BW86" i="12"/>
  <c r="BX86" i="12"/>
  <c r="BY86" i="12"/>
  <c r="BZ86" i="12"/>
  <c r="CA86" i="12"/>
  <c r="CB86" i="12"/>
  <c r="CC86" i="12"/>
  <c r="CD86" i="12"/>
  <c r="CE86" i="12"/>
  <c r="CF86" i="12"/>
  <c r="CG86" i="12"/>
  <c r="CH86" i="12"/>
  <c r="CI86" i="12"/>
  <c r="CJ86" i="12"/>
  <c r="AM87" i="12"/>
  <c r="AN87" i="12"/>
  <c r="AO87" i="12"/>
  <c r="AP87" i="12"/>
  <c r="AQ87" i="12"/>
  <c r="AR87" i="12"/>
  <c r="AS87" i="12"/>
  <c r="AT87" i="12"/>
  <c r="AU87" i="12"/>
  <c r="AV87" i="12"/>
  <c r="AW87" i="12"/>
  <c r="AX87" i="12"/>
  <c r="AY87" i="12"/>
  <c r="AZ87" i="12"/>
  <c r="BA87" i="12"/>
  <c r="BB87" i="12"/>
  <c r="BC87" i="12"/>
  <c r="BD87" i="12"/>
  <c r="BE87" i="12"/>
  <c r="BF87" i="12"/>
  <c r="BG87" i="12"/>
  <c r="BH87" i="12"/>
  <c r="BI87" i="12"/>
  <c r="BJ87" i="12"/>
  <c r="BK87" i="12"/>
  <c r="BL87" i="12"/>
  <c r="BM87" i="12"/>
  <c r="BN87" i="12"/>
  <c r="BO87" i="12"/>
  <c r="BP87" i="12"/>
  <c r="BQ87" i="12"/>
  <c r="BR87" i="12"/>
  <c r="BS87" i="12"/>
  <c r="BT87" i="12"/>
  <c r="BU87" i="12"/>
  <c r="BV87" i="12"/>
  <c r="BW87" i="12"/>
  <c r="BX87" i="12"/>
  <c r="BY87" i="12"/>
  <c r="BZ87" i="12"/>
  <c r="CA87" i="12"/>
  <c r="CB87" i="12"/>
  <c r="CC87" i="12"/>
  <c r="CD87" i="12"/>
  <c r="CE87" i="12"/>
  <c r="CF87" i="12"/>
  <c r="CG87" i="12"/>
  <c r="CH87" i="12"/>
  <c r="CI87" i="12"/>
  <c r="CJ87" i="12"/>
  <c r="AM88" i="12"/>
  <c r="AN88" i="12"/>
  <c r="AO88" i="12"/>
  <c r="AP88" i="12"/>
  <c r="AQ88" i="12"/>
  <c r="AR88" i="12"/>
  <c r="AS88" i="12"/>
  <c r="AT88" i="12"/>
  <c r="AU88" i="12"/>
  <c r="AV88" i="12"/>
  <c r="AW88" i="12"/>
  <c r="AX88" i="12"/>
  <c r="AY88" i="12"/>
  <c r="AZ88" i="12"/>
  <c r="BA88" i="12"/>
  <c r="BB88" i="12"/>
  <c r="BC88" i="12"/>
  <c r="BD88" i="12"/>
  <c r="BE88" i="12"/>
  <c r="BF88" i="12"/>
  <c r="BG88" i="12"/>
  <c r="BH88" i="12"/>
  <c r="BI88" i="12"/>
  <c r="BJ88" i="12"/>
  <c r="BK88" i="12"/>
  <c r="BL88" i="12"/>
  <c r="BM88" i="12"/>
  <c r="BN88" i="12"/>
  <c r="BO88" i="12"/>
  <c r="BP88" i="12"/>
  <c r="BQ88" i="12"/>
  <c r="BR88" i="12"/>
  <c r="BS88" i="12"/>
  <c r="BT88" i="12"/>
  <c r="BU88" i="12"/>
  <c r="BV88" i="12"/>
  <c r="BW88" i="12"/>
  <c r="BX88" i="12"/>
  <c r="BY88" i="12"/>
  <c r="BZ88" i="12"/>
  <c r="CA88" i="12"/>
  <c r="CB88" i="12"/>
  <c r="CC88" i="12"/>
  <c r="CD88" i="12"/>
  <c r="CE88" i="12"/>
  <c r="CF88" i="12"/>
  <c r="CG88" i="12"/>
  <c r="CH88" i="12"/>
  <c r="CI88" i="12"/>
  <c r="CJ88" i="12"/>
  <c r="AM90" i="12"/>
  <c r="AN90" i="12"/>
  <c r="AO90" i="12"/>
  <c r="AP90" i="12"/>
  <c r="AQ90" i="12"/>
  <c r="AR90" i="12"/>
  <c r="AS90" i="12"/>
  <c r="AT90" i="12"/>
  <c r="AU90" i="12"/>
  <c r="AV90" i="12"/>
  <c r="AW90" i="12"/>
  <c r="AX90" i="12"/>
  <c r="AY90" i="12"/>
  <c r="AZ90" i="12"/>
  <c r="BA90" i="12"/>
  <c r="BB90" i="12"/>
  <c r="BC90" i="12"/>
  <c r="BD90" i="12"/>
  <c r="BE90" i="12"/>
  <c r="BF90" i="12"/>
  <c r="BG90" i="12"/>
  <c r="BH90" i="12"/>
  <c r="BI90" i="12"/>
  <c r="BJ90" i="12"/>
  <c r="BK90" i="12"/>
  <c r="BL90" i="12"/>
  <c r="BM90" i="12"/>
  <c r="BN90" i="12"/>
  <c r="BO90" i="12"/>
  <c r="BP90" i="12"/>
  <c r="BQ90" i="12"/>
  <c r="BR90" i="12"/>
  <c r="BS90" i="12"/>
  <c r="BT90" i="12"/>
  <c r="BU90" i="12"/>
  <c r="BV90" i="12"/>
  <c r="BW90" i="12"/>
  <c r="BX90" i="12"/>
  <c r="BY90" i="12"/>
  <c r="BZ90" i="12"/>
  <c r="CA90" i="12"/>
  <c r="CB90" i="12"/>
  <c r="CC90" i="12"/>
  <c r="CD90" i="12"/>
  <c r="CE90" i="12"/>
  <c r="CF90" i="12"/>
  <c r="CG90" i="12"/>
  <c r="CH90" i="12"/>
  <c r="CI90" i="12"/>
  <c r="CJ90" i="12"/>
  <c r="AM94" i="12"/>
  <c r="AN94" i="12"/>
  <c r="AN95" i="12"/>
  <c r="AO95" i="12"/>
  <c r="AP95" i="12"/>
  <c r="AQ95" i="12"/>
  <c r="AR95" i="12"/>
  <c r="AS95" i="12"/>
  <c r="AT95" i="12"/>
  <c r="AU95" i="12"/>
  <c r="AV95" i="12"/>
  <c r="AW95" i="12"/>
  <c r="AX95" i="12"/>
  <c r="AY95" i="12"/>
  <c r="AZ95" i="12"/>
  <c r="BA95" i="12"/>
  <c r="BB95" i="12"/>
  <c r="BC95" i="12"/>
  <c r="BD95" i="12"/>
  <c r="BE95" i="12"/>
  <c r="BF95" i="12"/>
  <c r="BG95" i="12"/>
  <c r="BH95" i="12"/>
  <c r="BI95" i="12"/>
  <c r="BJ95" i="12"/>
  <c r="BK95" i="12"/>
  <c r="BL95" i="12"/>
  <c r="BM95" i="12"/>
  <c r="BN95" i="12"/>
  <c r="BO95" i="12"/>
  <c r="BP95" i="12"/>
  <c r="BQ95" i="12"/>
  <c r="BR95" i="12"/>
  <c r="BS95" i="12"/>
  <c r="BT95" i="12"/>
  <c r="BU95" i="12"/>
  <c r="BV95" i="12"/>
  <c r="BW95" i="12"/>
  <c r="BX95" i="12"/>
  <c r="BY95" i="12"/>
  <c r="BZ95" i="12"/>
  <c r="CA95" i="12"/>
  <c r="CB95" i="12"/>
  <c r="CC95" i="12"/>
  <c r="CD95" i="12"/>
  <c r="CE95" i="12"/>
  <c r="CF95" i="12"/>
  <c r="CG95" i="12"/>
  <c r="CH95" i="12"/>
  <c r="CI95" i="12"/>
  <c r="CJ95" i="12"/>
  <c r="AN96" i="12"/>
  <c r="AL98" i="12"/>
  <c r="AM98" i="12"/>
  <c r="AN98" i="12"/>
  <c r="AO98" i="12"/>
  <c r="AP98" i="12"/>
  <c r="AQ98" i="12"/>
  <c r="AR98" i="12"/>
  <c r="AS98" i="12"/>
  <c r="AT98" i="12"/>
  <c r="AU98" i="12"/>
  <c r="AV98" i="12"/>
  <c r="AW98" i="12"/>
  <c r="AX98" i="12"/>
  <c r="AY98" i="12"/>
  <c r="AZ98" i="12"/>
  <c r="BA98" i="12"/>
  <c r="BB98" i="12"/>
  <c r="BC98" i="12"/>
  <c r="BD98" i="12"/>
  <c r="BE98" i="12"/>
  <c r="BF98" i="12"/>
  <c r="BG98" i="12"/>
  <c r="BH98" i="12"/>
  <c r="BI98" i="12"/>
  <c r="BJ98" i="12"/>
  <c r="BK98" i="12"/>
  <c r="BL98" i="12"/>
  <c r="BM98" i="12"/>
  <c r="BN98" i="12"/>
  <c r="BO98" i="12"/>
  <c r="BP98" i="12"/>
  <c r="BQ98" i="12"/>
  <c r="BR98" i="12"/>
  <c r="BS98" i="12"/>
  <c r="BT98" i="12"/>
  <c r="BU98" i="12"/>
  <c r="BV98" i="12"/>
  <c r="BW98" i="12"/>
  <c r="BX98" i="12"/>
  <c r="BY98" i="12"/>
  <c r="BZ98" i="12"/>
  <c r="CA98" i="12"/>
  <c r="CB98" i="12"/>
  <c r="CC98" i="12"/>
  <c r="CD98" i="12"/>
  <c r="CE98" i="12"/>
  <c r="CF98" i="12"/>
  <c r="CG98" i="12"/>
  <c r="CH98" i="12"/>
  <c r="CI98" i="12"/>
  <c r="CJ98" i="12"/>
  <c r="AL100" i="12"/>
  <c r="AM100" i="12"/>
  <c r="AN100" i="12"/>
  <c r="AO100" i="12"/>
  <c r="AP100" i="12"/>
  <c r="AQ100" i="12"/>
  <c r="AR100" i="12"/>
  <c r="AS100" i="12"/>
  <c r="AT100" i="12"/>
  <c r="AU100" i="12"/>
  <c r="AV100" i="12"/>
  <c r="AW100" i="12"/>
  <c r="AX100" i="12"/>
  <c r="AY100" i="12"/>
  <c r="AZ100" i="12"/>
  <c r="BA100" i="12"/>
  <c r="BB100" i="12"/>
  <c r="BC100" i="12"/>
  <c r="BD100" i="12"/>
  <c r="BE100" i="12"/>
  <c r="BF100" i="12"/>
  <c r="BG100" i="12"/>
  <c r="BH100" i="12"/>
  <c r="BI100" i="12"/>
  <c r="BJ100" i="12"/>
  <c r="BK100" i="12"/>
  <c r="BL100" i="12"/>
  <c r="BM100" i="12"/>
  <c r="BN100" i="12"/>
  <c r="BO100" i="12"/>
  <c r="BP100" i="12"/>
  <c r="BQ100" i="12"/>
  <c r="BR100" i="12"/>
  <c r="BS100" i="12"/>
  <c r="BT100" i="12"/>
  <c r="BU100" i="12"/>
  <c r="BV100" i="12"/>
  <c r="BW100" i="12"/>
  <c r="BX100" i="12"/>
  <c r="BY100" i="12"/>
  <c r="BZ100" i="12"/>
  <c r="CA100" i="12"/>
  <c r="CB100" i="12"/>
  <c r="CC100" i="12"/>
  <c r="CD100" i="12"/>
  <c r="CE100" i="12"/>
  <c r="CF100" i="12"/>
  <c r="CG100" i="12"/>
  <c r="CH100" i="12"/>
  <c r="CI100" i="12"/>
  <c r="CJ100" i="12"/>
  <c r="AL101" i="12"/>
  <c r="AM101" i="12"/>
  <c r="AN101" i="12"/>
  <c r="AO101" i="12"/>
  <c r="AP101" i="12"/>
  <c r="AQ101" i="12"/>
  <c r="AR101" i="12"/>
  <c r="AS101" i="12"/>
  <c r="AT101" i="12"/>
  <c r="AU101" i="12"/>
  <c r="AV101" i="12"/>
  <c r="AW101" i="12"/>
  <c r="AX101" i="12"/>
  <c r="AY101" i="12"/>
  <c r="AZ101" i="12"/>
  <c r="BA101" i="12"/>
  <c r="BB101" i="12"/>
  <c r="BC101" i="12"/>
  <c r="BD101" i="12"/>
  <c r="BE101" i="12"/>
  <c r="BF101" i="12"/>
  <c r="BG101" i="12"/>
  <c r="BH101" i="12"/>
  <c r="BI101" i="12"/>
  <c r="BJ101" i="12"/>
  <c r="BK101" i="12"/>
  <c r="BL101" i="12"/>
  <c r="BM101" i="12"/>
  <c r="BN101" i="12"/>
  <c r="BO101" i="12"/>
  <c r="BP101" i="12"/>
  <c r="BQ101" i="12"/>
  <c r="BR101" i="12"/>
  <c r="BS101" i="12"/>
  <c r="BT101" i="12"/>
  <c r="BU101" i="12"/>
  <c r="BV101" i="12"/>
  <c r="BW101" i="12"/>
  <c r="BX101" i="12"/>
  <c r="BY101" i="12"/>
  <c r="BZ101" i="12"/>
  <c r="CA101" i="12"/>
  <c r="CB101" i="12"/>
  <c r="CC101" i="12"/>
  <c r="CD101" i="12"/>
  <c r="CE101" i="12"/>
  <c r="CF101" i="12"/>
  <c r="CG101" i="12"/>
  <c r="CH101" i="12"/>
  <c r="CI101" i="12"/>
  <c r="CJ101" i="12"/>
  <c r="AL102" i="12"/>
  <c r="AM102" i="12"/>
  <c r="AN102" i="12"/>
  <c r="AO102" i="12"/>
  <c r="AP102" i="12"/>
  <c r="AQ102" i="12"/>
  <c r="AR102" i="12"/>
  <c r="AS102" i="12"/>
  <c r="AT102" i="12"/>
  <c r="AU102" i="12"/>
  <c r="AV102" i="12"/>
  <c r="AW102" i="12"/>
  <c r="AX102" i="12"/>
  <c r="AY102" i="12"/>
  <c r="AZ102" i="12"/>
  <c r="BA102" i="12"/>
  <c r="BB102" i="12"/>
  <c r="BC102" i="12"/>
  <c r="BD102" i="12"/>
  <c r="BE102" i="12"/>
  <c r="BF102" i="12"/>
  <c r="BG102" i="12"/>
  <c r="BH102" i="12"/>
  <c r="BI102" i="12"/>
  <c r="BJ102" i="12"/>
  <c r="BK102" i="12"/>
  <c r="BL102" i="12"/>
  <c r="BM102" i="12"/>
  <c r="BN102" i="12"/>
  <c r="BO102" i="12"/>
  <c r="BP102" i="12"/>
  <c r="BQ102" i="12"/>
  <c r="BR102" i="12"/>
  <c r="BS102" i="12"/>
  <c r="BT102" i="12"/>
  <c r="BU102" i="12"/>
  <c r="BV102" i="12"/>
  <c r="BW102" i="12"/>
  <c r="BX102" i="12"/>
  <c r="BY102" i="12"/>
  <c r="BZ102" i="12"/>
  <c r="CA102" i="12"/>
  <c r="CB102" i="12"/>
  <c r="CC102" i="12"/>
  <c r="CD102" i="12"/>
  <c r="CE102" i="12"/>
  <c r="CF102" i="12"/>
  <c r="CG102" i="12"/>
  <c r="CH102" i="12"/>
  <c r="CI102" i="12"/>
  <c r="CJ102" i="12"/>
  <c r="AO105" i="12"/>
  <c r="AP105" i="12"/>
  <c r="AQ105" i="12"/>
  <c r="AR105" i="12"/>
  <c r="AS105" i="12"/>
  <c r="AT105" i="12"/>
  <c r="AU105" i="12"/>
  <c r="AV105" i="12"/>
  <c r="AW105" i="12"/>
  <c r="AX105" i="12"/>
  <c r="AY105" i="12"/>
  <c r="AZ105" i="12"/>
  <c r="BA105" i="12"/>
  <c r="BB105" i="12"/>
  <c r="BC105" i="12"/>
  <c r="BD105" i="12"/>
  <c r="BE105" i="12"/>
  <c r="BF105" i="12"/>
  <c r="BG105" i="12"/>
  <c r="BH105" i="12"/>
  <c r="BI105" i="12"/>
  <c r="BJ105" i="12"/>
  <c r="BK105" i="12"/>
  <c r="BL105" i="12"/>
  <c r="BM105" i="12"/>
  <c r="BN105" i="12"/>
  <c r="BO105" i="12"/>
  <c r="BP105" i="12"/>
  <c r="BQ105" i="12"/>
  <c r="BR105" i="12"/>
  <c r="BS105" i="12"/>
  <c r="BT105" i="12"/>
  <c r="BU105" i="12"/>
  <c r="BV105" i="12"/>
  <c r="BW105" i="12"/>
  <c r="BX105" i="12"/>
  <c r="BY105" i="12"/>
  <c r="BZ105" i="12"/>
  <c r="CA105" i="12"/>
  <c r="CB105" i="12"/>
  <c r="CC105" i="12"/>
  <c r="CD105" i="12"/>
  <c r="CE105" i="12"/>
  <c r="CF105" i="12"/>
  <c r="CG105" i="12"/>
  <c r="CH105" i="12"/>
  <c r="CI105" i="12"/>
  <c r="CJ105" i="12"/>
  <c r="AM107" i="12"/>
  <c r="AN107" i="12"/>
  <c r="AO107" i="12"/>
  <c r="AP107" i="12"/>
  <c r="AQ107" i="12"/>
  <c r="AR107" i="12"/>
  <c r="AS107" i="12"/>
  <c r="AT107" i="12"/>
  <c r="AU107" i="12"/>
  <c r="AV107" i="12"/>
  <c r="AW107" i="12"/>
  <c r="AX107" i="12"/>
  <c r="AY107" i="12"/>
  <c r="AZ107" i="12"/>
  <c r="BA107" i="12"/>
  <c r="BB107" i="12"/>
  <c r="BC107" i="12"/>
  <c r="BD107" i="12"/>
  <c r="BE107" i="12"/>
  <c r="BF107" i="12"/>
  <c r="BG107" i="12"/>
  <c r="BH107" i="12"/>
  <c r="BI107" i="12"/>
  <c r="BJ107" i="12"/>
  <c r="BK107" i="12"/>
  <c r="BL107" i="12"/>
  <c r="BM107" i="12"/>
  <c r="BN107" i="12"/>
  <c r="BO107" i="12"/>
  <c r="BP107" i="12"/>
  <c r="BQ107" i="12"/>
  <c r="BR107" i="12"/>
  <c r="BS107" i="12"/>
  <c r="BT107" i="12"/>
  <c r="BU107" i="12"/>
  <c r="BV107" i="12"/>
  <c r="BW107" i="12"/>
  <c r="BX107" i="12"/>
  <c r="BY107" i="12"/>
  <c r="BZ107" i="12"/>
  <c r="CA107" i="12"/>
  <c r="CB107" i="12"/>
  <c r="CC107" i="12"/>
  <c r="CD107" i="12"/>
  <c r="CE107" i="12"/>
  <c r="CF107" i="12"/>
  <c r="CG107" i="12"/>
  <c r="CH107" i="12"/>
  <c r="CI107" i="12"/>
  <c r="CJ107" i="12"/>
  <c r="AM108" i="12"/>
  <c r="AN108" i="12"/>
  <c r="AO108" i="12"/>
  <c r="AP108" i="12"/>
  <c r="AQ108" i="12"/>
  <c r="AR108" i="12"/>
  <c r="AS108" i="12"/>
  <c r="AT108" i="12"/>
  <c r="AU108" i="12"/>
  <c r="AV108" i="12"/>
  <c r="AW108" i="12"/>
  <c r="AX108" i="12"/>
  <c r="AY108" i="12"/>
  <c r="AZ108" i="12"/>
  <c r="BA108" i="12"/>
  <c r="BB108" i="12"/>
  <c r="BC108" i="12"/>
  <c r="BD108" i="12"/>
  <c r="BE108" i="12"/>
  <c r="BF108" i="12"/>
  <c r="BG108" i="12"/>
  <c r="BH108" i="12"/>
  <c r="BI108" i="12"/>
  <c r="BJ108" i="12"/>
  <c r="BK108" i="12"/>
  <c r="BL108" i="12"/>
  <c r="BM108" i="12"/>
  <c r="BN108" i="12"/>
  <c r="BO108" i="12"/>
  <c r="BP108" i="12"/>
  <c r="BQ108" i="12"/>
  <c r="BR108" i="12"/>
  <c r="BS108" i="12"/>
  <c r="BT108" i="12"/>
  <c r="BU108" i="12"/>
  <c r="BV108" i="12"/>
  <c r="BW108" i="12"/>
  <c r="BX108" i="12"/>
  <c r="BY108" i="12"/>
  <c r="BZ108" i="12"/>
  <c r="CA108" i="12"/>
  <c r="CB108" i="12"/>
  <c r="CC108" i="12"/>
  <c r="CD108" i="12"/>
  <c r="CE108" i="12"/>
  <c r="CF108" i="12"/>
  <c r="CG108" i="12"/>
  <c r="CH108" i="12"/>
  <c r="CI108" i="12"/>
  <c r="CJ108" i="12"/>
  <c r="R109" i="12"/>
  <c r="AM109" i="12"/>
  <c r="AN109" i="12"/>
  <c r="AO109" i="12"/>
  <c r="AP109" i="12"/>
  <c r="AQ109" i="12"/>
  <c r="AR109" i="12"/>
  <c r="AS109" i="12"/>
  <c r="AT109" i="12"/>
  <c r="AU109" i="12"/>
  <c r="AV109" i="12"/>
  <c r="AW109" i="12"/>
  <c r="AX109" i="12"/>
  <c r="AY109" i="12"/>
  <c r="AZ109" i="12"/>
  <c r="BA109" i="12"/>
  <c r="BB109" i="12"/>
  <c r="BC109" i="12"/>
  <c r="BD109" i="12"/>
  <c r="BE109" i="12"/>
  <c r="BF109" i="12"/>
  <c r="BG109" i="12"/>
  <c r="BH109" i="12"/>
  <c r="BI109" i="12"/>
  <c r="BJ109" i="12"/>
  <c r="BK109" i="12"/>
  <c r="BL109" i="12"/>
  <c r="BM109" i="12"/>
  <c r="BN109" i="12"/>
  <c r="BO109" i="12"/>
  <c r="BP109" i="12"/>
  <c r="BQ109" i="12"/>
  <c r="BR109" i="12"/>
  <c r="BS109" i="12"/>
  <c r="BT109" i="12"/>
  <c r="BU109" i="12"/>
  <c r="BV109" i="12"/>
  <c r="BW109" i="12"/>
  <c r="BX109" i="12"/>
  <c r="BY109" i="12"/>
  <c r="BZ109" i="12"/>
  <c r="CA109" i="12"/>
  <c r="CB109" i="12"/>
  <c r="CC109" i="12"/>
  <c r="CD109" i="12"/>
  <c r="CE109" i="12"/>
  <c r="CF109" i="12"/>
  <c r="CG109" i="12"/>
  <c r="CH109" i="12"/>
  <c r="CI109" i="12"/>
  <c r="CJ109" i="12"/>
  <c r="AO111" i="12"/>
  <c r="AP111" i="12"/>
  <c r="AQ111" i="12"/>
  <c r="AR111" i="12"/>
  <c r="AS111" i="12"/>
  <c r="AT111" i="12"/>
  <c r="AU111" i="12"/>
  <c r="AV111" i="12"/>
  <c r="AW111" i="12"/>
  <c r="AX111" i="12"/>
  <c r="AY111" i="12"/>
  <c r="AZ111" i="12"/>
  <c r="BA111" i="12"/>
  <c r="BB111" i="12"/>
  <c r="BC111" i="12"/>
  <c r="BD111" i="12"/>
  <c r="BE111" i="12"/>
  <c r="BF111" i="12"/>
  <c r="BG111" i="12"/>
  <c r="BH111" i="12"/>
  <c r="BI111" i="12"/>
  <c r="BJ111" i="12"/>
  <c r="BK111" i="12"/>
  <c r="BL111" i="12"/>
  <c r="BM111" i="12"/>
  <c r="BN111" i="12"/>
  <c r="BO111" i="12"/>
  <c r="BP111" i="12"/>
  <c r="BQ111" i="12"/>
  <c r="BR111" i="12"/>
  <c r="BS111" i="12"/>
  <c r="BT111" i="12"/>
  <c r="BU111" i="12"/>
  <c r="BV111" i="12"/>
  <c r="BW111" i="12"/>
  <c r="BX111" i="12"/>
  <c r="BY111" i="12"/>
  <c r="BZ111" i="12"/>
  <c r="CA111" i="12"/>
  <c r="CB111" i="12"/>
  <c r="CC111" i="12"/>
  <c r="CD111" i="12"/>
  <c r="CE111" i="12"/>
  <c r="CF111" i="12"/>
  <c r="CG111" i="12"/>
  <c r="CH111" i="12"/>
  <c r="CI111" i="12"/>
  <c r="CJ111" i="12"/>
  <c r="AM113" i="12"/>
  <c r="AN113" i="12"/>
  <c r="AO113" i="12"/>
  <c r="AP113" i="12"/>
  <c r="AQ113" i="12"/>
  <c r="AR113" i="12"/>
  <c r="AS113" i="12"/>
  <c r="AT113" i="12"/>
  <c r="AU113" i="12"/>
  <c r="AV113" i="12"/>
  <c r="AW113" i="12"/>
  <c r="AX113" i="12"/>
  <c r="AY113" i="12"/>
  <c r="AZ113" i="12"/>
  <c r="BA113" i="12"/>
  <c r="BB113" i="12"/>
  <c r="BC113" i="12"/>
  <c r="BD113" i="12"/>
  <c r="BE113" i="12"/>
  <c r="BF113" i="12"/>
  <c r="BG113" i="12"/>
  <c r="BH113" i="12"/>
  <c r="BI113" i="12"/>
  <c r="BJ113" i="12"/>
  <c r="BK113" i="12"/>
  <c r="BL113" i="12"/>
  <c r="BM113" i="12"/>
  <c r="BN113" i="12"/>
  <c r="BO113" i="12"/>
  <c r="BP113" i="12"/>
  <c r="BQ113" i="12"/>
  <c r="BR113" i="12"/>
  <c r="BS113" i="12"/>
  <c r="BT113" i="12"/>
  <c r="BU113" i="12"/>
  <c r="BV113" i="12"/>
  <c r="BW113" i="12"/>
  <c r="BX113" i="12"/>
  <c r="BY113" i="12"/>
  <c r="BZ113" i="12"/>
  <c r="CA113" i="12"/>
  <c r="CB113" i="12"/>
  <c r="CC113" i="12"/>
  <c r="CD113" i="12"/>
  <c r="CE113" i="12"/>
  <c r="CF113" i="12"/>
  <c r="CG113" i="12"/>
  <c r="CH113" i="12"/>
  <c r="CI113" i="12"/>
  <c r="CJ113" i="12"/>
  <c r="AM114" i="12"/>
  <c r="AN114" i="12"/>
  <c r="AO114" i="12"/>
  <c r="AP114" i="12"/>
  <c r="AQ114" i="12"/>
  <c r="AR114" i="12"/>
  <c r="AS114" i="12"/>
  <c r="AT114" i="12"/>
  <c r="AU114" i="12"/>
  <c r="AV114" i="12"/>
  <c r="AW114" i="12"/>
  <c r="AX114" i="12"/>
  <c r="AY114" i="12"/>
  <c r="AZ114" i="12"/>
  <c r="BA114" i="12"/>
  <c r="BB114" i="12"/>
  <c r="BC114" i="12"/>
  <c r="BD114" i="12"/>
  <c r="BE114" i="12"/>
  <c r="BF114" i="12"/>
  <c r="BG114" i="12"/>
  <c r="BH114" i="12"/>
  <c r="BI114" i="12"/>
  <c r="BJ114" i="12"/>
  <c r="BK114" i="12"/>
  <c r="BL114" i="12"/>
  <c r="BM114" i="12"/>
  <c r="BN114" i="12"/>
  <c r="BO114" i="12"/>
  <c r="BP114" i="12"/>
  <c r="BQ114" i="12"/>
  <c r="BR114" i="12"/>
  <c r="BS114" i="12"/>
  <c r="BT114" i="12"/>
  <c r="BU114" i="12"/>
  <c r="BV114" i="12"/>
  <c r="BW114" i="12"/>
  <c r="BX114" i="12"/>
  <c r="BY114" i="12"/>
  <c r="BZ114" i="12"/>
  <c r="CA114" i="12"/>
  <c r="CB114" i="12"/>
  <c r="CC114" i="12"/>
  <c r="CD114" i="12"/>
  <c r="CE114" i="12"/>
  <c r="CF114" i="12"/>
  <c r="CG114" i="12"/>
  <c r="CH114" i="12"/>
  <c r="CI114" i="12"/>
  <c r="CJ114" i="12"/>
  <c r="AM115" i="12"/>
  <c r="AN115" i="12"/>
  <c r="AO115" i="12"/>
  <c r="AP115" i="12"/>
  <c r="AQ115" i="12"/>
  <c r="AR115" i="12"/>
  <c r="AS115" i="12"/>
  <c r="AT115" i="12"/>
  <c r="AU115" i="12"/>
  <c r="AV115" i="12"/>
  <c r="AW115" i="12"/>
  <c r="AX115" i="12"/>
  <c r="AY115" i="12"/>
  <c r="AZ115" i="12"/>
  <c r="BA115" i="12"/>
  <c r="BB115" i="12"/>
  <c r="BC115" i="12"/>
  <c r="BD115" i="12"/>
  <c r="BE115" i="12"/>
  <c r="BF115" i="12"/>
  <c r="BG115" i="12"/>
  <c r="BH115" i="12"/>
  <c r="BI115" i="12"/>
  <c r="BJ115" i="12"/>
  <c r="BK115" i="12"/>
  <c r="BL115" i="12"/>
  <c r="BM115" i="12"/>
  <c r="BN115" i="12"/>
  <c r="BO115" i="12"/>
  <c r="BP115" i="12"/>
  <c r="BQ115" i="12"/>
  <c r="BR115" i="12"/>
  <c r="BS115" i="12"/>
  <c r="BT115" i="12"/>
  <c r="BU115" i="12"/>
  <c r="BV115" i="12"/>
  <c r="BW115" i="12"/>
  <c r="BX115" i="12"/>
  <c r="BY115" i="12"/>
  <c r="BZ115" i="12"/>
  <c r="CA115" i="12"/>
  <c r="CB115" i="12"/>
  <c r="CC115" i="12"/>
  <c r="CD115" i="12"/>
  <c r="CE115" i="12"/>
  <c r="CF115" i="12"/>
  <c r="CG115" i="12"/>
  <c r="CH115" i="12"/>
  <c r="CI115" i="12"/>
  <c r="CJ115" i="12"/>
  <c r="AO121" i="12"/>
  <c r="AP121" i="12"/>
  <c r="AQ121" i="12"/>
  <c r="AR121" i="12"/>
  <c r="AS121" i="12"/>
  <c r="AT121" i="12"/>
  <c r="AU121" i="12"/>
  <c r="AL123" i="12"/>
  <c r="AM123" i="12"/>
  <c r="AN123" i="12"/>
  <c r="AO123" i="12"/>
  <c r="AP123" i="12"/>
  <c r="AQ123" i="12"/>
  <c r="AR123" i="12"/>
  <c r="AS123" i="12"/>
  <c r="AT123" i="12"/>
  <c r="AU123" i="12"/>
  <c r="AL127" i="12"/>
  <c r="AM127" i="12"/>
  <c r="AN127" i="12"/>
  <c r="AO127" i="12"/>
  <c r="AP127" i="12"/>
  <c r="AQ127" i="12"/>
  <c r="AR127" i="12"/>
  <c r="AS127" i="12"/>
  <c r="AT127" i="12"/>
  <c r="AU127" i="12"/>
  <c r="AL128" i="12"/>
  <c r="AM128" i="12"/>
  <c r="AN128" i="12"/>
  <c r="AO128" i="12"/>
  <c r="AP128" i="12"/>
  <c r="AQ128" i="12"/>
  <c r="AR128" i="12"/>
  <c r="AS128" i="12"/>
  <c r="AT128" i="12"/>
  <c r="AU128" i="12"/>
  <c r="R130" i="12"/>
  <c r="AO134" i="12"/>
  <c r="AP134" i="12"/>
  <c r="AQ134" i="12"/>
  <c r="AR134" i="12"/>
  <c r="AS134" i="12"/>
  <c r="AT134" i="12"/>
  <c r="AU134" i="12"/>
  <c r="AO135" i="12"/>
  <c r="AP135" i="12"/>
  <c r="AQ135" i="12"/>
  <c r="AR135" i="12"/>
  <c r="AS135" i="12"/>
  <c r="AT135" i="12"/>
  <c r="AU135" i="12"/>
  <c r="R137" i="12"/>
  <c r="R140" i="12"/>
  <c r="R142" i="12"/>
  <c r="AO146" i="12"/>
  <c r="AP146" i="12"/>
  <c r="AQ146" i="12"/>
  <c r="AR146" i="12"/>
  <c r="AS146" i="12"/>
  <c r="AT146" i="12"/>
  <c r="AU146" i="12"/>
  <c r="AO148" i="12"/>
  <c r="AP148" i="12"/>
  <c r="AQ148" i="12"/>
  <c r="AR148" i="12"/>
  <c r="AS148" i="12"/>
  <c r="AT148" i="12"/>
  <c r="AU148" i="12"/>
  <c r="R149" i="12"/>
  <c r="AO149" i="12"/>
  <c r="AP149" i="12"/>
  <c r="AQ149" i="12"/>
  <c r="AR149" i="12"/>
  <c r="AS149" i="12"/>
  <c r="AT149" i="12"/>
  <c r="AU149" i="12"/>
</calcChain>
</file>

<file path=xl/comments1.xml><?xml version="1.0" encoding="utf-8"?>
<comments xmlns="http://schemas.openxmlformats.org/spreadsheetml/2006/main" xmlns:mc="http://schemas.openxmlformats.org/markup-compatibility/2006" xmlns:xr="http://schemas.microsoft.com/office/spreadsheetml/2014/revision" mc:Ignorable="xr">
  <authors>
    <author>Dunger, Matt (Research)</author>
    <author>O'Neill, Emilie (Research)</author>
    <author>Fernandes, Sona F (Research)</author>
    <author>Wiles, Richard (Research)</author>
    <author>Hong, Sally (Research)</author>
    <author>Fernandes, Sona (Research)</author>
    <author>richwile</author>
    <author>Dunger</author>
    <author>Stadnik, Andrei (Research)</author>
  </authors>
  <commentList>
    <comment ref="BP14" authorId="0" shapeId="0" xr:uid="{A17C8663-D9E5-491C-A3EF-78982ECBE930}">
      <text>
        <r>
          <rPr>
            <b/>
            <sz val="9"/>
            <color indexed="81"/>
            <rFont val="Tahoma"/>
            <family val="2"/>
          </rPr>
          <t>Dunger, Matt (Research):</t>
        </r>
        <r>
          <rPr>
            <sz val="9"/>
            <color indexed="81"/>
            <rFont val="Tahoma"/>
            <family val="2"/>
          </rPr>
          <t xml:space="preserve">
restated 2H16</t>
        </r>
      </text>
    </comment>
    <comment ref="BQ14" authorId="0" shapeId="0" xr:uid="{CF6C0DBC-C69A-4BB8-AB99-F0303D732938}">
      <text>
        <r>
          <rPr>
            <b/>
            <sz val="9"/>
            <color indexed="81"/>
            <rFont val="Tahoma"/>
            <family val="2"/>
          </rPr>
          <t>Dunger, Matt (Research):</t>
        </r>
        <r>
          <rPr>
            <sz val="9"/>
            <color indexed="81"/>
            <rFont val="Tahoma"/>
            <family val="2"/>
          </rPr>
          <t xml:space="preserve">
restated 2H16</t>
        </r>
      </text>
    </comment>
    <comment ref="BT14" authorId="0" shapeId="0" xr:uid="{D25F9C52-DED0-44A3-BCEC-47487E7DDF12}">
      <text>
        <r>
          <rPr>
            <b/>
            <sz val="9"/>
            <color indexed="81"/>
            <rFont val="Tahoma"/>
            <family val="2"/>
          </rPr>
          <t>Dunger, Matt (Research):</t>
        </r>
        <r>
          <rPr>
            <sz val="9"/>
            <color indexed="81"/>
            <rFont val="Tahoma"/>
            <family val="2"/>
          </rPr>
          <t xml:space="preserve">
restated at 2H16</t>
        </r>
      </text>
    </comment>
    <comment ref="BX14" authorId="1" shapeId="0" xr:uid="{2F07A232-F068-4F6C-8AA2-040CDF82AFD7}">
      <text>
        <r>
          <rPr>
            <b/>
            <sz val="9"/>
            <color indexed="81"/>
            <rFont val="Tahoma"/>
            <family val="2"/>
          </rPr>
          <t>O'Neill, Emilie (Research):</t>
        </r>
        <r>
          <rPr>
            <sz val="9"/>
            <color indexed="81"/>
            <rFont val="Tahoma"/>
            <family val="2"/>
          </rPr>
          <t xml:space="preserve">
Restated 1H18</t>
        </r>
      </text>
    </comment>
    <comment ref="BY14" authorId="1" shapeId="0" xr:uid="{5F60A6E9-946D-4583-9E13-84FC8E8EB584}">
      <text>
        <r>
          <rPr>
            <b/>
            <sz val="9"/>
            <color indexed="81"/>
            <rFont val="Tahoma"/>
            <family val="2"/>
          </rPr>
          <t>O'Neill, Emilie (Research):</t>
        </r>
        <r>
          <rPr>
            <sz val="9"/>
            <color indexed="81"/>
            <rFont val="Tahoma"/>
            <family val="2"/>
          </rPr>
          <t xml:space="preserve">
To balance with restated FY17</t>
        </r>
      </text>
    </comment>
    <comment ref="BZ14" authorId="1" shapeId="0" xr:uid="{D7F2E4F3-9E0D-4C6B-A6C2-AB6F8932CDD1}">
      <text>
        <r>
          <rPr>
            <b/>
            <sz val="9"/>
            <color indexed="81"/>
            <rFont val="Tahoma"/>
            <family val="2"/>
          </rPr>
          <t>O'Neill, Emilie (Research):</t>
        </r>
        <r>
          <rPr>
            <sz val="9"/>
            <color indexed="81"/>
            <rFont val="Tahoma"/>
            <family val="2"/>
          </rPr>
          <t xml:space="preserve">
restated at 2H18</t>
        </r>
      </text>
    </comment>
    <comment ref="CB14" authorId="1" shapeId="0" xr:uid="{AD774000-FEAC-44E0-A311-A6CBD9C5F943}">
      <text>
        <r>
          <rPr>
            <b/>
            <sz val="9"/>
            <color indexed="81"/>
            <rFont val="Tahoma"/>
            <family val="2"/>
          </rPr>
          <t>O'Neill, Emilie (Research):</t>
        </r>
        <r>
          <rPr>
            <sz val="9"/>
            <color indexed="81"/>
            <rFont val="Tahoma"/>
            <family val="2"/>
          </rPr>
          <t xml:space="preserve">
Restated as per announcement 18th Jan 2019</t>
        </r>
      </text>
    </comment>
    <comment ref="CC14" authorId="1" shapeId="0" xr:uid="{CC4AAAA2-4B59-46FC-9129-5C0EBCED8467}">
      <text>
        <r>
          <rPr>
            <b/>
            <sz val="9"/>
            <color indexed="81"/>
            <rFont val="Tahoma"/>
            <family val="2"/>
          </rPr>
          <t>O'Neill, Emilie (Research):</t>
        </r>
        <r>
          <rPr>
            <sz val="9"/>
            <color indexed="81"/>
            <rFont val="Tahoma"/>
            <family val="2"/>
          </rPr>
          <t xml:space="preserve">
Restated as per announcement 18th Jan 2019</t>
        </r>
      </text>
    </comment>
    <comment ref="CF14" authorId="2" shapeId="0" xr:uid="{7F8ED65D-88E1-4DB3-BC01-15B1E39CFA78}">
      <text>
        <r>
          <rPr>
            <b/>
            <sz val="9"/>
            <color indexed="81"/>
            <rFont val="Tahoma"/>
            <family val="2"/>
          </rPr>
          <t>Fernandes, Sona F (Research):</t>
        </r>
        <r>
          <rPr>
            <sz val="9"/>
            <color indexed="81"/>
            <rFont val="Tahoma"/>
            <family val="2"/>
          </rPr>
          <t xml:space="preserve">
Restated FY20
</t>
        </r>
      </text>
    </comment>
    <comment ref="CG14" authorId="2" shapeId="0" xr:uid="{71E4E5DD-536D-45BD-9C77-0FF73DD341AC}">
      <text>
        <r>
          <rPr>
            <b/>
            <sz val="9"/>
            <color indexed="81"/>
            <rFont val="Tahoma"/>
            <family val="2"/>
          </rPr>
          <t>Fernandes, Sona F (Research):</t>
        </r>
        <r>
          <rPr>
            <sz val="9"/>
            <color indexed="81"/>
            <rFont val="Tahoma"/>
            <family val="2"/>
          </rPr>
          <t xml:space="preserve">
Restated FY20
</t>
        </r>
      </text>
    </comment>
    <comment ref="CJ14" authorId="2" shapeId="0" xr:uid="{921697AD-8BD3-4EFA-8232-89D145EAF74F}">
      <text>
        <r>
          <rPr>
            <b/>
            <sz val="9"/>
            <color indexed="81"/>
            <rFont val="Tahoma"/>
            <family val="2"/>
          </rPr>
          <t>Fernandes, Sona F (Research):</t>
        </r>
        <r>
          <rPr>
            <sz val="9"/>
            <color indexed="81"/>
            <rFont val="Tahoma"/>
            <family val="2"/>
          </rPr>
          <t xml:space="preserve">
Restated FY20
</t>
        </r>
      </text>
    </comment>
    <comment ref="CN14" authorId="3" shapeId="0" xr:uid="{4EAC8259-5E96-49AC-9452-BA371C7647DA}">
      <text>
        <r>
          <rPr>
            <b/>
            <sz val="9"/>
            <color indexed="81"/>
            <rFont val="Tahoma"/>
            <family val="2"/>
          </rPr>
          <t>Wiles, Richard (Research):</t>
        </r>
        <r>
          <rPr>
            <sz val="9"/>
            <color indexed="81"/>
            <rFont val="Tahoma"/>
            <family val="2"/>
          </rPr>
          <t xml:space="preserve">
restated by +A$229m at 1H22</t>
        </r>
      </text>
    </comment>
    <comment ref="CO14" authorId="3" shapeId="0" xr:uid="{F223B112-38B3-4DD1-B893-A289B7B9707D}">
      <text>
        <r>
          <rPr>
            <b/>
            <sz val="9"/>
            <color indexed="81"/>
            <rFont val="Tahoma"/>
            <family val="2"/>
          </rPr>
          <t>Wiles, Richard (Research):</t>
        </r>
        <r>
          <rPr>
            <sz val="9"/>
            <color indexed="81"/>
            <rFont val="Tahoma"/>
            <family val="2"/>
          </rPr>
          <t xml:space="preserve">
restated by +A$234m at 1H22</t>
        </r>
      </text>
    </comment>
    <comment ref="BX15" authorId="1" shapeId="0" xr:uid="{36555E9E-FBDE-4651-BC07-96E619FDDB35}">
      <text>
        <r>
          <rPr>
            <b/>
            <sz val="9"/>
            <color indexed="81"/>
            <rFont val="Tahoma"/>
            <family val="2"/>
          </rPr>
          <t>O'Neill, Emilie (Research):</t>
        </r>
        <r>
          <rPr>
            <sz val="9"/>
            <color indexed="81"/>
            <rFont val="Tahoma"/>
            <family val="2"/>
          </rPr>
          <t xml:space="preserve">
Restated 1H18</t>
        </r>
      </text>
    </comment>
    <comment ref="BY15" authorId="1" shapeId="0" xr:uid="{B2FD1CDE-B283-444A-AB43-BD2E20CC122C}">
      <text>
        <r>
          <rPr>
            <b/>
            <sz val="9"/>
            <color indexed="81"/>
            <rFont val="Tahoma"/>
            <family val="2"/>
          </rPr>
          <t>O'Neill, Emilie (Research):</t>
        </r>
        <r>
          <rPr>
            <sz val="9"/>
            <color indexed="81"/>
            <rFont val="Tahoma"/>
            <family val="2"/>
          </rPr>
          <t xml:space="preserve">
To balance with restated FY17</t>
        </r>
      </text>
    </comment>
    <comment ref="BZ15" authorId="1" shapeId="0" xr:uid="{D212B151-248A-408C-853F-6C49F8AD2373}">
      <text>
        <r>
          <rPr>
            <b/>
            <sz val="9"/>
            <color indexed="81"/>
            <rFont val="Tahoma"/>
            <family val="2"/>
          </rPr>
          <t>O'Neill, Emilie (Research):</t>
        </r>
        <r>
          <rPr>
            <sz val="9"/>
            <color indexed="81"/>
            <rFont val="Tahoma"/>
            <family val="2"/>
          </rPr>
          <t xml:space="preserve">
restated at 2H18</t>
        </r>
      </text>
    </comment>
    <comment ref="CB15" authorId="1" shapeId="0" xr:uid="{17ECF19E-6C62-4994-9A33-6ECFBF292FFB}">
      <text>
        <r>
          <rPr>
            <b/>
            <sz val="9"/>
            <color indexed="81"/>
            <rFont val="Tahoma"/>
            <family val="2"/>
          </rPr>
          <t>O'Neill, Emilie (Research):</t>
        </r>
        <r>
          <rPr>
            <sz val="9"/>
            <color indexed="81"/>
            <rFont val="Tahoma"/>
            <family val="2"/>
          </rPr>
          <t xml:space="preserve">
Restated 1H19</t>
        </r>
      </text>
    </comment>
    <comment ref="CC15" authorId="1" shapeId="0" xr:uid="{4821EBB8-54E0-4242-917D-AB1191B498D9}">
      <text>
        <r>
          <rPr>
            <b/>
            <sz val="9"/>
            <color indexed="81"/>
            <rFont val="Tahoma"/>
            <family val="2"/>
          </rPr>
          <t>O'Neill, Emilie (Research):</t>
        </r>
        <r>
          <rPr>
            <sz val="9"/>
            <color indexed="81"/>
            <rFont val="Tahoma"/>
            <family val="2"/>
          </rPr>
          <t xml:space="preserve">
Restated 1H19</t>
        </r>
      </text>
    </comment>
    <comment ref="CF15" authorId="2" shapeId="0" xr:uid="{600C594E-4372-4433-8EC7-2A9B8AF68717}">
      <text>
        <r>
          <rPr>
            <b/>
            <sz val="9"/>
            <color indexed="81"/>
            <rFont val="Tahoma"/>
            <family val="2"/>
          </rPr>
          <t>Fernandes, Sona F (Research):</t>
        </r>
        <r>
          <rPr>
            <sz val="9"/>
            <color indexed="81"/>
            <rFont val="Tahoma"/>
            <family val="2"/>
          </rPr>
          <t xml:space="preserve">
Restated FY20
</t>
        </r>
      </text>
    </comment>
    <comment ref="CG15" authorId="2" shapeId="0" xr:uid="{A9D0CAC2-B500-4792-B04C-ABB1CBC74828}">
      <text>
        <r>
          <rPr>
            <b/>
            <sz val="9"/>
            <color indexed="81"/>
            <rFont val="Tahoma"/>
            <family val="2"/>
          </rPr>
          <t>Fernandes, Sona F (Research):</t>
        </r>
        <r>
          <rPr>
            <sz val="9"/>
            <color indexed="81"/>
            <rFont val="Tahoma"/>
            <family val="2"/>
          </rPr>
          <t xml:space="preserve">
Restated FY20
</t>
        </r>
      </text>
    </comment>
    <comment ref="CJ15" authorId="2" shapeId="0" xr:uid="{592D23CB-CA71-495E-800A-B3C6150E2D01}">
      <text>
        <r>
          <rPr>
            <b/>
            <sz val="9"/>
            <color indexed="81"/>
            <rFont val="Tahoma"/>
            <family val="2"/>
          </rPr>
          <t>Fernandes, Sona F (Research):</t>
        </r>
        <r>
          <rPr>
            <sz val="9"/>
            <color indexed="81"/>
            <rFont val="Tahoma"/>
            <family val="2"/>
          </rPr>
          <t xml:space="preserve">
Restated FY20
</t>
        </r>
      </text>
    </comment>
    <comment ref="CN15" authorId="3" shapeId="0" xr:uid="{4BADEDF1-2A91-44C7-BF13-E227990CB0EC}">
      <text>
        <r>
          <rPr>
            <b/>
            <sz val="9"/>
            <color indexed="81"/>
            <rFont val="Tahoma"/>
            <family val="2"/>
          </rPr>
          <t>Wiles, Richard (Research):</t>
        </r>
        <r>
          <rPr>
            <sz val="9"/>
            <color indexed="81"/>
            <rFont val="Tahoma"/>
            <family val="2"/>
          </rPr>
          <t xml:space="preserve">
restated by -A$229m at 1H22</t>
        </r>
      </text>
    </comment>
    <comment ref="CO15" authorId="3" shapeId="0" xr:uid="{4F59CD55-3BAE-4ACF-A5F7-53AF1F99CC35}">
      <text>
        <r>
          <rPr>
            <b/>
            <sz val="9"/>
            <color indexed="81"/>
            <rFont val="Tahoma"/>
            <family val="2"/>
          </rPr>
          <t>Wiles, Richard (Research):</t>
        </r>
        <r>
          <rPr>
            <sz val="9"/>
            <color indexed="81"/>
            <rFont val="Tahoma"/>
            <family val="2"/>
          </rPr>
          <t xml:space="preserve">
restated by -A$234m at 1H22</t>
        </r>
      </text>
    </comment>
    <comment ref="CR15" authorId="4" shapeId="0" xr:uid="{096636AC-231F-4419-BE8B-FAB8161C74AA}">
      <text>
        <r>
          <rPr>
            <b/>
            <sz val="9"/>
            <color indexed="81"/>
            <rFont val="Tahoma"/>
            <family val="2"/>
          </rPr>
          <t>Hong, Sally (Research):</t>
        </r>
        <r>
          <rPr>
            <sz val="9"/>
            <color indexed="81"/>
            <rFont val="Tahoma"/>
            <family val="2"/>
          </rPr>
          <t xml:space="preserve">
Restated for 1H23 Reporting (6 Feb 23)</t>
        </r>
      </text>
    </comment>
    <comment ref="CS15" authorId="4" shapeId="0" xr:uid="{35D659AB-7BDE-4302-B293-D35ABBA2F175}">
      <text>
        <r>
          <rPr>
            <b/>
            <sz val="9"/>
            <color indexed="81"/>
            <rFont val="Tahoma"/>
            <family val="2"/>
          </rPr>
          <t>Hong, Sally (Research):</t>
        </r>
        <r>
          <rPr>
            <sz val="9"/>
            <color indexed="81"/>
            <rFont val="Tahoma"/>
            <family val="2"/>
          </rPr>
          <t xml:space="preserve">
Restated for 1H23 Reporting (6 Feb 23)</t>
        </r>
      </text>
    </comment>
    <comment ref="BP16" authorId="0" shapeId="0" xr:uid="{A7E17777-E2E4-43EB-823F-82D46148CA92}">
      <text>
        <r>
          <rPr>
            <b/>
            <sz val="9"/>
            <color indexed="81"/>
            <rFont val="Tahoma"/>
            <family val="2"/>
          </rPr>
          <t>Dunger, Matt (Research):</t>
        </r>
        <r>
          <rPr>
            <sz val="9"/>
            <color indexed="81"/>
            <rFont val="Tahoma"/>
            <family val="2"/>
          </rPr>
          <t xml:space="preserve">
restated 1H16</t>
        </r>
      </text>
    </comment>
    <comment ref="BQ16" authorId="0" shapeId="0" xr:uid="{DE10BCBB-B9C2-466A-B4FA-E5D984F4E6FD}">
      <text>
        <r>
          <rPr>
            <b/>
            <sz val="9"/>
            <color indexed="81"/>
            <rFont val="Tahoma"/>
            <family val="2"/>
          </rPr>
          <t>Dunger, Matt (Research):</t>
        </r>
        <r>
          <rPr>
            <sz val="9"/>
            <color indexed="81"/>
            <rFont val="Tahoma"/>
            <family val="2"/>
          </rPr>
          <t xml:space="preserve">
restated 1H16</t>
        </r>
      </text>
    </comment>
    <comment ref="BT16" authorId="0" shapeId="0" xr:uid="{7856808D-1D05-4935-A8C4-4068590A1B9D}">
      <text>
        <r>
          <rPr>
            <b/>
            <sz val="9"/>
            <color indexed="81"/>
            <rFont val="Tahoma"/>
            <family val="2"/>
          </rPr>
          <t>Dunger, Matt (Research):</t>
        </r>
        <r>
          <rPr>
            <sz val="9"/>
            <color indexed="81"/>
            <rFont val="Tahoma"/>
            <family val="2"/>
          </rPr>
          <t xml:space="preserve">
negative CVA of 67m</t>
        </r>
      </text>
    </comment>
    <comment ref="CB16" authorId="1" shapeId="0" xr:uid="{ED3DD81C-80DC-4C20-AA77-9DD5204D0340}">
      <text>
        <r>
          <rPr>
            <b/>
            <sz val="9"/>
            <color indexed="81"/>
            <rFont val="Tahoma"/>
            <family val="2"/>
          </rPr>
          <t>O'Neill, Emilie (Research):</t>
        </r>
        <r>
          <rPr>
            <sz val="9"/>
            <color indexed="81"/>
            <rFont val="Tahoma"/>
            <family val="2"/>
          </rPr>
          <t xml:space="preserve">
Restated 1H19</t>
        </r>
      </text>
    </comment>
    <comment ref="CC16" authorId="1" shapeId="0" xr:uid="{BE6D5C78-7F0F-4237-B202-621742D8C0E4}">
      <text>
        <r>
          <rPr>
            <b/>
            <sz val="9"/>
            <color indexed="81"/>
            <rFont val="Tahoma"/>
            <family val="2"/>
          </rPr>
          <t>O'Neill, Emilie (Research):</t>
        </r>
        <r>
          <rPr>
            <sz val="9"/>
            <color indexed="81"/>
            <rFont val="Tahoma"/>
            <family val="2"/>
          </rPr>
          <t xml:space="preserve">
Restated 1H19</t>
        </r>
      </text>
    </comment>
    <comment ref="CF16" authorId="2" shapeId="0" xr:uid="{16EA7DD0-F1B1-40B9-9C35-DEDE6C6CCB69}">
      <text>
        <r>
          <rPr>
            <b/>
            <sz val="9"/>
            <color indexed="81"/>
            <rFont val="Tahoma"/>
            <family val="2"/>
          </rPr>
          <t>Fernandes, Sona F (Research):</t>
        </r>
        <r>
          <rPr>
            <sz val="9"/>
            <color indexed="81"/>
            <rFont val="Tahoma"/>
            <family val="2"/>
          </rPr>
          <t xml:space="preserve">
Restated FY20
</t>
        </r>
      </text>
    </comment>
    <comment ref="CG16" authorId="2" shapeId="0" xr:uid="{4513B360-75C5-4B6A-B85F-8A159FF4E2C7}">
      <text>
        <r>
          <rPr>
            <b/>
            <sz val="9"/>
            <color indexed="81"/>
            <rFont val="Tahoma"/>
            <family val="2"/>
          </rPr>
          <t>Fernandes, Sona F (Research):</t>
        </r>
        <r>
          <rPr>
            <sz val="9"/>
            <color indexed="81"/>
            <rFont val="Tahoma"/>
            <family val="2"/>
          </rPr>
          <t xml:space="preserve">
Restated FY20
</t>
        </r>
      </text>
    </comment>
    <comment ref="CJ16" authorId="2" shapeId="0" xr:uid="{D600F107-8DDB-49E7-86BF-05A4B205B942}">
      <text>
        <r>
          <rPr>
            <b/>
            <sz val="9"/>
            <color indexed="81"/>
            <rFont val="Tahoma"/>
            <family val="2"/>
          </rPr>
          <t>Fernandes, Sona F (Research):</t>
        </r>
        <r>
          <rPr>
            <sz val="9"/>
            <color indexed="81"/>
            <rFont val="Tahoma"/>
            <family val="2"/>
          </rPr>
          <t xml:space="preserve">
Restated FY20
</t>
        </r>
      </text>
    </comment>
    <comment ref="CZ16" authorId="4" shapeId="0" xr:uid="{4998E91C-A522-4190-9D7C-636ABEDDF703}">
      <text>
        <r>
          <rPr>
            <b/>
            <sz val="9"/>
            <color indexed="81"/>
            <rFont val="Tahoma"/>
            <family val="2"/>
          </rPr>
          <t>Hong, Sally (Research):</t>
        </r>
        <r>
          <rPr>
            <sz val="9"/>
            <color indexed="81"/>
            <rFont val="Tahoma"/>
            <family val="2"/>
          </rPr>
          <t xml:space="preserve">
Restated in 1H25
Prev: 
Trading Income
A$609m
Other income was A$130m</t>
        </r>
      </text>
    </comment>
    <comment ref="DA16" authorId="4" shapeId="0" xr:uid="{234327FA-EF8D-4B2B-81AA-571F8564F038}">
      <text>
        <r>
          <rPr>
            <b/>
            <sz val="9"/>
            <color indexed="81"/>
            <rFont val="Tahoma"/>
            <family val="2"/>
          </rPr>
          <t>Hong, Sally (Research):</t>
        </r>
        <r>
          <rPr>
            <sz val="9"/>
            <color indexed="81"/>
            <rFont val="Tahoma"/>
            <family val="2"/>
          </rPr>
          <t xml:space="preserve">
Restated in 1H25
Prev: 
Trading Income
A$516m
Other income was A$47m</t>
        </r>
      </text>
    </comment>
    <comment ref="BT17" authorId="0" shapeId="0" xr:uid="{88175652-DBFD-4C38-9C33-D44667C0081A}">
      <text>
        <r>
          <rPr>
            <b/>
            <sz val="9"/>
            <color indexed="81"/>
            <rFont val="Tahoma"/>
            <family val="2"/>
          </rPr>
          <t>Dunger, Matt (Research):</t>
        </r>
        <r>
          <rPr>
            <sz val="9"/>
            <color indexed="81"/>
            <rFont val="Tahoma"/>
            <family val="2"/>
          </rPr>
          <t xml:space="preserve">
one-offs from associates + structured finance</t>
        </r>
      </text>
    </comment>
    <comment ref="BY17" authorId="1" shapeId="0" xr:uid="{51AD7E72-8E70-4936-B8BB-3A28808507B4}">
      <text>
        <r>
          <rPr>
            <b/>
            <sz val="9"/>
            <color indexed="81"/>
            <rFont val="Tahoma"/>
            <family val="2"/>
          </rPr>
          <t>O'Neill, Emilie (Research):</t>
        </r>
        <r>
          <rPr>
            <sz val="9"/>
            <color indexed="81"/>
            <rFont val="Tahoma"/>
            <family val="2"/>
          </rPr>
          <t xml:space="preserve">
To balance with restated FY17</t>
        </r>
      </text>
    </comment>
    <comment ref="BZ17" authorId="1" shapeId="0" xr:uid="{7CEB8B23-6475-43AB-BEAE-C147499088D9}">
      <text>
        <r>
          <rPr>
            <b/>
            <sz val="9"/>
            <color indexed="81"/>
            <rFont val="Tahoma"/>
            <family val="2"/>
          </rPr>
          <t>O'Neill, Emilie (Research):</t>
        </r>
        <r>
          <rPr>
            <sz val="9"/>
            <color indexed="81"/>
            <rFont val="Tahoma"/>
            <family val="2"/>
          </rPr>
          <t xml:space="preserve">
Restated at 2H18 and includes one-off items</t>
        </r>
      </text>
    </comment>
    <comment ref="CB17" authorId="1" shapeId="0" xr:uid="{0A5E954B-2909-4A1F-9D1F-7FA25BA0FFFF}">
      <text>
        <r>
          <rPr>
            <b/>
            <sz val="9"/>
            <color indexed="81"/>
            <rFont val="Tahoma"/>
            <family val="2"/>
          </rPr>
          <t>O'Neill, Emilie (Research):</t>
        </r>
        <r>
          <rPr>
            <sz val="9"/>
            <color indexed="81"/>
            <rFont val="Tahoma"/>
            <family val="2"/>
          </rPr>
          <t xml:space="preserve">
Restated 1H19</t>
        </r>
      </text>
    </comment>
    <comment ref="CC17" authorId="1" shapeId="0" xr:uid="{DF01BB54-CDAE-4C7B-AA05-033BC2E0EB97}">
      <text>
        <r>
          <rPr>
            <b/>
            <sz val="9"/>
            <color indexed="81"/>
            <rFont val="Tahoma"/>
            <family val="2"/>
          </rPr>
          <t>O'Neill, Emilie (Research):</t>
        </r>
        <r>
          <rPr>
            <sz val="9"/>
            <color indexed="81"/>
            <rFont val="Tahoma"/>
            <family val="2"/>
          </rPr>
          <t xml:space="preserve">
Restated 1H19</t>
        </r>
      </text>
    </comment>
    <comment ref="CF17" authorId="3" shapeId="0" xr:uid="{462F1361-D2F3-4BA2-938A-09B9FF0ECB6B}">
      <text>
        <r>
          <rPr>
            <b/>
            <sz val="9"/>
            <color indexed="81"/>
            <rFont val="Tahoma"/>
            <family val="2"/>
          </rPr>
          <t>Wiles, Richard (Research):</t>
        </r>
        <r>
          <rPr>
            <sz val="9"/>
            <color indexed="81"/>
            <rFont val="Tahoma"/>
            <family val="2"/>
          </rPr>
          <t xml:space="preserve">
re-stated at 1H20</t>
        </r>
      </text>
    </comment>
    <comment ref="CG17" authorId="3" shapeId="0" xr:uid="{D7452815-40B4-451F-8EE8-CA4F6A13F129}">
      <text>
        <r>
          <rPr>
            <b/>
            <sz val="9"/>
            <color indexed="81"/>
            <rFont val="Tahoma"/>
            <family val="2"/>
          </rPr>
          <t>Wiles, Richard (Research):</t>
        </r>
        <r>
          <rPr>
            <sz val="9"/>
            <color indexed="81"/>
            <rFont val="Tahoma"/>
            <family val="2"/>
          </rPr>
          <t xml:space="preserve">
re-stated at 1H20</t>
        </r>
      </text>
    </comment>
    <comment ref="CN17" authorId="5" shapeId="0" xr:uid="{FBEFC363-F97F-4E3E-8E9F-76509392AA40}">
      <text>
        <r>
          <rPr>
            <b/>
            <sz val="9"/>
            <color indexed="81"/>
            <rFont val="Tahoma"/>
            <family val="2"/>
          </rPr>
          <t>Fernandes, Sona (Research):</t>
        </r>
        <r>
          <rPr>
            <sz val="9"/>
            <color indexed="81"/>
            <rFont val="Tahoma"/>
            <family val="2"/>
          </rPr>
          <t xml:space="preserve">
Aircraft Lease impairment charge</t>
        </r>
      </text>
    </comment>
    <comment ref="CR17" authorId="4" shapeId="0" xr:uid="{A654F260-DFED-4494-9382-114185E1F693}">
      <text>
        <r>
          <rPr>
            <b/>
            <sz val="9"/>
            <color indexed="81"/>
            <rFont val="Tahoma"/>
            <family val="2"/>
          </rPr>
          <t>Hong, Sally (Research):</t>
        </r>
        <r>
          <rPr>
            <sz val="9"/>
            <color indexed="81"/>
            <rFont val="Tahoma"/>
            <family val="2"/>
          </rPr>
          <t xml:space="preserve">
Restated for 1H23 Reporting (6 Feb 23)</t>
        </r>
      </text>
    </comment>
    <comment ref="CS17" authorId="4" shapeId="0" xr:uid="{A23159DC-F286-433D-AC9A-349B9FF442EB}">
      <text>
        <r>
          <rPr>
            <b/>
            <sz val="9"/>
            <color indexed="81"/>
            <rFont val="Tahoma"/>
            <family val="2"/>
          </rPr>
          <t>Hong, Sally (Research):</t>
        </r>
        <r>
          <rPr>
            <sz val="9"/>
            <color indexed="81"/>
            <rFont val="Tahoma"/>
            <family val="2"/>
          </rPr>
          <t xml:space="preserve">
Include +516m from gain on sale of HZB shares Page viii of 2H22 Results 4E
Restated for 1H23 Reporting (6 Feb 23)</t>
        </r>
      </text>
    </comment>
    <comment ref="CV17" authorId="4" shapeId="0" xr:uid="{31A57F99-8932-413F-B32D-00E833D646AC}">
      <text>
        <r>
          <rPr>
            <b/>
            <sz val="9"/>
            <color indexed="81"/>
            <rFont val="Tahoma"/>
            <family val="2"/>
          </rPr>
          <t>Hong, Sally (Research):</t>
        </r>
        <r>
          <rPr>
            <sz val="9"/>
            <color indexed="81"/>
            <rFont val="Tahoma"/>
            <family val="2"/>
          </rPr>
          <t xml:space="preserve">
Restated in 1H24:
previously A$45m;
restated: A$75m</t>
        </r>
      </text>
    </comment>
    <comment ref="CW17" authorId="4" shapeId="0" xr:uid="{61D30D18-4933-422F-8B25-DF3D2FCE9820}">
      <text>
        <r>
          <rPr>
            <b/>
            <sz val="9"/>
            <color indexed="81"/>
            <rFont val="Tahoma"/>
            <family val="2"/>
          </rPr>
          <t>Hong, Sally (Research):</t>
        </r>
        <r>
          <rPr>
            <sz val="9"/>
            <color indexed="81"/>
            <rFont val="Tahoma"/>
            <family val="2"/>
          </rPr>
          <t xml:space="preserve">
Restated in 1H24 
previously A$226m 
restated A$94m 
due to reclassification of Qilu Bank from investment in associates to OCI </t>
        </r>
      </text>
    </comment>
    <comment ref="BX20" authorId="1" shapeId="0" xr:uid="{800BE438-6629-40B3-B45D-0B7B5A70EB3B}">
      <text>
        <r>
          <rPr>
            <b/>
            <sz val="9"/>
            <color indexed="81"/>
            <rFont val="Tahoma"/>
            <family val="2"/>
          </rPr>
          <t>O'Neill, Emilie (Research):</t>
        </r>
        <r>
          <rPr>
            <sz val="9"/>
            <color indexed="81"/>
            <rFont val="Tahoma"/>
            <family val="2"/>
          </rPr>
          <t xml:space="preserve">
Restated 1H18</t>
        </r>
      </text>
    </comment>
    <comment ref="BY20" authorId="1" shapeId="0" xr:uid="{A15E8B8A-A42B-44AB-9D43-F9826B79FE18}">
      <text>
        <r>
          <rPr>
            <b/>
            <sz val="9"/>
            <color indexed="81"/>
            <rFont val="Tahoma"/>
            <family val="2"/>
          </rPr>
          <t>O'Neill, Emilie (Research):</t>
        </r>
        <r>
          <rPr>
            <sz val="9"/>
            <color indexed="81"/>
            <rFont val="Tahoma"/>
            <family val="2"/>
          </rPr>
          <t xml:space="preserve">
Restated 1H18</t>
        </r>
      </text>
    </comment>
    <comment ref="CB20" authorId="1" shapeId="0" xr:uid="{59E88BF1-B67F-46BF-87FF-7F21D7028E56}">
      <text>
        <r>
          <rPr>
            <b/>
            <sz val="9"/>
            <color indexed="81"/>
            <rFont val="Tahoma"/>
            <family val="2"/>
          </rPr>
          <t>O'Neill, Emilie (Research):</t>
        </r>
        <r>
          <rPr>
            <sz val="9"/>
            <color indexed="81"/>
            <rFont val="Tahoma"/>
            <family val="2"/>
          </rPr>
          <t xml:space="preserve">
Restated as per announcement 18th Jan 2019</t>
        </r>
      </text>
    </comment>
    <comment ref="CC20" authorId="1" shapeId="0" xr:uid="{0BA18A11-886D-4492-B94F-4030B0A6B4A2}">
      <text>
        <r>
          <rPr>
            <b/>
            <sz val="9"/>
            <color indexed="81"/>
            <rFont val="Tahoma"/>
            <family val="2"/>
          </rPr>
          <t>O'Neill, Emilie (Research):</t>
        </r>
        <r>
          <rPr>
            <sz val="9"/>
            <color indexed="81"/>
            <rFont val="Tahoma"/>
            <family val="2"/>
          </rPr>
          <t xml:space="preserve">
Restated as per announcement 18th Jan 2019</t>
        </r>
      </text>
    </comment>
    <comment ref="CF20" authorId="2" shapeId="0" xr:uid="{9E91B585-C562-45EA-8FDB-9743642D2CBD}">
      <text>
        <r>
          <rPr>
            <b/>
            <sz val="9"/>
            <color indexed="81"/>
            <rFont val="Tahoma"/>
            <family val="2"/>
          </rPr>
          <t>Fernandes, Sona F (Research):</t>
        </r>
        <r>
          <rPr>
            <sz val="9"/>
            <color indexed="81"/>
            <rFont val="Tahoma"/>
            <family val="2"/>
          </rPr>
          <t xml:space="preserve">
Restated FY20
</t>
        </r>
      </text>
    </comment>
    <comment ref="CG20" authorId="2" shapeId="0" xr:uid="{8D8E1553-23D9-4272-A2BE-559A4BF12B0B}">
      <text>
        <r>
          <rPr>
            <b/>
            <sz val="9"/>
            <color indexed="81"/>
            <rFont val="Tahoma"/>
            <family val="2"/>
          </rPr>
          <t>Fernandes, Sona F (Research):</t>
        </r>
        <r>
          <rPr>
            <sz val="9"/>
            <color indexed="81"/>
            <rFont val="Tahoma"/>
            <family val="2"/>
          </rPr>
          <t xml:space="preserve">
Restated FY20
</t>
        </r>
      </text>
    </comment>
    <comment ref="CJ20" authorId="2" shapeId="0" xr:uid="{1F27BB45-97A4-4180-949E-49325E069FE7}">
      <text>
        <r>
          <rPr>
            <b/>
            <sz val="9"/>
            <color indexed="81"/>
            <rFont val="Tahoma"/>
            <family val="2"/>
          </rPr>
          <t>Fernandes, Sona F (Research):</t>
        </r>
        <r>
          <rPr>
            <sz val="9"/>
            <color indexed="81"/>
            <rFont val="Tahoma"/>
            <family val="2"/>
          </rPr>
          <t xml:space="preserve">
Restated 1H21
</t>
        </r>
      </text>
    </comment>
    <comment ref="CK20" authorId="2" shapeId="0" xr:uid="{86C15FA3-84C7-44D1-A5CB-A4D7F1CCFCA5}">
      <text>
        <r>
          <rPr>
            <b/>
            <sz val="9"/>
            <color indexed="81"/>
            <rFont val="Tahoma"/>
            <family val="2"/>
          </rPr>
          <t>Fernandes, Sona F (Research):</t>
        </r>
        <r>
          <rPr>
            <sz val="9"/>
            <color indexed="81"/>
            <rFont val="Tahoma"/>
            <family val="2"/>
          </rPr>
          <t xml:space="preserve">
Restated 1H21
</t>
        </r>
      </text>
    </comment>
    <comment ref="BT21" authorId="0" shapeId="0" xr:uid="{34446067-6C85-419F-9010-F4D63A56AE4F}">
      <text>
        <r>
          <rPr>
            <b/>
            <sz val="9"/>
            <color indexed="81"/>
            <rFont val="Tahoma"/>
            <family val="2"/>
          </rPr>
          <t>Dunger, Matt (Research):</t>
        </r>
        <r>
          <rPr>
            <sz val="9"/>
            <color indexed="81"/>
            <rFont val="Tahoma"/>
            <family val="2"/>
          </rPr>
          <t xml:space="preserve">
W/s life repricing, lower retail lapse and better GI</t>
        </r>
      </text>
    </comment>
    <comment ref="BX21" authorId="1" shapeId="0" xr:uid="{B47A4881-3BE2-44C5-AACA-025A1977B9A0}">
      <text>
        <r>
          <rPr>
            <b/>
            <sz val="9"/>
            <color indexed="81"/>
            <rFont val="Tahoma"/>
            <family val="2"/>
          </rPr>
          <t>O'Neill, Emilie (Research):</t>
        </r>
        <r>
          <rPr>
            <sz val="9"/>
            <color indexed="81"/>
            <rFont val="Tahoma"/>
            <family val="2"/>
          </rPr>
          <t xml:space="preserve">
Restated 1H18</t>
        </r>
      </text>
    </comment>
    <comment ref="BY21" authorId="1" shapeId="0" xr:uid="{0553776E-C355-4F85-AA50-2DDEE9EE9708}">
      <text>
        <r>
          <rPr>
            <b/>
            <sz val="9"/>
            <color indexed="81"/>
            <rFont val="Tahoma"/>
            <family val="2"/>
          </rPr>
          <t>O'Neill, Emilie (Research):</t>
        </r>
        <r>
          <rPr>
            <sz val="9"/>
            <color indexed="81"/>
            <rFont val="Tahoma"/>
            <family val="2"/>
          </rPr>
          <t xml:space="preserve">
Restated 1H18</t>
        </r>
      </text>
    </comment>
    <comment ref="CB21" authorId="1" shapeId="0" xr:uid="{A6CA88F8-5D38-421D-B426-197D82CB9A93}">
      <text>
        <r>
          <rPr>
            <b/>
            <sz val="9"/>
            <color indexed="81"/>
            <rFont val="Tahoma"/>
            <family val="2"/>
          </rPr>
          <t>O'Neill, Emilie (Research):</t>
        </r>
        <r>
          <rPr>
            <sz val="9"/>
            <color indexed="81"/>
            <rFont val="Tahoma"/>
            <family val="2"/>
          </rPr>
          <t xml:space="preserve">
Restated as per announcement 18th Jan 2019</t>
        </r>
      </text>
    </comment>
    <comment ref="CC21" authorId="1" shapeId="0" xr:uid="{BC4A7876-F463-4D65-A4E5-809E229A01F2}">
      <text>
        <r>
          <rPr>
            <b/>
            <sz val="9"/>
            <color indexed="81"/>
            <rFont val="Tahoma"/>
            <family val="2"/>
          </rPr>
          <t>O'Neill, Emilie (Research):</t>
        </r>
        <r>
          <rPr>
            <sz val="9"/>
            <color indexed="81"/>
            <rFont val="Tahoma"/>
            <family val="2"/>
          </rPr>
          <t xml:space="preserve">
Restated as per announcement 18th Jan 2019</t>
        </r>
      </text>
    </comment>
    <comment ref="CJ21" authorId="2" shapeId="0" xr:uid="{0E1C2425-299B-4243-A8EF-9CD7B3DABB88}">
      <text>
        <r>
          <rPr>
            <b/>
            <sz val="9"/>
            <color indexed="81"/>
            <rFont val="Tahoma"/>
            <family val="2"/>
          </rPr>
          <t>Fernandes, Sona F (Research):</t>
        </r>
        <r>
          <rPr>
            <sz val="9"/>
            <color indexed="81"/>
            <rFont val="Tahoma"/>
            <family val="2"/>
          </rPr>
          <t xml:space="preserve">
Restated 1H21
</t>
        </r>
      </text>
    </comment>
    <comment ref="CK21" authorId="2" shapeId="0" xr:uid="{6480CB03-70A5-42CF-AB3F-94F928DF1986}">
      <text>
        <r>
          <rPr>
            <b/>
            <sz val="9"/>
            <color indexed="81"/>
            <rFont val="Tahoma"/>
            <family val="2"/>
          </rPr>
          <t>Fernandes, Sona F (Research):</t>
        </r>
        <r>
          <rPr>
            <sz val="9"/>
            <color indexed="81"/>
            <rFont val="Tahoma"/>
            <family val="2"/>
          </rPr>
          <t xml:space="preserve">
Restated 1H21
</t>
        </r>
      </text>
    </comment>
    <comment ref="BX22" authorId="1" shapeId="0" xr:uid="{C0F95D5B-7C49-4486-82BA-D5DC46D809C9}">
      <text>
        <r>
          <rPr>
            <b/>
            <sz val="9"/>
            <color indexed="81"/>
            <rFont val="Tahoma"/>
            <family val="2"/>
          </rPr>
          <t>O'Neill, Emilie (Research):</t>
        </r>
        <r>
          <rPr>
            <sz val="9"/>
            <color indexed="81"/>
            <rFont val="Tahoma"/>
            <family val="2"/>
          </rPr>
          <t xml:space="preserve">
Restated 1H18</t>
        </r>
      </text>
    </comment>
    <comment ref="BY22" authorId="1" shapeId="0" xr:uid="{AEC15066-66D1-4EF3-93AC-7BEED940B52E}">
      <text>
        <r>
          <rPr>
            <b/>
            <sz val="9"/>
            <color indexed="81"/>
            <rFont val="Tahoma"/>
            <family val="2"/>
          </rPr>
          <t>O'Neill, Emilie (Research):</t>
        </r>
        <r>
          <rPr>
            <sz val="9"/>
            <color indexed="81"/>
            <rFont val="Tahoma"/>
            <family val="2"/>
          </rPr>
          <t xml:space="preserve">
Restated 1H18</t>
        </r>
      </text>
    </comment>
    <comment ref="CB22" authorId="1" shapeId="0" xr:uid="{CF4DF744-1580-4A90-824D-6D6D0A7F395B}">
      <text>
        <r>
          <rPr>
            <b/>
            <sz val="9"/>
            <color indexed="81"/>
            <rFont val="Tahoma"/>
            <family val="2"/>
          </rPr>
          <t>O'Neill, Emilie (Research):</t>
        </r>
        <r>
          <rPr>
            <sz val="9"/>
            <color indexed="81"/>
            <rFont val="Tahoma"/>
            <family val="2"/>
          </rPr>
          <t xml:space="preserve">
Restated as per announcement 18th Jan 2019</t>
        </r>
      </text>
    </comment>
    <comment ref="CC22" authorId="1" shapeId="0" xr:uid="{494581B0-26A9-4FAE-88FD-D408804B3FD5}">
      <text>
        <r>
          <rPr>
            <b/>
            <sz val="9"/>
            <color indexed="81"/>
            <rFont val="Tahoma"/>
            <family val="2"/>
          </rPr>
          <t>O'Neill, Emilie (Research):</t>
        </r>
        <r>
          <rPr>
            <sz val="9"/>
            <color indexed="81"/>
            <rFont val="Tahoma"/>
            <family val="2"/>
          </rPr>
          <t xml:space="preserve">
Restated as per announcement 18th Jan 2019</t>
        </r>
      </text>
    </comment>
    <comment ref="CF22" authorId="3" shapeId="0" xr:uid="{B18D3679-08B7-4436-880A-4A6E3C53D375}">
      <text>
        <r>
          <rPr>
            <b/>
            <sz val="9"/>
            <color indexed="81"/>
            <rFont val="Tahoma"/>
            <family val="2"/>
          </rPr>
          <t>Wiles, Richard (Research):</t>
        </r>
        <r>
          <rPr>
            <sz val="9"/>
            <color indexed="81"/>
            <rFont val="Tahoma"/>
            <family val="2"/>
          </rPr>
          <t xml:space="preserve">
included in insurance income</t>
        </r>
      </text>
    </comment>
    <comment ref="CG22" authorId="2" shapeId="0" xr:uid="{78D66A2C-E263-4CA3-AF70-146B0A2977DA}">
      <text>
        <r>
          <rPr>
            <b/>
            <sz val="9"/>
            <color indexed="81"/>
            <rFont val="Tahoma"/>
            <family val="2"/>
          </rPr>
          <t>Fernandes, Sona F (Research):</t>
        </r>
        <r>
          <rPr>
            <sz val="9"/>
            <color indexed="81"/>
            <rFont val="Tahoma"/>
            <family val="2"/>
          </rPr>
          <t xml:space="preserve">
included in insurance income
</t>
        </r>
      </text>
    </comment>
    <comment ref="CJ22" authorId="5" shapeId="0" xr:uid="{2D5C68B2-1F95-4E05-8A83-AF263BBF3800}">
      <text>
        <r>
          <rPr>
            <b/>
            <sz val="9"/>
            <color indexed="81"/>
            <rFont val="Tahoma"/>
            <family val="2"/>
          </rPr>
          <t>Fernandes, Sona (Research):</t>
        </r>
        <r>
          <rPr>
            <sz val="9"/>
            <color indexed="81"/>
            <rFont val="Tahoma"/>
            <family val="2"/>
          </rPr>
          <t xml:space="preserve">
No longer disclosed separately as at 1H21</t>
        </r>
      </text>
    </comment>
    <comment ref="CK22" authorId="5" shapeId="0" xr:uid="{81119530-1807-4DE1-8E40-D5902DD3381B}">
      <text>
        <r>
          <rPr>
            <b/>
            <sz val="9"/>
            <color indexed="81"/>
            <rFont val="Tahoma"/>
            <family val="2"/>
          </rPr>
          <t>Fernandes, Sona (Research):</t>
        </r>
        <r>
          <rPr>
            <sz val="9"/>
            <color indexed="81"/>
            <rFont val="Tahoma"/>
            <family val="2"/>
          </rPr>
          <t xml:space="preserve">
No longer disclosed separately as at 1H21</t>
        </r>
      </text>
    </comment>
    <comment ref="CN22" authorId="5" shapeId="0" xr:uid="{B3F48B6F-9024-4E26-B32C-983C2C249FF7}">
      <text>
        <r>
          <rPr>
            <b/>
            <sz val="9"/>
            <color indexed="81"/>
            <rFont val="Tahoma"/>
            <family val="2"/>
          </rPr>
          <t>Fernandes, Sona (Research):</t>
        </r>
        <r>
          <rPr>
            <sz val="9"/>
            <color indexed="81"/>
            <rFont val="Tahoma"/>
            <family val="2"/>
          </rPr>
          <t xml:space="preserve">
No longer disclosed separately as at 1H21</t>
        </r>
      </text>
    </comment>
    <comment ref="CR22" authorId="5" shapeId="0" xr:uid="{BF7D8D01-1581-4FBE-8D55-F76FD706CC7C}">
      <text>
        <r>
          <rPr>
            <b/>
            <sz val="9"/>
            <color indexed="81"/>
            <rFont val="Tahoma"/>
            <family val="2"/>
          </rPr>
          <t>Fernandes, Sona (Research):</t>
        </r>
        <r>
          <rPr>
            <sz val="9"/>
            <color indexed="81"/>
            <rFont val="Tahoma"/>
            <family val="2"/>
          </rPr>
          <t xml:space="preserve">
No longer disclosed separately as at 1H21</t>
        </r>
      </text>
    </comment>
    <comment ref="BT26" authorId="0" shapeId="0" xr:uid="{F6397990-75BE-4967-A308-ACAA135C42ED}">
      <text>
        <r>
          <rPr>
            <b/>
            <sz val="9"/>
            <color indexed="81"/>
            <rFont val="Tahoma"/>
            <family val="2"/>
          </rPr>
          <t>Dunger, Matt (Research):</t>
        </r>
        <r>
          <rPr>
            <sz val="9"/>
            <color indexed="81"/>
            <rFont val="Tahoma"/>
            <family val="2"/>
          </rPr>
          <t xml:space="preserve">
restated for accounting policy changes, announced 2-Feb-2017</t>
        </r>
      </text>
    </comment>
    <comment ref="BU26" authorId="0" shapeId="0" xr:uid="{4ADC4350-44FF-40B0-88C3-850F11670A67}">
      <text>
        <r>
          <rPr>
            <b/>
            <sz val="9"/>
            <color indexed="81"/>
            <rFont val="Tahoma"/>
            <family val="2"/>
          </rPr>
          <t>Dunger, Matt (Research):</t>
        </r>
        <r>
          <rPr>
            <sz val="9"/>
            <color indexed="81"/>
            <rFont val="Tahoma"/>
            <family val="2"/>
          </rPr>
          <t xml:space="preserve">
restated for accounting policy changes, announced 2-Feb-2017</t>
        </r>
      </text>
    </comment>
    <comment ref="BX26" authorId="1" shapeId="0" xr:uid="{293774FD-06A0-4B41-89EB-575B4C4A7C75}">
      <text>
        <r>
          <rPr>
            <b/>
            <sz val="9"/>
            <color indexed="81"/>
            <rFont val="Tahoma"/>
            <family val="2"/>
          </rPr>
          <t>O'Neill, Emilie (Research):</t>
        </r>
        <r>
          <rPr>
            <sz val="9"/>
            <color indexed="81"/>
            <rFont val="Tahoma"/>
            <family val="2"/>
          </rPr>
          <t xml:space="preserve">
Restated 1H18</t>
        </r>
      </text>
    </comment>
    <comment ref="BY26" authorId="1" shapeId="0" xr:uid="{AB8AE852-0977-4D3C-A27E-97EF28CB3353}">
      <text>
        <r>
          <rPr>
            <b/>
            <sz val="9"/>
            <color indexed="81"/>
            <rFont val="Tahoma"/>
            <family val="2"/>
          </rPr>
          <t>O'Neill, Emilie (Research):</t>
        </r>
        <r>
          <rPr>
            <sz val="9"/>
            <color indexed="81"/>
            <rFont val="Tahoma"/>
            <family val="2"/>
          </rPr>
          <t xml:space="preserve">
To balance with restated FY17</t>
        </r>
      </text>
    </comment>
    <comment ref="BZ26" authorId="1" shapeId="0" xr:uid="{AFEC9845-B1EC-4104-807C-B63ACC3B8E59}">
      <text>
        <r>
          <rPr>
            <b/>
            <sz val="9"/>
            <color indexed="81"/>
            <rFont val="Tahoma"/>
            <family val="2"/>
          </rPr>
          <t>O'Neill, Emilie (Research):</t>
        </r>
        <r>
          <rPr>
            <sz val="9"/>
            <color indexed="81"/>
            <rFont val="Tahoma"/>
            <family val="2"/>
          </rPr>
          <t xml:space="preserve">
restated at 2H18</t>
        </r>
      </text>
    </comment>
    <comment ref="CB26" authorId="1" shapeId="0" xr:uid="{9B130073-C268-49A0-8673-79D787D0D4CE}">
      <text>
        <r>
          <rPr>
            <b/>
            <sz val="9"/>
            <color indexed="81"/>
            <rFont val="Tahoma"/>
            <family val="2"/>
          </rPr>
          <t>O'Neill, Emilie (Research):</t>
        </r>
        <r>
          <rPr>
            <sz val="9"/>
            <color indexed="81"/>
            <rFont val="Tahoma"/>
            <family val="2"/>
          </rPr>
          <t xml:space="preserve">
Restated at 1H19 to exclude discontinued items</t>
        </r>
      </text>
    </comment>
    <comment ref="CC26" authorId="1" shapeId="0" xr:uid="{5EDDA88D-4C96-44DC-838D-B2AC7C988709}">
      <text>
        <r>
          <rPr>
            <b/>
            <sz val="9"/>
            <color indexed="81"/>
            <rFont val="Tahoma"/>
            <family val="2"/>
          </rPr>
          <t>O'Neill, Emilie (Research):</t>
        </r>
        <r>
          <rPr>
            <sz val="9"/>
            <color indexed="81"/>
            <rFont val="Tahoma"/>
            <family val="2"/>
          </rPr>
          <t xml:space="preserve">
Restated at 1H19 to exclude discontinued items</t>
        </r>
      </text>
    </comment>
    <comment ref="CF26" authorId="2" shapeId="0" xr:uid="{07FD894E-57C8-47B1-A4BF-EA0B5B839C54}">
      <text>
        <r>
          <rPr>
            <b/>
            <sz val="9"/>
            <color indexed="81"/>
            <rFont val="Tahoma"/>
            <family val="2"/>
          </rPr>
          <t>Fernandes, Sona F (Research):</t>
        </r>
        <r>
          <rPr>
            <sz val="9"/>
            <color indexed="81"/>
            <rFont val="Tahoma"/>
            <family val="2"/>
          </rPr>
          <t xml:space="preserve">
Restated FY20
</t>
        </r>
      </text>
    </comment>
    <comment ref="CG26" authorId="2" shapeId="0" xr:uid="{DE20887F-91D5-49BA-9DB7-89125D57174E}">
      <text>
        <r>
          <rPr>
            <b/>
            <sz val="9"/>
            <color indexed="81"/>
            <rFont val="Tahoma"/>
            <family val="2"/>
          </rPr>
          <t>Fernandes, Sona F (Research):</t>
        </r>
        <r>
          <rPr>
            <sz val="9"/>
            <color indexed="81"/>
            <rFont val="Tahoma"/>
            <family val="2"/>
          </rPr>
          <t xml:space="preserve">
Restated FY20
</t>
        </r>
      </text>
    </comment>
    <comment ref="CJ26" authorId="5" shapeId="0" xr:uid="{AEF024AA-14BC-4105-B587-E6E9528DEC84}">
      <text>
        <r>
          <rPr>
            <b/>
            <sz val="9"/>
            <color indexed="81"/>
            <rFont val="Tahoma"/>
            <family val="2"/>
          </rPr>
          <t>Fernandes, Sona (Research):</t>
        </r>
        <r>
          <rPr>
            <sz val="9"/>
            <color indexed="81"/>
            <rFont val="Tahoma"/>
            <family val="2"/>
          </rPr>
          <t xml:space="preserve">
Restated FY21</t>
        </r>
      </text>
    </comment>
    <comment ref="CK26" authorId="5" shapeId="0" xr:uid="{CD529E6B-D39A-477B-AA27-9B4059DFDEB4}">
      <text>
        <r>
          <rPr>
            <b/>
            <sz val="9"/>
            <color indexed="81"/>
            <rFont val="Tahoma"/>
            <family val="2"/>
          </rPr>
          <t>Fernandes, Sona (Research):</t>
        </r>
        <r>
          <rPr>
            <sz val="9"/>
            <color indexed="81"/>
            <rFont val="Tahoma"/>
            <family val="2"/>
          </rPr>
          <t xml:space="preserve">
Restated FY21</t>
        </r>
      </text>
    </comment>
    <comment ref="CN26" authorId="5" shapeId="0" xr:uid="{1A1C146C-0408-4BD5-AABA-31C9D80795E7}">
      <text>
        <r>
          <rPr>
            <b/>
            <sz val="9"/>
            <color indexed="81"/>
            <rFont val="Tahoma"/>
            <family val="2"/>
          </rPr>
          <t>Fernandes, Sona (Research):</t>
        </r>
        <r>
          <rPr>
            <sz val="9"/>
            <color indexed="81"/>
            <rFont val="Tahoma"/>
            <family val="2"/>
          </rPr>
          <t xml:space="preserve">
Restated FY21</t>
        </r>
      </text>
    </comment>
    <comment ref="CR26" authorId="4" shapeId="0" xr:uid="{AB344714-4FB3-404A-911B-A6575844A2A7}">
      <text>
        <r>
          <rPr>
            <b/>
            <sz val="9"/>
            <color indexed="81"/>
            <rFont val="Tahoma"/>
            <family val="2"/>
          </rPr>
          <t>Hong, Sally (Research):</t>
        </r>
        <r>
          <rPr>
            <sz val="9"/>
            <color indexed="81"/>
            <rFont val="Tahoma"/>
            <family val="2"/>
          </rPr>
          <t xml:space="preserve">
Restated for 1H23 Reporting (6 Feb 23)</t>
        </r>
      </text>
    </comment>
    <comment ref="CS26" authorId="4" shapeId="0" xr:uid="{48DE11F9-B84E-42B3-BE4E-5C9122E75549}">
      <text>
        <r>
          <rPr>
            <b/>
            <sz val="9"/>
            <color indexed="81"/>
            <rFont val="Tahoma"/>
            <family val="2"/>
          </rPr>
          <t>Hong, Sally (Research):</t>
        </r>
        <r>
          <rPr>
            <sz val="9"/>
            <color indexed="81"/>
            <rFont val="Tahoma"/>
            <family val="2"/>
          </rPr>
          <t xml:space="preserve">
Restated for 1H23 Reporting (6 Feb 23)</t>
        </r>
      </text>
    </comment>
    <comment ref="CV26" authorId="4" shapeId="0" xr:uid="{1FBD440D-E06A-4FE0-899B-6CBB5D0187EC}">
      <text>
        <r>
          <rPr>
            <b/>
            <sz val="9"/>
            <color indexed="81"/>
            <rFont val="Tahoma"/>
            <family val="2"/>
          </rPr>
          <t>Hong, Sally (Research):</t>
        </r>
        <r>
          <rPr>
            <sz val="9"/>
            <color indexed="81"/>
            <rFont val="Tahoma"/>
            <family val="2"/>
          </rPr>
          <t xml:space="preserve">
Restated in 2H23</t>
        </r>
      </text>
    </comment>
    <comment ref="CW26" authorId="4" shapeId="0" xr:uid="{66783E4E-5AA0-4722-AE6B-3D9F3A7B84BC}">
      <text>
        <r>
          <rPr>
            <b/>
            <sz val="9"/>
            <color indexed="81"/>
            <rFont val="Tahoma"/>
            <family val="2"/>
          </rPr>
          <t>Hong, Sally (Research):</t>
        </r>
        <r>
          <rPr>
            <sz val="9"/>
            <color indexed="81"/>
            <rFont val="Tahoma"/>
            <family val="2"/>
          </rPr>
          <t xml:space="preserve">
Includes -62m restructuring costs (-3640)</t>
        </r>
      </text>
    </comment>
    <comment ref="BX27" authorId="1" shapeId="0" xr:uid="{7D35848E-A180-4737-9D6E-062E2F1FDB5D}">
      <text>
        <r>
          <rPr>
            <b/>
            <sz val="9"/>
            <color indexed="81"/>
            <rFont val="Tahoma"/>
            <family val="2"/>
          </rPr>
          <t>O'Neill, Emilie (Research):</t>
        </r>
        <r>
          <rPr>
            <sz val="9"/>
            <color indexed="81"/>
            <rFont val="Tahoma"/>
            <family val="2"/>
          </rPr>
          <t xml:space="preserve">
Restated 1H18</t>
        </r>
      </text>
    </comment>
    <comment ref="BY27" authorId="1" shapeId="0" xr:uid="{D04F481A-0B6C-4979-8DAD-02788BB5882E}">
      <text>
        <r>
          <rPr>
            <b/>
            <sz val="9"/>
            <color indexed="81"/>
            <rFont val="Tahoma"/>
            <family val="2"/>
          </rPr>
          <t>O'Neill, Emilie (Research):</t>
        </r>
        <r>
          <rPr>
            <sz val="9"/>
            <color indexed="81"/>
            <rFont val="Tahoma"/>
            <family val="2"/>
          </rPr>
          <t xml:space="preserve">
To balance with restated FY17</t>
        </r>
      </text>
    </comment>
    <comment ref="BZ27" authorId="1" shapeId="0" xr:uid="{C261BB5D-84EF-4682-838B-6C16ADDB54C6}">
      <text>
        <r>
          <rPr>
            <b/>
            <sz val="9"/>
            <color indexed="81"/>
            <rFont val="Tahoma"/>
            <family val="2"/>
          </rPr>
          <t>O'Neill, Emilie (Research):</t>
        </r>
        <r>
          <rPr>
            <sz val="9"/>
            <color indexed="81"/>
            <rFont val="Tahoma"/>
            <family val="2"/>
          </rPr>
          <t xml:space="preserve">
restated at 2H18</t>
        </r>
      </text>
    </comment>
    <comment ref="CB27" authorId="1" shapeId="0" xr:uid="{A9464E31-C23C-4C62-9CB0-0B6658A09342}">
      <text>
        <r>
          <rPr>
            <b/>
            <sz val="9"/>
            <color indexed="81"/>
            <rFont val="Tahoma"/>
            <family val="2"/>
          </rPr>
          <t>O'Neill, Emilie (Research):</t>
        </r>
        <r>
          <rPr>
            <sz val="9"/>
            <color indexed="81"/>
            <rFont val="Tahoma"/>
            <family val="2"/>
          </rPr>
          <t xml:space="preserve">
Restated at 1H19 to exclude discontinued items</t>
        </r>
      </text>
    </comment>
    <comment ref="CC27" authorId="1" shapeId="0" xr:uid="{1BC8F5E7-8749-4846-B080-F735A93551F4}">
      <text>
        <r>
          <rPr>
            <b/>
            <sz val="9"/>
            <color indexed="81"/>
            <rFont val="Tahoma"/>
            <family val="2"/>
          </rPr>
          <t>O'Neill, Emilie (Research):</t>
        </r>
        <r>
          <rPr>
            <sz val="9"/>
            <color indexed="81"/>
            <rFont val="Tahoma"/>
            <family val="2"/>
          </rPr>
          <t xml:space="preserve">
Restated at 1H19 to exclude discontinued items</t>
        </r>
      </text>
    </comment>
    <comment ref="CF27" authorId="2" shapeId="0" xr:uid="{6BBE5097-B91F-45A7-8AE2-B0383C619A71}">
      <text>
        <r>
          <rPr>
            <b/>
            <sz val="9"/>
            <color indexed="81"/>
            <rFont val="Tahoma"/>
            <family val="2"/>
          </rPr>
          <t>Fernandes, Sona F (Research):</t>
        </r>
        <r>
          <rPr>
            <sz val="9"/>
            <color indexed="81"/>
            <rFont val="Tahoma"/>
            <family val="2"/>
          </rPr>
          <t xml:space="preserve">
Restated FY20
</t>
        </r>
      </text>
    </comment>
    <comment ref="CG27" authorId="2" shapeId="0" xr:uid="{B9566067-A3DB-4962-98BA-B3EE0281E2B4}">
      <text>
        <r>
          <rPr>
            <b/>
            <sz val="9"/>
            <color indexed="81"/>
            <rFont val="Tahoma"/>
            <family val="2"/>
          </rPr>
          <t>Fernandes, Sona F (Research):</t>
        </r>
        <r>
          <rPr>
            <sz val="9"/>
            <color indexed="81"/>
            <rFont val="Tahoma"/>
            <family val="2"/>
          </rPr>
          <t xml:space="preserve">
Restated FY20
</t>
        </r>
      </text>
    </comment>
    <comment ref="CJ27" authorId="5" shapeId="0" xr:uid="{2DF80EA5-C5BD-40F6-AE68-B6AB6A3AEB21}">
      <text>
        <r>
          <rPr>
            <b/>
            <sz val="9"/>
            <color indexed="81"/>
            <rFont val="Tahoma"/>
            <family val="2"/>
          </rPr>
          <t>Fernandes, Sona (Research):</t>
        </r>
        <r>
          <rPr>
            <sz val="9"/>
            <color indexed="81"/>
            <rFont val="Tahoma"/>
            <family val="2"/>
          </rPr>
          <t xml:space="preserve">
Restated FY21</t>
        </r>
      </text>
    </comment>
    <comment ref="CK27" authorId="5" shapeId="0" xr:uid="{7C866DF7-0304-42E7-8F45-82A5BFCEE0BC}">
      <text>
        <r>
          <rPr>
            <b/>
            <sz val="9"/>
            <color indexed="81"/>
            <rFont val="Tahoma"/>
            <family val="2"/>
          </rPr>
          <t>Fernandes, Sona (Research):</t>
        </r>
        <r>
          <rPr>
            <sz val="9"/>
            <color indexed="81"/>
            <rFont val="Tahoma"/>
            <family val="2"/>
          </rPr>
          <t xml:space="preserve">
Restated FY21</t>
        </r>
      </text>
    </comment>
    <comment ref="CN27" authorId="5" shapeId="0" xr:uid="{B60BF88A-6596-4FDD-9BC1-3FFC236B812F}">
      <text>
        <r>
          <rPr>
            <b/>
            <sz val="9"/>
            <color indexed="81"/>
            <rFont val="Tahoma"/>
            <family val="2"/>
          </rPr>
          <t>Fernandes, Sona (Research):</t>
        </r>
        <r>
          <rPr>
            <sz val="9"/>
            <color indexed="81"/>
            <rFont val="Tahoma"/>
            <family val="2"/>
          </rPr>
          <t xml:space="preserve">
Restated FY21</t>
        </r>
      </text>
    </comment>
    <comment ref="CV27" authorId="4" shapeId="0" xr:uid="{0E55EE5B-BE4C-4E93-8448-3AAB101CC930}">
      <text>
        <r>
          <rPr>
            <b/>
            <sz val="9"/>
            <color indexed="81"/>
            <rFont val="Tahoma"/>
            <family val="2"/>
          </rPr>
          <t>Hong, Sally (Research):</t>
        </r>
        <r>
          <rPr>
            <sz val="9"/>
            <color indexed="81"/>
            <rFont val="Tahoma"/>
            <family val="2"/>
          </rPr>
          <t xml:space="preserve">
Restated in 2H23</t>
        </r>
      </text>
    </comment>
    <comment ref="BX28" authorId="1" shapeId="0" xr:uid="{855D4008-F983-4A2B-8FAE-A352FEDE97E4}">
      <text>
        <r>
          <rPr>
            <b/>
            <sz val="9"/>
            <color indexed="81"/>
            <rFont val="Tahoma"/>
            <family val="2"/>
          </rPr>
          <t>O'Neill, Emilie (Research):</t>
        </r>
        <r>
          <rPr>
            <sz val="9"/>
            <color indexed="81"/>
            <rFont val="Tahoma"/>
            <family val="2"/>
          </rPr>
          <t xml:space="preserve">
Restated 1H18</t>
        </r>
      </text>
    </comment>
    <comment ref="BY28" authorId="1" shapeId="0" xr:uid="{F4A44170-769D-4B36-AAF6-11CAB3C62D6E}">
      <text>
        <r>
          <rPr>
            <b/>
            <sz val="9"/>
            <color indexed="81"/>
            <rFont val="Tahoma"/>
            <family val="2"/>
          </rPr>
          <t>O'Neill, Emilie (Research):</t>
        </r>
        <r>
          <rPr>
            <sz val="9"/>
            <color indexed="81"/>
            <rFont val="Tahoma"/>
            <family val="2"/>
          </rPr>
          <t xml:space="preserve">
To balance with restated FY17</t>
        </r>
      </text>
    </comment>
    <comment ref="BZ28" authorId="1" shapeId="0" xr:uid="{B4F39723-C722-40FA-9B79-9C67BCC6E8A8}">
      <text>
        <r>
          <rPr>
            <b/>
            <sz val="9"/>
            <color indexed="81"/>
            <rFont val="Tahoma"/>
            <family val="2"/>
          </rPr>
          <t>O'Neill, Emilie (Research):</t>
        </r>
        <r>
          <rPr>
            <sz val="9"/>
            <color indexed="81"/>
            <rFont val="Tahoma"/>
            <family val="2"/>
          </rPr>
          <t xml:space="preserve">
restated at 2H18</t>
        </r>
      </text>
    </comment>
    <comment ref="CB28" authorId="1" shapeId="0" xr:uid="{DEB21B21-A695-4FD9-9517-F7E5F9464E83}">
      <text>
        <r>
          <rPr>
            <b/>
            <sz val="9"/>
            <color indexed="81"/>
            <rFont val="Tahoma"/>
            <family val="2"/>
          </rPr>
          <t>O'Neill, Emilie (Research):</t>
        </r>
        <r>
          <rPr>
            <sz val="9"/>
            <color indexed="81"/>
            <rFont val="Tahoma"/>
            <family val="2"/>
          </rPr>
          <t xml:space="preserve">
Restated at 1H19 to exclude discontinued items</t>
        </r>
      </text>
    </comment>
    <comment ref="CC28" authorId="1" shapeId="0" xr:uid="{0C0795DD-1442-454F-83C2-B7D08DC81DEB}">
      <text>
        <r>
          <rPr>
            <b/>
            <sz val="9"/>
            <color indexed="81"/>
            <rFont val="Tahoma"/>
            <family val="2"/>
          </rPr>
          <t>O'Neill, Emilie (Research):</t>
        </r>
        <r>
          <rPr>
            <sz val="9"/>
            <color indexed="81"/>
            <rFont val="Tahoma"/>
            <family val="2"/>
          </rPr>
          <t xml:space="preserve">
Restated at 1H19 to exclude discontinued items</t>
        </r>
      </text>
    </comment>
    <comment ref="CF28" authorId="2" shapeId="0" xr:uid="{1E89C581-B6B1-41FB-987D-73DDB9ADE08E}">
      <text>
        <r>
          <rPr>
            <b/>
            <sz val="9"/>
            <color indexed="81"/>
            <rFont val="Tahoma"/>
            <family val="2"/>
          </rPr>
          <t>Fernandes, Sona F (Research):</t>
        </r>
        <r>
          <rPr>
            <sz val="9"/>
            <color indexed="81"/>
            <rFont val="Tahoma"/>
            <family val="2"/>
          </rPr>
          <t xml:space="preserve">
Restated FY20
</t>
        </r>
      </text>
    </comment>
    <comment ref="CG28" authorId="2" shapeId="0" xr:uid="{57A5FBA2-DA9F-42B7-A730-99723E3E9DD0}">
      <text>
        <r>
          <rPr>
            <b/>
            <sz val="9"/>
            <color indexed="81"/>
            <rFont val="Tahoma"/>
            <family val="2"/>
          </rPr>
          <t>Fernandes, Sona F (Research):</t>
        </r>
        <r>
          <rPr>
            <sz val="9"/>
            <color indexed="81"/>
            <rFont val="Tahoma"/>
            <family val="2"/>
          </rPr>
          <t xml:space="preserve">
Restated FY20
</t>
        </r>
      </text>
    </comment>
    <comment ref="CJ28" authorId="5" shapeId="0" xr:uid="{CA6A42FD-B097-42FB-BA8B-8C3DD7792BC3}">
      <text>
        <r>
          <rPr>
            <b/>
            <sz val="9"/>
            <color indexed="81"/>
            <rFont val="Tahoma"/>
            <family val="2"/>
          </rPr>
          <t>Fernandes, Sona (Research):</t>
        </r>
        <r>
          <rPr>
            <sz val="9"/>
            <color indexed="81"/>
            <rFont val="Tahoma"/>
            <family val="2"/>
          </rPr>
          <t xml:space="preserve">
Restated FY21</t>
        </r>
      </text>
    </comment>
    <comment ref="CK28" authorId="5" shapeId="0" xr:uid="{12BFE671-C294-4BD7-8AA5-B4B7BC473CA2}">
      <text>
        <r>
          <rPr>
            <b/>
            <sz val="9"/>
            <color indexed="81"/>
            <rFont val="Tahoma"/>
            <family val="2"/>
          </rPr>
          <t>Fernandes, Sona (Research):</t>
        </r>
        <r>
          <rPr>
            <sz val="9"/>
            <color indexed="81"/>
            <rFont val="Tahoma"/>
            <family val="2"/>
          </rPr>
          <t xml:space="preserve">
Restated FY21</t>
        </r>
      </text>
    </comment>
    <comment ref="CN28" authorId="5" shapeId="0" xr:uid="{886ACEA2-B83A-412F-841B-17757AE952CF}">
      <text>
        <r>
          <rPr>
            <b/>
            <sz val="9"/>
            <color indexed="81"/>
            <rFont val="Tahoma"/>
            <family val="2"/>
          </rPr>
          <t>Fernandes, Sona (Research):</t>
        </r>
        <r>
          <rPr>
            <sz val="9"/>
            <color indexed="81"/>
            <rFont val="Tahoma"/>
            <family val="2"/>
          </rPr>
          <t xml:space="preserve">
Restated FY21</t>
        </r>
      </text>
    </comment>
    <comment ref="CS28" authorId="4" shapeId="0" xr:uid="{DD466990-AC4F-4A97-8E98-812D23A7A403}">
      <text>
        <r>
          <rPr>
            <b/>
            <sz val="9"/>
            <color indexed="81"/>
            <rFont val="Tahoma"/>
            <family val="2"/>
          </rPr>
          <t>Hong, Sally (Research):</t>
        </r>
        <r>
          <rPr>
            <sz val="9"/>
            <color indexed="81"/>
            <rFont val="Tahoma"/>
            <family val="2"/>
          </rPr>
          <t xml:space="preserve">
Includes 389m of accelerated amortisation</t>
        </r>
      </text>
    </comment>
    <comment ref="CV28" authorId="4" shapeId="0" xr:uid="{6398032A-0B01-4B11-8C11-A542C6A8024C}">
      <text>
        <r>
          <rPr>
            <b/>
            <sz val="9"/>
            <color indexed="81"/>
            <rFont val="Tahoma"/>
            <family val="2"/>
          </rPr>
          <t>Hong, Sally (Research):</t>
        </r>
        <r>
          <rPr>
            <sz val="9"/>
            <color indexed="81"/>
            <rFont val="Tahoma"/>
            <family val="2"/>
          </rPr>
          <t xml:space="preserve">
Restated in 2H23</t>
        </r>
      </text>
    </comment>
    <comment ref="BP29" authorId="0" shapeId="0" xr:uid="{C185BCF9-0AE3-4DC6-855F-6735F6CA537A}">
      <text>
        <r>
          <rPr>
            <b/>
            <sz val="9"/>
            <color indexed="81"/>
            <rFont val="Tahoma"/>
            <family val="2"/>
          </rPr>
          <t>Dunger, Matt (Research):</t>
        </r>
        <r>
          <rPr>
            <sz val="9"/>
            <color indexed="81"/>
            <rFont val="Tahoma"/>
            <family val="2"/>
          </rPr>
          <t xml:space="preserve">
"Higher professioinal fees and non-lending losses" i.e. remediation costs</t>
        </r>
      </text>
    </comment>
    <comment ref="BX29" authorId="1" shapeId="0" xr:uid="{11E3C5BA-C77F-4E10-86FA-E292D1E93375}">
      <text>
        <r>
          <rPr>
            <b/>
            <sz val="9"/>
            <color indexed="81"/>
            <rFont val="Tahoma"/>
            <family val="2"/>
          </rPr>
          <t>O'Neill, Emilie (Research):</t>
        </r>
        <r>
          <rPr>
            <sz val="9"/>
            <color indexed="81"/>
            <rFont val="Tahoma"/>
            <family val="2"/>
          </rPr>
          <t xml:space="preserve">
Restated 1H18</t>
        </r>
      </text>
    </comment>
    <comment ref="BY29" authorId="1" shapeId="0" xr:uid="{691EFC1C-1404-49C4-B0D2-C1BCF8349169}">
      <text>
        <r>
          <rPr>
            <b/>
            <sz val="9"/>
            <color indexed="81"/>
            <rFont val="Tahoma"/>
            <family val="2"/>
          </rPr>
          <t>O'Neill, Emilie (Research):</t>
        </r>
        <r>
          <rPr>
            <sz val="9"/>
            <color indexed="81"/>
            <rFont val="Tahoma"/>
            <family val="2"/>
          </rPr>
          <t xml:space="preserve">
To balance with restated FY17</t>
        </r>
      </text>
    </comment>
    <comment ref="BZ29" authorId="1" shapeId="0" xr:uid="{1BB7E0EA-D2F7-4767-BE43-E38E8C490254}">
      <text>
        <r>
          <rPr>
            <b/>
            <sz val="9"/>
            <color indexed="81"/>
            <rFont val="Tahoma"/>
            <family val="2"/>
          </rPr>
          <t>O'Neill, Emilie (Research):</t>
        </r>
        <r>
          <rPr>
            <sz val="9"/>
            <color indexed="81"/>
            <rFont val="Tahoma"/>
            <family val="2"/>
          </rPr>
          <t xml:space="preserve">
restated at 2H18</t>
        </r>
      </text>
    </comment>
    <comment ref="CB29" authorId="1" shapeId="0" xr:uid="{8DB3A35D-90F6-46AB-A5E6-D8F4B5FA2B3C}">
      <text>
        <r>
          <rPr>
            <b/>
            <sz val="9"/>
            <color indexed="81"/>
            <rFont val="Tahoma"/>
            <family val="2"/>
          </rPr>
          <t>O'Neill, Emilie (Research):</t>
        </r>
        <r>
          <rPr>
            <sz val="9"/>
            <color indexed="81"/>
            <rFont val="Tahoma"/>
            <family val="2"/>
          </rPr>
          <t xml:space="preserve">
Restated at 1H19 to exclude discontinued items</t>
        </r>
      </text>
    </comment>
    <comment ref="CC29" authorId="1" shapeId="0" xr:uid="{259ACEE9-D0CB-496F-99E2-43E7D5291F7A}">
      <text>
        <r>
          <rPr>
            <b/>
            <sz val="9"/>
            <color indexed="81"/>
            <rFont val="Tahoma"/>
            <family val="2"/>
          </rPr>
          <t>O'Neill, Emilie (Research):</t>
        </r>
        <r>
          <rPr>
            <sz val="9"/>
            <color indexed="81"/>
            <rFont val="Tahoma"/>
            <family val="2"/>
          </rPr>
          <t xml:space="preserve">
Restated at 1H19 to exclude discontinued items</t>
        </r>
      </text>
    </comment>
    <comment ref="CF29" authorId="2" shapeId="0" xr:uid="{1F66E627-E29D-451F-A4B5-15694E617DB9}">
      <text>
        <r>
          <rPr>
            <b/>
            <sz val="9"/>
            <color indexed="81"/>
            <rFont val="Tahoma"/>
            <family val="2"/>
          </rPr>
          <t>Fernandes, Sona F (Research):</t>
        </r>
        <r>
          <rPr>
            <sz val="9"/>
            <color indexed="81"/>
            <rFont val="Tahoma"/>
            <family val="2"/>
          </rPr>
          <t xml:space="preserve">
Restated FY20
</t>
        </r>
      </text>
    </comment>
    <comment ref="CG29" authorId="2" shapeId="0" xr:uid="{72377EF7-378C-4B5A-BA0A-439694322BE4}">
      <text>
        <r>
          <rPr>
            <b/>
            <sz val="9"/>
            <color indexed="81"/>
            <rFont val="Tahoma"/>
            <family val="2"/>
          </rPr>
          <t>Fernandes, Sona F (Research):</t>
        </r>
        <r>
          <rPr>
            <sz val="9"/>
            <color indexed="81"/>
            <rFont val="Tahoma"/>
            <family val="2"/>
          </rPr>
          <t xml:space="preserve">
Restated FY20
</t>
        </r>
      </text>
    </comment>
    <comment ref="CJ29" authorId="5" shapeId="0" xr:uid="{5EFB8CC9-D4E4-4E2A-A09C-863C00B7921F}">
      <text>
        <r>
          <rPr>
            <b/>
            <sz val="9"/>
            <color indexed="81"/>
            <rFont val="Tahoma"/>
            <family val="2"/>
          </rPr>
          <t>Fernandes, Sona (Research):</t>
        </r>
        <r>
          <rPr>
            <sz val="9"/>
            <color indexed="81"/>
            <rFont val="Tahoma"/>
            <family val="2"/>
          </rPr>
          <t xml:space="preserve">
Restated FY21</t>
        </r>
      </text>
    </comment>
    <comment ref="CK29" authorId="5" shapeId="0" xr:uid="{DD78CF91-32CB-46D6-B4DE-DB9F1865920F}">
      <text>
        <r>
          <rPr>
            <b/>
            <sz val="9"/>
            <color indexed="81"/>
            <rFont val="Tahoma"/>
            <family val="2"/>
          </rPr>
          <t>Fernandes, Sona (Research):</t>
        </r>
        <r>
          <rPr>
            <sz val="9"/>
            <color indexed="81"/>
            <rFont val="Tahoma"/>
            <family val="2"/>
          </rPr>
          <t xml:space="preserve">
Restated FY21</t>
        </r>
      </text>
    </comment>
    <comment ref="CN29" authorId="5" shapeId="0" xr:uid="{149A033A-1EE1-4842-B26A-A74A1957906F}">
      <text>
        <r>
          <rPr>
            <b/>
            <sz val="9"/>
            <color indexed="81"/>
            <rFont val="Tahoma"/>
            <family val="2"/>
          </rPr>
          <t>Fernandes, Sona (Research):</t>
        </r>
        <r>
          <rPr>
            <sz val="9"/>
            <color indexed="81"/>
            <rFont val="Tahoma"/>
            <family val="2"/>
          </rPr>
          <t xml:space="preserve">
Restated FY21</t>
        </r>
      </text>
    </comment>
    <comment ref="CR29" authorId="4" shapeId="0" xr:uid="{3EEE49CF-C9C8-4EBA-9B79-D486B185F641}">
      <text>
        <r>
          <rPr>
            <b/>
            <sz val="9"/>
            <color indexed="81"/>
            <rFont val="Tahoma"/>
            <family val="2"/>
          </rPr>
          <t>Hong, Sally (Research):</t>
        </r>
        <r>
          <rPr>
            <sz val="9"/>
            <color indexed="81"/>
            <rFont val="Tahoma"/>
            <family val="2"/>
          </rPr>
          <t xml:space="preserve">
Other expenses + Remediation costs
Excludes Restructuring, Separation and Transaction Costs</t>
        </r>
      </text>
    </comment>
    <comment ref="CS29" authorId="4" shapeId="0" xr:uid="{D88DC15C-87D3-41F0-9CFA-E7CE577AEB97}">
      <text>
        <r>
          <rPr>
            <b/>
            <sz val="9"/>
            <color indexed="81"/>
            <rFont val="Tahoma"/>
            <family val="2"/>
          </rPr>
          <t>Hong, Sally (Research):</t>
        </r>
        <r>
          <rPr>
            <sz val="9"/>
            <color indexed="81"/>
            <rFont val="Tahoma"/>
            <family val="2"/>
          </rPr>
          <t xml:space="preserve">
Other expenses + Remediation costs</t>
        </r>
      </text>
    </comment>
    <comment ref="CV29" authorId="4" shapeId="0" xr:uid="{E7FBA89A-0A43-4224-A269-FBC869D5AE9F}">
      <text>
        <r>
          <rPr>
            <b/>
            <sz val="9"/>
            <color indexed="81"/>
            <rFont val="Tahoma"/>
            <family val="2"/>
          </rPr>
          <t>Hong, Sally (Research):</t>
        </r>
        <r>
          <rPr>
            <sz val="9"/>
            <color indexed="81"/>
            <rFont val="Tahoma"/>
            <family val="2"/>
          </rPr>
          <t xml:space="preserve">
Restated in 2H23</t>
        </r>
      </text>
    </comment>
    <comment ref="CW29" authorId="4" shapeId="0" xr:uid="{A6278C36-811A-4764-BA03-961704F126F5}">
      <text>
        <r>
          <rPr>
            <b/>
            <sz val="9"/>
            <color indexed="81"/>
            <rFont val="Tahoma"/>
            <family val="2"/>
          </rPr>
          <t>Hong, Sally (Research):</t>
        </r>
        <r>
          <rPr>
            <sz val="9"/>
            <color indexed="81"/>
            <rFont val="Tahoma"/>
            <family val="2"/>
          </rPr>
          <t xml:space="preserve">
Includes -150m of accelerated amort</t>
        </r>
      </text>
    </comment>
    <comment ref="DA29" authorId="4" shapeId="0" xr:uid="{121132C4-1621-413F-9C3E-6EB91FCAFFAE}">
      <text>
        <r>
          <rPr>
            <b/>
            <sz val="9"/>
            <color indexed="81"/>
            <rFont val="Tahoma"/>
            <family val="2"/>
          </rPr>
          <t>Hong, Sally (Research):</t>
        </r>
        <r>
          <rPr>
            <sz val="9"/>
            <color indexed="81"/>
            <rFont val="Tahoma"/>
            <family val="2"/>
          </rPr>
          <t xml:space="preserve">
Includes one-off item for restructuring of -A$89m</t>
        </r>
      </text>
    </comment>
    <comment ref="DE29" authorId="4" shapeId="0" xr:uid="{6575B496-44C6-42F0-A9F9-D5ED82C4C420}">
      <text>
        <r>
          <rPr>
            <b/>
            <sz val="9"/>
            <color indexed="81"/>
            <rFont val="Tahoma"/>
            <family val="2"/>
          </rPr>
          <t>Hong, Sally (Research):</t>
        </r>
        <r>
          <rPr>
            <sz val="9"/>
            <color indexed="81"/>
            <rFont val="Tahoma"/>
            <family val="2"/>
          </rPr>
          <t xml:space="preserve">
Includes A$130m of notable expenses - A$85m remediation charges and A$45m restructuring costs </t>
        </r>
      </text>
    </comment>
    <comment ref="DH29" authorId="4" shapeId="0" xr:uid="{494AA405-A7E5-489F-8DDF-C862B58D2074}">
      <text>
        <r>
          <rPr>
            <b/>
            <sz val="9"/>
            <color indexed="81"/>
            <rFont val="Tahoma"/>
            <family val="2"/>
          </rPr>
          <t>Hong, Sally (Research):</t>
        </r>
        <r>
          <rPr>
            <sz val="9"/>
            <color indexed="81"/>
            <rFont val="Tahoma"/>
            <family val="2"/>
          </rPr>
          <t xml:space="preserve">
Includes +170m notable expenses (NZ settlement, customer remediation ASIC better banking review, Bankwest restructuring)</t>
        </r>
      </text>
    </comment>
    <comment ref="BT34" authorId="0" shapeId="0" xr:uid="{23F7638D-976A-41F2-8E20-0E7D1959D874}">
      <text>
        <r>
          <rPr>
            <b/>
            <sz val="9"/>
            <color indexed="81"/>
            <rFont val="Tahoma"/>
            <family val="2"/>
          </rPr>
          <t>Dunger, Matt (Research):</t>
        </r>
        <r>
          <rPr>
            <sz val="9"/>
            <color indexed="81"/>
            <rFont val="Tahoma"/>
            <family val="2"/>
          </rPr>
          <t xml:space="preserve">
restated for accounting policy changes, announced 2-Feb-2017</t>
        </r>
      </text>
    </comment>
    <comment ref="BU34" authorId="0" shapeId="0" xr:uid="{0535501F-2EB2-452A-8673-C322F09822C8}">
      <text>
        <r>
          <rPr>
            <b/>
            <sz val="9"/>
            <color indexed="81"/>
            <rFont val="Tahoma"/>
            <family val="2"/>
          </rPr>
          <t>Dunger, Matt (Research):</t>
        </r>
        <r>
          <rPr>
            <sz val="9"/>
            <color indexed="81"/>
            <rFont val="Tahoma"/>
            <family val="2"/>
          </rPr>
          <t xml:space="preserve">
restated for accounting policy changes, announced 2-Feb-2017</t>
        </r>
      </text>
    </comment>
    <comment ref="BX34" authorId="1" shapeId="0" xr:uid="{9CB97CAB-2A85-45F7-B502-738F3A0F495F}">
      <text>
        <r>
          <rPr>
            <b/>
            <sz val="9"/>
            <color indexed="81"/>
            <rFont val="Tahoma"/>
            <family val="2"/>
          </rPr>
          <t>O'Neill, Emilie (Research):</t>
        </r>
        <r>
          <rPr>
            <sz val="9"/>
            <color indexed="81"/>
            <rFont val="Tahoma"/>
            <family val="2"/>
          </rPr>
          <t xml:space="preserve">
Restated 1H18</t>
        </r>
      </text>
    </comment>
    <comment ref="BY34" authorId="1" shapeId="0" xr:uid="{02922913-D36A-4C81-8583-053BF05FB8E6}">
      <text>
        <r>
          <rPr>
            <b/>
            <sz val="9"/>
            <color indexed="81"/>
            <rFont val="Tahoma"/>
            <family val="2"/>
          </rPr>
          <t>O'Neill, Emilie (Research):</t>
        </r>
        <r>
          <rPr>
            <sz val="9"/>
            <color indexed="81"/>
            <rFont val="Tahoma"/>
            <family val="2"/>
          </rPr>
          <t xml:space="preserve">
To balance with restated FY17</t>
        </r>
      </text>
    </comment>
    <comment ref="BZ34" authorId="1" shapeId="0" xr:uid="{DE93E14D-BA6C-4DC5-B502-66F6ABD5F545}">
      <text>
        <r>
          <rPr>
            <b/>
            <sz val="9"/>
            <color indexed="81"/>
            <rFont val="Tahoma"/>
            <family val="2"/>
          </rPr>
          <t>O'Neill, Emilie (Research):</t>
        </r>
        <r>
          <rPr>
            <sz val="9"/>
            <color indexed="81"/>
            <rFont val="Tahoma"/>
            <family val="2"/>
          </rPr>
          <t xml:space="preserve">
restated at 2H18</t>
        </r>
      </text>
    </comment>
    <comment ref="CB34" authorId="1" shapeId="0" xr:uid="{BBA074A5-1CBB-4BD2-8F86-93E214587274}">
      <text>
        <r>
          <rPr>
            <b/>
            <sz val="9"/>
            <color indexed="81"/>
            <rFont val="Tahoma"/>
            <family val="2"/>
          </rPr>
          <t>O'Neill, Emilie (Research):</t>
        </r>
        <r>
          <rPr>
            <sz val="9"/>
            <color indexed="81"/>
            <rFont val="Tahoma"/>
            <family val="2"/>
          </rPr>
          <t xml:space="preserve">
Restated as per announcement 18th Jan 2019</t>
        </r>
      </text>
    </comment>
    <comment ref="CC34" authorId="1" shapeId="0" xr:uid="{E035F497-C5CE-4A1D-8292-A6B61695995D}">
      <text>
        <r>
          <rPr>
            <b/>
            <sz val="9"/>
            <color indexed="81"/>
            <rFont val="Tahoma"/>
            <family val="2"/>
          </rPr>
          <t>O'Neill, Emilie (Research):</t>
        </r>
        <r>
          <rPr>
            <sz val="9"/>
            <color indexed="81"/>
            <rFont val="Tahoma"/>
            <family val="2"/>
          </rPr>
          <t xml:space="preserve">
Restated as per announcement 18th Jan 2019</t>
        </r>
      </text>
    </comment>
    <comment ref="CF34" authorId="2" shapeId="0" xr:uid="{06500D5F-C7E0-40A2-AD2E-32ECFD7A0B7D}">
      <text>
        <r>
          <rPr>
            <b/>
            <sz val="9"/>
            <color indexed="81"/>
            <rFont val="Tahoma"/>
            <family val="2"/>
          </rPr>
          <t>Fernandes, Sona F (Research):</t>
        </r>
        <r>
          <rPr>
            <sz val="9"/>
            <color indexed="81"/>
            <rFont val="Tahoma"/>
            <family val="2"/>
          </rPr>
          <t xml:space="preserve">
Restated FY20
</t>
        </r>
      </text>
    </comment>
    <comment ref="CG34" authorId="2" shapeId="0" xr:uid="{C0217521-EAF3-4A62-BDFD-4FFD5D540E6F}">
      <text>
        <r>
          <rPr>
            <b/>
            <sz val="9"/>
            <color indexed="81"/>
            <rFont val="Tahoma"/>
            <family val="2"/>
          </rPr>
          <t>Fernandes, Sona F (Research):</t>
        </r>
        <r>
          <rPr>
            <sz val="9"/>
            <color indexed="81"/>
            <rFont val="Tahoma"/>
            <family val="2"/>
          </rPr>
          <t xml:space="preserve">
Restated FY20
</t>
        </r>
      </text>
    </comment>
    <comment ref="CJ34" authorId="5" shapeId="0" xr:uid="{B20606AE-0A23-4B43-891E-896371D140E2}">
      <text>
        <r>
          <rPr>
            <b/>
            <sz val="9"/>
            <color indexed="81"/>
            <rFont val="Tahoma"/>
            <family val="2"/>
          </rPr>
          <t>Fernandes, Sona (Research):</t>
        </r>
        <r>
          <rPr>
            <sz val="9"/>
            <color indexed="81"/>
            <rFont val="Tahoma"/>
            <family val="2"/>
          </rPr>
          <t xml:space="preserve">
Restated FY21</t>
        </r>
      </text>
    </comment>
    <comment ref="CK34" authorId="5" shapeId="0" xr:uid="{FEC6818F-9940-42C9-AB57-6F8CF65BDBDA}">
      <text>
        <r>
          <rPr>
            <b/>
            <sz val="9"/>
            <color indexed="81"/>
            <rFont val="Tahoma"/>
            <family val="2"/>
          </rPr>
          <t>Fernandes, Sona (Research):</t>
        </r>
        <r>
          <rPr>
            <sz val="9"/>
            <color indexed="81"/>
            <rFont val="Tahoma"/>
            <family val="2"/>
          </rPr>
          <t xml:space="preserve">
Restated FY21</t>
        </r>
      </text>
    </comment>
    <comment ref="CN34" authorId="5" shapeId="0" xr:uid="{F3535F7F-0931-48DA-A669-057CD4701DB5}">
      <text>
        <r>
          <rPr>
            <b/>
            <sz val="9"/>
            <color indexed="81"/>
            <rFont val="Tahoma"/>
            <family val="2"/>
          </rPr>
          <t>Fernandes, Sona (Research):</t>
        </r>
        <r>
          <rPr>
            <sz val="9"/>
            <color indexed="81"/>
            <rFont val="Tahoma"/>
            <family val="2"/>
          </rPr>
          <t xml:space="preserve">
Restated FY21</t>
        </r>
      </text>
    </comment>
    <comment ref="CV34" authorId="4" shapeId="0" xr:uid="{DA075AA7-1781-4BA9-B772-F70F866F373B}">
      <text>
        <r>
          <rPr>
            <b/>
            <sz val="9"/>
            <color indexed="81"/>
            <rFont val="Tahoma"/>
            <family val="2"/>
          </rPr>
          <t>Hong, Sally (Research):</t>
        </r>
        <r>
          <rPr>
            <sz val="9"/>
            <color indexed="81"/>
            <rFont val="Tahoma"/>
            <family val="2"/>
          </rPr>
          <t xml:space="preserve">
Restated in 1H24 </t>
        </r>
      </text>
    </comment>
    <comment ref="CW34" authorId="4" shapeId="0" xr:uid="{1C7F1B39-265D-4F88-965D-C9B62ED01652}">
      <text>
        <r>
          <rPr>
            <b/>
            <sz val="9"/>
            <color indexed="81"/>
            <rFont val="Tahoma"/>
            <family val="2"/>
          </rPr>
          <t>Hong, Sally (Research):</t>
        </r>
        <r>
          <rPr>
            <sz val="9"/>
            <color indexed="81"/>
            <rFont val="Tahoma"/>
            <family val="2"/>
          </rPr>
          <t xml:space="preserve">
Restated in 1H24 </t>
        </r>
      </text>
    </comment>
    <comment ref="BY35" authorId="1" shapeId="0" xr:uid="{8B4B41A5-2762-474A-9311-E3BB8EDD1A94}">
      <text>
        <r>
          <rPr>
            <b/>
            <sz val="9"/>
            <color indexed="81"/>
            <rFont val="Tahoma"/>
            <family val="2"/>
          </rPr>
          <t>O'Neill, Emilie (Research):</t>
        </r>
        <r>
          <rPr>
            <sz val="9"/>
            <color indexed="81"/>
            <rFont val="Tahoma"/>
            <family val="2"/>
          </rPr>
          <t xml:space="preserve">
Restated 1H18</t>
        </r>
      </text>
    </comment>
    <comment ref="CB35" authorId="1" shapeId="0" xr:uid="{5B4185D2-50DF-458E-894E-40F47610B19B}">
      <text>
        <r>
          <rPr>
            <b/>
            <sz val="9"/>
            <color indexed="81"/>
            <rFont val="Tahoma"/>
            <family val="2"/>
          </rPr>
          <t>O'Neill, Emilie (Research):</t>
        </r>
        <r>
          <rPr>
            <sz val="9"/>
            <color indexed="81"/>
            <rFont val="Tahoma"/>
            <family val="2"/>
          </rPr>
          <t xml:space="preserve">
Restated as per announcement 18th Jan 2019</t>
        </r>
      </text>
    </comment>
    <comment ref="CC35" authorId="1" shapeId="0" xr:uid="{281CE5D6-FA92-4A85-8FB1-08CB5CFE4B94}">
      <text>
        <r>
          <rPr>
            <b/>
            <sz val="9"/>
            <color indexed="81"/>
            <rFont val="Tahoma"/>
            <family val="2"/>
          </rPr>
          <t>O'Neill, Emilie (Research):</t>
        </r>
        <r>
          <rPr>
            <sz val="9"/>
            <color indexed="81"/>
            <rFont val="Tahoma"/>
            <family val="2"/>
          </rPr>
          <t xml:space="preserve">
Restated as per announcement 18th Jan 2019</t>
        </r>
      </text>
    </comment>
    <comment ref="BY39" authorId="1" shapeId="0" xr:uid="{4CC844C2-5503-4845-B8A1-3FD9F1793F91}">
      <text>
        <r>
          <rPr>
            <b/>
            <sz val="9"/>
            <color indexed="81"/>
            <rFont val="Tahoma"/>
            <family val="2"/>
          </rPr>
          <t>O'Neill, Emilie (Research):</t>
        </r>
        <r>
          <rPr>
            <sz val="9"/>
            <color indexed="81"/>
            <rFont val="Tahoma"/>
            <family val="2"/>
          </rPr>
          <t xml:space="preserve">
To balance with restated FY17</t>
        </r>
      </text>
    </comment>
    <comment ref="BZ39" authorId="1" shapeId="0" xr:uid="{8C9FFEF2-A414-4C4C-B1A5-5B3CD749B49F}">
      <text>
        <r>
          <rPr>
            <b/>
            <sz val="9"/>
            <color indexed="81"/>
            <rFont val="Tahoma"/>
            <family val="2"/>
          </rPr>
          <t>O'Neill, Emilie (Research):</t>
        </r>
        <r>
          <rPr>
            <sz val="9"/>
            <color indexed="81"/>
            <rFont val="Tahoma"/>
            <family val="2"/>
          </rPr>
          <t xml:space="preserve">
restated at 2H18</t>
        </r>
      </text>
    </comment>
    <comment ref="CB39" authorId="1" shapeId="0" xr:uid="{FB5BE13B-9A0C-4F28-8BD5-9C7E17705811}">
      <text>
        <r>
          <rPr>
            <b/>
            <sz val="9"/>
            <color indexed="81"/>
            <rFont val="Tahoma"/>
            <family val="2"/>
          </rPr>
          <t>O'Neill, Emilie (Research):</t>
        </r>
        <r>
          <rPr>
            <sz val="9"/>
            <color indexed="81"/>
            <rFont val="Tahoma"/>
            <family val="2"/>
          </rPr>
          <t xml:space="preserve">
Restated as per announcement on 18th Jan 2019</t>
        </r>
      </text>
    </comment>
    <comment ref="CC39" authorId="1" shapeId="0" xr:uid="{28995166-2BAC-45A3-98C2-F95197076553}">
      <text>
        <r>
          <rPr>
            <b/>
            <sz val="9"/>
            <color indexed="81"/>
            <rFont val="Tahoma"/>
            <family val="2"/>
          </rPr>
          <t>O'Neill, Emilie (Research):</t>
        </r>
        <r>
          <rPr>
            <sz val="9"/>
            <color indexed="81"/>
            <rFont val="Tahoma"/>
            <family val="2"/>
          </rPr>
          <t xml:space="preserve">
Restated as per announcement on 18th Jan 2019</t>
        </r>
      </text>
    </comment>
    <comment ref="A43" authorId="6" shapeId="0" xr:uid="{AA42A270-374A-4141-BA76-199EDCBA479C}">
      <text>
        <r>
          <rPr>
            <b/>
            <sz val="8"/>
            <color indexed="81"/>
            <rFont val="Tahoma"/>
            <family val="2"/>
          </rPr>
          <t>richwile:</t>
        </r>
        <r>
          <rPr>
            <sz val="8"/>
            <color indexed="81"/>
            <rFont val="Tahoma"/>
            <family val="2"/>
          </rPr>
          <t xml:space="preserve">
Distribution on US$700m TPS 2006</t>
        </r>
      </text>
    </comment>
    <comment ref="BM43" authorId="7" shapeId="0" xr:uid="{24DE2BE0-7713-44D9-AB62-6007584821DE}">
      <text>
        <r>
          <rPr>
            <b/>
            <sz val="8"/>
            <color indexed="81"/>
            <rFont val="Tahoma"/>
            <family val="2"/>
          </rPr>
          <t>Dunger:</t>
        </r>
        <r>
          <rPr>
            <sz val="8"/>
            <color indexed="81"/>
            <rFont val="Tahoma"/>
            <family val="2"/>
          </rPr>
          <t xml:space="preserve">
per Note 21. Analysis Template</t>
        </r>
      </text>
    </comment>
    <comment ref="BQ43" authorId="7" shapeId="0" xr:uid="{25C217C6-395B-44E9-B66F-E6998C1057DC}">
      <text>
        <r>
          <rPr>
            <b/>
            <sz val="8"/>
            <color indexed="81"/>
            <rFont val="Tahoma"/>
            <family val="2"/>
          </rPr>
          <t>Dunger:</t>
        </r>
        <r>
          <rPr>
            <sz val="8"/>
            <color indexed="81"/>
            <rFont val="Tahoma"/>
            <family val="2"/>
          </rPr>
          <t xml:space="preserve">
per Note 21. Analysis Template</t>
        </r>
      </text>
    </comment>
    <comment ref="BT43" authorId="0" shapeId="0" xr:uid="{49E84D21-EC94-4179-9812-18513816A9E5}">
      <text>
        <r>
          <rPr>
            <b/>
            <sz val="9"/>
            <color indexed="81"/>
            <rFont val="Tahoma"/>
            <family val="2"/>
          </rPr>
          <t>Dunger, Matt (Research):</t>
        </r>
        <r>
          <rPr>
            <sz val="9"/>
            <color indexed="81"/>
            <rFont val="Tahoma"/>
            <family val="2"/>
          </rPr>
          <t xml:space="preserve">
p100 note 12 analysis template</t>
        </r>
      </text>
    </comment>
    <comment ref="BX75" authorId="0" shapeId="0" xr:uid="{B1FB197F-CAC0-4F4A-99AC-870187D34600}">
      <text>
        <r>
          <rPr>
            <b/>
            <sz val="9"/>
            <color indexed="81"/>
            <rFont val="Tahoma"/>
            <family val="2"/>
          </rPr>
          <t>Dunger, Matt (Research):</t>
        </r>
        <r>
          <rPr>
            <sz val="9"/>
            <color indexed="81"/>
            <rFont val="Tahoma"/>
            <family val="2"/>
          </rPr>
          <t xml:space="preserve">
Visa share sale</t>
        </r>
      </text>
    </comment>
    <comment ref="CS75" authorId="4" shapeId="0" xr:uid="{1DD13C7F-02AB-487E-BACE-8368CCA4DA2C}">
      <text>
        <r>
          <rPr>
            <b/>
            <sz val="9"/>
            <color indexed="81"/>
            <rFont val="Tahoma"/>
            <family val="2"/>
          </rPr>
          <t>Hong, Sally (Research):</t>
        </r>
        <r>
          <rPr>
            <sz val="9"/>
            <color indexed="81"/>
            <rFont val="Tahoma"/>
            <family val="2"/>
          </rPr>
          <t xml:space="preserve">
Gain on sale of Bank of Hangzhou $516m</t>
        </r>
      </text>
    </comment>
    <comment ref="BX76" authorId="0" shapeId="0" xr:uid="{AD86B490-5F30-4C12-AB1F-8B85B57E90A2}">
      <text>
        <r>
          <rPr>
            <b/>
            <sz val="9"/>
            <color indexed="81"/>
            <rFont val="Tahoma"/>
            <family val="2"/>
          </rPr>
          <t>Dunger, Matt (Research):</t>
        </r>
        <r>
          <rPr>
            <sz val="9"/>
            <color indexed="81"/>
            <rFont val="Tahoma"/>
            <family val="2"/>
          </rPr>
          <t xml:space="preserve">
Visa share sale</t>
        </r>
      </text>
    </comment>
    <comment ref="CF76" authorId="1" shapeId="0" xr:uid="{5AB5A793-5A45-4F5D-A6F4-7F15BB6B1DC0}">
      <text>
        <r>
          <rPr>
            <b/>
            <sz val="9"/>
            <color indexed="81"/>
            <rFont val="Tahoma"/>
            <family val="2"/>
          </rPr>
          <t>Wiles (Research):</t>
        </r>
        <r>
          <rPr>
            <sz val="9"/>
            <color indexed="81"/>
            <rFont val="Tahoma"/>
            <family val="2"/>
          </rPr>
          <t xml:space="preserve">
no longer disclosed as a notable item</t>
        </r>
      </text>
    </comment>
    <comment ref="CG76" authorId="1" shapeId="0" xr:uid="{B874D977-ABA4-4928-AC71-5B0AB00FB0B3}">
      <text>
        <r>
          <rPr>
            <b/>
            <sz val="9"/>
            <color indexed="81"/>
            <rFont val="Tahoma"/>
            <family val="2"/>
          </rPr>
          <t>Wiles (Research):</t>
        </r>
        <r>
          <rPr>
            <sz val="9"/>
            <color indexed="81"/>
            <rFont val="Tahoma"/>
            <family val="2"/>
          </rPr>
          <t xml:space="preserve">
no longer disclosed as a notable item</t>
        </r>
      </text>
    </comment>
    <comment ref="CJ76" authorId="1" shapeId="0" xr:uid="{C4B2EBFD-739B-4CC0-92E9-BA5E2D899636}">
      <text>
        <r>
          <rPr>
            <b/>
            <sz val="9"/>
            <color indexed="81"/>
            <rFont val="Tahoma"/>
            <family val="2"/>
          </rPr>
          <t>Wiles (Research):</t>
        </r>
        <r>
          <rPr>
            <sz val="9"/>
            <color indexed="81"/>
            <rFont val="Tahoma"/>
            <family val="2"/>
          </rPr>
          <t xml:space="preserve">
no longer disclosed as a notable item</t>
        </r>
      </text>
    </comment>
    <comment ref="BX84" authorId="0" shapeId="0" xr:uid="{B4200762-FEA0-403A-9D7F-4038499BE016}">
      <text>
        <r>
          <rPr>
            <b/>
            <sz val="9"/>
            <color indexed="81"/>
            <rFont val="Tahoma"/>
            <family val="2"/>
          </rPr>
          <t>Dunger, Matt (Research):</t>
        </r>
        <r>
          <rPr>
            <sz val="9"/>
            <color indexed="81"/>
            <rFont val="Tahoma"/>
            <family val="2"/>
          </rPr>
          <t xml:space="preserve">
software capitalisation change</t>
        </r>
      </text>
    </comment>
    <comment ref="CS84" authorId="4" shapeId="0" xr:uid="{9D695A25-DB0E-4F2E-BA2E-1BAD41B8818D}">
      <text>
        <r>
          <rPr>
            <b/>
            <sz val="9"/>
            <color indexed="81"/>
            <rFont val="Tahoma"/>
            <family val="2"/>
          </rPr>
          <t>Hong, Sally (Research):</t>
        </r>
        <r>
          <rPr>
            <sz val="9"/>
            <color indexed="81"/>
            <rFont val="Tahoma"/>
            <family val="2"/>
          </rPr>
          <t xml:space="preserve">
Restated to $389m to account for accelerated software amortisation only. Restructuring charges of $56m no longer considered to be one-off
Previous:
Page viii of the FY22 Results 4E
Accelerated software amortisation  + $56m of restructuring charges</t>
        </r>
      </text>
    </comment>
    <comment ref="CW84" authorId="4" shapeId="0" xr:uid="{AAC17E9C-D246-4EBB-B930-174650F486DA}">
      <text>
        <r>
          <rPr>
            <b/>
            <sz val="9"/>
            <color indexed="81"/>
            <rFont val="Tahoma"/>
            <family val="2"/>
          </rPr>
          <t>Hong, Sally (Research):</t>
        </r>
        <r>
          <rPr>
            <sz val="9"/>
            <color indexed="81"/>
            <rFont val="Tahoma"/>
            <family val="2"/>
          </rPr>
          <t xml:space="preserve">
ASX Announcement 01/8/23:
2H23 Pre-tax Notable Expenses of A$212m:
1) Bankwest operating model changes
2) Compensation for Last Resort</t>
        </r>
      </text>
    </comment>
    <comment ref="DA84" authorId="4" shapeId="0" xr:uid="{57BCF3D5-2900-4909-A2BE-18F39ABC86CF}">
      <text>
        <r>
          <rPr>
            <b/>
            <sz val="9"/>
            <color indexed="81"/>
            <rFont val="Tahoma"/>
            <family val="2"/>
          </rPr>
          <t>Hong, Sally (Research):1/8/24 ASX Announcement:
Notable expense item of A$89m (pre-tax) for operating model changes</t>
        </r>
      </text>
    </comment>
    <comment ref="DE84" authorId="4" shapeId="0" xr:uid="{0392ECD6-624F-462C-99DC-375C05FE5276}">
      <text>
        <r>
          <rPr>
            <b/>
            <sz val="9"/>
            <color indexed="81"/>
            <rFont val="Tahoma"/>
            <family val="2"/>
          </rPr>
          <t>Hong, Sally (Research):</t>
        </r>
        <r>
          <rPr>
            <sz val="9"/>
            <color indexed="81"/>
            <rFont val="Tahoma"/>
            <family val="2"/>
          </rPr>
          <t xml:space="preserve">
ASX Release 6/8/25:
A$130m notable expenses (pre-tax)
-A$45m of resutrcutirng charges
-A$52m domestic remediation costs
- A$33m ASB remediation costs
</t>
        </r>
      </text>
    </comment>
    <comment ref="BX85" authorId="1" shapeId="0" xr:uid="{83EF743B-F331-4445-9EC6-0E6E48BBD6E0}">
      <text>
        <r>
          <rPr>
            <b/>
            <sz val="9"/>
            <color indexed="81"/>
            <rFont val="Tahoma"/>
            <family val="2"/>
          </rPr>
          <t>O'Neill, Emilie (Research):</t>
        </r>
        <r>
          <rPr>
            <sz val="9"/>
            <color indexed="81"/>
            <rFont val="Tahoma"/>
            <family val="2"/>
          </rPr>
          <t xml:space="preserve">
Mortgage broking consolidation</t>
        </r>
      </text>
    </comment>
    <comment ref="BY85" authorId="1" shapeId="0" xr:uid="{CBEEA45A-877B-41FE-A7C4-E5F272E6DC4C}">
      <text>
        <r>
          <rPr>
            <b/>
            <sz val="9"/>
            <color indexed="81"/>
            <rFont val="Tahoma"/>
            <family val="2"/>
          </rPr>
          <t>O'Neill, Emilie (Research):</t>
        </r>
        <r>
          <rPr>
            <sz val="9"/>
            <color indexed="81"/>
            <rFont val="Tahoma"/>
            <family val="2"/>
          </rPr>
          <t xml:space="preserve">
Mortgage broking consolidation</t>
        </r>
      </text>
    </comment>
    <comment ref="CB85" authorId="1" shapeId="0" xr:uid="{F9181EBE-1AEE-4383-8AFC-D3ECDFFF0B3B}">
      <text>
        <r>
          <rPr>
            <b/>
            <sz val="9"/>
            <color indexed="81"/>
            <rFont val="Tahoma"/>
            <family val="2"/>
          </rPr>
          <t>O'Neill, Emilie (Research):</t>
        </r>
        <r>
          <rPr>
            <sz val="9"/>
            <color indexed="81"/>
            <rFont val="Tahoma"/>
            <family val="2"/>
          </rPr>
          <t xml:space="preserve">
Mortgage broking consolidation</t>
        </r>
      </text>
    </comment>
    <comment ref="CC85" authorId="1" shapeId="0" xr:uid="{01AB2D14-1FE5-49BE-B687-7D64932906FD}">
      <text>
        <r>
          <rPr>
            <b/>
            <sz val="9"/>
            <color indexed="81"/>
            <rFont val="Tahoma"/>
            <family val="2"/>
          </rPr>
          <t>O'Neill, Emilie (Research):</t>
        </r>
        <r>
          <rPr>
            <sz val="9"/>
            <color indexed="81"/>
            <rFont val="Tahoma"/>
            <family val="2"/>
          </rPr>
          <t xml:space="preserve">
Mortgage broking consolidation</t>
        </r>
      </text>
    </comment>
    <comment ref="CF85" authorId="1" shapeId="0" xr:uid="{695F3A97-7787-41AE-9AA7-9270A4C3CDDA}">
      <text>
        <r>
          <rPr>
            <b/>
            <sz val="9"/>
            <color indexed="81"/>
            <rFont val="Tahoma"/>
            <family val="2"/>
          </rPr>
          <t>O'Neill, Emilie (Research):</t>
        </r>
        <r>
          <rPr>
            <sz val="9"/>
            <color indexed="81"/>
            <rFont val="Tahoma"/>
            <family val="2"/>
          </rPr>
          <t xml:space="preserve">
Mortgage broking consolidation</t>
        </r>
      </text>
    </comment>
    <comment ref="CG85" authorId="1" shapeId="0" xr:uid="{3494D9A4-0486-4F3D-86DE-7CC1A636108A}">
      <text>
        <r>
          <rPr>
            <b/>
            <sz val="9"/>
            <color indexed="81"/>
            <rFont val="Tahoma"/>
            <family val="2"/>
          </rPr>
          <t>O'Neill, Emilie (Research):</t>
        </r>
        <r>
          <rPr>
            <sz val="9"/>
            <color indexed="81"/>
            <rFont val="Tahoma"/>
            <family val="2"/>
          </rPr>
          <t xml:space="preserve">
Mortgage broking consolidation</t>
        </r>
      </text>
    </comment>
    <comment ref="CJ85" authorId="1" shapeId="0" xr:uid="{E4651387-EE24-4078-9C2C-D3E65F6FEB85}">
      <text>
        <r>
          <rPr>
            <b/>
            <sz val="9"/>
            <color indexed="81"/>
            <rFont val="Tahoma"/>
            <family val="2"/>
          </rPr>
          <t>Wiles (Research):</t>
        </r>
        <r>
          <rPr>
            <sz val="9"/>
            <color indexed="81"/>
            <rFont val="Tahoma"/>
            <family val="2"/>
          </rPr>
          <t xml:space="preserve">
no longer disclosed as a notable item</t>
        </r>
      </text>
    </comment>
    <comment ref="CK85" authorId="1" shapeId="0" xr:uid="{EC664C64-3E71-46E4-8D59-CB6028A36C31}">
      <text>
        <r>
          <rPr>
            <b/>
            <sz val="9"/>
            <color indexed="81"/>
            <rFont val="Tahoma"/>
            <family val="2"/>
          </rPr>
          <t>O'Neill, Emilie (Research):</t>
        </r>
        <r>
          <rPr>
            <sz val="9"/>
            <color indexed="81"/>
            <rFont val="Tahoma"/>
            <family val="2"/>
          </rPr>
          <t xml:space="preserve">
Mortgage broking consolidation</t>
        </r>
      </text>
    </comment>
    <comment ref="CZ87" authorId="4" shapeId="0" xr:uid="{444CBF35-C6B6-4DC4-8B93-D687441DEAE2}">
      <text>
        <r>
          <rPr>
            <b/>
            <sz val="9"/>
            <color indexed="81"/>
            <rFont val="Tahoma"/>
            <family val="2"/>
          </rPr>
          <t>Hong, Sally (Research):</t>
        </r>
        <r>
          <rPr>
            <sz val="9"/>
            <color indexed="81"/>
            <rFont val="Tahoma"/>
            <family val="2"/>
          </rPr>
          <t xml:space="preserve">
ASX Announcement 01/8/23: 2H23 Notable Expense Items:
Remediation expenses are no longer called out as notable expense item. From 2H23 onwards, it will be treated as normal BAU costs.</t>
        </r>
      </text>
    </comment>
    <comment ref="DA87" authorId="4" shapeId="0" xr:uid="{7F3E52B5-6A66-43E9-B71F-780C1754B47C}">
      <text>
        <r>
          <rPr>
            <b/>
            <sz val="9"/>
            <color indexed="81"/>
            <rFont val="Tahoma"/>
            <family val="2"/>
          </rPr>
          <t>Hong, Sally (Research):</t>
        </r>
        <r>
          <rPr>
            <sz val="9"/>
            <color indexed="81"/>
            <rFont val="Tahoma"/>
            <family val="2"/>
          </rPr>
          <t xml:space="preserve">
ASX Announcement 01/8/23: 2H23 Notable Expense Items:
Remediation expenses are no longer called out as notable expense item. From 2H23 onwards, it will be treated as normal BAU costs.</t>
        </r>
      </text>
    </comment>
    <comment ref="DB87" authorId="4" shapeId="0" xr:uid="{62676F16-1FC6-47B4-9EA4-9552990CB7EC}">
      <text>
        <r>
          <rPr>
            <b/>
            <sz val="9"/>
            <color indexed="81"/>
            <rFont val="Tahoma"/>
            <family val="2"/>
          </rPr>
          <t>Hong, Sally (Research):</t>
        </r>
        <r>
          <rPr>
            <sz val="9"/>
            <color indexed="81"/>
            <rFont val="Tahoma"/>
            <family val="2"/>
          </rPr>
          <t xml:space="preserve">
ASX Announcement 01/8/23: 2H23 Notable Expense Items:
Remediation expenses are no longer called out as notable expense item. From 2H23 onwards, it will be treated as normal BAU costs.</t>
        </r>
      </text>
    </comment>
    <comment ref="CN89" authorId="4" shapeId="0" xr:uid="{8DF84754-A974-4DE5-A649-F82F79CBEC01}">
      <text>
        <r>
          <rPr>
            <b/>
            <sz val="9"/>
            <color indexed="81"/>
            <rFont val="Tahoma"/>
            <family val="2"/>
          </rPr>
          <t>Hong, Sally (Research):</t>
        </r>
        <r>
          <rPr>
            <sz val="9"/>
            <color indexed="81"/>
            <rFont val="Tahoma"/>
            <family val="2"/>
          </rPr>
          <t xml:space="preserve">
ASX Announcement 01/8/23: 2H23 Notable Expense Items:
Remediation expenses are no longer called out as notable expense item. From 2H23 onwards, it will be treated as normal BAU costs.</t>
        </r>
      </text>
    </comment>
    <comment ref="CO89" authorId="4" shapeId="0" xr:uid="{AF89ECB7-D0A1-4562-91F8-8CCBB0828592}">
      <text>
        <r>
          <rPr>
            <b/>
            <sz val="9"/>
            <color indexed="81"/>
            <rFont val="Tahoma"/>
            <family val="2"/>
          </rPr>
          <t>Hong, Sally (Research):</t>
        </r>
        <r>
          <rPr>
            <sz val="9"/>
            <color indexed="81"/>
            <rFont val="Tahoma"/>
            <family val="2"/>
          </rPr>
          <t xml:space="preserve">
ASX Announcement 01/8/23: 2H23 Notable Expense Items:
Remediation expenses are no longer called out as notable expense item. From 2H23 onwards, it will be treated as normal BAU costs.</t>
        </r>
      </text>
    </comment>
    <comment ref="CP89" authorId="4" shapeId="0" xr:uid="{32ABE28D-5705-43AA-A9DA-8DB360F48B2C}">
      <text>
        <r>
          <rPr>
            <b/>
            <sz val="9"/>
            <color indexed="81"/>
            <rFont val="Tahoma"/>
            <family val="2"/>
          </rPr>
          <t>Hong, Sally (Research):</t>
        </r>
        <r>
          <rPr>
            <sz val="9"/>
            <color indexed="81"/>
            <rFont val="Tahoma"/>
            <family val="2"/>
          </rPr>
          <t xml:space="preserve">
ASX Announcement 01/8/23: 2H23 Notable Expense Items:
Remediation expenses are no longer called out as notable expense item. From 2H23 onwards, it will be treated as normal BAU costs.</t>
        </r>
      </text>
    </comment>
    <comment ref="CR89" authorId="4" shapeId="0" xr:uid="{678B2946-3ADC-4810-9354-182BC23ED327}">
      <text>
        <r>
          <rPr>
            <b/>
            <sz val="9"/>
            <color indexed="81"/>
            <rFont val="Tahoma"/>
            <family val="2"/>
          </rPr>
          <t>Hong, Sally (Research):</t>
        </r>
        <r>
          <rPr>
            <sz val="9"/>
            <color indexed="81"/>
            <rFont val="Tahoma"/>
            <family val="2"/>
          </rPr>
          <t xml:space="preserve">
ASX Announcement 01/8/23: 2H23 Notable Expense Items:
Remediation expenses are no longer called out as notable expense item. From 2H23 onwards, it will be treated as normal BAU costs.</t>
        </r>
      </text>
    </comment>
    <comment ref="CS89" authorId="4" shapeId="0" xr:uid="{7DCA8E71-150B-4427-9BB7-75E1BF767CF8}">
      <text>
        <r>
          <rPr>
            <b/>
            <sz val="9"/>
            <color indexed="81"/>
            <rFont val="Tahoma"/>
            <family val="2"/>
          </rPr>
          <t>Hong, Sally (Research):</t>
        </r>
        <r>
          <rPr>
            <sz val="9"/>
            <color indexed="81"/>
            <rFont val="Tahoma"/>
            <family val="2"/>
          </rPr>
          <t xml:space="preserve">
ASX Announcement 01/8/23: 2H23 Notable Expense Items:
Remediation expenses are no longer called out as notable expense item. From 2H23 onwards, it will be treated as normal BAU costs.</t>
        </r>
      </text>
    </comment>
    <comment ref="CT89" authorId="4" shapeId="0" xr:uid="{E3F5929F-475F-4B94-9BED-6EBFC6727BE8}">
      <text>
        <r>
          <rPr>
            <b/>
            <sz val="9"/>
            <color indexed="81"/>
            <rFont val="Tahoma"/>
            <family val="2"/>
          </rPr>
          <t>Hong, Sally (Research):</t>
        </r>
        <r>
          <rPr>
            <sz val="9"/>
            <color indexed="81"/>
            <rFont val="Tahoma"/>
            <family val="2"/>
          </rPr>
          <t xml:space="preserve">
ASX Announcement 01/8/23: 2H23 Notable Expense Items:
Remediation expenses are no longer called out as notable expense item. From 2H23 onwards, it will be treated as normal BAU costs.</t>
        </r>
      </text>
    </comment>
    <comment ref="CV89" authorId="4" shapeId="0" xr:uid="{19ED3D0C-6E40-484F-9A40-D7076A4E0B9B}">
      <text>
        <r>
          <rPr>
            <b/>
            <sz val="9"/>
            <color indexed="81"/>
            <rFont val="Tahoma"/>
            <family val="2"/>
          </rPr>
          <t>Hong, Sally (Research):</t>
        </r>
        <r>
          <rPr>
            <sz val="9"/>
            <color indexed="81"/>
            <rFont val="Tahoma"/>
            <family val="2"/>
          </rPr>
          <t xml:space="preserve">
ASX Announcement 01/8/23: 2H23 Notable Expense Items:
Remediation expenses are no longer called out as notable expense item. From 2H23 onwards, it will be treated as normal BAU costs.</t>
        </r>
      </text>
    </comment>
    <comment ref="CW89" authorId="4" shapeId="0" xr:uid="{0BB14A5B-9F24-4791-A0D1-A8578ABC52CD}">
      <text>
        <r>
          <rPr>
            <b/>
            <sz val="9"/>
            <color indexed="81"/>
            <rFont val="Tahoma"/>
            <family val="2"/>
          </rPr>
          <t>Hong, Sally (Research):</t>
        </r>
        <r>
          <rPr>
            <sz val="9"/>
            <color indexed="81"/>
            <rFont val="Tahoma"/>
            <family val="2"/>
          </rPr>
          <t xml:space="preserve">
ASX Announcement 01/8/23: 2H23 Notable Expense Items:
Remediation expenses are no longer called out as notable expense item. From 2H23 onwards, it will be treated as normal BAU costs.</t>
        </r>
      </text>
    </comment>
    <comment ref="CX89" authorId="4" shapeId="0" xr:uid="{8B5884F3-F6A0-401D-9E48-5A9B9C05E62C}">
      <text>
        <r>
          <rPr>
            <b/>
            <sz val="9"/>
            <color indexed="81"/>
            <rFont val="Tahoma"/>
            <family val="2"/>
          </rPr>
          <t>Hong, Sally (Research):</t>
        </r>
        <r>
          <rPr>
            <sz val="9"/>
            <color indexed="81"/>
            <rFont val="Tahoma"/>
            <family val="2"/>
          </rPr>
          <t xml:space="preserve">
ASX Announcement 01/8/23: 2H23 Notable Expense Items:
Remediation expenses are no longer called out as notable expense item. From 2H23 onwards, it will be treated as normal BAU costs.</t>
        </r>
      </text>
    </comment>
    <comment ref="CS106" authorId="4" shapeId="0" xr:uid="{170B6384-E06E-4A1D-9C34-71BDD664C9FC}">
      <text>
        <r>
          <rPr>
            <b/>
            <sz val="9"/>
            <color indexed="81"/>
            <rFont val="Tahoma"/>
            <family val="2"/>
          </rPr>
          <t>Hong, Sally (Research):</t>
        </r>
        <r>
          <rPr>
            <sz val="9"/>
            <color indexed="81"/>
            <rFont val="Tahoma"/>
            <family val="2"/>
          </rPr>
          <t xml:space="preserve">
Gain on sale of HZB shares $516m</t>
        </r>
      </text>
    </comment>
    <comment ref="CF124" authorId="3" shapeId="0" xr:uid="{847F372F-81AA-48FC-80B1-1C2819F0C792}">
      <text>
        <r>
          <rPr>
            <b/>
            <sz val="9"/>
            <color indexed="81"/>
            <rFont val="Tahoma"/>
            <family val="2"/>
          </rPr>
          <t>Wiles, Richard (Research):</t>
        </r>
        <r>
          <rPr>
            <sz val="9"/>
            <color indexed="81"/>
            <rFont val="Tahoma"/>
            <family val="2"/>
          </rPr>
          <t xml:space="preserve">
restated at 1H20</t>
        </r>
      </text>
    </comment>
    <comment ref="CG124" authorId="3" shapeId="0" xr:uid="{632A088E-2CC3-4120-BDC6-E8C6E5E6A7A5}">
      <text>
        <r>
          <rPr>
            <b/>
            <sz val="9"/>
            <color indexed="81"/>
            <rFont val="Tahoma"/>
            <family val="2"/>
          </rPr>
          <t>Wiles, Richard (Research):</t>
        </r>
        <r>
          <rPr>
            <sz val="9"/>
            <color indexed="81"/>
            <rFont val="Tahoma"/>
            <family val="2"/>
          </rPr>
          <t xml:space="preserve">
restated at 1H20</t>
        </r>
      </text>
    </comment>
    <comment ref="CK124" authorId="5" shapeId="0" xr:uid="{DF9849A9-9145-4486-ADF7-3337645722ED}">
      <text>
        <r>
          <rPr>
            <b/>
            <sz val="9"/>
            <color indexed="81"/>
            <rFont val="Tahoma"/>
            <family val="2"/>
          </rPr>
          <t>Fernandes, Sona (Research):</t>
        </r>
        <r>
          <rPr>
            <sz val="9"/>
            <color indexed="81"/>
            <rFont val="Tahoma"/>
            <family val="2"/>
          </rPr>
          <t xml:space="preserve">
Restated FY21
</t>
        </r>
      </text>
    </comment>
    <comment ref="CN124" authorId="5" shapeId="0" xr:uid="{6C728F9F-6D25-42E3-A7EA-0D1FABE073EC}">
      <text>
        <r>
          <rPr>
            <b/>
            <sz val="9"/>
            <color indexed="81"/>
            <rFont val="Tahoma"/>
            <family val="2"/>
          </rPr>
          <t>Fernandes, Sona (Research):</t>
        </r>
        <r>
          <rPr>
            <sz val="9"/>
            <color indexed="81"/>
            <rFont val="Tahoma"/>
            <family val="2"/>
          </rPr>
          <t xml:space="preserve">
Restated FY21
</t>
        </r>
      </text>
    </comment>
    <comment ref="CR133" authorId="4" shapeId="0" xr:uid="{4CF0B8AF-E546-4913-BF2F-248858088DF9}">
      <text>
        <r>
          <rPr>
            <b/>
            <sz val="9"/>
            <color indexed="81"/>
            <rFont val="Tahoma"/>
            <family val="2"/>
          </rPr>
          <t>Hong, Sally (Research):</t>
        </r>
        <r>
          <rPr>
            <sz val="9"/>
            <color indexed="81"/>
            <rFont val="Tahoma"/>
            <family val="2"/>
          </rPr>
          <t xml:space="preserve">
RBS Consumer Finance + BB Consumer Finance + BB Margin Loans</t>
        </r>
      </text>
    </comment>
    <comment ref="CV133" authorId="4" shapeId="0" xr:uid="{152A16EB-877D-460E-8DD5-A41B006C237B}">
      <text>
        <r>
          <rPr>
            <b/>
            <sz val="9"/>
            <color indexed="81"/>
            <rFont val="Tahoma"/>
            <family val="2"/>
          </rPr>
          <t>Hong, Sally (Research):</t>
        </r>
        <r>
          <rPr>
            <sz val="9"/>
            <color indexed="81"/>
            <rFont val="Tahoma"/>
            <family val="2"/>
          </rPr>
          <t xml:space="preserve">
Restated in 1H24
RBS Consumer Finance + BB Consumer Finance + BB Margin Loans</t>
        </r>
      </text>
    </comment>
    <comment ref="CW133" authorId="4" shapeId="0" xr:uid="{A622E40D-2966-4A0B-81E8-E13844CDB1A2}">
      <text>
        <r>
          <rPr>
            <b/>
            <sz val="9"/>
            <color indexed="81"/>
            <rFont val="Tahoma"/>
            <family val="2"/>
          </rPr>
          <t>Hong, Sally (Research):</t>
        </r>
        <r>
          <rPr>
            <sz val="9"/>
            <color indexed="81"/>
            <rFont val="Tahoma"/>
            <family val="2"/>
          </rPr>
          <t xml:space="preserve">
Restated in 1H24</t>
        </r>
      </text>
    </comment>
    <comment ref="CZ133" authorId="4" shapeId="0" xr:uid="{3AE43D4D-7543-426D-B0C1-2D40CBB989EE}">
      <text>
        <r>
          <rPr>
            <b/>
            <sz val="9"/>
            <color indexed="81"/>
            <rFont val="Tahoma"/>
            <family val="2"/>
          </rPr>
          <t>Hong, Sally (Research):</t>
        </r>
        <r>
          <rPr>
            <sz val="9"/>
            <color indexed="81"/>
            <rFont val="Tahoma"/>
            <family val="2"/>
          </rPr>
          <t xml:space="preserve">
Restated in 1H25</t>
        </r>
      </text>
    </comment>
    <comment ref="DA133" authorId="4" shapeId="0" xr:uid="{9D1BF74E-2A7C-499B-A3C7-ECA187366458}">
      <text>
        <r>
          <rPr>
            <b/>
            <sz val="9"/>
            <color indexed="81"/>
            <rFont val="Tahoma"/>
            <family val="2"/>
          </rPr>
          <t>Hong, Sally (Research):</t>
        </r>
        <r>
          <rPr>
            <sz val="9"/>
            <color indexed="81"/>
            <rFont val="Tahoma"/>
            <family val="2"/>
          </rPr>
          <t xml:space="preserve">
Restated in 2H25</t>
        </r>
      </text>
    </comment>
    <comment ref="DD133" authorId="4" shapeId="0" xr:uid="{EF44884C-2F11-4A85-A902-082BB27D1D12}">
      <text>
        <r>
          <rPr>
            <b/>
            <sz val="9"/>
            <color indexed="81"/>
            <rFont val="Tahoma"/>
            <family val="2"/>
          </rPr>
          <t>Hong, Sally (Research):</t>
        </r>
        <r>
          <rPr>
            <sz val="9"/>
            <color indexed="81"/>
            <rFont val="Tahoma"/>
            <family val="2"/>
          </rPr>
          <t xml:space="preserve">
Restated in 2H25</t>
        </r>
      </text>
    </comment>
    <comment ref="CN134" authorId="4" shapeId="0" xr:uid="{28790BDF-90DB-44FE-805B-0DA7B4FC91CB}">
      <text>
        <r>
          <rPr>
            <b/>
            <sz val="9"/>
            <color indexed="81"/>
            <rFont val="Tahoma"/>
            <family val="2"/>
          </rPr>
          <t>Hong, Sally (Research):</t>
        </r>
        <r>
          <rPr>
            <sz val="9"/>
            <color indexed="81"/>
            <rFont val="Tahoma"/>
            <family val="2"/>
          </rPr>
          <t xml:space="preserve">
1H21 4D Page 49  
From July 2020, Commonwealth Private was transferred out of the Business Banking division and consolidated into the Retail
Banking Services division</t>
        </r>
      </text>
    </comment>
    <comment ref="CS134" authorId="4" shapeId="0" xr:uid="{627858B4-4F36-4F97-A547-5E13BB30FCC1}">
      <text>
        <r>
          <rPr>
            <b/>
            <sz val="9"/>
            <color indexed="81"/>
            <rFont val="Tahoma"/>
            <family val="2"/>
          </rPr>
          <t>Hong, Sally (Research):</t>
        </r>
        <r>
          <rPr>
            <sz val="9"/>
            <color indexed="81"/>
            <rFont val="Tahoma"/>
            <family val="2"/>
          </rPr>
          <t xml:space="preserve">
restated in 1H23 … Page 46 of 1H23 4D </t>
        </r>
      </text>
    </comment>
    <comment ref="CV134" authorId="4" shapeId="0" xr:uid="{B65FE795-2E0C-4D82-B5C1-44682E883651}">
      <text>
        <r>
          <rPr>
            <b/>
            <sz val="9"/>
            <color indexed="81"/>
            <rFont val="Tahoma"/>
            <family val="2"/>
          </rPr>
          <t>Hong, Sally (Research):</t>
        </r>
        <r>
          <rPr>
            <sz val="9"/>
            <color indexed="81"/>
            <rFont val="Tahoma"/>
            <family val="2"/>
          </rPr>
          <t xml:space="preserve">
Restated in 1H24
RBS Consumer Finance + BB Consumer Finance + BB Margin Loans</t>
        </r>
      </text>
    </comment>
    <comment ref="CW134" authorId="4" shapeId="0" xr:uid="{F18F38FC-4FE0-44E3-9193-0CD74EC682DD}">
      <text>
        <r>
          <rPr>
            <b/>
            <sz val="9"/>
            <color indexed="81"/>
            <rFont val="Tahoma"/>
            <family val="2"/>
          </rPr>
          <t>Hong, Sally (Research):</t>
        </r>
        <r>
          <rPr>
            <sz val="9"/>
            <color indexed="81"/>
            <rFont val="Tahoma"/>
            <family val="2"/>
          </rPr>
          <t xml:space="preserve">
Restated in 1H24</t>
        </r>
      </text>
    </comment>
    <comment ref="CZ134" authorId="4" shapeId="0" xr:uid="{48694123-E1ED-4D5E-B993-81549015DF83}">
      <text>
        <r>
          <rPr>
            <b/>
            <sz val="9"/>
            <color indexed="81"/>
            <rFont val="Tahoma"/>
            <family val="2"/>
          </rPr>
          <t>Hong, Sally (Research):</t>
        </r>
        <r>
          <rPr>
            <sz val="9"/>
            <color indexed="81"/>
            <rFont val="Tahoma"/>
            <family val="2"/>
          </rPr>
          <t xml:space="preserve">
Restated in 1H25</t>
        </r>
      </text>
    </comment>
    <comment ref="DA134" authorId="4" shapeId="0" xr:uid="{5F664B09-6652-489B-9EC8-DEACD5557169}">
      <text>
        <r>
          <rPr>
            <b/>
            <sz val="9"/>
            <color indexed="81"/>
            <rFont val="Tahoma"/>
            <family val="2"/>
          </rPr>
          <t>Hong, Sally (Research):</t>
        </r>
        <r>
          <rPr>
            <sz val="9"/>
            <color indexed="81"/>
            <rFont val="Tahoma"/>
            <family val="2"/>
          </rPr>
          <t xml:space="preserve">
Restated in 1H25</t>
        </r>
      </text>
    </comment>
    <comment ref="CF167" authorId="3" shapeId="0" xr:uid="{9A4178F7-39CB-4415-8281-B0B0FFBF8D58}">
      <text>
        <r>
          <rPr>
            <b/>
            <sz val="9"/>
            <color indexed="81"/>
            <rFont val="Tahoma"/>
            <family val="2"/>
          </rPr>
          <t>Wiles, Richard (Research):</t>
        </r>
        <r>
          <rPr>
            <sz val="9"/>
            <color indexed="81"/>
            <rFont val="Tahoma"/>
            <family val="2"/>
          </rPr>
          <t xml:space="preserve">
restated at 1H20</t>
        </r>
      </text>
    </comment>
    <comment ref="CG167" authorId="3" shapeId="0" xr:uid="{6E138687-8E77-4F48-891A-6CB4D7F1CD5C}">
      <text>
        <r>
          <rPr>
            <b/>
            <sz val="9"/>
            <color indexed="81"/>
            <rFont val="Tahoma"/>
            <family val="2"/>
          </rPr>
          <t>Wiles, Richard (Research):</t>
        </r>
        <r>
          <rPr>
            <sz val="9"/>
            <color indexed="81"/>
            <rFont val="Tahoma"/>
            <family val="2"/>
          </rPr>
          <t xml:space="preserve">
restated at 1H20</t>
        </r>
      </text>
    </comment>
    <comment ref="CG186" authorId="2" shapeId="0" xr:uid="{55BD6137-6C16-4D7E-A603-04CDEA8141C2}">
      <text>
        <r>
          <rPr>
            <b/>
            <sz val="9"/>
            <color indexed="81"/>
            <rFont val="Tahoma"/>
            <family val="2"/>
          </rPr>
          <t>Fernandes, Sona F (Research):</t>
        </r>
        <r>
          <rPr>
            <sz val="9"/>
            <color indexed="81"/>
            <rFont val="Tahoma"/>
            <family val="2"/>
          </rPr>
          <t xml:space="preserve">
Restated FY20</t>
        </r>
      </text>
    </comment>
    <comment ref="BP198" authorId="0" shapeId="0" xr:uid="{6EAD5BA8-CEC6-42A3-A7B0-9BB2DFFEC267}">
      <text>
        <r>
          <rPr>
            <b/>
            <sz val="9"/>
            <color indexed="81"/>
            <rFont val="Tahoma"/>
            <family val="2"/>
          </rPr>
          <t>Dunger, Matt (Research):</t>
        </r>
        <r>
          <rPr>
            <sz val="9"/>
            <color indexed="81"/>
            <rFont val="Tahoma"/>
            <family val="2"/>
          </rPr>
          <t xml:space="preserve">
restated 2H15</t>
        </r>
      </text>
    </comment>
    <comment ref="DD198" authorId="4" shapeId="0" xr:uid="{8457CC53-1A75-4662-8E4F-2223FE1CF475}">
      <text>
        <r>
          <rPr>
            <b/>
            <sz val="9"/>
            <color indexed="81"/>
            <rFont val="Tahoma"/>
            <family val="2"/>
          </rPr>
          <t>Hong, Sally (Research):</t>
        </r>
        <r>
          <rPr>
            <sz val="9"/>
            <color indexed="81"/>
            <rFont val="Tahoma"/>
            <family val="2"/>
          </rPr>
          <t xml:space="preserve">
No longer disclosed from 1H25… Only new and imaired Non performing exposures will be disclosed</t>
        </r>
      </text>
    </comment>
    <comment ref="DD201" authorId="4" shapeId="0" xr:uid="{36936CD5-EC3A-41D6-AE9C-90D7BAD30118}">
      <text>
        <r>
          <rPr>
            <b/>
            <sz val="9"/>
            <color indexed="81"/>
            <rFont val="Tahoma"/>
            <family val="2"/>
          </rPr>
          <t>Hong, Sally (Research):</t>
        </r>
        <r>
          <rPr>
            <sz val="9"/>
            <color indexed="81"/>
            <rFont val="Tahoma"/>
            <family val="2"/>
          </rPr>
          <t xml:space="preserve">
No longer disclosed from 1H25 to align with APS 220.
Refer Non perofmring Exposures instead</t>
        </r>
      </text>
    </comment>
    <comment ref="CW203" authorId="4" shapeId="0" xr:uid="{5BD66330-A91F-4103-962A-732756B03B69}">
      <text>
        <r>
          <rPr>
            <b/>
            <sz val="9"/>
            <color indexed="81"/>
            <rFont val="Tahoma"/>
            <family val="2"/>
          </rPr>
          <t>Hong, Sally (Research):</t>
        </r>
        <r>
          <rPr>
            <sz val="9"/>
            <color indexed="81"/>
            <rFont val="Tahoma"/>
            <family val="2"/>
          </rPr>
          <t xml:space="preserve">
Non Performing Loans are higher in the Pillar 3 due to changes to APS 220 reporting effective Jan 2023</t>
        </r>
      </text>
    </comment>
    <comment ref="DD227" authorId="4" shapeId="0" xr:uid="{B5656248-30A3-4BDE-A016-3F3001B57AC1}">
      <text>
        <r>
          <rPr>
            <b/>
            <sz val="9"/>
            <color indexed="81"/>
            <rFont val="Tahoma"/>
            <family val="2"/>
          </rPr>
          <t>Hong, Sally (Research):</t>
        </r>
        <r>
          <rPr>
            <sz val="9"/>
            <color indexed="81"/>
            <rFont val="Tahoma"/>
            <family val="2"/>
          </rPr>
          <t xml:space="preserve">
Restated in 2H25</t>
        </r>
      </text>
    </comment>
    <comment ref="CF244" authorId="3" shapeId="0" xr:uid="{F3A356EC-16A2-4199-B4E3-907D42A5F734}">
      <text>
        <r>
          <rPr>
            <b/>
            <sz val="9"/>
            <color indexed="81"/>
            <rFont val="Tahoma"/>
            <family val="2"/>
          </rPr>
          <t>Wiles, Richard (Research):</t>
        </r>
        <r>
          <rPr>
            <sz val="9"/>
            <color indexed="81"/>
            <rFont val="Tahoma"/>
            <family val="2"/>
          </rPr>
          <t xml:space="preserve">
Adjusted for AASB9 A$1055m</t>
        </r>
      </text>
    </comment>
    <comment ref="CF249" authorId="3" shapeId="0" xr:uid="{C0AAFCB1-352B-41FA-AA75-2617EF0E50F9}">
      <text>
        <r>
          <rPr>
            <b/>
            <sz val="9"/>
            <color indexed="81"/>
            <rFont val="Tahoma"/>
            <family val="2"/>
          </rPr>
          <t>Wiles, Richard (Research):</t>
        </r>
        <r>
          <rPr>
            <sz val="9"/>
            <color indexed="81"/>
            <rFont val="Tahoma"/>
            <family val="2"/>
          </rPr>
          <t xml:space="preserve">
Adoption of AASB9 A$1,055m</t>
        </r>
      </text>
    </comment>
    <comment ref="CW272" authorId="3" shapeId="0" xr:uid="{42553270-3FCE-49A8-9500-7CDFA8ACFD4D}">
      <text>
        <r>
          <rPr>
            <b/>
            <sz val="9"/>
            <color indexed="81"/>
            <rFont val="Tahoma"/>
            <family val="2"/>
          </rPr>
          <t>Wiles, Richard (Research):</t>
        </r>
        <r>
          <rPr>
            <sz val="9"/>
            <color indexed="81"/>
            <rFont val="Tahoma"/>
            <family val="2"/>
          </rPr>
          <t xml:space="preserve">
impact of change in APRA RW methodology was +8-9bp</t>
        </r>
      </text>
    </comment>
    <comment ref="DD284" authorId="4" shapeId="0" xr:uid="{ECD20BB9-AE37-4AB5-978C-6E29D4224E4E}">
      <text>
        <r>
          <rPr>
            <b/>
            <sz val="9"/>
            <color indexed="81"/>
            <rFont val="Tahoma"/>
            <family val="2"/>
          </rPr>
          <t xml:space="preserve">Hong, Sally (Research):
</t>
        </r>
        <r>
          <rPr>
            <sz val="9"/>
            <color indexed="81"/>
            <rFont val="Tahoma"/>
            <family val="2"/>
          </rPr>
          <t>Definition changed in 1H25. New and Increasee Impaired assets no longer reported. New and increased non performing exposures are presented instead.</t>
        </r>
      </text>
    </comment>
    <comment ref="DD294" authorId="4" shapeId="0" xr:uid="{C2C5EAA4-9713-462E-9ED9-BD0330FE049A}">
      <text>
        <r>
          <rPr>
            <b/>
            <sz val="9"/>
            <color indexed="81"/>
            <rFont val="Tahoma"/>
            <family val="2"/>
          </rPr>
          <t>Hong, Sally (Research):</t>
        </r>
        <r>
          <rPr>
            <sz val="9"/>
            <color indexed="81"/>
            <rFont val="Tahoma"/>
            <family val="2"/>
          </rPr>
          <t xml:space="preserve">
TD breakdown no longer disclosed in 1H25</t>
        </r>
      </text>
    </comment>
    <comment ref="CZ296" authorId="4" shapeId="0" xr:uid="{6BEFFD91-550C-471E-A514-38A33631C3AA}">
      <text>
        <r>
          <rPr>
            <b/>
            <sz val="9"/>
            <color indexed="81"/>
            <rFont val="Tahoma"/>
            <family val="2"/>
          </rPr>
          <t>Hong, Sally (Research):</t>
        </r>
        <r>
          <rPr>
            <sz val="9"/>
            <color indexed="81"/>
            <rFont val="Tahoma"/>
            <family val="2"/>
          </rPr>
          <t xml:space="preserve">
New category in 1H25</t>
        </r>
      </text>
    </comment>
    <comment ref="DA296" authorId="4" shapeId="0" xr:uid="{E1C225A6-7E9B-43A7-A0FD-EA330DB8C77F}">
      <text>
        <r>
          <rPr>
            <b/>
            <sz val="9"/>
            <color indexed="81"/>
            <rFont val="Tahoma"/>
            <family val="2"/>
          </rPr>
          <t>Hong, Sally (Research):</t>
        </r>
        <r>
          <rPr>
            <sz val="9"/>
            <color indexed="81"/>
            <rFont val="Tahoma"/>
            <family val="2"/>
          </rPr>
          <t xml:space="preserve">
New category in 1H25</t>
        </r>
      </text>
    </comment>
    <comment ref="BP297" authorId="0" shapeId="0" xr:uid="{4F500D2B-51BF-42B3-91A4-0D744663575E}">
      <text>
        <r>
          <rPr>
            <b/>
            <sz val="9"/>
            <color indexed="81"/>
            <rFont val="Tahoma"/>
            <family val="2"/>
          </rPr>
          <t>Dunger, Matt (Research):</t>
        </r>
        <r>
          <rPr>
            <sz val="9"/>
            <color indexed="81"/>
            <rFont val="Tahoma"/>
            <family val="2"/>
          </rPr>
          <t xml:space="preserve">
restated 1H16</t>
        </r>
      </text>
    </comment>
    <comment ref="BQ297" authorId="0" shapeId="0" xr:uid="{8E841D35-5944-49AE-ABF7-FF10593AD12C}">
      <text>
        <r>
          <rPr>
            <b/>
            <sz val="9"/>
            <color indexed="81"/>
            <rFont val="Tahoma"/>
            <family val="2"/>
          </rPr>
          <t>Dunger, Matt (Research):</t>
        </r>
        <r>
          <rPr>
            <sz val="9"/>
            <color indexed="81"/>
            <rFont val="Tahoma"/>
            <family val="2"/>
          </rPr>
          <t xml:space="preserve">
restated 1H16</t>
        </r>
      </text>
    </comment>
    <comment ref="BU297" authorId="0" shapeId="0" xr:uid="{C94DD047-65F8-49FC-A611-A9AF7014ECBF}">
      <text>
        <r>
          <rPr>
            <b/>
            <sz val="9"/>
            <color indexed="81"/>
            <rFont val="Tahoma"/>
            <family val="2"/>
          </rPr>
          <t>Dunger, Matt (Research):</t>
        </r>
        <r>
          <rPr>
            <sz val="9"/>
            <color indexed="81"/>
            <rFont val="Tahoma"/>
            <family val="2"/>
          </rPr>
          <t xml:space="preserve">
During the period, following a change in terms, Interest bearing transaction deposits of $18,314 million became Non-interest bearing and have been
disclosed accordingly. Historicals not restated.</t>
        </r>
      </text>
    </comment>
    <comment ref="DD313" authorId="4" shapeId="0" xr:uid="{F36C2F9D-537A-48CB-8D52-2832C074C128}">
      <text>
        <r>
          <rPr>
            <b/>
            <sz val="9"/>
            <color indexed="81"/>
            <rFont val="Tahoma"/>
            <family val="2"/>
          </rPr>
          <t>Hong, Sally (Research):</t>
        </r>
        <r>
          <rPr>
            <sz val="9"/>
            <color indexed="81"/>
            <rFont val="Tahoma"/>
            <family val="2"/>
          </rPr>
          <t xml:space="preserve">
TD breakdown no longer disclosed in 1H25</t>
        </r>
      </text>
    </comment>
    <comment ref="CZ347" authorId="4" shapeId="0" xr:uid="{648C86AE-3364-4D4C-8049-4E46DA3AD5E2}">
      <text>
        <r>
          <rPr>
            <b/>
            <sz val="9"/>
            <color indexed="81"/>
            <rFont val="Tahoma"/>
            <family val="2"/>
          </rPr>
          <t>Hong, Sally (Research):</t>
        </r>
        <r>
          <rPr>
            <sz val="9"/>
            <color indexed="81"/>
            <rFont val="Tahoma"/>
            <family val="2"/>
          </rPr>
          <t xml:space="preserve">
Restated in 1H25 Page 95</t>
        </r>
      </text>
    </comment>
    <comment ref="DA347" authorId="4" shapeId="0" xr:uid="{8400E951-E483-4511-B4AC-5C6C5D5E8B49}">
      <text>
        <r>
          <rPr>
            <b/>
            <sz val="9"/>
            <color indexed="81"/>
            <rFont val="Tahoma"/>
            <family val="2"/>
          </rPr>
          <t>Hong, Sally (Research):</t>
        </r>
        <r>
          <rPr>
            <sz val="9"/>
            <color indexed="81"/>
            <rFont val="Tahoma"/>
            <family val="2"/>
          </rPr>
          <t xml:space="preserve">
Restated in 1H25 Page 95</t>
        </r>
      </text>
    </comment>
    <comment ref="CS365" authorId="4" shapeId="0" xr:uid="{94C6C64B-4DCD-4239-A247-D368A44F04E2}">
      <text>
        <r>
          <rPr>
            <b/>
            <sz val="9"/>
            <color indexed="81"/>
            <rFont val="Tahoma"/>
            <family val="2"/>
          </rPr>
          <t>Hong, Sally (Research):</t>
        </r>
        <r>
          <rPr>
            <sz val="9"/>
            <color indexed="81"/>
            <rFont val="Tahoma"/>
            <family val="2"/>
          </rPr>
          <t xml:space="preserve">
Repos</t>
        </r>
      </text>
    </comment>
    <comment ref="CV384" authorId="4" shapeId="0" xr:uid="{1837EDDF-7D2F-40A6-9299-66A87C932AFB}">
      <text>
        <r>
          <rPr>
            <b/>
            <sz val="9"/>
            <color indexed="81"/>
            <rFont val="Tahoma"/>
            <family val="2"/>
          </rPr>
          <t>Hong, Sally (Research):</t>
        </r>
        <r>
          <rPr>
            <sz val="9"/>
            <color indexed="81"/>
            <rFont val="Tahoma"/>
            <family val="2"/>
          </rPr>
          <t xml:space="preserve">
Restated in 1H24
Remove Qilu Bank</t>
        </r>
      </text>
    </comment>
    <comment ref="CW384" authorId="4" shapeId="0" xr:uid="{536DBBF6-9F5E-4386-A49C-6DA35C1C74EF}">
      <text>
        <r>
          <rPr>
            <b/>
            <sz val="9"/>
            <color indexed="81"/>
            <rFont val="Tahoma"/>
            <family val="2"/>
          </rPr>
          <t>Hong, Sally (Research):</t>
        </r>
        <r>
          <rPr>
            <sz val="9"/>
            <color indexed="81"/>
            <rFont val="Tahoma"/>
            <family val="2"/>
          </rPr>
          <t xml:space="preserve">
Restated in 1H24
Remove Qilu Bank</t>
        </r>
      </text>
    </comment>
    <comment ref="DE384" authorId="4" shapeId="0" xr:uid="{1524C2C2-7C75-43DF-8B29-7016CAD96B3E}">
      <text>
        <r>
          <rPr>
            <b/>
            <sz val="9"/>
            <color indexed="81"/>
            <rFont val="Tahoma"/>
            <family val="2"/>
          </rPr>
          <t>Hong, Sally (Research):</t>
        </r>
        <r>
          <rPr>
            <sz val="9"/>
            <color indexed="81"/>
            <rFont val="Tahoma"/>
            <family val="2"/>
          </rPr>
          <t xml:space="preserve">
See FY25 Annual Report Page 286 Other Assets</t>
        </r>
      </text>
    </comment>
    <comment ref="DH384" authorId="4" shapeId="0" xr:uid="{A090FF45-96D2-47BA-AE0D-96B4CF3E56E1}">
      <text>
        <r>
          <rPr>
            <b/>
            <sz val="9"/>
            <color indexed="81"/>
            <rFont val="Tahoma"/>
            <family val="2"/>
          </rPr>
          <t>Hong, Sally (Research):</t>
        </r>
        <r>
          <rPr>
            <sz val="9"/>
            <color indexed="81"/>
            <rFont val="Tahoma"/>
            <family val="2"/>
          </rPr>
          <t xml:space="preserve">
Not disclosed in 1H26</t>
        </r>
      </text>
    </comment>
    <comment ref="BX385" authorId="1" shapeId="0" xr:uid="{20566551-8841-4123-A3B5-BFAA30DD364D}">
      <text>
        <r>
          <rPr>
            <b/>
            <sz val="9"/>
            <color indexed="81"/>
            <rFont val="Tahoma"/>
            <family val="2"/>
          </rPr>
          <t>O'Neill, Emilie (Research):</t>
        </r>
        <r>
          <rPr>
            <sz val="9"/>
            <color indexed="81"/>
            <rFont val="Tahoma"/>
            <family val="2"/>
          </rPr>
          <t xml:space="preserve">
restated 1H18</t>
        </r>
      </text>
    </comment>
    <comment ref="BY385" authorId="1" shapeId="0" xr:uid="{83321FC7-BEC0-49F1-954C-A44876EA3BD6}">
      <text>
        <r>
          <rPr>
            <b/>
            <sz val="9"/>
            <color indexed="81"/>
            <rFont val="Tahoma"/>
            <family val="2"/>
          </rPr>
          <t>O'Neill, Emilie (Research):</t>
        </r>
        <r>
          <rPr>
            <sz val="9"/>
            <color indexed="81"/>
            <rFont val="Tahoma"/>
            <family val="2"/>
          </rPr>
          <t xml:space="preserve">
restated 1H18</t>
        </r>
      </text>
    </comment>
    <comment ref="CB385" authorId="1" shapeId="0" xr:uid="{CAB19A87-559F-443B-B1D0-BCCDD3657FBB}">
      <text>
        <r>
          <rPr>
            <b/>
            <sz val="9"/>
            <color indexed="81"/>
            <rFont val="Tahoma"/>
            <family val="2"/>
          </rPr>
          <t>O'Neill, Emilie (Research):</t>
        </r>
        <r>
          <rPr>
            <sz val="9"/>
            <color indexed="81"/>
            <rFont val="Tahoma"/>
            <family val="2"/>
          </rPr>
          <t xml:space="preserve">
Restated 1H19</t>
        </r>
      </text>
    </comment>
    <comment ref="CC385" authorId="1" shapeId="0" xr:uid="{5E783BF7-E911-4B28-AC21-019B65478CC4}">
      <text>
        <r>
          <rPr>
            <b/>
            <sz val="9"/>
            <color indexed="81"/>
            <rFont val="Tahoma"/>
            <family val="2"/>
          </rPr>
          <t>O'Neill, Emilie (Research):</t>
        </r>
        <r>
          <rPr>
            <sz val="9"/>
            <color indexed="81"/>
            <rFont val="Tahoma"/>
            <family val="2"/>
          </rPr>
          <t xml:space="preserve">
Restated 1H19</t>
        </r>
      </text>
    </comment>
    <comment ref="CK385" authorId="5" shapeId="0" xr:uid="{9683AA45-BFEE-4C91-9599-D10FEEBEDEEF}">
      <text>
        <r>
          <rPr>
            <b/>
            <sz val="9"/>
            <color indexed="81"/>
            <rFont val="Tahoma"/>
            <family val="2"/>
          </rPr>
          <t>Fernandes, Sona (Research):</t>
        </r>
        <r>
          <rPr>
            <sz val="9"/>
            <color indexed="81"/>
            <rFont val="Tahoma"/>
            <family val="2"/>
          </rPr>
          <t xml:space="preserve">
Restated FY21</t>
        </r>
      </text>
    </comment>
    <comment ref="CN385" authorId="5" shapeId="0" xr:uid="{BFDF17DD-DD05-4F7D-9C7E-2DD356A59F03}">
      <text>
        <r>
          <rPr>
            <b/>
            <sz val="9"/>
            <color indexed="81"/>
            <rFont val="Tahoma"/>
            <family val="2"/>
          </rPr>
          <t>Fernandes, Sona (Research):</t>
        </r>
        <r>
          <rPr>
            <sz val="9"/>
            <color indexed="81"/>
            <rFont val="Tahoma"/>
            <family val="2"/>
          </rPr>
          <t xml:space="preserve">
Restated FY21</t>
        </r>
      </text>
    </comment>
    <comment ref="BX387" authorId="1" shapeId="0" xr:uid="{7DFEFD5C-9C5E-4C1F-A24E-569BB14FAE24}">
      <text>
        <r>
          <rPr>
            <b/>
            <sz val="9"/>
            <color indexed="81"/>
            <rFont val="Tahoma"/>
            <family val="2"/>
          </rPr>
          <t>O'Neill, Emilie (Research):</t>
        </r>
        <r>
          <rPr>
            <sz val="9"/>
            <color indexed="81"/>
            <rFont val="Tahoma"/>
            <family val="2"/>
          </rPr>
          <t xml:space="preserve">
Restated 1H18</t>
        </r>
      </text>
    </comment>
    <comment ref="BY387" authorId="1" shapeId="0" xr:uid="{31CA6639-9546-4F9E-B327-25B6B1B0428D}">
      <text>
        <r>
          <rPr>
            <b/>
            <sz val="9"/>
            <color indexed="81"/>
            <rFont val="Tahoma"/>
            <family val="2"/>
          </rPr>
          <t>O'Neill, Emilie (Research):</t>
        </r>
        <r>
          <rPr>
            <sz val="9"/>
            <color indexed="81"/>
            <rFont val="Tahoma"/>
            <family val="2"/>
          </rPr>
          <t xml:space="preserve">
Restated 1H18</t>
        </r>
      </text>
    </comment>
    <comment ref="CK387" authorId="5" shapeId="0" xr:uid="{D470A6F3-D83E-4493-B63E-DB6394ABCC29}">
      <text>
        <r>
          <rPr>
            <b/>
            <sz val="9"/>
            <color indexed="81"/>
            <rFont val="Tahoma"/>
            <family val="2"/>
          </rPr>
          <t>Fernandes, Sona (Research):</t>
        </r>
        <r>
          <rPr>
            <sz val="9"/>
            <color indexed="81"/>
            <rFont val="Tahoma"/>
            <family val="2"/>
          </rPr>
          <t xml:space="preserve">
Restated FY21</t>
        </r>
      </text>
    </comment>
    <comment ref="CN387" authorId="5" shapeId="0" xr:uid="{1F9CD0E3-E29B-4278-A25E-702D4EC0CED5}">
      <text>
        <r>
          <rPr>
            <b/>
            <sz val="9"/>
            <color indexed="81"/>
            <rFont val="Tahoma"/>
            <family val="2"/>
          </rPr>
          <t>Fernandes, Sona (Research):</t>
        </r>
        <r>
          <rPr>
            <sz val="9"/>
            <color indexed="81"/>
            <rFont val="Tahoma"/>
            <family val="2"/>
          </rPr>
          <t xml:space="preserve">
Restated FY21</t>
        </r>
      </text>
    </comment>
    <comment ref="CV387" authorId="4" shapeId="0" xr:uid="{685E31FE-D248-4119-ADEA-D5FCA6052BB6}">
      <text>
        <r>
          <rPr>
            <b/>
            <sz val="9"/>
            <color indexed="81"/>
            <rFont val="Tahoma"/>
            <family val="2"/>
          </rPr>
          <t>Hong, Sally (Research):</t>
        </r>
        <r>
          <rPr>
            <sz val="9"/>
            <color indexed="81"/>
            <rFont val="Tahoma"/>
            <family val="2"/>
          </rPr>
          <t xml:space="preserve">
Restated in 1H24</t>
        </r>
      </text>
    </comment>
    <comment ref="CW387" authorId="4" shapeId="0" xr:uid="{411D6B13-AE5E-4A60-838B-5DD1AD517DE3}">
      <text>
        <r>
          <rPr>
            <b/>
            <sz val="9"/>
            <color indexed="81"/>
            <rFont val="Tahoma"/>
            <family val="2"/>
          </rPr>
          <t>Hong, Sally (Research):</t>
        </r>
        <r>
          <rPr>
            <sz val="9"/>
            <color indexed="81"/>
            <rFont val="Tahoma"/>
            <family val="2"/>
          </rPr>
          <t xml:space="preserve">
Restated in 1H24</t>
        </r>
      </text>
    </comment>
    <comment ref="CK390" authorId="5" shapeId="0" xr:uid="{2F6DCF05-FB05-41A1-8D89-C382A0ADBE59}">
      <text>
        <r>
          <rPr>
            <b/>
            <sz val="9"/>
            <color indexed="81"/>
            <rFont val="Tahoma"/>
            <family val="2"/>
          </rPr>
          <t>Fernandes, Sona (Research):</t>
        </r>
        <r>
          <rPr>
            <sz val="9"/>
            <color indexed="81"/>
            <rFont val="Tahoma"/>
            <family val="2"/>
          </rPr>
          <t xml:space="preserve">
Restated FY21</t>
        </r>
      </text>
    </comment>
    <comment ref="CN390" authorId="5" shapeId="0" xr:uid="{52A00FAC-5FB1-4416-99BC-D4208B53D82E}">
      <text>
        <r>
          <rPr>
            <b/>
            <sz val="9"/>
            <color indexed="81"/>
            <rFont val="Tahoma"/>
            <family val="2"/>
          </rPr>
          <t>Fernandes, Sona (Research):</t>
        </r>
        <r>
          <rPr>
            <sz val="9"/>
            <color indexed="81"/>
            <rFont val="Tahoma"/>
            <family val="2"/>
          </rPr>
          <t xml:space="preserve">
Restated FY21</t>
        </r>
      </text>
    </comment>
    <comment ref="CF392" authorId="3" shapeId="0" xr:uid="{FDD43B8D-660F-4526-99A9-D82E11F9F5A2}">
      <text>
        <r>
          <rPr>
            <b/>
            <sz val="9"/>
            <color indexed="81"/>
            <rFont val="Tahoma"/>
            <family val="2"/>
          </rPr>
          <t>Wiles, Richard (Research):</t>
        </r>
        <r>
          <rPr>
            <sz val="9"/>
            <color indexed="81"/>
            <rFont val="Tahoma"/>
            <family val="2"/>
          </rPr>
          <t xml:space="preserve">
restated at 1H20</t>
        </r>
      </text>
    </comment>
    <comment ref="BM393" authorId="0" shapeId="0" xr:uid="{4F263554-A108-480D-BAF7-5D93B0AF23AA}">
      <text>
        <r>
          <rPr>
            <b/>
            <sz val="9"/>
            <color indexed="81"/>
            <rFont val="Tahoma"/>
            <family val="2"/>
          </rPr>
          <t>Dunger, Matt (Research):</t>
        </r>
        <r>
          <rPr>
            <sz val="9"/>
            <color indexed="81"/>
            <rFont val="Tahoma"/>
            <family val="2"/>
          </rPr>
          <t xml:space="preserve">
restated 2H15</t>
        </r>
      </text>
    </comment>
    <comment ref="BP393" authorId="0" shapeId="0" xr:uid="{95E4DCD5-5F93-422B-8BD8-7F3F18C1AD04}">
      <text>
        <r>
          <rPr>
            <b/>
            <sz val="9"/>
            <color indexed="81"/>
            <rFont val="Tahoma"/>
            <family val="2"/>
          </rPr>
          <t>Dunger, Matt (Research):</t>
        </r>
        <r>
          <rPr>
            <sz val="9"/>
            <color indexed="81"/>
            <rFont val="Tahoma"/>
            <family val="2"/>
          </rPr>
          <t xml:space="preserve">
restated 2H15</t>
        </r>
      </text>
    </comment>
    <comment ref="CC393" authorId="1" shapeId="0" xr:uid="{4D15B406-D127-4F56-A827-305AC1DD4B65}">
      <text>
        <r>
          <rPr>
            <b/>
            <sz val="9"/>
            <color indexed="81"/>
            <rFont val="Tahoma"/>
            <family val="2"/>
          </rPr>
          <t>O'Neill, Emilie (Research):</t>
        </r>
        <r>
          <rPr>
            <sz val="9"/>
            <color indexed="81"/>
            <rFont val="Tahoma"/>
            <family val="2"/>
          </rPr>
          <t xml:space="preserve">
Restated 2H19</t>
        </r>
      </text>
    </comment>
    <comment ref="CF393" authorId="1" shapeId="0" xr:uid="{C5F102E2-3C59-4C4B-9BDF-900C746DD657}">
      <text>
        <r>
          <rPr>
            <b/>
            <sz val="9"/>
            <color indexed="81"/>
            <rFont val="Tahoma"/>
            <family val="2"/>
          </rPr>
          <t>O'Neill, Emilie (Research):</t>
        </r>
        <r>
          <rPr>
            <sz val="9"/>
            <color indexed="81"/>
            <rFont val="Tahoma"/>
            <family val="2"/>
          </rPr>
          <t xml:space="preserve">
Restated 2H19</t>
        </r>
      </text>
    </comment>
    <comment ref="CG393" authorId="2" shapeId="0" xr:uid="{86AD766B-6EF2-4EE9-AEDA-91CD1544036D}">
      <text>
        <r>
          <rPr>
            <b/>
            <sz val="9"/>
            <color indexed="81"/>
            <rFont val="Tahoma"/>
            <family val="2"/>
          </rPr>
          <t>Fernandes, Sona F (Research):</t>
        </r>
        <r>
          <rPr>
            <sz val="9"/>
            <color indexed="81"/>
            <rFont val="Tahoma"/>
            <family val="2"/>
          </rPr>
          <t xml:space="preserve">
Restated FY20
</t>
        </r>
      </text>
    </comment>
    <comment ref="CJ393" authorId="2" shapeId="0" xr:uid="{80DD8753-D253-4D0A-8399-E9FDCFF519DA}">
      <text>
        <r>
          <rPr>
            <b/>
            <sz val="9"/>
            <color indexed="81"/>
            <rFont val="Tahoma"/>
            <family val="2"/>
          </rPr>
          <t>Fernandes, Sona F (Research):</t>
        </r>
        <r>
          <rPr>
            <sz val="9"/>
            <color indexed="81"/>
            <rFont val="Tahoma"/>
            <family val="2"/>
          </rPr>
          <t xml:space="preserve">
Restated FY20
</t>
        </r>
      </text>
    </comment>
    <comment ref="CN393" authorId="5" shapeId="0" xr:uid="{3279CD44-2231-4188-9E7B-8DE2AFD72FB8}">
      <text>
        <r>
          <rPr>
            <b/>
            <sz val="9"/>
            <color indexed="81"/>
            <rFont val="Tahoma"/>
            <family val="2"/>
          </rPr>
          <t>Fernandes, Sona (Research):</t>
        </r>
        <r>
          <rPr>
            <sz val="9"/>
            <color indexed="81"/>
            <rFont val="Tahoma"/>
            <family val="2"/>
          </rPr>
          <t xml:space="preserve">
Restated FY21</t>
        </r>
      </text>
    </comment>
    <comment ref="CK396" authorId="5" shapeId="0" xr:uid="{6A21BE6E-E370-471E-9D83-847016EEB7F6}">
      <text>
        <r>
          <rPr>
            <b/>
            <sz val="9"/>
            <color indexed="81"/>
            <rFont val="Tahoma"/>
            <family val="2"/>
          </rPr>
          <t>Fernandes, Sona (Research):</t>
        </r>
        <r>
          <rPr>
            <sz val="9"/>
            <color indexed="81"/>
            <rFont val="Tahoma"/>
            <family val="2"/>
          </rPr>
          <t xml:space="preserve">
Restated FY21</t>
        </r>
      </text>
    </comment>
    <comment ref="CN396" authorId="5" shapeId="0" xr:uid="{A2E9183F-C8EE-4E0B-829F-91DC53E67D78}">
      <text>
        <r>
          <rPr>
            <b/>
            <sz val="9"/>
            <color indexed="81"/>
            <rFont val="Tahoma"/>
            <family val="2"/>
          </rPr>
          <t>Fernandes, Sona (Research):</t>
        </r>
        <r>
          <rPr>
            <sz val="9"/>
            <color indexed="81"/>
            <rFont val="Tahoma"/>
            <family val="2"/>
          </rPr>
          <t xml:space="preserve">
Restated FY21</t>
        </r>
      </text>
    </comment>
    <comment ref="CV396" authorId="4" shapeId="0" xr:uid="{A2BB2A63-3266-4E32-9637-F118EF981034}">
      <text>
        <r>
          <rPr>
            <b/>
            <sz val="9"/>
            <color indexed="81"/>
            <rFont val="Tahoma"/>
            <family val="2"/>
          </rPr>
          <t>Hong, Sally (Research):</t>
        </r>
        <r>
          <rPr>
            <sz val="9"/>
            <color indexed="81"/>
            <rFont val="Tahoma"/>
            <family val="2"/>
          </rPr>
          <t xml:space="preserve">
Restated in 1H24</t>
        </r>
      </text>
    </comment>
    <comment ref="CW396" authorId="4" shapeId="0" xr:uid="{E696314D-3E5A-41F2-BF9D-DA34A61EF8A7}">
      <text>
        <r>
          <rPr>
            <b/>
            <sz val="9"/>
            <color indexed="81"/>
            <rFont val="Tahoma"/>
            <family val="2"/>
          </rPr>
          <t>Hong, Sally (Research):</t>
        </r>
        <r>
          <rPr>
            <sz val="9"/>
            <color indexed="81"/>
            <rFont val="Tahoma"/>
            <family val="2"/>
          </rPr>
          <t xml:space="preserve">
Restated in 1H24</t>
        </r>
      </text>
    </comment>
    <comment ref="CR412" authorId="3" shapeId="0" xr:uid="{FE16D4FF-55FA-4CCA-B4F9-1ABCA43911A0}">
      <text>
        <r>
          <rPr>
            <b/>
            <sz val="9"/>
            <color indexed="81"/>
            <rFont val="Tahoma"/>
            <family val="2"/>
          </rPr>
          <t>Wiles, Richard (Research):</t>
        </r>
        <r>
          <rPr>
            <sz val="9"/>
            <color indexed="81"/>
            <rFont val="Tahoma"/>
            <family val="2"/>
          </rPr>
          <t xml:space="preserve">
CFS 45% stake; previously 100% so not in associates
plus other equity stakes </t>
        </r>
      </text>
    </comment>
    <comment ref="CV412" authorId="3" shapeId="0" xr:uid="{6DAF7EC5-A82D-42BF-8C0E-C7C5F54C16A9}">
      <text>
        <r>
          <rPr>
            <b/>
            <sz val="9"/>
            <color indexed="81"/>
            <rFont val="Tahoma"/>
            <family val="2"/>
          </rPr>
          <t>Wiles, Richard (Research):</t>
        </r>
        <r>
          <rPr>
            <sz val="9"/>
            <color indexed="81"/>
            <rFont val="Tahoma"/>
            <family val="2"/>
          </rPr>
          <t xml:space="preserve">
CFS 45% stake; previously 100% so not in associates
plus other equity stakes </t>
        </r>
      </text>
    </comment>
    <comment ref="CW412" authorId="3" shapeId="0" xr:uid="{732A667A-8685-4972-9F4A-DA45334D4E07}">
      <text>
        <r>
          <rPr>
            <b/>
            <sz val="9"/>
            <color indexed="81"/>
            <rFont val="Tahoma"/>
            <family val="2"/>
          </rPr>
          <t>Wiles, Richard (Research):</t>
        </r>
        <r>
          <rPr>
            <sz val="9"/>
            <color indexed="81"/>
            <rFont val="Tahoma"/>
            <family val="2"/>
          </rPr>
          <t xml:space="preserve">
assume A$250m per year of new investments </t>
        </r>
      </text>
    </comment>
    <comment ref="CZ412" authorId="3" shapeId="0" xr:uid="{B9639B70-43DF-47CF-91D1-F0169E9B524E}">
      <text>
        <r>
          <rPr>
            <b/>
            <sz val="9"/>
            <color indexed="81"/>
            <rFont val="Tahoma"/>
            <family val="2"/>
          </rPr>
          <t>Wiles, Richard (Research):</t>
        </r>
        <r>
          <rPr>
            <sz val="9"/>
            <color indexed="81"/>
            <rFont val="Tahoma"/>
            <family val="2"/>
          </rPr>
          <t xml:space="preserve">
assume A$250m per year of new investments </t>
        </r>
      </text>
    </comment>
    <comment ref="DA412" authorId="3" shapeId="0" xr:uid="{EACACFC2-E01E-4D81-BF80-BF415542BFBA}">
      <text>
        <r>
          <rPr>
            <b/>
            <sz val="9"/>
            <color indexed="81"/>
            <rFont val="Tahoma"/>
            <family val="2"/>
          </rPr>
          <t>Wiles, Richard (Research):</t>
        </r>
        <r>
          <rPr>
            <sz val="9"/>
            <color indexed="81"/>
            <rFont val="Tahoma"/>
            <family val="2"/>
          </rPr>
          <t xml:space="preserve">
assume A$250m per year of new investments </t>
        </r>
      </text>
    </comment>
    <comment ref="CG415" authorId="3" shapeId="0" xr:uid="{3A18E55C-9C32-4BCF-85D5-C3792E9437F2}">
      <text>
        <r>
          <rPr>
            <b/>
            <sz val="9"/>
            <color indexed="81"/>
            <rFont val="Tahoma"/>
            <family val="2"/>
          </rPr>
          <t>Wiles, Richard (Research):</t>
        </r>
        <r>
          <rPr>
            <sz val="9"/>
            <color indexed="81"/>
            <rFont val="Tahoma"/>
            <family val="2"/>
          </rPr>
          <t xml:space="preserve">
(4) CFS GAM: Capital release is 60bp or approx A$3bn (A$1.5bn gain on sale; A$1.5bn Tier 1 deductions) … assume A$1bn of goodwill and A$500m of NTA (RW: Jan 2019).</t>
        </r>
      </text>
    </comment>
    <comment ref="CK416" authorId="5" shapeId="0" xr:uid="{379786DD-2E16-437A-AA92-DA5B4B5E746B}">
      <text>
        <r>
          <rPr>
            <b/>
            <sz val="9"/>
            <color indexed="81"/>
            <rFont val="Tahoma"/>
            <family val="2"/>
          </rPr>
          <t>Fernandes, Sona (Research):</t>
        </r>
        <r>
          <rPr>
            <sz val="9"/>
            <color indexed="81"/>
            <rFont val="Tahoma"/>
            <family val="2"/>
          </rPr>
          <t xml:space="preserve">
Restated FY21</t>
        </r>
      </text>
    </comment>
    <comment ref="CN416" authorId="5" shapeId="0" xr:uid="{0B13D8A6-74C9-4B02-B70F-DF8BDEF1E874}">
      <text>
        <r>
          <rPr>
            <b/>
            <sz val="9"/>
            <color indexed="81"/>
            <rFont val="Tahoma"/>
            <family val="2"/>
          </rPr>
          <t>Fernandes, Sona (Research):</t>
        </r>
        <r>
          <rPr>
            <sz val="9"/>
            <color indexed="81"/>
            <rFont val="Tahoma"/>
            <family val="2"/>
          </rPr>
          <t xml:space="preserve">
Restated FY21</t>
        </r>
      </text>
    </comment>
    <comment ref="CB420" authorId="1" shapeId="0" xr:uid="{4641CAF1-1275-4F4A-A786-F7E18A2C9285}">
      <text>
        <r>
          <rPr>
            <b/>
            <sz val="9"/>
            <color indexed="81"/>
            <rFont val="Tahoma"/>
            <family val="2"/>
          </rPr>
          <t>O'Neill, Emilie (Research):</t>
        </r>
        <r>
          <rPr>
            <sz val="9"/>
            <color indexed="81"/>
            <rFont val="Tahoma"/>
            <family val="2"/>
          </rPr>
          <t xml:space="preserve">
Restated 1H19</t>
        </r>
      </text>
    </comment>
    <comment ref="CC420" authorId="1" shapeId="0" xr:uid="{FE2CA176-2208-4E7A-8A18-7FE639A2EE37}">
      <text>
        <r>
          <rPr>
            <b/>
            <sz val="9"/>
            <color indexed="81"/>
            <rFont val="Tahoma"/>
            <family val="2"/>
          </rPr>
          <t>O'Neill, Emilie (Research):</t>
        </r>
        <r>
          <rPr>
            <sz val="9"/>
            <color indexed="81"/>
            <rFont val="Tahoma"/>
            <family val="2"/>
          </rPr>
          <t xml:space="preserve">
Restated 1H19</t>
        </r>
      </text>
    </comment>
    <comment ref="BY427" authorId="1" shapeId="0" xr:uid="{320DFF5C-93E1-4646-9B54-35048CF0B0A9}">
      <text>
        <r>
          <rPr>
            <b/>
            <sz val="9"/>
            <color indexed="81"/>
            <rFont val="Tahoma"/>
            <family val="2"/>
          </rPr>
          <t>O'Neill, Emilie (Research):</t>
        </r>
        <r>
          <rPr>
            <sz val="9"/>
            <color indexed="81"/>
            <rFont val="Tahoma"/>
            <family val="2"/>
          </rPr>
          <t xml:space="preserve">
Restated 1H18 excluding amonts related to groups life insurance business</t>
        </r>
      </text>
    </comment>
    <comment ref="CC427" authorId="1" shapeId="0" xr:uid="{1E476F94-0DEF-4768-A5AC-949854B61086}">
      <text>
        <r>
          <rPr>
            <b/>
            <sz val="9"/>
            <color indexed="81"/>
            <rFont val="Tahoma"/>
            <family val="2"/>
          </rPr>
          <t>O'Neill, Emilie (Research):</t>
        </r>
        <r>
          <rPr>
            <sz val="9"/>
            <color indexed="81"/>
            <rFont val="Tahoma"/>
            <family val="2"/>
          </rPr>
          <t xml:space="preserve">
Restated 1H19</t>
        </r>
      </text>
    </comment>
    <comment ref="CN427" authorId="5" shapeId="0" xr:uid="{7D8267CD-A133-4DD6-B5B5-7BFC6E798F21}">
      <text>
        <r>
          <rPr>
            <b/>
            <sz val="9"/>
            <color indexed="81"/>
            <rFont val="Tahoma"/>
            <family val="2"/>
          </rPr>
          <t>Fernandes, Sona (Research):</t>
        </r>
        <r>
          <rPr>
            <sz val="9"/>
            <color indexed="81"/>
            <rFont val="Tahoma"/>
            <family val="2"/>
          </rPr>
          <t xml:space="preserve">
Restated FY21</t>
        </r>
      </text>
    </comment>
    <comment ref="BX428" authorId="0" shapeId="0" xr:uid="{8A8A60CC-2342-425A-8D65-7E84B2C2AC69}">
      <text>
        <r>
          <rPr>
            <b/>
            <sz val="9"/>
            <color indexed="81"/>
            <rFont val="Tahoma"/>
            <family val="2"/>
          </rPr>
          <t>Dunger, Matt (Research):</t>
        </r>
        <r>
          <rPr>
            <sz val="9"/>
            <color indexed="81"/>
            <rFont val="Tahoma"/>
            <family val="2"/>
          </rPr>
          <t xml:space="preserve">
accelerated amortisation</t>
        </r>
      </text>
    </comment>
    <comment ref="CB428" authorId="8" shapeId="0" xr:uid="{E269C7D4-D0E1-47DB-95AB-9E5EF34C8AB4}">
      <text>
        <r>
          <rPr>
            <b/>
            <sz val="9"/>
            <color indexed="81"/>
            <rFont val="Tahoma"/>
            <family val="2"/>
          </rPr>
          <t>Stadnik, Andrei (Research):</t>
        </r>
        <r>
          <rPr>
            <sz val="9"/>
            <color indexed="81"/>
            <rFont val="Tahoma"/>
            <family val="2"/>
          </rPr>
          <t xml:space="preserve">
49 reclass to held for sale</t>
        </r>
      </text>
    </comment>
    <comment ref="CC428" authorId="8" shapeId="0" xr:uid="{A5CB441D-FFA7-4A91-9CAF-DFC0FD65524F}">
      <text>
        <r>
          <rPr>
            <b/>
            <sz val="9"/>
            <color indexed="81"/>
            <rFont val="Tahoma"/>
            <family val="2"/>
          </rPr>
          <t>Stadnik, Andrei (Research)</t>
        </r>
        <r>
          <rPr>
            <sz val="9"/>
            <color indexed="81"/>
            <rFont val="Tahoma"/>
            <family val="2"/>
          </rPr>
          <t>:impairment as per slide 21 of FY18 preso but also page 43 of the FY18 P.A.</t>
        </r>
      </text>
    </comment>
    <comment ref="CJ428" authorId="3" shapeId="0" xr:uid="{E41E85CA-EFF7-4920-948F-38809C664C17}">
      <text>
        <r>
          <rPr>
            <b/>
            <sz val="9"/>
            <color indexed="81"/>
            <rFont val="Tahoma"/>
            <family val="2"/>
          </rPr>
          <t>Wiles, Richard (Research):</t>
        </r>
        <r>
          <rPr>
            <sz val="9"/>
            <color indexed="81"/>
            <rFont val="Tahoma"/>
            <family val="2"/>
          </rPr>
          <t xml:space="preserve">
A$220m one-off accelerated amortisation (refer p87 1H20)</t>
        </r>
      </text>
    </comment>
    <comment ref="CS428" authorId="3" shapeId="0" xr:uid="{5681B857-1DCF-47B5-8AF5-84DEF52BD1CE}">
      <text>
        <r>
          <rPr>
            <b/>
            <sz val="9"/>
            <color indexed="81"/>
            <rFont val="Tahoma"/>
            <family val="2"/>
          </rPr>
          <t>Wiles, Richard (Research):</t>
        </r>
        <r>
          <rPr>
            <sz val="9"/>
            <color indexed="81"/>
            <rFont val="Tahoma"/>
            <family val="2"/>
          </rPr>
          <t xml:space="preserve">
accelerated amortisation / writedown in 2H22</t>
        </r>
      </text>
    </comment>
    <comment ref="DD431" authorId="4" shapeId="0" xr:uid="{945BB2DB-2303-4D96-BAA5-0D7BBB581A35}">
      <text>
        <r>
          <rPr>
            <b/>
            <sz val="9"/>
            <color indexed="81"/>
            <rFont val="Tahoma"/>
            <family val="2"/>
          </rPr>
          <t>Hong, Sally (Research):</t>
        </r>
        <r>
          <rPr>
            <sz val="9"/>
            <color indexed="81"/>
            <rFont val="Tahoma"/>
            <family val="2"/>
          </rPr>
          <t xml:space="preserve">
2H24 CFO comment: Software Amortisation to increase due to continued investment in tech</t>
        </r>
      </text>
    </comment>
    <comment ref="DE431" authorId="4" shapeId="0" xr:uid="{0FB4D081-4DCB-4747-8F35-81661305AEDB}">
      <text>
        <r>
          <rPr>
            <b/>
            <sz val="9"/>
            <color indexed="81"/>
            <rFont val="Tahoma"/>
            <family val="2"/>
          </rPr>
          <t>Hong, Sally (Research):</t>
        </r>
        <r>
          <rPr>
            <sz val="9"/>
            <color indexed="81"/>
            <rFont val="Tahoma"/>
            <family val="2"/>
          </rPr>
          <t xml:space="preserve">
CFO Call 12/2/25: Amortisation to exceed &gt;A$1bn in a few years.
The lower amortisation rate in 1H25 is just timing.</t>
        </r>
      </text>
    </comment>
    <comment ref="BV454" authorId="8" shapeId="0" xr:uid="{693B45D1-D707-42AA-86EA-A7C090865F2A}">
      <text>
        <r>
          <rPr>
            <b/>
            <sz val="9"/>
            <color indexed="81"/>
            <rFont val="Tahoma"/>
            <family val="2"/>
          </rPr>
          <t>Stadnik, Andrei (Research):</t>
        </r>
        <r>
          <rPr>
            <sz val="9"/>
            <color indexed="81"/>
            <rFont val="Tahoma"/>
            <family val="2"/>
          </rPr>
          <t xml:space="preserve">
appendix 2.1 on Integrated risk management has a Fundinf Sources table</t>
        </r>
      </text>
    </comment>
    <comment ref="BX454" authorId="8" shapeId="0" xr:uid="{AF4DFA9E-9609-4993-8E7D-81C4EC58D8CC}">
      <text>
        <r>
          <rPr>
            <b/>
            <sz val="9"/>
            <color indexed="81"/>
            <rFont val="Tahoma"/>
            <family val="2"/>
          </rPr>
          <t>Stadnik, Andrei (Research):</t>
        </r>
        <r>
          <rPr>
            <sz val="9"/>
            <color indexed="81"/>
            <rFont val="Tahoma"/>
            <family val="2"/>
          </rPr>
          <t xml:space="preserve">
appendix 2.1 on Integrated risk management has a Fundinf Sources table</t>
        </r>
      </text>
    </comment>
    <comment ref="BZ454" authorId="8" shapeId="0" xr:uid="{12BDC2FF-2A24-487D-B642-51EA1012103E}">
      <text>
        <r>
          <rPr>
            <b/>
            <sz val="9"/>
            <color indexed="81"/>
            <rFont val="Tahoma"/>
            <family val="2"/>
          </rPr>
          <t>Stadnik, Andrei (Research):</t>
        </r>
        <r>
          <rPr>
            <sz val="9"/>
            <color indexed="81"/>
            <rFont val="Tahoma"/>
            <family val="2"/>
          </rPr>
          <t xml:space="preserve">
appendix 2.1 on Integrated risk management has a Fundinf Sources table</t>
        </r>
      </text>
    </comment>
    <comment ref="CB454" authorId="8" shapeId="0" xr:uid="{7C40C740-D714-4A9B-B2E3-4784A85D54C5}">
      <text>
        <r>
          <rPr>
            <b/>
            <sz val="9"/>
            <color indexed="81"/>
            <rFont val="Tahoma"/>
            <family val="2"/>
          </rPr>
          <t>Stadnik, Andrei (Research):</t>
        </r>
        <r>
          <rPr>
            <sz val="9"/>
            <color indexed="81"/>
            <rFont val="Tahoma"/>
            <family val="2"/>
          </rPr>
          <t xml:space="preserve">
appendix 2.1 on Integrated risk management has a Fundinf Sources table</t>
        </r>
      </text>
    </comment>
    <comment ref="CD454" authorId="8" shapeId="0" xr:uid="{16F8F2B4-313C-4AB0-AD45-5A6DB228A71E}">
      <text>
        <r>
          <rPr>
            <b/>
            <sz val="9"/>
            <color indexed="81"/>
            <rFont val="Tahoma"/>
            <family val="2"/>
          </rPr>
          <t>Stadnik, Andrei (Research):</t>
        </r>
        <r>
          <rPr>
            <sz val="9"/>
            <color indexed="81"/>
            <rFont val="Tahoma"/>
            <family val="2"/>
          </rPr>
          <t xml:space="preserve">
appendix 2.1 on Integrated risk management has a Fundinf Sources table</t>
        </r>
      </text>
    </comment>
    <comment ref="CF454" authorId="8" shapeId="0" xr:uid="{218CA292-5935-4B54-B07C-CFEF23C2E2EC}">
      <text>
        <r>
          <rPr>
            <b/>
            <sz val="9"/>
            <color indexed="81"/>
            <rFont val="Tahoma"/>
            <family val="2"/>
          </rPr>
          <t>Stadnik, Andrei (Research):</t>
        </r>
        <r>
          <rPr>
            <sz val="9"/>
            <color indexed="81"/>
            <rFont val="Tahoma"/>
            <family val="2"/>
          </rPr>
          <t xml:space="preserve">
appendix 2.1 on Integrated risk management has a Fundinf Sources table</t>
        </r>
      </text>
    </comment>
    <comment ref="CH454" authorId="8" shapeId="0" xr:uid="{31FE2DBC-D58E-4BF9-BA10-43FAE42BF431}">
      <text>
        <r>
          <rPr>
            <b/>
            <sz val="9"/>
            <color indexed="81"/>
            <rFont val="Tahoma"/>
            <family val="2"/>
          </rPr>
          <t>Stadnik, Andrei (Research):</t>
        </r>
        <r>
          <rPr>
            <sz val="9"/>
            <color indexed="81"/>
            <rFont val="Tahoma"/>
            <family val="2"/>
          </rPr>
          <t xml:space="preserve">
appendix 2.1 on Integrated risk management has a Funding Sources table</t>
        </r>
      </text>
    </comment>
    <comment ref="CJ454" authorId="8" shapeId="0" xr:uid="{C3826C09-08C4-4177-A18D-ECEBEB10CFFB}">
      <text>
        <r>
          <rPr>
            <b/>
            <sz val="9"/>
            <color indexed="81"/>
            <rFont val="Tahoma"/>
            <family val="2"/>
          </rPr>
          <t>Stadnik, Andrei (Research):</t>
        </r>
        <r>
          <rPr>
            <sz val="9"/>
            <color indexed="81"/>
            <rFont val="Tahoma"/>
            <family val="2"/>
          </rPr>
          <t xml:space="preserve">
appendix 2.1 on Integrated risk management has a Fundinf Sources table</t>
        </r>
      </text>
    </comment>
    <comment ref="CL454" authorId="8" shapeId="0" xr:uid="{46E68F88-05D2-471E-87DD-B4AA55068F1F}">
      <text>
        <r>
          <rPr>
            <b/>
            <sz val="9"/>
            <color indexed="81"/>
            <rFont val="Tahoma"/>
            <family val="2"/>
          </rPr>
          <t>Stadnik, Andrei (Research):</t>
        </r>
        <r>
          <rPr>
            <sz val="9"/>
            <color indexed="81"/>
            <rFont val="Tahoma"/>
            <family val="2"/>
          </rPr>
          <t xml:space="preserve">
appendix 5.1 on Integrated risk management has a Funding Sources table</t>
        </r>
      </text>
    </comment>
    <comment ref="CB457" authorId="8" shapeId="0" xr:uid="{E33899C8-64FB-4D9A-91BD-010CC5E16EE2}">
      <text>
        <r>
          <rPr>
            <b/>
            <sz val="9"/>
            <color indexed="81"/>
            <rFont val="Tahoma"/>
            <family val="2"/>
          </rPr>
          <t>Stadnik, Andrei (Research):</t>
        </r>
        <r>
          <rPr>
            <sz val="9"/>
            <color indexed="81"/>
            <rFont val="Tahoma"/>
            <family val="2"/>
          </rPr>
          <t xml:space="preserve">
backsolve to get correct customer deposits</t>
        </r>
      </text>
    </comment>
    <comment ref="CD457" authorId="8" shapeId="0" xr:uid="{94E02476-CA83-4536-AE92-97E111EFBF54}">
      <text>
        <r>
          <rPr>
            <b/>
            <sz val="9"/>
            <color indexed="81"/>
            <rFont val="Tahoma"/>
            <family val="2"/>
          </rPr>
          <t>Stadnik, Andrei (Research):</t>
        </r>
        <r>
          <rPr>
            <sz val="9"/>
            <color indexed="81"/>
            <rFont val="Tahoma"/>
            <family val="2"/>
          </rPr>
          <t xml:space="preserve">
backsolve to get correct customer deposits</t>
        </r>
      </text>
    </comment>
    <comment ref="CF457" authorId="8" shapeId="0" xr:uid="{719982D5-758C-4392-9661-2BC3614AA261}">
      <text>
        <r>
          <rPr>
            <b/>
            <sz val="9"/>
            <color indexed="81"/>
            <rFont val="Tahoma"/>
            <family val="2"/>
          </rPr>
          <t>Stadnik, Andrei (Research):</t>
        </r>
        <r>
          <rPr>
            <sz val="9"/>
            <color indexed="81"/>
            <rFont val="Tahoma"/>
            <family val="2"/>
          </rPr>
          <t xml:space="preserve">
backsolve to get correct customer deposits</t>
        </r>
      </text>
    </comment>
    <comment ref="CH457" authorId="8" shapeId="0" xr:uid="{B94B1B42-5FE7-4F57-8CDE-9E740BD638DC}">
      <text>
        <r>
          <rPr>
            <b/>
            <sz val="9"/>
            <color indexed="81"/>
            <rFont val="Tahoma"/>
            <family val="2"/>
          </rPr>
          <t>Stadnik, Andrei (Research):</t>
        </r>
        <r>
          <rPr>
            <sz val="9"/>
            <color indexed="81"/>
            <rFont val="Tahoma"/>
            <family val="2"/>
          </rPr>
          <t xml:space="preserve">
backsolve to get correct customer deposits</t>
        </r>
      </text>
    </comment>
    <comment ref="CJ457" authorId="8" shapeId="0" xr:uid="{1C0DCF15-393E-40FA-B7D3-D8F6521CCCA9}">
      <text>
        <r>
          <rPr>
            <b/>
            <sz val="9"/>
            <color indexed="81"/>
            <rFont val="Tahoma"/>
            <family val="2"/>
          </rPr>
          <t>Stadnik, Andrei (Research):</t>
        </r>
        <r>
          <rPr>
            <sz val="9"/>
            <color indexed="81"/>
            <rFont val="Tahoma"/>
            <family val="2"/>
          </rPr>
          <t xml:space="preserve">
backsolve to get correct customer deposits</t>
        </r>
      </text>
    </comment>
    <comment ref="CL457" authorId="8" shapeId="0" xr:uid="{485879EC-0D9D-4F90-B3E5-E57AC913ACF5}">
      <text>
        <r>
          <rPr>
            <b/>
            <sz val="9"/>
            <color indexed="81"/>
            <rFont val="Tahoma"/>
            <family val="2"/>
          </rPr>
          <t>Stadnik, Andrei (Research):</t>
        </r>
        <r>
          <rPr>
            <sz val="9"/>
            <color indexed="81"/>
            <rFont val="Tahoma"/>
            <family val="2"/>
          </rPr>
          <t xml:space="preserve">
backsolve to get correct customer deposits</t>
        </r>
      </text>
    </comment>
    <comment ref="CR457" authorId="8" shapeId="0" xr:uid="{E0FB19DC-E66E-4D27-A50A-935745ED7AB6}">
      <text>
        <r>
          <rPr>
            <b/>
            <sz val="9"/>
            <color indexed="81"/>
            <rFont val="Tahoma"/>
            <family val="2"/>
          </rPr>
          <t>Stadnik, Andrei (Research):</t>
        </r>
        <r>
          <rPr>
            <sz val="9"/>
            <color indexed="81"/>
            <rFont val="Tahoma"/>
            <family val="2"/>
          </rPr>
          <t xml:space="preserve">
backsolve to get correct customer deposits</t>
        </r>
      </text>
    </comment>
    <comment ref="CV457" authorId="8" shapeId="0" xr:uid="{8256109F-26EC-472B-B9A1-BC1870176663}">
      <text>
        <r>
          <rPr>
            <b/>
            <sz val="9"/>
            <color indexed="81"/>
            <rFont val="Tahoma"/>
            <family val="2"/>
          </rPr>
          <t>Stadnik, Andrei (Research):</t>
        </r>
        <r>
          <rPr>
            <sz val="9"/>
            <color indexed="81"/>
            <rFont val="Tahoma"/>
            <family val="2"/>
          </rPr>
          <t xml:space="preserve">
backsolve to get correct customer deposits</t>
        </r>
      </text>
    </comment>
    <comment ref="CL462" authorId="5" shapeId="0" xr:uid="{AC313793-DF3C-46FB-8C15-8EB818D05867}">
      <text>
        <r>
          <rPr>
            <b/>
            <sz val="9"/>
            <color indexed="81"/>
            <rFont val="Tahoma"/>
            <family val="2"/>
          </rPr>
          <t>Fernandes, Sona (Research):</t>
        </r>
        <r>
          <rPr>
            <sz val="9"/>
            <color indexed="81"/>
            <rFont val="Tahoma"/>
            <family val="2"/>
          </rPr>
          <t xml:space="preserve">
Restated FY21
</t>
        </r>
      </text>
    </comment>
    <comment ref="CN462" authorId="5" shapeId="0" xr:uid="{8C33FD83-4DD0-40A3-9A5D-F8606B808741}">
      <text>
        <r>
          <rPr>
            <b/>
            <sz val="9"/>
            <color indexed="81"/>
            <rFont val="Tahoma"/>
            <family val="2"/>
          </rPr>
          <t>Fernandes, Sona (Research):</t>
        </r>
        <r>
          <rPr>
            <sz val="9"/>
            <color indexed="81"/>
            <rFont val="Tahoma"/>
            <family val="2"/>
          </rPr>
          <t xml:space="preserve">
Restated FY21
</t>
        </r>
      </text>
    </comment>
    <comment ref="DD462" authorId="4" shapeId="0" xr:uid="{7DE2707C-2D6C-4B45-B33C-24044F41823D}">
      <text>
        <r>
          <rPr>
            <b/>
            <sz val="9"/>
            <color indexed="81"/>
            <rFont val="Tahoma"/>
            <family val="2"/>
          </rPr>
          <t>Hong, Sally (Research):</t>
        </r>
        <r>
          <rPr>
            <sz val="9"/>
            <color indexed="81"/>
            <rFont val="Tahoma"/>
            <family val="2"/>
          </rPr>
          <t xml:space="preserve">
Page 126 1H25 4E: Footnote 2
Customer depsosits include A$17.7bn of investment deposits that have been previously classified as short-termwholesale funding</t>
        </r>
      </text>
    </comment>
    <comment ref="A469" authorId="6" shapeId="0" xr:uid="{C1ECDE45-6132-4D5F-9522-AEBA6E187057}">
      <text>
        <r>
          <rPr>
            <b/>
            <sz val="8"/>
            <color indexed="81"/>
            <rFont val="Tahoma"/>
            <family val="2"/>
          </rPr>
          <t>richwile:</t>
        </r>
        <r>
          <rPr>
            <sz val="8"/>
            <color indexed="81"/>
            <rFont val="Tahoma"/>
            <family val="2"/>
          </rPr>
          <t xml:space="preserve">
 (incl Acceptances, Repos, Payables to Other Fin Inst and Bills Payable)</t>
        </r>
      </text>
    </comment>
    <comment ref="A476" authorId="6" shapeId="0" xr:uid="{AB0809DF-2BFB-44CD-A567-6A3E8B897BD2}">
      <text>
        <r>
          <rPr>
            <b/>
            <sz val="8"/>
            <color indexed="81"/>
            <rFont val="Tahoma"/>
            <family val="2"/>
          </rPr>
          <t>richwile:</t>
        </r>
        <r>
          <rPr>
            <sz val="8"/>
            <color indexed="81"/>
            <rFont val="Tahoma"/>
            <family val="2"/>
          </rPr>
          <t xml:space="preserve">
Deposits excluded Repos</t>
        </r>
      </text>
    </comment>
    <comment ref="A477" authorId="6" shapeId="0" xr:uid="{BC8A24C0-6159-4E95-971A-3F749C5BCDF2}">
      <text>
        <r>
          <rPr>
            <b/>
            <sz val="8"/>
            <color indexed="81"/>
            <rFont val="Tahoma"/>
            <family val="2"/>
          </rPr>
          <t>richwile:</t>
        </r>
        <r>
          <rPr>
            <sz val="8"/>
            <color indexed="81"/>
            <rFont val="Tahoma"/>
            <family val="2"/>
          </rPr>
          <t xml:space="preserve">
Deposits excluded Repos</t>
        </r>
      </text>
    </comment>
    <comment ref="A478" authorId="6" shapeId="0" xr:uid="{C6461D82-74ED-477B-9E47-63FC5D02A9EA}">
      <text>
        <r>
          <rPr>
            <b/>
            <sz val="8"/>
            <color indexed="81"/>
            <rFont val="Tahoma"/>
            <family val="2"/>
          </rPr>
          <t>richwile:</t>
        </r>
        <r>
          <rPr>
            <sz val="8"/>
            <color indexed="81"/>
            <rFont val="Tahoma"/>
            <family val="2"/>
          </rPr>
          <t xml:space="preserve">
Deposits excluded Repos</t>
        </r>
      </text>
    </comment>
    <comment ref="A480" authorId="6" shapeId="0" xr:uid="{253DA8B6-FC04-4DC4-8FE3-CFD9C29B280F}">
      <text>
        <r>
          <rPr>
            <b/>
            <sz val="8"/>
            <color indexed="81"/>
            <rFont val="Tahoma"/>
            <family val="2"/>
          </rPr>
          <t>richwile:</t>
        </r>
        <r>
          <rPr>
            <sz val="8"/>
            <color indexed="81"/>
            <rFont val="Tahoma"/>
            <family val="2"/>
          </rPr>
          <t xml:space="preserve">
Deposits excluded Repos</t>
        </r>
      </text>
    </comment>
    <comment ref="A481" authorId="6" shapeId="0" xr:uid="{BE6D8569-C85D-4723-BB31-D22D9B2E7D08}">
      <text>
        <r>
          <rPr>
            <b/>
            <sz val="8"/>
            <color indexed="81"/>
            <rFont val="Tahoma"/>
            <family val="2"/>
          </rPr>
          <t>richwile:</t>
        </r>
        <r>
          <rPr>
            <sz val="8"/>
            <color indexed="81"/>
            <rFont val="Tahoma"/>
            <family val="2"/>
          </rPr>
          <t xml:space="preserve">
Deposits excluded Repos</t>
        </r>
      </text>
    </comment>
    <comment ref="A482" authorId="6" shapeId="0" xr:uid="{5E221E73-9441-4475-93A8-07F230CB70B0}">
      <text>
        <r>
          <rPr>
            <b/>
            <sz val="8"/>
            <color indexed="81"/>
            <rFont val="Tahoma"/>
            <family val="2"/>
          </rPr>
          <t>richwile:</t>
        </r>
        <r>
          <rPr>
            <sz val="8"/>
            <color indexed="81"/>
            <rFont val="Tahoma"/>
            <family val="2"/>
          </rPr>
          <t xml:space="preserve">
Deposits excluded Repos</t>
        </r>
      </text>
    </comment>
    <comment ref="BT486" authorId="0" shapeId="0" xr:uid="{4420D0F9-3292-41F1-822F-DFDBAE7DEF64}">
      <text>
        <r>
          <rPr>
            <b/>
            <sz val="9"/>
            <color indexed="81"/>
            <rFont val="Tahoma"/>
            <family val="2"/>
          </rPr>
          <t>Dunger, Matt (Research):</t>
        </r>
        <r>
          <rPr>
            <sz val="9"/>
            <color indexed="81"/>
            <rFont val="Tahoma"/>
            <family val="2"/>
          </rPr>
          <t xml:space="preserve">
Adjusted - mortgage offset accounts now offset against AIEA</t>
        </r>
      </text>
    </comment>
    <comment ref="BU486" authorId="0" shapeId="0" xr:uid="{45131111-C546-45CF-9534-5EFEA6604950}">
      <text>
        <r>
          <rPr>
            <b/>
            <sz val="9"/>
            <color indexed="81"/>
            <rFont val="Tahoma"/>
            <family val="2"/>
          </rPr>
          <t>Dunger, Matt (Research):</t>
        </r>
        <r>
          <rPr>
            <sz val="9"/>
            <color indexed="81"/>
            <rFont val="Tahoma"/>
            <family val="2"/>
          </rPr>
          <t xml:space="preserve">
Adjusted - mortgage offset accounts now offset against AIEA</t>
        </r>
      </text>
    </comment>
    <comment ref="BP487" authorId="0" shapeId="0" xr:uid="{BEE30007-A9DD-444A-B20D-DBB1BCB4EA43}">
      <text>
        <r>
          <rPr>
            <b/>
            <sz val="9"/>
            <color indexed="81"/>
            <rFont val="Tahoma"/>
            <family val="2"/>
          </rPr>
          <t>Dunger, Matt (Research):</t>
        </r>
        <r>
          <rPr>
            <sz val="9"/>
            <color indexed="81"/>
            <rFont val="Tahoma"/>
            <family val="2"/>
          </rPr>
          <t xml:space="preserve">
restated 1H16</t>
        </r>
      </text>
    </comment>
    <comment ref="BQ487" authorId="0" shapeId="0" xr:uid="{8BB6260D-E57B-47AF-9FB9-EB75827A9A94}">
      <text>
        <r>
          <rPr>
            <b/>
            <sz val="9"/>
            <color indexed="81"/>
            <rFont val="Tahoma"/>
            <family val="2"/>
          </rPr>
          <t>Dunger, Matt (Research):</t>
        </r>
        <r>
          <rPr>
            <sz val="9"/>
            <color indexed="81"/>
            <rFont val="Tahoma"/>
            <family val="2"/>
          </rPr>
          <t xml:space="preserve">
restated 1H16</t>
        </r>
      </text>
    </comment>
    <comment ref="CG487" authorId="2" shapeId="0" xr:uid="{8B239D10-D7CC-493B-8348-DAD1480074C3}">
      <text>
        <r>
          <rPr>
            <b/>
            <sz val="9"/>
            <color indexed="81"/>
            <rFont val="Tahoma"/>
            <family val="2"/>
          </rPr>
          <t>Fernandes, Sona F (Research):</t>
        </r>
        <r>
          <rPr>
            <sz val="9"/>
            <color indexed="81"/>
            <rFont val="Tahoma"/>
            <family val="2"/>
          </rPr>
          <t xml:space="preserve">
Restated FY20
</t>
        </r>
      </text>
    </comment>
    <comment ref="CH487" authorId="2" shapeId="0" xr:uid="{C510B6CB-97CB-4D0C-A3AD-07A2809AE026}">
      <text>
        <r>
          <rPr>
            <b/>
            <sz val="9"/>
            <color indexed="81"/>
            <rFont val="Tahoma"/>
            <family val="2"/>
          </rPr>
          <t>Fernandes, Sona F (Research):</t>
        </r>
        <r>
          <rPr>
            <sz val="9"/>
            <color indexed="81"/>
            <rFont val="Tahoma"/>
            <family val="2"/>
          </rPr>
          <t xml:space="preserve">
Restated FY20
</t>
        </r>
      </text>
    </comment>
    <comment ref="CJ487" authorId="2" shapeId="0" xr:uid="{0F637E7E-7900-4F75-BA44-76C0FCA128F3}">
      <text>
        <r>
          <rPr>
            <b/>
            <sz val="9"/>
            <color indexed="81"/>
            <rFont val="Tahoma"/>
            <family val="2"/>
          </rPr>
          <t>Fernandes, Sona F (Research):</t>
        </r>
        <r>
          <rPr>
            <sz val="9"/>
            <color indexed="81"/>
            <rFont val="Tahoma"/>
            <family val="2"/>
          </rPr>
          <t xml:space="preserve">
Restated FY20
</t>
        </r>
      </text>
    </comment>
    <comment ref="BP489" authorId="0" shapeId="0" xr:uid="{D0DC109A-F2D9-4288-942E-453C2E100EE1}">
      <text>
        <r>
          <rPr>
            <b/>
            <sz val="9"/>
            <color indexed="81"/>
            <rFont val="Tahoma"/>
            <family val="2"/>
          </rPr>
          <t>Dunger, Matt (Research):</t>
        </r>
        <r>
          <rPr>
            <sz val="9"/>
            <color indexed="81"/>
            <rFont val="Tahoma"/>
            <family val="2"/>
          </rPr>
          <t xml:space="preserve">
restated 1H16</t>
        </r>
      </text>
    </comment>
    <comment ref="BQ489" authorId="0" shapeId="0" xr:uid="{2FDAA4B2-45F6-4A57-B926-93073C0875EA}">
      <text>
        <r>
          <rPr>
            <b/>
            <sz val="9"/>
            <color indexed="81"/>
            <rFont val="Tahoma"/>
            <family val="2"/>
          </rPr>
          <t>Dunger, Matt (Research):</t>
        </r>
        <r>
          <rPr>
            <sz val="9"/>
            <color indexed="81"/>
            <rFont val="Tahoma"/>
            <family val="2"/>
          </rPr>
          <t xml:space="preserve">
restated 1H16</t>
        </r>
      </text>
    </comment>
    <comment ref="BX489" authorId="1" shapeId="0" xr:uid="{5EA4E086-EF1D-4AF8-9613-E31EBF441178}">
      <text>
        <r>
          <rPr>
            <b/>
            <sz val="9"/>
            <color indexed="81"/>
            <rFont val="Tahoma"/>
            <family val="2"/>
          </rPr>
          <t>O'Neill, Emilie (Research):</t>
        </r>
        <r>
          <rPr>
            <sz val="9"/>
            <color indexed="81"/>
            <rFont val="Tahoma"/>
            <family val="2"/>
          </rPr>
          <t xml:space="preserve">
Restated 1H18
</t>
        </r>
      </text>
    </comment>
    <comment ref="BY489" authorId="1" shapeId="0" xr:uid="{F344D555-5640-492B-B9D1-FC6052D592EA}">
      <text>
        <r>
          <rPr>
            <b/>
            <sz val="9"/>
            <color indexed="81"/>
            <rFont val="Tahoma"/>
            <family val="2"/>
          </rPr>
          <t>O'Neill, Emilie (Research):</t>
        </r>
        <r>
          <rPr>
            <sz val="9"/>
            <color indexed="81"/>
            <rFont val="Tahoma"/>
            <family val="2"/>
          </rPr>
          <t xml:space="preserve">
Restated 1H18
</t>
        </r>
      </text>
    </comment>
    <comment ref="CB489" authorId="1" shapeId="0" xr:uid="{1EDA4CFC-10AD-46E2-85F4-CC021267B631}">
      <text>
        <r>
          <rPr>
            <b/>
            <sz val="9"/>
            <color indexed="81"/>
            <rFont val="Tahoma"/>
            <family val="2"/>
          </rPr>
          <t>O'Neill, Emilie (Research):</t>
        </r>
        <r>
          <rPr>
            <sz val="9"/>
            <color indexed="81"/>
            <rFont val="Tahoma"/>
            <family val="2"/>
          </rPr>
          <t xml:space="preserve">
Includes 14895 of assets held for sale</t>
        </r>
      </text>
    </comment>
    <comment ref="CG489" authorId="2" shapeId="0" xr:uid="{833D553D-BBB3-4EFF-A5BE-8CFEB421E643}">
      <text>
        <r>
          <rPr>
            <b/>
            <sz val="9"/>
            <color indexed="81"/>
            <rFont val="Tahoma"/>
            <family val="2"/>
          </rPr>
          <t>Fernandes, Sona F (Research):</t>
        </r>
        <r>
          <rPr>
            <sz val="9"/>
            <color indexed="81"/>
            <rFont val="Tahoma"/>
            <family val="2"/>
          </rPr>
          <t xml:space="preserve">
Restated FY20
</t>
        </r>
      </text>
    </comment>
    <comment ref="CH489" authorId="2" shapeId="0" xr:uid="{5DBACBC2-3F3D-4B12-8DDD-780C65E82E3B}">
      <text>
        <r>
          <rPr>
            <b/>
            <sz val="9"/>
            <color indexed="81"/>
            <rFont val="Tahoma"/>
            <family val="2"/>
          </rPr>
          <t>Fernandes, Sona F (Research):</t>
        </r>
        <r>
          <rPr>
            <sz val="9"/>
            <color indexed="81"/>
            <rFont val="Tahoma"/>
            <family val="2"/>
          </rPr>
          <t xml:space="preserve">
Restated FY20
</t>
        </r>
      </text>
    </comment>
    <comment ref="CJ489" authorId="2" shapeId="0" xr:uid="{882F0854-947D-4CBD-BEE9-F40E02569439}">
      <text>
        <r>
          <rPr>
            <b/>
            <sz val="9"/>
            <color indexed="81"/>
            <rFont val="Tahoma"/>
            <family val="2"/>
          </rPr>
          <t>Fernandes, Sona F (Research):</t>
        </r>
        <r>
          <rPr>
            <sz val="9"/>
            <color indexed="81"/>
            <rFont val="Tahoma"/>
            <family val="2"/>
          </rPr>
          <t xml:space="preserve">
Restated FY20
</t>
        </r>
      </text>
    </comment>
    <comment ref="CV489" authorId="4" shapeId="0" xr:uid="{CFCA11D1-39C1-4700-826F-3D1DB45C0369}">
      <text>
        <r>
          <rPr>
            <b/>
            <sz val="9"/>
            <color indexed="81"/>
            <rFont val="Tahoma"/>
            <family val="2"/>
          </rPr>
          <t>Hong, Sally (Research):</t>
        </r>
        <r>
          <rPr>
            <sz val="9"/>
            <color indexed="81"/>
            <rFont val="Tahoma"/>
            <family val="2"/>
          </rPr>
          <t xml:space="preserve">
Restated in 1H24</t>
        </r>
      </text>
    </comment>
    <comment ref="CW489" authorId="4" shapeId="0" xr:uid="{6E297A87-AAA0-4E99-AE20-B20CCCCFB147}">
      <text>
        <r>
          <rPr>
            <b/>
            <sz val="9"/>
            <color indexed="81"/>
            <rFont val="Tahoma"/>
            <family val="2"/>
          </rPr>
          <t>Hong, Sally (Research):</t>
        </r>
        <r>
          <rPr>
            <sz val="9"/>
            <color indexed="81"/>
            <rFont val="Tahoma"/>
            <family val="2"/>
          </rPr>
          <t xml:space="preserve">
Restated in 1H24</t>
        </r>
      </text>
    </comment>
    <comment ref="BP497" authorId="0" shapeId="0" xr:uid="{7D055D97-9C9E-48D1-A43F-64F2FDF3B0BE}">
      <text>
        <r>
          <rPr>
            <b/>
            <sz val="9"/>
            <color indexed="81"/>
            <rFont val="Tahoma"/>
            <family val="2"/>
          </rPr>
          <t>Dunger, Matt (Research):</t>
        </r>
        <r>
          <rPr>
            <sz val="9"/>
            <color indexed="81"/>
            <rFont val="Tahoma"/>
            <family val="2"/>
          </rPr>
          <t xml:space="preserve">
restated 1H16</t>
        </r>
      </text>
    </comment>
    <comment ref="BQ497" authorId="0" shapeId="0" xr:uid="{D151C4C7-7AED-450C-888A-28551015BBDE}">
      <text>
        <r>
          <rPr>
            <b/>
            <sz val="9"/>
            <color indexed="81"/>
            <rFont val="Tahoma"/>
            <family val="2"/>
          </rPr>
          <t>Dunger, Matt (Research):</t>
        </r>
        <r>
          <rPr>
            <sz val="9"/>
            <color indexed="81"/>
            <rFont val="Tahoma"/>
            <family val="2"/>
          </rPr>
          <t xml:space="preserve">
restated 1H16</t>
        </r>
      </text>
    </comment>
    <comment ref="CV497" authorId="4" shapeId="0" xr:uid="{4132E337-C637-416C-AADD-B62BF1D35F11}">
      <text>
        <r>
          <rPr>
            <b/>
            <sz val="9"/>
            <color indexed="81"/>
            <rFont val="Tahoma"/>
            <family val="2"/>
          </rPr>
          <t>Hong, Sally (Research):</t>
        </r>
        <r>
          <rPr>
            <sz val="9"/>
            <color indexed="81"/>
            <rFont val="Tahoma"/>
            <family val="2"/>
          </rPr>
          <t xml:space="preserve">
Restated in 1H24</t>
        </r>
      </text>
    </comment>
    <comment ref="CW497" authorId="4" shapeId="0" xr:uid="{BB0C6F5E-8B82-4282-805A-611105101297}">
      <text>
        <r>
          <rPr>
            <b/>
            <sz val="9"/>
            <color indexed="81"/>
            <rFont val="Tahoma"/>
            <family val="2"/>
          </rPr>
          <t>Hong, Sally (Research):</t>
        </r>
        <r>
          <rPr>
            <sz val="9"/>
            <color indexed="81"/>
            <rFont val="Tahoma"/>
            <family val="2"/>
          </rPr>
          <t xml:space="preserve">
Restated in 1H24</t>
        </r>
      </text>
    </comment>
    <comment ref="BP498" authorId="0" shapeId="0" xr:uid="{E5EDED2E-5A07-4C3D-B2CA-263117CB566E}">
      <text>
        <r>
          <rPr>
            <b/>
            <sz val="9"/>
            <color indexed="81"/>
            <rFont val="Tahoma"/>
            <family val="2"/>
          </rPr>
          <t>Dunger, Matt (Research):</t>
        </r>
        <r>
          <rPr>
            <sz val="9"/>
            <color indexed="81"/>
            <rFont val="Tahoma"/>
            <family val="2"/>
          </rPr>
          <t xml:space="preserve">
restated 1H16</t>
        </r>
      </text>
    </comment>
    <comment ref="BQ498" authorId="0" shapeId="0" xr:uid="{37F5F56C-0F58-4769-A9C5-A171515F96B5}">
      <text>
        <r>
          <rPr>
            <b/>
            <sz val="9"/>
            <color indexed="81"/>
            <rFont val="Tahoma"/>
            <family val="2"/>
          </rPr>
          <t>Dunger, Matt (Research):</t>
        </r>
        <r>
          <rPr>
            <sz val="9"/>
            <color indexed="81"/>
            <rFont val="Tahoma"/>
            <family val="2"/>
          </rPr>
          <t xml:space="preserve">
restated 1H16</t>
        </r>
      </text>
    </comment>
    <comment ref="BT498" authorId="0" shapeId="0" xr:uid="{5695B33A-AA80-42F0-BDE9-B0670D0B93F0}">
      <text>
        <r>
          <rPr>
            <b/>
            <sz val="9"/>
            <color indexed="81"/>
            <rFont val="Tahoma"/>
            <family val="2"/>
          </rPr>
          <t>Dunger, Matt (Research):</t>
        </r>
        <r>
          <rPr>
            <sz val="9"/>
            <color indexed="81"/>
            <rFont val="Tahoma"/>
            <family val="2"/>
          </rPr>
          <t xml:space="preserve">
Adjusted - mortgage offset accounts now offset against AIEA</t>
        </r>
      </text>
    </comment>
    <comment ref="BU498" authorId="0" shapeId="0" xr:uid="{2DF69055-D972-4091-B64E-DE542444D6F6}">
      <text>
        <r>
          <rPr>
            <b/>
            <sz val="9"/>
            <color indexed="81"/>
            <rFont val="Tahoma"/>
            <family val="2"/>
          </rPr>
          <t>Dunger, Matt (Research):</t>
        </r>
        <r>
          <rPr>
            <sz val="9"/>
            <color indexed="81"/>
            <rFont val="Tahoma"/>
            <family val="2"/>
          </rPr>
          <t xml:space="preserve">
Adjusted - mortgage offset accounts now offset against AIEA</t>
        </r>
      </text>
    </comment>
    <comment ref="CK498" authorId="5" shapeId="0" xr:uid="{EDB71606-E970-400B-A147-9EEA4DF1C7A7}">
      <text>
        <r>
          <rPr>
            <b/>
            <sz val="9"/>
            <color indexed="81"/>
            <rFont val="Tahoma"/>
            <family val="2"/>
          </rPr>
          <t>Fernandes, Sona (Research):</t>
        </r>
        <r>
          <rPr>
            <sz val="9"/>
            <color indexed="81"/>
            <rFont val="Tahoma"/>
            <family val="2"/>
          </rPr>
          <t xml:space="preserve">
Restated FY21</t>
        </r>
      </text>
    </comment>
    <comment ref="CL498" authorId="5" shapeId="0" xr:uid="{5DD89C26-24D2-42BF-9F28-FF94D4308695}">
      <text>
        <r>
          <rPr>
            <b/>
            <sz val="9"/>
            <color indexed="81"/>
            <rFont val="Tahoma"/>
            <family val="2"/>
          </rPr>
          <t>Fernandes, Sona (Research):</t>
        </r>
        <r>
          <rPr>
            <sz val="9"/>
            <color indexed="81"/>
            <rFont val="Tahoma"/>
            <family val="2"/>
          </rPr>
          <t xml:space="preserve">
Restated FY21</t>
        </r>
      </text>
    </comment>
    <comment ref="CN498" authorId="5" shapeId="0" xr:uid="{2AE30B33-6B95-4B6C-959D-367475FAD704}">
      <text>
        <r>
          <rPr>
            <b/>
            <sz val="9"/>
            <color indexed="81"/>
            <rFont val="Tahoma"/>
            <family val="2"/>
          </rPr>
          <t>Fernandes, Sona (Research):</t>
        </r>
        <r>
          <rPr>
            <sz val="9"/>
            <color indexed="81"/>
            <rFont val="Tahoma"/>
            <family val="2"/>
          </rPr>
          <t xml:space="preserve">
Restated FY21</t>
        </r>
      </text>
    </comment>
    <comment ref="CR498" authorId="5" shapeId="0" xr:uid="{D54DD570-8105-4F68-8D36-7556741B9D90}">
      <text>
        <r>
          <rPr>
            <b/>
            <sz val="9"/>
            <color indexed="81"/>
            <rFont val="Tahoma"/>
            <family val="2"/>
          </rPr>
          <t>Fernandes, Sona (Research):</t>
        </r>
        <r>
          <rPr>
            <sz val="9"/>
            <color indexed="81"/>
            <rFont val="Tahoma"/>
            <family val="2"/>
          </rPr>
          <t xml:space="preserve">
Restated FY21</t>
        </r>
      </text>
    </comment>
    <comment ref="CV498" authorId="4" shapeId="0" xr:uid="{F384AE9D-AA58-4A83-BECA-05A8AE744E93}">
      <text>
        <r>
          <rPr>
            <b/>
            <sz val="9"/>
            <color indexed="81"/>
            <rFont val="Tahoma"/>
            <family val="2"/>
          </rPr>
          <t>Hong, Sally (Research):</t>
        </r>
        <r>
          <rPr>
            <sz val="9"/>
            <color indexed="81"/>
            <rFont val="Tahoma"/>
            <family val="2"/>
          </rPr>
          <t xml:space="preserve">
Restated in 1H24</t>
        </r>
      </text>
    </comment>
    <comment ref="CW498" authorId="4" shapeId="0" xr:uid="{15D15E8B-3EEA-42BB-880D-DD87ABDF8333}">
      <text>
        <r>
          <rPr>
            <b/>
            <sz val="9"/>
            <color indexed="81"/>
            <rFont val="Tahoma"/>
            <family val="2"/>
          </rPr>
          <t>Hong, Sally (Research):</t>
        </r>
        <r>
          <rPr>
            <sz val="9"/>
            <color indexed="81"/>
            <rFont val="Tahoma"/>
            <family val="2"/>
          </rPr>
          <t xml:space="preserve">
Restated in 1H24</t>
        </r>
      </text>
    </comment>
    <comment ref="CG500" authorId="1" shapeId="0" xr:uid="{2E959F73-2792-4C9F-AC8B-50D9CC093975}">
      <text>
        <r>
          <rPr>
            <b/>
            <sz val="9"/>
            <color indexed="81"/>
            <rFont val="Tahoma"/>
            <family val="2"/>
          </rPr>
          <t>O'Neill, Emilie (Research):</t>
        </r>
        <r>
          <rPr>
            <sz val="9"/>
            <color indexed="81"/>
            <rFont val="Tahoma"/>
            <family val="2"/>
          </rPr>
          <t xml:space="preserve">
have added balancing item to get 68,809 as per page 137 of 2H19 PA…. Think it is to do with average OEI</t>
        </r>
      </text>
    </comment>
    <comment ref="CK500" authorId="2" shapeId="0" xr:uid="{E92082D5-441C-49A8-9306-011044C52B94}">
      <text>
        <r>
          <rPr>
            <b/>
            <sz val="9"/>
            <color indexed="81"/>
            <rFont val="Tahoma"/>
            <family val="2"/>
          </rPr>
          <t>Fernandes, Sona F (Research):</t>
        </r>
        <r>
          <rPr>
            <sz val="9"/>
            <color indexed="81"/>
            <rFont val="Tahoma"/>
            <family val="2"/>
          </rPr>
          <t xml:space="preserve">
Added 128m to get ot average ordinary equity per page 134.</t>
        </r>
      </text>
    </comment>
    <comment ref="CN500" authorId="2" shapeId="0" xr:uid="{708EEA6A-7874-4CBD-AF85-EF7EFB361960}">
      <text>
        <r>
          <rPr>
            <b/>
            <sz val="9"/>
            <color indexed="81"/>
            <rFont val="Tahoma"/>
            <family val="2"/>
          </rPr>
          <t>Fernandes, Sona F (Research):</t>
        </r>
        <r>
          <rPr>
            <sz val="9"/>
            <color indexed="81"/>
            <rFont val="Tahoma"/>
            <family val="2"/>
          </rPr>
          <t xml:space="preserve">
Added to get to av ord equity</t>
        </r>
      </text>
    </comment>
    <comment ref="CO500" authorId="2" shapeId="0" xr:uid="{B450A67E-49F8-4702-8657-481E192FA641}">
      <text>
        <r>
          <rPr>
            <b/>
            <sz val="9"/>
            <color indexed="81"/>
            <rFont val="Tahoma"/>
            <family val="2"/>
          </rPr>
          <t>Fernandes, Sona F (Research):</t>
        </r>
        <r>
          <rPr>
            <sz val="9"/>
            <color indexed="81"/>
            <rFont val="Tahoma"/>
            <family val="2"/>
          </rPr>
          <t xml:space="preserve">
Added to get to av ord equity</t>
        </r>
      </text>
    </comment>
    <comment ref="A501" authorId="7" shapeId="0" xr:uid="{95F541F3-B621-449B-B53A-83926682D528}">
      <text>
        <r>
          <rPr>
            <b/>
            <sz val="8"/>
            <color indexed="81"/>
            <rFont val="Tahoma"/>
            <family val="2"/>
          </rPr>
          <t>Dunger:</t>
        </r>
        <r>
          <rPr>
            <sz val="8"/>
            <color indexed="81"/>
            <rFont val="Tahoma"/>
            <family val="2"/>
          </rPr>
          <t xml:space="preserve">
Note 21. Analysis Template
</t>
        </r>
      </text>
    </comment>
    <comment ref="CF501" authorId="1" shapeId="0" xr:uid="{D99ED262-1AB2-475B-A9B3-C5432E2BE561}">
      <text>
        <r>
          <rPr>
            <b/>
            <sz val="9"/>
            <color indexed="81"/>
            <rFont val="Tahoma"/>
            <family val="2"/>
          </rPr>
          <t>O'Neill, Emilie (Research):</t>
        </r>
        <r>
          <rPr>
            <sz val="9"/>
            <color indexed="81"/>
            <rFont val="Tahoma"/>
            <family val="2"/>
          </rPr>
          <t xml:space="preserve">
to balance average equity </t>
        </r>
      </text>
    </comment>
    <comment ref="A502" authorId="7" shapeId="0" xr:uid="{C917BBAB-7EE1-407C-A7DF-D19707171215}">
      <text>
        <r>
          <rPr>
            <b/>
            <sz val="8"/>
            <color indexed="81"/>
            <rFont val="Tahoma"/>
            <family val="2"/>
          </rPr>
          <t>Dunger:</t>
        </r>
        <r>
          <rPr>
            <sz val="8"/>
            <color indexed="81"/>
            <rFont val="Tahoma"/>
            <family val="2"/>
          </rPr>
          <t xml:space="preserve">
Note 21. Analysis Template
</t>
        </r>
      </text>
    </comment>
    <comment ref="BP502" authorId="0" shapeId="0" xr:uid="{1615332F-1FBE-4473-BB31-8CCC2339E191}">
      <text>
        <r>
          <rPr>
            <b/>
            <sz val="9"/>
            <color indexed="81"/>
            <rFont val="Tahoma"/>
            <family val="2"/>
          </rPr>
          <t>Dunger, Matt (Research):</t>
        </r>
        <r>
          <rPr>
            <sz val="9"/>
            <color indexed="81"/>
            <rFont val="Tahoma"/>
            <family val="2"/>
          </rPr>
          <t xml:space="preserve">
restated 1H16</t>
        </r>
      </text>
    </comment>
    <comment ref="BQ502" authorId="0" shapeId="0" xr:uid="{88D4C6CF-9520-4458-9AAD-F21F5B095849}">
      <text>
        <r>
          <rPr>
            <b/>
            <sz val="9"/>
            <color indexed="81"/>
            <rFont val="Tahoma"/>
            <family val="2"/>
          </rPr>
          <t>Dunger, Matt (Research):</t>
        </r>
        <r>
          <rPr>
            <sz val="9"/>
            <color indexed="81"/>
            <rFont val="Tahoma"/>
            <family val="2"/>
          </rPr>
          <t xml:space="preserve">
restated 1H16</t>
        </r>
      </text>
    </comment>
    <comment ref="BU502" authorId="0" shapeId="0" xr:uid="{24EDC272-A652-44C9-94FD-DC860FE3C784}">
      <text>
        <r>
          <rPr>
            <b/>
            <sz val="9"/>
            <color indexed="81"/>
            <rFont val="Tahoma"/>
            <family val="2"/>
          </rPr>
          <t>Dunger, Matt (Research):</t>
        </r>
        <r>
          <rPr>
            <sz val="9"/>
            <color indexed="81"/>
            <rFont val="Tahoma"/>
            <family val="2"/>
          </rPr>
          <t xml:space="preserve">
restated 1H16</t>
        </r>
      </text>
    </comment>
    <comment ref="CB502" authorId="1" shapeId="0" xr:uid="{3633ACF6-8206-4FEB-BB37-26074241FE64}">
      <text>
        <r>
          <rPr>
            <b/>
            <sz val="9"/>
            <color indexed="81"/>
            <rFont val="Tahoma"/>
            <family val="2"/>
          </rPr>
          <t>O'Neill, Emilie (Research):</t>
        </r>
        <r>
          <rPr>
            <sz val="9"/>
            <color indexed="81"/>
            <rFont val="Tahoma"/>
            <family val="2"/>
          </rPr>
          <t xml:space="preserve">
Restated for average non controlling interests cash basis</t>
        </r>
      </text>
    </comment>
    <comment ref="CJ502" authorId="3" shapeId="0" xr:uid="{A19152D6-0EE2-4943-8127-E3D636C21C2B}">
      <text>
        <r>
          <rPr>
            <b/>
            <sz val="9"/>
            <color indexed="81"/>
            <rFont val="Tahoma"/>
            <family val="2"/>
          </rPr>
          <t>Wiles, Richard (Research):</t>
        </r>
        <r>
          <rPr>
            <sz val="9"/>
            <color indexed="81"/>
            <rFont val="Tahoma"/>
            <family val="2"/>
          </rPr>
          <t xml:space="preserve">
Refer analysis template 1H20 page 154</t>
        </r>
      </text>
    </comment>
    <comment ref="CK502" authorId="2" shapeId="0" xr:uid="{72405490-9C18-45EA-AF6D-2599761E619E}">
      <text>
        <r>
          <rPr>
            <b/>
            <sz val="9"/>
            <color indexed="81"/>
            <rFont val="Tahoma"/>
            <family val="2"/>
          </rPr>
          <t>Fernandes, Sona F (Research):</t>
        </r>
        <r>
          <rPr>
            <sz val="9"/>
            <color indexed="81"/>
            <rFont val="Tahoma"/>
            <family val="2"/>
          </rPr>
          <t xml:space="preserve">
Refer Analysis Template pg 134</t>
        </r>
      </text>
    </comment>
    <comment ref="CN502" authorId="5" shapeId="0" xr:uid="{DDC4E0C7-9527-4542-9E1A-4043181E1D2C}">
      <text>
        <r>
          <rPr>
            <b/>
            <sz val="9"/>
            <color indexed="81"/>
            <rFont val="Tahoma"/>
            <family val="2"/>
          </rPr>
          <t>Fernandes, Sona (Research):</t>
        </r>
        <r>
          <rPr>
            <sz val="9"/>
            <color indexed="81"/>
            <rFont val="Tahoma"/>
            <family val="2"/>
          </rPr>
          <t xml:space="preserve">
Appendices Analysis Template - Non-controlling interests</t>
        </r>
      </text>
    </comment>
    <comment ref="CR510" authorId="3" shapeId="0" xr:uid="{5B16402A-9042-4F8E-8CB6-884937A7DD44}">
      <text>
        <r>
          <rPr>
            <b/>
            <sz val="9"/>
            <color indexed="81"/>
            <rFont val="Tahoma"/>
            <family val="2"/>
          </rPr>
          <t>Wiles, Richard (Research):</t>
        </r>
        <r>
          <rPr>
            <sz val="9"/>
            <color indexed="81"/>
            <rFont val="Tahoma"/>
            <family val="2"/>
          </rPr>
          <t xml:space="preserve">
AIEA grew 7.5% h-o-h in 1H22, av loans grew 4%
AIEA grew 6.5% in 1Q22 vs 2H21, av loans grew 3%
</t>
        </r>
      </text>
    </comment>
    <comment ref="CV510" authorId="3" shapeId="0" xr:uid="{A0A2266C-C007-4036-9B0C-81097363DF3D}">
      <text>
        <r>
          <rPr>
            <b/>
            <sz val="9"/>
            <color indexed="81"/>
            <rFont val="Tahoma"/>
            <family val="2"/>
          </rPr>
          <t>Wiles, Richard (Research):</t>
        </r>
        <r>
          <rPr>
            <sz val="9"/>
            <color indexed="81"/>
            <rFont val="Tahoma"/>
            <family val="2"/>
          </rPr>
          <t xml:space="preserve">
AIEA grew 7.5% h-o-h in 1H22, av loans grew 4%
AIEA grew 6.5% in 1Q22 vs 2H21, av loans grew 3%
</t>
        </r>
      </text>
    </comment>
    <comment ref="DH510" authorId="4" shapeId="0" xr:uid="{1B87CDF5-62FF-4BD3-9DFF-989CBBD0AF88}">
      <text>
        <r>
          <rPr>
            <b/>
            <sz val="9"/>
            <color indexed="81"/>
            <rFont val="Tahoma"/>
            <family val="2"/>
          </rPr>
          <t>Hong, Sally (Research):</t>
        </r>
        <r>
          <rPr>
            <sz val="9"/>
            <color indexed="81"/>
            <rFont val="Tahoma"/>
            <family val="2"/>
          </rPr>
          <t xml:space="preserve">
1Q26 trading update: +A$17bn liquids and institutional repos reduced margin by ~3bp</t>
        </r>
      </text>
    </comment>
    <comment ref="BP561" authorId="0" shapeId="0" xr:uid="{8F146BD6-3991-4A37-A8E7-7A1D526FEDB6}">
      <text>
        <r>
          <rPr>
            <b/>
            <sz val="9"/>
            <color indexed="81"/>
            <rFont val="Tahoma"/>
            <family val="2"/>
          </rPr>
          <t>Dunger, Matt (Research):</t>
        </r>
        <r>
          <rPr>
            <sz val="9"/>
            <color indexed="81"/>
            <rFont val="Tahoma"/>
            <family val="2"/>
          </rPr>
          <t xml:space="preserve">
restated 2H16</t>
        </r>
      </text>
    </comment>
    <comment ref="BQ561" authorId="0" shapeId="0" xr:uid="{115CDAB1-3B87-43BF-BFB5-86FAA4B71130}">
      <text>
        <r>
          <rPr>
            <b/>
            <sz val="9"/>
            <color indexed="81"/>
            <rFont val="Tahoma"/>
            <family val="2"/>
          </rPr>
          <t>Dunger, Matt (Research):</t>
        </r>
        <r>
          <rPr>
            <sz val="9"/>
            <color indexed="81"/>
            <rFont val="Tahoma"/>
            <family val="2"/>
          </rPr>
          <t xml:space="preserve">
restated 2H16</t>
        </r>
      </text>
    </comment>
    <comment ref="BT561" authorId="0" shapeId="0" xr:uid="{7EF33E98-B430-42F2-A391-4D0F989072E9}">
      <text>
        <r>
          <rPr>
            <b/>
            <sz val="9"/>
            <color indexed="81"/>
            <rFont val="Tahoma"/>
            <family val="2"/>
          </rPr>
          <t>Dunger, Matt (Research):</t>
        </r>
        <r>
          <rPr>
            <sz val="9"/>
            <color indexed="81"/>
            <rFont val="Tahoma"/>
            <family val="2"/>
          </rPr>
          <t xml:space="preserve">
restated 2H16</t>
        </r>
      </text>
    </comment>
    <comment ref="BX561" authorId="1" shapeId="0" xr:uid="{CAA9EB85-E03A-4379-9E72-72C1F93FD064}">
      <text>
        <r>
          <rPr>
            <b/>
            <sz val="9"/>
            <color indexed="81"/>
            <rFont val="Tahoma"/>
            <family val="2"/>
          </rPr>
          <t>O'Neill, Emilie (Research):</t>
        </r>
        <r>
          <rPr>
            <sz val="9"/>
            <color indexed="81"/>
            <rFont val="Tahoma"/>
            <family val="2"/>
          </rPr>
          <t xml:space="preserve">
Restated 1H18 - continuing operating basis</t>
        </r>
      </text>
    </comment>
    <comment ref="BY561" authorId="1" shapeId="0" xr:uid="{CC901D47-2DB4-4756-A52A-D49B7D1545DF}">
      <text>
        <r>
          <rPr>
            <b/>
            <sz val="9"/>
            <color indexed="81"/>
            <rFont val="Tahoma"/>
            <family val="2"/>
          </rPr>
          <t>O'Neill, Emilie (Research):</t>
        </r>
        <r>
          <rPr>
            <sz val="9"/>
            <color indexed="81"/>
            <rFont val="Tahoma"/>
            <family val="2"/>
          </rPr>
          <t xml:space="preserve">
Balancing item for restatements to FY17 in 2H18</t>
        </r>
      </text>
    </comment>
    <comment ref="BZ561" authorId="1" shapeId="0" xr:uid="{A3FE9D55-D6E2-4CE7-B649-1AEBE9B8679E}">
      <text>
        <r>
          <rPr>
            <b/>
            <sz val="9"/>
            <color indexed="81"/>
            <rFont val="Tahoma"/>
            <family val="2"/>
          </rPr>
          <t>O'Neill, Emilie (Research):</t>
        </r>
        <r>
          <rPr>
            <sz val="9"/>
            <color indexed="81"/>
            <rFont val="Tahoma"/>
            <family val="2"/>
          </rPr>
          <t xml:space="preserve">
Restated 2H18</t>
        </r>
      </text>
    </comment>
    <comment ref="CB561" authorId="1" shapeId="0" xr:uid="{15081685-0E09-4708-BC44-9CC9A20523F8}">
      <text>
        <r>
          <rPr>
            <b/>
            <sz val="9"/>
            <color indexed="81"/>
            <rFont val="Tahoma"/>
            <family val="2"/>
          </rPr>
          <t>O'Neill, Emilie (Research):</t>
        </r>
        <r>
          <rPr>
            <sz val="9"/>
            <color indexed="81"/>
            <rFont val="Tahoma"/>
            <family val="2"/>
          </rPr>
          <t xml:space="preserve">
Restated 2H18</t>
        </r>
      </text>
    </comment>
    <comment ref="CF561" authorId="2" shapeId="0" xr:uid="{E092BB06-6CCC-4449-90CB-C5CB9CEC3BCC}">
      <text>
        <r>
          <rPr>
            <b/>
            <sz val="9"/>
            <color indexed="81"/>
            <rFont val="Tahoma"/>
            <family val="2"/>
          </rPr>
          <t>Fernandes, Sona F (Research):</t>
        </r>
        <r>
          <rPr>
            <sz val="9"/>
            <color indexed="81"/>
            <rFont val="Tahoma"/>
            <family val="2"/>
          </rPr>
          <t xml:space="preserve">
Restated FY20</t>
        </r>
      </text>
    </comment>
    <comment ref="CG561" authorId="2" shapeId="0" xr:uid="{F58028AD-5D9F-409B-A6D4-62DA0DAA45D8}">
      <text>
        <r>
          <rPr>
            <b/>
            <sz val="9"/>
            <color indexed="81"/>
            <rFont val="Tahoma"/>
            <family val="2"/>
          </rPr>
          <t>Fernandes, Sona F (Research):</t>
        </r>
        <r>
          <rPr>
            <sz val="9"/>
            <color indexed="81"/>
            <rFont val="Tahoma"/>
            <family val="2"/>
          </rPr>
          <t xml:space="preserve">
Restated FY20</t>
        </r>
      </text>
    </comment>
    <comment ref="CJ561" authorId="2" shapeId="0" xr:uid="{1FEC2FA4-E06E-45DA-BA06-B831E178D057}">
      <text>
        <r>
          <rPr>
            <b/>
            <sz val="9"/>
            <color indexed="81"/>
            <rFont val="Tahoma"/>
            <family val="2"/>
          </rPr>
          <t>Fernandes, Sona F (Research):</t>
        </r>
        <r>
          <rPr>
            <sz val="9"/>
            <color indexed="81"/>
            <rFont val="Tahoma"/>
            <family val="2"/>
          </rPr>
          <t xml:space="preserve">
Restated FY20</t>
        </r>
      </text>
    </comment>
    <comment ref="CN568" authorId="3" shapeId="0" xr:uid="{D02007CA-A288-44B6-A59E-648B0E85E2F2}">
      <text>
        <r>
          <rPr>
            <b/>
            <sz val="9"/>
            <color indexed="81"/>
            <rFont val="Tahoma"/>
            <family val="2"/>
          </rPr>
          <t>Wiles, Richard (Research):</t>
        </r>
        <r>
          <rPr>
            <sz val="9"/>
            <color indexed="81"/>
            <rFont val="Tahoma"/>
            <family val="2"/>
          </rPr>
          <t xml:space="preserve">
restated by +5bp at 1H22 die to reclassification of lending fees to net interest income</t>
        </r>
      </text>
    </comment>
    <comment ref="DD568" authorId="3" shapeId="0" xr:uid="{4A9AC276-24A7-4FF6-A24F-F3149F0191CE}">
      <text>
        <r>
          <rPr>
            <b/>
            <sz val="9"/>
            <color indexed="81"/>
            <rFont val="Tahoma"/>
            <family val="2"/>
          </rPr>
          <t>Wiles, Richard (Research):</t>
        </r>
        <r>
          <rPr>
            <sz val="9"/>
            <color indexed="81"/>
            <rFont val="Tahoma"/>
            <family val="2"/>
          </rPr>
          <t xml:space="preserve">
included +6bp from liquids and +1bp from inst pool facilities</t>
        </r>
      </text>
    </comment>
    <comment ref="DH568" authorId="4" shapeId="0" xr:uid="{6EDF70D3-1A33-46B1-92F4-F51F0CCE4506}">
      <text>
        <r>
          <rPr>
            <b/>
            <sz val="9"/>
            <color indexed="81"/>
            <rFont val="Tahoma"/>
            <family val="2"/>
          </rPr>
          <t>Hong, Sally (Research):</t>
        </r>
        <r>
          <rPr>
            <sz val="9"/>
            <color indexed="81"/>
            <rFont val="Tahoma"/>
            <family val="2"/>
          </rPr>
          <t xml:space="preserve">
1Q26 trading update:
-3bp liquids (A$17bn higher liquids)
-3bp underlying (deposit comp, deposit mix, lower cash rate)</t>
        </r>
      </text>
    </comment>
    <comment ref="CN583" authorId="5" shapeId="0" xr:uid="{2496D1AE-7903-4EF5-9F7B-EDB2EB9E34CF}">
      <text>
        <r>
          <rPr>
            <b/>
            <sz val="9"/>
            <color indexed="81"/>
            <rFont val="Tahoma"/>
            <family val="2"/>
          </rPr>
          <t>Fernandes, Sona (Research):</t>
        </r>
        <r>
          <rPr>
            <sz val="9"/>
            <color indexed="81"/>
            <rFont val="Tahoma"/>
            <family val="2"/>
          </rPr>
          <t xml:space="preserve">
See excel file Interest Rates.xls in Banks New/Economics. Take average of daily interest rates for the half
</t>
        </r>
      </text>
    </comment>
    <comment ref="CO583" authorId="5" shapeId="0" xr:uid="{506FE3EE-1FCA-4F0B-9D4F-46DC3A39B006}">
      <text>
        <r>
          <rPr>
            <b/>
            <sz val="9"/>
            <color indexed="81"/>
            <rFont val="Tahoma"/>
            <family val="2"/>
          </rPr>
          <t>Fernandes, Sona (Research):</t>
        </r>
        <r>
          <rPr>
            <sz val="9"/>
            <color indexed="81"/>
            <rFont val="Tahoma"/>
            <family val="2"/>
          </rPr>
          <t xml:space="preserve">
See excel file Interest Rates.xls in Banks New/Economics. Take average of daily interest rates for the half in the DS tab. Note, will need to refresh data using Refinitiv Datastream
</t>
        </r>
      </text>
    </comment>
    <comment ref="BY584" authorId="8" shapeId="0" xr:uid="{7C053663-7A5E-4179-B209-D889F16D4E0A}">
      <text>
        <r>
          <rPr>
            <b/>
            <sz val="9"/>
            <color indexed="81"/>
            <rFont val="Tahoma"/>
            <family val="2"/>
          </rPr>
          <t>Stadnik, Andrei (Research):</t>
        </r>
        <r>
          <rPr>
            <sz val="9"/>
            <color indexed="81"/>
            <rFont val="Tahoma"/>
            <family val="2"/>
          </rPr>
          <t xml:space="preserve">
from average interest rates</t>
        </r>
      </text>
    </comment>
    <comment ref="CC584" authorId="1" shapeId="0" xr:uid="{34597EDD-D6C1-42A9-BEF4-2F568577CE17}">
      <text>
        <r>
          <rPr>
            <b/>
            <sz val="9"/>
            <color indexed="81"/>
            <rFont val="Tahoma"/>
            <family val="2"/>
          </rPr>
          <t>O'Neill, Emilie (Research):</t>
        </r>
        <r>
          <rPr>
            <sz val="9"/>
            <color indexed="81"/>
            <rFont val="Tahoma"/>
            <family val="2"/>
          </rPr>
          <t xml:space="preserve">
Updated from BBSW OIS spreadsheet</t>
        </r>
      </text>
    </comment>
    <comment ref="CF584" authorId="1" shapeId="0" xr:uid="{E9FF3F07-2F68-41F1-A3F7-AE916DDE4695}">
      <text>
        <r>
          <rPr>
            <b/>
            <sz val="9"/>
            <color indexed="81"/>
            <rFont val="Tahoma"/>
            <family val="2"/>
          </rPr>
          <t>O'Neill, Emilie (Research):</t>
        </r>
        <r>
          <rPr>
            <sz val="9"/>
            <color indexed="81"/>
            <rFont val="Tahoma"/>
            <family val="2"/>
          </rPr>
          <t xml:space="preserve">
Updated as per BBSW OIS calculations on Bloomberg</t>
        </r>
      </text>
    </comment>
    <comment ref="CJ584" authorId="1" shapeId="0" xr:uid="{A452CE45-4AAC-4BE8-B8F5-75A41371DA7A}">
      <text>
        <r>
          <rPr>
            <b/>
            <sz val="9"/>
            <color indexed="81"/>
            <rFont val="Tahoma"/>
            <family val="2"/>
          </rPr>
          <t>O'Neill, Emilie (Research):</t>
        </r>
        <r>
          <rPr>
            <sz val="9"/>
            <color indexed="81"/>
            <rFont val="Tahoma"/>
            <family val="2"/>
          </rPr>
          <t xml:space="preserve">
Updated as per BBSW OIS calculations on Bloomberg</t>
        </r>
      </text>
    </comment>
    <comment ref="CO584" authorId="5" shapeId="0" xr:uid="{DE115050-7AE2-4938-8620-FA68C6EB2C5C}">
      <text>
        <r>
          <rPr>
            <b/>
            <sz val="9"/>
            <color indexed="81"/>
            <rFont val="Tahoma"/>
            <family val="2"/>
          </rPr>
          <t>Fernandes, Sona (Research):</t>
        </r>
        <r>
          <rPr>
            <sz val="9"/>
            <color indexed="81"/>
            <rFont val="Tahoma"/>
            <family val="2"/>
          </rPr>
          <t xml:space="preserve">
From BBSW OIS File in the Bloomberg folder. Take average of each day in the half</t>
        </r>
      </text>
    </comment>
    <comment ref="CR584" authorId="5" shapeId="0" xr:uid="{0B692A5B-8DC2-459D-9DBB-E743EE2C8616}">
      <text>
        <r>
          <rPr>
            <b/>
            <sz val="9"/>
            <color indexed="81"/>
            <rFont val="Tahoma"/>
            <family val="2"/>
          </rPr>
          <t>Fernandes, Sona (Research):</t>
        </r>
        <r>
          <rPr>
            <sz val="9"/>
            <color indexed="81"/>
            <rFont val="Tahoma"/>
            <family val="2"/>
          </rPr>
          <t xml:space="preserve">
From BBSW OIS File in the Bloomberg folder. Take average of each day in the half</t>
        </r>
      </text>
    </comment>
    <comment ref="BY588" authorId="1" shapeId="0" xr:uid="{7C641792-05B9-46ED-B7B3-FA3017242959}">
      <text>
        <r>
          <rPr>
            <b/>
            <sz val="9"/>
            <color indexed="81"/>
            <rFont val="Tahoma"/>
            <family val="2"/>
          </rPr>
          <t>O'Neill, Emilie (Research):</t>
        </r>
        <r>
          <rPr>
            <sz val="9"/>
            <color indexed="81"/>
            <rFont val="Tahoma"/>
            <family val="2"/>
          </rPr>
          <t xml:space="preserve">
Balancing item for restatements to FY17 in 2H18</t>
        </r>
      </text>
    </comment>
    <comment ref="BZ588" authorId="1" shapeId="0" xr:uid="{C21F8D27-445B-4ED2-9629-A41BC35C561B}">
      <text>
        <r>
          <rPr>
            <b/>
            <sz val="9"/>
            <color indexed="81"/>
            <rFont val="Tahoma"/>
            <family val="2"/>
          </rPr>
          <t>O'Neill, Emilie (Research):</t>
        </r>
        <r>
          <rPr>
            <sz val="9"/>
            <color indexed="81"/>
            <rFont val="Tahoma"/>
            <family val="2"/>
          </rPr>
          <t xml:space="preserve">
Restated 2H18</t>
        </r>
      </text>
    </comment>
    <comment ref="CB588" authorId="1" shapeId="0" xr:uid="{63EC448B-5BC2-4333-BEFA-4BB6FD046AAF}">
      <text>
        <r>
          <rPr>
            <b/>
            <sz val="9"/>
            <color indexed="81"/>
            <rFont val="Tahoma"/>
            <family val="2"/>
          </rPr>
          <t>O'Neill, Emilie (Research):</t>
        </r>
        <r>
          <rPr>
            <sz val="9"/>
            <color indexed="81"/>
            <rFont val="Tahoma"/>
            <family val="2"/>
          </rPr>
          <t xml:space="preserve">
Restated 2H18</t>
        </r>
      </text>
    </comment>
    <comment ref="CF588" authorId="1" shapeId="0" xr:uid="{4A207B49-5969-4046-9032-F1289BB19397}">
      <text>
        <r>
          <rPr>
            <b/>
            <sz val="9"/>
            <color indexed="81"/>
            <rFont val="Tahoma"/>
            <family val="2"/>
          </rPr>
          <t>O'Neill, Emilie (Research):</t>
        </r>
        <r>
          <rPr>
            <sz val="9"/>
            <color indexed="81"/>
            <rFont val="Tahoma"/>
            <family val="2"/>
          </rPr>
          <t xml:space="preserve">
Restated 2H19 page 84 of PA</t>
        </r>
      </text>
    </comment>
    <comment ref="BX607" authorId="1" shapeId="0" xr:uid="{4D94D096-B098-4401-8570-A9B22C4F1484}">
      <text>
        <r>
          <rPr>
            <b/>
            <sz val="9"/>
            <color indexed="81"/>
            <rFont val="Tahoma"/>
            <family val="2"/>
          </rPr>
          <t>O'Neill, Emilie (Research):</t>
        </r>
        <r>
          <rPr>
            <sz val="9"/>
            <color indexed="81"/>
            <rFont val="Tahoma"/>
            <family val="2"/>
          </rPr>
          <t xml:space="preserve">
Restated 1H18 due to AHL comissions</t>
        </r>
      </text>
    </comment>
    <comment ref="BY607" authorId="1" shapeId="0" xr:uid="{9CC737D7-36C8-4DD5-BC40-1D2CECAB617B}">
      <text>
        <r>
          <rPr>
            <b/>
            <sz val="9"/>
            <color indexed="81"/>
            <rFont val="Tahoma"/>
            <family val="2"/>
          </rPr>
          <t>O'Neill, Emilie (Research):</t>
        </r>
        <r>
          <rPr>
            <sz val="9"/>
            <color indexed="81"/>
            <rFont val="Tahoma"/>
            <family val="2"/>
          </rPr>
          <t xml:space="preserve">
Balancing item for restatements to FY17 in 2H18</t>
        </r>
      </text>
    </comment>
    <comment ref="BZ607" authorId="1" shapeId="0" xr:uid="{EB8D37AD-D7A1-4B49-B3AB-E434BE4E686D}">
      <text>
        <r>
          <rPr>
            <b/>
            <sz val="9"/>
            <color indexed="81"/>
            <rFont val="Tahoma"/>
            <family val="2"/>
          </rPr>
          <t>O'Neill, Emilie (Research):</t>
        </r>
        <r>
          <rPr>
            <sz val="9"/>
            <color indexed="81"/>
            <rFont val="Tahoma"/>
            <family val="2"/>
          </rPr>
          <t xml:space="preserve">
Restated 2H18</t>
        </r>
      </text>
    </comment>
    <comment ref="CB607" authorId="1" shapeId="0" xr:uid="{C213C1B9-A00F-46E4-9F76-8EFF0FADFBCA}">
      <text>
        <r>
          <rPr>
            <b/>
            <sz val="9"/>
            <color indexed="81"/>
            <rFont val="Tahoma"/>
            <family val="2"/>
          </rPr>
          <t>O'Neill, Emilie (Research):</t>
        </r>
        <r>
          <rPr>
            <sz val="9"/>
            <color indexed="81"/>
            <rFont val="Tahoma"/>
            <family val="2"/>
          </rPr>
          <t xml:space="preserve">
Restated 1H19</t>
        </r>
      </text>
    </comment>
    <comment ref="CC607" authorId="1" shapeId="0" xr:uid="{64DA4E84-2C91-40C2-9937-9E01489C73E5}">
      <text>
        <r>
          <rPr>
            <b/>
            <sz val="9"/>
            <color indexed="81"/>
            <rFont val="Tahoma"/>
            <family val="2"/>
          </rPr>
          <t>O'Neill, Emilie (Research):</t>
        </r>
        <r>
          <rPr>
            <sz val="9"/>
            <color indexed="81"/>
            <rFont val="Tahoma"/>
            <family val="2"/>
          </rPr>
          <t xml:space="preserve">
Restated 1H19</t>
        </r>
      </text>
    </comment>
    <comment ref="CF607" authorId="2" shapeId="0" xr:uid="{58A330EA-8A4D-46CF-920A-7B8B5DF75835}">
      <text>
        <r>
          <rPr>
            <b/>
            <sz val="9"/>
            <color indexed="81"/>
            <rFont val="Tahoma"/>
            <family val="2"/>
          </rPr>
          <t>Fernandes, Sona F (Research):</t>
        </r>
        <r>
          <rPr>
            <sz val="9"/>
            <color indexed="81"/>
            <rFont val="Tahoma"/>
            <family val="2"/>
          </rPr>
          <t xml:space="preserve">
Restated FY20</t>
        </r>
      </text>
    </comment>
    <comment ref="CG607" authorId="2" shapeId="0" xr:uid="{AECE3E39-2205-4935-9CF4-3751A63A27CF}">
      <text>
        <r>
          <rPr>
            <b/>
            <sz val="9"/>
            <color indexed="81"/>
            <rFont val="Tahoma"/>
            <family val="2"/>
          </rPr>
          <t>Fernandes, Sona F (Research):</t>
        </r>
        <r>
          <rPr>
            <sz val="9"/>
            <color indexed="81"/>
            <rFont val="Tahoma"/>
            <family val="2"/>
          </rPr>
          <t xml:space="preserve">
Restated FY20</t>
        </r>
      </text>
    </comment>
    <comment ref="CJ607" authorId="2" shapeId="0" xr:uid="{8459F37B-E7DA-456F-8428-776A47E39D6A}">
      <text>
        <r>
          <rPr>
            <b/>
            <sz val="9"/>
            <color indexed="81"/>
            <rFont val="Tahoma"/>
            <family val="2"/>
          </rPr>
          <t>Fernandes, Sona F (Research):</t>
        </r>
        <r>
          <rPr>
            <sz val="9"/>
            <color indexed="81"/>
            <rFont val="Tahoma"/>
            <family val="2"/>
          </rPr>
          <t xml:space="preserve">
Restated FY20</t>
        </r>
      </text>
    </comment>
    <comment ref="CK607" authorId="3" shapeId="0" xr:uid="{1B80CF15-ADD7-4288-8AC4-3563AB2AFB1D}">
      <text>
        <r>
          <rPr>
            <b/>
            <sz val="9"/>
            <color indexed="81"/>
            <rFont val="Tahoma"/>
            <family val="2"/>
          </rPr>
          <t>Wiles, Richard (Research):</t>
        </r>
        <r>
          <rPr>
            <sz val="9"/>
            <color indexed="81"/>
            <rFont val="Tahoma"/>
            <family val="2"/>
          </rPr>
          <t xml:space="preserve">
lower credit card and FX (A$146m h-o-h) and lower merchant income (A$39m h-o-h) partly offset by higher CommSec (A$110m h-o-h) … refer FY20 slide 74</t>
        </r>
      </text>
    </comment>
    <comment ref="CR607" authorId="4" shapeId="0" xr:uid="{259C2152-5A7F-46CA-8514-AD31283FC61E}">
      <text>
        <r>
          <rPr>
            <b/>
            <sz val="9"/>
            <color indexed="81"/>
            <rFont val="Tahoma"/>
            <family val="2"/>
          </rPr>
          <t>Hong, Sally (Research):</t>
        </r>
        <r>
          <rPr>
            <sz val="9"/>
            <color indexed="81"/>
            <rFont val="Tahoma"/>
            <family val="2"/>
          </rPr>
          <t xml:space="preserve">
Restated on 6 Feb 23 for 1H23 Reporting</t>
        </r>
      </text>
    </comment>
    <comment ref="CS607" authorId="4" shapeId="0" xr:uid="{ABFB1E65-48A6-49A8-ADED-B8EA8CC2C130}">
      <text>
        <r>
          <rPr>
            <b/>
            <sz val="9"/>
            <color indexed="81"/>
            <rFont val="Tahoma"/>
            <family val="2"/>
          </rPr>
          <t>Hong, Sally (Research):</t>
        </r>
        <r>
          <rPr>
            <sz val="9"/>
            <color indexed="81"/>
            <rFont val="Tahoma"/>
            <family val="2"/>
          </rPr>
          <t xml:space="preserve">
Restated on 6 Feb 23 for 1H23 Reporting</t>
        </r>
      </text>
    </comment>
    <comment ref="DH607" authorId="3" shapeId="0" xr:uid="{152F27B5-5D12-416A-AE39-926CE8A9D249}">
      <text>
        <r>
          <rPr>
            <b/>
            <sz val="9"/>
            <color indexed="81"/>
            <rFont val="Tahoma"/>
            <family val="2"/>
          </rPr>
          <t>Wiles, Richard (Research):</t>
        </r>
        <r>
          <rPr>
            <sz val="9"/>
            <color indexed="81"/>
            <rFont val="Tahoma"/>
            <family val="2"/>
          </rPr>
          <t xml:space="preserve">
Included milestone payment in relation to sale of CommInsure (maybe A$25m)</t>
        </r>
      </text>
    </comment>
    <comment ref="CB611" authorId="3" shapeId="0" xr:uid="{39B355AB-C4C5-4755-A179-981FD1567C10}">
      <text>
        <r>
          <rPr>
            <b/>
            <sz val="9"/>
            <color indexed="81"/>
            <rFont val="Tahoma"/>
            <family val="2"/>
          </rPr>
          <t>Wiles, Richard (Research):</t>
        </r>
        <r>
          <rPr>
            <sz val="9"/>
            <color indexed="81"/>
            <rFont val="Tahoma"/>
            <family val="2"/>
          </rPr>
          <t xml:space="preserve">
included a gain on sale of assets</t>
        </r>
      </text>
    </comment>
    <comment ref="CK611" authorId="3" shapeId="0" xr:uid="{3ABCCAF5-72FC-4307-9A4B-3B250647F6D4}">
      <text>
        <r>
          <rPr>
            <b/>
            <sz val="9"/>
            <color indexed="81"/>
            <rFont val="Tahoma"/>
            <family val="2"/>
          </rPr>
          <t>Wiles, Richard (Research):</t>
        </r>
        <r>
          <rPr>
            <sz val="9"/>
            <color indexed="81"/>
            <rFont val="Tahoma"/>
            <family val="2"/>
          </rPr>
          <t xml:space="preserve">
includes A$108m impairment of aircraft assets (FY20 slide 74)</t>
        </r>
      </text>
    </comment>
    <comment ref="BT614" authorId="0" shapeId="0" xr:uid="{82828824-BCF5-4E52-AFF1-B8B6CF103069}">
      <text>
        <r>
          <rPr>
            <b/>
            <sz val="9"/>
            <color indexed="81"/>
            <rFont val="Tahoma"/>
            <family val="2"/>
          </rPr>
          <t>Dunger, Matt (Research):</t>
        </r>
        <r>
          <rPr>
            <sz val="9"/>
            <color indexed="81"/>
            <rFont val="Tahoma"/>
            <family val="2"/>
          </rPr>
          <t xml:space="preserve">
higher credit card interchange fees, and increased FX and equities trading volumes</t>
        </r>
      </text>
    </comment>
    <comment ref="DE614" authorId="4" shapeId="0" xr:uid="{78C64870-02F3-41E9-B133-B6F25E068ADE}">
      <text>
        <r>
          <rPr>
            <b/>
            <sz val="9"/>
            <color indexed="81"/>
            <rFont val="Tahoma"/>
            <family val="2"/>
          </rPr>
          <t>Hong, Sally (Research):</t>
        </r>
        <r>
          <rPr>
            <sz val="9"/>
            <color indexed="81"/>
            <rFont val="Tahoma"/>
            <family val="2"/>
          </rPr>
          <t xml:space="preserve">
lower commissions mainly driven by lower merchants income due to higher scheme
fees and seasonally lower credit and debit card spending.</t>
        </r>
      </text>
    </comment>
    <comment ref="BT615" authorId="0" shapeId="0" xr:uid="{BD9E4473-4772-4BEE-90A9-A1FECDCFB11C}">
      <text>
        <r>
          <rPr>
            <b/>
            <sz val="9"/>
            <color indexed="81"/>
            <rFont val="Tahoma"/>
            <family val="2"/>
          </rPr>
          <t>Dunger, Matt (Research):</t>
        </r>
        <r>
          <rPr>
            <sz val="9"/>
            <color indexed="81"/>
            <rFont val="Tahoma"/>
            <family val="2"/>
          </rPr>
          <t xml:space="preserve">
driven by increased lending volumes and NZ prepayment cost recoveries</t>
        </r>
      </text>
    </comment>
    <comment ref="BT617" authorId="0" shapeId="0" xr:uid="{8166A56A-1DD8-446F-A5A7-5E3E1111A8BC}">
      <text>
        <r>
          <rPr>
            <b/>
            <sz val="9"/>
            <color indexed="81"/>
            <rFont val="Tahoma"/>
            <family val="2"/>
          </rPr>
          <t>Dunger, Matt (Research):</t>
        </r>
        <r>
          <rPr>
            <sz val="9"/>
            <color indexed="81"/>
            <rFont val="Tahoma"/>
            <family val="2"/>
          </rPr>
          <t xml:space="preserve">
-67m DVA in 1H16</t>
        </r>
      </text>
    </comment>
    <comment ref="BP618" authorId="0" shapeId="0" xr:uid="{02AA62E0-D2FC-41E7-8B28-555E61F82456}">
      <text>
        <r>
          <rPr>
            <b/>
            <sz val="9"/>
            <color indexed="81"/>
            <rFont val="Tahoma"/>
            <family val="2"/>
          </rPr>
          <t>Dunger, Matt (Research):</t>
        </r>
        <r>
          <rPr>
            <sz val="9"/>
            <color indexed="81"/>
            <rFont val="Tahoma"/>
            <family val="2"/>
          </rPr>
          <t xml:space="preserve">
reduced loss on the hedge of New Zealand earnings and higher structured asset finance income.</t>
        </r>
      </text>
    </comment>
    <comment ref="BQ618" authorId="0" shapeId="0" xr:uid="{4F3D6F06-EC2F-4F04-99B6-6D6C7B58CE2D}">
      <text>
        <r>
          <rPr>
            <b/>
            <sz val="9"/>
            <color indexed="81"/>
            <rFont val="Tahoma"/>
            <family val="2"/>
          </rPr>
          <t>Dunger, Matt (Research):</t>
        </r>
        <r>
          <rPr>
            <sz val="9"/>
            <color indexed="81"/>
            <rFont val="Tahoma"/>
            <family val="2"/>
          </rPr>
          <t xml:space="preserve">
Higher profit contribution from associates and gain on sale of investments.</t>
        </r>
      </text>
    </comment>
    <comment ref="BT618" authorId="0" shapeId="0" xr:uid="{2A659A09-03F2-4586-88E0-FAB16046818A}">
      <text>
        <r>
          <rPr>
            <b/>
            <sz val="9"/>
            <color indexed="81"/>
            <rFont val="Tahoma"/>
            <family val="2"/>
          </rPr>
          <t>Dunger, Matt (Research):</t>
        </r>
        <r>
          <rPr>
            <sz val="9"/>
            <color indexed="81"/>
            <rFont val="Tahoma"/>
            <family val="2"/>
          </rPr>
          <t xml:space="preserve">
higher contribution from associates and structured asset finance</t>
        </r>
      </text>
    </comment>
    <comment ref="CF625" authorId="3" shapeId="0" xr:uid="{D15874FE-E614-4958-BAB2-10B540F8335A}">
      <text>
        <r>
          <rPr>
            <b/>
            <sz val="9"/>
            <color indexed="81"/>
            <rFont val="Tahoma"/>
            <family val="2"/>
          </rPr>
          <t>Wiles, Richard (Research):</t>
        </r>
        <r>
          <rPr>
            <sz val="9"/>
            <color indexed="81"/>
            <rFont val="Tahoma"/>
            <family val="2"/>
          </rPr>
          <t xml:space="preserve">
not treated as notable item or disclosed at 1H20</t>
        </r>
      </text>
    </comment>
    <comment ref="CG625" authorId="3" shapeId="0" xr:uid="{27B3C6E5-1F79-474A-BCE1-0D236505E48E}">
      <text>
        <r>
          <rPr>
            <b/>
            <sz val="9"/>
            <color indexed="81"/>
            <rFont val="Tahoma"/>
            <family val="2"/>
          </rPr>
          <t>Wiles, Richard (Research):</t>
        </r>
        <r>
          <rPr>
            <sz val="9"/>
            <color indexed="81"/>
            <rFont val="Tahoma"/>
            <family val="2"/>
          </rPr>
          <t xml:space="preserve">
not treated as notable item or disclosed at 1H20</t>
        </r>
      </text>
    </comment>
    <comment ref="CJ625" authorId="3" shapeId="0" xr:uid="{76F01694-EA87-4237-962A-E59E086137F8}">
      <text>
        <r>
          <rPr>
            <b/>
            <sz val="9"/>
            <color indexed="81"/>
            <rFont val="Tahoma"/>
            <family val="2"/>
          </rPr>
          <t>Wiles, Richard (Research):</t>
        </r>
        <r>
          <rPr>
            <sz val="9"/>
            <color indexed="81"/>
            <rFont val="Tahoma"/>
            <family val="2"/>
          </rPr>
          <t xml:space="preserve">
not treated as notable item or disclosed at 1H20</t>
        </r>
      </text>
    </comment>
    <comment ref="CK626" authorId="3" shapeId="0" xr:uid="{3BF0A0ED-D444-4376-A6DD-6CC7DF589F73}">
      <text>
        <r>
          <rPr>
            <b/>
            <sz val="9"/>
            <color indexed="81"/>
            <rFont val="Tahoma"/>
            <family val="2"/>
          </rPr>
          <t>Wiles, Richard (Research):</t>
        </r>
        <r>
          <rPr>
            <sz val="9"/>
            <color indexed="81"/>
            <rFont val="Tahoma"/>
            <family val="2"/>
          </rPr>
          <t xml:space="preserve">
2H20 Included A$92m impairment of aircraft assets … refer 1H21 p83</t>
        </r>
      </text>
    </comment>
    <comment ref="CN626" authorId="3" shapeId="0" xr:uid="{38CC8E7B-EC16-4C9E-BF41-E9C44BBE73C6}">
      <text>
        <r>
          <rPr>
            <b/>
            <sz val="9"/>
            <color indexed="81"/>
            <rFont val="Tahoma"/>
            <family val="2"/>
          </rPr>
          <t>Wiles, Richard (Research):</t>
        </r>
        <r>
          <rPr>
            <sz val="9"/>
            <color indexed="81"/>
            <rFont val="Tahoma"/>
            <family val="2"/>
          </rPr>
          <t xml:space="preserve">
1H21 Included A$124m impairment of aircraft assets</t>
        </r>
      </text>
    </comment>
    <comment ref="CO626" authorId="3" shapeId="0" xr:uid="{9E382844-E295-4097-BD60-D554A96A42D9}">
      <text>
        <r>
          <rPr>
            <b/>
            <sz val="9"/>
            <color indexed="81"/>
            <rFont val="Tahoma"/>
            <family val="2"/>
          </rPr>
          <t>Wiles, Richard (Research):</t>
        </r>
        <r>
          <rPr>
            <sz val="9"/>
            <color indexed="81"/>
            <rFont val="Tahoma"/>
            <family val="2"/>
          </rPr>
          <t xml:space="preserve">
approx A$200m reversal of prior period impairment on Hangzhou investment
A$12m reversal of aircraft lease impairment</t>
        </r>
      </text>
    </comment>
    <comment ref="CR626" authorId="3" shapeId="0" xr:uid="{0B74E095-8D76-4137-B093-9AA5CE46035A}">
      <text>
        <r>
          <rPr>
            <b/>
            <sz val="9"/>
            <color indexed="81"/>
            <rFont val="Tahoma"/>
            <family val="2"/>
          </rPr>
          <t>Wiles, Richard (Research):</t>
        </r>
        <r>
          <rPr>
            <sz val="9"/>
            <color indexed="81"/>
            <rFont val="Tahoma"/>
            <family val="2"/>
          </rPr>
          <t xml:space="preserve">
1H22 
$8m Reversal of aircraft leasing impairment loss
approx A$50m reversal of VIB impairment loss</t>
        </r>
      </text>
    </comment>
    <comment ref="CV626" authorId="4" shapeId="0" xr:uid="{05715869-79CD-40BB-A91F-B1B6483AE635}">
      <text>
        <r>
          <rPr>
            <b/>
            <sz val="9"/>
            <color indexed="81"/>
            <rFont val="Tahoma"/>
            <family val="2"/>
          </rPr>
          <t>Hong, Sally (Research):</t>
        </r>
        <r>
          <rPr>
            <sz val="9"/>
            <color indexed="81"/>
            <rFont val="Tahoma"/>
            <family val="2"/>
          </rPr>
          <t xml:space="preserve">
Reversal of impairment loss +$4m in Page 124 of 1H234D</t>
        </r>
      </text>
    </comment>
    <comment ref="CZ626" authorId="3" shapeId="0" xr:uid="{04A3F0AF-937C-40AF-B428-A0EFAE9699A9}">
      <text>
        <r>
          <rPr>
            <b/>
            <sz val="9"/>
            <color indexed="81"/>
            <rFont val="Tahoma"/>
            <family val="2"/>
          </rPr>
          <t>Wiles, Richard (Research):</t>
        </r>
        <r>
          <rPr>
            <sz val="9"/>
            <color indexed="81"/>
            <rFont val="Tahoma"/>
            <family val="2"/>
          </rPr>
          <t xml:space="preserve">
profit from associated included an impairment … MS est only A$100m … as this implies underlying earnings of approx A$50-60m per half</t>
        </r>
      </text>
    </comment>
    <comment ref="DA626" authorId="4" shapeId="0" xr:uid="{EF4A07E6-E1A0-41D6-BAA8-5F9E7C02B7BB}">
      <text>
        <r>
          <rPr>
            <b/>
            <sz val="9"/>
            <color indexed="81"/>
            <rFont val="Tahoma"/>
            <family val="2"/>
          </rPr>
          <t>Hong, Sally (Research):</t>
        </r>
        <r>
          <rPr>
            <sz val="9"/>
            <color indexed="81"/>
            <rFont val="Tahoma"/>
            <family val="2"/>
          </rPr>
          <t xml:space="preserve">
Page 84 FY24E: 
A$50m loss on reclass of sertain assets helf as lessor held for sale</t>
        </r>
      </text>
    </comment>
    <comment ref="DE626" authorId="4" shapeId="0" xr:uid="{3C8E6361-5B0E-4848-BEB3-06B487867EB6}">
      <text>
        <r>
          <rPr>
            <b/>
            <sz val="9"/>
            <color indexed="81"/>
            <rFont val="Tahoma"/>
            <family val="2"/>
          </rPr>
          <t>Hong, Sally (Research):</t>
        </r>
        <r>
          <rPr>
            <sz val="9"/>
            <color indexed="81"/>
            <rFont val="Tahoma"/>
            <family val="2"/>
          </rPr>
          <t xml:space="preserve">
Page 83 FY25 4E
includes A$222m loss for 2H25 relating to sale of interest in Bank of Hangzhou
-66m loss on disposal of assets as lessor</t>
        </r>
      </text>
    </comment>
    <comment ref="CR627" authorId="3" shapeId="0" xr:uid="{120FBE27-4327-4AA9-B04B-9F8CD21FB7C7}">
      <text>
        <r>
          <rPr>
            <b/>
            <sz val="9"/>
            <color indexed="81"/>
            <rFont val="Tahoma"/>
            <family val="2"/>
          </rPr>
          <t>Wiles, Richard (Research):</t>
        </r>
        <r>
          <rPr>
            <sz val="9"/>
            <color indexed="81"/>
            <rFont val="Tahoma"/>
            <family val="2"/>
          </rPr>
          <t xml:space="preserve">
estimated $50m from sale of insurance to AIA … last tranche</t>
        </r>
      </text>
    </comment>
    <comment ref="CS627" authorId="4" shapeId="0" xr:uid="{D6BFC6C7-8F74-43FB-8B29-57128FCCD8B6}">
      <text>
        <r>
          <rPr>
            <b/>
            <sz val="9"/>
            <color indexed="81"/>
            <rFont val="Tahoma"/>
            <family val="2"/>
          </rPr>
          <t>Hong, Sally (Research):</t>
        </r>
        <r>
          <rPr>
            <sz val="9"/>
            <color indexed="81"/>
            <rFont val="Tahoma"/>
            <family val="2"/>
          </rPr>
          <t xml:space="preserve">
$516m from gain on sale of HZB shares</t>
        </r>
      </text>
    </comment>
    <comment ref="DH627" authorId="4" shapeId="0" xr:uid="{4329DF6E-B46C-4D41-914C-EEF8DB998982}">
      <text>
        <r>
          <rPr>
            <b/>
            <sz val="9"/>
            <color indexed="81"/>
            <rFont val="Tahoma"/>
            <family val="2"/>
          </rPr>
          <t>Hong, Sally (Research):</t>
        </r>
        <r>
          <rPr>
            <sz val="9"/>
            <color indexed="81"/>
            <rFont val="Tahoma"/>
            <family val="2"/>
          </rPr>
          <t xml:space="preserve">
ASX Release 3/2/26:
Non-recurring items wihtin OOI
- milestone payment for previous sale of Insurance
- Fair value gain on Gemini IPO
A$53m pre tax</t>
        </r>
      </text>
    </comment>
    <comment ref="CN628" authorId="3" shapeId="0" xr:uid="{32FAF744-4376-4C01-B1F1-C6E42D4D9546}">
      <text>
        <r>
          <rPr>
            <b/>
            <sz val="9"/>
            <color indexed="81"/>
            <rFont val="Tahoma"/>
            <family val="2"/>
          </rPr>
          <t>Wiles, Richard (Research):</t>
        </r>
        <r>
          <rPr>
            <sz val="9"/>
            <color indexed="81"/>
            <rFont val="Tahoma"/>
            <family val="2"/>
          </rPr>
          <t xml:space="preserve">
Hanghzou share of profit not recognised as equity investment had been impaired</t>
        </r>
      </text>
    </comment>
    <comment ref="CO628" authorId="3" shapeId="0" xr:uid="{607A1507-EDDF-44AB-92F3-63ECB06B8E00}">
      <text>
        <r>
          <rPr>
            <b/>
            <sz val="9"/>
            <color indexed="81"/>
            <rFont val="Tahoma"/>
            <family val="2"/>
          </rPr>
          <t>Wiles, Richard (Research):</t>
        </r>
        <r>
          <rPr>
            <sz val="9"/>
            <color indexed="81"/>
            <rFont val="Tahoma"/>
            <family val="2"/>
          </rPr>
          <t xml:space="preserve">
A$466m less estimated A$200m reversal of impairment included above 
Hanghzou share of profiit recognised following reversal of impairment</t>
        </r>
      </text>
    </comment>
    <comment ref="CR628" authorId="3" shapeId="0" xr:uid="{FBD01BEB-01A6-4B49-85BB-F08CB712F54D}">
      <text>
        <r>
          <rPr>
            <b/>
            <sz val="9"/>
            <color indexed="81"/>
            <rFont val="Tahoma"/>
            <family val="2"/>
          </rPr>
          <t>Wiles, Richard (Research):</t>
        </r>
        <r>
          <rPr>
            <sz val="9"/>
            <color indexed="81"/>
            <rFont val="Tahoma"/>
            <family val="2"/>
          </rPr>
          <t xml:space="preserve">
excludes VIB A$50m reversal of impairment.
Hanghzhou is approax A$125m 
include Hangzhou (16% stake), Qilu (16% stake), Lendi (42% stake) and VIB (20%) + other smaller investments</t>
        </r>
      </text>
    </comment>
    <comment ref="CS628" authorId="3" shapeId="0" xr:uid="{897BE7AD-1F1D-434C-B28E-97CACC341A8B}">
      <text>
        <r>
          <rPr>
            <b/>
            <sz val="9"/>
            <color indexed="81"/>
            <rFont val="Tahoma"/>
            <family val="2"/>
          </rPr>
          <t xml:space="preserve">Wiles, Richard (Research):
Page 85 of the 2H22 Results 4D
</t>
        </r>
        <r>
          <rPr>
            <sz val="9"/>
            <color indexed="81"/>
            <rFont val="Tahoma"/>
            <family val="2"/>
          </rPr>
          <t>Share of profit from associates = $753m including $516m gain from sale of Bank of Hangzhou stake</t>
        </r>
        <r>
          <rPr>
            <b/>
            <sz val="9"/>
            <color indexed="81"/>
            <rFont val="Tahoma"/>
            <family val="2"/>
          </rPr>
          <t xml:space="preserve">
----
Previous</t>
        </r>
        <r>
          <rPr>
            <sz val="9"/>
            <color indexed="81"/>
            <rFont val="Tahoma"/>
            <family val="2"/>
          </rPr>
          <t xml:space="preserve">
Sale of Hangzhou: CBA will no longer recognise the share of HZB profits in other banking income (which has averaged ~$200m p.a.)
include Hangzhou (16% stake), Qilu (16% stake), Lendi (42% stake) and VIB (20%) + other smaller investments
from 2H22, will include contribution from 45% interest in CFS post completion in second half of CY21 …
CFS earninsg approx A$280m per annum but has had ~A$150m of renmediation in FY21 and FY21. 
implies normalised contribition of A$280m x 45% = A$125m pa or A$60m per half BUT investmnet spend on CFS is likely to reduce profit to closer to zero in next few years (per CFO 16/2/22)</t>
        </r>
      </text>
    </comment>
    <comment ref="CV628" authorId="3" shapeId="0" xr:uid="{D54E2629-4DB0-4E0F-A83D-E3C488349DC7}">
      <text>
        <r>
          <rPr>
            <b/>
            <sz val="9"/>
            <color indexed="81"/>
            <rFont val="Tahoma"/>
            <family val="2"/>
          </rPr>
          <t>Wiles, Richard (Research):</t>
        </r>
        <r>
          <rPr>
            <sz val="9"/>
            <color indexed="81"/>
            <rFont val="Tahoma"/>
            <family val="2"/>
          </rPr>
          <t xml:space="preserve">
Restated in 1H24 -  remove the associates loss of $30m
Previous:
cash earnings excludes A$30m associates loss from disposal (page 138, 1H23) 
Reported -A$15m profit but that includes impairment… backing out the A$30m loss will implie +A$15m</t>
        </r>
      </text>
    </comment>
    <comment ref="CW628" authorId="4" shapeId="0" xr:uid="{99BC3BE5-6655-4C05-8C49-AC0B99318D51}">
      <text>
        <r>
          <rPr>
            <b/>
            <sz val="9"/>
            <color indexed="81"/>
            <rFont val="Tahoma"/>
            <family val="2"/>
          </rPr>
          <t xml:space="preserve">Hong, Sally (Research):
1H24 - </t>
        </r>
        <r>
          <rPr>
            <sz val="9"/>
            <color indexed="81"/>
            <rFont val="Tahoma"/>
            <family val="2"/>
          </rPr>
          <t>reclass the Qilu investment from associates … back out A$132m
2H23: A$128m profit from associates</t>
        </r>
      </text>
    </comment>
    <comment ref="CZ628" authorId="4" shapeId="0" xr:uid="{A586EACF-CEB1-4E22-AE91-5FCA2301D619}">
      <text>
        <r>
          <rPr>
            <b/>
            <sz val="9"/>
            <color indexed="81"/>
            <rFont val="Tahoma"/>
            <family val="2"/>
          </rPr>
          <t>Hong, Sally (Research):</t>
        </r>
        <r>
          <rPr>
            <sz val="9"/>
            <color indexed="81"/>
            <rFont val="Tahoma"/>
            <family val="2"/>
          </rPr>
          <t xml:space="preserve">
1H24 4D: 
Profit from associates after impairment = -A$42m
Reclass of Qilu Bank from investments in associate will remove -A$50m per half (or A$100m p.a.) from this line.</t>
        </r>
      </text>
    </comment>
    <comment ref="DA628" authorId="4" shapeId="0" xr:uid="{422A8351-56D6-409B-8649-2EE458B9AB2A}">
      <text>
        <r>
          <rPr>
            <b/>
            <sz val="9"/>
            <color indexed="81"/>
            <rFont val="Tahoma"/>
            <family val="2"/>
          </rPr>
          <t>Hong, Sally (Research):</t>
        </r>
        <r>
          <rPr>
            <sz val="9"/>
            <color indexed="81"/>
            <rFont val="Tahoma"/>
            <family val="2"/>
          </rPr>
          <t xml:space="preserve">
Page 84 FY24E: 
Profit from associates after impairment = -A$53m
Reclass of Qilu Bank from investments in associate will remove -A$50m per half (or A$100m p.a.) from this line.</t>
        </r>
      </text>
    </comment>
    <comment ref="DE628" authorId="4" shapeId="0" xr:uid="{8A910A99-E065-490D-8959-5940FC254B31}">
      <text>
        <r>
          <rPr>
            <b/>
            <sz val="9"/>
            <color indexed="81"/>
            <rFont val="Tahoma"/>
            <family val="2"/>
          </rPr>
          <t>Hong, Sally (Research):</t>
        </r>
        <r>
          <rPr>
            <sz val="9"/>
            <color indexed="81"/>
            <rFont val="Tahoma"/>
            <family val="2"/>
          </rPr>
          <t xml:space="preserve">
Includes +222m loss from sale of Bank of Hangzhou</t>
        </r>
      </text>
    </comment>
    <comment ref="CF629" authorId="3" shapeId="0" xr:uid="{B654FA29-2E09-4C62-A8DF-1A46B3B38DB0}">
      <text>
        <r>
          <rPr>
            <b/>
            <sz val="9"/>
            <color indexed="81"/>
            <rFont val="Tahoma"/>
            <family val="2"/>
          </rPr>
          <t>Wiles, Richard (Research):</t>
        </r>
        <r>
          <rPr>
            <sz val="9"/>
            <color indexed="81"/>
            <rFont val="Tahoma"/>
            <family val="2"/>
          </rPr>
          <t xml:space="preserve">
higher treasury income and higher gain on NZ$ hedge (refer p14 1H19)</t>
        </r>
      </text>
    </comment>
    <comment ref="CJ629" authorId="3" shapeId="0" xr:uid="{C4151D22-111E-4208-ABE4-F6E31A8DB85A}">
      <text>
        <r>
          <rPr>
            <b/>
            <sz val="9"/>
            <color indexed="81"/>
            <rFont val="Tahoma"/>
            <family val="2"/>
          </rPr>
          <t>Wiles, Richard (Research):</t>
        </r>
        <r>
          <rPr>
            <sz val="9"/>
            <color indexed="81"/>
            <rFont val="Tahoma"/>
            <family val="2"/>
          </rPr>
          <t xml:space="preserve">
now includes mortgage broking; 
1H20 had gain on sale of liquid assets and structured asset finance</t>
        </r>
      </text>
    </comment>
    <comment ref="CR629" authorId="3" shapeId="0" xr:uid="{B6A9B669-6E4D-4183-B6E6-5BAA09A3B1C2}">
      <text>
        <r>
          <rPr>
            <b/>
            <sz val="9"/>
            <color indexed="81"/>
            <rFont val="Tahoma"/>
            <family val="2"/>
          </rPr>
          <t>Wiles, Richard (Research):</t>
        </r>
        <r>
          <rPr>
            <sz val="9"/>
            <color indexed="81"/>
            <rFont val="Tahoma"/>
            <family val="2"/>
          </rPr>
          <t xml:space="preserve">
included A$</t>
        </r>
      </text>
    </comment>
    <comment ref="CZ629" authorId="3" shapeId="0" xr:uid="{F3C5857B-B499-42A2-BED8-354260217031}">
      <text>
        <r>
          <rPr>
            <b/>
            <sz val="9"/>
            <color indexed="81"/>
            <rFont val="Tahoma"/>
            <family val="2"/>
          </rPr>
          <t>Wiles, Richard (Research):</t>
        </r>
        <r>
          <rPr>
            <sz val="9"/>
            <color indexed="81"/>
            <rFont val="Tahoma"/>
            <family val="2"/>
          </rPr>
          <t xml:space="preserve">
includes A$55m dividends from minority investments and (1H only)</t>
        </r>
      </text>
    </comment>
    <comment ref="CS633" authorId="3" shapeId="0" xr:uid="{23A13099-3609-40CE-82D9-3AFE1B02E180}">
      <text>
        <r>
          <rPr>
            <b/>
            <sz val="9"/>
            <color indexed="81"/>
            <rFont val="Tahoma"/>
            <family val="2"/>
          </rPr>
          <t>Wiles, Richard (Research):</t>
        </r>
        <r>
          <rPr>
            <sz val="9"/>
            <color indexed="81"/>
            <rFont val="Tahoma"/>
            <family val="2"/>
          </rPr>
          <t xml:space="preserve">
will include contribution from 45% interest in CFS post completion in second half of CY21 …
CFS earninsg approx A$280m per annum but has had ~A$150m of renmediation in FY21 and FY21. 
implies normalised contribition of A$280m x 45% = A$125m pa or A$60m per half  BUT investment spend is likely to reduce profit to a neglible level in next few years ... MS assume $30m per hal
f</t>
        </r>
      </text>
    </comment>
    <comment ref="CV633" authorId="4" shapeId="0" xr:uid="{2C924727-875F-4844-AD16-D33CE5C8525F}">
      <text>
        <r>
          <rPr>
            <b/>
            <sz val="9"/>
            <color indexed="81"/>
            <rFont val="Tahoma"/>
            <family val="2"/>
          </rPr>
          <t>Hong, Sally (Research):</t>
        </r>
        <r>
          <rPr>
            <sz val="9"/>
            <color indexed="81"/>
            <rFont val="Tahoma"/>
            <family val="2"/>
          </rPr>
          <t xml:space="preserve">
1Q23 Trading Update:
Lower than expected associates profit (assume ~70m)
</t>
        </r>
        <r>
          <rPr>
            <b/>
            <sz val="9"/>
            <color indexed="81"/>
            <rFont val="Tahoma"/>
            <family val="2"/>
          </rPr>
          <t>Previous</t>
        </r>
        <r>
          <rPr>
            <sz val="9"/>
            <color indexed="81"/>
            <rFont val="Tahoma"/>
            <family val="2"/>
          </rPr>
          <t xml:space="preserve">
Sale of Hangzhou completed 30 June 2022: CBA will no longer recognise the share of HZB profits in other banking income (which has averaged ~$200m p.a.) .. reduce Half yearly income by 100m .. add in -45% adjustment
</t>
        </r>
      </text>
    </comment>
    <comment ref="CW633" authorId="4" shapeId="0" xr:uid="{7E5EE5ED-AD6F-41FA-88E3-D4EE8EBDBEFF}">
      <text>
        <r>
          <rPr>
            <b/>
            <sz val="9"/>
            <color indexed="81"/>
            <rFont val="Tahoma"/>
            <family val="2"/>
          </rPr>
          <t>Hong, Sally (Research):</t>
        </r>
        <r>
          <rPr>
            <sz val="9"/>
            <color indexed="81"/>
            <rFont val="Tahoma"/>
            <family val="2"/>
          </rPr>
          <t xml:space="preserve">
1Q23 Trading Update: Associates profit to normalise back to ~$100m per half after ~$70m miss in 1Q23</t>
        </r>
      </text>
    </comment>
    <comment ref="CF637" authorId="2" shapeId="0" xr:uid="{FA50A9FD-CA0D-4A35-AB5A-43D1B7DC042B}">
      <text>
        <r>
          <rPr>
            <b/>
            <sz val="9"/>
            <color indexed="81"/>
            <rFont val="Tahoma"/>
            <family val="2"/>
          </rPr>
          <t>Fernandes, Sona F (Research):</t>
        </r>
        <r>
          <rPr>
            <sz val="9"/>
            <color indexed="81"/>
            <rFont val="Tahoma"/>
            <family val="2"/>
          </rPr>
          <t xml:space="preserve">
Restated FY20
</t>
        </r>
      </text>
    </comment>
    <comment ref="CG637" authorId="2" shapeId="0" xr:uid="{C0F577E1-D4C9-437B-8AF8-09B9D5391697}">
      <text>
        <r>
          <rPr>
            <b/>
            <sz val="9"/>
            <color indexed="81"/>
            <rFont val="Tahoma"/>
            <family val="2"/>
          </rPr>
          <t>Fernandes, Sona F (Research):</t>
        </r>
        <r>
          <rPr>
            <sz val="9"/>
            <color indexed="81"/>
            <rFont val="Tahoma"/>
            <family val="2"/>
          </rPr>
          <t xml:space="preserve">
Restated FY20
</t>
        </r>
      </text>
    </comment>
    <comment ref="CJ637" authorId="2" shapeId="0" xr:uid="{906A3622-7B87-4114-96FF-D22D5BF53D10}">
      <text>
        <r>
          <rPr>
            <b/>
            <sz val="9"/>
            <color indexed="81"/>
            <rFont val="Tahoma"/>
            <family val="2"/>
          </rPr>
          <t>Fernandes, Sona F (Research):</t>
        </r>
        <r>
          <rPr>
            <sz val="9"/>
            <color indexed="81"/>
            <rFont val="Tahoma"/>
            <family val="2"/>
          </rPr>
          <t xml:space="preserve">
Restated FY20
</t>
        </r>
      </text>
    </comment>
    <comment ref="CK637" authorId="2" shapeId="0" xr:uid="{26EE2019-3140-4E01-9054-78740FCD5D51}">
      <text>
        <r>
          <rPr>
            <b/>
            <sz val="9"/>
            <color indexed="81"/>
            <rFont val="Tahoma"/>
            <family val="2"/>
          </rPr>
          <t>Fernandes, Sona F (Research):</t>
        </r>
        <r>
          <rPr>
            <sz val="9"/>
            <color indexed="81"/>
            <rFont val="Tahoma"/>
            <family val="2"/>
          </rPr>
          <t xml:space="preserve">
Restated FY20
</t>
        </r>
      </text>
    </comment>
    <comment ref="CV637" authorId="4" shapeId="0" xr:uid="{21D2396F-FDB2-4A44-93D9-DEF7BE6B2389}">
      <text>
        <r>
          <rPr>
            <b/>
            <sz val="9"/>
            <color indexed="81"/>
            <rFont val="Tahoma"/>
            <family val="2"/>
          </rPr>
          <t>Hong, Sally (Research):</t>
        </r>
        <r>
          <rPr>
            <sz val="9"/>
            <color indexed="81"/>
            <rFont val="Tahoma"/>
            <family val="2"/>
          </rPr>
          <t xml:space="preserve">
Slide 66 1H23 Presentation</t>
        </r>
      </text>
    </comment>
    <comment ref="CF638" authorId="2" shapeId="0" xr:uid="{331ABC99-432D-4D36-9494-8734A1098963}">
      <text>
        <r>
          <rPr>
            <b/>
            <sz val="9"/>
            <color indexed="81"/>
            <rFont val="Tahoma"/>
            <family val="2"/>
          </rPr>
          <t>Fernandes, Sona F (Research):</t>
        </r>
        <r>
          <rPr>
            <sz val="9"/>
            <color indexed="81"/>
            <rFont val="Tahoma"/>
            <family val="2"/>
          </rPr>
          <t xml:space="preserve">
Restated FY20
</t>
        </r>
      </text>
    </comment>
    <comment ref="CG638" authorId="2" shapeId="0" xr:uid="{C9344106-289F-4278-B747-FA7F5E0F5554}">
      <text>
        <r>
          <rPr>
            <b/>
            <sz val="9"/>
            <color indexed="81"/>
            <rFont val="Tahoma"/>
            <family val="2"/>
          </rPr>
          <t>Fernandes, Sona F (Research):</t>
        </r>
        <r>
          <rPr>
            <sz val="9"/>
            <color indexed="81"/>
            <rFont val="Tahoma"/>
            <family val="2"/>
          </rPr>
          <t xml:space="preserve">
Restated FY20
</t>
        </r>
      </text>
    </comment>
    <comment ref="CJ638" authorId="2" shapeId="0" xr:uid="{2BC4D041-151F-4EAF-A105-89DA7D339C36}">
      <text>
        <r>
          <rPr>
            <b/>
            <sz val="9"/>
            <color indexed="81"/>
            <rFont val="Tahoma"/>
            <family val="2"/>
          </rPr>
          <t>Fernandes, Sona F (Research):</t>
        </r>
        <r>
          <rPr>
            <sz val="9"/>
            <color indexed="81"/>
            <rFont val="Tahoma"/>
            <family val="2"/>
          </rPr>
          <t xml:space="preserve">
Restated FY20
</t>
        </r>
      </text>
    </comment>
    <comment ref="CK638" authorId="2" shapeId="0" xr:uid="{B947B405-B240-43E0-860C-7B20A0018FEC}">
      <text>
        <r>
          <rPr>
            <b/>
            <sz val="9"/>
            <color indexed="81"/>
            <rFont val="Tahoma"/>
            <family val="2"/>
          </rPr>
          <t>Fernandes, Sona F (Research):</t>
        </r>
        <r>
          <rPr>
            <sz val="9"/>
            <color indexed="81"/>
            <rFont val="Tahoma"/>
            <family val="2"/>
          </rPr>
          <t xml:space="preserve">
Restated FY20
</t>
        </r>
      </text>
    </comment>
    <comment ref="CZ638" authorId="4" shapeId="0" xr:uid="{20132E55-8535-4CF9-A982-C2C76BEA0AB5}">
      <text>
        <r>
          <rPr>
            <b/>
            <sz val="9"/>
            <color indexed="81"/>
            <rFont val="Tahoma"/>
            <family val="2"/>
          </rPr>
          <t>Hong, Sally (Research):</t>
        </r>
        <r>
          <rPr>
            <sz val="9"/>
            <color indexed="81"/>
            <rFont val="Tahoma"/>
            <family val="2"/>
          </rPr>
          <t xml:space="preserve">
Restated in 1H25</t>
        </r>
      </text>
    </comment>
    <comment ref="DA638" authorId="4" shapeId="0" xr:uid="{9AE4D6C2-E3E9-41FC-8826-D8515C6B34AB}">
      <text>
        <r>
          <rPr>
            <b/>
            <sz val="9"/>
            <color indexed="81"/>
            <rFont val="Tahoma"/>
            <family val="2"/>
          </rPr>
          <t>Hong, Sally (Research):</t>
        </r>
        <r>
          <rPr>
            <sz val="9"/>
            <color indexed="81"/>
            <rFont val="Tahoma"/>
            <family val="2"/>
          </rPr>
          <t xml:space="preserve">
Restated in 1H25</t>
        </r>
      </text>
    </comment>
    <comment ref="CO651" authorId="3" shapeId="0" xr:uid="{1C2B6329-2110-4672-BE42-44EA46407918}">
      <text>
        <r>
          <rPr>
            <b/>
            <sz val="9"/>
            <color indexed="81"/>
            <rFont val="Tahoma"/>
            <family val="2"/>
          </rPr>
          <t>Wiles, Richard (Research):</t>
        </r>
        <r>
          <rPr>
            <sz val="9"/>
            <color indexed="81"/>
            <rFont val="Tahoma"/>
            <family val="2"/>
          </rPr>
          <t xml:space="preserve">
estimated A$50m restatement at FY22 .. </t>
        </r>
      </text>
    </comment>
    <comment ref="CR651" authorId="3" shapeId="0" xr:uid="{BF50C76B-C22F-42BA-87B7-9E9B6AB7F7AB}">
      <text>
        <r>
          <rPr>
            <b/>
            <sz val="9"/>
            <color indexed="81"/>
            <rFont val="Tahoma"/>
            <family val="2"/>
          </rPr>
          <t>Wiles, Richard (Research):</t>
        </r>
        <r>
          <rPr>
            <sz val="9"/>
            <color indexed="81"/>
            <rFont val="Tahoma"/>
            <family val="2"/>
          </rPr>
          <t xml:space="preserve">
restated down by A$50m at FY22</t>
        </r>
      </text>
    </comment>
    <comment ref="CS651" authorId="4" shapeId="0" xr:uid="{CA10DC11-3C7C-4694-AF04-AC149F414316}">
      <text>
        <r>
          <rPr>
            <b/>
            <sz val="9"/>
            <color indexed="81"/>
            <rFont val="Tahoma"/>
            <family val="2"/>
          </rPr>
          <t>Hong, Sally (Research):</t>
        </r>
        <r>
          <rPr>
            <sz val="9"/>
            <color indexed="81"/>
            <rFont val="Tahoma"/>
            <family val="2"/>
          </rPr>
          <t xml:space="preserve">
Page 51 of the 2H22 Results 4E 
Insittutional Division Results - IBM restrucured from Jan 2022 so previous numbers are restated</t>
        </r>
      </text>
    </comment>
    <comment ref="CV651" authorId="4" shapeId="0" xr:uid="{B29389FE-DDF5-42BA-87C0-5BA1E60427BA}">
      <text>
        <r>
          <rPr>
            <b/>
            <sz val="9"/>
            <color indexed="81"/>
            <rFont val="Tahoma"/>
            <family val="2"/>
          </rPr>
          <t>Hong, Sally (Research):</t>
        </r>
        <r>
          <rPr>
            <sz val="9"/>
            <color indexed="81"/>
            <rFont val="Tahoma"/>
            <family val="2"/>
          </rPr>
          <t xml:space="preserve">
Restated from A$37m in 1H24</t>
        </r>
      </text>
    </comment>
    <comment ref="CW651" authorId="4" shapeId="0" xr:uid="{D1C1316F-60B5-40E4-95DB-9CC631F4D792}">
      <text>
        <r>
          <rPr>
            <b/>
            <sz val="9"/>
            <color indexed="81"/>
            <rFont val="Tahoma"/>
            <family val="2"/>
          </rPr>
          <t>Hong, Sally (Research):</t>
        </r>
        <r>
          <rPr>
            <sz val="9"/>
            <color indexed="81"/>
            <rFont val="Tahoma"/>
            <family val="2"/>
          </rPr>
          <t xml:space="preserve">
Restated from A$33m in 1H24</t>
        </r>
      </text>
    </comment>
    <comment ref="CO652" authorId="3" shapeId="0" xr:uid="{B20F916E-8C4A-422D-9746-352716832F0C}">
      <text>
        <r>
          <rPr>
            <b/>
            <sz val="9"/>
            <color indexed="81"/>
            <rFont val="Tahoma"/>
            <family val="2"/>
          </rPr>
          <t>Wiles, Richard (Research):</t>
        </r>
        <r>
          <rPr>
            <sz val="9"/>
            <color indexed="81"/>
            <rFont val="Tahoma"/>
            <family val="2"/>
          </rPr>
          <t xml:space="preserve">
estimated A$10m restatement at FY22 .. </t>
        </r>
      </text>
    </comment>
    <comment ref="CR652" authorId="3" shapeId="0" xr:uid="{EB7AF9A1-92E8-4C89-8B59-49E63A91C6FE}">
      <text>
        <r>
          <rPr>
            <b/>
            <sz val="9"/>
            <color indexed="81"/>
            <rFont val="Tahoma"/>
            <family val="2"/>
          </rPr>
          <t>Wiles, Richard (Research):</t>
        </r>
        <r>
          <rPr>
            <sz val="9"/>
            <color indexed="81"/>
            <rFont val="Tahoma"/>
            <family val="2"/>
          </rPr>
          <t xml:space="preserve">
restated down by A$9m at FY22</t>
        </r>
      </text>
    </comment>
    <comment ref="CV652" authorId="4" shapeId="0" xr:uid="{75BB9DDE-DA18-46FB-8AFC-0671105A8D06}">
      <text>
        <r>
          <rPr>
            <b/>
            <sz val="9"/>
            <color indexed="81"/>
            <rFont val="Tahoma"/>
            <family val="2"/>
          </rPr>
          <t>Hong, Sally (Research):</t>
        </r>
        <r>
          <rPr>
            <sz val="9"/>
            <color indexed="81"/>
            <rFont val="Tahoma"/>
            <family val="2"/>
          </rPr>
          <t xml:space="preserve">
Restated from A$218m in 1H24</t>
        </r>
      </text>
    </comment>
    <comment ref="CW652" authorId="4" shapeId="0" xr:uid="{7A252038-5AC8-4376-8F05-6A24FD2BF33D}">
      <text>
        <r>
          <rPr>
            <b/>
            <sz val="9"/>
            <color indexed="81"/>
            <rFont val="Tahoma"/>
            <family val="2"/>
          </rPr>
          <t>Hong, Sally (Research):</t>
        </r>
        <r>
          <rPr>
            <sz val="9"/>
            <color indexed="81"/>
            <rFont val="Tahoma"/>
            <family val="2"/>
          </rPr>
          <t xml:space="preserve">
Restated from A$335m in 1H24</t>
        </r>
      </text>
    </comment>
    <comment ref="CK658" authorId="2" shapeId="0" xr:uid="{F077FD25-7243-4E5F-AB91-321BE79A4307}">
      <text>
        <r>
          <rPr>
            <b/>
            <sz val="9"/>
            <color indexed="81"/>
            <rFont val="Tahoma"/>
            <family val="2"/>
          </rPr>
          <t>Fernandes, Sona F (Research):</t>
        </r>
        <r>
          <rPr>
            <sz val="9"/>
            <color indexed="81"/>
            <rFont val="Tahoma"/>
            <family val="2"/>
          </rPr>
          <t xml:space="preserve">
Other Banking Income pg 95</t>
        </r>
      </text>
    </comment>
    <comment ref="DA658" authorId="4" shapeId="0" xr:uid="{A062ED9E-ACB1-4A4B-96FE-CC1C3917091C}">
      <text>
        <r>
          <rPr>
            <b/>
            <sz val="9"/>
            <color indexed="81"/>
            <rFont val="Tahoma"/>
            <family val="2"/>
          </rPr>
          <t>Hong, Sally (Research):</t>
        </r>
        <r>
          <rPr>
            <sz val="9"/>
            <color indexed="81"/>
            <rFont val="Tahoma"/>
            <family val="2"/>
          </rPr>
          <t xml:space="preserve">
Includes A$50m loss on rec;ass pf certoam assets held as lessor tp assets held for sale
See footnote 4 Page 84 FY24 4E</t>
        </r>
      </text>
    </comment>
    <comment ref="DD658" authorId="4" shapeId="0" xr:uid="{142B3C5F-BC92-4D70-A010-D43441348344}">
      <text>
        <r>
          <rPr>
            <b/>
            <sz val="9"/>
            <color indexed="81"/>
            <rFont val="Tahoma"/>
            <family val="2"/>
          </rPr>
          <t xml:space="preserve">Hong, Sally (Research):
</t>
        </r>
        <r>
          <rPr>
            <sz val="9"/>
            <color indexed="81"/>
            <rFont val="Tahoma"/>
            <family val="2"/>
          </rPr>
          <t xml:space="preserve">
The 20% stake in VIB bank was worth A$601m in 2H24 (Page 274 in FY24 Annual Report).
</t>
        </r>
        <r>
          <rPr>
            <b/>
            <sz val="9"/>
            <color indexed="81"/>
            <rFont val="Tahoma"/>
            <family val="2"/>
          </rPr>
          <t>Block trade on 24 Sep 2024</t>
        </r>
        <r>
          <rPr>
            <sz val="9"/>
            <color indexed="81"/>
            <rFont val="Tahoma"/>
            <family val="2"/>
          </rPr>
          <t xml:space="preserve">
Sale of 5% stake in VIB in 1Q25 for A$160m. This resulted in A$50m gain (per ASX announcement in 29/10/24)
Reclassified from Investment in Associate to FVOCI. 
</t>
        </r>
        <r>
          <rPr>
            <b/>
            <sz val="9"/>
            <color indexed="81"/>
            <rFont val="Tahoma"/>
            <family val="2"/>
          </rPr>
          <t>ASX announcement  29/10/24</t>
        </r>
        <r>
          <rPr>
            <sz val="9"/>
            <color indexed="81"/>
            <rFont val="Tahoma"/>
            <family val="2"/>
          </rPr>
          <t xml:space="preserve">
Sale of 10% stake in VIB in 2Q25 for A$320m. 
The 10% sale has generated losses that have materially offset the  gain in 1Q25 and includes +7bp CET1 Ratio  Uplift in 2Q25.
CBA retains a 5% stake in VIB at at 29 Oct 2024.</t>
        </r>
      </text>
    </comment>
    <comment ref="DE658" authorId="4" shapeId="0" xr:uid="{E57EFFD3-E3F1-4DA4-9A0D-C48D7CFBD59D}">
      <text>
        <r>
          <rPr>
            <b/>
            <sz val="9"/>
            <color indexed="81"/>
            <rFont val="Tahoma"/>
            <family val="2"/>
          </rPr>
          <t>Hong, Sally (Research):</t>
        </r>
        <r>
          <rPr>
            <sz val="9"/>
            <color indexed="81"/>
            <rFont val="Tahoma"/>
            <family val="2"/>
          </rPr>
          <t xml:space="preserve">
-66m loss in 2H25 relating to disposal of assets as lessor
Foot note 6 Page 83 FY25 4E</t>
        </r>
      </text>
    </comment>
    <comment ref="CS659" authorId="4" shapeId="0" xr:uid="{D43DD412-4C3C-4D05-AEC4-25D1CC7E39F6}">
      <text>
        <r>
          <rPr>
            <b/>
            <sz val="9"/>
            <color indexed="81"/>
            <rFont val="Tahoma"/>
            <family val="2"/>
          </rPr>
          <t>Hong, Sally (Research):</t>
        </r>
        <r>
          <rPr>
            <sz val="9"/>
            <color indexed="81"/>
            <rFont val="Tahoma"/>
            <family val="2"/>
          </rPr>
          <t xml:space="preserve">
Gain on Sale of Bank of Hangzhou stake $516m</t>
        </r>
      </text>
    </comment>
    <comment ref="BY660" authorId="1" shapeId="0" xr:uid="{6214D90C-AEEE-43A5-8BE9-6951CE802588}">
      <text>
        <r>
          <rPr>
            <b/>
            <sz val="9"/>
            <color indexed="81"/>
            <rFont val="Tahoma"/>
            <family val="2"/>
          </rPr>
          <t>O'Neill, Emilie (Research):</t>
        </r>
        <r>
          <rPr>
            <sz val="9"/>
            <color indexed="81"/>
            <rFont val="Tahoma"/>
            <family val="2"/>
          </rPr>
          <t xml:space="preserve">
Balancing item for restatements to FY17 in 2H18</t>
        </r>
      </text>
    </comment>
    <comment ref="BZ660" authorId="1" shapeId="0" xr:uid="{C5E62695-B662-4323-AC60-35A43B690DC2}">
      <text>
        <r>
          <rPr>
            <b/>
            <sz val="9"/>
            <color indexed="81"/>
            <rFont val="Tahoma"/>
            <family val="2"/>
          </rPr>
          <t>O'Neill, Emilie (Research):</t>
        </r>
        <r>
          <rPr>
            <sz val="9"/>
            <color indexed="81"/>
            <rFont val="Tahoma"/>
            <family val="2"/>
          </rPr>
          <t xml:space="preserve">
Restated 2H18</t>
        </r>
      </text>
    </comment>
    <comment ref="CB660" authorId="1" shapeId="0" xr:uid="{F5831319-B752-4711-BA3D-64017A1348AB}">
      <text>
        <r>
          <rPr>
            <b/>
            <sz val="9"/>
            <color indexed="81"/>
            <rFont val="Tahoma"/>
            <family val="2"/>
          </rPr>
          <t>O'Neill, Emilie (Research):</t>
        </r>
        <r>
          <rPr>
            <sz val="9"/>
            <color indexed="81"/>
            <rFont val="Tahoma"/>
            <family val="2"/>
          </rPr>
          <t xml:space="preserve">
Restated 1H19</t>
        </r>
      </text>
    </comment>
    <comment ref="CC660" authorId="1" shapeId="0" xr:uid="{8C52A01E-2D63-4C2C-AAE1-CC3CF94905D6}">
      <text>
        <r>
          <rPr>
            <b/>
            <sz val="9"/>
            <color indexed="81"/>
            <rFont val="Tahoma"/>
            <family val="2"/>
          </rPr>
          <t>O'Neill, Emilie (Research):</t>
        </r>
        <r>
          <rPr>
            <sz val="9"/>
            <color indexed="81"/>
            <rFont val="Tahoma"/>
            <family val="2"/>
          </rPr>
          <t xml:space="preserve">
Restated 1H19</t>
        </r>
      </text>
    </comment>
    <comment ref="CO660" authorId="3" shapeId="0" xr:uid="{1B594256-E0F1-4AFD-A32E-AD850E02D677}">
      <text>
        <r>
          <rPr>
            <b/>
            <sz val="9"/>
            <color indexed="81"/>
            <rFont val="Tahoma"/>
            <family val="2"/>
          </rPr>
          <t>Wiles, Richard (Research):</t>
        </r>
        <r>
          <rPr>
            <sz val="9"/>
            <color indexed="81"/>
            <rFont val="Tahoma"/>
            <family val="2"/>
          </rPr>
          <t xml:space="preserve">
includes approx A$200m reversal of impairment on Hangzhou</t>
        </r>
      </text>
    </comment>
    <comment ref="CV660" authorId="4" shapeId="0" xr:uid="{E3837032-ACE3-4113-A625-7DED74C6B395}">
      <text>
        <r>
          <rPr>
            <b/>
            <sz val="9"/>
            <color indexed="81"/>
            <rFont val="Tahoma"/>
            <family val="2"/>
          </rPr>
          <t>Hong, Sally (Research):</t>
        </r>
        <r>
          <rPr>
            <sz val="9"/>
            <color indexed="81"/>
            <rFont val="Tahoma"/>
            <family val="2"/>
          </rPr>
          <t xml:space="preserve">
Includes equity accounted losses from CFS (page 14 of 1H23 4D)
Sale of Hangzhou completed 30 June 2022: CBA will no longer recognise the share of HZB profits in other banking income (which has averaged ~$200m p.a.) .. reduce Half yearly income by 100m 
</t>
        </r>
      </text>
    </comment>
    <comment ref="CW660" authorId="4" shapeId="0" xr:uid="{F02345D9-AF91-4CD7-99E8-2FC6FD024049}">
      <text>
        <r>
          <rPr>
            <b/>
            <sz val="9"/>
            <color indexed="81"/>
            <rFont val="Tahoma"/>
            <family val="2"/>
          </rPr>
          <t>Hong, Sally (Research):</t>
        </r>
        <r>
          <rPr>
            <sz val="9"/>
            <color indexed="81"/>
            <rFont val="Tahoma"/>
            <family val="2"/>
          </rPr>
          <t xml:space="preserve">
Restated in 1H24: Page 120 1H24 4D to -A$4m following reclass of Qilu bank to FVOCI,
Page 87 FY23 4E: 10% Bank of Hangzhou has beendisposed and remaining 5.6% reclassified to FVOCI
A$128m </t>
        </r>
      </text>
    </comment>
    <comment ref="CZ660" authorId="4" shapeId="0" xr:uid="{CB11C9C6-490C-4171-A9A5-D320E5D70551}">
      <text>
        <r>
          <rPr>
            <b/>
            <sz val="9"/>
            <color indexed="81"/>
            <rFont val="Tahoma"/>
            <family val="2"/>
          </rPr>
          <t>Hong, Sally (Research):</t>
        </r>
        <r>
          <rPr>
            <sz val="9"/>
            <color indexed="81"/>
            <rFont val="Tahoma"/>
            <family val="2"/>
          </rPr>
          <t xml:space="preserve">
Share of profit of associates and joint ventures net of impairment:
Reclassed Qilu Bank to FVOCI. Which makes It makes $50m/half</t>
        </r>
      </text>
    </comment>
    <comment ref="DE660" authorId="4" shapeId="0" xr:uid="{853FF811-7807-4D26-9E67-275A532AEABD}">
      <text>
        <r>
          <rPr>
            <b/>
            <sz val="9"/>
            <color indexed="81"/>
            <rFont val="Tahoma"/>
            <family val="2"/>
          </rPr>
          <t>Hong, Sally (Research):</t>
        </r>
        <r>
          <rPr>
            <sz val="9"/>
            <color indexed="81"/>
            <rFont val="Tahoma"/>
            <family val="2"/>
          </rPr>
          <t xml:space="preserve">
Includes A$221m loss on sale of 5.45% Bank of Hangzhou Stake</t>
        </r>
      </text>
    </comment>
    <comment ref="BY661" authorId="1" shapeId="0" xr:uid="{6DED2E71-B9AA-4767-BD1F-5A9BB4CC3B73}">
      <text>
        <r>
          <rPr>
            <b/>
            <sz val="9"/>
            <color indexed="81"/>
            <rFont val="Tahoma"/>
            <family val="2"/>
          </rPr>
          <t>O'Neill, Emilie (Research):</t>
        </r>
        <r>
          <rPr>
            <sz val="9"/>
            <color indexed="81"/>
            <rFont val="Tahoma"/>
            <family val="2"/>
          </rPr>
          <t xml:space="preserve">
Balancing item for restatements to FY17 in 2H18
</t>
        </r>
      </text>
    </comment>
    <comment ref="BZ661" authorId="1" shapeId="0" xr:uid="{321F2BFC-E289-4DC3-9AB3-D266FFED3E89}">
      <text>
        <r>
          <rPr>
            <b/>
            <sz val="9"/>
            <color indexed="81"/>
            <rFont val="Tahoma"/>
            <family val="2"/>
          </rPr>
          <t>O'Neill, Emilie (Research):</t>
        </r>
        <r>
          <rPr>
            <sz val="9"/>
            <color indexed="81"/>
            <rFont val="Tahoma"/>
            <family val="2"/>
          </rPr>
          <t xml:space="preserve">
Restated 2H18</t>
        </r>
      </text>
    </comment>
    <comment ref="CB661" authorId="1" shapeId="0" xr:uid="{52ACDEC4-0F95-4573-8ACD-A1A05E3535D9}">
      <text>
        <r>
          <rPr>
            <b/>
            <sz val="9"/>
            <color indexed="81"/>
            <rFont val="Tahoma"/>
            <family val="2"/>
          </rPr>
          <t>O'Neill, Emilie (Research):</t>
        </r>
        <r>
          <rPr>
            <sz val="9"/>
            <color indexed="81"/>
            <rFont val="Tahoma"/>
            <family val="2"/>
          </rPr>
          <t xml:space="preserve">
Restated 2H18</t>
        </r>
      </text>
    </comment>
    <comment ref="CF661" authorId="1" shapeId="0" xr:uid="{768DAA0F-BEA8-4789-A457-016D73621937}">
      <text>
        <r>
          <rPr>
            <b/>
            <sz val="9"/>
            <color indexed="81"/>
            <rFont val="Tahoma"/>
            <family val="2"/>
          </rPr>
          <t>O'Neill, Emilie (Research):</t>
        </r>
        <r>
          <rPr>
            <sz val="9"/>
            <color indexed="81"/>
            <rFont val="Tahoma"/>
            <family val="2"/>
          </rPr>
          <t xml:space="preserve">
Continuing operations basis + recon. Between cash and statutory</t>
        </r>
      </text>
    </comment>
    <comment ref="CJ661" authorId="1" shapeId="0" xr:uid="{EC48FF69-20F7-40AC-8FA3-C7CFA06F4D63}">
      <text>
        <r>
          <rPr>
            <b/>
            <sz val="9"/>
            <color indexed="81"/>
            <rFont val="Tahoma"/>
            <family val="2"/>
          </rPr>
          <t>O'Neill, Emilie (Research):</t>
        </r>
        <r>
          <rPr>
            <sz val="9"/>
            <color indexed="81"/>
            <rFont val="Tahoma"/>
            <family val="2"/>
          </rPr>
          <t xml:space="preserve">
Continuing operations basis + recon. Between cash and statutory</t>
        </r>
      </text>
    </comment>
    <comment ref="CK661" authorId="2" shapeId="0" xr:uid="{2B1DE789-17F4-40BD-A9CE-D9D25E1D8DD9}">
      <text>
        <r>
          <rPr>
            <b/>
            <sz val="9"/>
            <color indexed="81"/>
            <rFont val="Tahoma"/>
            <family val="2"/>
          </rPr>
          <t>Fernandes, Sona F (Research):</t>
        </r>
        <r>
          <rPr>
            <sz val="9"/>
            <color indexed="81"/>
            <rFont val="Tahoma"/>
            <family val="2"/>
          </rPr>
          <t xml:space="preserve">
Dividends + other + gain from hedging effectiveness - (revenue hedge of NZ operations unrealised + gain on disposal + hedging and IFRS volatility)
</t>
        </r>
      </text>
    </comment>
    <comment ref="CN661" authorId="2" shapeId="0" xr:uid="{C27F52D9-2ECB-4263-A85D-DB9213584C00}">
      <text>
        <r>
          <rPr>
            <b/>
            <sz val="9"/>
            <color indexed="81"/>
            <rFont val="Tahoma"/>
            <family val="2"/>
          </rPr>
          <t>Fernandes, Sona F (Research):</t>
        </r>
        <r>
          <rPr>
            <sz val="9"/>
            <color indexed="81"/>
            <rFont val="Tahoma"/>
            <family val="2"/>
          </rPr>
          <t xml:space="preserve">
Dividends + other + gain from hedging effectiveness - (revenue hedge of NZ operations unrealised + gain on disposal + hedging and IFRS volatility)
</t>
        </r>
      </text>
    </comment>
    <comment ref="CO661" authorId="2" shapeId="0" xr:uid="{D83DFF15-FCE0-4362-A32B-956454F1D4ED}">
      <text>
        <r>
          <rPr>
            <b/>
            <sz val="9"/>
            <color indexed="81"/>
            <rFont val="Tahoma"/>
            <family val="2"/>
          </rPr>
          <t>Fernandes, Sona F (Research):</t>
        </r>
        <r>
          <rPr>
            <sz val="9"/>
            <color indexed="81"/>
            <rFont val="Tahoma"/>
            <family val="2"/>
          </rPr>
          <t xml:space="preserve">
Dividends + other + gain from hedging effectiveness - (revenue hedge of NZ operations unrealised + gain on disposal + hedging and IFRS volatility)
</t>
        </r>
      </text>
    </comment>
    <comment ref="CR661" authorId="2" shapeId="0" xr:uid="{CD389626-99E2-442E-9218-54F1889386F8}">
      <text>
        <r>
          <rPr>
            <b/>
            <sz val="9"/>
            <color indexed="81"/>
            <rFont val="Tahoma"/>
            <family val="2"/>
          </rPr>
          <t>Fernandes, Sona F (Research):</t>
        </r>
        <r>
          <rPr>
            <sz val="9"/>
            <color indexed="81"/>
            <rFont val="Tahoma"/>
            <family val="2"/>
          </rPr>
          <t xml:space="preserve">
Dividends + other + gain from hedging effectiveness - (revenue hedge of NZ operations unrealised + gain on disposal + hedging and IFRS volatility)
</t>
        </r>
      </text>
    </comment>
    <comment ref="CV661" authorId="2" shapeId="0" xr:uid="{4F078DB6-581E-40FC-9ADD-D9CEA4168039}">
      <text>
        <r>
          <rPr>
            <sz val="9"/>
            <color indexed="81"/>
            <rFont val="Tahoma"/>
            <family val="2"/>
          </rPr>
          <t xml:space="preserve">
Dividends + heding ineffectiveness
</t>
        </r>
      </text>
    </comment>
    <comment ref="CZ661" authorId="3" shapeId="0" xr:uid="{4A4E432F-E14D-450A-9A19-0C1F83B94179}">
      <text>
        <r>
          <rPr>
            <b/>
            <sz val="9"/>
            <color indexed="81"/>
            <rFont val="Tahoma"/>
            <family val="2"/>
          </rPr>
          <t>Wiles, Richard (Research):</t>
        </r>
        <r>
          <rPr>
            <sz val="9"/>
            <color indexed="81"/>
            <rFont val="Tahoma"/>
            <family val="2"/>
          </rPr>
          <t xml:space="preserve">
includes A$55m dividends from minority investments and (1H only)</t>
        </r>
      </text>
    </comment>
    <comment ref="BX662" authorId="1" shapeId="0" xr:uid="{33BFB429-999A-486E-874A-F131EC14D2DD}">
      <text>
        <r>
          <rPr>
            <b/>
            <sz val="9"/>
            <color indexed="81"/>
            <rFont val="Tahoma"/>
            <family val="2"/>
          </rPr>
          <t>O'Neill, Emilie (Research):</t>
        </r>
        <r>
          <rPr>
            <sz val="9"/>
            <color indexed="81"/>
            <rFont val="Tahoma"/>
            <family val="2"/>
          </rPr>
          <t xml:space="preserve">
driven by 397 visa gain on sale</t>
        </r>
      </text>
    </comment>
    <comment ref="CK662" authorId="2" shapeId="0" xr:uid="{9C39C600-3D08-433B-8410-F8B6B0364B70}">
      <text>
        <r>
          <rPr>
            <b/>
            <sz val="9"/>
            <color indexed="81"/>
            <rFont val="Tahoma"/>
            <family val="2"/>
          </rPr>
          <t>Fernandes, Sona F (Research):</t>
        </r>
        <r>
          <rPr>
            <sz val="9"/>
            <color indexed="81"/>
            <rFont val="Tahoma"/>
            <family val="2"/>
          </rPr>
          <t xml:space="preserve">
Equals gain on non-trading financial instruments
</t>
        </r>
      </text>
    </comment>
    <comment ref="CN662" authorId="5" shapeId="0" xr:uid="{39A84D7D-9396-4729-BE43-FF2A2C8BAF2A}">
      <text>
        <r>
          <rPr>
            <b/>
            <sz val="9"/>
            <color indexed="81"/>
            <rFont val="Tahoma"/>
            <family val="2"/>
          </rPr>
          <t>Fernandes, Sona (Research):</t>
        </r>
        <r>
          <rPr>
            <sz val="9"/>
            <color indexed="81"/>
            <rFont val="Tahoma"/>
            <family val="2"/>
          </rPr>
          <t xml:space="preserve">
Equals loss on non-trading financial instruments</t>
        </r>
      </text>
    </comment>
    <comment ref="CO662" authorId="5" shapeId="0" xr:uid="{D11556E8-BC8C-4CC0-B136-7F4156C2F21D}">
      <text>
        <r>
          <rPr>
            <b/>
            <sz val="9"/>
            <color indexed="81"/>
            <rFont val="Tahoma"/>
            <family val="2"/>
          </rPr>
          <t>Fernandes, Sona (Research):</t>
        </r>
        <r>
          <rPr>
            <sz val="9"/>
            <color indexed="81"/>
            <rFont val="Tahoma"/>
            <family val="2"/>
          </rPr>
          <t xml:space="preserve">
Equals loss on non-trading financial instruments</t>
        </r>
      </text>
    </comment>
    <comment ref="CR662" authorId="5" shapeId="0" xr:uid="{2118A348-AEB6-4C90-97C8-C7E64617673F}">
      <text>
        <r>
          <rPr>
            <b/>
            <sz val="9"/>
            <color indexed="81"/>
            <rFont val="Tahoma"/>
            <family val="2"/>
          </rPr>
          <t>Fernandes, Sona (Research):</t>
        </r>
        <r>
          <rPr>
            <sz val="9"/>
            <color indexed="81"/>
            <rFont val="Tahoma"/>
            <family val="2"/>
          </rPr>
          <t xml:space="preserve">
Equals loss on non-trading financial instruments</t>
        </r>
      </text>
    </comment>
    <comment ref="CS667" authorId="3" shapeId="0" xr:uid="{E85BE862-F43A-4F2A-819B-3F4DD44F19D1}">
      <text>
        <r>
          <rPr>
            <b/>
            <sz val="9"/>
            <color indexed="81"/>
            <rFont val="Tahoma"/>
            <family val="2"/>
          </rPr>
          <t>Wiles, Richard (Research):</t>
        </r>
        <r>
          <rPr>
            <sz val="9"/>
            <color indexed="81"/>
            <rFont val="Tahoma"/>
            <family val="2"/>
          </rPr>
          <t xml:space="preserve">
lower due to removal of admin fees on Kiwis Saver, sale of management rights in ASB Super Master Trust and lower av AUM </t>
        </r>
      </text>
    </comment>
    <comment ref="CV667" authorId="3" shapeId="0" xr:uid="{D1A350DC-D97F-4F2F-B285-6C953EA164B1}">
      <text>
        <r>
          <rPr>
            <b/>
            <sz val="9"/>
            <color indexed="81"/>
            <rFont val="Tahoma"/>
            <family val="2"/>
          </rPr>
          <t>Wiles, Richard (Research):</t>
        </r>
        <r>
          <rPr>
            <sz val="9"/>
            <color indexed="81"/>
            <rFont val="Tahoma"/>
            <family val="2"/>
          </rPr>
          <t xml:space="preserve">
lower in 2H22 due to removal of admin fees on Kiwis Saver, sale of management rights in ASB Super Master Trust and lower av AUM .. Implies no rebound in 1H23</t>
        </r>
      </text>
    </comment>
    <comment ref="CB680" authorId="1" shapeId="0" xr:uid="{A7371102-BC3A-439C-BD88-83E7F573450B}">
      <text>
        <r>
          <rPr>
            <b/>
            <sz val="9"/>
            <color indexed="81"/>
            <rFont val="Tahoma"/>
            <family val="2"/>
          </rPr>
          <t>O'Neill, Emilie (Research):</t>
        </r>
        <r>
          <rPr>
            <sz val="9"/>
            <color indexed="81"/>
            <rFont val="Tahoma"/>
            <family val="2"/>
          </rPr>
          <t xml:space="preserve">
Moved into discontinued as per announcement at 18th Jan 2018</t>
        </r>
      </text>
    </comment>
    <comment ref="CD680" authorId="1" shapeId="0" xr:uid="{EA28BED0-B51B-400C-BEF9-8B3D1AE134B4}">
      <text>
        <r>
          <rPr>
            <b/>
            <sz val="9"/>
            <color indexed="81"/>
            <rFont val="Tahoma"/>
            <family val="2"/>
          </rPr>
          <t>O'Neill, Emilie (Research):</t>
        </r>
        <r>
          <rPr>
            <sz val="9"/>
            <color indexed="81"/>
            <rFont val="Tahoma"/>
            <family val="2"/>
          </rPr>
          <t xml:space="preserve">
Moved into discontinued as per announcement at 18th Jan 2018</t>
        </r>
      </text>
    </comment>
    <comment ref="A681" authorId="3" shapeId="0" xr:uid="{88548F8E-EAB0-4247-A166-26B9BCAF839D}">
      <text>
        <r>
          <rPr>
            <b/>
            <sz val="9"/>
            <color indexed="81"/>
            <rFont val="Tahoma"/>
            <family val="2"/>
          </rPr>
          <t>Wiles, Richard (Research):</t>
        </r>
        <r>
          <rPr>
            <sz val="9"/>
            <color indexed="81"/>
            <rFont val="Tahoma"/>
            <family val="2"/>
          </rPr>
          <t xml:space="preserve">
includes CFS, Commonwealth Financial Planning and Other </t>
        </r>
      </text>
    </comment>
    <comment ref="CB682" authorId="1" shapeId="0" xr:uid="{964ECCF9-53CB-4758-A153-570D4E5C6BD6}">
      <text>
        <r>
          <rPr>
            <b/>
            <sz val="9"/>
            <color indexed="81"/>
            <rFont val="Tahoma"/>
            <family val="2"/>
          </rPr>
          <t>O'Neill, Emilie (Research):</t>
        </r>
        <r>
          <rPr>
            <sz val="9"/>
            <color indexed="81"/>
            <rFont val="Tahoma"/>
            <family val="2"/>
          </rPr>
          <t xml:space="preserve">
Restated 1H19</t>
        </r>
      </text>
    </comment>
    <comment ref="CC682" authorId="1" shapeId="0" xr:uid="{D680AAC3-B5A2-4DF2-BD88-A1F5478B6BB5}">
      <text>
        <r>
          <rPr>
            <b/>
            <sz val="9"/>
            <color indexed="81"/>
            <rFont val="Tahoma"/>
            <family val="2"/>
          </rPr>
          <t>O'Neill, Emilie (Research):</t>
        </r>
        <r>
          <rPr>
            <sz val="9"/>
            <color indexed="81"/>
            <rFont val="Tahoma"/>
            <family val="2"/>
          </rPr>
          <t xml:space="preserve">
Restated 1H19</t>
        </r>
      </text>
    </comment>
    <comment ref="CN682" authorId="5" shapeId="0" xr:uid="{3DF55AD2-4F69-47EA-BA54-FEF5F45D5159}">
      <text>
        <r>
          <rPr>
            <b/>
            <sz val="9"/>
            <color indexed="81"/>
            <rFont val="Tahoma"/>
            <family val="2"/>
          </rPr>
          <t>Fernandes, Sona (Research):</t>
        </r>
        <r>
          <rPr>
            <sz val="9"/>
            <color indexed="81"/>
            <rFont val="Tahoma"/>
            <family val="2"/>
          </rPr>
          <t xml:space="preserve">
NZ Funds Management Income</t>
        </r>
      </text>
    </comment>
    <comment ref="CO682" authorId="5" shapeId="0" xr:uid="{60D39306-7412-476A-8FD9-7BB81D71B9BF}">
      <text>
        <r>
          <rPr>
            <b/>
            <sz val="9"/>
            <color indexed="81"/>
            <rFont val="Tahoma"/>
            <family val="2"/>
          </rPr>
          <t>Fernandes, Sona (Research):</t>
        </r>
        <r>
          <rPr>
            <sz val="9"/>
            <color indexed="81"/>
            <rFont val="Tahoma"/>
            <family val="2"/>
          </rPr>
          <t xml:space="preserve">
NZ Funds Management Income</t>
        </r>
      </text>
    </comment>
    <comment ref="CR682" authorId="5" shapeId="0" xr:uid="{5C9049DE-185C-4480-AEB7-B61B62C3C92E}">
      <text>
        <r>
          <rPr>
            <b/>
            <sz val="9"/>
            <color indexed="81"/>
            <rFont val="Tahoma"/>
            <family val="2"/>
          </rPr>
          <t>Fernandes, Sona (Research):</t>
        </r>
        <r>
          <rPr>
            <sz val="9"/>
            <color indexed="81"/>
            <rFont val="Tahoma"/>
            <family val="2"/>
          </rPr>
          <t xml:space="preserve">
NZ Funds Management Income</t>
        </r>
      </text>
    </comment>
    <comment ref="CK684" authorId="3" shapeId="0" xr:uid="{3B555925-B140-4E0B-AFAD-FE403D32781E}">
      <text>
        <r>
          <rPr>
            <b/>
            <sz val="9"/>
            <color indexed="81"/>
            <rFont val="Tahoma"/>
            <family val="2"/>
          </rPr>
          <t>Wiles, Richard (Research):</t>
        </r>
        <r>
          <rPr>
            <sz val="9"/>
            <color indexed="81"/>
            <rFont val="Tahoma"/>
            <family val="2"/>
          </rPr>
          <t xml:space="preserve">
driven by lower weather related claims in 2H20 vs 1H20</t>
        </r>
      </text>
    </comment>
    <comment ref="BX685" authorId="8" shapeId="0" xr:uid="{A3E04AD8-3B5C-4D89-B9F7-C29B2ADBFEF9}">
      <text>
        <r>
          <rPr>
            <b/>
            <sz val="9"/>
            <color indexed="81"/>
            <rFont val="Tahoma"/>
            <family val="2"/>
          </rPr>
          <t>Stadnik, Andrei (Research):</t>
        </r>
        <r>
          <rPr>
            <sz val="9"/>
            <color indexed="81"/>
            <rFont val="Tahoma"/>
            <family val="2"/>
          </rPr>
          <t xml:space="preserve">
restated on sale of Life</t>
        </r>
      </text>
    </comment>
    <comment ref="BY685" authorId="8" shapeId="0" xr:uid="{10E601AE-0E64-45E3-B7D8-3277F5EF129F}">
      <text>
        <r>
          <rPr>
            <b/>
            <sz val="9"/>
            <color indexed="81"/>
            <rFont val="Tahoma"/>
            <family val="2"/>
          </rPr>
          <t>Stadnik, Andrei (Research):</t>
        </r>
        <r>
          <rPr>
            <sz val="9"/>
            <color indexed="81"/>
            <rFont val="Tahoma"/>
            <family val="2"/>
          </rPr>
          <t xml:space="preserve">
restated on sale of Life</t>
        </r>
      </text>
    </comment>
    <comment ref="BT698" authorId="0" shapeId="0" xr:uid="{F68BE4BF-08E2-4E66-804B-DA4526ADBAE8}">
      <text>
        <r>
          <rPr>
            <b/>
            <sz val="9"/>
            <color indexed="81"/>
            <rFont val="Tahoma"/>
            <family val="2"/>
          </rPr>
          <t>Dunger, Matt (Research):</t>
        </r>
        <r>
          <rPr>
            <sz val="9"/>
            <color indexed="81"/>
            <rFont val="Tahoma"/>
            <family val="2"/>
          </rPr>
          <t xml:space="preserve">
FUA benefitted from reduced customer remediation costs </t>
        </r>
      </text>
    </comment>
    <comment ref="BY698" authorId="3" shapeId="0" xr:uid="{E53A5F02-9283-47BC-889D-00043B8BD9B2}">
      <text>
        <r>
          <rPr>
            <b/>
            <sz val="9"/>
            <color indexed="81"/>
            <rFont val="Tahoma"/>
            <family val="2"/>
          </rPr>
          <t>Wiles, Richard (Research):</t>
        </r>
        <r>
          <rPr>
            <sz val="9"/>
            <color indexed="81"/>
            <rFont val="Tahoma"/>
            <family val="2"/>
          </rPr>
          <t xml:space="preserve">
Lower remediation in CFS</t>
        </r>
      </text>
    </comment>
    <comment ref="CC698" authorId="3" shapeId="0" xr:uid="{612A0553-17E9-47A7-A23E-3C4B732660AD}">
      <text>
        <r>
          <rPr>
            <b/>
            <sz val="9"/>
            <color indexed="81"/>
            <rFont val="Tahoma"/>
            <family val="2"/>
          </rPr>
          <t>Wiles, Richard (Research):</t>
        </r>
        <r>
          <rPr>
            <sz val="9"/>
            <color indexed="81"/>
            <rFont val="Tahoma"/>
            <family val="2"/>
          </rPr>
          <t xml:space="preserve">
Lower remediation in CFS</t>
        </r>
      </text>
    </comment>
    <comment ref="CI698" authorId="1" shapeId="0" xr:uid="{BB048ACA-766A-4B34-86B5-BF9E5396157C}">
      <text>
        <r>
          <rPr>
            <b/>
            <sz val="9"/>
            <color indexed="81"/>
            <rFont val="Tahoma"/>
            <family val="2"/>
          </rPr>
          <t>O'Neill, Emilie (Research):</t>
        </r>
        <r>
          <rPr>
            <sz val="9"/>
            <color indexed="81"/>
            <rFont val="Tahoma"/>
            <family val="2"/>
          </rPr>
          <t xml:space="preserve">
Remaining funds management income is Commonwealth Financial Planners and GI. 
A$15m impact in FY19 from CFS re-pricing (refer slide 5 of 3Q19)
</t>
        </r>
      </text>
    </comment>
    <comment ref="CJ698" authorId="3" shapeId="0" xr:uid="{0555793F-324F-40D9-9B25-3C996635503E}">
      <text>
        <r>
          <rPr>
            <b/>
            <sz val="9"/>
            <color indexed="81"/>
            <rFont val="Tahoma"/>
            <family val="2"/>
          </rPr>
          <t>Wiles, Richard (Research):</t>
        </r>
        <r>
          <rPr>
            <sz val="9"/>
            <color indexed="81"/>
            <rFont val="Tahoma"/>
            <family val="2"/>
          </rPr>
          <t xml:space="preserve">
a further A$70m impact in FY20E from CFE re-pricing (refer 3Q19 slide 5) … and total better customer outcome of A$90 (slide 48 of FY19)</t>
        </r>
      </text>
    </comment>
    <comment ref="BJ699" authorId="7" shapeId="0" xr:uid="{0466293C-8BF0-48F9-81E6-0A833AB392F7}">
      <text>
        <r>
          <rPr>
            <b/>
            <sz val="8"/>
            <color indexed="81"/>
            <rFont val="Tahoma"/>
            <family val="2"/>
          </rPr>
          <t>Dunger:</t>
        </r>
        <r>
          <rPr>
            <sz val="8"/>
            <color indexed="81"/>
            <rFont val="Tahoma"/>
            <family val="2"/>
          </rPr>
          <t xml:space="preserve">
Restated at FY14</t>
        </r>
      </text>
    </comment>
    <comment ref="BL699" authorId="0" shapeId="0" xr:uid="{DDCDF8A4-E5A1-42F2-A2FC-5E193399AF2E}">
      <text>
        <r>
          <rPr>
            <b/>
            <sz val="9"/>
            <color indexed="81"/>
            <rFont val="Tahoma"/>
            <family val="2"/>
          </rPr>
          <t>Dunger, Matt (Research):</t>
        </r>
        <r>
          <rPr>
            <sz val="9"/>
            <color indexed="81"/>
            <rFont val="Tahoma"/>
            <family val="2"/>
          </rPr>
          <t xml:space="preserve">
Restated to exclude Property</t>
        </r>
      </text>
    </comment>
    <comment ref="BM699" authorId="0" shapeId="0" xr:uid="{841C3454-0E6C-4BDD-B651-5ABBE8BA8DD0}">
      <text>
        <r>
          <rPr>
            <b/>
            <sz val="9"/>
            <color indexed="81"/>
            <rFont val="Tahoma"/>
            <family val="2"/>
          </rPr>
          <t>Dunger, Matt (Research):</t>
        </r>
        <r>
          <rPr>
            <sz val="9"/>
            <color indexed="81"/>
            <rFont val="Tahoma"/>
            <family val="2"/>
          </rPr>
          <t xml:space="preserve">
Restated to exclude Property</t>
        </r>
      </text>
    </comment>
    <comment ref="BP699" authorId="0" shapeId="0" xr:uid="{75052B04-EBF9-46E0-A0D4-838762448E46}">
      <text>
        <r>
          <rPr>
            <b/>
            <sz val="9"/>
            <color indexed="81"/>
            <rFont val="Tahoma"/>
            <family val="2"/>
          </rPr>
          <t>Dunger, Matt (Research):</t>
        </r>
        <r>
          <rPr>
            <sz val="9"/>
            <color indexed="81"/>
            <rFont val="Tahoma"/>
            <family val="2"/>
          </rPr>
          <t xml:space="preserve">
restated at 1H16 </t>
        </r>
      </text>
    </comment>
    <comment ref="BQ699" authorId="0" shapeId="0" xr:uid="{BCFFF7F1-02B1-49E2-91AA-844F825EED20}">
      <text>
        <r>
          <rPr>
            <b/>
            <sz val="9"/>
            <color indexed="81"/>
            <rFont val="Tahoma"/>
            <family val="2"/>
          </rPr>
          <t>Dunger, Matt (Research):</t>
        </r>
        <r>
          <rPr>
            <sz val="9"/>
            <color indexed="81"/>
            <rFont val="Tahoma"/>
            <family val="2"/>
          </rPr>
          <t xml:space="preserve">
restated at 1H16 </t>
        </r>
      </text>
    </comment>
    <comment ref="BT699" authorId="0" shapeId="0" xr:uid="{C14544F9-BFF5-41F9-9A79-7647A46AC62C}">
      <text>
        <r>
          <rPr>
            <b/>
            <sz val="9"/>
            <color indexed="81"/>
            <rFont val="Tahoma"/>
            <family val="2"/>
          </rPr>
          <t>Dunger, Matt (Research):</t>
        </r>
        <r>
          <rPr>
            <sz val="9"/>
            <color indexed="81"/>
            <rFont val="Tahoma"/>
            <family val="2"/>
          </rPr>
          <t xml:space="preserve">
restated at 1H16 to exclude the groups interest FirstState Cinda FM</t>
        </r>
      </text>
    </comment>
    <comment ref="BX699" authorId="1" shapeId="0" xr:uid="{002F6157-C2ED-4891-9654-AE84ED9B8D02}">
      <text>
        <r>
          <rPr>
            <b/>
            <sz val="9"/>
            <color indexed="81"/>
            <rFont val="Tahoma"/>
            <family val="2"/>
          </rPr>
          <t>O'Neill, Emilie (Research):</t>
        </r>
        <r>
          <rPr>
            <sz val="9"/>
            <color indexed="81"/>
            <rFont val="Tahoma"/>
            <family val="2"/>
          </rPr>
          <t xml:space="preserve">
FUA restated to exclude the life business in 1H18</t>
        </r>
      </text>
    </comment>
    <comment ref="BY699" authorId="1" shapeId="0" xr:uid="{EBCB6200-9A75-472B-8F47-21050CA0CA75}">
      <text>
        <r>
          <rPr>
            <b/>
            <sz val="9"/>
            <color indexed="81"/>
            <rFont val="Tahoma"/>
            <family val="2"/>
          </rPr>
          <t>O'Neill, Emilie (Research):</t>
        </r>
        <r>
          <rPr>
            <sz val="9"/>
            <color indexed="81"/>
            <rFont val="Tahoma"/>
            <family val="2"/>
          </rPr>
          <t xml:space="preserve">
FUA restated to exclude the life business in 1H18</t>
        </r>
      </text>
    </comment>
    <comment ref="CB699" authorId="1" shapeId="0" xr:uid="{F815D848-88DA-4228-9323-A0B1819A2627}">
      <text>
        <r>
          <rPr>
            <b/>
            <sz val="9"/>
            <color indexed="81"/>
            <rFont val="Tahoma"/>
            <family val="2"/>
          </rPr>
          <t>O'Neill, Emilie (Research):</t>
        </r>
        <r>
          <rPr>
            <sz val="9"/>
            <color indexed="81"/>
            <rFont val="Tahoma"/>
            <family val="2"/>
          </rPr>
          <t xml:space="preserve">
Restated to be continuing items only</t>
        </r>
      </text>
    </comment>
    <comment ref="CC699" authorId="1" shapeId="0" xr:uid="{717D7644-0F2D-4A1C-93B9-A662DEA388A7}">
      <text>
        <r>
          <rPr>
            <b/>
            <sz val="9"/>
            <color indexed="81"/>
            <rFont val="Tahoma"/>
            <family val="2"/>
          </rPr>
          <t>O'Neill, Emilie (Research):</t>
        </r>
        <r>
          <rPr>
            <sz val="9"/>
            <color indexed="81"/>
            <rFont val="Tahoma"/>
            <family val="2"/>
          </rPr>
          <t xml:space="preserve">
Restated to be continuing items only</t>
        </r>
      </text>
    </comment>
    <comment ref="CG699" authorId="2" shapeId="0" xr:uid="{56996399-8A8F-4DA8-A08A-0C2797283B35}">
      <text>
        <r>
          <rPr>
            <b/>
            <sz val="9"/>
            <color indexed="81"/>
            <rFont val="Tahoma"/>
            <family val="2"/>
          </rPr>
          <t>Fernandes, Sona F (Research):</t>
        </r>
        <r>
          <rPr>
            <sz val="9"/>
            <color indexed="81"/>
            <rFont val="Tahoma"/>
            <family val="2"/>
          </rPr>
          <t xml:space="preserve">
Restated in FY20. Adjusted to make FY19 = 159,149</t>
        </r>
      </text>
    </comment>
    <comment ref="CJ699" authorId="2" shapeId="0" xr:uid="{6E181CC4-CAB3-474A-8262-FFB6E350E616}">
      <text>
        <r>
          <rPr>
            <b/>
            <sz val="9"/>
            <color indexed="81"/>
            <rFont val="Tahoma"/>
            <family val="2"/>
          </rPr>
          <t>Fernandes, Sona F (Research):</t>
        </r>
        <r>
          <rPr>
            <sz val="9"/>
            <color indexed="81"/>
            <rFont val="Tahoma"/>
            <family val="2"/>
          </rPr>
          <t xml:space="preserve">
Restated FY20</t>
        </r>
      </text>
    </comment>
    <comment ref="CK699" authorId="2" shapeId="0" xr:uid="{62F3C292-5E9E-4B24-9252-F14AA83D87C7}">
      <text>
        <r>
          <rPr>
            <b/>
            <sz val="9"/>
            <color indexed="81"/>
            <rFont val="Tahoma"/>
            <family val="2"/>
          </rPr>
          <t>Fernandes, Sona F (Research):</t>
        </r>
        <r>
          <rPr>
            <sz val="9"/>
            <color indexed="81"/>
            <rFont val="Tahoma"/>
            <family val="2"/>
          </rPr>
          <t xml:space="preserve">
Key Performance Indicators pg 6</t>
        </r>
      </text>
    </comment>
    <comment ref="CB703" authorId="3" shapeId="0" xr:uid="{2BF2CE5E-7B0F-4F8A-BCBC-CB31F109F9DB}">
      <text>
        <r>
          <rPr>
            <b/>
            <sz val="9"/>
            <color indexed="81"/>
            <rFont val="Tahoma"/>
            <family val="2"/>
          </rPr>
          <t>Wiles, Richard (Research):</t>
        </r>
        <r>
          <rPr>
            <sz val="9"/>
            <color indexed="81"/>
            <rFont val="Tahoma"/>
            <family val="2"/>
          </rPr>
          <t xml:space="preserve">
NOT restated for discontinued / continuing split</t>
        </r>
      </text>
    </comment>
    <comment ref="CF703" authorId="1" shapeId="0" xr:uid="{38FA604F-9134-4398-AE4E-009C57081F4E}">
      <text>
        <r>
          <rPr>
            <b/>
            <sz val="9"/>
            <color indexed="81"/>
            <rFont val="Tahoma"/>
            <family val="2"/>
          </rPr>
          <t>O'Neill, Emilie (Research):</t>
        </r>
        <r>
          <rPr>
            <sz val="9"/>
            <color indexed="81"/>
            <rFont val="Tahoma"/>
            <family val="2"/>
          </rPr>
          <t xml:space="preserve">
Hard coded given we no longer include discontinued items here</t>
        </r>
      </text>
    </comment>
    <comment ref="BM704" authorId="7" shapeId="0" xr:uid="{FF8F9A8F-B8AD-43D1-859E-780B201E1DE7}">
      <text>
        <r>
          <rPr>
            <b/>
            <sz val="8"/>
            <color indexed="81"/>
            <rFont val="Tahoma"/>
            <family val="2"/>
          </rPr>
          <t>Dunger:</t>
        </r>
        <r>
          <rPr>
            <sz val="8"/>
            <color indexed="81"/>
            <rFont val="Tahoma"/>
            <family val="2"/>
          </rPr>
          <t xml:space="preserve">
Transfer of Property FUA</t>
        </r>
      </text>
    </comment>
    <comment ref="BX704" authorId="8" shapeId="0" xr:uid="{D6E48BCE-905E-4074-B1D1-9B164D24B3AA}">
      <text>
        <r>
          <rPr>
            <b/>
            <sz val="9"/>
            <color indexed="81"/>
            <rFont val="Tahoma"/>
            <family val="2"/>
          </rPr>
          <t>Stadnik, Andrei (Research):</t>
        </r>
        <r>
          <rPr>
            <sz val="9"/>
            <color indexed="81"/>
            <rFont val="Tahoma"/>
            <family val="2"/>
          </rPr>
          <t xml:space="preserve">
back solved</t>
        </r>
      </text>
    </comment>
    <comment ref="CH704" authorId="2" shapeId="0" xr:uid="{D4C9CC61-56C7-490E-968D-07CC9ADACFD5}">
      <text>
        <r>
          <rPr>
            <b/>
            <sz val="9"/>
            <color indexed="81"/>
            <rFont val="Tahoma"/>
            <family val="2"/>
          </rPr>
          <t>Fernandes, Sona F (Research):</t>
        </r>
        <r>
          <rPr>
            <sz val="9"/>
            <color indexed="81"/>
            <rFont val="Tahoma"/>
            <family val="2"/>
          </rPr>
          <t xml:space="preserve">
Restated FY20</t>
        </r>
      </text>
    </comment>
    <comment ref="CH709" authorId="2" shapeId="0" xr:uid="{BC2795D1-35BA-418D-BAB0-8D10D5EB8525}">
      <text>
        <r>
          <rPr>
            <b/>
            <sz val="9"/>
            <color indexed="81"/>
            <rFont val="Tahoma"/>
            <family val="2"/>
          </rPr>
          <t>Fernandes, Sona F (Research):</t>
        </r>
        <r>
          <rPr>
            <sz val="9"/>
            <color indexed="81"/>
            <rFont val="Tahoma"/>
            <family val="2"/>
          </rPr>
          <t xml:space="preserve">
Restated FY20</t>
        </r>
      </text>
    </comment>
    <comment ref="BX717" authorId="8" shapeId="0" xr:uid="{8639D3B4-0986-48FD-B3EE-019D1EBEF35E}">
      <text>
        <r>
          <rPr>
            <b/>
            <sz val="9"/>
            <color indexed="81"/>
            <rFont val="Tahoma"/>
            <family val="2"/>
          </rPr>
          <t>Stadnik, Andrei (Research):</t>
        </r>
        <r>
          <rPr>
            <sz val="9"/>
            <color indexed="81"/>
            <rFont val="Tahoma"/>
            <family val="2"/>
          </rPr>
          <t xml:space="preserve">
restated to be GI only</t>
        </r>
      </text>
    </comment>
    <comment ref="CG732" authorId="1" shapeId="0" xr:uid="{2C044542-E4B0-479C-A665-8E360794A2B6}">
      <text>
        <r>
          <rPr>
            <b/>
            <sz val="9"/>
            <color indexed="81"/>
            <rFont val="Tahoma"/>
            <family val="2"/>
          </rPr>
          <t>O'Neill, Emilie (Research):</t>
        </r>
        <r>
          <rPr>
            <sz val="9"/>
            <color indexed="81"/>
            <rFont val="Tahoma"/>
            <family val="2"/>
          </rPr>
          <t xml:space="preserve">
From FY19 Annual Report Page 137.. Group Net Insurance operation income… premium from insurance contracts continuing operations basis</t>
        </r>
      </text>
    </comment>
    <comment ref="CJ732" authorId="4" shapeId="0" xr:uid="{E46DCA6F-096E-4970-81F8-21CE9FC2F915}">
      <text>
        <r>
          <rPr>
            <b/>
            <sz val="9"/>
            <color indexed="81"/>
            <rFont val="Tahoma"/>
            <family val="2"/>
          </rPr>
          <t>Hong, Sally (Research):</t>
        </r>
        <r>
          <rPr>
            <sz val="9"/>
            <color indexed="81"/>
            <rFont val="Tahoma"/>
            <family val="2"/>
          </rPr>
          <t xml:space="preserve">
Page 131 of the FY21 Annual Report - Section 2.3 Other Operating income</t>
        </r>
      </text>
    </comment>
    <comment ref="CK732" authorId="2" shapeId="0" xr:uid="{9F6A107B-FE1B-4EA5-9A9D-9A27AA659263}">
      <text>
        <r>
          <rPr>
            <b/>
            <sz val="9"/>
            <color indexed="81"/>
            <rFont val="Tahoma"/>
            <family val="2"/>
          </rPr>
          <t>Fernandes, Sona F (Research):</t>
        </r>
        <r>
          <rPr>
            <sz val="9"/>
            <color indexed="81"/>
            <rFont val="Tahoma"/>
            <family val="2"/>
          </rPr>
          <t xml:space="preserve">
Section 2.3. Other Operating income in Notes to the FS in Annual Report</t>
        </r>
      </text>
    </comment>
    <comment ref="CN732" authorId="4" shapeId="0" xr:uid="{3DE7EEEE-3867-4AAF-8044-1D06F4680F36}">
      <text>
        <r>
          <rPr>
            <b/>
            <sz val="9"/>
            <color indexed="81"/>
            <rFont val="Tahoma"/>
            <family val="2"/>
          </rPr>
          <t>Hong, Sally (Research):</t>
        </r>
        <r>
          <rPr>
            <sz val="9"/>
            <color indexed="81"/>
            <rFont val="Tahoma"/>
            <family val="2"/>
          </rPr>
          <t xml:space="preserve">
Page 131 of the FY21 Annaul Report: 2.3 Other Operating Income</t>
        </r>
      </text>
    </comment>
    <comment ref="CO732" authorId="2" shapeId="0" xr:uid="{E6C95F9B-AA04-4932-8CB0-52B0B44F3187}">
      <text>
        <r>
          <rPr>
            <b/>
            <sz val="9"/>
            <color indexed="81"/>
            <rFont val="Tahoma"/>
            <family val="2"/>
          </rPr>
          <t>Fernandes, Sona F (Research):</t>
        </r>
        <r>
          <rPr>
            <sz val="9"/>
            <color indexed="81"/>
            <rFont val="Tahoma"/>
            <family val="2"/>
          </rPr>
          <t xml:space="preserve">
Section 2.3. Other Operating income in Notes to the FS in Annual Report</t>
        </r>
      </text>
    </comment>
    <comment ref="CR732" authorId="4" shapeId="0" xr:uid="{99178BE4-BB23-436C-BB22-52C974B25BD1}">
      <text>
        <r>
          <rPr>
            <b/>
            <sz val="9"/>
            <color indexed="81"/>
            <rFont val="Tahoma"/>
            <family val="2"/>
          </rPr>
          <t>Hong, Sally (Research):</t>
        </r>
        <r>
          <rPr>
            <sz val="9"/>
            <color indexed="81"/>
            <rFont val="Tahoma"/>
            <family val="2"/>
          </rPr>
          <t xml:space="preserve">
Page 78 of the 1H22 Report </t>
        </r>
      </text>
    </comment>
    <comment ref="CS732" authorId="3" shapeId="0" xr:uid="{002F76AA-97B1-40F6-842C-3CA3A4F430FA}">
      <text>
        <r>
          <rPr>
            <b/>
            <sz val="9"/>
            <color indexed="81"/>
            <rFont val="Tahoma"/>
            <family val="2"/>
          </rPr>
          <t>Wiles, Richard (Research):</t>
        </r>
        <r>
          <rPr>
            <sz val="9"/>
            <color indexed="81"/>
            <rFont val="Tahoma"/>
            <family val="2"/>
          </rPr>
          <t xml:space="preserve">
refer annual report</t>
        </r>
      </text>
    </comment>
    <comment ref="CJ733" authorId="3" shapeId="0" xr:uid="{F89BCC27-4BE3-45A7-913C-B84D79478BE4}">
      <text>
        <r>
          <rPr>
            <b/>
            <sz val="9"/>
            <color indexed="81"/>
            <rFont val="Tahoma"/>
            <family val="2"/>
          </rPr>
          <t>Wiles, Richard (Research):</t>
        </r>
        <r>
          <rPr>
            <sz val="9"/>
            <color indexed="81"/>
            <rFont val="Tahoma"/>
            <family val="2"/>
          </rPr>
          <t xml:space="preserve">
includes busfires A$83m and Qld hailstorm A$29m</t>
        </r>
      </text>
    </comment>
    <comment ref="CG742" authorId="3" shapeId="0" xr:uid="{22F341B5-8290-4A14-BE50-500D8F666BA3}">
      <text>
        <r>
          <rPr>
            <b/>
            <sz val="9"/>
            <color indexed="81"/>
            <rFont val="Tahoma"/>
            <family val="2"/>
          </rPr>
          <t>Wiles, Richard (Research):</t>
        </r>
        <r>
          <rPr>
            <sz val="9"/>
            <color indexed="81"/>
            <rFont val="Tahoma"/>
            <family val="2"/>
          </rPr>
          <t xml:space="preserve">
From quarterly GI statistics</t>
        </r>
      </text>
    </comment>
    <comment ref="CJ742" authorId="3" shapeId="0" xr:uid="{E2E7ACDC-DF4E-40BA-8BCC-FAC638FBD27E}">
      <text>
        <r>
          <rPr>
            <b/>
            <sz val="9"/>
            <color indexed="81"/>
            <rFont val="Tahoma"/>
            <family val="2"/>
          </rPr>
          <t>Wiles, Richard (Research):</t>
        </r>
        <r>
          <rPr>
            <sz val="9"/>
            <color indexed="81"/>
            <rFont val="Tahoma"/>
            <family val="2"/>
          </rPr>
          <t xml:space="preserve">
From quarterly GI statistics</t>
        </r>
      </text>
    </comment>
    <comment ref="CK742" authorId="3" shapeId="0" xr:uid="{339841E7-D9CC-4449-9785-9BA93EFE59B0}">
      <text>
        <r>
          <rPr>
            <b/>
            <sz val="9"/>
            <color indexed="81"/>
            <rFont val="Tahoma"/>
            <family val="2"/>
          </rPr>
          <t>Wiles, Richard (Research):</t>
        </r>
        <r>
          <rPr>
            <sz val="9"/>
            <color indexed="81"/>
            <rFont val="Tahoma"/>
            <family val="2"/>
          </rPr>
          <t xml:space="preserve">
From quarterly GI statistics</t>
        </r>
      </text>
    </comment>
    <comment ref="CN742" authorId="3" shapeId="0" xr:uid="{CFDA8854-4476-4D40-A1BC-F8D4F50E4551}">
      <text>
        <r>
          <rPr>
            <b/>
            <sz val="9"/>
            <color indexed="81"/>
            <rFont val="Tahoma"/>
            <family val="2"/>
          </rPr>
          <t>Wiles, Richard (Research):</t>
        </r>
        <r>
          <rPr>
            <sz val="9"/>
            <color indexed="81"/>
            <rFont val="Tahoma"/>
            <family val="2"/>
          </rPr>
          <t xml:space="preserve">
From quarterly GI statistics</t>
        </r>
      </text>
    </comment>
    <comment ref="CO742" authorId="3" shapeId="0" xr:uid="{A6C5484A-1656-4E14-8832-6E6DF6AE2641}">
      <text>
        <r>
          <rPr>
            <b/>
            <sz val="9"/>
            <color indexed="81"/>
            <rFont val="Tahoma"/>
            <family val="2"/>
          </rPr>
          <t>Wiles, Richard (Research):</t>
        </r>
        <r>
          <rPr>
            <sz val="9"/>
            <color indexed="81"/>
            <rFont val="Tahoma"/>
            <family val="2"/>
          </rPr>
          <t xml:space="preserve">
Updated 3/3/22 Quarterly GI Stats Table 1a
Previous estimate = 3
estimate … needs to be updated for APRA Qtly General Insurance statistics
there was a loss in 3Q21; (A$12m) per APRA stats … implies A$15-20m profit in 4Q21</t>
        </r>
      </text>
    </comment>
    <comment ref="CR742" authorId="3" shapeId="0" xr:uid="{F39F5F9B-F520-47E9-A52E-0B259A5409DA}">
      <text>
        <r>
          <rPr>
            <b/>
            <sz val="9"/>
            <color indexed="81"/>
            <rFont val="Tahoma"/>
            <family val="2"/>
          </rPr>
          <t>Wiles, Richard (Research):</t>
        </r>
        <r>
          <rPr>
            <sz val="9"/>
            <color indexed="81"/>
            <rFont val="Tahoma"/>
            <family val="2"/>
          </rPr>
          <t xml:space="preserve">
From quarterly GI statistics</t>
        </r>
      </text>
    </comment>
    <comment ref="CS742" authorId="4" shapeId="0" xr:uid="{FCCE0416-D4F9-4606-B86A-11C85E0C664A}">
      <text>
        <r>
          <rPr>
            <b/>
            <sz val="9"/>
            <color indexed="81"/>
            <rFont val="Tahoma"/>
            <family val="2"/>
          </rPr>
          <t>Hong, Sally (Research):</t>
        </r>
        <r>
          <rPr>
            <sz val="9"/>
            <color indexed="81"/>
            <rFont val="Tahoma"/>
            <family val="2"/>
          </rPr>
          <t xml:space="preserve">
Mar-22 GI Quarterly Stats </t>
        </r>
      </text>
    </comment>
    <comment ref="CB746" authorId="1" shapeId="0" xr:uid="{B5D2C8D3-C8CB-41D9-B593-2A23F0094662}">
      <text>
        <r>
          <rPr>
            <b/>
            <sz val="9"/>
            <color indexed="81"/>
            <rFont val="Tahoma"/>
            <family val="2"/>
          </rPr>
          <t>O'Neill, Emilie (Research):</t>
        </r>
        <r>
          <rPr>
            <sz val="9"/>
            <color indexed="81"/>
            <rFont val="Tahoma"/>
            <family val="2"/>
          </rPr>
          <t xml:space="preserve">
No longer disclosed</t>
        </r>
      </text>
    </comment>
    <comment ref="CC746" authorId="1" shapeId="0" xr:uid="{E88A3E4C-019D-40DE-B9BE-2D4E5BD3F830}">
      <text>
        <r>
          <rPr>
            <b/>
            <sz val="9"/>
            <color indexed="81"/>
            <rFont val="Tahoma"/>
            <family val="2"/>
          </rPr>
          <t>O'Neill, Emilie (Research):</t>
        </r>
        <r>
          <rPr>
            <sz val="9"/>
            <color indexed="81"/>
            <rFont val="Tahoma"/>
            <family val="2"/>
          </rPr>
          <t xml:space="preserve">
No longer disclosed</t>
        </r>
      </text>
    </comment>
    <comment ref="CB747" authorId="1" shapeId="0" xr:uid="{F0430728-D60B-4960-9427-F113A2FA694F}">
      <text>
        <r>
          <rPr>
            <b/>
            <sz val="9"/>
            <color indexed="81"/>
            <rFont val="Tahoma"/>
            <family val="2"/>
          </rPr>
          <t>O'Neill, Emilie (Research):</t>
        </r>
        <r>
          <rPr>
            <sz val="9"/>
            <color indexed="81"/>
            <rFont val="Tahoma"/>
            <family val="2"/>
          </rPr>
          <t xml:space="preserve">
No longer disclosed</t>
        </r>
      </text>
    </comment>
    <comment ref="CC747" authorId="1" shapeId="0" xr:uid="{FCB3952D-4C87-4799-B25E-F5F5276A512B}">
      <text>
        <r>
          <rPr>
            <b/>
            <sz val="9"/>
            <color indexed="81"/>
            <rFont val="Tahoma"/>
            <family val="2"/>
          </rPr>
          <t>O'Neill, Emilie (Research):</t>
        </r>
        <r>
          <rPr>
            <sz val="9"/>
            <color indexed="81"/>
            <rFont val="Tahoma"/>
            <family val="2"/>
          </rPr>
          <t xml:space="preserve">
No longer disclosed</t>
        </r>
      </text>
    </comment>
    <comment ref="CB748" authorId="1" shapeId="0" xr:uid="{5BB28EC9-47DD-412E-A368-14AEC60BC02B}">
      <text>
        <r>
          <rPr>
            <b/>
            <sz val="9"/>
            <color indexed="81"/>
            <rFont val="Tahoma"/>
            <family val="2"/>
          </rPr>
          <t>O'Neill, Emilie (Research):</t>
        </r>
        <r>
          <rPr>
            <sz val="9"/>
            <color indexed="81"/>
            <rFont val="Tahoma"/>
            <family val="2"/>
          </rPr>
          <t xml:space="preserve">
Restated for continuing operations</t>
        </r>
      </text>
    </comment>
    <comment ref="CC748" authorId="1" shapeId="0" xr:uid="{1F843B4C-54C5-4CFC-B742-F257A4EEA7B3}">
      <text>
        <r>
          <rPr>
            <b/>
            <sz val="9"/>
            <color indexed="81"/>
            <rFont val="Tahoma"/>
            <family val="2"/>
          </rPr>
          <t>O'Neill, Emilie (Research):</t>
        </r>
        <r>
          <rPr>
            <sz val="9"/>
            <color indexed="81"/>
            <rFont val="Tahoma"/>
            <family val="2"/>
          </rPr>
          <t xml:space="preserve">
Restated for continuing operations</t>
        </r>
      </text>
    </comment>
    <comment ref="BX759" authorId="1" shapeId="0" xr:uid="{69AD07D2-130B-4031-A0F9-5E163D72702F}">
      <text>
        <r>
          <rPr>
            <b/>
            <sz val="9"/>
            <color indexed="81"/>
            <rFont val="Tahoma"/>
            <family val="2"/>
          </rPr>
          <t>O'Neill, Emilie (Research):</t>
        </r>
        <r>
          <rPr>
            <sz val="9"/>
            <color indexed="81"/>
            <rFont val="Tahoma"/>
            <family val="2"/>
          </rPr>
          <t xml:space="preserve">
restated 1H18</t>
        </r>
      </text>
    </comment>
    <comment ref="BY759" authorId="1" shapeId="0" xr:uid="{E672AA61-B295-4775-8976-90669FA04BD7}">
      <text>
        <r>
          <rPr>
            <b/>
            <sz val="9"/>
            <color indexed="81"/>
            <rFont val="Tahoma"/>
            <family val="2"/>
          </rPr>
          <t>O'Neill, Emilie (Research):</t>
        </r>
        <r>
          <rPr>
            <sz val="9"/>
            <color indexed="81"/>
            <rFont val="Tahoma"/>
            <family val="2"/>
          </rPr>
          <t xml:space="preserve">
restated 1H18</t>
        </r>
      </text>
    </comment>
    <comment ref="CB759" authorId="1" shapeId="0" xr:uid="{BC18380B-8DB0-487D-A4AC-1608F5DC2871}">
      <text>
        <r>
          <rPr>
            <b/>
            <sz val="9"/>
            <color indexed="81"/>
            <rFont val="Tahoma"/>
            <family val="2"/>
          </rPr>
          <t>O'Neill, Emilie (Research):</t>
        </r>
        <r>
          <rPr>
            <sz val="9"/>
            <color indexed="81"/>
            <rFont val="Tahoma"/>
            <family val="2"/>
          </rPr>
          <t xml:space="preserve">
Restated 1H19 for continuing operations only</t>
        </r>
      </text>
    </comment>
    <comment ref="CC759" authorId="1" shapeId="0" xr:uid="{9F0DE3B1-CEE6-4123-8D00-E045DF5E539F}">
      <text>
        <r>
          <rPr>
            <b/>
            <sz val="9"/>
            <color indexed="81"/>
            <rFont val="Tahoma"/>
            <family val="2"/>
          </rPr>
          <t>O'Neill, Emilie (Research):</t>
        </r>
        <r>
          <rPr>
            <sz val="9"/>
            <color indexed="81"/>
            <rFont val="Tahoma"/>
            <family val="2"/>
          </rPr>
          <t xml:space="preserve">
Restated 1H19 for continuing operations only</t>
        </r>
      </text>
    </comment>
    <comment ref="CF759" authorId="1" shapeId="0" xr:uid="{2DF41C3F-042C-4FE6-9C92-079F25E2EF53}">
      <text>
        <r>
          <rPr>
            <b/>
            <sz val="9"/>
            <color indexed="81"/>
            <rFont val="Tahoma"/>
            <family val="2"/>
          </rPr>
          <t>O'Neill, Emilie (Research):</t>
        </r>
        <r>
          <rPr>
            <sz val="9"/>
            <color indexed="81"/>
            <rFont val="Tahoma"/>
            <family val="2"/>
          </rPr>
          <t xml:space="preserve">
Continuing operations only</t>
        </r>
      </text>
    </comment>
    <comment ref="CG759" authorId="2" shapeId="0" xr:uid="{109EFACD-ADC8-4A7C-93BA-22C2331FCAAA}">
      <text>
        <r>
          <rPr>
            <b/>
            <sz val="9"/>
            <color indexed="81"/>
            <rFont val="Tahoma"/>
            <family val="2"/>
          </rPr>
          <t>Fernandes, Sona F (Research):</t>
        </r>
        <r>
          <rPr>
            <sz val="9"/>
            <color indexed="81"/>
            <rFont val="Tahoma"/>
            <family val="2"/>
          </rPr>
          <t xml:space="preserve">
Restated FY20</t>
        </r>
      </text>
    </comment>
    <comment ref="CJ759" authorId="2" shapeId="0" xr:uid="{DA565AD2-FAA3-4D0B-9F7E-D981FDF43DCB}">
      <text>
        <r>
          <rPr>
            <b/>
            <sz val="9"/>
            <color indexed="81"/>
            <rFont val="Tahoma"/>
            <family val="2"/>
          </rPr>
          <t>Fernandes, Sona F (Research):</t>
        </r>
        <r>
          <rPr>
            <sz val="9"/>
            <color indexed="81"/>
            <rFont val="Tahoma"/>
            <family val="2"/>
          </rPr>
          <t xml:space="preserve">
Restated FY20</t>
        </r>
      </text>
    </comment>
    <comment ref="BX760" authorId="1" shapeId="0" xr:uid="{D2E7BB86-187A-48A3-890F-5592F348ACA5}">
      <text>
        <r>
          <rPr>
            <b/>
            <sz val="9"/>
            <color indexed="81"/>
            <rFont val="Tahoma"/>
            <family val="2"/>
          </rPr>
          <t>O'Neill, Emilie (Research):</t>
        </r>
        <r>
          <rPr>
            <sz val="9"/>
            <color indexed="81"/>
            <rFont val="Tahoma"/>
            <family val="2"/>
          </rPr>
          <t xml:space="preserve">
restated 1H18</t>
        </r>
      </text>
    </comment>
    <comment ref="BY760" authorId="1" shapeId="0" xr:uid="{B4D48330-48BB-4EE3-947A-15A04EABAB50}">
      <text>
        <r>
          <rPr>
            <b/>
            <sz val="9"/>
            <color indexed="81"/>
            <rFont val="Tahoma"/>
            <family val="2"/>
          </rPr>
          <t>O'Neill, Emilie (Research):</t>
        </r>
        <r>
          <rPr>
            <sz val="9"/>
            <color indexed="81"/>
            <rFont val="Tahoma"/>
            <family val="2"/>
          </rPr>
          <t xml:space="preserve">
restated 1H18</t>
        </r>
      </text>
    </comment>
    <comment ref="CF762" authorId="1" shapeId="0" xr:uid="{19B9C09F-CD9C-45BD-832D-3D4A0D773130}">
      <text>
        <r>
          <rPr>
            <b/>
            <sz val="9"/>
            <color indexed="81"/>
            <rFont val="Tahoma"/>
            <family val="2"/>
          </rPr>
          <t>O'Neill, Emilie (Research):</t>
        </r>
        <r>
          <rPr>
            <sz val="9"/>
            <color indexed="81"/>
            <rFont val="Tahoma"/>
            <family val="2"/>
          </rPr>
          <t xml:space="preserve">
Excluding assets held for sale pg 72 Profit Announcement</t>
        </r>
      </text>
    </comment>
    <comment ref="CK762" authorId="2" shapeId="0" xr:uid="{01E81C3F-399A-45A9-8FFA-5E81D1E506CD}">
      <text>
        <r>
          <rPr>
            <b/>
            <sz val="9"/>
            <color indexed="81"/>
            <rFont val="Tahoma"/>
            <family val="2"/>
          </rPr>
          <t>Fernandes, Sona F (Research):</t>
        </r>
        <r>
          <rPr>
            <sz val="9"/>
            <color indexed="81"/>
            <rFont val="Tahoma"/>
            <family val="2"/>
          </rPr>
          <t xml:space="preserve">
Page 72 Profit Announcement - Shareholder Investment Asset Mix - 
Australia</t>
        </r>
      </text>
    </comment>
    <comment ref="CJ786" authorId="3" shapeId="0" xr:uid="{5B891F1E-F547-4B10-A93E-E71BF4707CC6}">
      <text>
        <r>
          <rPr>
            <b/>
            <sz val="9"/>
            <color indexed="81"/>
            <rFont val="Tahoma"/>
            <family val="2"/>
          </rPr>
          <t>Wiles, Richard (Research):</t>
        </r>
        <r>
          <rPr>
            <sz val="9"/>
            <color indexed="81"/>
            <rFont val="Tahoma"/>
            <family val="2"/>
          </rPr>
          <t xml:space="preserve">
50% in salary and wages and 50% in other expenses</t>
        </r>
      </text>
    </comment>
    <comment ref="CJ793" authorId="3" shapeId="0" xr:uid="{CB6DFEB2-965F-43EB-A9B9-BB0D50B226B8}">
      <text>
        <r>
          <rPr>
            <b/>
            <sz val="9"/>
            <color indexed="81"/>
            <rFont val="Tahoma"/>
            <family val="2"/>
          </rPr>
          <t>Wiles, Richard (Research):</t>
        </r>
        <r>
          <rPr>
            <sz val="9"/>
            <color indexed="81"/>
            <rFont val="Tahoma"/>
            <family val="2"/>
          </rPr>
          <t xml:space="preserve">
~A$100m benefit from one off releases and re-bates</t>
        </r>
      </text>
    </comment>
    <comment ref="BZ794" authorId="1" shapeId="0" xr:uid="{7E05923B-5452-4238-BF74-E9D0818B73AA}">
      <text>
        <r>
          <rPr>
            <b/>
            <sz val="9"/>
            <color indexed="81"/>
            <rFont val="Tahoma"/>
            <family val="2"/>
          </rPr>
          <t>O'Neill, Emilie (Research):</t>
        </r>
        <r>
          <rPr>
            <sz val="9"/>
            <color indexed="81"/>
            <rFont val="Tahoma"/>
            <family val="2"/>
          </rPr>
          <t xml:space="preserve">
Restated in 2H18 to be continuing FTE</t>
        </r>
      </text>
    </comment>
    <comment ref="CB794" authorId="1" shapeId="0" xr:uid="{7F19CECB-1EA8-4C8C-8DE1-94367547D5B6}">
      <text>
        <r>
          <rPr>
            <b/>
            <sz val="9"/>
            <color indexed="81"/>
            <rFont val="Tahoma"/>
            <family val="2"/>
          </rPr>
          <t>O'Neill, Emilie (Research):</t>
        </r>
        <r>
          <rPr>
            <sz val="9"/>
            <color indexed="81"/>
            <rFont val="Tahoma"/>
            <family val="2"/>
          </rPr>
          <t xml:space="preserve">
Continuing operations basis. Restated 1H19</t>
        </r>
      </text>
    </comment>
    <comment ref="CC794" authorId="1" shapeId="0" xr:uid="{5C419A5A-3F33-428B-9CAE-14DD34396F4D}">
      <text>
        <r>
          <rPr>
            <b/>
            <sz val="9"/>
            <color indexed="81"/>
            <rFont val="Tahoma"/>
            <family val="2"/>
          </rPr>
          <t>O'Neill, Emilie (Research):</t>
        </r>
        <r>
          <rPr>
            <sz val="9"/>
            <color indexed="81"/>
            <rFont val="Tahoma"/>
            <family val="2"/>
          </rPr>
          <t xml:space="preserve">
Continuing operations basis. Restated 1H19</t>
        </r>
      </text>
    </comment>
    <comment ref="CG794" authorId="2" shapeId="0" xr:uid="{BA76D17B-0BFD-4B99-9ECF-10A7044F73A0}">
      <text>
        <r>
          <rPr>
            <b/>
            <sz val="9"/>
            <color indexed="81"/>
            <rFont val="Tahoma"/>
            <family val="2"/>
          </rPr>
          <t>Fernandes, Sona F (Research):</t>
        </r>
        <r>
          <rPr>
            <sz val="9"/>
            <color indexed="81"/>
            <rFont val="Tahoma"/>
            <family val="2"/>
          </rPr>
          <t xml:space="preserve">
Restated FY20</t>
        </r>
      </text>
    </comment>
    <comment ref="CJ794" authorId="2" shapeId="0" xr:uid="{5AF1CB0A-0C78-4A17-9406-08D0A8B9410F}">
      <text>
        <r>
          <rPr>
            <b/>
            <sz val="9"/>
            <color indexed="81"/>
            <rFont val="Tahoma"/>
            <family val="2"/>
          </rPr>
          <t>Fernandes, Sona F (Research):</t>
        </r>
        <r>
          <rPr>
            <sz val="9"/>
            <color indexed="81"/>
            <rFont val="Tahoma"/>
            <family val="2"/>
          </rPr>
          <t xml:space="preserve">
Restated FY20</t>
        </r>
      </text>
    </comment>
    <comment ref="CJ795" authorId="3" shapeId="0" xr:uid="{8CE7EB34-3BDC-4FFC-A0FA-F3E5100B2FDA}">
      <text>
        <r>
          <rPr>
            <b/>
            <sz val="9"/>
            <color indexed="81"/>
            <rFont val="Tahoma"/>
            <family val="2"/>
          </rPr>
          <t>Wiles, Richard (Research):</t>
        </r>
        <r>
          <rPr>
            <sz val="9"/>
            <color indexed="81"/>
            <rFont val="Tahoma"/>
            <family val="2"/>
          </rPr>
          <t xml:space="preserve">
includes ~A$100m benefit from reversal of provisions</t>
        </r>
      </text>
    </comment>
    <comment ref="CS795" authorId="3" shapeId="0" xr:uid="{B82F2E69-FF89-445C-ACEB-1782FEB28F70}">
      <text>
        <r>
          <rPr>
            <b/>
            <sz val="9"/>
            <color indexed="81"/>
            <rFont val="Tahoma"/>
            <family val="2"/>
          </rPr>
          <t>Wiles, Richard (Research):</t>
        </r>
        <r>
          <rPr>
            <sz val="9"/>
            <color indexed="81"/>
            <rFont val="Tahoma"/>
            <family val="2"/>
          </rPr>
          <t xml:space="preserve">
assume run off of extra COVID-19 related headcount and additional headcount reduction</t>
        </r>
      </text>
    </comment>
    <comment ref="CV795" authorId="3" shapeId="0" xr:uid="{D675E6C2-4895-4371-8A4A-6D9AD8615F4B}">
      <text>
        <r>
          <rPr>
            <b/>
            <sz val="9"/>
            <color indexed="81"/>
            <rFont val="Tahoma"/>
            <family val="2"/>
          </rPr>
          <t>Wiles, Richard (Research):</t>
        </r>
        <r>
          <rPr>
            <sz val="9"/>
            <color indexed="81"/>
            <rFont val="Tahoma"/>
            <family val="2"/>
          </rPr>
          <t xml:space="preserve">
1Q23 Trading Update:
Higher staff costs, increase 1H23 expenses by +0.5% and FY23 expenses by 0.5-1%
Previous:
assume an additional 1.5% reduction in FTE due to sale of GI business which has a cost base of approx A$110m (MS est)</t>
        </r>
      </text>
    </comment>
    <comment ref="DA795" authorId="3" shapeId="0" xr:uid="{1A598202-B4F0-433E-A393-82B2642D6488}">
      <text>
        <r>
          <rPr>
            <b/>
            <sz val="9"/>
            <color indexed="81"/>
            <rFont val="Tahoma"/>
            <family val="2"/>
          </rPr>
          <t>Wiles, Richard (Research):</t>
        </r>
        <r>
          <rPr>
            <sz val="9"/>
            <color indexed="81"/>
            <rFont val="Tahoma"/>
            <family val="2"/>
          </rPr>
          <t xml:space="preserve">
2H24 Notable Expense of A$89m pre-tax on operating Model Changes
</t>
        </r>
        <r>
          <rPr>
            <b/>
            <sz val="9"/>
            <color indexed="81"/>
            <rFont val="Tahoma"/>
            <family val="2"/>
          </rPr>
          <t>Previous</t>
        </r>
        <r>
          <rPr>
            <sz val="9"/>
            <color indexed="81"/>
            <rFont val="Tahoma"/>
            <family val="2"/>
          </rPr>
          <t xml:space="preserve">
assume FTE increasing but IT servicing costs falling due to insourcing
</t>
        </r>
      </text>
    </comment>
    <comment ref="DD795" authorId="3" shapeId="0" xr:uid="{E137002B-B82E-4F5C-A6E5-B376621BA58F}">
      <text>
        <r>
          <rPr>
            <b/>
            <sz val="9"/>
            <color indexed="81"/>
            <rFont val="Tahoma"/>
            <family val="2"/>
          </rPr>
          <t>Wiles, Richard (Research):</t>
        </r>
        <r>
          <rPr>
            <sz val="9"/>
            <color indexed="81"/>
            <rFont val="Tahoma"/>
            <family val="2"/>
          </rPr>
          <t xml:space="preserve">
assume FTE increasing but IT servicing costs falling due to insourcing</t>
        </r>
      </text>
    </comment>
    <comment ref="DE795" authorId="4" shapeId="0" xr:uid="{D9978644-2D5A-4C68-820C-1803B64A896D}">
      <text>
        <r>
          <rPr>
            <b/>
            <sz val="9"/>
            <color indexed="81"/>
            <rFont val="Tahoma"/>
            <family val="2"/>
          </rPr>
          <t>Hong, Sally (Research):</t>
        </r>
        <r>
          <rPr>
            <sz val="9"/>
            <color indexed="81"/>
            <rFont val="Tahoma"/>
            <family val="2"/>
          </rPr>
          <t xml:space="preserve">
2H25: hired more engineers</t>
        </r>
      </text>
    </comment>
    <comment ref="BX805" authorId="1" shapeId="0" xr:uid="{81DFAAC5-D04F-460B-9E1F-00B65E2D9ED2}">
      <text>
        <r>
          <rPr>
            <b/>
            <sz val="9"/>
            <color indexed="81"/>
            <rFont val="Tahoma"/>
            <family val="2"/>
          </rPr>
          <t>O'Neill, Emilie (Research):</t>
        </r>
        <r>
          <rPr>
            <sz val="9"/>
            <color indexed="81"/>
            <rFont val="Tahoma"/>
            <family val="2"/>
          </rPr>
          <t xml:space="preserve">
Restated 1H18</t>
        </r>
      </text>
    </comment>
    <comment ref="BY805" authorId="1" shapeId="0" xr:uid="{2BB2CEC0-5964-41D6-83D6-EDC2FFC76B88}">
      <text>
        <r>
          <rPr>
            <b/>
            <sz val="9"/>
            <color indexed="81"/>
            <rFont val="Tahoma"/>
            <family val="2"/>
          </rPr>
          <t>O'Neill, Emilie (Research):</t>
        </r>
        <r>
          <rPr>
            <sz val="9"/>
            <color indexed="81"/>
            <rFont val="Tahoma"/>
            <family val="2"/>
          </rPr>
          <t xml:space="preserve">
Balancing item due to FY17 restatement in 2H18</t>
        </r>
      </text>
    </comment>
    <comment ref="BZ805" authorId="1" shapeId="0" xr:uid="{3E32149C-65A0-471A-B2D7-7BDB00477E61}">
      <text>
        <r>
          <rPr>
            <b/>
            <sz val="9"/>
            <color indexed="81"/>
            <rFont val="Tahoma"/>
            <family val="2"/>
          </rPr>
          <t>O'Neill, Emilie (Research):</t>
        </r>
        <r>
          <rPr>
            <sz val="9"/>
            <color indexed="81"/>
            <rFont val="Tahoma"/>
            <family val="2"/>
          </rPr>
          <t xml:space="preserve">
Restated 2H18</t>
        </r>
      </text>
    </comment>
    <comment ref="CB805" authorId="1" shapeId="0" xr:uid="{3EBAB392-C4BE-4F5E-BCDB-69888BD02483}">
      <text>
        <r>
          <rPr>
            <b/>
            <sz val="9"/>
            <color indexed="81"/>
            <rFont val="Tahoma"/>
            <family val="2"/>
          </rPr>
          <t>O'Neill, Emilie (Research):</t>
        </r>
        <r>
          <rPr>
            <sz val="9"/>
            <color indexed="81"/>
            <rFont val="Tahoma"/>
            <family val="2"/>
          </rPr>
          <t xml:space="preserve">
Resated 1H19</t>
        </r>
      </text>
    </comment>
    <comment ref="CC805" authorId="1" shapeId="0" xr:uid="{279EDD13-5A47-4794-86FB-6E9E05846183}">
      <text>
        <r>
          <rPr>
            <b/>
            <sz val="9"/>
            <color indexed="81"/>
            <rFont val="Tahoma"/>
            <family val="2"/>
          </rPr>
          <t>O'Neill, Emilie (Research):</t>
        </r>
        <r>
          <rPr>
            <sz val="9"/>
            <color indexed="81"/>
            <rFont val="Tahoma"/>
            <family val="2"/>
          </rPr>
          <t xml:space="preserve">
Resated 1H19</t>
        </r>
      </text>
    </comment>
    <comment ref="CF805" authorId="2" shapeId="0" xr:uid="{C96A8B27-9145-4916-9DDD-DD020E5A0DF9}">
      <text>
        <r>
          <rPr>
            <b/>
            <sz val="9"/>
            <color indexed="81"/>
            <rFont val="Tahoma"/>
            <family val="2"/>
          </rPr>
          <t>Fernandes, Sona F (Research):</t>
        </r>
        <r>
          <rPr>
            <sz val="9"/>
            <color indexed="81"/>
            <rFont val="Tahoma"/>
            <family val="2"/>
          </rPr>
          <t xml:space="preserve">
Restated FY20</t>
        </r>
      </text>
    </comment>
    <comment ref="CG805" authorId="2" shapeId="0" xr:uid="{D8FBA160-964F-4354-9926-4E7B3AC0658A}">
      <text>
        <r>
          <rPr>
            <b/>
            <sz val="9"/>
            <color indexed="81"/>
            <rFont val="Tahoma"/>
            <family val="2"/>
          </rPr>
          <t>Fernandes, Sona F (Research):</t>
        </r>
        <r>
          <rPr>
            <sz val="9"/>
            <color indexed="81"/>
            <rFont val="Tahoma"/>
            <family val="2"/>
          </rPr>
          <t xml:space="preserve">
Restated FY20</t>
        </r>
      </text>
    </comment>
    <comment ref="CJ805" authorId="5" shapeId="0" xr:uid="{69053CE6-4978-4538-996D-86353D5A8926}">
      <text>
        <r>
          <rPr>
            <b/>
            <sz val="9"/>
            <color indexed="81"/>
            <rFont val="Tahoma"/>
            <family val="2"/>
          </rPr>
          <t>Fernandes, Sona (Research):</t>
        </r>
        <r>
          <rPr>
            <sz val="9"/>
            <color indexed="81"/>
            <rFont val="Tahoma"/>
            <family val="2"/>
          </rPr>
          <t xml:space="preserve">
Restated FY21</t>
        </r>
      </text>
    </comment>
    <comment ref="CK805" authorId="5" shapeId="0" xr:uid="{AEB9AC0A-17E4-4497-A9A3-4FB684851056}">
      <text>
        <r>
          <rPr>
            <b/>
            <sz val="9"/>
            <color indexed="81"/>
            <rFont val="Tahoma"/>
            <family val="2"/>
          </rPr>
          <t>Fernandes, Sona (Research):</t>
        </r>
        <r>
          <rPr>
            <sz val="9"/>
            <color indexed="81"/>
            <rFont val="Tahoma"/>
            <family val="2"/>
          </rPr>
          <t xml:space="preserve">
Restated FY21</t>
        </r>
      </text>
    </comment>
    <comment ref="CN805" authorId="5" shapeId="0" xr:uid="{46899AEF-BF08-4F9C-AFF2-A54FD305D9FA}">
      <text>
        <r>
          <rPr>
            <b/>
            <sz val="9"/>
            <color indexed="81"/>
            <rFont val="Tahoma"/>
            <family val="2"/>
          </rPr>
          <t>Fernandes, Sona (Research):</t>
        </r>
        <r>
          <rPr>
            <sz val="9"/>
            <color indexed="81"/>
            <rFont val="Tahoma"/>
            <family val="2"/>
          </rPr>
          <t xml:space="preserve">
Restated FY21</t>
        </r>
      </text>
    </comment>
    <comment ref="BX806" authorId="1" shapeId="0" xr:uid="{B3200E9C-0F48-4A71-90C2-E0D5DAF1EE34}">
      <text>
        <r>
          <rPr>
            <b/>
            <sz val="9"/>
            <color indexed="81"/>
            <rFont val="Tahoma"/>
            <family val="2"/>
          </rPr>
          <t>O'Neill, Emilie (Research):</t>
        </r>
        <r>
          <rPr>
            <sz val="9"/>
            <color indexed="81"/>
            <rFont val="Tahoma"/>
            <family val="2"/>
          </rPr>
          <t xml:space="preserve">
Restated 1H18</t>
        </r>
      </text>
    </comment>
    <comment ref="BY806" authorId="1" shapeId="0" xr:uid="{D4745D63-7D6A-45CB-97FD-3ACB511AFE49}">
      <text>
        <r>
          <rPr>
            <b/>
            <sz val="9"/>
            <color indexed="81"/>
            <rFont val="Tahoma"/>
            <family val="2"/>
          </rPr>
          <t>O'Neill, Emilie (Research):</t>
        </r>
        <r>
          <rPr>
            <sz val="9"/>
            <color indexed="81"/>
            <rFont val="Tahoma"/>
            <family val="2"/>
          </rPr>
          <t xml:space="preserve">
Balancing item due to FY17 restatement in 2H18</t>
        </r>
      </text>
    </comment>
    <comment ref="BZ806" authorId="1" shapeId="0" xr:uid="{F92F2D33-4D5F-4080-A63D-2C26213F96FC}">
      <text>
        <r>
          <rPr>
            <b/>
            <sz val="9"/>
            <color indexed="81"/>
            <rFont val="Tahoma"/>
            <family val="2"/>
          </rPr>
          <t>O'Neill, Emilie (Research):</t>
        </r>
        <r>
          <rPr>
            <sz val="9"/>
            <color indexed="81"/>
            <rFont val="Tahoma"/>
            <family val="2"/>
          </rPr>
          <t xml:space="preserve">
Restated 2H18</t>
        </r>
      </text>
    </comment>
    <comment ref="CB806" authorId="1" shapeId="0" xr:uid="{42AB10BF-DC72-4912-9DF2-8E831AA08053}">
      <text>
        <r>
          <rPr>
            <b/>
            <sz val="9"/>
            <color indexed="81"/>
            <rFont val="Tahoma"/>
            <family val="2"/>
          </rPr>
          <t>O'Neill, Emilie (Research):</t>
        </r>
        <r>
          <rPr>
            <sz val="9"/>
            <color indexed="81"/>
            <rFont val="Tahoma"/>
            <family val="2"/>
          </rPr>
          <t xml:space="preserve">
Resated 1H19</t>
        </r>
      </text>
    </comment>
    <comment ref="CC806" authorId="1" shapeId="0" xr:uid="{44CEB292-9F5E-4280-8A74-AFF0A46664E4}">
      <text>
        <r>
          <rPr>
            <b/>
            <sz val="9"/>
            <color indexed="81"/>
            <rFont val="Tahoma"/>
            <family val="2"/>
          </rPr>
          <t>O'Neill, Emilie (Research):</t>
        </r>
        <r>
          <rPr>
            <sz val="9"/>
            <color indexed="81"/>
            <rFont val="Tahoma"/>
            <family val="2"/>
          </rPr>
          <t xml:space="preserve">
Resated 1H19</t>
        </r>
      </text>
    </comment>
    <comment ref="CF806" authorId="2" shapeId="0" xr:uid="{74909F82-38ED-4419-96B0-7C1405A8DB35}">
      <text>
        <r>
          <rPr>
            <b/>
            <sz val="9"/>
            <color indexed="81"/>
            <rFont val="Tahoma"/>
            <family val="2"/>
          </rPr>
          <t>Fernandes, Sona F (Research):</t>
        </r>
        <r>
          <rPr>
            <sz val="9"/>
            <color indexed="81"/>
            <rFont val="Tahoma"/>
            <family val="2"/>
          </rPr>
          <t xml:space="preserve">
Restated FY20</t>
        </r>
      </text>
    </comment>
    <comment ref="CG806" authorId="2" shapeId="0" xr:uid="{3E6F7A24-23B7-4F4A-BBE5-C7AB5B68A856}">
      <text>
        <r>
          <rPr>
            <b/>
            <sz val="9"/>
            <color indexed="81"/>
            <rFont val="Tahoma"/>
            <family val="2"/>
          </rPr>
          <t>Fernandes, Sona F (Research):</t>
        </r>
        <r>
          <rPr>
            <sz val="9"/>
            <color indexed="81"/>
            <rFont val="Tahoma"/>
            <family val="2"/>
          </rPr>
          <t xml:space="preserve">
Restated FY20</t>
        </r>
      </text>
    </comment>
    <comment ref="CJ806" authorId="5" shapeId="0" xr:uid="{942D2862-CC0F-4294-99EF-996BEBB47D29}">
      <text>
        <r>
          <rPr>
            <b/>
            <sz val="9"/>
            <color indexed="81"/>
            <rFont val="Tahoma"/>
            <family val="2"/>
          </rPr>
          <t>Fernandes, Sona (Research):</t>
        </r>
        <r>
          <rPr>
            <sz val="9"/>
            <color indexed="81"/>
            <rFont val="Tahoma"/>
            <family val="2"/>
          </rPr>
          <t xml:space="preserve">
Restated FY21</t>
        </r>
      </text>
    </comment>
    <comment ref="CK806" authorId="5" shapeId="0" xr:uid="{A613807B-4630-4049-8D37-1F46A1D5362A}">
      <text>
        <r>
          <rPr>
            <b/>
            <sz val="9"/>
            <color indexed="81"/>
            <rFont val="Tahoma"/>
            <family val="2"/>
          </rPr>
          <t>Fernandes, Sona (Research):</t>
        </r>
        <r>
          <rPr>
            <sz val="9"/>
            <color indexed="81"/>
            <rFont val="Tahoma"/>
            <family val="2"/>
          </rPr>
          <t xml:space="preserve">
Restated FY21</t>
        </r>
      </text>
    </comment>
    <comment ref="CN806" authorId="5" shapeId="0" xr:uid="{21C30170-A1F1-44C4-803F-120BAE270E50}">
      <text>
        <r>
          <rPr>
            <b/>
            <sz val="9"/>
            <color indexed="81"/>
            <rFont val="Tahoma"/>
            <family val="2"/>
          </rPr>
          <t>Fernandes, Sona (Research):</t>
        </r>
        <r>
          <rPr>
            <sz val="9"/>
            <color indexed="81"/>
            <rFont val="Tahoma"/>
            <family val="2"/>
          </rPr>
          <t xml:space="preserve">
Restated FY21</t>
        </r>
      </text>
    </comment>
    <comment ref="CR806" authorId="3" shapeId="0" xr:uid="{1FB5213E-5884-48D2-B02E-6545B93E80F2}">
      <text>
        <r>
          <rPr>
            <b/>
            <sz val="9"/>
            <color indexed="81"/>
            <rFont val="Tahoma"/>
            <family val="2"/>
          </rPr>
          <t>Wiles, Richard (Research):</t>
        </r>
        <r>
          <rPr>
            <sz val="9"/>
            <color indexed="81"/>
            <rFont val="Tahoma"/>
            <family val="2"/>
          </rPr>
          <t xml:space="preserve">
changed classification at 1H22</t>
        </r>
      </text>
    </comment>
    <comment ref="CS806" authorId="4" shapeId="0" xr:uid="{CC5F89C4-DF0F-41E3-A26F-3754FBD1DAC7}">
      <text>
        <r>
          <rPr>
            <b/>
            <sz val="9"/>
            <color indexed="81"/>
            <rFont val="Tahoma"/>
            <family val="2"/>
          </rPr>
          <t>Hong, Sally (Research):</t>
        </r>
        <r>
          <rPr>
            <sz val="9"/>
            <color indexed="81"/>
            <rFont val="Tahoma"/>
            <family val="2"/>
          </rPr>
          <t xml:space="preserve">
Page 86 of the FY22 Results 4E </t>
        </r>
      </text>
    </comment>
    <comment ref="CV806" authorId="4" shapeId="0" xr:uid="{6D1343DF-2608-4742-A28D-DB667C82EB76}">
      <text>
        <r>
          <rPr>
            <b/>
            <sz val="9"/>
            <color indexed="81"/>
            <rFont val="Tahoma"/>
            <family val="2"/>
          </rPr>
          <t>Hong, Sally (Research):</t>
        </r>
        <r>
          <rPr>
            <sz val="9"/>
            <color indexed="81"/>
            <rFont val="Tahoma"/>
            <family val="2"/>
          </rPr>
          <t xml:space="preserve">
Page 76 of the 1H23 Results 4D</t>
        </r>
      </text>
    </comment>
    <comment ref="CK807" authorId="2" shapeId="0" xr:uid="{FD67CD0F-0AD6-4613-A3AF-DEEB3924F493}">
      <text>
        <r>
          <rPr>
            <b/>
            <sz val="9"/>
            <color indexed="81"/>
            <rFont val="Tahoma"/>
            <family val="2"/>
          </rPr>
          <t>Fernandes, Sona F (Research):</t>
        </r>
        <r>
          <rPr>
            <sz val="9"/>
            <color indexed="81"/>
            <rFont val="Tahoma"/>
            <family val="2"/>
          </rPr>
          <t xml:space="preserve">
Amortisation of 363</t>
        </r>
      </text>
    </comment>
    <comment ref="CS808" authorId="4" shapeId="0" xr:uid="{6A1DC8BA-DA43-42B1-89E7-21E1F0CEF1B6}">
      <text>
        <r>
          <rPr>
            <b/>
            <sz val="9"/>
            <color indexed="81"/>
            <rFont val="Tahoma"/>
            <family val="2"/>
          </rPr>
          <t>Hong, Sally (Research):</t>
        </r>
        <r>
          <rPr>
            <sz val="9"/>
            <color indexed="81"/>
            <rFont val="Tahoma"/>
            <family val="2"/>
          </rPr>
          <t xml:space="preserve">
Accelerated amortisatin of $445m (one-off expense)</t>
        </r>
      </text>
    </comment>
    <comment ref="CJ809" authorId="2" shapeId="0" xr:uid="{38450F09-5EB0-4139-8357-27CFCD9F4159}">
      <text>
        <r>
          <rPr>
            <b/>
            <sz val="9"/>
            <color indexed="81"/>
            <rFont val="Tahoma"/>
            <family val="2"/>
          </rPr>
          <t>Fernandes, Sona F (Research):</t>
        </r>
        <r>
          <rPr>
            <sz val="9"/>
            <color indexed="81"/>
            <rFont val="Tahoma"/>
            <family val="2"/>
          </rPr>
          <t xml:space="preserve">
Restated FY20</t>
        </r>
      </text>
    </comment>
    <comment ref="CZ814" authorId="3" shapeId="0" xr:uid="{F08891E0-444C-49AB-9FDB-08495A7C600D}">
      <text>
        <r>
          <rPr>
            <b/>
            <sz val="9"/>
            <color indexed="81"/>
            <rFont val="Tahoma"/>
            <family val="2"/>
          </rPr>
          <t>Wiles, Richard (Research):</t>
        </r>
        <r>
          <rPr>
            <sz val="9"/>
            <color indexed="81"/>
            <rFont val="Tahoma"/>
            <family val="2"/>
          </rPr>
          <t xml:space="preserve">
assume FTE increasing but IT servicing costs falling due to insourcing</t>
        </r>
      </text>
    </comment>
    <comment ref="DA814" authorId="3" shapeId="0" xr:uid="{8F34AA3F-D925-4071-AC35-8E8E75D16F1F}">
      <text>
        <r>
          <rPr>
            <b/>
            <sz val="9"/>
            <color indexed="81"/>
            <rFont val="Tahoma"/>
            <family val="2"/>
          </rPr>
          <t>Wiles, Richard (Research):</t>
        </r>
        <r>
          <rPr>
            <sz val="9"/>
            <color indexed="81"/>
            <rFont val="Tahoma"/>
            <family val="2"/>
          </rPr>
          <t xml:space="preserve">
assume FTE increasing but IT servicing costs falling due to insourcing</t>
        </r>
      </text>
    </comment>
    <comment ref="DD814" authorId="3" shapeId="0" xr:uid="{2C1C6D18-77CB-4E55-8D97-2A6D891BCA24}">
      <text>
        <r>
          <rPr>
            <b/>
            <sz val="9"/>
            <color indexed="81"/>
            <rFont val="Tahoma"/>
            <family val="2"/>
          </rPr>
          <t>Wiles, Richard (Research):</t>
        </r>
        <r>
          <rPr>
            <sz val="9"/>
            <color indexed="81"/>
            <rFont val="Tahoma"/>
            <family val="2"/>
          </rPr>
          <t xml:space="preserve">
assume FTE increasing but IT servicing costs falling due to insourcing</t>
        </r>
      </text>
    </comment>
    <comment ref="DE814" authorId="3" shapeId="0" xr:uid="{6045C06C-D1B6-4E95-92B3-E67EB1E3005D}">
      <text>
        <r>
          <rPr>
            <b/>
            <sz val="9"/>
            <color indexed="81"/>
            <rFont val="Tahoma"/>
            <family val="2"/>
          </rPr>
          <t>Wiles, Richard (Research):</t>
        </r>
        <r>
          <rPr>
            <sz val="9"/>
            <color indexed="81"/>
            <rFont val="Tahoma"/>
            <family val="2"/>
          </rPr>
          <t xml:space="preserve">
assume FTE increasing but IT servicing costs falling due to insourcing</t>
        </r>
      </text>
    </comment>
    <comment ref="CG819" authorId="8" shapeId="0" xr:uid="{CDE75248-1FA7-47E1-A7F1-2157B8FBCD8E}">
      <text>
        <r>
          <rPr>
            <b/>
            <sz val="9"/>
            <color indexed="81"/>
            <rFont val="Tahoma"/>
            <family val="2"/>
          </rPr>
          <t>Stadnik, Andrei (Research):</t>
        </r>
        <r>
          <rPr>
            <sz val="9"/>
            <color indexed="81"/>
            <rFont val="Tahoma"/>
            <family val="2"/>
          </rPr>
          <t xml:space="preserve">
pre paid software licenses - footnote on page 97 of Fy19 PA</t>
        </r>
      </text>
    </comment>
    <comment ref="CJ819" authorId="8" shapeId="0" xr:uid="{256A499E-4FB2-44B9-8FA7-89614194F6E8}">
      <text>
        <r>
          <rPr>
            <b/>
            <sz val="9"/>
            <color indexed="81"/>
            <rFont val="Tahoma"/>
            <family val="2"/>
          </rPr>
          <t>Stadnik, Andrei (Research):</t>
        </r>
        <r>
          <rPr>
            <sz val="9"/>
            <color indexed="81"/>
            <rFont val="Tahoma"/>
            <family val="2"/>
          </rPr>
          <t xml:space="preserve">
pre paid software licenses - footnote on page p87 1H20</t>
        </r>
      </text>
    </comment>
    <comment ref="CK819" authorId="8" shapeId="0" xr:uid="{C3C6A6A6-3B78-4ACF-AC63-FAD759B8BF8C}">
      <text>
        <r>
          <rPr>
            <b/>
            <sz val="9"/>
            <color indexed="81"/>
            <rFont val="Tahoma"/>
            <family val="2"/>
          </rPr>
          <t>Stadnik, Andrei (Research):</t>
        </r>
        <r>
          <rPr>
            <sz val="9"/>
            <color indexed="81"/>
            <rFont val="Tahoma"/>
            <family val="2"/>
          </rPr>
          <t xml:space="preserve">
pre paid software licenses - footnote on page 97 of Fy19 PA</t>
        </r>
      </text>
    </comment>
    <comment ref="CN819" authorId="5" shapeId="0" xr:uid="{A303A22B-6533-4F26-AADD-B5A325BDD8FA}">
      <text>
        <r>
          <rPr>
            <b/>
            <sz val="9"/>
            <color indexed="81"/>
            <rFont val="Tahoma"/>
            <family val="2"/>
          </rPr>
          <t>Fernandes, Sona (Research):</t>
        </r>
        <r>
          <rPr>
            <sz val="9"/>
            <color indexed="81"/>
            <rFont val="Tahoma"/>
            <family val="2"/>
          </rPr>
          <t xml:space="preserve">
Restated FY21</t>
        </r>
      </text>
    </comment>
    <comment ref="CO819" authorId="3" shapeId="0" xr:uid="{713FB246-2531-4ABF-849E-A59FEC3CC5E2}">
      <text>
        <r>
          <rPr>
            <b/>
            <sz val="9"/>
            <color indexed="81"/>
            <rFont val="Tahoma"/>
            <family val="2"/>
          </rPr>
          <t>Wiles, Richard (Research):</t>
        </r>
        <r>
          <rPr>
            <sz val="9"/>
            <color indexed="81"/>
            <rFont val="Tahoma"/>
            <family val="2"/>
          </rPr>
          <t xml:space="preserve">
refer p92 of FY21</t>
        </r>
      </text>
    </comment>
    <comment ref="CB826" authorId="3" shapeId="0" xr:uid="{48FF9D3E-8F66-43A4-BE81-890FE6E71909}">
      <text>
        <r>
          <rPr>
            <b/>
            <sz val="9"/>
            <color indexed="81"/>
            <rFont val="Tahoma"/>
            <family val="2"/>
          </rPr>
          <t>Wiles, Richard (Research):</t>
        </r>
        <r>
          <rPr>
            <sz val="9"/>
            <color indexed="81"/>
            <rFont val="Tahoma"/>
            <family val="2"/>
          </rPr>
          <t xml:space="preserve">
AUSTRAC refer 1H18 p24</t>
        </r>
      </text>
    </comment>
    <comment ref="DE826" authorId="4" shapeId="0" xr:uid="{0830AB2C-B43F-47E9-9D6B-E3A063945884}">
      <text>
        <r>
          <rPr>
            <b/>
            <sz val="9"/>
            <color indexed="81"/>
            <rFont val="Tahoma"/>
            <family val="2"/>
          </rPr>
          <t>Hong, Sally (Research):</t>
        </r>
        <r>
          <rPr>
            <sz val="9"/>
            <color indexed="81"/>
            <rFont val="Tahoma"/>
            <family val="2"/>
          </rPr>
          <t xml:space="preserve">
ASX Release 6/8/25:
A$130m notable expenses (pre-tax)
-A$45m of resutrcutirng charges
-A$52m domestic remediation costs
- A$33m ASB remediation costs
</t>
        </r>
      </text>
    </comment>
    <comment ref="DH826" authorId="4" shapeId="0" xr:uid="{BF66B4F2-47C6-48CA-BC6F-623127DB2D45}">
      <text>
        <r>
          <rPr>
            <b/>
            <sz val="9"/>
            <color indexed="81"/>
            <rFont val="Tahoma"/>
            <family val="2"/>
          </rPr>
          <t>Hong, Sally (Research):</t>
        </r>
        <r>
          <rPr>
            <sz val="9"/>
            <color indexed="81"/>
            <rFont val="Tahoma"/>
            <family val="2"/>
          </rPr>
          <t xml:space="preserve">
</t>
        </r>
        <r>
          <rPr>
            <b/>
            <sz val="9"/>
            <color indexed="81"/>
            <rFont val="Tahoma"/>
            <family val="2"/>
          </rPr>
          <t>ASX release 3/2/25</t>
        </r>
        <r>
          <rPr>
            <sz val="9"/>
            <color indexed="81"/>
            <rFont val="Tahoma"/>
            <family val="2"/>
          </rPr>
          <t xml:space="preserve">:
pre-tax A$68m customer remediation ASIC's Better Banking Review
</t>
        </r>
        <r>
          <rPr>
            <b/>
            <sz val="9"/>
            <color indexed="81"/>
            <rFont val="Tahoma"/>
            <family val="2"/>
          </rPr>
          <t xml:space="preserve">1Q26 
</t>
        </r>
        <r>
          <rPr>
            <sz val="9"/>
            <color indexed="81"/>
            <rFont val="Tahoma"/>
            <family val="2"/>
          </rPr>
          <t>ASB class action was A$122m pre-tax, est A$86m post tax</t>
        </r>
        <r>
          <rPr>
            <b/>
            <sz val="9"/>
            <color indexed="81"/>
            <rFont val="Tahoma"/>
            <family val="2"/>
          </rPr>
          <t xml:space="preserve">
</t>
        </r>
        <r>
          <rPr>
            <sz val="9"/>
            <color indexed="81"/>
            <rFont val="Tahoma"/>
            <family val="2"/>
          </rPr>
          <t>Previous
7/10/25 ASB Class action settlement NZD$135m = A$120m pre tax.
Settlement is tax deductible so post tax impact is A$84m.
Recgonsied in 1Q26 as cash notable expense item</t>
        </r>
      </text>
    </comment>
    <comment ref="CW827" authorId="4" shapeId="0" xr:uid="{9E46A8F2-F1C7-4550-85C2-6E9ED093500F}">
      <text>
        <r>
          <rPr>
            <b/>
            <sz val="9"/>
            <color indexed="81"/>
            <rFont val="Tahoma"/>
            <family val="2"/>
          </rPr>
          <t>Hong, Sally (Research):</t>
        </r>
        <r>
          <rPr>
            <sz val="9"/>
            <color indexed="81"/>
            <rFont val="Tahoma"/>
            <family val="2"/>
          </rPr>
          <t xml:space="preserve">
ASX Announcement 01/8/23:
2H23 Pre-tax Notable Expenses of $212m:
1) Bankwest operating model changes
2) Compensation for Last Resort</t>
        </r>
      </text>
    </comment>
    <comment ref="DA827" authorId="4" shapeId="0" xr:uid="{B9F50213-07FB-4843-A025-5C3844745FBC}">
      <text>
        <r>
          <rPr>
            <b/>
            <sz val="9"/>
            <color indexed="81"/>
            <rFont val="Tahoma"/>
            <family val="2"/>
          </rPr>
          <t>Hong, Sally (Research):</t>
        </r>
        <r>
          <rPr>
            <sz val="9"/>
            <color indexed="81"/>
            <rFont val="Tahoma"/>
            <family val="2"/>
          </rPr>
          <t xml:space="preserve">
ASX Announcement 01/8/24:
2H24 Pre-tax Notable Expenses of $89m:
1) Bankwest operating model changes
</t>
        </r>
      </text>
    </comment>
    <comment ref="DE827" authorId="4" shapeId="0" xr:uid="{08DB8F25-6E07-464A-8D54-80CEC85F6E50}">
      <text>
        <r>
          <rPr>
            <b/>
            <sz val="9"/>
            <color indexed="81"/>
            <rFont val="Tahoma"/>
            <family val="2"/>
          </rPr>
          <t>Hong, Sally (Research):</t>
        </r>
        <r>
          <rPr>
            <sz val="9"/>
            <color indexed="81"/>
            <rFont val="Tahoma"/>
            <family val="2"/>
          </rPr>
          <t xml:space="preserve">
ASX Release 6/8/25:
A$130m notable expenses (pre-tax)
-A$45m of resutrcutirng charges
-A$52m domestic remediation costs
- A$33m ASB remediation costs
</t>
        </r>
      </text>
    </comment>
    <comment ref="CF828" authorId="3" shapeId="0" xr:uid="{2CCED73E-B841-4FA2-9BC6-FA974CA670BC}">
      <text>
        <r>
          <rPr>
            <b/>
            <sz val="9"/>
            <color indexed="81"/>
            <rFont val="Tahoma"/>
            <family val="2"/>
          </rPr>
          <t>Wiles, Richard (Research):</t>
        </r>
        <r>
          <rPr>
            <sz val="9"/>
            <color indexed="81"/>
            <rFont val="Tahoma"/>
            <family val="2"/>
          </rPr>
          <t xml:space="preserve">
A$145m insurance indemity 1H19 p16 relating to Austrac
previously: A$135m pre-tax professional indemnity insurance recovery (announed 11/12/18) … recognised as a benefit in operating expenses</t>
        </r>
      </text>
    </comment>
    <comment ref="CV832" authorId="3" shapeId="0" xr:uid="{02529E4C-EC7A-40AE-961D-7210AB4E7D6D}">
      <text>
        <r>
          <rPr>
            <b/>
            <sz val="9"/>
            <color indexed="81"/>
            <rFont val="Tahoma"/>
            <family val="2"/>
          </rPr>
          <t>Wiles, Richard (Research):</t>
        </r>
        <r>
          <rPr>
            <sz val="9"/>
            <color indexed="81"/>
            <rFont val="Tahoma"/>
            <family val="2"/>
          </rPr>
          <t xml:space="preserve">
assume an additional 1% reduction in other expenses due to sale of GI business which has a cost base of approx A$110m (MS est)</t>
        </r>
      </text>
    </comment>
    <comment ref="CW832" authorId="4" shapeId="0" xr:uid="{F74DE0F1-BC93-4009-A0FE-F4828F9849EA}">
      <text>
        <r>
          <rPr>
            <b/>
            <sz val="9"/>
            <color indexed="81"/>
            <rFont val="Tahoma"/>
            <family val="2"/>
          </rPr>
          <t>Hong, Sally (Research):</t>
        </r>
        <r>
          <rPr>
            <sz val="9"/>
            <color indexed="81"/>
            <rFont val="Tahoma"/>
            <family val="2"/>
          </rPr>
          <t xml:space="preserve">
Adjusted to arrive at reported op expense of 878 (666+212) following remediations costs being excluded as notable expense items.</t>
        </r>
      </text>
    </comment>
    <comment ref="CS835" authorId="4" shapeId="0" xr:uid="{55030D89-B5FE-4A5F-91C3-FEE19C28323B}">
      <text>
        <r>
          <rPr>
            <b/>
            <sz val="9"/>
            <color indexed="81"/>
            <rFont val="Tahoma"/>
            <family val="2"/>
          </rPr>
          <t>Hong, Sally (Research):</t>
        </r>
        <r>
          <rPr>
            <sz val="9"/>
            <color indexed="81"/>
            <rFont val="Tahoma"/>
            <family val="2"/>
          </rPr>
          <t xml:space="preserve">
footnote 3 of Page 11 FY22 Results 4E</t>
        </r>
      </text>
    </comment>
    <comment ref="CD840" authorId="1" shapeId="0" xr:uid="{5823FFF7-7B3A-43AE-9D98-C456D09630C6}">
      <text>
        <r>
          <rPr>
            <b/>
            <sz val="9"/>
            <color indexed="81"/>
            <rFont val="Tahoma"/>
            <family val="2"/>
          </rPr>
          <t>O'Neill, Emilie (Research):</t>
        </r>
        <r>
          <rPr>
            <sz val="9"/>
            <color indexed="81"/>
            <rFont val="Tahoma"/>
            <family val="2"/>
          </rPr>
          <t xml:space="preserve">
This is costs associated with AUSTRAC Poceedings, RC and APRA prudential inquiry</t>
        </r>
      </text>
    </comment>
    <comment ref="CF840" authorId="3" shapeId="0" xr:uid="{0C61776F-B742-49DE-9B1D-2BA680C11E45}">
      <text>
        <r>
          <rPr>
            <b/>
            <sz val="9"/>
            <color indexed="81"/>
            <rFont val="Tahoma"/>
            <family val="2"/>
          </rPr>
          <t>Wiles, Richard (Research):</t>
        </r>
        <r>
          <rPr>
            <sz val="9"/>
            <color indexed="81"/>
            <rFont val="Tahoma"/>
            <family val="2"/>
          </rPr>
          <t xml:space="preserve">
newco indemnity provision A$200m … refer 1H19 p16
plus A$46m wealth, A$30m banking, A$6m other program costs disclosed at 3Q19 (slide 6 and announcement)
Restated at FY20
</t>
        </r>
      </text>
    </comment>
    <comment ref="CG840" authorId="1" shapeId="0" xr:uid="{F2907A42-D8B2-4842-A4D0-AED2EA2C9A3A}">
      <text>
        <r>
          <rPr>
            <b/>
            <sz val="9"/>
            <color indexed="81"/>
            <rFont val="Tahoma"/>
            <family val="2"/>
          </rPr>
          <t>O'Neill, Emilie (Research):</t>
        </r>
        <r>
          <rPr>
            <sz val="9"/>
            <color indexed="81"/>
            <rFont val="Tahoma"/>
            <family val="2"/>
          </rPr>
          <t xml:space="preserve">
See page vii of 2H19 Profit Announcement. This is 334+72+152+156-10-65 = aligned advice remediation + wealth customer refunds + banking customer refunds + other program costs - discontinued remediation - better risk outcomes program
total A$714m less A$75m discontinued = A$639m in continuing 
Restated at FY20</t>
        </r>
      </text>
    </comment>
    <comment ref="CH840" authorId="1" shapeId="0" xr:uid="{C5E5AA24-40B9-42FE-97C8-F27CF30B4BA8}">
      <text>
        <r>
          <rPr>
            <b/>
            <sz val="9"/>
            <color indexed="81"/>
            <rFont val="Tahoma"/>
            <family val="2"/>
          </rPr>
          <t>O'Neill, Emilie (Research):</t>
        </r>
        <r>
          <rPr>
            <sz val="9"/>
            <color indexed="81"/>
            <rFont val="Tahoma"/>
            <family val="2"/>
          </rPr>
          <t xml:space="preserve">
This is costs associated with AUSTRAC Poceedings, RC and APRA prudential inquiry</t>
        </r>
      </text>
    </comment>
    <comment ref="CJ840" authorId="2" shapeId="0" xr:uid="{C14CEA34-836E-4E7E-9CD3-99ECBE833C96}">
      <text>
        <r>
          <rPr>
            <b/>
            <sz val="9"/>
            <color indexed="81"/>
            <rFont val="Tahoma"/>
            <family val="2"/>
          </rPr>
          <t>Fernandes, Sona F (Research):</t>
        </r>
        <r>
          <rPr>
            <sz val="9"/>
            <color indexed="81"/>
            <rFont val="Tahoma"/>
            <family val="2"/>
          </rPr>
          <t xml:space="preserve">
Restated FY20
</t>
        </r>
      </text>
    </comment>
    <comment ref="CK840" authorId="3" shapeId="0" xr:uid="{0AEDEB37-7264-4DAF-90F7-66DD6F198B3C}">
      <text>
        <r>
          <rPr>
            <b/>
            <sz val="9"/>
            <color indexed="81"/>
            <rFont val="Tahoma"/>
            <family val="2"/>
          </rPr>
          <t>Wiles, Richard (Research):</t>
        </r>
        <r>
          <rPr>
            <sz val="9"/>
            <color indexed="81"/>
            <rFont val="Tahoma"/>
            <family val="2"/>
          </rPr>
          <t xml:space="preserve">
includes A$300m for aligned advice, A$94m for wealth and banking cistomer remediation and A$60m increase in provisions for other items (refer p11 FY20)</t>
        </r>
      </text>
    </comment>
    <comment ref="CN840" authorId="5" shapeId="0" xr:uid="{5910F153-E701-4A45-B636-981D363FCBB9}">
      <text>
        <r>
          <rPr>
            <b/>
            <sz val="9"/>
            <color indexed="81"/>
            <rFont val="Tahoma"/>
            <family val="2"/>
          </rPr>
          <t>Fernandes, Sona (Research):</t>
        </r>
        <r>
          <rPr>
            <sz val="9"/>
            <color indexed="81"/>
            <rFont val="Tahoma"/>
            <family val="2"/>
          </rPr>
          <t xml:space="preserve">
$241m of remediation</t>
        </r>
      </text>
    </comment>
    <comment ref="CR840" authorId="3" shapeId="0" xr:uid="{27505043-4720-4619-BE48-DBBD56A32997}">
      <text>
        <r>
          <rPr>
            <b/>
            <sz val="9"/>
            <color indexed="81"/>
            <rFont val="Tahoma"/>
            <family val="2"/>
          </rPr>
          <t>Wiles, Richard (Research):</t>
        </r>
        <r>
          <rPr>
            <sz val="9"/>
            <color indexed="81"/>
            <rFont val="Tahoma"/>
            <family val="2"/>
          </rPr>
          <t xml:space="preserve">
A$52m in 1Q22</t>
        </r>
      </text>
    </comment>
    <comment ref="CS840" authorId="3" shapeId="0" xr:uid="{8C67CFA1-77A8-4240-A4A8-09B3E59F3E81}">
      <text>
        <r>
          <rPr>
            <b/>
            <sz val="9"/>
            <color indexed="81"/>
            <rFont val="Tahoma"/>
            <family val="2"/>
          </rPr>
          <t>Wiles, Richard (Research):</t>
        </r>
        <r>
          <rPr>
            <sz val="9"/>
            <color indexed="81"/>
            <rFont val="Tahoma"/>
            <family val="2"/>
          </rPr>
          <t xml:space="preserve">
FY22: A$251m = A$127m for remediation and litigation + A$127m for additional costs ( including provisions) for historical aligned advice 
2H22: A$158m = A$77m + A$81m 
1H22: A$93m = A$50m + A$43m </t>
        </r>
      </text>
    </comment>
    <comment ref="CV840" authorId="4" shapeId="0" xr:uid="{D9F68EC9-7E1F-4741-98CF-CD9D05E4FDBB}">
      <text>
        <r>
          <rPr>
            <b/>
            <sz val="9"/>
            <color indexed="81"/>
            <rFont val="Tahoma"/>
            <family val="2"/>
          </rPr>
          <t>Hong, Sally (Research):</t>
        </r>
        <r>
          <rPr>
            <sz val="9"/>
            <color indexed="81"/>
            <rFont val="Tahoma"/>
            <family val="2"/>
          </rPr>
          <t xml:space="preserve">
1H23: - 137m pre-tax
1Q23: -$74m pre-tax 
Other remediation costs (est) = $0m
</t>
        </r>
        <r>
          <rPr>
            <b/>
            <sz val="9"/>
            <color indexed="81"/>
            <rFont val="Tahoma"/>
            <family val="2"/>
          </rPr>
          <t>Treated as non-cash items:</t>
        </r>
        <r>
          <rPr>
            <sz val="9"/>
            <color indexed="81"/>
            <rFont val="Tahoma"/>
            <family val="2"/>
          </rPr>
          <t xml:space="preserve">
4 Nov 2022: CCI class action -$50m pre-tax
Countplus (8/12/22): -$220m pre-tax and $-147m post tax (assume included in continuing operations under RBS, consistent with treatment in FY20 when original A$300m indemnity was recognised)
</t>
        </r>
      </text>
    </comment>
    <comment ref="DE840" authorId="4" shapeId="0" xr:uid="{E300F4CF-5D5E-480C-ACAC-85CAB7FEA82C}">
      <text>
        <r>
          <rPr>
            <b/>
            <sz val="9"/>
            <color indexed="81"/>
            <rFont val="Tahoma"/>
            <family val="2"/>
          </rPr>
          <t>Hong, Sally (Research):</t>
        </r>
        <r>
          <rPr>
            <sz val="9"/>
            <color indexed="81"/>
            <rFont val="Tahoma"/>
            <family val="2"/>
          </rPr>
          <t xml:space="preserve">
ASX Release 6/8/25:
A$130m notable expenses (pre-tax)
-A$45m of resutrcutirng charges
-A$52m domestic remediation costs
- A$33m ASB remediation costs
</t>
        </r>
      </text>
    </comment>
    <comment ref="DH840" authorId="4" shapeId="0" xr:uid="{DBAB6346-90DC-4029-85B5-6663E279FDA3}">
      <text>
        <r>
          <rPr>
            <b/>
            <sz val="9"/>
            <color indexed="81"/>
            <rFont val="Tahoma"/>
            <family val="2"/>
          </rPr>
          <t>Hong, Sally (Research):</t>
        </r>
        <r>
          <rPr>
            <sz val="9"/>
            <color indexed="81"/>
            <rFont val="Tahoma"/>
            <family val="2"/>
          </rPr>
          <t xml:space="preserve">
</t>
        </r>
        <r>
          <rPr>
            <b/>
            <sz val="9"/>
            <color indexed="81"/>
            <rFont val="Tahoma"/>
            <family val="2"/>
          </rPr>
          <t>ASX release 3/2/25</t>
        </r>
        <r>
          <rPr>
            <sz val="9"/>
            <color indexed="81"/>
            <rFont val="Tahoma"/>
            <family val="2"/>
          </rPr>
          <t xml:space="preserve">:
pre-tax A$68m customer remediation ASIC's Better Banking Review
</t>
        </r>
        <r>
          <rPr>
            <b/>
            <sz val="9"/>
            <color indexed="81"/>
            <rFont val="Tahoma"/>
            <family val="2"/>
          </rPr>
          <t xml:space="preserve">1Q26 
</t>
        </r>
        <r>
          <rPr>
            <sz val="9"/>
            <color indexed="81"/>
            <rFont val="Tahoma"/>
            <family val="2"/>
          </rPr>
          <t>ASB class action was A$122m pre-tax, est A$86m post tax</t>
        </r>
        <r>
          <rPr>
            <b/>
            <sz val="9"/>
            <color indexed="81"/>
            <rFont val="Tahoma"/>
            <family val="2"/>
          </rPr>
          <t xml:space="preserve">
</t>
        </r>
        <r>
          <rPr>
            <sz val="9"/>
            <color indexed="81"/>
            <rFont val="Tahoma"/>
            <family val="2"/>
          </rPr>
          <t>Previous
7/10/25 ASB Class action settlement NZD$135m = A$120m pre tax.
Settlement is tax deductible so post tax impact is A$84m.
Recgonsied in 1Q26 as cash notable expense item</t>
        </r>
      </text>
    </comment>
    <comment ref="CN842" authorId="4" shapeId="0" xr:uid="{E209AF93-DC88-4A20-8BC7-F4E6F73B4057}">
      <text>
        <r>
          <rPr>
            <b/>
            <sz val="9"/>
            <color indexed="81"/>
            <rFont val="Tahoma"/>
            <family val="2"/>
          </rPr>
          <t>Hong, Sally (Research):</t>
        </r>
        <r>
          <rPr>
            <sz val="9"/>
            <color indexed="81"/>
            <rFont val="Tahoma"/>
            <family val="2"/>
          </rPr>
          <t xml:space="preserve">
ASX Announcement 01/8/23: 2H23 Notable Expense Items:
Remediation expenses are no longer called out as notable expense item. From 2H23 onwards, it will be treated as normal BAU costs.</t>
        </r>
      </text>
    </comment>
    <comment ref="CO842" authorId="4" shapeId="0" xr:uid="{4552F2C8-DBF9-405A-924A-F527BD3001C0}">
      <text>
        <r>
          <rPr>
            <b/>
            <sz val="9"/>
            <color indexed="81"/>
            <rFont val="Tahoma"/>
            <family val="2"/>
          </rPr>
          <t>Hong, Sally (Research):</t>
        </r>
        <r>
          <rPr>
            <sz val="9"/>
            <color indexed="81"/>
            <rFont val="Tahoma"/>
            <family val="2"/>
          </rPr>
          <t xml:space="preserve">
ASX Announcement 01/8/23: 2H23 Notable Expense Items:
Remediation expenses are no longer called out as notable expense item. From 2H23 onwards, it will be treated as normal BAU costs.</t>
        </r>
      </text>
    </comment>
    <comment ref="CP842" authorId="4" shapeId="0" xr:uid="{5A23F1F5-318A-4536-B1E7-2C519F925220}">
      <text>
        <r>
          <rPr>
            <b/>
            <sz val="9"/>
            <color indexed="81"/>
            <rFont val="Tahoma"/>
            <family val="2"/>
          </rPr>
          <t>Hong, Sally (Research):</t>
        </r>
        <r>
          <rPr>
            <sz val="9"/>
            <color indexed="81"/>
            <rFont val="Tahoma"/>
            <family val="2"/>
          </rPr>
          <t xml:space="preserve">
ASX Announcement 01/8/23: 2H23 Notable Expense Items:
Remediation expenses are no longer called out as notable expense item. From 2H23 onwards, it will be treated as normal BAU costs.</t>
        </r>
      </text>
    </comment>
    <comment ref="CR842" authorId="4" shapeId="0" xr:uid="{8A1F5870-16D7-4DFF-8E66-2D43349F2575}">
      <text>
        <r>
          <rPr>
            <b/>
            <sz val="9"/>
            <color indexed="81"/>
            <rFont val="Tahoma"/>
            <family val="2"/>
          </rPr>
          <t>Hong, Sally (Research):</t>
        </r>
        <r>
          <rPr>
            <sz val="9"/>
            <color indexed="81"/>
            <rFont val="Tahoma"/>
            <family val="2"/>
          </rPr>
          <t xml:space="preserve">
ASX Announcement 01/8/23: 2H23 Notable Expense Items:
Remediation expenses are no longer called out as notable expense item. From 2H23 onwards, it will be treated as normal BAU costs.</t>
        </r>
      </text>
    </comment>
    <comment ref="CS842" authorId="4" shapeId="0" xr:uid="{E68555FE-3302-4F1D-95D2-2B0FEB2500D7}">
      <text>
        <r>
          <rPr>
            <b/>
            <sz val="9"/>
            <color indexed="81"/>
            <rFont val="Tahoma"/>
            <family val="2"/>
          </rPr>
          <t>Hong, Sally (Research):</t>
        </r>
        <r>
          <rPr>
            <sz val="9"/>
            <color indexed="81"/>
            <rFont val="Tahoma"/>
            <family val="2"/>
          </rPr>
          <t xml:space="preserve">
ASX Announcement 01/8/23: 2H23 Notable Expense Items:
Remediation expenses are no longer called out as notable expense item. From 2H23 onwards, it will be treated as normal BAU costs.</t>
        </r>
      </text>
    </comment>
    <comment ref="CT842" authorId="4" shapeId="0" xr:uid="{CA133D9E-2588-4786-AFF9-D1EF24E6F6BE}">
      <text>
        <r>
          <rPr>
            <b/>
            <sz val="9"/>
            <color indexed="81"/>
            <rFont val="Tahoma"/>
            <family val="2"/>
          </rPr>
          <t>Hong, Sally (Research):</t>
        </r>
        <r>
          <rPr>
            <sz val="9"/>
            <color indexed="81"/>
            <rFont val="Tahoma"/>
            <family val="2"/>
          </rPr>
          <t xml:space="preserve">
ASX Announcement 01/8/23: 2H23 Notable Expense Items:
Remediation expenses are no longer called out as notable expense item. From 2H23 onwards, it will be treated as normal BAU costs.</t>
        </r>
      </text>
    </comment>
    <comment ref="CV842" authorId="4" shapeId="0" xr:uid="{FA14C726-ED02-4DEB-9F60-B2A57072310A}">
      <text>
        <r>
          <rPr>
            <b/>
            <sz val="9"/>
            <color indexed="81"/>
            <rFont val="Tahoma"/>
            <family val="2"/>
          </rPr>
          <t>Hong, Sally (Research):</t>
        </r>
        <r>
          <rPr>
            <sz val="9"/>
            <color indexed="81"/>
            <rFont val="Tahoma"/>
            <family val="2"/>
          </rPr>
          <t xml:space="preserve">
ASX Announcement 01/8/23: 2H23 Notable Expense Items:
Remediation expenses are no longer called out as notable expense item. From 2H23 onwards, it will be treated as normal BAU costs.</t>
        </r>
      </text>
    </comment>
    <comment ref="CW842" authorId="4" shapeId="0" xr:uid="{2D6DDC01-227D-4DF4-858C-3BE8A59AF9CE}">
      <text>
        <r>
          <rPr>
            <b/>
            <sz val="9"/>
            <color indexed="81"/>
            <rFont val="Tahoma"/>
            <family val="2"/>
          </rPr>
          <t>Hong, Sally (Research):</t>
        </r>
        <r>
          <rPr>
            <sz val="9"/>
            <color indexed="81"/>
            <rFont val="Tahoma"/>
            <family val="2"/>
          </rPr>
          <t xml:space="preserve">
ASX Announcement 01/8/23: 2H23 Notable Expense Items:
Remediation expenses are no longer called out as notable expense item. From 2H23 onwards, it will be treated as normal BAU costs.</t>
        </r>
      </text>
    </comment>
    <comment ref="CX842" authorId="4" shapeId="0" xr:uid="{E73D8F1D-0188-4CDB-82F2-D817AE64D880}">
      <text>
        <r>
          <rPr>
            <b/>
            <sz val="9"/>
            <color indexed="81"/>
            <rFont val="Tahoma"/>
            <family val="2"/>
          </rPr>
          <t>Hong, Sally (Research):</t>
        </r>
        <r>
          <rPr>
            <sz val="9"/>
            <color indexed="81"/>
            <rFont val="Tahoma"/>
            <family val="2"/>
          </rPr>
          <t xml:space="preserve">
ASX Announcement 01/8/23: 2H23 Notable Expense Items:
Remediation expenses are no longer called out as notable expense item. From 2H23 onwards, it will be treated as normal BAU costs.</t>
        </r>
      </text>
    </comment>
    <comment ref="CN843" authorId="3" shapeId="0" xr:uid="{C8C16FC3-8727-4B4F-884B-90FDBA0147A2}">
      <text>
        <r>
          <rPr>
            <b/>
            <sz val="9"/>
            <color indexed="81"/>
            <rFont val="Tahoma"/>
            <family val="2"/>
          </rPr>
          <t>Wiles, Richard (Research):</t>
        </r>
        <r>
          <rPr>
            <sz val="9"/>
            <color indexed="81"/>
            <rFont val="Tahoma"/>
            <family val="2"/>
          </rPr>
          <t xml:space="preserve">
estimate 30% tax rate</t>
        </r>
      </text>
    </comment>
    <comment ref="CR843" authorId="3" shapeId="0" xr:uid="{6A5F30EB-1705-41D9-B3AE-A05C41FC535D}">
      <text>
        <r>
          <rPr>
            <b/>
            <sz val="9"/>
            <color indexed="81"/>
            <rFont val="Tahoma"/>
            <family val="2"/>
          </rPr>
          <t>Wiles, Richard (Research):</t>
        </r>
        <r>
          <rPr>
            <sz val="9"/>
            <color indexed="81"/>
            <rFont val="Tahoma"/>
            <family val="2"/>
          </rPr>
          <t xml:space="preserve">
estimate 30% tax rate</t>
        </r>
      </text>
    </comment>
    <comment ref="CV843" authorId="4" shapeId="0" xr:uid="{AA67430A-53FB-4EBB-B783-ED58201F14F9}">
      <text>
        <r>
          <rPr>
            <b/>
            <sz val="9"/>
            <color indexed="81"/>
            <rFont val="Tahoma"/>
            <family val="2"/>
          </rPr>
          <t>Hong, Sally (Research):</t>
        </r>
        <r>
          <rPr>
            <sz val="9"/>
            <color indexed="81"/>
            <rFont val="Tahoma"/>
            <family val="2"/>
          </rPr>
          <t xml:space="preserve">
1Q23: -$74m pre-tax (A$22m tax)
Other remediation costs (est) = $0m
</t>
        </r>
        <r>
          <rPr>
            <b/>
            <sz val="9"/>
            <color indexed="81"/>
            <rFont val="Tahoma"/>
            <family val="2"/>
          </rPr>
          <t>Treated as Non-Cash Items:</t>
        </r>
        <r>
          <rPr>
            <sz val="9"/>
            <color indexed="81"/>
            <rFont val="Tahoma"/>
            <family val="2"/>
          </rPr>
          <t xml:space="preserve">
14 Nov 2022: CCI class action -$50m pre-tax (A$15m tax)
Countplus (8/12/22): -$220m pre-tax and $-147m post tax .. Implies A$73m tax
</t>
        </r>
      </text>
    </comment>
    <comment ref="CG846" authorId="1" shapeId="0" xr:uid="{C813D866-BBF0-4E27-9D85-FE6FC9C7C890}">
      <text>
        <r>
          <rPr>
            <b/>
            <sz val="9"/>
            <color indexed="81"/>
            <rFont val="Tahoma"/>
            <family val="2"/>
          </rPr>
          <t>O'Neill, Emilie (Research):</t>
        </r>
        <r>
          <rPr>
            <sz val="9"/>
            <color indexed="81"/>
            <rFont val="Tahoma"/>
            <family val="2"/>
          </rPr>
          <t xml:space="preserve">
includes 65m of Better Risk Outcomes Program</t>
        </r>
      </text>
    </comment>
    <comment ref="CB847" authorId="1" shapeId="0" xr:uid="{945B6E1E-8CC5-4AB6-B1D5-0A4C729A1266}">
      <text>
        <r>
          <rPr>
            <b/>
            <sz val="9"/>
            <color indexed="81"/>
            <rFont val="Tahoma"/>
            <family val="2"/>
          </rPr>
          <t>O'Neill, Emilie (Research):</t>
        </r>
        <r>
          <rPr>
            <sz val="9"/>
            <color indexed="81"/>
            <rFont val="Tahoma"/>
            <family val="2"/>
          </rPr>
          <t xml:space="preserve">
Mortgage broking consolidation</t>
        </r>
      </text>
    </comment>
    <comment ref="CC847" authorId="1" shapeId="0" xr:uid="{E945EF01-F779-4184-BB15-BB56C072B1FB}">
      <text>
        <r>
          <rPr>
            <b/>
            <sz val="9"/>
            <color indexed="81"/>
            <rFont val="Tahoma"/>
            <family val="2"/>
          </rPr>
          <t>O'Neill, Emilie (Research):</t>
        </r>
        <r>
          <rPr>
            <sz val="9"/>
            <color indexed="81"/>
            <rFont val="Tahoma"/>
            <family val="2"/>
          </rPr>
          <t xml:space="preserve">
Mortgage broking consolidation</t>
        </r>
      </text>
    </comment>
    <comment ref="CF847" authorId="3" shapeId="0" xr:uid="{446C8107-3692-4209-813A-9253B8A58C5C}">
      <text>
        <r>
          <rPr>
            <b/>
            <sz val="9"/>
            <color indexed="81"/>
            <rFont val="Tahoma"/>
            <family val="2"/>
          </rPr>
          <t>Wiles, Richard (Research):</t>
        </r>
        <r>
          <rPr>
            <sz val="9"/>
            <color indexed="81"/>
            <rFont val="Tahoma"/>
            <family val="2"/>
          </rPr>
          <t xml:space="preserve">
no longer treated as notable item or disclosed</t>
        </r>
      </text>
    </comment>
    <comment ref="CG847" authorId="3" shapeId="0" xr:uid="{A7B27E8A-1010-47A6-9154-A6E5F4F363A5}">
      <text>
        <r>
          <rPr>
            <b/>
            <sz val="9"/>
            <color indexed="81"/>
            <rFont val="Tahoma"/>
            <family val="2"/>
          </rPr>
          <t>Wiles, Richard (Research):</t>
        </r>
        <r>
          <rPr>
            <sz val="9"/>
            <color indexed="81"/>
            <rFont val="Tahoma"/>
            <family val="2"/>
          </rPr>
          <t xml:space="preserve">
no longer treated as notable item or disclosed</t>
        </r>
      </text>
    </comment>
    <comment ref="CJ847" authorId="3" shapeId="0" xr:uid="{81237848-45C3-4DDF-AA42-587CAC08ED82}">
      <text>
        <r>
          <rPr>
            <b/>
            <sz val="9"/>
            <color indexed="81"/>
            <rFont val="Tahoma"/>
            <family val="2"/>
          </rPr>
          <t>Wiles, Richard (Research):</t>
        </r>
        <r>
          <rPr>
            <sz val="9"/>
            <color indexed="81"/>
            <rFont val="Tahoma"/>
            <family val="2"/>
          </rPr>
          <t xml:space="preserve">
no longer treated as notable item or disclosed</t>
        </r>
      </text>
    </comment>
    <comment ref="CR847" authorId="3" shapeId="0" xr:uid="{D3BB6599-D2C0-4703-8C20-E499BB3A4E0F}">
      <text>
        <r>
          <rPr>
            <b/>
            <sz val="9"/>
            <color indexed="81"/>
            <rFont val="Tahoma"/>
            <family val="2"/>
          </rPr>
          <t>Wiles, Richard (Research):</t>
        </r>
        <r>
          <rPr>
            <sz val="9"/>
            <color indexed="81"/>
            <rFont val="Tahoma"/>
            <family val="2"/>
          </rPr>
          <t xml:space="preserve">
no longer treated as notable item or disclosed</t>
        </r>
      </text>
    </comment>
    <comment ref="CS847" authorId="3" shapeId="0" xr:uid="{9C700055-9344-4BC5-9474-7FDFE121B232}">
      <text>
        <r>
          <rPr>
            <b/>
            <sz val="9"/>
            <color indexed="81"/>
            <rFont val="Tahoma"/>
            <family val="2"/>
          </rPr>
          <t>Wiles, Richard (Research):</t>
        </r>
        <r>
          <rPr>
            <sz val="9"/>
            <color indexed="81"/>
            <rFont val="Tahoma"/>
            <family val="2"/>
          </rPr>
          <t xml:space="preserve">
no longer treated as notable item or disclosed</t>
        </r>
      </text>
    </comment>
    <comment ref="CV847" authorId="3" shapeId="0" xr:uid="{ED5541C2-6B9D-4872-B3E1-53E95B7F1F10}">
      <text>
        <r>
          <rPr>
            <b/>
            <sz val="9"/>
            <color indexed="81"/>
            <rFont val="Tahoma"/>
            <family val="2"/>
          </rPr>
          <t>Wiles, Richard (Research):</t>
        </r>
        <r>
          <rPr>
            <sz val="9"/>
            <color indexed="81"/>
            <rFont val="Tahoma"/>
            <family val="2"/>
          </rPr>
          <t xml:space="preserve">
no longer treated as notable item or disclosed</t>
        </r>
      </text>
    </comment>
    <comment ref="CW847" authorId="3" shapeId="0" xr:uid="{3AAE0BA6-86F7-495F-A666-B75AFA631187}">
      <text>
        <r>
          <rPr>
            <b/>
            <sz val="9"/>
            <color indexed="81"/>
            <rFont val="Tahoma"/>
            <family val="2"/>
          </rPr>
          <t>Wiles, Richard (Research):</t>
        </r>
        <r>
          <rPr>
            <sz val="9"/>
            <color indexed="81"/>
            <rFont val="Tahoma"/>
            <family val="2"/>
          </rPr>
          <t xml:space="preserve">
no longer treated as notable item or disclosed</t>
        </r>
      </text>
    </comment>
    <comment ref="CZ847" authorId="3" shapeId="0" xr:uid="{9FF40427-5236-493E-9DB5-65E749A5EF82}">
      <text>
        <r>
          <rPr>
            <b/>
            <sz val="9"/>
            <color indexed="81"/>
            <rFont val="Tahoma"/>
            <family val="2"/>
          </rPr>
          <t>Wiles, Richard (Research):</t>
        </r>
        <r>
          <rPr>
            <sz val="9"/>
            <color indexed="81"/>
            <rFont val="Tahoma"/>
            <family val="2"/>
          </rPr>
          <t xml:space="preserve">
no longer treated as notable item or disclosed</t>
        </r>
      </text>
    </comment>
    <comment ref="DA847" authorId="3" shapeId="0" xr:uid="{D1DD041B-8EC5-4322-AB4F-CA56201FD0F5}">
      <text>
        <r>
          <rPr>
            <b/>
            <sz val="9"/>
            <color indexed="81"/>
            <rFont val="Tahoma"/>
            <family val="2"/>
          </rPr>
          <t>Wiles, Richard (Research):</t>
        </r>
        <r>
          <rPr>
            <sz val="9"/>
            <color indexed="81"/>
            <rFont val="Tahoma"/>
            <family val="2"/>
          </rPr>
          <t xml:space="preserve">
no longer treated as notable item or disclosed</t>
        </r>
      </text>
    </comment>
    <comment ref="DD847" authorId="3" shapeId="0" xr:uid="{B9DF4387-2170-407E-9D17-9BA1170EA542}">
      <text>
        <r>
          <rPr>
            <b/>
            <sz val="9"/>
            <color indexed="81"/>
            <rFont val="Tahoma"/>
            <family val="2"/>
          </rPr>
          <t>Wiles, Richard (Research):</t>
        </r>
        <r>
          <rPr>
            <sz val="9"/>
            <color indexed="81"/>
            <rFont val="Tahoma"/>
            <family val="2"/>
          </rPr>
          <t xml:space="preserve">
no longer treated as notable item or disclosed</t>
        </r>
      </text>
    </comment>
    <comment ref="DE847" authorId="3" shapeId="0" xr:uid="{C7FDF264-ABA6-4F5D-9B4D-3F24AAA08D2A}">
      <text>
        <r>
          <rPr>
            <b/>
            <sz val="9"/>
            <color indexed="81"/>
            <rFont val="Tahoma"/>
            <family val="2"/>
          </rPr>
          <t>Wiles, Richard (Research):</t>
        </r>
        <r>
          <rPr>
            <sz val="9"/>
            <color indexed="81"/>
            <rFont val="Tahoma"/>
            <family val="2"/>
          </rPr>
          <t xml:space="preserve">
no longer treated as notable item or disclosed</t>
        </r>
      </text>
    </comment>
    <comment ref="DH847" authorId="3" shapeId="0" xr:uid="{3EE6889D-2296-4F5B-84A0-701489B8C2B1}">
      <text>
        <r>
          <rPr>
            <b/>
            <sz val="9"/>
            <color indexed="81"/>
            <rFont val="Tahoma"/>
            <family val="2"/>
          </rPr>
          <t>Wiles, Richard (Research):</t>
        </r>
        <r>
          <rPr>
            <sz val="9"/>
            <color indexed="81"/>
            <rFont val="Tahoma"/>
            <family val="2"/>
          </rPr>
          <t xml:space="preserve">
no longer treated as notable item or disclosed</t>
        </r>
      </text>
    </comment>
    <comment ref="DI847" authorId="3" shapeId="0" xr:uid="{BBCED302-3EDF-4EF8-9FF5-98D093C89A2F}">
      <text>
        <r>
          <rPr>
            <b/>
            <sz val="9"/>
            <color indexed="81"/>
            <rFont val="Tahoma"/>
            <family val="2"/>
          </rPr>
          <t>Wiles, Richard (Research):</t>
        </r>
        <r>
          <rPr>
            <sz val="9"/>
            <color indexed="81"/>
            <rFont val="Tahoma"/>
            <family val="2"/>
          </rPr>
          <t xml:space="preserve">
no longer treated as notable item or disclosed</t>
        </r>
      </text>
    </comment>
    <comment ref="DL847" authorId="3" shapeId="0" xr:uid="{074170DE-4BC5-4C93-AB11-EE1116981299}">
      <text>
        <r>
          <rPr>
            <b/>
            <sz val="9"/>
            <color indexed="81"/>
            <rFont val="Tahoma"/>
            <family val="2"/>
          </rPr>
          <t>Wiles, Richard (Research):</t>
        </r>
        <r>
          <rPr>
            <sz val="9"/>
            <color indexed="81"/>
            <rFont val="Tahoma"/>
            <family val="2"/>
          </rPr>
          <t xml:space="preserve">
no longer treated as notable item or disclosed</t>
        </r>
      </text>
    </comment>
    <comment ref="DM847" authorId="3" shapeId="0" xr:uid="{E57D88DF-4CD7-4437-9917-EDF29E02FCDC}">
      <text>
        <r>
          <rPr>
            <b/>
            <sz val="9"/>
            <color indexed="81"/>
            <rFont val="Tahoma"/>
            <family val="2"/>
          </rPr>
          <t>Wiles, Richard (Research):</t>
        </r>
        <r>
          <rPr>
            <sz val="9"/>
            <color indexed="81"/>
            <rFont val="Tahoma"/>
            <family val="2"/>
          </rPr>
          <t xml:space="preserve">
no longer treated as notable item or disclosed</t>
        </r>
      </text>
    </comment>
    <comment ref="DP847" authorId="3" shapeId="0" xr:uid="{13EC1CE5-8290-4C51-9331-C14937FA34BB}">
      <text>
        <r>
          <rPr>
            <b/>
            <sz val="9"/>
            <color indexed="81"/>
            <rFont val="Tahoma"/>
            <family val="2"/>
          </rPr>
          <t>Wiles, Richard (Research):</t>
        </r>
        <r>
          <rPr>
            <sz val="9"/>
            <color indexed="81"/>
            <rFont val="Tahoma"/>
            <family val="2"/>
          </rPr>
          <t xml:space="preserve">
no longer treated as notable item or disclosed</t>
        </r>
      </text>
    </comment>
    <comment ref="DQ847" authorId="3" shapeId="0" xr:uid="{0581702A-8309-4E83-AF45-48F5CB913B9B}">
      <text>
        <r>
          <rPr>
            <b/>
            <sz val="9"/>
            <color indexed="81"/>
            <rFont val="Tahoma"/>
            <family val="2"/>
          </rPr>
          <t>Wiles, Richard (Research):</t>
        </r>
        <r>
          <rPr>
            <sz val="9"/>
            <color indexed="81"/>
            <rFont val="Tahoma"/>
            <family val="2"/>
          </rPr>
          <t xml:space="preserve">
no longer treated as notable item or disclosed</t>
        </r>
      </text>
    </comment>
    <comment ref="BY848" authorId="1" shapeId="0" xr:uid="{1AE66790-6C31-424A-A4D7-AF752013F2FC}">
      <text>
        <r>
          <rPr>
            <b/>
            <sz val="9"/>
            <color indexed="81"/>
            <rFont val="Tahoma"/>
            <family val="2"/>
          </rPr>
          <t>O'Neill, Emilie (Research):</t>
        </r>
        <r>
          <rPr>
            <sz val="9"/>
            <color indexed="81"/>
            <rFont val="Tahoma"/>
            <family val="2"/>
          </rPr>
          <t xml:space="preserve">
As per FY18 comments</t>
        </r>
      </text>
    </comment>
    <comment ref="CB848" authorId="3" shapeId="0" xr:uid="{08B040D2-9EBA-4E13-A2BB-A5F3B7EFC20C}">
      <text>
        <r>
          <rPr>
            <b/>
            <sz val="9"/>
            <color indexed="81"/>
            <rFont val="Tahoma"/>
            <family val="2"/>
          </rPr>
          <t>Wiles, Richard (Research):</t>
        </r>
        <r>
          <rPr>
            <sz val="9"/>
            <color indexed="81"/>
            <rFont val="Tahoma"/>
            <family val="2"/>
          </rPr>
          <t xml:space="preserve">
additional refer 1H18 p24</t>
        </r>
      </text>
    </comment>
    <comment ref="CC848" authorId="1" shapeId="0" xr:uid="{D7E56708-F9F4-4841-8B0E-BB1025E2B8F1}">
      <text>
        <r>
          <rPr>
            <b/>
            <sz val="9"/>
            <color indexed="81"/>
            <rFont val="Tahoma"/>
            <family val="2"/>
          </rPr>
          <t>O'Neill, Emilie (Research):</t>
        </r>
        <r>
          <rPr>
            <sz val="9"/>
            <color indexed="81"/>
            <rFont val="Tahoma"/>
            <family val="2"/>
          </rPr>
          <t xml:space="preserve">
per FY18 ASX announcement .... A combined total of $389m in additional risk and regulatory costs was recognised for the year ended 30 june 2018. This comprises new risk and compliance costs of $234m (a $199m increase on FY17) and one-off regulatory costs of $155m. These provisions relate to financial crimes compliance, the ASIc investigation, shareholder class actions, AUSTRAC, RC and APRA Prudential Inquiry
one off costs: A$100m in 1H18 and A$45m in 2H18 (page 23) </t>
        </r>
      </text>
    </comment>
    <comment ref="CF848" authorId="5" shapeId="0" xr:uid="{5ED3BADA-BFD1-4FC4-A2DC-B949D6A191DD}">
      <text>
        <r>
          <rPr>
            <b/>
            <sz val="9"/>
            <color indexed="81"/>
            <rFont val="Tahoma"/>
            <family val="2"/>
          </rPr>
          <t>Fernandes, Sona (Research):</t>
        </r>
        <r>
          <rPr>
            <sz val="9"/>
            <color indexed="81"/>
            <rFont val="Tahoma"/>
            <family val="2"/>
          </rPr>
          <t xml:space="preserve">
No longer classified as notable items at 1H21</t>
        </r>
      </text>
    </comment>
    <comment ref="CG848" authorId="5" shapeId="0" xr:uid="{0748666E-1B0D-4AFF-B2BB-07FEBF5C415B}">
      <text>
        <r>
          <rPr>
            <b/>
            <sz val="9"/>
            <color indexed="81"/>
            <rFont val="Tahoma"/>
            <family val="2"/>
          </rPr>
          <t>Fernandes, Sona (Research):</t>
        </r>
        <r>
          <rPr>
            <sz val="9"/>
            <color indexed="81"/>
            <rFont val="Tahoma"/>
            <family val="2"/>
          </rPr>
          <t xml:space="preserve">
No longer classified as notable items at 1H21</t>
        </r>
      </text>
    </comment>
    <comment ref="CJ848" authorId="5" shapeId="0" xr:uid="{39ECD03C-5CF3-4B7E-910E-0C04B0F82776}">
      <text>
        <r>
          <rPr>
            <b/>
            <sz val="9"/>
            <color indexed="81"/>
            <rFont val="Tahoma"/>
            <family val="2"/>
          </rPr>
          <t>Fernandes, Sona (Research):</t>
        </r>
        <r>
          <rPr>
            <sz val="9"/>
            <color indexed="81"/>
            <rFont val="Tahoma"/>
            <family val="2"/>
          </rPr>
          <t xml:space="preserve">
No longer classified as notable items at 1H21</t>
        </r>
      </text>
    </comment>
    <comment ref="CK848" authorId="5" shapeId="0" xr:uid="{1CD21EDF-166C-4F97-AC5A-F7F5460FD1B3}">
      <text>
        <r>
          <rPr>
            <b/>
            <sz val="9"/>
            <color indexed="81"/>
            <rFont val="Tahoma"/>
            <family val="2"/>
          </rPr>
          <t>Fernandes, Sona (Research):</t>
        </r>
        <r>
          <rPr>
            <sz val="9"/>
            <color indexed="81"/>
            <rFont val="Tahoma"/>
            <family val="2"/>
          </rPr>
          <t xml:space="preserve">
No longer classified as notable items at 1H21</t>
        </r>
      </text>
    </comment>
    <comment ref="CN848" authorId="5" shapeId="0" xr:uid="{0DCFFB80-4FDD-42C9-8868-EBE8D31FD1E8}">
      <text>
        <r>
          <rPr>
            <b/>
            <sz val="9"/>
            <color indexed="81"/>
            <rFont val="Tahoma"/>
            <family val="2"/>
          </rPr>
          <t>Fernandes, Sona (Research):</t>
        </r>
        <r>
          <rPr>
            <sz val="9"/>
            <color indexed="81"/>
            <rFont val="Tahoma"/>
            <family val="2"/>
          </rPr>
          <t xml:space="preserve">
No longer classified as notable items at 1H21</t>
        </r>
      </text>
    </comment>
    <comment ref="CR848" authorId="5" shapeId="0" xr:uid="{CE537D75-4304-478A-8BFA-5EABF5B4941F}">
      <text>
        <r>
          <rPr>
            <b/>
            <sz val="9"/>
            <color indexed="81"/>
            <rFont val="Tahoma"/>
            <family val="2"/>
          </rPr>
          <t>Fernandes, Sona (Research):</t>
        </r>
        <r>
          <rPr>
            <sz val="9"/>
            <color indexed="81"/>
            <rFont val="Tahoma"/>
            <family val="2"/>
          </rPr>
          <t xml:space="preserve">
No longer classified as notable items at 1H21</t>
        </r>
      </text>
    </comment>
    <comment ref="CS848" authorId="5" shapeId="0" xr:uid="{6D34EBFC-059A-4FC3-9CEB-BC198FD486D3}">
      <text>
        <r>
          <rPr>
            <b/>
            <sz val="9"/>
            <color indexed="81"/>
            <rFont val="Tahoma"/>
            <family val="2"/>
          </rPr>
          <t>Fernandes, Sona (Research):</t>
        </r>
        <r>
          <rPr>
            <sz val="9"/>
            <color indexed="81"/>
            <rFont val="Tahoma"/>
            <family val="2"/>
          </rPr>
          <t xml:space="preserve">
No longer classified as notable items at 1H21</t>
        </r>
      </text>
    </comment>
    <comment ref="CV848" authorId="5" shapeId="0" xr:uid="{E95052B7-3285-44DD-BA11-B6638D62BFA8}">
      <text>
        <r>
          <rPr>
            <b/>
            <sz val="9"/>
            <color indexed="81"/>
            <rFont val="Tahoma"/>
            <family val="2"/>
          </rPr>
          <t>Fernandes, Sona (Research):</t>
        </r>
        <r>
          <rPr>
            <sz val="9"/>
            <color indexed="81"/>
            <rFont val="Tahoma"/>
            <family val="2"/>
          </rPr>
          <t xml:space="preserve">
No longer classified as notable items at 1H21</t>
        </r>
      </text>
    </comment>
    <comment ref="CW848" authorId="5" shapeId="0" xr:uid="{32ACAE4C-DD58-4F5C-B138-D693100F48B4}">
      <text>
        <r>
          <rPr>
            <b/>
            <sz val="9"/>
            <color indexed="81"/>
            <rFont val="Tahoma"/>
            <family val="2"/>
          </rPr>
          <t>Fernandes, Sona (Research):</t>
        </r>
        <r>
          <rPr>
            <sz val="9"/>
            <color indexed="81"/>
            <rFont val="Tahoma"/>
            <family val="2"/>
          </rPr>
          <t xml:space="preserve">
No longer classified as notable items at 1H21</t>
        </r>
      </text>
    </comment>
    <comment ref="CZ848" authorId="5" shapeId="0" xr:uid="{B4D592E5-9761-4078-82FE-59796517F593}">
      <text>
        <r>
          <rPr>
            <b/>
            <sz val="9"/>
            <color indexed="81"/>
            <rFont val="Tahoma"/>
            <family val="2"/>
          </rPr>
          <t>Fernandes, Sona (Research):</t>
        </r>
        <r>
          <rPr>
            <sz val="9"/>
            <color indexed="81"/>
            <rFont val="Tahoma"/>
            <family val="2"/>
          </rPr>
          <t xml:space="preserve">
No longer classified as notable items at 1H21</t>
        </r>
      </text>
    </comment>
    <comment ref="DA848" authorId="5" shapeId="0" xr:uid="{29FBDFB8-A54A-47D9-B1D7-66155FD399B6}">
      <text>
        <r>
          <rPr>
            <b/>
            <sz val="9"/>
            <color indexed="81"/>
            <rFont val="Tahoma"/>
            <family val="2"/>
          </rPr>
          <t>Fernandes, Sona (Research):</t>
        </r>
        <r>
          <rPr>
            <sz val="9"/>
            <color indexed="81"/>
            <rFont val="Tahoma"/>
            <family val="2"/>
          </rPr>
          <t xml:space="preserve">
No longer classified as notable items at 1H21</t>
        </r>
      </text>
    </comment>
    <comment ref="DD848" authorId="5" shapeId="0" xr:uid="{8D16D8ED-FCFF-4ABE-A88B-B28EA6BA8092}">
      <text>
        <r>
          <rPr>
            <b/>
            <sz val="9"/>
            <color indexed="81"/>
            <rFont val="Tahoma"/>
            <family val="2"/>
          </rPr>
          <t>Fernandes, Sona (Research):</t>
        </r>
        <r>
          <rPr>
            <sz val="9"/>
            <color indexed="81"/>
            <rFont val="Tahoma"/>
            <family val="2"/>
          </rPr>
          <t xml:space="preserve">
No longer classified as notable items at 1H21</t>
        </r>
      </text>
    </comment>
    <comment ref="DE848" authorId="5" shapeId="0" xr:uid="{7E6C81C2-F222-4852-8091-7EB3C60D8A5B}">
      <text>
        <r>
          <rPr>
            <b/>
            <sz val="9"/>
            <color indexed="81"/>
            <rFont val="Tahoma"/>
            <family val="2"/>
          </rPr>
          <t>Fernandes, Sona (Research):</t>
        </r>
        <r>
          <rPr>
            <sz val="9"/>
            <color indexed="81"/>
            <rFont val="Tahoma"/>
            <family val="2"/>
          </rPr>
          <t xml:space="preserve">
No longer classified as notable items at 1H21</t>
        </r>
      </text>
    </comment>
    <comment ref="DH848" authorId="5" shapeId="0" xr:uid="{2338F200-1B04-4EB5-9531-58B1E902BE1F}">
      <text>
        <r>
          <rPr>
            <b/>
            <sz val="9"/>
            <color indexed="81"/>
            <rFont val="Tahoma"/>
            <family val="2"/>
          </rPr>
          <t>Fernandes, Sona (Research):</t>
        </r>
        <r>
          <rPr>
            <sz val="9"/>
            <color indexed="81"/>
            <rFont val="Tahoma"/>
            <family val="2"/>
          </rPr>
          <t xml:space="preserve">
No longer classified as notable items at 1H21</t>
        </r>
      </text>
    </comment>
    <comment ref="DI848" authorId="5" shapeId="0" xr:uid="{20FA9BE8-EC4F-4965-A87F-CA7F651FBE87}">
      <text>
        <r>
          <rPr>
            <b/>
            <sz val="9"/>
            <color indexed="81"/>
            <rFont val="Tahoma"/>
            <family val="2"/>
          </rPr>
          <t>Fernandes, Sona (Research):</t>
        </r>
        <r>
          <rPr>
            <sz val="9"/>
            <color indexed="81"/>
            <rFont val="Tahoma"/>
            <family val="2"/>
          </rPr>
          <t xml:space="preserve">
No longer classified as notable items at 1H21</t>
        </r>
      </text>
    </comment>
    <comment ref="DL848" authorId="5" shapeId="0" xr:uid="{A227BB00-839A-46F0-A982-B839EC7B87B0}">
      <text>
        <r>
          <rPr>
            <b/>
            <sz val="9"/>
            <color indexed="81"/>
            <rFont val="Tahoma"/>
            <family val="2"/>
          </rPr>
          <t>Fernandes, Sona (Research):</t>
        </r>
        <r>
          <rPr>
            <sz val="9"/>
            <color indexed="81"/>
            <rFont val="Tahoma"/>
            <family val="2"/>
          </rPr>
          <t xml:space="preserve">
No longer classified as notable items at 1H21</t>
        </r>
      </text>
    </comment>
    <comment ref="DM848" authorId="5" shapeId="0" xr:uid="{8189F892-8E5E-49B9-AA82-A86581695580}">
      <text>
        <r>
          <rPr>
            <b/>
            <sz val="9"/>
            <color indexed="81"/>
            <rFont val="Tahoma"/>
            <family val="2"/>
          </rPr>
          <t>Fernandes, Sona (Research):</t>
        </r>
        <r>
          <rPr>
            <sz val="9"/>
            <color indexed="81"/>
            <rFont val="Tahoma"/>
            <family val="2"/>
          </rPr>
          <t xml:space="preserve">
No longer classified as notable items at 1H21</t>
        </r>
      </text>
    </comment>
    <comment ref="DP848" authorId="5" shapeId="0" xr:uid="{9E9E076F-C56E-4E68-A342-D96807306C50}">
      <text>
        <r>
          <rPr>
            <b/>
            <sz val="9"/>
            <color indexed="81"/>
            <rFont val="Tahoma"/>
            <family val="2"/>
          </rPr>
          <t>Fernandes, Sona (Research):</t>
        </r>
        <r>
          <rPr>
            <sz val="9"/>
            <color indexed="81"/>
            <rFont val="Tahoma"/>
            <family val="2"/>
          </rPr>
          <t xml:space="preserve">
No longer classified as notable items at 1H21</t>
        </r>
      </text>
    </comment>
    <comment ref="DQ848" authorId="5" shapeId="0" xr:uid="{9FE68D3A-7EA8-4502-80F6-68CC13ED7556}">
      <text>
        <r>
          <rPr>
            <b/>
            <sz val="9"/>
            <color indexed="81"/>
            <rFont val="Tahoma"/>
            <family val="2"/>
          </rPr>
          <t>Fernandes, Sona (Research):</t>
        </r>
        <r>
          <rPr>
            <sz val="9"/>
            <color indexed="81"/>
            <rFont val="Tahoma"/>
            <family val="2"/>
          </rPr>
          <t xml:space="preserve">
No longer classified as notable items at 1H21</t>
        </r>
      </text>
    </comment>
    <comment ref="CF859" authorId="3" shapeId="0" xr:uid="{0C50AFA0-FBCB-446F-98E5-F56CFFF3D86A}">
      <text>
        <r>
          <rPr>
            <b/>
            <sz val="9"/>
            <color indexed="81"/>
            <rFont val="Tahoma"/>
            <family val="2"/>
          </rPr>
          <t>Wiles, Richard (Research):</t>
        </r>
        <r>
          <rPr>
            <sz val="9"/>
            <color indexed="81"/>
            <rFont val="Tahoma"/>
            <family val="2"/>
          </rPr>
          <t xml:space="preserve">
Adoption of AASB9</t>
        </r>
      </text>
    </comment>
    <comment ref="CK860" authorId="3" shapeId="0" xr:uid="{991B50B7-C87A-4B2B-9A7E-B1675FED0157}">
      <text>
        <r>
          <rPr>
            <b/>
            <sz val="9"/>
            <color indexed="81"/>
            <rFont val="Tahoma"/>
            <family val="2"/>
          </rPr>
          <t>Wiles, Richard (Research):</t>
        </r>
        <r>
          <rPr>
            <sz val="9"/>
            <color indexed="81"/>
            <rFont val="Tahoma"/>
            <family val="2"/>
          </rPr>
          <t xml:space="preserve">
includes A$1,500m COVID overlay less A$171m CP release</t>
        </r>
      </text>
    </comment>
    <comment ref="DH886" authorId="4" shapeId="0" xr:uid="{5895B3C7-6592-4A8E-9D89-53F8B8C25C01}">
      <text>
        <r>
          <rPr>
            <b/>
            <sz val="9"/>
            <color indexed="81"/>
            <rFont val="Tahoma"/>
            <family val="2"/>
          </rPr>
          <t>Hong, Sally (Research):</t>
        </r>
        <r>
          <rPr>
            <sz val="9"/>
            <color indexed="81"/>
            <rFont val="Tahoma"/>
            <family val="2"/>
          </rPr>
          <t xml:space="preserve">
7/10/25 ASB Class action of A$120m is tax deductiable. Post tax impact is A$84m . Treated as 1Q26 notable cash expense</t>
        </r>
      </text>
    </comment>
    <comment ref="CZ888" authorId="4" shapeId="0" xr:uid="{029A0A3A-5744-4FF2-8B95-0564102EA41B}">
      <text>
        <r>
          <rPr>
            <b/>
            <sz val="9"/>
            <color indexed="81"/>
            <rFont val="Tahoma"/>
            <family val="2"/>
          </rPr>
          <t>Hong, Sally (Research):</t>
        </r>
        <r>
          <rPr>
            <sz val="9"/>
            <color indexed="81"/>
            <rFont val="Tahoma"/>
            <family val="2"/>
          </rPr>
          <t xml:space="preserve">
1H24 reporting changes - effective tax rate = 30.5% due to divestment of Asian Banking investment + increase in fully franked hybrid capital distributions which are non-deductible + repeal of offshore banking unit (OBU) concessions.</t>
        </r>
      </text>
    </comment>
    <comment ref="CO894" authorId="3" shapeId="0" xr:uid="{F95F62AD-13EC-45AF-B1B1-82594FE07BAA}">
      <text>
        <r>
          <rPr>
            <b/>
            <sz val="9"/>
            <color indexed="81"/>
            <rFont val="Tahoma"/>
            <family val="2"/>
          </rPr>
          <t>Wiles, Richard (Research):</t>
        </r>
        <r>
          <rPr>
            <sz val="9"/>
            <color indexed="81"/>
            <rFont val="Tahoma"/>
            <family val="2"/>
          </rPr>
          <t xml:space="preserve">
implied </t>
        </r>
      </text>
    </comment>
    <comment ref="CR894" authorId="3" shapeId="0" xr:uid="{B7CF3AD2-B7C7-41ED-9282-2354A9FA7DF6}">
      <text>
        <r>
          <rPr>
            <b/>
            <sz val="9"/>
            <color indexed="81"/>
            <rFont val="Tahoma"/>
            <family val="2"/>
          </rPr>
          <t>Wiles, Richard (Research):</t>
        </r>
        <r>
          <rPr>
            <sz val="9"/>
            <color indexed="81"/>
            <rFont val="Tahoma"/>
            <family val="2"/>
          </rPr>
          <t xml:space="preserve">
implied </t>
        </r>
      </text>
    </comment>
    <comment ref="CS894" authorId="3" shapeId="0" xr:uid="{292F5697-98B7-49C2-9595-E8F5641B1D8C}">
      <text>
        <r>
          <rPr>
            <b/>
            <sz val="9"/>
            <color indexed="81"/>
            <rFont val="Tahoma"/>
            <family val="2"/>
          </rPr>
          <t>Wiles, Richard (Research):</t>
        </r>
        <r>
          <rPr>
            <sz val="9"/>
            <color indexed="81"/>
            <rFont val="Tahoma"/>
            <family val="2"/>
          </rPr>
          <t xml:space="preserve">
implied </t>
        </r>
      </text>
    </comment>
    <comment ref="BY895" authorId="3" shapeId="0" xr:uid="{6271798B-7E7A-49B2-94D9-C3ADDCBE6467}">
      <text>
        <r>
          <rPr>
            <b/>
            <sz val="9"/>
            <color indexed="81"/>
            <rFont val="Tahoma"/>
            <family val="2"/>
          </rPr>
          <t>Wiles, Richard (Research):</t>
        </r>
        <r>
          <rPr>
            <sz val="9"/>
            <color indexed="81"/>
            <rFont val="Tahoma"/>
            <family val="2"/>
          </rPr>
          <t xml:space="preserve">
Refer FY17 slide 65</t>
        </r>
      </text>
    </comment>
    <comment ref="CG914" authorId="8" shapeId="0" xr:uid="{4AEC5F21-B4F4-47D4-8F0D-6BAC2CAEEEB6}">
      <text>
        <r>
          <rPr>
            <b/>
            <sz val="9"/>
            <color indexed="81"/>
            <rFont val="Tahoma"/>
            <family val="2"/>
          </rPr>
          <t>Stadnik, Andrei (Research):</t>
        </r>
        <r>
          <rPr>
            <sz val="9"/>
            <color indexed="81"/>
            <rFont val="Tahoma"/>
            <family val="2"/>
          </rPr>
          <t xml:space="preserve">
inc Discontinued</t>
        </r>
      </text>
    </comment>
    <comment ref="CK914" authorId="2" shapeId="0" xr:uid="{7BE45603-495F-41E6-8D2D-566B6BB2598B}">
      <text>
        <r>
          <rPr>
            <b/>
            <sz val="9"/>
            <color indexed="81"/>
            <rFont val="Tahoma"/>
            <family val="2"/>
          </rPr>
          <t>Fernandes, Sona F (Research):</t>
        </r>
        <r>
          <rPr>
            <sz val="9"/>
            <color indexed="81"/>
            <rFont val="Tahoma"/>
            <family val="2"/>
          </rPr>
          <t xml:space="preserve">
Group Performance Summary</t>
        </r>
      </text>
    </comment>
    <comment ref="CN914" authorId="2" shapeId="0" xr:uid="{C96EC6A7-78E6-47E6-B093-07216363FCD9}">
      <text>
        <r>
          <rPr>
            <b/>
            <sz val="9"/>
            <color indexed="81"/>
            <rFont val="Tahoma"/>
            <family val="2"/>
          </rPr>
          <t>Fernandes, Sona F (Research):</t>
        </r>
        <r>
          <rPr>
            <sz val="9"/>
            <color indexed="81"/>
            <rFont val="Tahoma"/>
            <family val="2"/>
          </rPr>
          <t xml:space="preserve">
Group Performance Summary</t>
        </r>
      </text>
    </comment>
    <comment ref="CO914" authorId="2" shapeId="0" xr:uid="{E9785536-ABD0-4266-AE55-EAA18B32B8B7}">
      <text>
        <r>
          <rPr>
            <b/>
            <sz val="9"/>
            <color indexed="81"/>
            <rFont val="Tahoma"/>
            <family val="2"/>
          </rPr>
          <t>Fernandes, Sona F (Research):</t>
        </r>
        <r>
          <rPr>
            <sz val="9"/>
            <color indexed="81"/>
            <rFont val="Tahoma"/>
            <family val="2"/>
          </rPr>
          <t xml:space="preserve">
Group Performance Summary</t>
        </r>
      </text>
    </comment>
    <comment ref="CR914" authorId="2" shapeId="0" xr:uid="{A1FF472B-6280-4D84-9828-633466848C0D}">
      <text>
        <r>
          <rPr>
            <b/>
            <sz val="9"/>
            <color indexed="81"/>
            <rFont val="Tahoma"/>
            <family val="2"/>
          </rPr>
          <t>Fernandes, Sona F (Research):</t>
        </r>
        <r>
          <rPr>
            <sz val="9"/>
            <color indexed="81"/>
            <rFont val="Tahoma"/>
            <family val="2"/>
          </rPr>
          <t xml:space="preserve">
Group Performance Summary</t>
        </r>
      </text>
    </comment>
    <comment ref="BM917" authorId="7" shapeId="0" xr:uid="{F30495F3-2E29-48EA-B2BA-874C356D511E}">
      <text>
        <r>
          <rPr>
            <b/>
            <sz val="8"/>
            <color indexed="81"/>
            <rFont val="Tahoma"/>
            <family val="2"/>
          </rPr>
          <t>Dunger:</t>
        </r>
        <r>
          <rPr>
            <sz val="8"/>
            <color indexed="81"/>
            <rFont val="Tahoma"/>
            <family val="2"/>
          </rPr>
          <t xml:space="preserve">
Gain on sale of management rights estimated at 130mn plus gain on CPA stake of 14mn.
Refer "CBA Capital Adequacy.xls" spreadsheet.
Gain on sale of 143m CFX shares in May 2014 estimated at $60m pre tax (refer "Property Trust Sales.xls)</t>
        </r>
      </text>
    </comment>
    <comment ref="CB917" authorId="1" shapeId="0" xr:uid="{4A7E64AE-237C-4B94-A3CF-1629890C65D5}">
      <text>
        <r>
          <rPr>
            <b/>
            <sz val="9"/>
            <color indexed="81"/>
            <rFont val="Tahoma"/>
            <family val="2"/>
          </rPr>
          <t>O'Neill, Emilie (Research):</t>
        </r>
        <r>
          <rPr>
            <sz val="9"/>
            <color indexed="81"/>
            <rFont val="Tahoma"/>
            <family val="2"/>
          </rPr>
          <t xml:space="preserve">
seperation and transaction costs associated with disposal of comminsure life and sovereign, gain on sale of AHL and county banks, and loss on Qilu Bank Co …. Refer FY18 page 4</t>
        </r>
      </text>
    </comment>
    <comment ref="CC917" authorId="1" shapeId="0" xr:uid="{DED93C91-0E76-479A-9E46-625C7FEFB3B4}">
      <text>
        <r>
          <rPr>
            <b/>
            <sz val="9"/>
            <color indexed="81"/>
            <rFont val="Tahoma"/>
            <family val="2"/>
          </rPr>
          <t>O'Neill, Emilie (Research):</t>
        </r>
        <r>
          <rPr>
            <sz val="9"/>
            <color indexed="81"/>
            <rFont val="Tahoma"/>
            <family val="2"/>
          </rPr>
          <t xml:space="preserve">
FY18: comminsure life and sovereign separation costs (-A$136m), impairment due to TymeDigital (-A$91m), demerger for NewCo (-A$21m), gain from AHL (+A$58m), gain on County Banks (+A$11m), Loss from dilution of banks interest in Qilu Bank (-A$4m) in FY18 ... refer FY18 page 4 note (1)
</t>
        </r>
      </text>
    </comment>
    <comment ref="CF917" authorId="3" shapeId="0" xr:uid="{F8BDB9CF-FD39-4E51-8E37-6CBEA677ABA6}">
      <text>
        <r>
          <rPr>
            <b/>
            <sz val="9"/>
            <color indexed="81"/>
            <rFont val="Tahoma"/>
            <family val="2"/>
          </rPr>
          <t>Wiles, Richard (Research):</t>
        </r>
        <r>
          <rPr>
            <sz val="9"/>
            <color indexed="81"/>
            <rFont val="Tahoma"/>
            <family val="2"/>
          </rPr>
          <t xml:space="preserve">
1) A$55m pre tax (A$38m post tax) for transaction and separtaion costs in relation to sale of CommInsure Life, in addition to the A$194m pre tax (A$136m post tax) of costs incurred iun 2H18 ... refer announcement 11/12/18 and 18/1/19; 
(2) A$144m pre tax (A$100m post tax) transaction costs associated with CFSGAM sale (refer 11/12/18 and 19/1/12 announcements
(3) gain on sale of Sovereign A$113m post tax (per 18/1/19)
(4) other expenses including loss on TYME and NewCo demerger project costs ... amount not specifically disclosed, but balancing item of A$49m post tax. (refer 18/1/19)
PREVIOUSLY
1) A$55m pre tax (est A$39m post tax) for transaction and separtaion costs in relation to sale of CommInsure Life, in addition to the A$194m pre tax (A$136m post tax) of costs incurred iun 2H18 ... refer announcement 11/12/18; 
per 21/9/17 aanouncement ... expect A$300m after tax loss on sale of Sovereign and Aust left, net of transaction costs ..... subsequently, A$136m post tax of costs booked in 2H18 and an additional A$39m post tax (A$55m pre tax) expected in 1H19 and A$102m gain on sale of Sovereign on 2/7/18 per p93 of FY18 Annual Report  ... implies residual loss of A$266m post tax will be booked in 2H19 upon completion of Aust life sale   
.....previously: life company loss on sale: A$300m post tax, net of transaction costs …. implies ~A$164m in FY19E and A$136m reported in FY18 (refer page 4, note 1 of FY18 )
(2) A$144m pre tax (A$100m post tax) transaction costs associated with CFSGAM sale (refer 11/12/18) announcement</t>
        </r>
      </text>
    </comment>
    <comment ref="CG917" authorId="8" shapeId="0" xr:uid="{B2868184-15EE-4435-9236-51190CA2D822}">
      <text>
        <r>
          <rPr>
            <b/>
            <sz val="9"/>
            <color indexed="81"/>
            <rFont val="Tahoma"/>
            <family val="2"/>
          </rPr>
          <t>Stadnik, Andrei (Research):</t>
        </r>
        <r>
          <rPr>
            <sz val="9"/>
            <color indexed="81"/>
            <rFont val="Tahoma"/>
            <family val="2"/>
          </rPr>
          <t xml:space="preserve">
inc Discontinued</t>
        </r>
      </text>
    </comment>
    <comment ref="CJ917" authorId="3" shapeId="0" xr:uid="{A5439AB7-007C-4EB3-A89B-C80CA94C78D7}">
      <text>
        <r>
          <rPr>
            <b/>
            <sz val="9"/>
            <color indexed="81"/>
            <rFont val="Tahoma"/>
            <family val="2"/>
          </rPr>
          <t>Wiles, Richard (Research):</t>
        </r>
        <r>
          <rPr>
            <sz val="9"/>
            <color indexed="81"/>
            <rFont val="Tahoma"/>
            <family val="2"/>
          </rPr>
          <t xml:space="preserve">
</t>
        </r>
        <r>
          <rPr>
            <b/>
            <sz val="9"/>
            <color indexed="81"/>
            <rFont val="Tahoma"/>
            <family val="2"/>
          </rPr>
          <t xml:space="preserve">ACTUAL
</t>
        </r>
        <r>
          <rPr>
            <sz val="9"/>
            <color indexed="81"/>
            <rFont val="Tahoma"/>
            <family val="2"/>
          </rPr>
          <t xml:space="preserve">CFS GAM A$1,688m
Other A$57m
CommInsure Life (A$116m)
</t>
        </r>
        <r>
          <rPr>
            <b/>
            <sz val="9"/>
            <color indexed="81"/>
            <rFont val="Tahoma"/>
            <family val="2"/>
          </rPr>
          <t xml:space="preserve">FORECAST (pre 1H20 resul)
</t>
        </r>
        <r>
          <rPr>
            <sz val="9"/>
            <color indexed="81"/>
            <rFont val="Tahoma"/>
            <family val="2"/>
          </rPr>
          <t xml:space="preserve">
1) A$55m pre tax (est A$39m post tax) for transaction and separtaion costs in relation to sale of CommInsure Life, in addition to the A$194m pre tax (A$136m post tax) of costs incurred in 2H18 ... refer announcement 11/12/18; 
per 21/9/17 aanouncement ... expect A$300m after tax loss on sale of Sovereign and Aust left, net of transaction costs ..... subsequently, A$136m post tax of costs booked in 2H18 and an additional A$39m post tax (A$55m pre tax) expected in 1H19 and A$102m gain on sale of Sovereign on 2/7/18 per p93 of FY18 Annual Report  ...</t>
        </r>
        <r>
          <rPr>
            <b/>
            <sz val="9"/>
            <color indexed="81"/>
            <rFont val="Tahoma"/>
            <family val="2"/>
          </rPr>
          <t xml:space="preserve"> implies residual loss of A$266m post tax will be booked in 2H20 upon completion of Aust life sale (as per 23/8/19 announcement) ... expect A$750m of proceeds in 1H20 and A$1625m in 2H20</t>
        </r>
        <r>
          <rPr>
            <sz val="9"/>
            <color indexed="81"/>
            <rFont val="Tahoma"/>
            <family val="2"/>
          </rPr>
          <t xml:space="preserve">
(3) 18bp capital benefit from sale of BComm Life includes A$400m gain on sale and A$400m reduction investment ... </t>
        </r>
        <r>
          <rPr>
            <b/>
            <sz val="9"/>
            <color indexed="81"/>
            <rFont val="Tahoma"/>
            <family val="2"/>
          </rPr>
          <t>now assume completes in 2H20 (although slide 29 of FY19 indicated 1H20).</t>
        </r>
        <r>
          <rPr>
            <sz val="9"/>
            <color indexed="81"/>
            <rFont val="Tahoma"/>
            <family val="2"/>
          </rPr>
          <t xml:space="preserve">
(4) A$1.200bn gain on sale of CFS GAM (A$1.2bn net gain plus A$100m post tax transaction costs recognised in 1H19 (refer 11/12/18 announcement). Capital release is 60bp or approx A$3bn (A$1.2bn gain on sale; A$1.5bn Tier 1 deductions)</t>
        </r>
      </text>
    </comment>
    <comment ref="CK917" authorId="3" shapeId="0" xr:uid="{106699FE-71BA-4618-902C-D4F1A6217E8C}">
      <text>
        <r>
          <rPr>
            <b/>
            <sz val="9"/>
            <color indexed="81"/>
            <rFont val="Tahoma"/>
            <family val="2"/>
          </rPr>
          <t xml:space="preserve">2H20: </t>
        </r>
        <r>
          <rPr>
            <sz val="9"/>
            <color indexed="81"/>
            <rFont val="Tahoma"/>
            <family val="2"/>
          </rPr>
          <t xml:space="preserve">Disposal of CFS, CFSGAM, PTCL, and Comminsure
</t>
        </r>
        <r>
          <rPr>
            <b/>
            <sz val="9"/>
            <color indexed="81"/>
            <rFont val="Tahoma"/>
            <family val="2"/>
          </rPr>
          <t xml:space="preserve">
Prior to 2H20
Wiles, Richard (Research):</t>
        </r>
        <r>
          <rPr>
            <sz val="9"/>
            <color indexed="81"/>
            <rFont val="Tahoma"/>
            <family val="2"/>
          </rPr>
          <t xml:space="preserve">
1) A$55m pre tax (est A$39m post tax) for transaction and separtaion costs in relation to sale of CommInsure Life, in addition to the A$194m pre tax (A$136m post tax) of costs incurred in 2H18 ... refer announcement 11/12/18; 
per 21/9/17 aanouncement ... expect A$300m after tax loss on sale of Sovereign and Aust left, net of transaction costs ..... subsequently, A$136m post tax of costs booked in 2H18 and an additional A$39m post tax (A$55m pre tax) expected in 1H19 and A$102m gain on sale of Sovereign on 2/7/18 per p93 of FY18 Annual Report  ...</t>
        </r>
        <r>
          <rPr>
            <b/>
            <sz val="9"/>
            <color indexed="81"/>
            <rFont val="Tahoma"/>
            <family val="2"/>
          </rPr>
          <t xml:space="preserve"> implies residual loss of A$266m post tax will be booked in 2H20 upon completion of Aust life sale (as per 23/8/19 announcement) ... expect A$750m of proceeds in 1H20 and A$1625m in 2H20
did not complete in 2H20, so A$266m loss on sale in 1H21</t>
        </r>
        <r>
          <rPr>
            <sz val="9"/>
            <color indexed="81"/>
            <rFont val="Tahoma"/>
            <family val="2"/>
          </rPr>
          <t xml:space="preserve">
(3) 18bp capital benefit from sale of BComm Life includes A$400m gain on sale and A$400m reduction investment ... </t>
        </r>
        <r>
          <rPr>
            <b/>
            <sz val="9"/>
            <color indexed="81"/>
            <rFont val="Tahoma"/>
            <family val="2"/>
          </rPr>
          <t xml:space="preserve">now assume completes in 2H20 (although slide 29 of FY19 indicated 1H20). </t>
        </r>
        <r>
          <rPr>
            <i/>
            <sz val="9"/>
            <color indexed="81"/>
            <rFont val="Tahoma"/>
            <family val="2"/>
          </rPr>
          <t>DID NOT OCCUR in 2H20</t>
        </r>
        <r>
          <rPr>
            <sz val="9"/>
            <color indexed="81"/>
            <rFont val="Tahoma"/>
            <family val="2"/>
          </rPr>
          <t xml:space="preserve">
</t>
        </r>
      </text>
    </comment>
    <comment ref="CN917" authorId="3" shapeId="0" xr:uid="{DE37367F-A747-4B0C-9D86-254A38A0B533}">
      <text>
        <r>
          <rPr>
            <b/>
            <sz val="9"/>
            <color indexed="81"/>
            <rFont val="Tahoma"/>
            <family val="2"/>
          </rPr>
          <t xml:space="preserve">Actual - </t>
        </r>
        <r>
          <rPr>
            <sz val="9"/>
            <color indexed="81"/>
            <rFont val="Tahoma"/>
            <family val="2"/>
          </rPr>
          <t>Includes $1,011m gain and accounting adjustments relating to BoComm Life, CFS, CFSGAM, and PTCL, offset by loss of $101m relating to AUSIEX, Aussie, and Count Financial</t>
        </r>
        <r>
          <rPr>
            <b/>
            <sz val="9"/>
            <color indexed="81"/>
            <rFont val="Tahoma"/>
            <family val="2"/>
          </rPr>
          <t xml:space="preserve">
Wiles, Richard (Research):</t>
        </r>
        <r>
          <rPr>
            <sz val="9"/>
            <color indexed="81"/>
            <rFont val="Tahoma"/>
            <family val="2"/>
          </rPr>
          <t xml:space="preserve">
(3) 18bp capital benefit from sale of BComm Life includes A$400m gain on sale and A$400m reduction investment ... now assume completes in 1H21</t>
        </r>
      </text>
    </comment>
    <comment ref="CV917" authorId="3" shapeId="0" xr:uid="{0E5FC88D-A412-4CF4-B060-E1E96903AA29}">
      <text>
        <r>
          <rPr>
            <b/>
            <sz val="9"/>
            <color indexed="81"/>
            <rFont val="Tahoma"/>
            <family val="2"/>
          </rPr>
          <t>Wiles, Richard (Research):</t>
        </r>
        <r>
          <rPr>
            <sz val="9"/>
            <color indexed="81"/>
            <rFont val="Tahoma"/>
            <family val="2"/>
          </rPr>
          <t xml:space="preserve">
</t>
        </r>
        <r>
          <rPr>
            <b/>
            <sz val="9"/>
            <color indexed="81"/>
            <rFont val="Tahoma"/>
            <family val="2"/>
          </rPr>
          <t xml:space="preserve">Treated as non-cash items:
</t>
        </r>
        <r>
          <rPr>
            <sz val="9"/>
            <color indexed="81"/>
            <rFont val="Tahoma"/>
            <family val="2"/>
          </rPr>
          <t xml:space="preserve">
1) </t>
        </r>
        <r>
          <rPr>
            <b/>
            <sz val="9"/>
            <color indexed="81"/>
            <rFont val="Tahoma"/>
            <family val="2"/>
          </rPr>
          <t>A$90m post tax gain on sale of GI business (</t>
        </r>
        <r>
          <rPr>
            <sz val="9"/>
            <color indexed="81"/>
            <rFont val="Tahoma"/>
            <family val="2"/>
          </rPr>
          <t xml:space="preserve">announced 21 June 2021), including A$130m post tax separation and transaction costs.
Expected to add A$400m or 9bp to CET1 capital.
Expected to complete second half of 2022 calendar year … so assume 1H23.
</t>
        </r>
        <r>
          <rPr>
            <b/>
            <sz val="9"/>
            <color indexed="81"/>
            <rFont val="Tahoma"/>
            <family val="2"/>
          </rPr>
          <t xml:space="preserve">
</t>
        </r>
        <r>
          <rPr>
            <sz val="9"/>
            <color indexed="81"/>
            <rFont val="Tahoma"/>
            <family val="2"/>
          </rPr>
          <t xml:space="preserve">
2) 4 Nov 2022: CCI class action -$50m pre-tax ... </t>
        </r>
        <r>
          <rPr>
            <b/>
            <sz val="9"/>
            <color indexed="81"/>
            <rFont val="Tahoma"/>
            <family val="2"/>
          </rPr>
          <t>-A$35m post-tax</t>
        </r>
        <r>
          <rPr>
            <sz val="9"/>
            <color indexed="81"/>
            <rFont val="Tahoma"/>
            <family val="2"/>
          </rPr>
          <t xml:space="preserve">
3) Countplus (8/12/22): -$220m pre-tax and </t>
        </r>
        <r>
          <rPr>
            <b/>
            <sz val="9"/>
            <color indexed="81"/>
            <rFont val="Tahoma"/>
            <family val="2"/>
          </rPr>
          <t>-$147m post tax</t>
        </r>
        <r>
          <rPr>
            <sz val="9"/>
            <color indexed="81"/>
            <rFont val="Tahoma"/>
            <family val="2"/>
          </rPr>
          <t xml:space="preserve"> (assume included in continuing operations under RBS, consistent with treatment in FY20 when original A$300m indemnity was recognised)
</t>
        </r>
      </text>
    </comment>
    <comment ref="DA917" authorId="4" shapeId="0" xr:uid="{F6EEA1ED-0595-4ECA-B0B7-B8A0D7313110}">
      <text>
        <r>
          <rPr>
            <b/>
            <sz val="9"/>
            <color indexed="81"/>
            <rFont val="Tahoma"/>
            <family val="2"/>
          </rPr>
          <t>Hong, Sally (Research):</t>
        </r>
        <r>
          <rPr>
            <sz val="9"/>
            <color indexed="81"/>
            <rFont val="Tahoma"/>
            <family val="2"/>
          </rPr>
          <t xml:space="preserve">
2H24 Notable (1/8/24)
Non-cash loss of A$298m post tax following sale of PT Bank Commonwealth</t>
        </r>
      </text>
    </comment>
    <comment ref="A921" authorId="3" shapeId="0" xr:uid="{1A8C3A90-28D4-4BFA-9877-85C2421F95CC}">
      <text>
        <r>
          <rPr>
            <b/>
            <sz val="9"/>
            <color indexed="81"/>
            <rFont val="Tahoma"/>
            <family val="2"/>
          </rPr>
          <t>Wiles, Richard (Research):</t>
        </r>
        <r>
          <rPr>
            <sz val="9"/>
            <color indexed="81"/>
            <rFont val="Tahoma"/>
            <family val="2"/>
          </rPr>
          <t xml:space="preserve">
per Appendix in Profit Reconciliation</t>
        </r>
      </text>
    </comment>
    <comment ref="BX921" authorId="8" shapeId="0" xr:uid="{F38108DA-E350-455D-B41A-5E6F79543183}">
      <text>
        <r>
          <rPr>
            <b/>
            <sz val="9"/>
            <color indexed="81"/>
            <rFont val="Tahoma"/>
            <family val="2"/>
          </rPr>
          <t>Stadnik, Andrei (Research):</t>
        </r>
        <r>
          <rPr>
            <sz val="9"/>
            <color indexed="81"/>
            <rFont val="Tahoma"/>
            <family val="2"/>
          </rPr>
          <t xml:space="preserve">
special as per appendix</t>
        </r>
      </text>
    </comment>
    <comment ref="BY921" authorId="8" shapeId="0" xr:uid="{AB8DFF32-5B5A-4F00-9C05-802F423B2B03}">
      <text>
        <r>
          <rPr>
            <b/>
            <sz val="9"/>
            <color indexed="81"/>
            <rFont val="Tahoma"/>
            <family val="2"/>
          </rPr>
          <t>Stadnik, Andrei (Research):</t>
        </r>
        <r>
          <rPr>
            <sz val="9"/>
            <color indexed="81"/>
            <rFont val="Tahoma"/>
            <family val="2"/>
          </rPr>
          <t xml:space="preserve">
special as per appendix</t>
        </r>
      </text>
    </comment>
    <comment ref="CB921" authorId="8" shapeId="0" xr:uid="{40420F48-5E44-438D-865A-FEDD89A179A6}">
      <text>
        <r>
          <rPr>
            <b/>
            <sz val="9"/>
            <color indexed="81"/>
            <rFont val="Tahoma"/>
            <family val="2"/>
          </rPr>
          <t>Stadnik, Andrei (Research):</t>
        </r>
        <r>
          <rPr>
            <sz val="9"/>
            <color indexed="81"/>
            <rFont val="Tahoma"/>
            <family val="2"/>
          </rPr>
          <t xml:space="preserve">
special as per appendix</t>
        </r>
      </text>
    </comment>
    <comment ref="CC921" authorId="1" shapeId="0" xr:uid="{D6842973-F7F3-4297-97EA-8E1C9F734ABA}">
      <text>
        <r>
          <rPr>
            <b/>
            <sz val="9"/>
            <color indexed="81"/>
            <rFont val="Tahoma"/>
            <family val="2"/>
          </rPr>
          <t>O'Neill, Emilie (Research):</t>
        </r>
        <r>
          <rPr>
            <sz val="9"/>
            <color indexed="81"/>
            <rFont val="Tahoma"/>
            <family val="2"/>
          </rPr>
          <t xml:space="preserve">
App 6.4 Profit Reconcilliation pre tax</t>
        </r>
      </text>
    </comment>
    <comment ref="CF921" authorId="1" shapeId="0" xr:uid="{B4F52FCE-8632-4567-BF0E-5CDCD9FCE159}">
      <text>
        <r>
          <rPr>
            <b/>
            <sz val="9"/>
            <color indexed="81"/>
            <rFont val="Tahoma"/>
            <family val="2"/>
          </rPr>
          <t>O'Neill, Emilie (Research):</t>
        </r>
        <r>
          <rPr>
            <sz val="9"/>
            <color indexed="81"/>
            <rFont val="Tahoma"/>
            <family val="2"/>
          </rPr>
          <t xml:space="preserve">
App 4.4 Profit Reconcilliation pre tax
Backsolved to get 32 as tax as per the corporate tax expense/benefit</t>
        </r>
      </text>
    </comment>
    <comment ref="CG921" authorId="1" shapeId="0" xr:uid="{C8FD373B-B3B1-4D8C-BAE7-61EB7763E816}">
      <text>
        <r>
          <rPr>
            <b/>
            <sz val="9"/>
            <color indexed="81"/>
            <rFont val="Tahoma"/>
            <family val="2"/>
          </rPr>
          <t>O'Neill, Emilie (Research):</t>
        </r>
        <r>
          <rPr>
            <sz val="9"/>
            <color indexed="81"/>
            <rFont val="Tahoma"/>
            <family val="2"/>
          </rPr>
          <t xml:space="preserve">
App 6.4 Profit Reconcilliation pre tax</t>
        </r>
      </text>
    </comment>
    <comment ref="CJ921" authorId="2" shapeId="0" xr:uid="{42037F81-E97B-4FEE-B24C-2541561EF934}">
      <text>
        <r>
          <rPr>
            <b/>
            <sz val="9"/>
            <color indexed="81"/>
            <rFont val="Tahoma"/>
            <family val="2"/>
          </rPr>
          <t>Fernandes, Sona F (Research):</t>
        </r>
        <r>
          <rPr>
            <sz val="9"/>
            <color indexed="81"/>
            <rFont val="Tahoma"/>
            <family val="2"/>
          </rPr>
          <t xml:space="preserve">
Backsolved to get corproate tax (expense)/benefit of 50 (68-18) per section 4.4 Profit reconciliation</t>
        </r>
      </text>
    </comment>
    <comment ref="CK921" authorId="5" shapeId="0" xr:uid="{1BC3CC1F-BF00-44A1-A064-18CA85E73A50}">
      <text>
        <r>
          <rPr>
            <b/>
            <sz val="9"/>
            <color indexed="81"/>
            <rFont val="Tahoma"/>
            <family val="2"/>
          </rPr>
          <t>Fernandes, Sona (Research):</t>
        </r>
        <r>
          <rPr>
            <sz val="9"/>
            <color indexed="81"/>
            <rFont val="Tahoma"/>
            <family val="2"/>
          </rPr>
          <t xml:space="preserve">
</t>
        </r>
      </text>
    </comment>
    <comment ref="CO921" authorId="5" shapeId="0" xr:uid="{6338551A-A5F5-4E4B-8406-F405329D8A47}">
      <text>
        <r>
          <rPr>
            <b/>
            <sz val="9"/>
            <color indexed="81"/>
            <rFont val="Tahoma"/>
            <family val="2"/>
          </rPr>
          <t>Fernandes, Sona (Research):</t>
        </r>
        <r>
          <rPr>
            <sz val="9"/>
            <color indexed="81"/>
            <rFont val="Tahoma"/>
            <family val="2"/>
          </rPr>
          <t xml:space="preserve">
See Profit Reconciliation</t>
        </r>
      </text>
    </comment>
    <comment ref="CR921" authorId="3" shapeId="0" xr:uid="{5491BFC6-5525-4D23-ABF0-045D3136E6B4}">
      <text>
        <r>
          <rPr>
            <b/>
            <sz val="9"/>
            <color indexed="81"/>
            <rFont val="Tahoma"/>
            <family val="2"/>
          </rPr>
          <t>Wiles, Richard (Research):</t>
        </r>
        <r>
          <rPr>
            <sz val="9"/>
            <color indexed="81"/>
            <rFont val="Tahoma"/>
            <family val="2"/>
          </rPr>
          <t xml:space="preserve">
page 3: gain on sale A$1,040m relating to Life Insurance; hedge and IFRS volatility (A$16m)</t>
        </r>
      </text>
    </comment>
    <comment ref="DE921" authorId="4" shapeId="0" xr:uid="{46F0073F-1C22-42E0-B19A-4A4D66987A21}">
      <text>
        <r>
          <rPr>
            <b/>
            <sz val="9"/>
            <color indexed="81"/>
            <rFont val="Tahoma"/>
            <family val="2"/>
          </rPr>
          <t>Hong, Sally (Research):</t>
        </r>
        <r>
          <rPr>
            <sz val="9"/>
            <color indexed="81"/>
            <rFont val="Tahoma"/>
            <family val="2"/>
          </rPr>
          <t xml:space="preserve">
Sale of Bank of Hangzhou</t>
        </r>
      </text>
    </comment>
    <comment ref="CN922" authorId="5" shapeId="0" xr:uid="{106F19D0-5C16-4CC4-AF1E-630C66F2567B}">
      <text>
        <r>
          <rPr>
            <b/>
            <sz val="9"/>
            <color indexed="81"/>
            <rFont val="Tahoma"/>
            <family val="2"/>
          </rPr>
          <t>Fernandes, Sona (Research):</t>
        </r>
        <r>
          <rPr>
            <sz val="9"/>
            <color indexed="81"/>
            <rFont val="Tahoma"/>
            <family val="2"/>
          </rPr>
          <t xml:space="preserve">
Backsolved to get total tax impact of 17</t>
        </r>
      </text>
    </comment>
    <comment ref="CR922" authorId="5" shapeId="0" xr:uid="{3B745D06-1278-4167-8936-4335F6BC6AA8}">
      <text>
        <r>
          <rPr>
            <b/>
            <sz val="9"/>
            <color indexed="81"/>
            <rFont val="Tahoma"/>
            <family val="2"/>
          </rPr>
          <t>Fernandes, Sona (Research):</t>
        </r>
        <r>
          <rPr>
            <sz val="9"/>
            <color indexed="81"/>
            <rFont val="Tahoma"/>
            <family val="2"/>
          </rPr>
          <t xml:space="preserve">
Backsolved to get total tax impact </t>
        </r>
      </text>
    </comment>
    <comment ref="A927" authorId="6" shapeId="0" xr:uid="{50CFF57B-D80C-4558-9165-0290AF2D8076}">
      <text>
        <r>
          <rPr>
            <b/>
            <sz val="8"/>
            <color indexed="81"/>
            <rFont val="Tahoma"/>
            <family val="2"/>
          </rPr>
          <t>richwile:</t>
        </r>
        <r>
          <rPr>
            <sz val="8"/>
            <color indexed="81"/>
            <rFont val="Tahoma"/>
            <family val="2"/>
          </rPr>
          <t xml:space="preserve">
Distribution on US$700m TPS 2006</t>
        </r>
      </text>
    </comment>
    <comment ref="BZ931" authorId="3" shapeId="0" xr:uid="{A25AE533-29F8-4D0A-87E6-7D52FE36A7C7}">
      <text>
        <r>
          <rPr>
            <b/>
            <sz val="9"/>
            <color indexed="81"/>
            <rFont val="Tahoma"/>
            <family val="2"/>
          </rPr>
          <t>Wiles, Richard (Research):</t>
        </r>
        <r>
          <rPr>
            <sz val="9"/>
            <color indexed="81"/>
            <rFont val="Tahoma"/>
            <family val="2"/>
          </rPr>
          <t xml:space="preserve">
refer FY18 page 65 </t>
        </r>
      </text>
    </comment>
    <comment ref="CG931" authorId="1" shapeId="0" xr:uid="{1C550801-98C9-47DA-BFF5-1587733651B0}">
      <text>
        <r>
          <rPr>
            <b/>
            <sz val="9"/>
            <color indexed="81"/>
            <rFont val="Tahoma"/>
            <family val="2"/>
          </rPr>
          <t>O'Neill, Emilie (Research):</t>
        </r>
        <r>
          <rPr>
            <sz val="9"/>
            <color indexed="81"/>
            <rFont val="Tahoma"/>
            <family val="2"/>
          </rPr>
          <t xml:space="preserve">
pg 57 or 59 FY19 PA</t>
        </r>
      </text>
    </comment>
    <comment ref="CJ931" authorId="5" shapeId="0" xr:uid="{D21AF758-DE5D-4F5A-8881-83D842748CBF}">
      <text>
        <r>
          <rPr>
            <b/>
            <sz val="9"/>
            <color indexed="81"/>
            <rFont val="Tahoma"/>
            <family val="2"/>
          </rPr>
          <t>Fernandes, Sona (Research):</t>
        </r>
        <r>
          <rPr>
            <sz val="9"/>
            <color indexed="81"/>
            <rFont val="Tahoma"/>
            <family val="2"/>
          </rPr>
          <t xml:space="preserve">
Restated 1H21</t>
        </r>
      </text>
    </comment>
    <comment ref="CK931" authorId="5" shapeId="0" xr:uid="{ECD9C1E6-18AC-4725-94C3-7298392EB39E}">
      <text>
        <r>
          <rPr>
            <b/>
            <sz val="9"/>
            <color indexed="81"/>
            <rFont val="Tahoma"/>
            <family val="2"/>
          </rPr>
          <t>Fernandes, Sona (Research):</t>
        </r>
        <r>
          <rPr>
            <sz val="9"/>
            <color indexed="81"/>
            <rFont val="Tahoma"/>
            <family val="2"/>
          </rPr>
          <t xml:space="preserve">
Restated 1H21</t>
        </r>
      </text>
    </comment>
    <comment ref="BZ932" authorId="1" shapeId="0" xr:uid="{B74D0259-5003-49EE-9350-7FF898AA56DD}">
      <text>
        <r>
          <rPr>
            <b/>
            <sz val="9"/>
            <color indexed="81"/>
            <rFont val="Tahoma"/>
            <family val="2"/>
          </rPr>
          <t>O'Neill, Emilie (Research):</t>
        </r>
        <r>
          <rPr>
            <sz val="9"/>
            <color indexed="81"/>
            <rFont val="Tahoma"/>
            <family val="2"/>
          </rPr>
          <t xml:space="preserve">
Refer FY18 p79: discontinued operations include Bcomm Life (37.5% stake) and Tyme Digial in Sth Africa
Restated 2H18 to include the sale of Sth African business (Tyme Digital)</t>
        </r>
      </text>
    </comment>
    <comment ref="CB932" authorId="1" shapeId="0" xr:uid="{1BD6EC87-1E64-426B-ABD6-DD2C7887DA92}">
      <text>
        <r>
          <rPr>
            <b/>
            <sz val="9"/>
            <color indexed="81"/>
            <rFont val="Tahoma"/>
            <family val="2"/>
          </rPr>
          <t>O'Neill, Emilie (Research):</t>
        </r>
        <r>
          <rPr>
            <sz val="9"/>
            <color indexed="81"/>
            <rFont val="Tahoma"/>
            <family val="2"/>
          </rPr>
          <t xml:space="preserve">
Refer FY18 p79: discontinued operations include Bcomm Life (37.5% stake) and Tyme Digial in Sth Africa
Restated 2H18 to include the sale of Sth African business (Tyme Digital)
Restated 1H19</t>
        </r>
      </text>
    </comment>
    <comment ref="CC932" authorId="1" shapeId="0" xr:uid="{17E32FBE-F49C-428E-9BCB-ACE6BA20F86B}">
      <text>
        <r>
          <rPr>
            <b/>
            <sz val="9"/>
            <color indexed="81"/>
            <rFont val="Tahoma"/>
            <family val="2"/>
          </rPr>
          <t>O'Neill, Emilie (Research):</t>
        </r>
        <r>
          <rPr>
            <sz val="9"/>
            <color indexed="81"/>
            <rFont val="Tahoma"/>
            <family val="2"/>
          </rPr>
          <t xml:space="preserve">
Refer FY18 p79: discontinued operations include Bcomm Life (37.5% stake) and Tyme Digial in Sth Africa
Restated 2H18 to include the sale of Sth African business (Tyme Digital)
Restated 1H19</t>
        </r>
      </text>
    </comment>
    <comment ref="CG932" authorId="8" shapeId="0" xr:uid="{2F285F39-EE3F-47EA-AA28-57CCAED742BC}">
      <text>
        <r>
          <rPr>
            <b/>
            <sz val="9"/>
            <color indexed="81"/>
            <rFont val="Tahoma"/>
            <family val="2"/>
          </rPr>
          <t>Stadnik, Andrei (Research):</t>
        </r>
        <r>
          <rPr>
            <sz val="9"/>
            <color indexed="81"/>
            <rFont val="Tahoma"/>
            <family val="2"/>
          </rPr>
          <t xml:space="preserve">
page 68 - ie IFS P&amp;L</t>
        </r>
      </text>
    </comment>
    <comment ref="CJ932" authorId="5" shapeId="0" xr:uid="{C25DBFB6-9894-4EAE-B799-49EDDA01667C}">
      <text>
        <r>
          <rPr>
            <b/>
            <sz val="9"/>
            <color indexed="81"/>
            <rFont val="Tahoma"/>
            <family val="2"/>
          </rPr>
          <t>Fernandes, Sona (Research):</t>
        </r>
        <r>
          <rPr>
            <sz val="9"/>
            <color indexed="81"/>
            <rFont val="Tahoma"/>
            <family val="2"/>
          </rPr>
          <t xml:space="preserve">
Restated 1H21</t>
        </r>
      </text>
    </comment>
    <comment ref="CK932" authorId="5" shapeId="0" xr:uid="{AEA60FCF-911B-4954-AA08-EDDFF4950B60}">
      <text>
        <r>
          <rPr>
            <b/>
            <sz val="9"/>
            <color indexed="81"/>
            <rFont val="Tahoma"/>
            <family val="2"/>
          </rPr>
          <t>Fernandes, Sona (Research):</t>
        </r>
        <r>
          <rPr>
            <sz val="9"/>
            <color indexed="81"/>
            <rFont val="Tahoma"/>
            <family val="2"/>
          </rPr>
          <t xml:space="preserve">
Restated 1H21</t>
        </r>
      </text>
    </comment>
    <comment ref="BZ933" authorId="3" shapeId="0" xr:uid="{A58BD828-052D-4BBD-AFE1-92861B184C49}">
      <text>
        <r>
          <rPr>
            <b/>
            <sz val="9"/>
            <color indexed="81"/>
            <rFont val="Tahoma"/>
            <family val="2"/>
          </rPr>
          <t>Wiles, Richard (Research):</t>
        </r>
        <r>
          <rPr>
            <sz val="9"/>
            <color indexed="81"/>
            <rFont val="Tahoma"/>
            <family val="2"/>
          </rPr>
          <t xml:space="preserve">
refer FY18 page 65 </t>
        </r>
      </text>
    </comment>
    <comment ref="CB933" authorId="1" shapeId="0" xr:uid="{1727A7C2-964E-4605-A6F8-13857F38DDF0}">
      <text>
        <r>
          <rPr>
            <b/>
            <sz val="9"/>
            <color indexed="81"/>
            <rFont val="Tahoma"/>
            <family val="2"/>
          </rPr>
          <t>O'Neill, Emilie (Research):
Exchange rate</t>
        </r>
      </text>
    </comment>
    <comment ref="CJ933" authorId="5" shapeId="0" xr:uid="{F5A4A63D-9F53-44E7-8A65-E49B475E4EB9}">
      <text>
        <r>
          <rPr>
            <b/>
            <sz val="9"/>
            <color indexed="81"/>
            <rFont val="Tahoma"/>
            <family val="2"/>
          </rPr>
          <t>Fernandes, Sona (Research):</t>
        </r>
        <r>
          <rPr>
            <sz val="9"/>
            <color indexed="81"/>
            <rFont val="Tahoma"/>
            <family val="2"/>
          </rPr>
          <t xml:space="preserve">
Restated 1H21</t>
        </r>
      </text>
    </comment>
    <comment ref="CK933" authorId="5" shapeId="0" xr:uid="{7EEC908F-B843-42AD-82B9-74D796A24FA0}">
      <text>
        <r>
          <rPr>
            <b/>
            <sz val="9"/>
            <color indexed="81"/>
            <rFont val="Tahoma"/>
            <family val="2"/>
          </rPr>
          <t>Fernandes, Sona (Research):</t>
        </r>
        <r>
          <rPr>
            <sz val="9"/>
            <color indexed="81"/>
            <rFont val="Tahoma"/>
            <family val="2"/>
          </rPr>
          <t xml:space="preserve">
Restated 1H21</t>
        </r>
      </text>
    </comment>
    <comment ref="CB934" authorId="1" shapeId="0" xr:uid="{27FAE2E5-69D7-403B-AF4E-C149DA940665}">
      <text>
        <r>
          <rPr>
            <b/>
            <sz val="9"/>
            <color indexed="81"/>
            <rFont val="Tahoma"/>
            <family val="2"/>
          </rPr>
          <t>O'Neill, Emilie (Research):</t>
        </r>
        <r>
          <rPr>
            <sz val="9"/>
            <color indexed="81"/>
            <rFont val="Tahoma"/>
            <family val="2"/>
          </rPr>
          <t xml:space="preserve">
CFSGAM earnings as reported </t>
        </r>
      </text>
    </comment>
    <comment ref="CC934" authorId="1" shapeId="0" xr:uid="{24AF2471-7B5B-48E7-9DFF-6167855C9CF0}">
      <text>
        <r>
          <rPr>
            <b/>
            <sz val="9"/>
            <color indexed="81"/>
            <rFont val="Tahoma"/>
            <family val="2"/>
          </rPr>
          <t>O'Neill, Emilie (Research):</t>
        </r>
        <r>
          <rPr>
            <sz val="9"/>
            <color indexed="81"/>
            <rFont val="Tahoma"/>
            <family val="2"/>
          </rPr>
          <t xml:space="preserve">
CFSGAM earnings as reported </t>
        </r>
      </text>
    </comment>
    <comment ref="CG934" authorId="1" shapeId="0" xr:uid="{4F1C3893-F783-4567-BE90-638DA907BB71}">
      <text>
        <r>
          <rPr>
            <b/>
            <sz val="9"/>
            <color indexed="81"/>
            <rFont val="Tahoma"/>
            <family val="2"/>
          </rPr>
          <t>O'Neill, Emilie (Research):</t>
        </r>
        <r>
          <rPr>
            <sz val="9"/>
            <color indexed="81"/>
            <rFont val="Tahoma"/>
            <family val="2"/>
          </rPr>
          <t xml:space="preserve">
pg 57 or 59 FY19 PA</t>
        </r>
      </text>
    </comment>
    <comment ref="CJ934" authorId="5" shapeId="0" xr:uid="{C5B7D870-9466-4B8F-9B5E-C66520222A3D}">
      <text>
        <r>
          <rPr>
            <b/>
            <sz val="9"/>
            <color indexed="81"/>
            <rFont val="Tahoma"/>
            <family val="2"/>
          </rPr>
          <t>Fernandes, Sona (Research):</t>
        </r>
        <r>
          <rPr>
            <sz val="9"/>
            <color indexed="81"/>
            <rFont val="Tahoma"/>
            <family val="2"/>
          </rPr>
          <t xml:space="preserve">
Restated 1H21</t>
        </r>
      </text>
    </comment>
    <comment ref="CK934" authorId="5" shapeId="0" xr:uid="{29B0003C-52B8-4589-B65B-6BD74F4C09E2}">
      <text>
        <r>
          <rPr>
            <b/>
            <sz val="9"/>
            <color indexed="81"/>
            <rFont val="Tahoma"/>
            <family val="2"/>
          </rPr>
          <t>Fernandes, Sona (Research):</t>
        </r>
        <r>
          <rPr>
            <sz val="9"/>
            <color indexed="81"/>
            <rFont val="Tahoma"/>
            <family val="2"/>
          </rPr>
          <t xml:space="preserve">
Restated 1H21</t>
        </r>
      </text>
    </comment>
    <comment ref="CJ935" authorId="5" shapeId="0" xr:uid="{8E9FD436-9030-48FD-8EAA-5444DBFD2B68}">
      <text>
        <r>
          <rPr>
            <b/>
            <sz val="9"/>
            <color indexed="81"/>
            <rFont val="Tahoma"/>
            <family val="2"/>
          </rPr>
          <t>Fernandes, Sona (Research):</t>
        </r>
        <r>
          <rPr>
            <sz val="9"/>
            <color indexed="81"/>
            <rFont val="Tahoma"/>
            <family val="2"/>
          </rPr>
          <t xml:space="preserve">
Restated FY21</t>
        </r>
      </text>
    </comment>
    <comment ref="CK935" authorId="5" shapeId="0" xr:uid="{72A81672-7270-485A-8AC4-D85536FD9146}">
      <text>
        <r>
          <rPr>
            <b/>
            <sz val="9"/>
            <color indexed="81"/>
            <rFont val="Tahoma"/>
            <family val="2"/>
          </rPr>
          <t>Fernandes, Sona (Research):</t>
        </r>
        <r>
          <rPr>
            <sz val="9"/>
            <color indexed="81"/>
            <rFont val="Tahoma"/>
            <family val="2"/>
          </rPr>
          <t xml:space="preserve">
Restated FY21
includes remediation costs</t>
        </r>
      </text>
    </comment>
    <comment ref="CN935" authorId="3" shapeId="0" xr:uid="{A4266CE4-796E-4A44-A82B-7247E8FDC6FE}">
      <text>
        <r>
          <rPr>
            <b/>
            <sz val="9"/>
            <color indexed="81"/>
            <rFont val="Tahoma"/>
            <family val="2"/>
          </rPr>
          <t>Wiles, Richard (Research):</t>
        </r>
        <r>
          <rPr>
            <sz val="9"/>
            <color indexed="81"/>
            <rFont val="Tahoma"/>
            <family val="2"/>
          </rPr>
          <t xml:space="preserve">
includes remediation costs</t>
        </r>
      </text>
    </comment>
    <comment ref="CR935" authorId="3" shapeId="0" xr:uid="{B277513B-DEE2-49BA-9907-D6A7DAFFCC95}">
      <text>
        <r>
          <rPr>
            <b/>
            <sz val="9"/>
            <color indexed="81"/>
            <rFont val="Tahoma"/>
            <family val="2"/>
          </rPr>
          <t>Wiles, Richard (Research):</t>
        </r>
        <r>
          <rPr>
            <sz val="9"/>
            <color indexed="81"/>
            <rFont val="Tahoma"/>
            <family val="2"/>
          </rPr>
          <t xml:space="preserve">
at 1Q22: 
expected to complete at the end of the Calendar year 2021
at FY21:
expected to complete in second half of CY21</t>
        </r>
      </text>
    </comment>
    <comment ref="BY937" authorId="1" shapeId="0" xr:uid="{D9318558-76A1-4722-A39D-7E691AAD2B43}">
      <text>
        <r>
          <rPr>
            <b/>
            <sz val="9"/>
            <color indexed="81"/>
            <rFont val="Tahoma"/>
            <family val="2"/>
          </rPr>
          <t>O'Neill, Emilie (Research):</t>
        </r>
        <r>
          <rPr>
            <sz val="9"/>
            <color indexed="81"/>
            <rFont val="Tahoma"/>
            <family val="2"/>
          </rPr>
          <t xml:space="preserve">
Balancing item for FY17 restatements in 2H18</t>
        </r>
      </text>
    </comment>
    <comment ref="BZ937" authorId="1" shapeId="0" xr:uid="{B3F6801E-327C-4BD0-9772-27A44C992B82}">
      <text>
        <r>
          <rPr>
            <b/>
            <sz val="9"/>
            <color indexed="81"/>
            <rFont val="Tahoma"/>
            <family val="2"/>
          </rPr>
          <t>O'Neill, Emilie (Research):</t>
        </r>
        <r>
          <rPr>
            <sz val="9"/>
            <color indexed="81"/>
            <rFont val="Tahoma"/>
            <family val="2"/>
          </rPr>
          <t xml:space="preserve">
Restated 2H18</t>
        </r>
      </text>
    </comment>
    <comment ref="CB937" authorId="1" shapeId="0" xr:uid="{450D7F62-6C50-47F5-A481-E3F484ACB3EA}">
      <text>
        <r>
          <rPr>
            <b/>
            <sz val="9"/>
            <color indexed="81"/>
            <rFont val="Tahoma"/>
            <family val="2"/>
          </rPr>
          <t>O'Neill, Emilie (Research):</t>
        </r>
        <r>
          <rPr>
            <sz val="9"/>
            <color indexed="81"/>
            <rFont val="Tahoma"/>
            <family val="2"/>
          </rPr>
          <t xml:space="preserve">
Restated as per announcement 18th Jan 2019</t>
        </r>
      </text>
    </comment>
    <comment ref="CC937" authorId="1" shapeId="0" xr:uid="{C8B4F69F-8CFE-4A0C-9DA1-56B174B8AA51}">
      <text>
        <r>
          <rPr>
            <b/>
            <sz val="9"/>
            <color indexed="81"/>
            <rFont val="Tahoma"/>
            <family val="2"/>
          </rPr>
          <t>O'Neill, Emilie (Research):</t>
        </r>
        <r>
          <rPr>
            <sz val="9"/>
            <color indexed="81"/>
            <rFont val="Tahoma"/>
            <family val="2"/>
          </rPr>
          <t xml:space="preserve">
Restated as per announcement 18th Jan 2019</t>
        </r>
      </text>
    </comment>
    <comment ref="CF937" authorId="2" shapeId="0" xr:uid="{4DCD927F-7D88-417B-95FE-47B32994E654}">
      <text>
        <r>
          <rPr>
            <b/>
            <sz val="9"/>
            <color indexed="81"/>
            <rFont val="Tahoma"/>
            <family val="2"/>
          </rPr>
          <t>Fernandes, Sona F (Research):</t>
        </r>
        <r>
          <rPr>
            <sz val="9"/>
            <color indexed="81"/>
            <rFont val="Tahoma"/>
            <family val="2"/>
          </rPr>
          <t xml:space="preserve">
Restated FY20</t>
        </r>
      </text>
    </comment>
    <comment ref="CG937" authorId="2" shapeId="0" xr:uid="{FBCD2EEF-0992-4AC6-B610-177D1F5623DB}">
      <text>
        <r>
          <rPr>
            <b/>
            <sz val="9"/>
            <color indexed="81"/>
            <rFont val="Tahoma"/>
            <family val="2"/>
          </rPr>
          <t>Fernandes, Sona F (Research):</t>
        </r>
        <r>
          <rPr>
            <sz val="9"/>
            <color indexed="81"/>
            <rFont val="Tahoma"/>
            <family val="2"/>
          </rPr>
          <t xml:space="preserve">
Restated FY20</t>
        </r>
      </text>
    </comment>
    <comment ref="CJ937" authorId="5" shapeId="0" xr:uid="{FFF7785A-FE95-4E34-ADB2-360570E2B60D}">
      <text>
        <r>
          <rPr>
            <b/>
            <sz val="9"/>
            <color indexed="81"/>
            <rFont val="Tahoma"/>
            <family val="2"/>
          </rPr>
          <t>Fernandes, Sona (Research):</t>
        </r>
        <r>
          <rPr>
            <sz val="9"/>
            <color indexed="81"/>
            <rFont val="Tahoma"/>
            <family val="2"/>
          </rPr>
          <t xml:space="preserve">
Restated FY21</t>
        </r>
      </text>
    </comment>
    <comment ref="CK937" authorId="5" shapeId="0" xr:uid="{93D230B0-D9F2-46A8-9F8F-84D3A559328A}">
      <text>
        <r>
          <rPr>
            <b/>
            <sz val="9"/>
            <color indexed="81"/>
            <rFont val="Tahoma"/>
            <family val="2"/>
          </rPr>
          <t>Fernandes, Sona (Research):</t>
        </r>
        <r>
          <rPr>
            <sz val="9"/>
            <color indexed="81"/>
            <rFont val="Tahoma"/>
            <family val="2"/>
          </rPr>
          <t xml:space="preserve">
Restated FY21</t>
        </r>
      </text>
    </comment>
    <comment ref="CN937" authorId="5" shapeId="0" xr:uid="{7F6E5B54-0787-47C0-A120-7DF946BB35FD}">
      <text>
        <r>
          <rPr>
            <b/>
            <sz val="9"/>
            <color indexed="81"/>
            <rFont val="Tahoma"/>
            <family val="2"/>
          </rPr>
          <t>Fernandes, Sona (Research):</t>
        </r>
        <r>
          <rPr>
            <sz val="9"/>
            <color indexed="81"/>
            <rFont val="Tahoma"/>
            <family val="2"/>
          </rPr>
          <t xml:space="preserve">
Restated FY21</t>
        </r>
      </text>
    </comment>
    <comment ref="CV942" authorId="4" shapeId="0" xr:uid="{DF567E58-904F-4A9B-8A86-1B6779F1B4B1}">
      <text>
        <r>
          <rPr>
            <b/>
            <sz val="9"/>
            <color indexed="81"/>
            <rFont val="Tahoma"/>
            <family val="2"/>
          </rPr>
          <t>Hong, Sally (Research):</t>
        </r>
        <r>
          <rPr>
            <sz val="9"/>
            <color indexed="81"/>
            <rFont val="Tahoma"/>
            <family val="2"/>
          </rPr>
          <t xml:space="preserve">
Restated in 1H24</t>
        </r>
      </text>
    </comment>
    <comment ref="CW942" authorId="4" shapeId="0" xr:uid="{DBCA4F24-CAB2-48FC-8EE7-79E1CD327BBB}">
      <text>
        <r>
          <rPr>
            <b/>
            <sz val="9"/>
            <color indexed="81"/>
            <rFont val="Tahoma"/>
            <family val="2"/>
          </rPr>
          <t>Hong, Sally (Research):</t>
        </r>
        <r>
          <rPr>
            <sz val="9"/>
            <color indexed="81"/>
            <rFont val="Tahoma"/>
            <family val="2"/>
          </rPr>
          <t xml:space="preserve">
Restated in 1H24</t>
        </r>
      </text>
    </comment>
    <comment ref="BT943" authorId="0" shapeId="0" xr:uid="{75F3BCC3-499A-4DCB-9F0B-4D6E73C95B4E}">
      <text>
        <r>
          <rPr>
            <b/>
            <sz val="9"/>
            <color indexed="81"/>
            <rFont val="Tahoma"/>
            <family val="2"/>
          </rPr>
          <t>Dunger, Matt (Research):</t>
        </r>
        <r>
          <rPr>
            <sz val="9"/>
            <color indexed="81"/>
            <rFont val="Tahoma"/>
            <family val="2"/>
          </rPr>
          <t xml:space="preserve">
RESTATED 1H17</t>
        </r>
      </text>
    </comment>
    <comment ref="BU943" authorId="0" shapeId="0" xr:uid="{3862EB0D-227F-4CA8-AC54-A1428C28C41C}">
      <text>
        <r>
          <rPr>
            <b/>
            <sz val="9"/>
            <color indexed="81"/>
            <rFont val="Tahoma"/>
            <family val="2"/>
          </rPr>
          <t>Dunger, Matt (Research):</t>
        </r>
        <r>
          <rPr>
            <sz val="9"/>
            <color indexed="81"/>
            <rFont val="Tahoma"/>
            <family val="2"/>
          </rPr>
          <t xml:space="preserve">
RESTATED 1H17</t>
        </r>
      </text>
    </comment>
    <comment ref="BX943" authorId="1" shapeId="0" xr:uid="{6DC48C76-FF1C-44FC-8256-10293B86DF85}">
      <text>
        <r>
          <rPr>
            <b/>
            <sz val="9"/>
            <color indexed="81"/>
            <rFont val="Tahoma"/>
            <family val="2"/>
          </rPr>
          <t>O'Neill, Emilie (Research):</t>
        </r>
        <r>
          <rPr>
            <sz val="9"/>
            <color indexed="81"/>
            <rFont val="Tahoma"/>
            <family val="2"/>
          </rPr>
          <t xml:space="preserve">
Restated 1H18 due to change in accounting policy to recognise deferred tax on brand names acquired</t>
        </r>
      </text>
    </comment>
    <comment ref="BY943" authorId="1" shapeId="0" xr:uid="{480525EA-3187-4A5D-83B3-F9144F76CC75}">
      <text>
        <r>
          <rPr>
            <b/>
            <sz val="9"/>
            <color indexed="81"/>
            <rFont val="Tahoma"/>
            <family val="2"/>
          </rPr>
          <t>O'Neill, Emilie (Research):</t>
        </r>
        <r>
          <rPr>
            <sz val="9"/>
            <color indexed="81"/>
            <rFont val="Tahoma"/>
            <family val="2"/>
          </rPr>
          <t xml:space="preserve">
Restated 1H18 due to change in accounting policy to recognise deferred tax on brand names acquired</t>
        </r>
      </text>
    </comment>
    <comment ref="CK943" authorId="5" shapeId="0" xr:uid="{5D69B5E9-40FE-40A1-B14F-AC7E44917B77}">
      <text>
        <r>
          <rPr>
            <b/>
            <sz val="9"/>
            <color indexed="81"/>
            <rFont val="Tahoma"/>
            <family val="2"/>
          </rPr>
          <t>Fernandes, Sona (Research):</t>
        </r>
        <r>
          <rPr>
            <sz val="9"/>
            <color indexed="81"/>
            <rFont val="Tahoma"/>
            <family val="2"/>
          </rPr>
          <t xml:space="preserve">
Restated FY21
</t>
        </r>
      </text>
    </comment>
    <comment ref="CN943" authorId="5" shapeId="0" xr:uid="{33377DAF-B14E-4AF4-AC37-C3F155B3845A}">
      <text>
        <r>
          <rPr>
            <b/>
            <sz val="9"/>
            <color indexed="81"/>
            <rFont val="Tahoma"/>
            <family val="2"/>
          </rPr>
          <t>Fernandes, Sona (Research):</t>
        </r>
        <r>
          <rPr>
            <sz val="9"/>
            <color indexed="81"/>
            <rFont val="Tahoma"/>
            <family val="2"/>
          </rPr>
          <t xml:space="preserve">
Restated FY21
</t>
        </r>
      </text>
    </comment>
    <comment ref="CV943" authorId="4" shapeId="0" xr:uid="{8416C32D-0E50-46D2-83E9-1B91C2DB7613}">
      <text>
        <r>
          <rPr>
            <b/>
            <sz val="9"/>
            <color indexed="81"/>
            <rFont val="Tahoma"/>
            <family val="2"/>
          </rPr>
          <t>Hong, Sally (Research):</t>
        </r>
        <r>
          <rPr>
            <sz val="9"/>
            <color indexed="81"/>
            <rFont val="Tahoma"/>
            <family val="2"/>
          </rPr>
          <t xml:space="preserve">
Restated in 1H24</t>
        </r>
      </text>
    </comment>
    <comment ref="CW943" authorId="4" shapeId="0" xr:uid="{B37C4474-2183-4616-AC48-205F48A19EDD}">
      <text>
        <r>
          <rPr>
            <b/>
            <sz val="9"/>
            <color indexed="81"/>
            <rFont val="Tahoma"/>
            <family val="2"/>
          </rPr>
          <t>Hong, Sally (Research):</t>
        </r>
        <r>
          <rPr>
            <sz val="9"/>
            <color indexed="81"/>
            <rFont val="Tahoma"/>
            <family val="2"/>
          </rPr>
          <t xml:space="preserve">
Restated in 1H24</t>
        </r>
      </text>
    </comment>
    <comment ref="CG946" authorId="3" shapeId="0" xr:uid="{6D5EB327-B819-41C9-94ED-B01F2DE4DFF2}">
      <text>
        <r>
          <rPr>
            <b/>
            <sz val="9"/>
            <color indexed="81"/>
            <rFont val="Tahoma"/>
            <family val="2"/>
          </rPr>
          <t>Wiles, Richard (Research):</t>
        </r>
        <r>
          <rPr>
            <sz val="9"/>
            <color indexed="81"/>
            <rFont val="Tahoma"/>
            <family val="2"/>
          </rPr>
          <t xml:space="preserve">
Redemption of ASB PPP</t>
        </r>
      </text>
    </comment>
    <comment ref="CG952" authorId="1" shapeId="0" xr:uid="{267EE42C-D42B-406B-A23B-6C58E2C7D9B5}">
      <text>
        <r>
          <rPr>
            <b/>
            <sz val="9"/>
            <color indexed="81"/>
            <rFont val="Tahoma"/>
            <family val="2"/>
          </rPr>
          <t>O'Neill, Emilie (Research):</t>
        </r>
        <r>
          <rPr>
            <sz val="9"/>
            <color indexed="81"/>
            <rFont val="Tahoma"/>
            <family val="2"/>
          </rPr>
          <t xml:space="preserve">
DRP neutralised</t>
        </r>
      </text>
    </comment>
    <comment ref="BM953" authorId="7" shapeId="0" xr:uid="{8D8DEA20-2985-4FF9-B52D-0F3BD90F0223}">
      <text>
        <r>
          <rPr>
            <b/>
            <sz val="8"/>
            <color indexed="81"/>
            <rFont val="Tahoma"/>
            <family val="2"/>
          </rPr>
          <t>Dunger:</t>
        </r>
        <r>
          <rPr>
            <sz val="8"/>
            <color indexed="81"/>
            <rFont val="Tahoma"/>
            <family val="2"/>
          </rPr>
          <t xml:space="preserve">
Per Desk Briefing (Warwick Bryan); CBA will not neutralise DRP due to 1) non-recourse debt &amp; conglomerates uncertainty 2) need APRA clarification on using buffer to pay dividends. </t>
        </r>
      </text>
    </comment>
    <comment ref="CG953" authorId="1" shapeId="0" xr:uid="{89CE956C-65C4-4195-89A1-698C73636B0F}">
      <text>
        <r>
          <rPr>
            <b/>
            <sz val="9"/>
            <color indexed="81"/>
            <rFont val="Tahoma"/>
            <family val="2"/>
          </rPr>
          <t>O'Neill, Emilie (Research):</t>
        </r>
        <r>
          <rPr>
            <sz val="9"/>
            <color indexed="81"/>
            <rFont val="Tahoma"/>
            <family val="2"/>
          </rPr>
          <t xml:space="preserve">
DRP neutralised</t>
        </r>
      </text>
    </comment>
    <comment ref="CJ955" authorId="3" shapeId="0" xr:uid="{86FCA8F6-947F-4EEA-8C4D-890479950D26}">
      <text>
        <r>
          <rPr>
            <b/>
            <sz val="9"/>
            <color indexed="81"/>
            <rFont val="Tahoma"/>
            <family val="2"/>
          </rPr>
          <t>Wiles, Richard (Research):</t>
        </r>
        <r>
          <rPr>
            <sz val="9"/>
            <color indexed="81"/>
            <rFont val="Tahoma"/>
            <family val="2"/>
          </rPr>
          <t xml:space="preserve">
1H20 page 103 … decrease in treasury shares on deconsolidation of CommiNsure Life</t>
        </r>
      </text>
    </comment>
    <comment ref="BZ960" authorId="1" shapeId="0" xr:uid="{C41CA8F9-B2C4-4BC1-B72B-88CE2F1FCB3F}">
      <text>
        <r>
          <rPr>
            <b/>
            <sz val="9"/>
            <color indexed="81"/>
            <rFont val="Tahoma"/>
            <family val="2"/>
          </rPr>
          <t>O'Neill, Emilie (Research):</t>
        </r>
        <r>
          <rPr>
            <sz val="9"/>
            <color indexed="81"/>
            <rFont val="Tahoma"/>
            <family val="2"/>
          </rPr>
          <t xml:space="preserve">
Hard coded due to FY17 restatements at 2H18</t>
        </r>
      </text>
    </comment>
    <comment ref="CF961" authorId="1" shapeId="0" xr:uid="{011C5625-EF90-4DFF-91A3-1E135F3663AE}">
      <text>
        <r>
          <rPr>
            <b/>
            <sz val="9"/>
            <color indexed="81"/>
            <rFont val="Tahoma"/>
            <family val="2"/>
          </rPr>
          <t>O'Neill, Emilie (Research):</t>
        </r>
        <r>
          <rPr>
            <sz val="9"/>
            <color indexed="81"/>
            <rFont val="Tahoma"/>
            <family val="2"/>
          </rPr>
          <t xml:space="preserve">
Adoption of new accounting standards</t>
        </r>
      </text>
    </comment>
    <comment ref="CJ961" authorId="2" shapeId="0" xr:uid="{C3DFAF16-5629-4D33-9662-B319818624D5}">
      <text>
        <r>
          <rPr>
            <b/>
            <sz val="9"/>
            <color indexed="81"/>
            <rFont val="Tahoma"/>
            <family val="2"/>
          </rPr>
          <t>Fernandes, Sona F (Research):</t>
        </r>
        <r>
          <rPr>
            <sz val="9"/>
            <color indexed="81"/>
            <rFont val="Tahoma"/>
            <family val="2"/>
          </rPr>
          <t xml:space="preserve">
Changes on adoption of AASB 16</t>
        </r>
      </text>
    </comment>
    <comment ref="BY963" authorId="8" shapeId="0" xr:uid="{5D19CCF7-780C-4602-B55F-7A9AFD7D0017}">
      <text>
        <r>
          <rPr>
            <b/>
            <sz val="9"/>
            <color indexed="81"/>
            <rFont val="Tahoma"/>
            <family val="2"/>
          </rPr>
          <t>Stadnik, Andrei (Research):</t>
        </r>
        <r>
          <rPr>
            <sz val="9"/>
            <color indexed="81"/>
            <rFont val="Tahoma"/>
            <family val="2"/>
          </rPr>
          <t xml:space="preserve">
from app17 on shareholder equity to capture Treas share, all other lines from change in equity in core fin statements</t>
        </r>
      </text>
    </comment>
    <comment ref="CC963" authorId="8" shapeId="0" xr:uid="{9538D00C-642F-4C61-BABE-E2E8764F2272}">
      <text>
        <r>
          <rPr>
            <b/>
            <sz val="9"/>
            <color indexed="81"/>
            <rFont val="Tahoma"/>
            <family val="2"/>
          </rPr>
          <t>Stadnik, Andrei (Research):</t>
        </r>
        <r>
          <rPr>
            <sz val="9"/>
            <color indexed="81"/>
            <rFont val="Tahoma"/>
            <family val="2"/>
          </rPr>
          <t xml:space="preserve">
from app17 on shareholder equity to capture Treas share, all other lines from change in equity in core fin statements</t>
        </r>
      </text>
    </comment>
    <comment ref="CK969" authorId="2" shapeId="0" xr:uid="{24615D92-A76C-46B1-97A2-00EE994EF430}">
      <text>
        <r>
          <rPr>
            <b/>
            <sz val="9"/>
            <color indexed="81"/>
            <rFont val="Tahoma"/>
            <family val="2"/>
          </rPr>
          <t>Fernandes, Sona F (Research):</t>
        </r>
        <r>
          <rPr>
            <sz val="9"/>
            <color indexed="81"/>
            <rFont val="Tahoma"/>
            <family val="2"/>
          </rPr>
          <t xml:space="preserve">
Other Comprehensive income </t>
        </r>
      </text>
    </comment>
    <comment ref="CN969" authorId="2" shapeId="0" xr:uid="{4747D9F5-0FE1-45E9-91C7-BD4BC43BB7EA}">
      <text>
        <r>
          <rPr>
            <b/>
            <sz val="9"/>
            <color indexed="81"/>
            <rFont val="Tahoma"/>
            <family val="2"/>
          </rPr>
          <t>Fernandes, Sona F (Research):</t>
        </r>
        <r>
          <rPr>
            <sz val="9"/>
            <color indexed="81"/>
            <rFont val="Tahoma"/>
            <family val="2"/>
          </rPr>
          <t xml:space="preserve">
Other Comprehensive income </t>
        </r>
      </text>
    </comment>
    <comment ref="CR969" authorId="4" shapeId="0" xr:uid="{5FDED0EA-40EE-4091-B67F-0B980DA533AF}">
      <text>
        <r>
          <rPr>
            <b/>
            <sz val="9"/>
            <color indexed="81"/>
            <rFont val="Tahoma"/>
            <family val="2"/>
          </rPr>
          <t>Hong, Sally (Research):</t>
        </r>
        <r>
          <rPr>
            <sz val="9"/>
            <color indexed="81"/>
            <rFont val="Tahoma"/>
            <family val="2"/>
          </rPr>
          <t xml:space="preserve">
$4534 Dividend component of $6b share Buyback</t>
        </r>
      </text>
    </comment>
    <comment ref="CO970" authorId="4" shapeId="0" xr:uid="{C647C6FC-BEC3-4D34-91F2-1BF3B29710C3}">
      <text>
        <r>
          <rPr>
            <b/>
            <sz val="9"/>
            <color indexed="81"/>
            <rFont val="Tahoma"/>
            <family val="2"/>
          </rPr>
          <t>Hong, Sally (Research):</t>
        </r>
        <r>
          <rPr>
            <sz val="9"/>
            <color indexed="81"/>
            <rFont val="Tahoma"/>
            <family val="2"/>
          </rPr>
          <t xml:space="preserve">
Restated in 1H22</t>
        </r>
      </text>
    </comment>
    <comment ref="CF976" authorId="1" shapeId="0" xr:uid="{40AEB757-4F44-42AC-A2F0-4B7255058A7C}">
      <text>
        <r>
          <rPr>
            <b/>
            <sz val="9"/>
            <color indexed="81"/>
            <rFont val="Tahoma"/>
            <family val="2"/>
          </rPr>
          <t>O'Neill, Emilie (Research):</t>
        </r>
        <r>
          <rPr>
            <sz val="9"/>
            <color indexed="81"/>
            <rFont val="Tahoma"/>
            <family val="2"/>
          </rPr>
          <t xml:space="preserve">
Mostly from other comprehensive income from cont. operations</t>
        </r>
      </text>
    </comment>
    <comment ref="CG976" authorId="1" shapeId="0" xr:uid="{7EA7A046-924D-413E-A4B5-E45C9A31B960}">
      <text>
        <r>
          <rPr>
            <b/>
            <sz val="9"/>
            <color indexed="81"/>
            <rFont val="Tahoma"/>
            <family val="2"/>
          </rPr>
          <t>O'Neill, Emilie (Research):</t>
        </r>
        <r>
          <rPr>
            <sz val="9"/>
            <color indexed="81"/>
            <rFont val="Tahoma"/>
            <family val="2"/>
          </rPr>
          <t xml:space="preserve">
Other comprehensive income manly cash flow hedge </t>
        </r>
      </text>
    </comment>
    <comment ref="CJ976" authorId="1" shapeId="0" xr:uid="{A825B2A2-559E-4759-A8AA-87F771FDD052}">
      <text>
        <r>
          <rPr>
            <b/>
            <sz val="9"/>
            <color indexed="81"/>
            <rFont val="Tahoma"/>
            <family val="2"/>
          </rPr>
          <t>O'Neill, Emilie (Research):</t>
        </r>
        <r>
          <rPr>
            <sz val="9"/>
            <color indexed="81"/>
            <rFont val="Tahoma"/>
            <family val="2"/>
          </rPr>
          <t xml:space="preserve">
Mostly from other comprehensive income from cont. operations</t>
        </r>
      </text>
    </comment>
    <comment ref="CK976" authorId="2" shapeId="0" xr:uid="{228556AC-BFF4-4B7C-9053-8FC87077CF55}">
      <text>
        <r>
          <rPr>
            <b/>
            <sz val="9"/>
            <color indexed="81"/>
            <rFont val="Tahoma"/>
            <family val="2"/>
          </rPr>
          <t>Fernandes, Sona F (Research):</t>
        </r>
        <r>
          <rPr>
            <sz val="9"/>
            <color indexed="81"/>
            <rFont val="Tahoma"/>
            <family val="2"/>
          </rPr>
          <t xml:space="preserve">
Other Comprehensive income </t>
        </r>
      </text>
    </comment>
    <comment ref="CN976" authorId="5" shapeId="0" xr:uid="{5206A640-C90B-413B-B5BF-7A9DDC7C979F}">
      <text>
        <r>
          <rPr>
            <b/>
            <sz val="9"/>
            <color indexed="81"/>
            <rFont val="Tahoma"/>
            <family val="2"/>
          </rPr>
          <t>Fernandes, Sona (Research):</t>
        </r>
        <r>
          <rPr>
            <sz val="9"/>
            <color indexed="81"/>
            <rFont val="Tahoma"/>
            <family val="2"/>
          </rPr>
          <t xml:space="preserve">
OCI and SBP</t>
        </r>
      </text>
    </comment>
    <comment ref="CO976" authorId="5" shapeId="0" xr:uid="{B9BB30DE-1350-4C53-B86F-F2503FB1DE8D}">
      <text>
        <r>
          <rPr>
            <b/>
            <sz val="9"/>
            <color indexed="81"/>
            <rFont val="Tahoma"/>
            <family val="2"/>
          </rPr>
          <t>Fernandes, Sona (Research):</t>
        </r>
        <r>
          <rPr>
            <sz val="9"/>
            <color indexed="81"/>
            <rFont val="Tahoma"/>
            <family val="2"/>
          </rPr>
          <t xml:space="preserve">
Total comprehensive income of $928m (which includes Klarna) plus $39m of share based payments</t>
        </r>
      </text>
    </comment>
    <comment ref="CR976" authorId="5" shapeId="0" xr:uid="{F83F1240-4024-403B-AE7E-B8D84FE2DFEB}">
      <text>
        <r>
          <rPr>
            <b/>
            <sz val="9"/>
            <color indexed="81"/>
            <rFont val="Tahoma"/>
            <family val="2"/>
          </rPr>
          <t>Fernandes, Sona (Research):</t>
        </r>
        <r>
          <rPr>
            <sz val="9"/>
            <color indexed="81"/>
            <rFont val="Tahoma"/>
            <family val="2"/>
          </rPr>
          <t xml:space="preserve">
OCI and SBP</t>
        </r>
      </text>
    </comment>
    <comment ref="CW976" authorId="3" shapeId="0" xr:uid="{542591B6-BF8C-464B-8EB8-3B33485295C0}">
      <text>
        <r>
          <rPr>
            <b/>
            <sz val="9"/>
            <color indexed="81"/>
            <rFont val="Tahoma"/>
            <family val="2"/>
          </rPr>
          <t>Wiles, Richard (Research):</t>
        </r>
        <r>
          <rPr>
            <sz val="9"/>
            <color indexed="81"/>
            <rFont val="Tahoma"/>
            <family val="2"/>
          </rPr>
          <t xml:space="preserve">
MTM revaluation on liquid assets at 3Q23</t>
        </r>
      </text>
    </comment>
    <comment ref="CB995" authorId="3" shapeId="0" xr:uid="{01750DCB-E191-4289-8BEB-F5C124B1599E}">
      <text>
        <r>
          <rPr>
            <b/>
            <sz val="9"/>
            <color indexed="81"/>
            <rFont val="Tahoma"/>
            <family val="2"/>
          </rPr>
          <t>Wiles, Richard (Research):</t>
        </r>
        <r>
          <rPr>
            <sz val="9"/>
            <color indexed="81"/>
            <rFont val="Tahoma"/>
            <family val="2"/>
          </rPr>
          <t xml:space="preserve">
DRP @ A$75.73 per share</t>
        </r>
      </text>
    </comment>
    <comment ref="CG995" authorId="3" shapeId="0" xr:uid="{8A2CD12A-FEB3-493F-B319-D9F48C616D95}">
      <text>
        <r>
          <rPr>
            <b/>
            <sz val="9"/>
            <color indexed="81"/>
            <rFont val="Tahoma"/>
            <family val="2"/>
          </rPr>
          <t>Wiles, Richard (Research):</t>
        </r>
        <r>
          <rPr>
            <sz val="9"/>
            <color indexed="81"/>
            <rFont val="Tahoma"/>
            <family val="2"/>
          </rPr>
          <t xml:space="preserve">
1H19 DRP neutralisation </t>
        </r>
      </text>
    </comment>
    <comment ref="CJ995" authorId="3" shapeId="0" xr:uid="{47E6A076-4869-4ABE-910D-39D820576CDB}">
      <text>
        <r>
          <rPr>
            <b/>
            <sz val="9"/>
            <color indexed="81"/>
            <rFont val="Tahoma"/>
            <family val="2"/>
          </rPr>
          <t>Wiles, Richard (Research):</t>
        </r>
        <r>
          <rPr>
            <sz val="9"/>
            <color indexed="81"/>
            <rFont val="Tahoma"/>
            <family val="2"/>
          </rPr>
          <t xml:space="preserve">
2H19 DRP neutralisation </t>
        </r>
      </text>
    </comment>
    <comment ref="CK995" authorId="3" shapeId="0" xr:uid="{BB24B241-9BD5-4196-80E4-0C52E06192EE}">
      <text>
        <r>
          <rPr>
            <b/>
            <sz val="9"/>
            <color indexed="81"/>
            <rFont val="Tahoma"/>
            <family val="2"/>
          </rPr>
          <t xml:space="preserve">Wiles, Richard (Research):
</t>
        </r>
        <r>
          <rPr>
            <sz val="9"/>
            <color indexed="81"/>
            <rFont val="Tahoma"/>
            <family val="2"/>
          </rPr>
          <t xml:space="preserve">1H20 DRP neutralisation </t>
        </r>
      </text>
    </comment>
    <comment ref="BI998" authorId="6" shapeId="0" xr:uid="{631CF02E-E8F1-4A9E-867B-EAC222B4512E}">
      <text>
        <r>
          <rPr>
            <b/>
            <sz val="8"/>
            <color indexed="81"/>
            <rFont val="Tahoma"/>
            <family val="2"/>
          </rPr>
          <t>richwile:</t>
        </r>
        <r>
          <rPr>
            <sz val="8"/>
            <color indexed="81"/>
            <rFont val="Tahoma"/>
            <family val="2"/>
          </rPr>
          <t xml:space="preserve">
Acquisition of an additional 47% interest in Aussie Home Loans</t>
        </r>
      </text>
    </comment>
    <comment ref="CB998" authorId="3" shapeId="0" xr:uid="{6D632CFD-B19E-4767-B07B-9FBB975D90D7}">
      <text>
        <r>
          <rPr>
            <b/>
            <sz val="9"/>
            <color indexed="81"/>
            <rFont val="Tahoma"/>
            <family val="2"/>
          </rPr>
          <t>Wiles, Richard (Research):</t>
        </r>
        <r>
          <rPr>
            <sz val="9"/>
            <color indexed="81"/>
            <rFont val="Tahoma"/>
            <family val="2"/>
          </rPr>
          <t xml:space="preserve">
issue of shares for the acquisition of 20% of AHL in 1H18: A$164m or 2.1m shares</t>
        </r>
      </text>
    </comment>
    <comment ref="CG1000" authorId="2" shapeId="0" xr:uid="{3DDE57BF-B2D3-4593-B220-F9E493AA9064}">
      <text>
        <r>
          <rPr>
            <b/>
            <sz val="9"/>
            <color indexed="81"/>
            <rFont val="Tahoma"/>
            <family val="2"/>
          </rPr>
          <t>Fernandes, Sona F (Research):</t>
        </r>
        <r>
          <rPr>
            <sz val="9"/>
            <color indexed="81"/>
            <rFont val="Tahoma"/>
            <family val="2"/>
          </rPr>
          <t xml:space="preserve">
Restated FY20</t>
        </r>
      </text>
    </comment>
    <comment ref="CJ1000" authorId="2" shapeId="0" xr:uid="{6D922C52-3D07-4DE1-B81F-9359C353F2DD}">
      <text>
        <r>
          <rPr>
            <b/>
            <sz val="9"/>
            <color indexed="81"/>
            <rFont val="Tahoma"/>
            <family val="2"/>
          </rPr>
          <t>Fernandes, Sona F (Research):</t>
        </r>
        <r>
          <rPr>
            <sz val="9"/>
            <color indexed="81"/>
            <rFont val="Tahoma"/>
            <family val="2"/>
          </rPr>
          <t xml:space="preserve">
Restated FY20</t>
        </r>
      </text>
    </comment>
    <comment ref="CG1014" authorId="3" shapeId="0" xr:uid="{144670BD-A145-4CCB-A087-E06C412342A0}">
      <text>
        <r>
          <rPr>
            <b/>
            <sz val="9"/>
            <color indexed="81"/>
            <rFont val="Tahoma"/>
            <family val="2"/>
          </rPr>
          <t>Wiles, Richard (Research):</t>
        </r>
        <r>
          <rPr>
            <sz val="9"/>
            <color indexed="81"/>
            <rFont val="Tahoma"/>
            <family val="2"/>
          </rPr>
          <t xml:space="preserve">
not disclosed at FY19 (page 138)</t>
        </r>
      </text>
    </comment>
    <comment ref="CK1014" authorId="3" shapeId="0" xr:uid="{8237AA40-5262-4B08-B45A-7974899BB01B}">
      <text>
        <r>
          <rPr>
            <b/>
            <sz val="9"/>
            <color indexed="81"/>
            <rFont val="Tahoma"/>
            <family val="2"/>
          </rPr>
          <t>Wiles, Richard (Research):</t>
        </r>
        <r>
          <rPr>
            <sz val="9"/>
            <color indexed="81"/>
            <rFont val="Tahoma"/>
            <family val="2"/>
          </rPr>
          <t xml:space="preserve">
not disclosed at FY19 (page 138)</t>
        </r>
      </text>
    </comment>
    <comment ref="CK1018" authorId="5" shapeId="0" xr:uid="{40F157A3-9EE1-4BA3-8AAF-613799520A89}">
      <text>
        <r>
          <rPr>
            <b/>
            <sz val="9"/>
            <color indexed="81"/>
            <rFont val="Tahoma"/>
            <family val="2"/>
          </rPr>
          <t>Fernandes, Sona (Research):</t>
        </r>
        <r>
          <rPr>
            <sz val="9"/>
            <color indexed="81"/>
            <rFont val="Tahoma"/>
            <family val="2"/>
          </rPr>
          <t xml:space="preserve">
Restated FY21</t>
        </r>
      </text>
    </comment>
    <comment ref="CN1018" authorId="5" shapeId="0" xr:uid="{B5D16DB2-88A9-47CD-A6A4-FD357A78F059}">
      <text>
        <r>
          <rPr>
            <b/>
            <sz val="9"/>
            <color indexed="81"/>
            <rFont val="Tahoma"/>
            <family val="2"/>
          </rPr>
          <t>Fernandes, Sona (Research):</t>
        </r>
        <r>
          <rPr>
            <sz val="9"/>
            <color indexed="81"/>
            <rFont val="Tahoma"/>
            <family val="2"/>
          </rPr>
          <t xml:space="preserve">
Restated FY21</t>
        </r>
      </text>
    </comment>
    <comment ref="CO1018" authorId="5" shapeId="0" xr:uid="{E79D23FD-02A8-4005-AB00-140F4237BA22}">
      <text>
        <r>
          <rPr>
            <b/>
            <sz val="9"/>
            <color indexed="81"/>
            <rFont val="Tahoma"/>
            <family val="2"/>
          </rPr>
          <t>Fernandes, Sona (Research):</t>
        </r>
        <r>
          <rPr>
            <sz val="9"/>
            <color indexed="81"/>
            <rFont val="Tahoma"/>
            <family val="2"/>
          </rPr>
          <t xml:space="preserve">
Restated FY21</t>
        </r>
      </text>
    </comment>
    <comment ref="CV1022" authorId="4" shapeId="0" xr:uid="{28537A3B-DDDA-42E1-B8F5-897B2901C55F}">
      <text>
        <r>
          <rPr>
            <b/>
            <sz val="9"/>
            <color indexed="81"/>
            <rFont val="Tahoma"/>
            <family val="2"/>
          </rPr>
          <t>Hong, Sally (Research):</t>
        </r>
        <r>
          <rPr>
            <sz val="9"/>
            <color indexed="81"/>
            <rFont val="Tahoma"/>
            <family val="2"/>
          </rPr>
          <t xml:space="preserve">
Restated in 1H24</t>
        </r>
      </text>
    </comment>
    <comment ref="CW1022" authorId="4" shapeId="0" xr:uid="{3D1ACEF4-C1CF-4DD2-B4BC-A11147C45E81}">
      <text>
        <r>
          <rPr>
            <b/>
            <sz val="9"/>
            <color indexed="81"/>
            <rFont val="Tahoma"/>
            <family val="2"/>
          </rPr>
          <t>Hong, Sally (Research):</t>
        </r>
        <r>
          <rPr>
            <sz val="9"/>
            <color indexed="81"/>
            <rFont val="Tahoma"/>
            <family val="2"/>
          </rPr>
          <t xml:space="preserve">
Restated in 1H24</t>
        </r>
      </text>
    </comment>
    <comment ref="CZ1022" authorId="4" shapeId="0" xr:uid="{0E68FAAF-8349-4856-8011-1F06E86D02C7}">
      <text>
        <r>
          <rPr>
            <b/>
            <sz val="9"/>
            <color indexed="81"/>
            <rFont val="Tahoma"/>
            <family val="2"/>
          </rPr>
          <t>Hong, Sally (Research):</t>
        </r>
        <r>
          <rPr>
            <sz val="9"/>
            <color indexed="81"/>
            <rFont val="Tahoma"/>
            <family val="2"/>
          </rPr>
          <t xml:space="preserve">
page 141 1H24 4d</t>
        </r>
      </text>
    </comment>
    <comment ref="CR1060" authorId="3" shapeId="0" xr:uid="{FBB153D8-2140-4B63-85DF-998CC9102BF4}">
      <text>
        <r>
          <rPr>
            <b/>
            <sz val="9"/>
            <color indexed="81"/>
            <rFont val="Tahoma"/>
            <family val="2"/>
          </rPr>
          <t>Wiles, Richard (Research):</t>
        </r>
        <r>
          <rPr>
            <sz val="9"/>
            <color indexed="81"/>
            <rFont val="Tahoma"/>
            <family val="2"/>
          </rPr>
          <t xml:space="preserve">
implied 10bp ??</t>
        </r>
      </text>
    </comment>
    <comment ref="CP1065" authorId="3" shapeId="0" xr:uid="{0860B803-30AB-425F-ADEE-F94FC06CB2A5}">
      <text>
        <r>
          <rPr>
            <b/>
            <sz val="9"/>
            <color indexed="81"/>
            <rFont val="Tahoma"/>
            <family val="2"/>
          </rPr>
          <t>Wiles, Richard (Research):</t>
        </r>
        <r>
          <rPr>
            <sz val="9"/>
            <color indexed="81"/>
            <rFont val="Tahoma"/>
            <family val="2"/>
          </rPr>
          <t xml:space="preserve">
CBA stated that normalised payout ratio was 75%, which implied normalised loss rate of ~13bp</t>
        </r>
      </text>
    </comment>
    <comment ref="CR1065" authorId="3" shapeId="0" xr:uid="{BABACA0E-617A-4A67-8116-6562FC7DA692}">
      <text>
        <r>
          <rPr>
            <b/>
            <sz val="9"/>
            <color indexed="81"/>
            <rFont val="Tahoma"/>
            <family val="2"/>
          </rPr>
          <t>Wiles, Richard (Research):</t>
        </r>
        <r>
          <rPr>
            <sz val="9"/>
            <color indexed="81"/>
            <rFont val="Tahoma"/>
            <family val="2"/>
          </rPr>
          <t xml:space="preserve">
~70% per 1H22 slide 32</t>
        </r>
      </text>
    </comment>
    <comment ref="CT1065" authorId="3" shapeId="0" xr:uid="{87A78860-D6D0-4704-AF15-49D8EE55C8D7}">
      <text>
        <r>
          <rPr>
            <b/>
            <sz val="9"/>
            <color indexed="81"/>
            <rFont val="Tahoma"/>
            <family val="2"/>
          </rPr>
          <t>Wiles, Richard (Research):</t>
        </r>
        <r>
          <rPr>
            <sz val="9"/>
            <color indexed="81"/>
            <rFont val="Tahoma"/>
            <family val="2"/>
          </rPr>
          <t xml:space="preserve">
CBA stated that normalised payout ratio was 75%, which implied normalised loss rate of ~13bp</t>
        </r>
      </text>
    </comment>
    <comment ref="CV1065" authorId="3" shapeId="0" xr:uid="{00C71522-31BA-4ED2-9DC4-C7C0D35FCB99}">
      <text>
        <r>
          <rPr>
            <b/>
            <sz val="9"/>
            <color indexed="81"/>
            <rFont val="Tahoma"/>
            <family val="2"/>
          </rPr>
          <t>Wiles, Richard (Research):</t>
        </r>
        <r>
          <rPr>
            <sz val="9"/>
            <color indexed="81"/>
            <rFont val="Tahoma"/>
            <family val="2"/>
          </rPr>
          <t xml:space="preserve">
~70% per 1H23 slide 30</t>
        </r>
      </text>
    </comment>
    <comment ref="CX1065" authorId="4" shapeId="0" xr:uid="{A81AF719-98CD-4D6A-A2BA-34D2234081FD}">
      <text>
        <r>
          <rPr>
            <b/>
            <sz val="9"/>
            <color indexed="81"/>
            <rFont val="Tahoma"/>
            <family val="2"/>
          </rPr>
          <t>Hong, Sally (Research):</t>
        </r>
        <r>
          <rPr>
            <sz val="9"/>
            <color indexed="81"/>
            <rFont val="Tahoma"/>
            <family val="2"/>
          </rPr>
          <t xml:space="preserve">
Footnote 1 Slide 34 FY23</t>
        </r>
      </text>
    </comment>
    <comment ref="DD1065" authorId="3" shapeId="0" xr:uid="{37D04846-C8B5-463D-B090-9ADCD743CBB9}">
      <text>
        <r>
          <rPr>
            <b/>
            <sz val="9"/>
            <color indexed="81"/>
            <rFont val="Tahoma"/>
            <family val="2"/>
          </rPr>
          <t>Wiles, Richard (Research):</t>
        </r>
        <r>
          <rPr>
            <sz val="9"/>
            <color indexed="81"/>
            <rFont val="Tahoma"/>
            <family val="2"/>
          </rPr>
          <t xml:space="preserve">
CFO said in result presentation: Normalizing for long run average loss rates. That represents an interim payout ratio of approximately 75%.</t>
        </r>
      </text>
    </comment>
    <comment ref="DH1065" authorId="4" shapeId="0" xr:uid="{149D83F2-F380-4502-810D-0DA2C28CA14C}">
      <text>
        <r>
          <rPr>
            <b/>
            <sz val="9"/>
            <color indexed="81"/>
            <rFont val="Tahoma"/>
            <family val="2"/>
          </rPr>
          <t>Hong, Sally (Research):</t>
        </r>
        <r>
          <rPr>
            <sz val="9"/>
            <color indexed="81"/>
            <rFont val="Tahoma"/>
            <family val="2"/>
          </rPr>
          <t xml:space="preserve">
Slide 34 FY25</t>
        </r>
      </text>
    </comment>
    <comment ref="BI1077" authorId="7" shapeId="0" xr:uid="{61EA16CE-A635-4EB6-8902-A7ADF6E83FF2}">
      <text>
        <r>
          <rPr>
            <b/>
            <sz val="8"/>
            <color indexed="81"/>
            <rFont val="Tahoma"/>
            <family val="2"/>
          </rPr>
          <t>Dunger:</t>
        </r>
        <r>
          <rPr>
            <sz val="8"/>
            <color indexed="81"/>
            <rFont val="Tahoma"/>
            <family val="2"/>
          </rPr>
          <t xml:space="preserve">
p25 of FY14 Annual report</t>
        </r>
      </text>
    </comment>
    <comment ref="BL1077" authorId="7" shapeId="0" xr:uid="{B45F3303-8E1A-4A63-9D4E-ED16457FF0DE}">
      <text>
        <r>
          <rPr>
            <b/>
            <sz val="8"/>
            <color indexed="81"/>
            <rFont val="Tahoma"/>
            <family val="2"/>
          </rPr>
          <t>Dunger:</t>
        </r>
        <r>
          <rPr>
            <sz val="8"/>
            <color indexed="81"/>
            <rFont val="Tahoma"/>
            <family val="2"/>
          </rPr>
          <t xml:space="preserve">
p25 of FY14 Annual report - 24% for '14 interim</t>
        </r>
      </text>
    </comment>
    <comment ref="BM1077" authorId="0" shapeId="0" xr:uid="{B666DDD3-30F6-4496-A0F0-D88845CA363E}">
      <text>
        <r>
          <rPr>
            <b/>
            <sz val="9"/>
            <color indexed="81"/>
            <rFont val="Tahoma"/>
            <family val="2"/>
          </rPr>
          <t>Dunger, Matt (Research):</t>
        </r>
        <r>
          <rPr>
            <sz val="9"/>
            <color indexed="81"/>
            <rFont val="Tahoma"/>
            <family val="2"/>
          </rPr>
          <t xml:space="preserve">
19.93% per 2 Oct</t>
        </r>
      </text>
    </comment>
    <comment ref="BX1077" authorId="8" shapeId="0" xr:uid="{BF55F8AC-571B-4B0B-BDE8-F487B0CFBD77}">
      <text>
        <r>
          <rPr>
            <b/>
            <sz val="9"/>
            <color indexed="81"/>
            <rFont val="Tahoma"/>
            <family val="2"/>
          </rPr>
          <t>Stadnik, Andrei (Research):</t>
        </r>
        <r>
          <rPr>
            <sz val="9"/>
            <color indexed="81"/>
            <rFont val="Tahoma"/>
            <family val="2"/>
          </rPr>
          <t xml:space="preserve">
should be 16.2%</t>
        </r>
      </text>
    </comment>
    <comment ref="BY1077" authorId="3" shapeId="0" xr:uid="{618DAB2D-FB0D-4591-BB72-CD6AF4F6A759}">
      <text>
        <r>
          <rPr>
            <b/>
            <sz val="9"/>
            <color indexed="81"/>
            <rFont val="Tahoma"/>
            <family val="2"/>
          </rPr>
          <t>Wiles, Richard (Research):</t>
        </r>
        <r>
          <rPr>
            <sz val="9"/>
            <color indexed="81"/>
            <rFont val="Tahoma"/>
            <family val="2"/>
          </rPr>
          <t xml:space="preserve">
announced 5/09/17 </t>
        </r>
      </text>
    </comment>
    <comment ref="CC1077" authorId="1" shapeId="0" xr:uid="{5568D66F-071F-437D-BAC7-B4704DF1B0FD}">
      <text>
        <r>
          <rPr>
            <b/>
            <sz val="9"/>
            <color indexed="81"/>
            <rFont val="Tahoma"/>
            <family val="2"/>
          </rPr>
          <t>O'Neill, Emilie (Research):</t>
        </r>
        <r>
          <rPr>
            <sz val="9"/>
            <color indexed="81"/>
            <rFont val="Tahoma"/>
            <family val="2"/>
          </rPr>
          <t xml:space="preserve">
18.42%</t>
        </r>
      </text>
    </comment>
    <comment ref="CF1077" authorId="1" shapeId="0" xr:uid="{81B2DACD-50AD-4803-B534-C40073D9D1C4}">
      <text>
        <r>
          <rPr>
            <b/>
            <sz val="9"/>
            <color indexed="81"/>
            <rFont val="Tahoma"/>
            <family val="2"/>
          </rPr>
          <t>O'Neill, Emilie (Research):</t>
        </r>
        <r>
          <rPr>
            <sz val="9"/>
            <color indexed="81"/>
            <rFont val="Tahoma"/>
            <family val="2"/>
          </rPr>
          <t xml:space="preserve">
16.72% as per announcement on 18th March 2019</t>
        </r>
      </text>
    </comment>
    <comment ref="CG1077" authorId="1" shapeId="0" xr:uid="{0DEC2755-DDE9-4ECC-9B3A-338294C6C595}">
      <text>
        <r>
          <rPr>
            <b/>
            <sz val="9"/>
            <color indexed="81"/>
            <rFont val="Tahoma"/>
            <family val="2"/>
          </rPr>
          <t>O'Neill, Emilie (Research):</t>
        </r>
        <r>
          <rPr>
            <sz val="9"/>
            <color indexed="81"/>
            <rFont val="Tahoma"/>
            <family val="2"/>
          </rPr>
          <t xml:space="preserve">
16.72% as per announcement on 18th March 2019</t>
        </r>
      </text>
    </comment>
    <comment ref="CJ1077" authorId="1" shapeId="0" xr:uid="{657F6644-C0D0-4882-898C-ECAACE5174E6}">
      <text>
        <r>
          <rPr>
            <b/>
            <sz val="9"/>
            <color indexed="81"/>
            <rFont val="Tahoma"/>
            <family val="2"/>
          </rPr>
          <t>O'Neill, Emilie (Research):</t>
        </r>
        <r>
          <rPr>
            <sz val="9"/>
            <color indexed="81"/>
            <rFont val="Tahoma"/>
            <family val="2"/>
          </rPr>
          <t xml:space="preserve">
16.72% as per announcement on 18th March 2019</t>
        </r>
      </text>
    </comment>
    <comment ref="CN1077" authorId="3" shapeId="0" xr:uid="{E3B77D60-8A0D-46E4-934B-9ABDA498A30A}">
      <text>
        <r>
          <rPr>
            <b/>
            <sz val="9"/>
            <color indexed="81"/>
            <rFont val="Tahoma"/>
            <family val="2"/>
          </rPr>
          <t>Wiles, Richard (Research):</t>
        </r>
        <r>
          <rPr>
            <sz val="9"/>
            <color indexed="81"/>
            <rFont val="Tahoma"/>
            <family val="2"/>
          </rPr>
          <t xml:space="preserve">
1H22 page 143: DRP participation was 16.1% for 2021 final and 15.7% for 2021 interim</t>
        </r>
      </text>
    </comment>
    <comment ref="CO1077" authorId="3" shapeId="0" xr:uid="{07908109-9084-4E32-8D89-05371ED4DA0A}">
      <text>
        <r>
          <rPr>
            <b/>
            <sz val="9"/>
            <color indexed="81"/>
            <rFont val="Tahoma"/>
            <family val="2"/>
          </rPr>
          <t>Wiles, Richard (Research):</t>
        </r>
        <r>
          <rPr>
            <sz val="9"/>
            <color indexed="81"/>
            <rFont val="Tahoma"/>
            <family val="2"/>
          </rPr>
          <t xml:space="preserve">
1H22 page 143: DRP participation was 16.1% for 2021 final and 15.7% for 2021 interim</t>
        </r>
      </text>
    </comment>
    <comment ref="CR1077" authorId="4" shapeId="0" xr:uid="{A51DF2B8-082A-46F2-87B6-B73D7C649EC3}">
      <text>
        <r>
          <rPr>
            <b/>
            <sz val="9"/>
            <color indexed="81"/>
            <rFont val="Tahoma"/>
            <family val="2"/>
          </rPr>
          <t>Hong, Sally (Research):</t>
        </r>
        <r>
          <rPr>
            <sz val="9"/>
            <color indexed="81"/>
            <rFont val="Tahoma"/>
            <family val="2"/>
          </rPr>
          <t xml:space="preserve">
Received from CBA IR (28/04/2022) - 16.75%</t>
        </r>
      </text>
    </comment>
    <comment ref="CS1077" authorId="4" shapeId="0" xr:uid="{A0FBEF1D-C9AC-4371-992C-8E4FE5F2253D}">
      <text>
        <r>
          <rPr>
            <b/>
            <sz val="9"/>
            <color indexed="81"/>
            <rFont val="Tahoma"/>
            <family val="2"/>
          </rPr>
          <t>Hong, Sally (Research):</t>
        </r>
        <r>
          <rPr>
            <sz val="9"/>
            <color indexed="81"/>
            <rFont val="Tahoma"/>
            <family val="2"/>
          </rPr>
          <t xml:space="preserve">
30/08/22 ASX announcmenet 16.7% DRP participation for 2022 final div</t>
        </r>
      </text>
    </comment>
    <comment ref="CV1077" authorId="4" shapeId="0" xr:uid="{96F0AF3B-D079-432A-A673-53C1C3A3441A}">
      <text>
        <r>
          <rPr>
            <b/>
            <sz val="9"/>
            <color indexed="81"/>
            <rFont val="Tahoma"/>
            <family val="2"/>
          </rPr>
          <t>Hong, Sally (Research):</t>
        </r>
        <r>
          <rPr>
            <sz val="9"/>
            <color indexed="81"/>
            <rFont val="Tahoma"/>
            <family val="2"/>
          </rPr>
          <t xml:space="preserve">
Dividend update 6/3/23: 16.8%</t>
        </r>
      </text>
    </comment>
    <comment ref="CW1077" authorId="4" shapeId="0" xr:uid="{A5C22253-E2AF-4B80-AB8F-5EB22B8265B2}">
      <text>
        <r>
          <rPr>
            <b/>
            <sz val="9"/>
            <color indexed="81"/>
            <rFont val="Tahoma"/>
            <family val="2"/>
          </rPr>
          <t>Hong, Sally (Research):</t>
        </r>
        <r>
          <rPr>
            <sz val="9"/>
            <color indexed="81"/>
            <rFont val="Tahoma"/>
            <family val="2"/>
          </rPr>
          <t xml:space="preserve">
Dividend Update 18/9/23:
18.1%</t>
        </r>
      </text>
    </comment>
    <comment ref="CZ1077" authorId="4" shapeId="0" xr:uid="{A043635E-14B5-4D3F-82E2-167A544D7B70}">
      <text>
        <r>
          <rPr>
            <b/>
            <sz val="9"/>
            <color indexed="81"/>
            <rFont val="Tahoma"/>
            <family val="2"/>
          </rPr>
          <t>Hong, Sally (Research):</t>
        </r>
        <r>
          <rPr>
            <sz val="9"/>
            <color indexed="81"/>
            <rFont val="Tahoma"/>
            <family val="2"/>
          </rPr>
          <t xml:space="preserve">
ASX 3A.1 25/3/24
DRP price = A$117.19
DRP Participation = 13.4%</t>
        </r>
      </text>
    </comment>
    <comment ref="DA1077" authorId="4" shapeId="0" xr:uid="{9C7F018B-7E2E-476C-A668-41A6A7D12C43}">
      <text>
        <r>
          <rPr>
            <b/>
            <sz val="9"/>
            <color indexed="81"/>
            <rFont val="Tahoma"/>
            <family val="2"/>
          </rPr>
          <t>Hong, Sally (Research):</t>
        </r>
        <r>
          <rPr>
            <sz val="9"/>
            <color indexed="81"/>
            <rFont val="Tahoma"/>
            <family val="2"/>
          </rPr>
          <t xml:space="preserve">
ASX announcement 23/9/24
DRP: 18.1% participation rate</t>
        </r>
      </text>
    </comment>
    <comment ref="DD1077" authorId="4" shapeId="0" xr:uid="{A8777E8E-ACF8-4E7D-AA66-BCF16A234D0B}">
      <text>
        <r>
          <rPr>
            <b/>
            <sz val="9"/>
            <color indexed="81"/>
            <rFont val="Tahoma"/>
            <family val="2"/>
          </rPr>
          <t>Hong, Sally (Research):</t>
        </r>
        <r>
          <rPr>
            <sz val="9"/>
            <color indexed="81"/>
            <rFont val="Tahoma"/>
            <family val="2"/>
          </rPr>
          <t xml:space="preserve">
ASX 3A.1 25/3/24
DRP price = A$117.19
DRP Participation = 13.4%</t>
        </r>
      </text>
    </comment>
    <comment ref="BL1078" authorId="7" shapeId="0" xr:uid="{AE16BD73-2D0C-4FAB-BACC-A78ACBC0BD06}">
      <text>
        <r>
          <rPr>
            <b/>
            <sz val="8"/>
            <color indexed="81"/>
            <rFont val="Tahoma"/>
            <family val="2"/>
          </rPr>
          <t>Dunger:</t>
        </r>
        <r>
          <rPr>
            <sz val="8"/>
            <color indexed="81"/>
            <rFont val="Tahoma"/>
            <family val="2"/>
          </rPr>
          <t xml:space="preserve">
Net of issue costs</t>
        </r>
      </text>
    </comment>
    <comment ref="CV1078" authorId="4" shapeId="0" xr:uid="{05958381-89B1-460E-922B-06E0C3EA28D8}">
      <text>
        <r>
          <rPr>
            <b/>
            <sz val="9"/>
            <color indexed="81"/>
            <rFont val="Tahoma"/>
            <family val="2"/>
          </rPr>
          <t>Hong, Sally (Research):
Page 112 of 1H23E 
4D:</t>
        </r>
        <r>
          <rPr>
            <sz val="9"/>
            <color indexed="81"/>
            <rFont val="Tahoma"/>
            <family val="2"/>
          </rPr>
          <t xml:space="preserve">
expect DRP for interim div to be satisfied in bull by an on-market purchase of shares of ~$600m
</t>
        </r>
      </text>
    </comment>
    <comment ref="CW1078" authorId="4" shapeId="0" xr:uid="{F0DC817E-B301-4FEC-8B73-5833DFBAC6BA}">
      <text>
        <r>
          <rPr>
            <b/>
            <sz val="9"/>
            <color indexed="81"/>
            <rFont val="Tahoma"/>
            <family val="2"/>
          </rPr>
          <t>Hong, Sally (Research):</t>
        </r>
        <r>
          <rPr>
            <sz val="9"/>
            <color indexed="81"/>
            <rFont val="Tahoma"/>
            <family val="2"/>
          </rPr>
          <t xml:space="preserve">
Page 96 1H24E</t>
        </r>
      </text>
    </comment>
    <comment ref="DD1078" authorId="4" shapeId="0" xr:uid="{4E5589BE-1A91-43DB-88FC-E186798A75F2}">
      <text>
        <r>
          <rPr>
            <b/>
            <sz val="9"/>
            <color indexed="81"/>
            <rFont val="Tahoma"/>
            <family val="2"/>
          </rPr>
          <t>Hong, Sally (Research):</t>
        </r>
        <r>
          <rPr>
            <sz val="9"/>
            <color indexed="81"/>
            <rFont val="Tahoma"/>
            <family val="2"/>
          </rPr>
          <t xml:space="preserve">
Page 95 FY25 4E</t>
        </r>
      </text>
    </comment>
    <comment ref="BD1079" authorId="6" shapeId="0" xr:uid="{D2EAB0F8-F8F0-4AD5-8AD1-79255FF2F67F}">
      <text>
        <r>
          <rPr>
            <b/>
            <sz val="8"/>
            <color indexed="81"/>
            <rFont val="Tahoma"/>
            <family val="2"/>
          </rPr>
          <t>richwile:</t>
        </r>
        <r>
          <rPr>
            <sz val="8"/>
            <color indexed="81"/>
            <rFont val="Tahoma"/>
            <family val="2"/>
          </rPr>
          <t xml:space="preserve">
Refer p128 of FY13 annual report</t>
        </r>
      </text>
    </comment>
    <comment ref="BE1079" authorId="6" shapeId="0" xr:uid="{A3C508E0-5FDA-46A1-8414-E90270689DD3}">
      <text>
        <r>
          <rPr>
            <b/>
            <sz val="8"/>
            <color indexed="81"/>
            <rFont val="Tahoma"/>
            <family val="2"/>
          </rPr>
          <t>richwile:</t>
        </r>
        <r>
          <rPr>
            <sz val="8"/>
            <color indexed="81"/>
            <rFont val="Tahoma"/>
            <family val="2"/>
          </rPr>
          <t xml:space="preserve">
Refer p128 of FY13 annual report</t>
        </r>
      </text>
    </comment>
    <comment ref="BH1079" authorId="6" shapeId="0" xr:uid="{C6D35505-5E38-469B-A661-E7DFC8EE435A}">
      <text>
        <r>
          <rPr>
            <b/>
            <sz val="8"/>
            <color indexed="81"/>
            <rFont val="Tahoma"/>
            <family val="2"/>
          </rPr>
          <t>richwile:</t>
        </r>
        <r>
          <rPr>
            <sz val="8"/>
            <color indexed="81"/>
            <rFont val="Tahoma"/>
            <family val="2"/>
          </rPr>
          <t xml:space="preserve">
Refer p128 of FY13 annual report</t>
        </r>
      </text>
    </comment>
    <comment ref="BM1079" authorId="7" shapeId="0" xr:uid="{14027EF7-F414-425B-B06B-CCD75DE0F97D}">
      <text>
        <r>
          <rPr>
            <b/>
            <sz val="8"/>
            <color indexed="81"/>
            <rFont val="Tahoma"/>
            <family val="2"/>
          </rPr>
          <t>Dunger:</t>
        </r>
        <r>
          <rPr>
            <sz val="8"/>
            <color indexed="81"/>
            <rFont val="Tahoma"/>
            <family val="2"/>
          </rPr>
          <t xml:space="preserve">
Share price $81.40 at 18/8/14 close (19/8/14 is ex-date)</t>
        </r>
      </text>
    </comment>
    <comment ref="BP1079" authorId="0" shapeId="0" xr:uid="{4A64D833-8174-44F5-8A09-E83F84C83067}">
      <text>
        <r>
          <rPr>
            <b/>
            <sz val="9"/>
            <color indexed="81"/>
            <rFont val="Tahoma"/>
            <family val="2"/>
          </rPr>
          <t>Dunger, Matt (Research):</t>
        </r>
        <r>
          <rPr>
            <sz val="9"/>
            <color indexed="81"/>
            <rFont val="Tahoma"/>
            <family val="2"/>
          </rPr>
          <t xml:space="preserve">
Announced March 9</t>
        </r>
      </text>
    </comment>
    <comment ref="BQ1079" authorId="0" shapeId="0" xr:uid="{AF558F0F-7DFB-4DCE-A121-763BF5FEBDC7}">
      <text>
        <r>
          <rPr>
            <b/>
            <sz val="9"/>
            <color indexed="81"/>
            <rFont val="Tahoma"/>
            <family val="2"/>
          </rPr>
          <t>Dunger, Matt (Research):</t>
        </r>
        <r>
          <rPr>
            <sz val="9"/>
            <color indexed="81"/>
            <rFont val="Tahoma"/>
            <family val="2"/>
          </rPr>
          <t xml:space="preserve">
announced 1 Oct</t>
        </r>
      </text>
    </comment>
    <comment ref="BU1079" authorId="0" shapeId="0" xr:uid="{D7DA1860-48CD-43E2-BBC7-EEA136B6ED8F}">
      <text>
        <r>
          <rPr>
            <b/>
            <sz val="9"/>
            <color indexed="81"/>
            <rFont val="Tahoma"/>
            <family val="2"/>
          </rPr>
          <t>Dunger, Matt (Research):</t>
        </r>
        <r>
          <rPr>
            <sz val="9"/>
            <color indexed="81"/>
            <rFont val="Tahoma"/>
            <family val="2"/>
          </rPr>
          <t xml:space="preserve">
announced 1 Oct</t>
        </r>
      </text>
    </comment>
    <comment ref="BX1079" authorId="8" shapeId="0" xr:uid="{A13A79B0-21CA-41F9-8C0D-D9E1E88D0A63}">
      <text>
        <r>
          <rPr>
            <b/>
            <sz val="9"/>
            <color indexed="81"/>
            <rFont val="Tahoma"/>
            <family val="2"/>
          </rPr>
          <t>Stadnik, Andrei (Research):</t>
        </r>
        <r>
          <rPr>
            <sz val="9"/>
            <color indexed="81"/>
            <rFont val="Tahoma"/>
            <family val="2"/>
          </rPr>
          <t xml:space="preserve">
83.21 announced Apr-17</t>
        </r>
      </text>
    </comment>
    <comment ref="BY1079" authorId="8" shapeId="0" xr:uid="{3D16ACCA-1CA8-4DB7-9FE0-154322B4B5EF}">
      <text>
        <r>
          <rPr>
            <b/>
            <sz val="9"/>
            <color indexed="81"/>
            <rFont val="Tahoma"/>
            <family val="2"/>
          </rPr>
          <t>Stadnik, Andrei (Research):</t>
        </r>
        <r>
          <rPr>
            <sz val="9"/>
            <color indexed="81"/>
            <rFont val="Tahoma"/>
            <family val="2"/>
          </rPr>
          <t xml:space="preserve">
incl 1.5% discount</t>
        </r>
      </text>
    </comment>
    <comment ref="CC1079" authorId="1" shapeId="0" xr:uid="{2DD4BFA1-8049-41F4-A639-41F2424DA50A}">
      <text>
        <r>
          <rPr>
            <b/>
            <sz val="9"/>
            <color indexed="81"/>
            <rFont val="Tahoma"/>
            <family val="2"/>
          </rPr>
          <t>O'Neill, Emilie (Research):</t>
        </r>
        <r>
          <rPr>
            <sz val="9"/>
            <color indexed="81"/>
            <rFont val="Tahoma"/>
            <family val="2"/>
          </rPr>
          <t xml:space="preserve">
2H18 result: No discount will be applied</t>
        </r>
      </text>
    </comment>
    <comment ref="CF1079" authorId="1" shapeId="0" xr:uid="{D961739C-0F42-44AC-87FE-4B5C6DBC8003}">
      <text>
        <r>
          <rPr>
            <b/>
            <sz val="9"/>
            <color indexed="81"/>
            <rFont val="Tahoma"/>
            <family val="2"/>
          </rPr>
          <t>O'Neill, Emilie (Research):</t>
        </r>
        <r>
          <rPr>
            <sz val="9"/>
            <color indexed="81"/>
            <rFont val="Tahoma"/>
            <family val="2"/>
          </rPr>
          <t xml:space="preserve">
As per announcement on 18th March 2019</t>
        </r>
      </text>
    </comment>
    <comment ref="CJ1079" authorId="3" shapeId="0" xr:uid="{9BD0236E-CDFD-4D8B-8AD8-77BB4101423E}">
      <text>
        <r>
          <rPr>
            <b/>
            <sz val="9"/>
            <color indexed="81"/>
            <rFont val="Tahoma"/>
            <family val="2"/>
          </rPr>
          <t>Wiles, Richard (Research):</t>
        </r>
        <r>
          <rPr>
            <sz val="9"/>
            <color indexed="81"/>
            <rFont val="Tahoma"/>
            <family val="2"/>
          </rPr>
          <t xml:space="preserve">
The average of the daily volume weighted average market price  during the 20 trading days commencing on 24 February 2020 and ending on 20 March 2020, with no discount.</t>
        </r>
      </text>
    </comment>
    <comment ref="CK1079" authorId="2" shapeId="0" xr:uid="{2D42F060-7C42-489A-B8FE-05589AB528FA}">
      <text>
        <r>
          <rPr>
            <b/>
            <sz val="9"/>
            <color indexed="81"/>
            <rFont val="Tahoma"/>
            <family val="2"/>
          </rPr>
          <t>Fernandes, Sona F (Research):</t>
        </r>
        <r>
          <rPr>
            <sz val="9"/>
            <color indexed="81"/>
            <rFont val="Tahoma"/>
            <family val="2"/>
          </rPr>
          <t xml:space="preserve">
See ASX announcement 7/9/2020</t>
        </r>
      </text>
    </comment>
    <comment ref="CN1079" authorId="2" shapeId="0" xr:uid="{8D384691-C635-4A61-A05E-0B96C88FCC37}">
      <text>
        <r>
          <rPr>
            <b/>
            <sz val="9"/>
            <color indexed="81"/>
            <rFont val="Tahoma"/>
            <family val="2"/>
          </rPr>
          <t>Fernandes, Sona F (Research):</t>
        </r>
        <r>
          <rPr>
            <sz val="9"/>
            <color indexed="81"/>
            <rFont val="Tahoma"/>
            <family val="2"/>
          </rPr>
          <t xml:space="preserve">
See ASX announcement 19/3/2020</t>
        </r>
      </text>
    </comment>
    <comment ref="CO1079" authorId="3" shapeId="0" xr:uid="{5D22B0FD-D05E-4DDE-910B-28629EC5A8C2}">
      <text>
        <r>
          <rPr>
            <b/>
            <sz val="9"/>
            <color indexed="81"/>
            <rFont val="Tahoma"/>
            <family val="2"/>
          </rPr>
          <t>Wiles, Richard (Research):</t>
        </r>
        <r>
          <rPr>
            <sz val="9"/>
            <color indexed="81"/>
            <rFont val="Tahoma"/>
            <family val="2"/>
          </rPr>
          <t xml:space="preserve">
17/09/2021 ASX announcement</t>
        </r>
      </text>
    </comment>
    <comment ref="CR1079" authorId="4" shapeId="0" xr:uid="{FFEB6ACB-B70C-4C40-BDBE-39C41318E1B1}">
      <text>
        <r>
          <rPr>
            <b/>
            <sz val="9"/>
            <color indexed="81"/>
            <rFont val="Tahoma"/>
            <family val="2"/>
          </rPr>
          <t>Hong, Sally (Research):</t>
        </r>
        <r>
          <rPr>
            <sz val="9"/>
            <color indexed="81"/>
            <rFont val="Tahoma"/>
            <family val="2"/>
          </rPr>
          <t xml:space="preserve">
https://cdn-api.markitdigital.com/apiman-gateway/ASX/asx-research/1.0/file/2924-02501190-2A1364028?access_token=83ff96335c2d45a094df02a206a39ff4</t>
        </r>
      </text>
    </comment>
    <comment ref="CS1079" authorId="4" shapeId="0" xr:uid="{C142CE4E-6C32-491B-A47B-FBD569D7BC5E}">
      <text>
        <r>
          <rPr>
            <b/>
            <sz val="9"/>
            <color indexed="81"/>
            <rFont val="Tahoma"/>
            <family val="2"/>
          </rPr>
          <t>Hong, Sally (Research):</t>
        </r>
        <r>
          <rPr>
            <sz val="9"/>
            <color indexed="81"/>
            <rFont val="Tahoma"/>
            <family val="2"/>
          </rPr>
          <t xml:space="preserve">
ASX annoucement 19/9/22 - A$96.44</t>
        </r>
      </text>
    </comment>
    <comment ref="CV1079" authorId="4" shapeId="0" xr:uid="{7540BCCF-3347-44B5-96D7-7CE28CAEEDA6}">
      <text>
        <r>
          <rPr>
            <b/>
            <sz val="9"/>
            <color indexed="81"/>
            <rFont val="Tahoma"/>
            <family val="2"/>
          </rPr>
          <t>Hong, Sally (Research):</t>
        </r>
        <r>
          <rPr>
            <sz val="9"/>
            <color indexed="81"/>
            <rFont val="Tahoma"/>
            <family val="2"/>
          </rPr>
          <t xml:space="preserve">
Actual DRP price </t>
        </r>
      </text>
    </comment>
    <comment ref="CW1079" authorId="4" shapeId="0" xr:uid="{C567DAF5-879E-458B-B6D7-746CBDB87CE1}">
      <text>
        <r>
          <rPr>
            <b/>
            <sz val="9"/>
            <color indexed="81"/>
            <rFont val="Tahoma"/>
            <family val="2"/>
          </rPr>
          <t>Hong, Sally (Research):</t>
        </r>
        <r>
          <rPr>
            <sz val="9"/>
            <color indexed="81"/>
            <rFont val="Tahoma"/>
            <family val="2"/>
          </rPr>
          <t xml:space="preserve">
Dividend Update 18/9/23:
$101.10 DRP</t>
        </r>
      </text>
    </comment>
    <comment ref="CZ1079" authorId="4" shapeId="0" xr:uid="{D4AB5DCA-1C5A-46AC-8B17-73337DEAB17F}">
      <text>
        <r>
          <rPr>
            <b/>
            <sz val="9"/>
            <color indexed="81"/>
            <rFont val="Tahoma"/>
            <family val="2"/>
          </rPr>
          <t>Hong, Sally (Research):</t>
        </r>
        <r>
          <rPr>
            <sz val="9"/>
            <color indexed="81"/>
            <rFont val="Tahoma"/>
            <family val="2"/>
          </rPr>
          <t xml:space="preserve">
ASX 3A.1 25/3/24
DRP price = A$117.19
DRP Participation = 13.4%</t>
        </r>
      </text>
    </comment>
    <comment ref="DA1079" authorId="4" shapeId="0" xr:uid="{940324B4-7F5C-4C05-8C3F-D7AC76011F16}">
      <text>
        <r>
          <rPr>
            <b/>
            <sz val="9"/>
            <color indexed="81"/>
            <rFont val="Tahoma"/>
            <family val="2"/>
          </rPr>
          <t>Hong, Sally (Research):</t>
        </r>
        <r>
          <rPr>
            <sz val="9"/>
            <color indexed="81"/>
            <rFont val="Tahoma"/>
            <family val="2"/>
          </rPr>
          <t xml:space="preserve">
ASX announcement 23/9/24
DRP: A$141.50</t>
        </r>
      </text>
    </comment>
    <comment ref="DD1079" authorId="4" shapeId="0" xr:uid="{1D0811FD-4DDB-42A7-8EE8-6A970673DE43}">
      <text>
        <r>
          <rPr>
            <b/>
            <sz val="9"/>
            <color indexed="81"/>
            <rFont val="Tahoma"/>
            <family val="2"/>
          </rPr>
          <t>Hong, Sally (Research):</t>
        </r>
        <r>
          <rPr>
            <sz val="9"/>
            <color indexed="81"/>
            <rFont val="Tahoma"/>
            <family val="2"/>
          </rPr>
          <t xml:space="preserve">
ASX 3A.1
 24/3/25
DRP price = A$148.89
DRP Participation = 18.1%</t>
        </r>
      </text>
    </comment>
    <comment ref="DE1079" authorId="4" shapeId="0" xr:uid="{B5C285FF-3465-4929-944B-699E13C95465}">
      <text>
        <r>
          <rPr>
            <b/>
            <sz val="9"/>
            <color indexed="81"/>
            <rFont val="Tahoma"/>
            <family val="2"/>
          </rPr>
          <t>Hong, Sally (Research):</t>
        </r>
        <r>
          <rPr>
            <sz val="9"/>
            <color indexed="81"/>
            <rFont val="Tahoma"/>
            <family val="2"/>
          </rPr>
          <t xml:space="preserve">
ASX 23/9/25
</t>
        </r>
      </text>
    </comment>
    <comment ref="DH1079" authorId="4" shapeId="0" xr:uid="{C18B8591-72C2-4458-9520-B8AB31151042}">
      <text>
        <r>
          <rPr>
            <b/>
            <sz val="9"/>
            <color indexed="81"/>
            <rFont val="Tahoma"/>
            <family val="2"/>
          </rPr>
          <t>Hong, Sally (Research):</t>
        </r>
        <r>
          <rPr>
            <sz val="9"/>
            <color indexed="81"/>
            <rFont val="Tahoma"/>
            <family val="2"/>
          </rPr>
          <t xml:space="preserve">
Market close 11/2/26</t>
        </r>
      </text>
    </comment>
    <comment ref="BX1080" authorId="8" shapeId="0" xr:uid="{4C5C6E13-DF40-408F-B757-ED4A23C81AC6}">
      <text>
        <r>
          <rPr>
            <b/>
            <sz val="9"/>
            <color indexed="81"/>
            <rFont val="Tahoma"/>
            <family val="2"/>
          </rPr>
          <t>Stadnik, Andrei (Research):</t>
        </r>
        <r>
          <rPr>
            <sz val="9"/>
            <color indexed="81"/>
            <rFont val="Tahoma"/>
            <family val="2"/>
          </rPr>
          <t xml:space="preserve">
6.689652 announced Apr-17</t>
        </r>
      </text>
    </comment>
    <comment ref="CC1080" authorId="1" shapeId="0" xr:uid="{249A1922-760B-4CD8-AD5C-1261605385FA}">
      <text>
        <r>
          <rPr>
            <b/>
            <sz val="9"/>
            <color indexed="81"/>
            <rFont val="Tahoma"/>
            <family val="2"/>
          </rPr>
          <t>O'Neill, Emilie (Research):</t>
        </r>
        <r>
          <rPr>
            <sz val="9"/>
            <color indexed="81"/>
            <rFont val="Tahoma"/>
            <family val="2"/>
          </rPr>
          <t xml:space="preserve">
Estimate to get correct DRP participation of 18.4%</t>
        </r>
      </text>
    </comment>
    <comment ref="CF1080" authorId="1" shapeId="0" xr:uid="{F651E7C0-6063-49CB-AD7C-84C9B2DA1264}">
      <text>
        <r>
          <rPr>
            <b/>
            <sz val="9"/>
            <color indexed="81"/>
            <rFont val="Tahoma"/>
            <family val="2"/>
          </rPr>
          <t>O'Neill, Emilie (Research):</t>
        </r>
        <r>
          <rPr>
            <sz val="9"/>
            <color indexed="81"/>
            <rFont val="Tahoma"/>
            <family val="2"/>
          </rPr>
          <t xml:space="preserve">
Estimated to get 16.72% DRP participation as per ASX announcement on 18/03/19</t>
        </r>
      </text>
    </comment>
    <comment ref="CK1080" authorId="2" shapeId="0" xr:uid="{C4FB3585-D05F-4859-B1D7-012176498D36}">
      <text>
        <r>
          <rPr>
            <b/>
            <sz val="9"/>
            <color indexed="81"/>
            <rFont val="Tahoma"/>
            <family val="2"/>
          </rPr>
          <t>Fernandes, Sona F (Research):</t>
        </r>
        <r>
          <rPr>
            <sz val="9"/>
            <color indexed="81"/>
            <rFont val="Tahoma"/>
            <family val="2"/>
          </rPr>
          <t xml:space="preserve">
Per Appendix 2A on 2/10/2020</t>
        </r>
      </text>
    </comment>
    <comment ref="DA1081" authorId="4" shapeId="0" xr:uid="{C5471F82-00A6-4A87-8CFF-0EF6DB0BD3C4}">
      <text>
        <r>
          <rPr>
            <b/>
            <sz val="9"/>
            <color indexed="81"/>
            <rFont val="Tahoma"/>
            <family val="2"/>
          </rPr>
          <t>Hong, Sally (Research):</t>
        </r>
        <r>
          <rPr>
            <sz val="9"/>
            <color indexed="81"/>
            <rFont val="Tahoma"/>
            <family val="2"/>
          </rPr>
          <t xml:space="preserve">
FY24 4E Page 31 - Satsify by on-market pruchase</t>
        </r>
      </text>
    </comment>
    <comment ref="DD1081" authorId="4" shapeId="0" xr:uid="{293A72AA-06B6-40AC-BFA6-DF51DB2798A4}">
      <text>
        <r>
          <rPr>
            <b/>
            <sz val="9"/>
            <color indexed="81"/>
            <rFont val="Tahoma"/>
            <family val="2"/>
          </rPr>
          <t>Hong, Sally (Research):</t>
        </r>
        <r>
          <rPr>
            <sz val="9"/>
            <color indexed="81"/>
            <rFont val="Tahoma"/>
            <family val="2"/>
          </rPr>
          <t xml:space="preserve">
Page I FY25 4E
DRP to be satsified through on-market purchase of shares
</t>
        </r>
      </text>
    </comment>
    <comment ref="BQ1093" authorId="0" shapeId="0" xr:uid="{9B898C6D-2D4E-4477-B3E1-3938174359E2}">
      <text>
        <r>
          <rPr>
            <b/>
            <sz val="9"/>
            <color indexed="81"/>
            <rFont val="Tahoma"/>
            <family val="2"/>
          </rPr>
          <t>Dunger, Matt (Research):</t>
        </r>
        <r>
          <rPr>
            <sz val="9"/>
            <color indexed="81"/>
            <rFont val="Tahoma"/>
            <family val="2"/>
          </rPr>
          <t xml:space="preserve">
A$5bn rights issue</t>
        </r>
      </text>
    </comment>
    <comment ref="BQ1095" authorId="0" shapeId="0" xr:uid="{1E0ED348-E0A8-4165-B05E-5B57881B41A4}">
      <text>
        <r>
          <rPr>
            <b/>
            <sz val="9"/>
            <color indexed="81"/>
            <rFont val="Tahoma"/>
            <family val="2"/>
          </rPr>
          <t>Dunger, Matt (Research):</t>
        </r>
        <r>
          <rPr>
            <sz val="9"/>
            <color indexed="81"/>
            <rFont val="Tahoma"/>
            <family val="2"/>
          </rPr>
          <t xml:space="preserve">
ASX announcement 18 Sept</t>
        </r>
      </text>
    </comment>
    <comment ref="DD1098" authorId="3" shapeId="0" xr:uid="{ABFEC6B7-C640-4B4A-9473-E1F7D5CEBE57}">
      <text>
        <r>
          <rPr>
            <b/>
            <sz val="9"/>
            <color indexed="81"/>
            <rFont val="Tahoma"/>
            <family val="2"/>
          </rPr>
          <t>Wiles, Richard (Research):</t>
        </r>
        <r>
          <rPr>
            <sz val="9"/>
            <color indexed="81"/>
            <rFont val="Tahoma"/>
            <family val="2"/>
          </rPr>
          <t xml:space="preserve">
Target CET1 ratio under new APRA framework is &gt;11% ex dividend, which implies &gt;11.75% - 11.80% pre dividend … assume buybcak trigger is ~12.0% (MSe)</t>
        </r>
      </text>
    </comment>
    <comment ref="DE1098" authorId="3" shapeId="0" xr:uid="{5EB452B7-EC60-4646-84E2-CC047D165E2F}">
      <text>
        <r>
          <rPr>
            <b/>
            <sz val="9"/>
            <color indexed="81"/>
            <rFont val="Tahoma"/>
            <family val="2"/>
          </rPr>
          <t>Wiles, Richard (Research):</t>
        </r>
        <r>
          <rPr>
            <sz val="9"/>
            <color indexed="81"/>
            <rFont val="Tahoma"/>
            <family val="2"/>
          </rPr>
          <t xml:space="preserve">
Target CET1 ratio under new APRA framework is &gt;11% ex dividend, which implies &gt;11.75% - 11.80% pre dividend … assume buybcak trigger is ~12.0% (MSe)</t>
        </r>
      </text>
    </comment>
    <comment ref="DH1098" authorId="3" shapeId="0" xr:uid="{999B9013-0617-482A-8DB3-B0A10DF8CD9F}">
      <text>
        <r>
          <rPr>
            <b/>
            <sz val="9"/>
            <color indexed="81"/>
            <rFont val="Tahoma"/>
            <family val="2"/>
          </rPr>
          <t>Wiles, Richard (Research):</t>
        </r>
        <r>
          <rPr>
            <sz val="9"/>
            <color indexed="81"/>
            <rFont val="Tahoma"/>
            <family val="2"/>
          </rPr>
          <t xml:space="preserve">
Assume Target operating ratio of 11.0-11.5%
 is increased to 11.25-11.75% post AT1 changes 
</t>
        </r>
        <r>
          <rPr>
            <b/>
            <sz val="9"/>
            <color indexed="81"/>
            <rFont val="Tahoma"/>
            <family val="2"/>
          </rPr>
          <t>Previous</t>
        </r>
        <r>
          <rPr>
            <sz val="9"/>
            <color indexed="81"/>
            <rFont val="Tahoma"/>
            <family val="2"/>
          </rPr>
          <t xml:space="preserve">
Target CET1 ratio under new APRA framework is &gt;11% ex dividend, which implies &gt;11.75% - 11.80% pre dividend … assume buybcak trigger is ~12.25-12.50% (MSe)</t>
        </r>
      </text>
    </comment>
    <comment ref="DI1098" authorId="3" shapeId="0" xr:uid="{EF471B80-ABB9-4F52-8A4D-6EF8174C2441}">
      <text>
        <r>
          <rPr>
            <b/>
            <sz val="9"/>
            <color indexed="81"/>
            <rFont val="Tahoma"/>
            <family val="2"/>
          </rPr>
          <t>Wiles, Richard (Research):</t>
        </r>
        <r>
          <rPr>
            <sz val="9"/>
            <color indexed="81"/>
            <rFont val="Tahoma"/>
            <family val="2"/>
          </rPr>
          <t xml:space="preserve">
Target CET1 ratio under new APRA framework is &gt;11% ex dividend, which implies &gt;11.75% - 11.80% pre dividend … assume buybcak trigger is ~12.0% (MSe)</t>
        </r>
      </text>
    </comment>
    <comment ref="DL1098" authorId="3" shapeId="0" xr:uid="{F508E182-0C8C-411C-8C6D-E2D09C1A356F}">
      <text>
        <r>
          <rPr>
            <b/>
            <sz val="9"/>
            <color indexed="81"/>
            <rFont val="Tahoma"/>
            <family val="2"/>
          </rPr>
          <t>Wiles, Richard (Research):</t>
        </r>
        <r>
          <rPr>
            <sz val="9"/>
            <color indexed="81"/>
            <rFont val="Tahoma"/>
            <family val="2"/>
          </rPr>
          <t xml:space="preserve">
Assume Target operating ratio of 11.0-11.5%
 is increased to 11.25-11.75% post AT1 changes 
</t>
        </r>
        <r>
          <rPr>
            <b/>
            <sz val="9"/>
            <color indexed="81"/>
            <rFont val="Tahoma"/>
            <family val="2"/>
          </rPr>
          <t>Previous</t>
        </r>
        <r>
          <rPr>
            <sz val="9"/>
            <color indexed="81"/>
            <rFont val="Tahoma"/>
            <family val="2"/>
          </rPr>
          <t xml:space="preserve">
Target CET1 ratio under new APRA framework is &gt;11% ex dividend, which implies &gt;11.75% - 11.80% pre dividend … assume buybcak trigger is ~12.25-12.50% (MSe)</t>
        </r>
      </text>
    </comment>
    <comment ref="DP1098" authorId="3" shapeId="0" xr:uid="{47AB57DC-1CFB-4D14-8C2B-03EFB4058DE5}">
      <text>
        <r>
          <rPr>
            <b/>
            <sz val="9"/>
            <color indexed="81"/>
            <rFont val="Tahoma"/>
            <family val="2"/>
          </rPr>
          <t>Wiles, Richard (Research):</t>
        </r>
        <r>
          <rPr>
            <sz val="9"/>
            <color indexed="81"/>
            <rFont val="Tahoma"/>
            <family val="2"/>
          </rPr>
          <t xml:space="preserve">
Assume Target operating ratio of 11.0-11.5%
 is increased to 11.25-11.75% post AT1 changes 
</t>
        </r>
        <r>
          <rPr>
            <b/>
            <sz val="9"/>
            <color indexed="81"/>
            <rFont val="Tahoma"/>
            <family val="2"/>
          </rPr>
          <t>Previous</t>
        </r>
        <r>
          <rPr>
            <sz val="9"/>
            <color indexed="81"/>
            <rFont val="Tahoma"/>
            <family val="2"/>
          </rPr>
          <t xml:space="preserve">
Target CET1 ratio under new APRA framework is &gt;11% ex dividend, which implies &gt;11.75% - 11.80% pre dividend … assume buybcak trigger is ~12.25-12.50% (MSe)</t>
        </r>
      </text>
    </comment>
    <comment ref="DD1101" authorId="4" shapeId="0" xr:uid="{EE55DCFB-A7B3-41E1-9445-15484FBFFA3B}">
      <text>
        <r>
          <rPr>
            <b/>
            <sz val="9"/>
            <color indexed="81"/>
            <rFont val="Tahoma"/>
            <family val="2"/>
          </rPr>
          <t>Hong, Sally (Research):</t>
        </r>
        <r>
          <rPr>
            <sz val="9"/>
            <color indexed="81"/>
            <rFont val="Tahoma"/>
            <family val="2"/>
          </rPr>
          <t xml:space="preserve">
Assume another A$1bn buyback announced at 1H25 result .. Executed over 2H25 and 1H26
Target &gt;11% post Dividend from 1 Jan 2023 (Slide 29 of 1H23 Results Presentation) … implies &gt;11.75% pre dividend</t>
        </r>
      </text>
    </comment>
    <comment ref="DI1101" authorId="4" shapeId="0" xr:uid="{6D767089-223D-4161-93F7-B75848A218DB}">
      <text>
        <r>
          <rPr>
            <b/>
            <sz val="9"/>
            <color indexed="81"/>
            <rFont val="Tahoma"/>
            <family val="2"/>
          </rPr>
          <t>Hong, Sally (Research):</t>
        </r>
        <r>
          <rPr>
            <sz val="9"/>
            <color indexed="81"/>
            <rFont val="Tahoma"/>
            <family val="2"/>
          </rPr>
          <t xml:space="preserve">
</t>
        </r>
        <r>
          <rPr>
            <b/>
            <sz val="9"/>
            <color indexed="81"/>
            <rFont val="Tahoma"/>
            <family val="2"/>
          </rPr>
          <t>Previous</t>
        </r>
        <r>
          <rPr>
            <sz val="9"/>
            <color indexed="81"/>
            <rFont val="Tahoma"/>
            <family val="2"/>
          </rPr>
          <t xml:space="preserve">
Assume another A$1bn buyback announced at 2H26 result .. Executed over FY27
Target &gt;11% post Dividend from 1 Jan 2023 (Slide 29 of 1H23 Results Presentation) … implies &gt;11.75% pre dividend</t>
        </r>
      </text>
    </comment>
    <comment ref="CR1102" authorId="3" shapeId="0" xr:uid="{9A778CE5-088C-4AB8-B727-23AAD26B6163}">
      <text>
        <r>
          <rPr>
            <b/>
            <sz val="9"/>
            <color indexed="81"/>
            <rFont val="Tahoma"/>
            <family val="2"/>
          </rPr>
          <t>Wiles, Richard (Research):</t>
        </r>
        <r>
          <rPr>
            <sz val="9"/>
            <color indexed="81"/>
            <rFont val="Tahoma"/>
            <family val="2"/>
          </rPr>
          <t xml:space="preserve">
$468m @ $96.42 per share up to June 2022 
Announced A$2bn on-market buyback at 1H22 result; A$1.5bn completed by end of FY22 and residual A$500m by end of 1H23</t>
        </r>
      </text>
    </comment>
    <comment ref="CS1102" authorId="3" shapeId="0" xr:uid="{D0725C88-00CC-4DFF-B12E-29F58A019F93}">
      <text>
        <r>
          <rPr>
            <b/>
            <sz val="9"/>
            <color indexed="81"/>
            <rFont val="Tahoma"/>
            <family val="2"/>
          </rPr>
          <t xml:space="preserve">Wiles, Richard (Research):
1Q23 trading update:
</t>
        </r>
        <r>
          <rPr>
            <sz val="9"/>
            <color indexed="81"/>
            <rFont val="Tahoma"/>
            <family val="2"/>
          </rPr>
          <t>As at 14 Nov 2022, have compelted $1.5bn… expect $2bn buyback to complete by Dec-23 (1H23)</t>
        </r>
        <r>
          <rPr>
            <b/>
            <sz val="9"/>
            <color indexed="81"/>
            <rFont val="Tahoma"/>
            <family val="2"/>
          </rPr>
          <t xml:space="preserve">
</t>
        </r>
        <r>
          <rPr>
            <sz val="9"/>
            <color indexed="81"/>
            <rFont val="Tahoma"/>
            <family val="2"/>
          </rPr>
          <t xml:space="preserve">
Announced A$2bn on-market buyback at 1H22 result; A$1.5bn completed by end of FY22 and residual A$500m by end of 1H23
</t>
        </r>
      </text>
    </comment>
    <comment ref="CV1102" authorId="4" shapeId="0" xr:uid="{79E3F8B8-01DF-4E8D-8613-E78D25C9F99F}">
      <text>
        <r>
          <rPr>
            <b/>
            <sz val="9"/>
            <color indexed="81"/>
            <rFont val="Tahoma"/>
            <family val="2"/>
          </rPr>
          <t>Hong, Sally (Research):</t>
        </r>
        <r>
          <rPr>
            <sz val="9"/>
            <color indexed="81"/>
            <rFont val="Tahoma"/>
            <family val="2"/>
          </rPr>
          <t xml:space="preserve">
As at Dec-22, completed $1798 of $2000m buyback.
Announced an increase of $1bn buyback on 15/02/2023 1H23 Results</t>
        </r>
      </text>
    </comment>
    <comment ref="CW1102" authorId="4" shapeId="0" xr:uid="{53B97771-8615-4EBE-8599-9CC3BE128AB4}">
      <text>
        <r>
          <rPr>
            <b/>
            <sz val="9"/>
            <color indexed="81"/>
            <rFont val="Tahoma"/>
            <family val="2"/>
          </rPr>
          <t>Hong, Sally (Research):</t>
        </r>
        <r>
          <rPr>
            <sz val="9"/>
            <color indexed="81"/>
            <rFont val="Tahoma"/>
            <family val="2"/>
          </rPr>
          <t xml:space="preserve">
Announced another 1bn buyback on 9/8/23 (FY23 Results). But only bought back A$154m by end of Dec-23. Expect remaining A$846m to complete by Jun-24 (2H24).</t>
        </r>
      </text>
    </comment>
    <comment ref="CZ1102" authorId="4" shapeId="0" xr:uid="{70B7ABF5-AE2B-4FA7-91C2-BDB0D94185BB}">
      <text>
        <r>
          <rPr>
            <b/>
            <sz val="9"/>
            <color indexed="81"/>
            <rFont val="Tahoma"/>
            <family val="2"/>
          </rPr>
          <t>Hong, Sally (Research):</t>
        </r>
        <r>
          <rPr>
            <sz val="9"/>
            <color indexed="81"/>
            <rFont val="Tahoma"/>
            <family val="2"/>
          </rPr>
          <t xml:space="preserve">
Announced another 1bn buyback on 9/8/23 (FY23 Results). But only bought back A$154m by end of Dec-23. A$846m to go…
Completed A$250m by Mar-24 s  Est a total of  A$400m by Jun-24 and the remaining A$436m by Dec-24</t>
        </r>
      </text>
    </comment>
    <comment ref="DA1102" authorId="4" shapeId="0" xr:uid="{4B557508-98EB-4265-9BFF-8708BFF7A024}">
      <text>
        <r>
          <rPr>
            <b/>
            <sz val="9"/>
            <color indexed="81"/>
            <rFont val="Tahoma"/>
            <family val="2"/>
          </rPr>
          <t>Hong, Sally (Research):</t>
        </r>
        <r>
          <rPr>
            <sz val="9"/>
            <color indexed="81"/>
            <rFont val="Tahoma"/>
            <family val="2"/>
          </rPr>
          <t xml:space="preserve">
Only bought back A$18m in 6 months to Dec 24.
14/8/24 FY24 Result: Extended timeline on current A$1bn buyback till August 2025. Has completed A$282m by June 2024. Expect little progress over Dec-24 half 
Previous
Only completed A$282m by June 2024. Assume can only complete another A$220m in the Dec-24 Half. 
Announced another 1bn buyback on 9/8/23 (FY23 Results). But only bought back A$154m by end of Dec-23. A$846m to go….
 Est A$500m by Jun-24 and the remaining A$346m by Dec-24</t>
        </r>
      </text>
    </comment>
    <comment ref="DD1102" authorId="4" shapeId="0" xr:uid="{0EC87881-FF0F-4713-AD2D-9C7A2D624C2A}">
      <text>
        <r>
          <rPr>
            <b/>
            <sz val="9"/>
            <color indexed="81"/>
            <rFont val="Tahoma"/>
            <family val="2"/>
          </rPr>
          <t>Hong, Sally (Research):</t>
        </r>
        <r>
          <rPr>
            <sz val="9"/>
            <color indexed="81"/>
            <rFont val="Tahoma"/>
            <family val="2"/>
          </rPr>
          <t xml:space="preserve">
CBA has not bought back in the June-25 half. Last buyback was 14 Nov 2024 (A$300m total bought back)
</t>
        </r>
        <r>
          <rPr>
            <b/>
            <sz val="9"/>
            <color indexed="81"/>
            <rFont val="Tahoma"/>
            <family val="2"/>
          </rPr>
          <t xml:space="preserve">Previous
</t>
        </r>
        <r>
          <rPr>
            <sz val="9"/>
            <color indexed="81"/>
            <rFont val="Tahoma"/>
            <family val="2"/>
          </rPr>
          <t xml:space="preserve">Assume only buying back $200m per half to complete existing A$1bn buyback
</t>
        </r>
        <r>
          <rPr>
            <b/>
            <sz val="9"/>
            <color indexed="81"/>
            <rFont val="Tahoma"/>
            <family val="2"/>
          </rPr>
          <t xml:space="preserve">
</t>
        </r>
        <r>
          <rPr>
            <sz val="9"/>
            <color indexed="81"/>
            <rFont val="Tahoma"/>
            <family val="2"/>
          </rPr>
          <t>Only completed A$282m by June 2024. Assume can only complete another A$220m in the Dec-24 Half. 
Previous
Announced another 1bn buyback on 9/8/23 (FY23 Results). But only bought back A$154m by end of Dec-23. A$846m to go….
 Est A$500m by Jun-24 and the remaining A$346m by Dec-24</t>
        </r>
      </text>
    </comment>
    <comment ref="CO1103" authorId="3" shapeId="0" xr:uid="{940BC6D2-DD00-4273-A6A6-8C60A16894DA}">
      <text>
        <r>
          <rPr>
            <b/>
            <sz val="9"/>
            <color indexed="81"/>
            <rFont val="Tahoma"/>
            <family val="2"/>
          </rPr>
          <t>Wiles, Richard (Research):</t>
        </r>
        <r>
          <rPr>
            <sz val="9"/>
            <color indexed="81"/>
            <rFont val="Tahoma"/>
            <family val="2"/>
          </rPr>
          <t xml:space="preserve">
10-14% discount to 5-day VWAP preceeding 1/10/21 : 
14% discount to A$103.0483 = A$88.62
Capital component: A$21.66 (23.4%) 
Dividend component: A$66.96 (76.6%)
Tax value (per AT): A$69.18
Scale back of 79.4% 
67.7m shares bought back 
3.8% of issued capital</t>
        </r>
      </text>
    </comment>
    <comment ref="CV1103" authorId="3" shapeId="0" xr:uid="{36720DCE-9F75-4A0A-BF02-EB49D6CE6CE4}">
      <text>
        <r>
          <rPr>
            <b/>
            <sz val="9"/>
            <color indexed="81"/>
            <rFont val="Tahoma"/>
            <family val="2"/>
          </rPr>
          <t>Wiles, Richard (Research):</t>
        </r>
        <r>
          <rPr>
            <sz val="9"/>
            <color indexed="81"/>
            <rFont val="Tahoma"/>
            <family val="2"/>
          </rPr>
          <t xml:space="preserve">
Estimated av share price of A$98.17
A$1,202m; 12.244m shares</t>
        </r>
      </text>
    </comment>
    <comment ref="CW1103" authorId="3" shapeId="0" xr:uid="{C7025BFF-E548-4C8B-AC0F-8E806613A087}">
      <text>
        <r>
          <rPr>
            <b/>
            <sz val="9"/>
            <color indexed="81"/>
            <rFont val="Tahoma"/>
            <family val="2"/>
          </rPr>
          <t>Wiles, Richard (Research):</t>
        </r>
        <r>
          <rPr>
            <sz val="9"/>
            <color indexed="81"/>
            <rFont val="Tahoma"/>
            <family val="2"/>
          </rPr>
          <t xml:space="preserve">
estimated buyback price</t>
        </r>
      </text>
    </comment>
    <comment ref="DA1103" authorId="4" shapeId="0" xr:uid="{059770A2-6AF8-4565-B102-6E9A845B6499}">
      <text>
        <r>
          <rPr>
            <b/>
            <sz val="9"/>
            <color indexed="81"/>
            <rFont val="Tahoma"/>
            <family val="2"/>
          </rPr>
          <t>Hong, Sally (Research):</t>
        </r>
        <r>
          <rPr>
            <sz val="9"/>
            <color indexed="81"/>
            <rFont val="Tahoma"/>
            <family val="2"/>
          </rPr>
          <t xml:space="preserve">
Footnote 1 in page 68 1H25 4D</t>
        </r>
      </text>
    </comment>
    <comment ref="CR1115" authorId="3" shapeId="0" xr:uid="{37563DD3-7574-465B-99A9-41119A46E996}">
      <text>
        <r>
          <rPr>
            <b/>
            <sz val="9"/>
            <color indexed="81"/>
            <rFont val="Tahoma"/>
            <family val="2"/>
          </rPr>
          <t>Wiles, Richard (Research):</t>
        </r>
        <r>
          <rPr>
            <sz val="9"/>
            <color indexed="81"/>
            <rFont val="Tahoma"/>
            <family val="2"/>
          </rPr>
          <t xml:space="preserve">
buyback for 85 days in 1H22</t>
        </r>
      </text>
    </comment>
    <comment ref="BN1117" authorId="7" shapeId="0" xr:uid="{66156CC4-F6BE-42DF-AF28-C1AB9FFCD76A}">
      <text>
        <r>
          <rPr>
            <b/>
            <sz val="8"/>
            <color indexed="81"/>
            <rFont val="Tahoma"/>
            <family val="2"/>
          </rPr>
          <t>Dunger:</t>
        </r>
        <r>
          <rPr>
            <sz val="8"/>
            <color indexed="81"/>
            <rFont val="Tahoma"/>
            <family val="2"/>
          </rPr>
          <t xml:space="preserve">
Reported 1,611 - calculated to reconcile rounding diffs on EPS</t>
        </r>
      </text>
    </comment>
    <comment ref="BP1117" authorId="0" shapeId="0" xr:uid="{95020580-0174-4341-99A9-E257C3AF65DC}">
      <text>
        <r>
          <rPr>
            <b/>
            <sz val="9"/>
            <color indexed="81"/>
            <rFont val="Tahoma"/>
            <family val="2"/>
          </rPr>
          <t>Dunger, Matt (Research):</t>
        </r>
        <r>
          <rPr>
            <sz val="9"/>
            <color indexed="81"/>
            <rFont val="Tahoma"/>
            <family val="2"/>
          </rPr>
          <t xml:space="preserve">
RESTATED 1H16</t>
        </r>
      </text>
    </comment>
    <comment ref="BQ1117" authorId="0" shapeId="0" xr:uid="{1D7C1155-3979-4B38-B7A6-213478CC2D31}">
      <text>
        <r>
          <rPr>
            <b/>
            <sz val="9"/>
            <color indexed="81"/>
            <rFont val="Tahoma"/>
            <family val="2"/>
          </rPr>
          <t>Dunger, Matt (Research):</t>
        </r>
        <r>
          <rPr>
            <sz val="9"/>
            <color indexed="81"/>
            <rFont val="Tahoma"/>
            <family val="2"/>
          </rPr>
          <t xml:space="preserve">
RESTATED 1H16</t>
        </r>
      </text>
    </comment>
    <comment ref="BX1117" authorId="1" shapeId="0" xr:uid="{086999BD-54E2-4D2E-B274-29D987295E3A}">
      <text>
        <r>
          <rPr>
            <b/>
            <sz val="9"/>
            <color indexed="81"/>
            <rFont val="Tahoma"/>
            <family val="2"/>
          </rPr>
          <t>O'Neill, Emilie (Research):</t>
        </r>
        <r>
          <rPr>
            <sz val="9"/>
            <color indexed="81"/>
            <rFont val="Tahoma"/>
            <family val="2"/>
          </rPr>
          <t xml:space="preserve">
restated 1H18</t>
        </r>
      </text>
    </comment>
    <comment ref="BY1117" authorId="1" shapeId="0" xr:uid="{E7C76B19-E12F-4469-9B38-5D21A1FCD85D}">
      <text>
        <r>
          <rPr>
            <b/>
            <sz val="9"/>
            <color indexed="81"/>
            <rFont val="Tahoma"/>
            <family val="2"/>
          </rPr>
          <t>O'Neill, Emilie (Research):</t>
        </r>
        <r>
          <rPr>
            <sz val="9"/>
            <color indexed="81"/>
            <rFont val="Tahoma"/>
            <family val="2"/>
          </rPr>
          <t xml:space="preserve">
restated 1H18</t>
        </r>
      </text>
    </comment>
    <comment ref="BZ1117" authorId="1" shapeId="0" xr:uid="{D0DE519E-BBA0-4DB5-98FB-6D50F7F2270D}">
      <text>
        <r>
          <rPr>
            <b/>
            <sz val="9"/>
            <color indexed="81"/>
            <rFont val="Tahoma"/>
            <family val="2"/>
          </rPr>
          <t>O'Neill, Emilie (Research):</t>
        </r>
        <r>
          <rPr>
            <sz val="9"/>
            <color indexed="81"/>
            <rFont val="Tahoma"/>
            <family val="2"/>
          </rPr>
          <t xml:space="preserve">
Restated 2H18</t>
        </r>
      </text>
    </comment>
    <comment ref="CN1117" authorId="5" shapeId="0" xr:uid="{F112B121-61FA-4630-A5E1-F867BCE9C05B}">
      <text>
        <r>
          <rPr>
            <b/>
            <sz val="9"/>
            <color indexed="81"/>
            <rFont val="Tahoma"/>
            <family val="2"/>
          </rPr>
          <t>Fernandes, Sona (Research):</t>
        </r>
        <r>
          <rPr>
            <sz val="9"/>
            <color indexed="81"/>
            <rFont val="Tahoma"/>
            <family val="2"/>
          </rPr>
          <t xml:space="preserve">
See Analysis Template</t>
        </r>
      </text>
    </comment>
    <comment ref="CO1117" authorId="5" shapeId="0" xr:uid="{522BF4AE-0F5F-4A72-8EF7-DEC6FC9A71D9}">
      <text>
        <r>
          <rPr>
            <b/>
            <sz val="9"/>
            <color indexed="81"/>
            <rFont val="Tahoma"/>
            <family val="2"/>
          </rPr>
          <t>Fernandes, Sona (Research):</t>
        </r>
        <r>
          <rPr>
            <sz val="9"/>
            <color indexed="81"/>
            <rFont val="Tahoma"/>
            <family val="2"/>
          </rPr>
          <t xml:space="preserve">
See Analysis Template</t>
        </r>
      </text>
    </comment>
    <comment ref="CV1124" authorId="4" shapeId="0" xr:uid="{A9AA27BC-B26C-4764-9F62-8E6687663960}">
      <text>
        <r>
          <rPr>
            <b/>
            <sz val="9"/>
            <color indexed="81"/>
            <rFont val="Tahoma"/>
            <family val="2"/>
          </rPr>
          <t>Hong, Sally (Research):</t>
        </r>
        <r>
          <rPr>
            <sz val="9"/>
            <color indexed="81"/>
            <rFont val="Tahoma"/>
            <family val="2"/>
          </rPr>
          <t xml:space="preserve">
Page 141 of the 1H23 4E</t>
        </r>
      </text>
    </comment>
    <comment ref="BM1127" authorId="7" shapeId="0" xr:uid="{5BA90C85-2CC7-475B-B97D-4FE6E792CB7C}">
      <text>
        <r>
          <rPr>
            <b/>
            <sz val="8"/>
            <color indexed="81"/>
            <rFont val="Tahoma"/>
            <family val="2"/>
          </rPr>
          <t>Dunger:</t>
        </r>
        <r>
          <rPr>
            <sz val="8"/>
            <color indexed="81"/>
            <rFont val="Tahoma"/>
            <family val="2"/>
          </rPr>
          <t xml:space="preserve">
Reported 1,611 - calculated to reconcile rounding diffs on EPS</t>
        </r>
      </text>
    </comment>
    <comment ref="BN1127" authorId="7" shapeId="0" xr:uid="{D4228131-7093-408C-9422-EAD12F77526C}">
      <text>
        <r>
          <rPr>
            <b/>
            <sz val="8"/>
            <color indexed="81"/>
            <rFont val="Tahoma"/>
            <family val="2"/>
          </rPr>
          <t>Dunger:</t>
        </r>
        <r>
          <rPr>
            <sz val="8"/>
            <color indexed="81"/>
            <rFont val="Tahoma"/>
            <family val="2"/>
          </rPr>
          <t xml:space="preserve">
Reported 1,608 - calculated to reconcile rounding diffs on EPS</t>
        </r>
      </text>
    </comment>
    <comment ref="BX1127" authorId="1" shapeId="0" xr:uid="{1D53E743-C88F-4C37-A854-2E4B7907C4B6}">
      <text>
        <r>
          <rPr>
            <b/>
            <sz val="9"/>
            <color indexed="81"/>
            <rFont val="Tahoma"/>
            <family val="2"/>
          </rPr>
          <t>O'Neill, Emilie (Research):</t>
        </r>
        <r>
          <rPr>
            <sz val="9"/>
            <color indexed="81"/>
            <rFont val="Tahoma"/>
            <family val="2"/>
          </rPr>
          <t xml:space="preserve">
restated 1H18</t>
        </r>
      </text>
    </comment>
    <comment ref="BY1127" authorId="1" shapeId="0" xr:uid="{EFB09E46-9669-4B93-96E2-75F6F88FD7B9}">
      <text>
        <r>
          <rPr>
            <b/>
            <sz val="9"/>
            <color indexed="81"/>
            <rFont val="Tahoma"/>
            <family val="2"/>
          </rPr>
          <t>O'Neill, Emilie (Research):</t>
        </r>
        <r>
          <rPr>
            <sz val="9"/>
            <color indexed="81"/>
            <rFont val="Tahoma"/>
            <family val="2"/>
          </rPr>
          <t xml:space="preserve">
restated 1H18</t>
        </r>
      </text>
    </comment>
    <comment ref="BZ1127" authorId="1" shapeId="0" xr:uid="{7240F8CF-C786-43DA-BA65-04D27FF8AF71}">
      <text>
        <r>
          <rPr>
            <b/>
            <sz val="9"/>
            <color indexed="81"/>
            <rFont val="Tahoma"/>
            <family val="2"/>
          </rPr>
          <t>O'Neill, Emilie (Research):</t>
        </r>
        <r>
          <rPr>
            <sz val="9"/>
            <color indexed="81"/>
            <rFont val="Tahoma"/>
            <family val="2"/>
          </rPr>
          <t xml:space="preserve">
Restated 2H18</t>
        </r>
      </text>
    </comment>
    <comment ref="A1131" authorId="6" shapeId="0" xr:uid="{CD9F27DC-3931-41F3-8DAD-3EEB5B27B22A}">
      <text>
        <r>
          <rPr>
            <b/>
            <sz val="8"/>
            <color indexed="81"/>
            <rFont val="Tahoma"/>
            <family val="2"/>
          </rPr>
          <t>richwile:</t>
        </r>
        <r>
          <rPr>
            <sz val="8"/>
            <color indexed="81"/>
            <rFont val="Tahoma"/>
            <family val="2"/>
          </rPr>
          <t xml:space="preserve">
Distribution on US$700m TPS 2006</t>
        </r>
      </text>
    </comment>
    <comment ref="BH1139" authorId="0" shapeId="0" xr:uid="{3B03ADFB-FCC4-4252-A1F2-7225A190D0DA}">
      <text>
        <r>
          <rPr>
            <b/>
            <sz val="9"/>
            <color indexed="81"/>
            <rFont val="Tahoma"/>
            <family val="2"/>
          </rPr>
          <t>Dunger, Matt (Research):</t>
        </r>
        <r>
          <rPr>
            <sz val="9"/>
            <color indexed="81"/>
            <rFont val="Tahoma"/>
            <family val="2"/>
          </rPr>
          <t xml:space="preserve">
Dilution factor based on 2H15 A$5bn rights issue (1 for 23)</t>
        </r>
      </text>
    </comment>
    <comment ref="BI1139" authorId="0" shapeId="0" xr:uid="{B5D57A91-49F3-4F60-B5D1-68786022900A}">
      <text>
        <r>
          <rPr>
            <b/>
            <sz val="9"/>
            <color indexed="81"/>
            <rFont val="Tahoma"/>
            <family val="2"/>
          </rPr>
          <t>Dunger, Matt (Research):</t>
        </r>
        <r>
          <rPr>
            <sz val="9"/>
            <color indexed="81"/>
            <rFont val="Tahoma"/>
            <family val="2"/>
          </rPr>
          <t xml:space="preserve">
Dilution factor based on 2H15 A$5bn rights issue (1 for 23)</t>
        </r>
      </text>
    </comment>
    <comment ref="BL1139" authorId="0" shapeId="0" xr:uid="{D8CEA78F-A619-47A5-87B0-A58DA8ACB941}">
      <text>
        <r>
          <rPr>
            <b/>
            <sz val="9"/>
            <color indexed="81"/>
            <rFont val="Tahoma"/>
            <family val="2"/>
          </rPr>
          <t>Dunger, Matt (Research):</t>
        </r>
        <r>
          <rPr>
            <sz val="9"/>
            <color indexed="81"/>
            <rFont val="Tahoma"/>
            <family val="2"/>
          </rPr>
          <t xml:space="preserve">
Dilution factor based on 2H15 A$5bn rights issue (1 for 23)</t>
        </r>
      </text>
    </comment>
    <comment ref="BM1139" authorId="0" shapeId="0" xr:uid="{2C105A0A-0608-438A-8BA4-2D6723FE23F4}">
      <text>
        <r>
          <rPr>
            <b/>
            <sz val="9"/>
            <color indexed="81"/>
            <rFont val="Tahoma"/>
            <family val="2"/>
          </rPr>
          <t>Dunger, Matt (Research):</t>
        </r>
        <r>
          <rPr>
            <sz val="9"/>
            <color indexed="81"/>
            <rFont val="Tahoma"/>
            <family val="2"/>
          </rPr>
          <t xml:space="preserve">
Dilution factor based on 2H15 A$5bn rights issue (1 for 23)</t>
        </r>
      </text>
    </comment>
    <comment ref="BP1139" authorId="0" shapeId="0" xr:uid="{1345CF19-EE29-4453-8B9C-AC9F4EBAF555}">
      <text>
        <r>
          <rPr>
            <b/>
            <sz val="9"/>
            <color indexed="81"/>
            <rFont val="Tahoma"/>
            <family val="2"/>
          </rPr>
          <t>Dunger, Matt (Research):</t>
        </r>
        <r>
          <rPr>
            <sz val="9"/>
            <color indexed="81"/>
            <rFont val="Tahoma"/>
            <family val="2"/>
          </rPr>
          <t xml:space="preserve">
Dilution factor based on 2H15 A$5bn rights issue (1 for 23)</t>
        </r>
      </text>
    </comment>
    <comment ref="BQ1139" authorId="0" shapeId="0" xr:uid="{040B3481-48F3-4B04-9E8C-5B8600C9FD56}">
      <text>
        <r>
          <rPr>
            <b/>
            <sz val="9"/>
            <color indexed="81"/>
            <rFont val="Tahoma"/>
            <family val="2"/>
          </rPr>
          <t>Dunger, Matt (Research):</t>
        </r>
        <r>
          <rPr>
            <sz val="9"/>
            <color indexed="81"/>
            <rFont val="Tahoma"/>
            <family val="2"/>
          </rPr>
          <t xml:space="preserve">
Dilution factor based on 2H15 A$5bn rights issue (1 for 23)</t>
        </r>
      </text>
    </comment>
    <comment ref="BX1142" authorId="1" shapeId="0" xr:uid="{38023A45-70E2-4266-AD53-6B4E5B72F8E6}">
      <text>
        <r>
          <rPr>
            <b/>
            <sz val="9"/>
            <color indexed="81"/>
            <rFont val="Tahoma"/>
            <family val="2"/>
          </rPr>
          <t>O'Neill, Emilie (Research):</t>
        </r>
        <r>
          <rPr>
            <sz val="9"/>
            <color indexed="81"/>
            <rFont val="Tahoma"/>
            <family val="2"/>
          </rPr>
          <t xml:space="preserve">
Restated 1H18</t>
        </r>
      </text>
    </comment>
    <comment ref="BZ1142" authorId="8" shapeId="0" xr:uid="{FC5797A9-EA01-49DE-A4B5-5FA9DEBB451D}">
      <text>
        <r>
          <rPr>
            <b/>
            <sz val="9"/>
            <color indexed="81"/>
            <rFont val="Tahoma"/>
            <family val="2"/>
          </rPr>
          <t>Stadnik, Andrei (Research):</t>
        </r>
        <r>
          <rPr>
            <sz val="9"/>
            <color indexed="81"/>
            <rFont val="Tahoma"/>
            <family val="2"/>
          </rPr>
          <t xml:space="preserve">
restated FY18</t>
        </r>
      </text>
    </comment>
    <comment ref="CB1142" authorId="1" shapeId="0" xr:uid="{57149117-47FE-42A8-B591-C2288DF2773A}">
      <text>
        <r>
          <rPr>
            <b/>
            <sz val="9"/>
            <color indexed="81"/>
            <rFont val="Tahoma"/>
            <family val="2"/>
          </rPr>
          <t>O'Neill, Emilie (Research):</t>
        </r>
        <r>
          <rPr>
            <sz val="9"/>
            <color indexed="81"/>
            <rFont val="Tahoma"/>
            <family val="2"/>
          </rPr>
          <t xml:space="preserve">
Restated 1H19</t>
        </r>
      </text>
    </comment>
    <comment ref="CC1142" authorId="1" shapeId="0" xr:uid="{6370D20A-9EBE-45B3-BD63-9CCBDCADAC20}">
      <text>
        <r>
          <rPr>
            <b/>
            <sz val="9"/>
            <color indexed="81"/>
            <rFont val="Tahoma"/>
            <family val="2"/>
          </rPr>
          <t>O'Neill, Emilie (Research):</t>
        </r>
        <r>
          <rPr>
            <sz val="9"/>
            <color indexed="81"/>
            <rFont val="Tahoma"/>
            <family val="2"/>
          </rPr>
          <t xml:space="preserve">
Restated 1H19</t>
        </r>
      </text>
    </comment>
    <comment ref="CF1142" authorId="2" shapeId="0" xr:uid="{06810A73-9812-4CBD-9D3F-FD042717C4C3}">
      <text>
        <r>
          <rPr>
            <b/>
            <sz val="9"/>
            <color indexed="81"/>
            <rFont val="Tahoma"/>
            <family val="2"/>
          </rPr>
          <t>Fernandes, Sona F (Research):</t>
        </r>
        <r>
          <rPr>
            <sz val="9"/>
            <color indexed="81"/>
            <rFont val="Tahoma"/>
            <family val="2"/>
          </rPr>
          <t xml:space="preserve">
Restated FY20</t>
        </r>
      </text>
    </comment>
    <comment ref="CG1142" authorId="2" shapeId="0" xr:uid="{00F43559-0E26-4BCA-8732-3665E22AD237}">
      <text>
        <r>
          <rPr>
            <b/>
            <sz val="9"/>
            <color indexed="81"/>
            <rFont val="Tahoma"/>
            <family val="2"/>
          </rPr>
          <t>Fernandes, Sona F (Research):</t>
        </r>
        <r>
          <rPr>
            <sz val="9"/>
            <color indexed="81"/>
            <rFont val="Tahoma"/>
            <family val="2"/>
          </rPr>
          <t xml:space="preserve">
Restated FY20</t>
        </r>
      </text>
    </comment>
    <comment ref="CH1142" authorId="2" shapeId="0" xr:uid="{95DB26C8-C97A-478C-858D-29A1F6A618B3}">
      <text>
        <r>
          <rPr>
            <b/>
            <sz val="9"/>
            <color indexed="81"/>
            <rFont val="Tahoma"/>
            <family val="2"/>
          </rPr>
          <t>Fernandes, Sona F (Research):</t>
        </r>
        <r>
          <rPr>
            <sz val="9"/>
            <color indexed="81"/>
            <rFont val="Tahoma"/>
            <family val="2"/>
          </rPr>
          <t xml:space="preserve">
Restated FY20</t>
        </r>
      </text>
    </comment>
    <comment ref="CJ1142" authorId="2" shapeId="0" xr:uid="{205F97DA-659A-43EE-B708-664C955B3417}">
      <text>
        <r>
          <rPr>
            <b/>
            <sz val="9"/>
            <color indexed="81"/>
            <rFont val="Tahoma"/>
            <family val="2"/>
          </rPr>
          <t>Fernandes, Sona F (Research):</t>
        </r>
        <r>
          <rPr>
            <sz val="9"/>
            <color indexed="81"/>
            <rFont val="Tahoma"/>
            <family val="2"/>
          </rPr>
          <t xml:space="preserve">
Restated FY20</t>
        </r>
      </text>
    </comment>
    <comment ref="CL1142" authorId="5" shapeId="0" xr:uid="{E57C57C5-4DD2-477E-9D77-B329F84D25E0}">
      <text>
        <r>
          <rPr>
            <b/>
            <sz val="9"/>
            <color indexed="81"/>
            <rFont val="Tahoma"/>
            <family val="2"/>
          </rPr>
          <t>Fernandes, Sona (Research):</t>
        </r>
        <r>
          <rPr>
            <sz val="9"/>
            <color indexed="81"/>
            <rFont val="Tahoma"/>
            <family val="2"/>
          </rPr>
          <t xml:space="preserve">
Restated FY21
</t>
        </r>
      </text>
    </comment>
    <comment ref="CV1142" authorId="4" shapeId="0" xr:uid="{5E7166D8-253A-49EA-BCAD-23F247000BCE}">
      <text>
        <r>
          <rPr>
            <b/>
            <sz val="9"/>
            <color indexed="81"/>
            <rFont val="Tahoma"/>
            <family val="2"/>
          </rPr>
          <t>Hong, Sally (Research):</t>
        </r>
        <r>
          <rPr>
            <sz val="9"/>
            <color indexed="81"/>
            <rFont val="Tahoma"/>
            <family val="2"/>
          </rPr>
          <t xml:space="preserve">
Restated in 1H24</t>
        </r>
      </text>
    </comment>
    <comment ref="CW1142" authorId="4" shapeId="0" xr:uid="{5A668678-E3BE-4C6A-81F0-55A55E3CFD6A}">
      <text>
        <r>
          <rPr>
            <b/>
            <sz val="9"/>
            <color indexed="81"/>
            <rFont val="Tahoma"/>
            <family val="2"/>
          </rPr>
          <t>Hong, Sally (Research):</t>
        </r>
        <r>
          <rPr>
            <sz val="9"/>
            <color indexed="81"/>
            <rFont val="Tahoma"/>
            <family val="2"/>
          </rPr>
          <t xml:space="preserve">
Restated in 1H24</t>
        </r>
      </text>
    </comment>
    <comment ref="CX1142" authorId="4" shapeId="0" xr:uid="{146B580E-43D1-4ABA-801B-F4AE15EF6A1A}">
      <text>
        <r>
          <rPr>
            <b/>
            <sz val="9"/>
            <color indexed="81"/>
            <rFont val="Tahoma"/>
            <family val="2"/>
          </rPr>
          <t>Hong, Sally (Research):</t>
        </r>
        <r>
          <rPr>
            <sz val="9"/>
            <color indexed="81"/>
            <rFont val="Tahoma"/>
            <family val="2"/>
          </rPr>
          <t xml:space="preserve">
Restated in 1H24</t>
        </r>
      </text>
    </comment>
    <comment ref="BX1147" authorId="1" shapeId="0" xr:uid="{4A02BD70-E6FF-448D-AEAD-236085010B41}">
      <text>
        <r>
          <rPr>
            <b/>
            <sz val="9"/>
            <color indexed="81"/>
            <rFont val="Tahoma"/>
            <family val="2"/>
          </rPr>
          <t>O'Neill, Emilie (Research):</t>
        </r>
        <r>
          <rPr>
            <sz val="9"/>
            <color indexed="81"/>
            <rFont val="Tahoma"/>
            <family val="2"/>
          </rPr>
          <t xml:space="preserve">
Restated 1H18</t>
        </r>
      </text>
    </comment>
    <comment ref="CB1147" authorId="1" shapeId="0" xr:uid="{1E0E5AF1-0BBA-4AD8-8E6A-8E632BD14924}">
      <text>
        <r>
          <rPr>
            <b/>
            <sz val="9"/>
            <color indexed="81"/>
            <rFont val="Tahoma"/>
            <family val="2"/>
          </rPr>
          <t xml:space="preserve">O'Neill, Emilie (Research):
</t>
        </r>
        <r>
          <rPr>
            <sz val="9"/>
            <color indexed="81"/>
            <rFont val="Tahoma"/>
            <family val="2"/>
          </rPr>
          <t>Restated 2H18- incl discountinued Ops</t>
        </r>
      </text>
    </comment>
    <comment ref="CF1147" authorId="2" shapeId="0" xr:uid="{5AA56EE7-524D-4995-9DA0-796CBFE1F274}">
      <text>
        <r>
          <rPr>
            <b/>
            <sz val="9"/>
            <color indexed="81"/>
            <rFont val="Tahoma"/>
            <family val="2"/>
          </rPr>
          <t>Fernandes, Sona F (Research):</t>
        </r>
        <r>
          <rPr>
            <sz val="9"/>
            <color indexed="81"/>
            <rFont val="Tahoma"/>
            <family val="2"/>
          </rPr>
          <t xml:space="preserve">
Restated FY20</t>
        </r>
      </text>
    </comment>
    <comment ref="CG1147" authorId="2" shapeId="0" xr:uid="{3FB7A9A9-CADC-4ED3-831E-6F6E551E7DD6}">
      <text>
        <r>
          <rPr>
            <b/>
            <sz val="9"/>
            <color indexed="81"/>
            <rFont val="Tahoma"/>
            <family val="2"/>
          </rPr>
          <t>Fernandes, Sona F (Research):</t>
        </r>
        <r>
          <rPr>
            <sz val="9"/>
            <color indexed="81"/>
            <rFont val="Tahoma"/>
            <family val="2"/>
          </rPr>
          <t xml:space="preserve">
Restated FY20</t>
        </r>
      </text>
    </comment>
    <comment ref="CH1147" authorId="2" shapeId="0" xr:uid="{60DC143E-BFC2-4BF8-8E6A-E9EB25DA3C75}">
      <text>
        <r>
          <rPr>
            <b/>
            <sz val="9"/>
            <color indexed="81"/>
            <rFont val="Tahoma"/>
            <family val="2"/>
          </rPr>
          <t>Fernandes, Sona F (Research):</t>
        </r>
        <r>
          <rPr>
            <sz val="9"/>
            <color indexed="81"/>
            <rFont val="Tahoma"/>
            <family val="2"/>
          </rPr>
          <t xml:space="preserve">
Restated FY20</t>
        </r>
      </text>
    </comment>
    <comment ref="CJ1147" authorId="2" shapeId="0" xr:uid="{BC1FA9B6-D9C5-4F53-92D4-31513EFD5510}">
      <text>
        <r>
          <rPr>
            <b/>
            <sz val="9"/>
            <color indexed="81"/>
            <rFont val="Tahoma"/>
            <family val="2"/>
          </rPr>
          <t>Fernandes, Sona F (Research):</t>
        </r>
        <r>
          <rPr>
            <sz val="9"/>
            <color indexed="81"/>
            <rFont val="Tahoma"/>
            <family val="2"/>
          </rPr>
          <t xml:space="preserve">
Restated FY20</t>
        </r>
      </text>
    </comment>
    <comment ref="CV1147" authorId="4" shapeId="0" xr:uid="{831973F5-F7D3-4FE4-84E2-3D1CB5F0E898}">
      <text>
        <r>
          <rPr>
            <b/>
            <sz val="9"/>
            <color indexed="81"/>
            <rFont val="Tahoma"/>
            <family val="2"/>
          </rPr>
          <t>Hong, Sally (Research):</t>
        </r>
        <r>
          <rPr>
            <sz val="9"/>
            <color indexed="81"/>
            <rFont val="Tahoma"/>
            <family val="2"/>
          </rPr>
          <t xml:space="preserve">
Restated in 1H24</t>
        </r>
      </text>
    </comment>
    <comment ref="CW1147" authorId="4" shapeId="0" xr:uid="{C7EE367A-343F-48D9-A22D-85A7C052666D}">
      <text>
        <r>
          <rPr>
            <b/>
            <sz val="9"/>
            <color indexed="81"/>
            <rFont val="Tahoma"/>
            <family val="2"/>
          </rPr>
          <t>Hong, Sally (Research):</t>
        </r>
        <r>
          <rPr>
            <sz val="9"/>
            <color indexed="81"/>
            <rFont val="Tahoma"/>
            <family val="2"/>
          </rPr>
          <t xml:space="preserve">
Restated in 1H24</t>
        </r>
      </text>
    </comment>
    <comment ref="CX1147" authorId="4" shapeId="0" xr:uid="{C21E8CC4-53F2-4E8A-9E05-391E75B98F77}">
      <text>
        <r>
          <rPr>
            <b/>
            <sz val="9"/>
            <color indexed="81"/>
            <rFont val="Tahoma"/>
            <family val="2"/>
          </rPr>
          <t>Hong, Sally (Research):</t>
        </r>
        <r>
          <rPr>
            <sz val="9"/>
            <color indexed="81"/>
            <rFont val="Tahoma"/>
            <family val="2"/>
          </rPr>
          <t xml:space="preserve">
Restated in 1H24</t>
        </r>
      </text>
    </comment>
    <comment ref="CV1149" authorId="4" shapeId="0" xr:uid="{1418F755-6878-4808-96D6-FED98BF3E9AF}">
      <text>
        <r>
          <rPr>
            <b/>
            <sz val="9"/>
            <color indexed="81"/>
            <rFont val="Tahoma"/>
            <family val="2"/>
          </rPr>
          <t>Hong, Sally (Research):</t>
        </r>
        <r>
          <rPr>
            <sz val="9"/>
            <color indexed="81"/>
            <rFont val="Tahoma"/>
            <family val="2"/>
          </rPr>
          <t xml:space="preserve">
Restated in 1H24</t>
        </r>
      </text>
    </comment>
    <comment ref="CW1149" authorId="4" shapeId="0" xr:uid="{00923641-5A39-400B-8B4D-4B3CB5832E86}">
      <text>
        <r>
          <rPr>
            <b/>
            <sz val="9"/>
            <color indexed="81"/>
            <rFont val="Tahoma"/>
            <family val="2"/>
          </rPr>
          <t>Hong, Sally (Research):</t>
        </r>
        <r>
          <rPr>
            <sz val="9"/>
            <color indexed="81"/>
            <rFont val="Tahoma"/>
            <family val="2"/>
          </rPr>
          <t xml:space="preserve">
Restated in 1H24</t>
        </r>
      </text>
    </comment>
    <comment ref="CX1149" authorId="4" shapeId="0" xr:uid="{3EA8AB1E-C4BF-4FBC-95F6-B067090F0FE3}">
      <text>
        <r>
          <rPr>
            <b/>
            <sz val="9"/>
            <color indexed="81"/>
            <rFont val="Tahoma"/>
            <family val="2"/>
          </rPr>
          <t>Hong, Sally (Research):</t>
        </r>
        <r>
          <rPr>
            <sz val="9"/>
            <color indexed="81"/>
            <rFont val="Tahoma"/>
            <family val="2"/>
          </rPr>
          <t xml:space="preserve">
Restated in 1H24</t>
        </r>
      </text>
    </comment>
    <comment ref="CR1171" authorId="3" shapeId="0" xr:uid="{094A5679-FBF6-412D-8824-D1A134138F28}">
      <text>
        <r>
          <rPr>
            <b/>
            <sz val="9"/>
            <color indexed="81"/>
            <rFont val="Tahoma"/>
            <family val="2"/>
          </rPr>
          <t>Wiles, Richard (Research):</t>
        </r>
        <r>
          <rPr>
            <sz val="9"/>
            <color indexed="81"/>
            <rFont val="Tahoma"/>
            <family val="2"/>
          </rPr>
          <t xml:space="preserve">
refer results presentation</t>
        </r>
      </text>
    </comment>
    <comment ref="CS1171" authorId="4" shapeId="0" xr:uid="{17B25F65-6DDC-4DE6-8022-201A3D968630}">
      <text>
        <r>
          <rPr>
            <b/>
            <sz val="9"/>
            <color indexed="81"/>
            <rFont val="Tahoma"/>
            <family val="2"/>
          </rPr>
          <t>Hong, Sally (Research):</t>
        </r>
        <r>
          <rPr>
            <sz val="9"/>
            <color indexed="81"/>
            <rFont val="Tahoma"/>
            <family val="2"/>
          </rPr>
          <t xml:space="preserve">
Slide 117 of the FY22 Presentaiton</t>
        </r>
      </text>
    </comment>
    <comment ref="CV1171" authorId="4" shapeId="0" xr:uid="{79265BB9-CE3C-4428-8E66-23C421ECD85D}">
      <text>
        <r>
          <rPr>
            <b/>
            <sz val="9"/>
            <color indexed="81"/>
            <rFont val="Tahoma"/>
            <family val="2"/>
          </rPr>
          <t>Hong, Sally (Research):</t>
        </r>
        <r>
          <rPr>
            <sz val="9"/>
            <color indexed="81"/>
            <rFont val="Tahoma"/>
            <family val="2"/>
          </rPr>
          <t xml:space="preserve">
Pillar 3 2Q23 Page 8</t>
        </r>
      </text>
    </comment>
    <comment ref="CF1175" authorId="3" shapeId="0" xr:uid="{EF1D4AFC-8C67-44F6-8C32-C1613F347D53}">
      <text>
        <r>
          <rPr>
            <b/>
            <sz val="9"/>
            <color indexed="81"/>
            <rFont val="Tahoma"/>
            <family val="2"/>
          </rPr>
          <t>Wiles, Richard (Research):</t>
        </r>
        <r>
          <rPr>
            <sz val="9"/>
            <color indexed="81"/>
            <rFont val="Tahoma"/>
            <family val="2"/>
          </rPr>
          <t xml:space="preserve">
Balancing item</t>
        </r>
      </text>
    </comment>
    <comment ref="CJ1175" authorId="3" shapeId="0" xr:uid="{08E3BA3F-AB8E-4A71-9833-D5A0280A2C4A}">
      <text>
        <r>
          <rPr>
            <b/>
            <sz val="9"/>
            <color indexed="81"/>
            <rFont val="Tahoma"/>
            <family val="2"/>
          </rPr>
          <t>Wiles, Richard (Research):</t>
        </r>
        <r>
          <rPr>
            <sz val="9"/>
            <color indexed="81"/>
            <rFont val="Tahoma"/>
            <family val="2"/>
          </rPr>
          <t xml:space="preserve">
Balancing item</t>
        </r>
      </text>
    </comment>
    <comment ref="CK1175" authorId="3" shapeId="0" xr:uid="{955C4DFD-D36C-42D8-965C-650A400F10A7}">
      <text>
        <r>
          <rPr>
            <b/>
            <sz val="9"/>
            <color indexed="81"/>
            <rFont val="Tahoma"/>
            <family val="2"/>
          </rPr>
          <t>Wiles, Richard (Research):</t>
        </r>
        <r>
          <rPr>
            <sz val="9"/>
            <color indexed="81"/>
            <rFont val="Tahoma"/>
            <family val="2"/>
          </rPr>
          <t xml:space="preserve">
Balancing item</t>
        </r>
      </text>
    </comment>
    <comment ref="CV1177" authorId="4" shapeId="0" xr:uid="{B1C6D4E8-1F31-4258-8788-EC92BB7D03C4}">
      <text>
        <r>
          <rPr>
            <b/>
            <sz val="9"/>
            <color indexed="81"/>
            <rFont val="Tahoma"/>
            <family val="2"/>
          </rPr>
          <t>Hong, Sally (Research):</t>
        </r>
        <r>
          <rPr>
            <sz val="9"/>
            <color indexed="81"/>
            <rFont val="Tahoma"/>
            <family val="2"/>
          </rPr>
          <t xml:space="preserve">
Slide 109 of the 1H23 Presentation</t>
        </r>
      </text>
    </comment>
    <comment ref="BT1183" authorId="0" shapeId="0" xr:uid="{8E03DDD0-8A70-4B63-B76C-8711EF8CFF9A}">
      <text>
        <r>
          <rPr>
            <b/>
            <sz val="9"/>
            <color indexed="81"/>
            <rFont val="Tahoma"/>
            <family val="2"/>
          </rPr>
          <t>Dunger, Matt (Research):</t>
        </r>
        <r>
          <rPr>
            <sz val="9"/>
            <color indexed="81"/>
            <rFont val="Tahoma"/>
            <family val="2"/>
          </rPr>
          <t xml:space="preserve">
restated 1H17</t>
        </r>
      </text>
    </comment>
    <comment ref="BU1183" authorId="0" shapeId="0" xr:uid="{AC35F391-CC4C-4F31-92E7-73DE3E41F59E}">
      <text>
        <r>
          <rPr>
            <b/>
            <sz val="9"/>
            <color indexed="81"/>
            <rFont val="Tahoma"/>
            <family val="2"/>
          </rPr>
          <t>Dunger, Matt (Research):</t>
        </r>
        <r>
          <rPr>
            <sz val="9"/>
            <color indexed="81"/>
            <rFont val="Tahoma"/>
            <family val="2"/>
          </rPr>
          <t xml:space="preserve">
restated 1H17</t>
        </r>
      </text>
    </comment>
    <comment ref="CR1183" authorId="3" shapeId="0" xr:uid="{EEA09986-C940-4063-A26B-982FDB800204}">
      <text>
        <r>
          <rPr>
            <b/>
            <sz val="9"/>
            <color indexed="81"/>
            <rFont val="Tahoma"/>
            <family val="2"/>
          </rPr>
          <t>Wiles, Richard (Research):</t>
        </r>
        <r>
          <rPr>
            <sz val="9"/>
            <color indexed="81"/>
            <rFont val="Tahoma"/>
            <family val="2"/>
          </rPr>
          <t xml:space="preserve">
sale of 55% of CFS to KKR expected to add 32bp ... completed Dec 2021. 
A$459,928bn at Sep 21 x 32bp = A$1,471m 
</t>
        </r>
      </text>
    </comment>
    <comment ref="BU1187" authorId="0" shapeId="0" xr:uid="{F81B1FDD-4684-4834-AE54-BE0EF460BAD4}">
      <text>
        <r>
          <rPr>
            <b/>
            <sz val="9"/>
            <color indexed="81"/>
            <rFont val="Tahoma"/>
            <family val="2"/>
          </rPr>
          <t>Dunger, Matt (Research):</t>
        </r>
        <r>
          <rPr>
            <sz val="9"/>
            <color indexed="81"/>
            <rFont val="Tahoma"/>
            <family val="2"/>
          </rPr>
          <t xml:space="preserve">
no longer seperately disclosed from cap software</t>
        </r>
      </text>
    </comment>
    <comment ref="CB1189" authorId="1" shapeId="0" xr:uid="{801D6CBE-F617-4DA4-BCCC-3080E374CB13}">
      <text>
        <r>
          <rPr>
            <b/>
            <sz val="9"/>
            <color indexed="81"/>
            <rFont val="Tahoma"/>
            <family val="2"/>
          </rPr>
          <t>O'Neill, Emilie (Research):</t>
        </r>
        <r>
          <rPr>
            <sz val="9"/>
            <color indexed="81"/>
            <rFont val="Tahoma"/>
            <family val="2"/>
          </rPr>
          <t xml:space="preserve">
Restated 1H19 to other intangibles including software</t>
        </r>
      </text>
    </comment>
    <comment ref="CC1189" authorId="1" shapeId="0" xr:uid="{4251959F-0A31-4155-8DB3-FF929964A86A}">
      <text>
        <r>
          <rPr>
            <b/>
            <sz val="9"/>
            <color indexed="81"/>
            <rFont val="Tahoma"/>
            <family val="2"/>
          </rPr>
          <t>O'Neill, Emilie (Research):</t>
        </r>
        <r>
          <rPr>
            <sz val="9"/>
            <color indexed="81"/>
            <rFont val="Tahoma"/>
            <family val="2"/>
          </rPr>
          <t xml:space="preserve">
Restated 1H19 to other intangibles including software</t>
        </r>
      </text>
    </comment>
    <comment ref="CK1189" authorId="5" shapeId="0" xr:uid="{3CF2FF4C-3022-4E46-8656-4CAF332EBBDD}">
      <text>
        <r>
          <rPr>
            <b/>
            <sz val="9"/>
            <color indexed="81"/>
            <rFont val="Tahoma"/>
            <family val="2"/>
          </rPr>
          <t>Fernandes, Sona (Research):</t>
        </r>
        <r>
          <rPr>
            <sz val="9"/>
            <color indexed="81"/>
            <rFont val="Tahoma"/>
            <family val="2"/>
          </rPr>
          <t xml:space="preserve">
Restated FY21</t>
        </r>
      </text>
    </comment>
    <comment ref="CN1189" authorId="5" shapeId="0" xr:uid="{793E84C8-2CB9-4878-B086-BA1D57E8C033}">
      <text>
        <r>
          <rPr>
            <b/>
            <sz val="9"/>
            <color indexed="81"/>
            <rFont val="Tahoma"/>
            <family val="2"/>
          </rPr>
          <t>Fernandes, Sona (Research):</t>
        </r>
        <r>
          <rPr>
            <sz val="9"/>
            <color indexed="81"/>
            <rFont val="Tahoma"/>
            <family val="2"/>
          </rPr>
          <t xml:space="preserve">
Restated FY21</t>
        </r>
      </text>
    </comment>
    <comment ref="CV1190" authorId="4" shapeId="0" xr:uid="{B51B3A92-642D-43B5-B119-E6CFA119AD8E}">
      <text>
        <r>
          <rPr>
            <b/>
            <sz val="9"/>
            <color indexed="81"/>
            <rFont val="Tahoma"/>
            <family val="2"/>
          </rPr>
          <t>Hong, Sally (Research):</t>
        </r>
        <r>
          <rPr>
            <sz val="9"/>
            <color indexed="81"/>
            <rFont val="Tahoma"/>
            <family val="2"/>
          </rPr>
          <t xml:space="preserve">
Restated in 1H24 from A$4,382m</t>
        </r>
      </text>
    </comment>
    <comment ref="CW1190" authorId="4" shapeId="0" xr:uid="{CA7459DA-8285-4D88-9F0D-446ADBD9A67A}">
      <text>
        <r>
          <rPr>
            <b/>
            <sz val="9"/>
            <color indexed="81"/>
            <rFont val="Tahoma"/>
            <family val="2"/>
          </rPr>
          <t>Hong, Sally (Research):</t>
        </r>
        <r>
          <rPr>
            <sz val="9"/>
            <color indexed="81"/>
            <rFont val="Tahoma"/>
            <family val="2"/>
          </rPr>
          <t xml:space="preserve">
Restated in 1H24 from A$4,369m</t>
        </r>
      </text>
    </comment>
    <comment ref="BX1194" authorId="1" shapeId="0" xr:uid="{03590C82-D3CC-4B21-B763-548E0EF3A933}">
      <text>
        <r>
          <rPr>
            <b/>
            <sz val="9"/>
            <color indexed="81"/>
            <rFont val="Tahoma"/>
            <family val="2"/>
          </rPr>
          <t>O'Neill, Emilie (Research):</t>
        </r>
        <r>
          <rPr>
            <sz val="9"/>
            <color indexed="81"/>
            <rFont val="Tahoma"/>
            <family val="2"/>
          </rPr>
          <t xml:space="preserve">
Restated 1H18 due to change in accounting policy</t>
        </r>
      </text>
    </comment>
    <comment ref="BY1194" authorId="1" shapeId="0" xr:uid="{D46417DE-AAAD-48C3-9686-2BCBD9E0D342}">
      <text>
        <r>
          <rPr>
            <b/>
            <sz val="9"/>
            <color indexed="81"/>
            <rFont val="Tahoma"/>
            <family val="2"/>
          </rPr>
          <t>O'Neill, Emilie (Research):</t>
        </r>
        <r>
          <rPr>
            <sz val="9"/>
            <color indexed="81"/>
            <rFont val="Tahoma"/>
            <family val="2"/>
          </rPr>
          <t xml:space="preserve">
Restated 1H18 due to change in accounting policy</t>
        </r>
      </text>
    </comment>
    <comment ref="CB1209" authorId="3" shapeId="0" xr:uid="{A7CECF48-D5A6-4E6F-B84F-2C33609D00A5}">
      <text>
        <r>
          <rPr>
            <b/>
            <sz val="9"/>
            <color indexed="81"/>
            <rFont val="Tahoma"/>
            <family val="2"/>
          </rPr>
          <t>Wiles, Richard (Research):</t>
        </r>
        <r>
          <rPr>
            <sz val="9"/>
            <color indexed="81"/>
            <rFont val="Tahoma"/>
            <family val="2"/>
          </rPr>
          <t xml:space="preserve">
was there an acqusition?</t>
        </r>
      </text>
    </comment>
    <comment ref="CF1210" authorId="3" shapeId="0" xr:uid="{26AA67B0-30A4-4BCC-883A-6CC4AFFB77C6}">
      <text>
        <r>
          <rPr>
            <b/>
            <sz val="9"/>
            <color indexed="81"/>
            <rFont val="Tahoma"/>
            <family val="2"/>
          </rPr>
          <t>Wiles, Richard (Research):</t>
        </r>
        <r>
          <rPr>
            <sz val="9"/>
            <color indexed="81"/>
            <rFont val="Tahoma"/>
            <family val="2"/>
          </rPr>
          <t xml:space="preserve">
is this Sovereign?</t>
        </r>
      </text>
    </comment>
    <comment ref="CJ1210" authorId="3" shapeId="0" xr:uid="{9F5CEB0F-1BB5-4781-BED7-BCD15E9DE83C}">
      <text>
        <r>
          <rPr>
            <b/>
            <sz val="9"/>
            <color indexed="81"/>
            <rFont val="Tahoma"/>
            <family val="2"/>
          </rPr>
          <t>Wiles, Richard (Research):</t>
        </r>
        <r>
          <rPr>
            <sz val="9"/>
            <color indexed="81"/>
            <rFont val="Tahoma"/>
            <family val="2"/>
          </rPr>
          <t xml:space="preserve">
</t>
        </r>
        <r>
          <rPr>
            <b/>
            <sz val="9"/>
            <color indexed="81"/>
            <rFont val="Tahoma"/>
            <family val="2"/>
          </rPr>
          <t xml:space="preserve">
Actual</t>
        </r>
        <r>
          <rPr>
            <sz val="9"/>
            <color indexed="81"/>
            <rFont val="Tahoma"/>
            <family val="2"/>
          </rPr>
          <t xml:space="preserve">
Assume A$1.65bn CFS GAM
</t>
        </r>
        <r>
          <rPr>
            <b/>
            <sz val="9"/>
            <color indexed="81"/>
            <rFont val="Tahoma"/>
            <family val="2"/>
          </rPr>
          <t xml:space="preserve">Forecasts
</t>
        </r>
        <r>
          <rPr>
            <sz val="9"/>
            <color indexed="81"/>
            <rFont val="Tahoma"/>
            <family val="2"/>
          </rPr>
          <t>CFS GAM: Capital release is 60bp or approx A$3bn (A$1.5bn gain on sale; A$1.5bn Tier 1 deductions) … assume A$1bn of goodwill and A$500m of NTA (RW: Jan 2019).</t>
        </r>
      </text>
    </comment>
    <comment ref="CR1210" authorId="3" shapeId="0" xr:uid="{7F39F1A8-DC5C-4917-847C-664F63A8DBCD}">
      <text>
        <r>
          <rPr>
            <b/>
            <sz val="9"/>
            <color indexed="81"/>
            <rFont val="Tahoma"/>
            <family val="2"/>
          </rPr>
          <t>Wiles, Richard (Research):</t>
        </r>
        <r>
          <rPr>
            <sz val="9"/>
            <color indexed="81"/>
            <rFont val="Tahoma"/>
            <family val="2"/>
          </rPr>
          <t xml:space="preserve">
</t>
        </r>
        <r>
          <rPr>
            <b/>
            <sz val="9"/>
            <color indexed="81"/>
            <rFont val="Tahoma"/>
            <family val="2"/>
          </rPr>
          <t xml:space="preserve">actual:
</t>
        </r>
        <r>
          <rPr>
            <sz val="9"/>
            <color indexed="81"/>
            <rFont val="Tahoma"/>
            <family val="2"/>
          </rPr>
          <t xml:space="preserve">
</t>
        </r>
        <r>
          <rPr>
            <b/>
            <sz val="9"/>
            <color indexed="81"/>
            <rFont val="Tahoma"/>
            <family val="2"/>
          </rPr>
          <t>pre 1H22:</t>
        </r>
        <r>
          <rPr>
            <sz val="9"/>
            <color indexed="81"/>
            <rFont val="Tahoma"/>
            <family val="2"/>
          </rPr>
          <t xml:space="preserve">
sale of 55% of CFS to KKR expected to add 32bp ... completed Dec 2021. 
A$459,928bn at Sep 21 x 32bp = A$1,471m 
assume A$468m from non consol retained earnings and reserves and A$1,003m from goodwill
</t>
        </r>
        <r>
          <rPr>
            <b/>
            <sz val="9"/>
            <color indexed="81"/>
            <rFont val="Tahoma"/>
            <family val="2"/>
          </rPr>
          <t>previous:</t>
        </r>
        <r>
          <rPr>
            <sz val="9"/>
            <color indexed="81"/>
            <rFont val="Tahoma"/>
            <family val="2"/>
          </rPr>
          <t xml:space="preserve">
sale of 55% of CFS to KKR expected to add 30-40bp to capital; completion expected by end of CY21
assume 35bp,  which equals A$1,600m
assume A$468m from non consol retained earnings and reserves and A$1,130m from goodwill</t>
        </r>
      </text>
    </comment>
    <comment ref="CF1227" authorId="3" shapeId="0" xr:uid="{791FD35A-9F24-4A4A-B2C4-05BB8EACAD9E}">
      <text>
        <r>
          <rPr>
            <b/>
            <sz val="9"/>
            <color indexed="81"/>
            <rFont val="Tahoma"/>
            <family val="2"/>
          </rPr>
          <t>Wiles, Richard (Research):</t>
        </r>
        <r>
          <rPr>
            <sz val="9"/>
            <color indexed="81"/>
            <rFont val="Tahoma"/>
            <family val="2"/>
          </rPr>
          <t xml:space="preserve">
Sale of Sovereign Life added 27bp to CET1 …. Including gain on sale of A$113m post tax and implied reduction in investment of A$1.1bn</t>
        </r>
      </text>
    </comment>
    <comment ref="CJ1227" authorId="3" shapeId="0" xr:uid="{9FD70EEC-D6C4-483F-8819-8C9FE3F9099F}">
      <text>
        <r>
          <rPr>
            <b/>
            <sz val="9"/>
            <color indexed="81"/>
            <rFont val="Tahoma"/>
            <family val="2"/>
          </rPr>
          <t>Wiles, Richard (Research):</t>
        </r>
        <r>
          <rPr>
            <sz val="9"/>
            <color indexed="81"/>
            <rFont val="Tahoma"/>
            <family val="2"/>
          </rPr>
          <t xml:space="preserve">
estimate</t>
        </r>
      </text>
    </comment>
    <comment ref="CN1227" authorId="3" shapeId="0" xr:uid="{85AE0CD1-E074-4F1A-BC63-9611637B72CF}">
      <text>
        <r>
          <rPr>
            <b/>
            <sz val="9"/>
            <color indexed="81"/>
            <rFont val="Tahoma"/>
            <family val="2"/>
          </rPr>
          <t>Wiles, Richard (Research):</t>
        </r>
        <r>
          <rPr>
            <sz val="9"/>
            <color indexed="81"/>
            <rFont val="Tahoma"/>
            <family val="2"/>
          </rPr>
          <t xml:space="preserve">
</t>
        </r>
        <r>
          <rPr>
            <b/>
            <sz val="9"/>
            <color indexed="81"/>
            <rFont val="Tahoma"/>
            <family val="2"/>
          </rPr>
          <t>pre FY20</t>
        </r>
        <r>
          <rPr>
            <sz val="9"/>
            <color indexed="81"/>
            <rFont val="Tahoma"/>
            <family val="2"/>
          </rPr>
          <t xml:space="preserve">
Comminsure = 29bp = A$1.3bn
18bp in 3Q20 = A$815m
11bp in 1H21 = A$475m adjusted for A$266m loss on sale = A$741m
</t>
        </r>
      </text>
    </comment>
    <comment ref="CV1227" authorId="3" shapeId="0" xr:uid="{6025BF17-0741-4889-A45B-27ABF9589B16}">
      <text>
        <r>
          <rPr>
            <b/>
            <sz val="9"/>
            <color indexed="81"/>
            <rFont val="Tahoma"/>
            <family val="2"/>
          </rPr>
          <t>Wiles, Richard (Research):</t>
        </r>
        <r>
          <rPr>
            <sz val="9"/>
            <color indexed="81"/>
            <rFont val="Tahoma"/>
            <family val="2"/>
          </rPr>
          <t xml:space="preserve">
</t>
        </r>
        <r>
          <rPr>
            <b/>
            <u/>
            <sz val="9"/>
            <color indexed="81"/>
            <rFont val="Tahoma"/>
            <family val="2"/>
          </rPr>
          <t>1H23 results</t>
        </r>
        <r>
          <rPr>
            <sz val="9"/>
            <color indexed="81"/>
            <rFont val="Tahoma"/>
            <family val="2"/>
          </rPr>
          <t xml:space="preserve">
Foodnote 5 of page 133 1H23 Results 4D: reductio in half due to competiton of sale of Comminsure
</t>
        </r>
        <r>
          <rPr>
            <b/>
            <u/>
            <sz val="9"/>
            <color indexed="81"/>
            <rFont val="Tahoma"/>
            <family val="2"/>
          </rPr>
          <t xml:space="preserve">Pre 1H23
</t>
        </r>
        <r>
          <rPr>
            <sz val="9"/>
            <color indexed="81"/>
            <rFont val="Tahoma"/>
            <family val="2"/>
          </rPr>
          <t xml:space="preserve">Expected to add A$400m or 9bp to CET1 capital ... so assume A$310m decrease in investments in non consol subs (MS estimate) and A$90m post tax gain on sale of GI business (announced 21 June 2021), including A$130m post tax separation and transaction costs.
</t>
        </r>
      </text>
    </comment>
    <comment ref="CC1228" authorId="1" shapeId="0" xr:uid="{F79C74FF-92CF-4CC7-8A6A-E940478B3A4C}">
      <text>
        <r>
          <rPr>
            <b/>
            <sz val="9"/>
            <color indexed="81"/>
            <rFont val="Tahoma"/>
            <family val="2"/>
          </rPr>
          <t>O'Neill, Emilie (Research):</t>
        </r>
        <r>
          <rPr>
            <sz val="9"/>
            <color indexed="81"/>
            <rFont val="Tahoma"/>
            <family val="2"/>
          </rPr>
          <t xml:space="preserve">
In presentation called "Colonial debt" and now finished</t>
        </r>
      </text>
    </comment>
    <comment ref="CW1228" authorId="6" shapeId="0" xr:uid="{54C1242E-2FE0-42BC-8CDB-32AEF331518E}">
      <text>
        <r>
          <rPr>
            <b/>
            <sz val="8"/>
            <color indexed="81"/>
            <rFont val="Tahoma"/>
            <family val="2"/>
          </rPr>
          <t>richwile:</t>
        </r>
        <r>
          <rPr>
            <sz val="8"/>
            <color indexed="81"/>
            <rFont val="Tahoma"/>
            <family val="2"/>
          </rPr>
          <t xml:space="preserve">
Refer slide 113 FY14 result: FY15 A$350m; FY17 A$1200m; FY18 A$665m.
Refer "CBA capital adequacy.xls"; 
2H14: 0
1H15: 315
2H15: 350
1H16: 0
2H16: 0
1H17: 200
2H17: 1,000
1H18: 350
2H18: 325</t>
        </r>
      </text>
    </comment>
    <comment ref="CN1246" authorId="5" shapeId="0" xr:uid="{5755CE0A-439C-49EC-B1C1-7D90E1EBAB12}">
      <text>
        <r>
          <rPr>
            <b/>
            <sz val="9"/>
            <color indexed="81"/>
            <rFont val="Tahoma"/>
            <family val="2"/>
          </rPr>
          <t>Fernandes, Sona (Research):</t>
        </r>
        <r>
          <rPr>
            <sz val="9"/>
            <color indexed="81"/>
            <rFont val="Tahoma"/>
            <family val="2"/>
          </rPr>
          <t xml:space="preserve">
Pillar 3 pg 38</t>
        </r>
      </text>
    </comment>
    <comment ref="CR1246" authorId="5" shapeId="0" xr:uid="{B5BDA20C-48FF-49AD-B710-E65AA8C7C96B}">
      <text>
        <r>
          <rPr>
            <b/>
            <sz val="9"/>
            <color indexed="81"/>
            <rFont val="Tahoma"/>
            <family val="2"/>
          </rPr>
          <t>Fernandes, Sona (Research):</t>
        </r>
        <r>
          <rPr>
            <sz val="9"/>
            <color indexed="81"/>
            <rFont val="Tahoma"/>
            <family val="2"/>
          </rPr>
          <t xml:space="preserve">
Pillar 3 pg 38</t>
        </r>
      </text>
    </comment>
    <comment ref="CV1246" authorId="4" shapeId="0" xr:uid="{2E2794EB-CE42-4FAC-BD73-B93FCED55934}">
      <text>
        <r>
          <rPr>
            <b/>
            <sz val="9"/>
            <color indexed="81"/>
            <rFont val="Tahoma"/>
            <family val="2"/>
          </rPr>
          <t>Hong, Sally (Research):</t>
        </r>
        <r>
          <rPr>
            <sz val="9"/>
            <color indexed="81"/>
            <rFont val="Tahoma"/>
            <family val="2"/>
          </rPr>
          <t xml:space="preserve">
Pillar 3 2Q23 Page 35</t>
        </r>
      </text>
    </comment>
    <comment ref="CZ1246" authorId="4" shapeId="0" xr:uid="{0185F895-5A16-4733-8633-C9F736F9E8E1}">
      <text>
        <r>
          <rPr>
            <b/>
            <sz val="9"/>
            <color indexed="81"/>
            <rFont val="Tahoma"/>
            <family val="2"/>
          </rPr>
          <t>Hong, Sally (Research):</t>
        </r>
        <r>
          <rPr>
            <sz val="9"/>
            <color indexed="81"/>
            <rFont val="Tahoma"/>
            <family val="2"/>
          </rPr>
          <t xml:space="preserve">
Pillar 3 IRB and Specialised lending + RBNZ regulated</t>
        </r>
      </text>
    </comment>
    <comment ref="DE1246" authorId="4" shapeId="0" xr:uid="{1F010950-0F80-4F36-A1E1-33E5500A584D}">
      <text>
        <r>
          <rPr>
            <b/>
            <sz val="9"/>
            <color indexed="81"/>
            <rFont val="Tahoma"/>
            <family val="2"/>
          </rPr>
          <t>Hong, Sally (Research):</t>
        </r>
        <r>
          <rPr>
            <sz val="9"/>
            <color indexed="81"/>
            <rFont val="Tahoma"/>
            <family val="2"/>
          </rPr>
          <t xml:space="preserve">
2H25 changes to Pillar 3 ECL accounting provisions for credi tlosses on IRB exposures</t>
        </r>
      </text>
    </comment>
    <comment ref="CV1255" authorId="4" shapeId="0" xr:uid="{459C9328-7C59-4017-B77E-E1151FCE2FB8}">
      <text>
        <r>
          <rPr>
            <b/>
            <sz val="9"/>
            <color indexed="81"/>
            <rFont val="Tahoma"/>
            <family val="2"/>
          </rPr>
          <t>Hong, Sally (Research):</t>
        </r>
        <r>
          <rPr>
            <sz val="9"/>
            <color indexed="81"/>
            <rFont val="Tahoma"/>
            <family val="2"/>
          </rPr>
          <t xml:space="preserve">
Sale of Hangzhou completed 30th June 2022: CBA will no longer recognise the share of HZB profits in other banking income (which has averaged ~$200m p.a.) .. reduce Half yearly income by 100m
</t>
        </r>
      </text>
    </comment>
    <comment ref="CJ1257" authorId="3" shapeId="0" xr:uid="{863C1797-0241-490C-AEFD-66EF70F10404}">
      <text>
        <r>
          <rPr>
            <b/>
            <sz val="9"/>
            <color indexed="81"/>
            <rFont val="Tahoma"/>
            <family val="2"/>
          </rPr>
          <t>Wiles, Richard (Research):</t>
        </r>
        <r>
          <rPr>
            <sz val="9"/>
            <color indexed="81"/>
            <rFont val="Tahoma"/>
            <family val="2"/>
          </rPr>
          <t xml:space="preserve">
Klarna was ~10bp of capital or US$300m  </t>
        </r>
      </text>
    </comment>
    <comment ref="CN1257" authorId="3" shapeId="0" xr:uid="{1784362A-104D-4FDE-B635-0CEB50BAF407}">
      <text>
        <r>
          <rPr>
            <b/>
            <sz val="9"/>
            <color indexed="81"/>
            <rFont val="Tahoma"/>
            <family val="2"/>
          </rPr>
          <t>Wiles, Richard (Research):</t>
        </r>
        <r>
          <rPr>
            <sz val="9"/>
            <color indexed="81"/>
            <rFont val="Tahoma"/>
            <family val="2"/>
          </rPr>
          <t xml:space="preserve">
BoComm: A$400m gain on sale for BoComm + A$400m reduction in equity investment = A$800m capital benefit = 18bp 
</t>
        </r>
      </text>
    </comment>
    <comment ref="CO1257" authorId="5" shapeId="0" xr:uid="{2B787A8B-D323-4FA9-920A-F07FD1A9B19B}">
      <text>
        <r>
          <rPr>
            <b/>
            <sz val="9"/>
            <color indexed="81"/>
            <rFont val="Tahoma"/>
            <family val="2"/>
          </rPr>
          <t>Fernandes, Sona (Research):</t>
        </r>
        <r>
          <rPr>
            <sz val="9"/>
            <color indexed="81"/>
            <rFont val="Tahoma"/>
            <family val="2"/>
          </rPr>
          <t xml:space="preserve">
Revaluation of Klarna to $2.2bn from $500m previously. See pg 244 of Annual Report
</t>
        </r>
      </text>
    </comment>
    <comment ref="CS1257" authorId="4" shapeId="0" xr:uid="{5A1D53A2-BD9D-4F90-92C9-BA541B32CDE5}">
      <text>
        <r>
          <rPr>
            <b/>
            <sz val="9"/>
            <color indexed="81"/>
            <rFont val="Tahoma"/>
            <family val="2"/>
          </rPr>
          <t>Hong, Sally (Research):</t>
        </r>
        <r>
          <rPr>
            <sz val="9"/>
            <color indexed="81"/>
            <rFont val="Tahoma"/>
            <family val="2"/>
          </rPr>
          <t xml:space="preserve">
$1.3bn was Bank of Hangzhou
$2.3bn was Klarna writedown Page 247 of the FY22 Annual Report (from 2701m in 30 June 2021 to 408m to 30 june 2021)
-----
Previous
30 June 2022: Sale of Bank of  Hangzhou complete
+35bp CET1 
Total Consideration = $1.8bn
Pre-tax gain on sale =$516m
Reduction in equtiy Investment = $1.8bn - $516m = $1284m</t>
        </r>
      </text>
    </comment>
    <comment ref="DA1257" authorId="4" shapeId="0" xr:uid="{2C957F07-8FB6-468E-AA2A-1DB3E59F1624}">
      <text>
        <r>
          <rPr>
            <b/>
            <sz val="9"/>
            <color indexed="81"/>
            <rFont val="Tahoma"/>
            <family val="2"/>
          </rPr>
          <t>Hong, Sally (Research):</t>
        </r>
        <r>
          <rPr>
            <sz val="9"/>
            <color indexed="81"/>
            <rFont val="Tahoma"/>
            <family val="2"/>
          </rPr>
          <t xml:space="preserve">
1/8/24: Non-Cash loss of A$298m pre tax associated with Sale of PT Bank Completed 1 May 2024. Broadly neutral CET1 Impact</t>
        </r>
      </text>
    </comment>
    <comment ref="DD1257" authorId="3" shapeId="0" xr:uid="{2E3375D0-F7A8-4EBC-9F80-E9D8FA4062EA}">
      <text>
        <r>
          <rPr>
            <b/>
            <sz val="9"/>
            <color indexed="81"/>
            <rFont val="Tahoma"/>
            <family val="2"/>
          </rPr>
          <t>Wiles, Richard (Research):</t>
        </r>
        <r>
          <rPr>
            <sz val="9"/>
            <color indexed="81"/>
            <rFont val="Tahoma"/>
            <family val="2"/>
          </rPr>
          <t xml:space="preserve">
Proceeds from sale of ~10% stake in VIB (announced 29 Oct) expected to add 7bp to CET1. A$50m gain on sale in 1Q25 largely offset by losses from transaction in 2Q25. </t>
        </r>
      </text>
    </comment>
    <comment ref="DE1257" authorId="3" shapeId="0" xr:uid="{422E2CBF-7CF1-4D08-8AA9-23DD1EEAC7F6}">
      <text>
        <r>
          <rPr>
            <b/>
            <sz val="9"/>
            <color indexed="81"/>
            <rFont val="Tahoma"/>
            <family val="2"/>
          </rPr>
          <t xml:space="preserve">Wiles, Richard (Research):
</t>
        </r>
        <r>
          <rPr>
            <sz val="9"/>
            <color indexed="81"/>
            <rFont val="Tahoma"/>
            <family val="2"/>
          </rPr>
          <t>Current:
10 June 2025 - Sale of remaining stake in Bank of Hangzhou has completed and will add +17bp CET1 in 2H25</t>
        </r>
        <r>
          <rPr>
            <b/>
            <sz val="9"/>
            <color indexed="81"/>
            <rFont val="Tahoma"/>
            <family val="2"/>
          </rPr>
          <t xml:space="preserve">
</t>
        </r>
        <r>
          <rPr>
            <sz val="9"/>
            <color indexed="81"/>
            <rFont val="Tahoma"/>
            <family val="2"/>
          </rPr>
          <t xml:space="preserve">Previous
Proceeds from sale of ~5.45% stake in Bank of Hangzhou (announced 24 Jan) expected to add 18bp to CET1. Assume no impact on earnings at time of announcement as stake carried at FV through OCI. Confirmed by IR that it should be an djustment to CET1 deduction. 
Expected to complete in mid 2025, so we have included in 1H26. </t>
        </r>
      </text>
    </comment>
    <comment ref="BL1260" authorId="3" shapeId="0" xr:uid="{33C3D476-BD16-4BA8-90F8-33B8D161D539}">
      <text>
        <r>
          <rPr>
            <b/>
            <sz val="9"/>
            <color indexed="81"/>
            <rFont val="Tahoma"/>
            <family val="2"/>
          </rPr>
          <t>Wiles, Richard (Research):</t>
        </r>
        <r>
          <rPr>
            <sz val="9"/>
            <color indexed="81"/>
            <rFont val="Tahoma"/>
            <family val="2"/>
          </rPr>
          <t xml:space="preserve">
Other includes dividends (-ve), capital injections (+ve), and movements in market value and FX.</t>
        </r>
      </text>
    </comment>
    <comment ref="BM1260" authorId="3" shapeId="0" xr:uid="{8BFF6D2A-FC1E-4AE0-98B2-4FA7C0798247}">
      <text>
        <r>
          <rPr>
            <b/>
            <sz val="9"/>
            <color indexed="81"/>
            <rFont val="Tahoma"/>
            <family val="2"/>
          </rPr>
          <t>Wiles, Richard (Research):</t>
        </r>
        <r>
          <rPr>
            <sz val="9"/>
            <color indexed="81"/>
            <rFont val="Tahoma"/>
            <family val="2"/>
          </rPr>
          <t xml:space="preserve">
Other includes dividends (-ve), capital injections (+ve), and movements in market value and FX.</t>
        </r>
      </text>
    </comment>
    <comment ref="BP1260" authorId="3" shapeId="0" xr:uid="{DA84814A-06FB-4A06-BF63-471D1B222AC7}">
      <text>
        <r>
          <rPr>
            <b/>
            <sz val="9"/>
            <color indexed="81"/>
            <rFont val="Tahoma"/>
            <family val="2"/>
          </rPr>
          <t>Wiles, Richard (Research):</t>
        </r>
        <r>
          <rPr>
            <sz val="9"/>
            <color indexed="81"/>
            <rFont val="Tahoma"/>
            <family val="2"/>
          </rPr>
          <t xml:space="preserve">
Other includes dividends (-ve), capital injections (+ve), and movements in market value and FX.</t>
        </r>
      </text>
    </comment>
    <comment ref="BQ1260" authorId="3" shapeId="0" xr:uid="{EFB65923-7ABD-4FDD-A6F1-77462B8AEADC}">
      <text>
        <r>
          <rPr>
            <b/>
            <sz val="9"/>
            <color indexed="81"/>
            <rFont val="Tahoma"/>
            <family val="2"/>
          </rPr>
          <t>Wiles, Richard (Research):</t>
        </r>
        <r>
          <rPr>
            <sz val="9"/>
            <color indexed="81"/>
            <rFont val="Tahoma"/>
            <family val="2"/>
          </rPr>
          <t xml:space="preserve">
Other includes dividends (-ve), capital injections (+ve), and movements in market value and FX.</t>
        </r>
      </text>
    </comment>
    <comment ref="BT1260" authorId="3" shapeId="0" xr:uid="{CC2A763A-D60B-44AA-B207-EE19B23F8018}">
      <text>
        <r>
          <rPr>
            <b/>
            <sz val="9"/>
            <color indexed="81"/>
            <rFont val="Tahoma"/>
            <family val="2"/>
          </rPr>
          <t>Wiles, Richard (Research):</t>
        </r>
        <r>
          <rPr>
            <sz val="9"/>
            <color indexed="81"/>
            <rFont val="Tahoma"/>
            <family val="2"/>
          </rPr>
          <t xml:space="preserve">
Other includes dividends (-ve), capital injections (+ve), and movements in market value and FX.</t>
        </r>
      </text>
    </comment>
    <comment ref="BU1260" authorId="3" shapeId="0" xr:uid="{318A5AF5-E6AD-4DF3-9E03-D837AA5305A4}">
      <text>
        <r>
          <rPr>
            <b/>
            <sz val="9"/>
            <color indexed="81"/>
            <rFont val="Tahoma"/>
            <family val="2"/>
          </rPr>
          <t>Wiles, Richard (Research):</t>
        </r>
        <r>
          <rPr>
            <sz val="9"/>
            <color indexed="81"/>
            <rFont val="Tahoma"/>
            <family val="2"/>
          </rPr>
          <t xml:space="preserve">
Other includes dividends (-ve), capital injections (+ve), and movements in market value and FX.</t>
        </r>
      </text>
    </comment>
    <comment ref="BY1260" authorId="3" shapeId="0" xr:uid="{787ECB8C-5CF6-4370-88EC-09A094889176}">
      <text>
        <r>
          <rPr>
            <b/>
            <sz val="9"/>
            <color indexed="81"/>
            <rFont val="Tahoma"/>
            <family val="2"/>
          </rPr>
          <t>Wiles, Richard (Research):</t>
        </r>
        <r>
          <rPr>
            <sz val="9"/>
            <color indexed="81"/>
            <rFont val="Tahoma"/>
            <family val="2"/>
          </rPr>
          <t xml:space="preserve">
Other includes dividends (-ve), capital injections (+ve), and movements in market value and FX.</t>
        </r>
      </text>
    </comment>
    <comment ref="CC1260" authorId="3" shapeId="0" xr:uid="{AD9F10F3-9BE9-4816-BC9F-897E1FE990D8}">
      <text>
        <r>
          <rPr>
            <b/>
            <sz val="9"/>
            <color indexed="81"/>
            <rFont val="Tahoma"/>
            <family val="2"/>
          </rPr>
          <t>Wiles, Richard (Research):</t>
        </r>
        <r>
          <rPr>
            <sz val="9"/>
            <color indexed="81"/>
            <rFont val="Tahoma"/>
            <family val="2"/>
          </rPr>
          <t xml:space="preserve">
Other includes dividends (-ve), capital injections (+ve), and movements in market value and FX.</t>
        </r>
      </text>
    </comment>
    <comment ref="CV1260" authorId="3" shapeId="0" xr:uid="{9893AA94-6034-436A-98D7-691896E08832}">
      <text>
        <r>
          <rPr>
            <b/>
            <sz val="9"/>
            <color indexed="81"/>
            <rFont val="Tahoma"/>
            <family val="2"/>
          </rPr>
          <t>Wiles, Richard (Research):</t>
        </r>
        <r>
          <rPr>
            <sz val="9"/>
            <color indexed="81"/>
            <rFont val="Tahoma"/>
            <family val="2"/>
          </rPr>
          <t xml:space="preserve">
Other includes dividends (-ve), capital injections (+ve), and movements in market value and FX.</t>
        </r>
      </text>
    </comment>
    <comment ref="CW1260" authorId="3" shapeId="0" xr:uid="{F6200D21-5292-43AF-B5D7-0DD884920DF2}">
      <text>
        <r>
          <rPr>
            <b/>
            <sz val="9"/>
            <color indexed="81"/>
            <rFont val="Tahoma"/>
            <family val="2"/>
          </rPr>
          <t>Wiles, Richard (Research):</t>
        </r>
        <r>
          <rPr>
            <sz val="9"/>
            <color indexed="81"/>
            <rFont val="Tahoma"/>
            <family val="2"/>
          </rPr>
          <t xml:space="preserve">
Other includes dividends (-ve), capital injections (+ve), and movements in market value and FX.</t>
        </r>
      </text>
    </comment>
    <comment ref="CZ1260" authorId="3" shapeId="0" xr:uid="{6D0D1C3D-CABA-44FD-8846-73F115D6E6F5}">
      <text>
        <r>
          <rPr>
            <b/>
            <sz val="9"/>
            <color indexed="81"/>
            <rFont val="Tahoma"/>
            <family val="2"/>
          </rPr>
          <t>Wiles, Richard (Research):</t>
        </r>
        <r>
          <rPr>
            <sz val="9"/>
            <color indexed="81"/>
            <rFont val="Tahoma"/>
            <family val="2"/>
          </rPr>
          <t xml:space="preserve">
Other includes dividends (-ve), capital injections (+ve), and movements in market value and FX.</t>
        </r>
      </text>
    </comment>
    <comment ref="DA1260" authorId="3" shapeId="0" xr:uid="{8AEA67E8-2DC8-4B4E-84E7-9FE0737F7269}">
      <text>
        <r>
          <rPr>
            <b/>
            <sz val="9"/>
            <color indexed="81"/>
            <rFont val="Tahoma"/>
            <family val="2"/>
          </rPr>
          <t>Wiles, Richard (Research):</t>
        </r>
        <r>
          <rPr>
            <sz val="9"/>
            <color indexed="81"/>
            <rFont val="Tahoma"/>
            <family val="2"/>
          </rPr>
          <t xml:space="preserve">
Other includes dividends (-ve), capital injections (+ve), and movements in market value and FX.</t>
        </r>
      </text>
    </comment>
    <comment ref="DD1260" authorId="3" shapeId="0" xr:uid="{99E68489-092B-477A-85E6-D996D1FD4153}">
      <text>
        <r>
          <rPr>
            <b/>
            <sz val="9"/>
            <color indexed="81"/>
            <rFont val="Tahoma"/>
            <family val="2"/>
          </rPr>
          <t>Wiles, Richard (Research):</t>
        </r>
        <r>
          <rPr>
            <sz val="9"/>
            <color indexed="81"/>
            <rFont val="Tahoma"/>
            <family val="2"/>
          </rPr>
          <t xml:space="preserve">
Other includes dividends (-ve), capital injections (+ve), and movements in market value and FX.</t>
        </r>
      </text>
    </comment>
    <comment ref="DE1260" authorId="3" shapeId="0" xr:uid="{08FDC403-F66A-45C3-9ED7-F02180EF580D}">
      <text>
        <r>
          <rPr>
            <b/>
            <sz val="9"/>
            <color indexed="81"/>
            <rFont val="Tahoma"/>
            <family val="2"/>
          </rPr>
          <t>Wiles, Richard (Research):</t>
        </r>
        <r>
          <rPr>
            <sz val="9"/>
            <color indexed="81"/>
            <rFont val="Tahoma"/>
            <family val="2"/>
          </rPr>
          <t xml:space="preserve">
Other includes dividends (-ve), capital injections (+ve), and movements in market value and FX.</t>
        </r>
      </text>
    </comment>
    <comment ref="DH1260" authorId="3" shapeId="0" xr:uid="{A7DC6170-8F01-4E8C-88EE-F64EDCA3C9C5}">
      <text>
        <r>
          <rPr>
            <b/>
            <sz val="9"/>
            <color indexed="81"/>
            <rFont val="Tahoma"/>
            <family val="2"/>
          </rPr>
          <t>Wiles, Richard (Research):</t>
        </r>
        <r>
          <rPr>
            <sz val="9"/>
            <color indexed="81"/>
            <rFont val="Tahoma"/>
            <family val="2"/>
          </rPr>
          <t xml:space="preserve">
Other includes dividends (-ve), capital injections (+ve), and movements in market value and FX.</t>
        </r>
      </text>
    </comment>
    <comment ref="DI1260" authorId="3" shapeId="0" xr:uid="{B380302C-EB81-4A9A-8E23-DF188A776F2B}">
      <text>
        <r>
          <rPr>
            <b/>
            <sz val="9"/>
            <color indexed="81"/>
            <rFont val="Tahoma"/>
            <family val="2"/>
          </rPr>
          <t>Wiles, Richard (Research):</t>
        </r>
        <r>
          <rPr>
            <sz val="9"/>
            <color indexed="81"/>
            <rFont val="Tahoma"/>
            <family val="2"/>
          </rPr>
          <t xml:space="preserve">
Other includes dividends (-ve), capital injections (+ve), and movements in market value and FX.</t>
        </r>
      </text>
    </comment>
    <comment ref="DL1260" authorId="3" shapeId="0" xr:uid="{80F434C9-15F9-4FBF-8F74-DE5AD220D261}">
      <text>
        <r>
          <rPr>
            <b/>
            <sz val="9"/>
            <color indexed="81"/>
            <rFont val="Tahoma"/>
            <family val="2"/>
          </rPr>
          <t>Wiles, Richard (Research):</t>
        </r>
        <r>
          <rPr>
            <sz val="9"/>
            <color indexed="81"/>
            <rFont val="Tahoma"/>
            <family val="2"/>
          </rPr>
          <t xml:space="preserve">
Other includes dividends (-ve), capital injections (+ve), and movements in market value and FX.</t>
        </r>
      </text>
    </comment>
    <comment ref="DM1260" authorId="3" shapeId="0" xr:uid="{FE192EA4-5F81-476D-93DB-ED0A21B1E79C}">
      <text>
        <r>
          <rPr>
            <b/>
            <sz val="9"/>
            <color indexed="81"/>
            <rFont val="Tahoma"/>
            <family val="2"/>
          </rPr>
          <t>Wiles, Richard (Research):</t>
        </r>
        <r>
          <rPr>
            <sz val="9"/>
            <color indexed="81"/>
            <rFont val="Tahoma"/>
            <family val="2"/>
          </rPr>
          <t xml:space="preserve">
Other includes dividends (-ve), capital injections (+ve), and movements in market value and FX.</t>
        </r>
      </text>
    </comment>
    <comment ref="DP1260" authorId="3" shapeId="0" xr:uid="{3D104285-EEDC-40E8-9457-B33BE46E9560}">
      <text>
        <r>
          <rPr>
            <b/>
            <sz val="9"/>
            <color indexed="81"/>
            <rFont val="Tahoma"/>
            <family val="2"/>
          </rPr>
          <t>Wiles, Richard (Research):</t>
        </r>
        <r>
          <rPr>
            <sz val="9"/>
            <color indexed="81"/>
            <rFont val="Tahoma"/>
            <family val="2"/>
          </rPr>
          <t xml:space="preserve">
Other includes dividends (-ve), capital injections (+ve), and movements in market value and FX.</t>
        </r>
      </text>
    </comment>
    <comment ref="DQ1260" authorId="3" shapeId="0" xr:uid="{FA42B83C-1FA5-4959-BCC7-749FF570BE37}">
      <text>
        <r>
          <rPr>
            <b/>
            <sz val="9"/>
            <color indexed="81"/>
            <rFont val="Tahoma"/>
            <family val="2"/>
          </rPr>
          <t>Wiles, Richard (Research):</t>
        </r>
        <r>
          <rPr>
            <sz val="9"/>
            <color indexed="81"/>
            <rFont val="Tahoma"/>
            <family val="2"/>
          </rPr>
          <t xml:space="preserve">
Other includes dividends (-ve), capital injections (+ve), and movements in market value and FX.</t>
        </r>
      </text>
    </comment>
    <comment ref="BP1271" authorId="6" shapeId="0" xr:uid="{1B63C67B-67E7-4E61-B6FC-3F096BE1869E}">
      <text>
        <r>
          <rPr>
            <b/>
            <sz val="8"/>
            <color indexed="81"/>
            <rFont val="Tahoma"/>
            <family val="2"/>
          </rPr>
          <t>richwile:</t>
        </r>
        <r>
          <rPr>
            <sz val="8"/>
            <color indexed="81"/>
            <rFont val="Tahoma"/>
            <family val="2"/>
          </rPr>
          <t xml:space="preserve">
PERLS VII announced 18/8/14. Rate of 2.8% above BBSW.</t>
        </r>
      </text>
    </comment>
    <comment ref="BT1271" authorId="6" shapeId="0" xr:uid="{0A9EA3AC-7C34-468E-B1FD-D9053FDB0151}">
      <text>
        <r>
          <rPr>
            <b/>
            <sz val="8"/>
            <color indexed="81"/>
            <rFont val="Tahoma"/>
            <family val="2"/>
          </rPr>
          <t>richwile:</t>
        </r>
        <r>
          <rPr>
            <sz val="8"/>
            <color indexed="81"/>
            <rFont val="Tahoma"/>
            <family val="2"/>
          </rPr>
          <t xml:space="preserve">
PERLS VII announced 18/8/14. Rate of 2.8% above BBSW.</t>
        </r>
      </text>
    </comment>
    <comment ref="CV1271" authorId="4" shapeId="0" xr:uid="{087F07D3-F4B8-4554-9D9A-54AA94B9B637}">
      <text>
        <r>
          <rPr>
            <b/>
            <sz val="9"/>
            <color indexed="81"/>
            <rFont val="Tahoma"/>
            <family val="2"/>
          </rPr>
          <t xml:space="preserve">Hong, Sally (Research):
ASX announcment 16/12/22:
</t>
        </r>
        <r>
          <rPr>
            <sz val="9"/>
            <color indexed="81"/>
            <rFont val="Tahoma"/>
            <family val="2"/>
          </rPr>
          <t>Perls VII redeemed on 15/12/22</t>
        </r>
        <r>
          <rPr>
            <b/>
            <sz val="9"/>
            <color indexed="81"/>
            <rFont val="Tahoma"/>
            <family val="2"/>
          </rPr>
          <t xml:space="preserve">
</t>
        </r>
        <r>
          <rPr>
            <sz val="9"/>
            <color indexed="81"/>
            <rFont val="Tahoma"/>
            <family val="2"/>
          </rPr>
          <t xml:space="preserve">
ASX announcemnet 18/10/22:
Issue A$750m PERLS XV on 15 Nov 2022 with Margin of 2.85%-3% above BBSW
Redeem A$3bn PERLX VII on 15 Dec 2022</t>
        </r>
      </text>
    </comment>
    <comment ref="CR1272" authorId="4" shapeId="0" xr:uid="{4EE8D114-F758-4979-8343-C6630B8E27EA}">
      <text>
        <r>
          <rPr>
            <b/>
            <sz val="9"/>
            <color indexed="81"/>
            <rFont val="Tahoma"/>
            <family val="2"/>
          </rPr>
          <t>Hong, Sally (Research):</t>
        </r>
        <r>
          <rPr>
            <sz val="9"/>
            <color indexed="81"/>
            <rFont val="Tahoma"/>
            <family val="2"/>
          </rPr>
          <t xml:space="preserve">
PERLS VIII redeemed in Oct 2021</t>
        </r>
      </text>
    </comment>
    <comment ref="CS1272" authorId="4" shapeId="0" xr:uid="{0E0A2286-6FB8-4A7A-A05E-47B9DA926EC6}">
      <text>
        <r>
          <rPr>
            <b/>
            <sz val="9"/>
            <color indexed="81"/>
            <rFont val="Tahoma"/>
            <family val="2"/>
          </rPr>
          <t>Hong, Sally (Research):</t>
        </r>
        <r>
          <rPr>
            <sz val="9"/>
            <color indexed="81"/>
            <rFont val="Tahoma"/>
            <family val="2"/>
          </rPr>
          <t xml:space="preserve">
PERLS VIII redeemed in Oct 2021</t>
        </r>
      </text>
    </comment>
    <comment ref="CS1273" authorId="4" shapeId="0" xr:uid="{157E4C87-CCBC-40AF-B83B-5E5B3085644C}">
      <text>
        <r>
          <rPr>
            <b/>
            <sz val="9"/>
            <color indexed="81"/>
            <rFont val="Tahoma"/>
            <family val="2"/>
          </rPr>
          <t>Hong, Sally (Research):</t>
        </r>
        <r>
          <rPr>
            <sz val="9"/>
            <color indexed="81"/>
            <rFont val="Tahoma"/>
            <family val="2"/>
          </rPr>
          <t xml:space="preserve">
PERLS IX will be redeemed by CBA on 31 March 2022 - (Announced 1 March 2022)</t>
        </r>
      </text>
    </comment>
    <comment ref="CW1273" authorId="6" shapeId="0" xr:uid="{283EC46A-CA33-46C2-ABEC-5636D7C42949}">
      <text>
        <r>
          <rPr>
            <b/>
            <sz val="8"/>
            <color indexed="81"/>
            <rFont val="Tahoma"/>
            <family val="2"/>
          </rPr>
          <t>richwile:</t>
        </r>
        <r>
          <rPr>
            <sz val="8"/>
            <color indexed="81"/>
            <rFont val="Tahoma"/>
            <family val="2"/>
          </rPr>
          <t xml:space="preserve">
assume issues of complying AT1 to offset run off of non complying instruments in Tier 1.</t>
        </r>
      </text>
    </comment>
    <comment ref="DA1273" authorId="6" shapeId="0" xr:uid="{47B81D3F-8C66-4C6C-B5B7-67CED68AAB4F}">
      <text>
        <r>
          <rPr>
            <b/>
            <sz val="8"/>
            <color indexed="81"/>
            <rFont val="Tahoma"/>
            <family val="2"/>
          </rPr>
          <t>richwile:</t>
        </r>
        <r>
          <rPr>
            <sz val="8"/>
            <color indexed="81"/>
            <rFont val="Tahoma"/>
            <family val="2"/>
          </rPr>
          <t xml:space="preserve">
assume issues of complying AT1 to offset run off of non complying instruments in Tier 1.</t>
        </r>
      </text>
    </comment>
    <comment ref="DE1273" authorId="6" shapeId="0" xr:uid="{E28C49BC-14D5-4CB5-8405-05C02701FB51}">
      <text>
        <r>
          <rPr>
            <b/>
            <sz val="8"/>
            <color indexed="81"/>
            <rFont val="Tahoma"/>
            <family val="2"/>
          </rPr>
          <t>richwile:</t>
        </r>
        <r>
          <rPr>
            <sz val="8"/>
            <color indexed="81"/>
            <rFont val="Tahoma"/>
            <family val="2"/>
          </rPr>
          <t xml:space="preserve">
assume issues of complying AT1 to offset run off of non complying instruments in Tier 1.</t>
        </r>
      </text>
    </comment>
    <comment ref="DI1273" authorId="6" shapeId="0" xr:uid="{9391DB1D-5785-490D-8C6C-7AA6AAC445E2}">
      <text>
        <r>
          <rPr>
            <b/>
            <sz val="8"/>
            <color indexed="81"/>
            <rFont val="Tahoma"/>
            <family val="2"/>
          </rPr>
          <t>richwile:</t>
        </r>
        <r>
          <rPr>
            <sz val="8"/>
            <color indexed="81"/>
            <rFont val="Tahoma"/>
            <family val="2"/>
          </rPr>
          <t xml:space="preserve">
assume issues of complying AT1 to offset run off of non complying instruments in Tier 1.</t>
        </r>
      </text>
    </comment>
    <comment ref="DM1273" authorId="6" shapeId="0" xr:uid="{FD103CD7-0A08-4692-93F4-F6CA7B8FEE04}">
      <text>
        <r>
          <rPr>
            <b/>
            <sz val="8"/>
            <color indexed="81"/>
            <rFont val="Tahoma"/>
            <family val="2"/>
          </rPr>
          <t>richwile:</t>
        </r>
        <r>
          <rPr>
            <sz val="8"/>
            <color indexed="81"/>
            <rFont val="Tahoma"/>
            <family val="2"/>
          </rPr>
          <t xml:space="preserve">
assume issues of complying AT1 to offset run off of non complying instruments in Tier 1.</t>
        </r>
      </text>
    </comment>
    <comment ref="DQ1273" authorId="6" shapeId="0" xr:uid="{4C034088-869D-473E-9320-C333087F29CC}">
      <text>
        <r>
          <rPr>
            <b/>
            <sz val="8"/>
            <color indexed="81"/>
            <rFont val="Tahoma"/>
            <family val="2"/>
          </rPr>
          <t>richwile:</t>
        </r>
        <r>
          <rPr>
            <sz val="8"/>
            <color indexed="81"/>
            <rFont val="Tahoma"/>
            <family val="2"/>
          </rPr>
          <t xml:space="preserve">
assume issues of complying AT1 to offset run off of non complying instruments in Tier 1.</t>
        </r>
      </text>
    </comment>
    <comment ref="DE1274" authorId="4" shapeId="0" xr:uid="{F531045A-C75C-4F64-8213-478BB1318BEF}">
      <text>
        <r>
          <rPr>
            <b/>
            <sz val="9"/>
            <color indexed="81"/>
            <rFont val="Tahoma"/>
            <family val="2"/>
          </rPr>
          <t>Hong, Sally (Research):</t>
        </r>
        <r>
          <rPr>
            <sz val="9"/>
            <color indexed="81"/>
            <rFont val="Tahoma"/>
            <family val="2"/>
          </rPr>
          <t xml:space="preserve">
ASX 17/3/25:
Redeemed by 3 April 2025</t>
        </r>
      </text>
    </comment>
    <comment ref="DA1275" authorId="4" shapeId="0" xr:uid="{666E590A-A0D5-4868-AAAE-D93402EE094D}">
      <text>
        <r>
          <rPr>
            <b/>
            <sz val="9"/>
            <color indexed="81"/>
            <rFont val="Tahoma"/>
            <family val="2"/>
          </rPr>
          <t>Hong, Sally (Research):</t>
        </r>
        <r>
          <rPr>
            <sz val="9"/>
            <color indexed="81"/>
            <rFont val="Tahoma"/>
            <family val="2"/>
          </rPr>
          <t xml:space="preserve">
Perls XI redeemed on 26/4/24</t>
        </r>
      </text>
    </comment>
    <comment ref="DD1275" authorId="4" shapeId="0" xr:uid="{D42B44D1-D257-4CB3-A57C-8240C9E3A049}">
      <text>
        <r>
          <rPr>
            <b/>
            <sz val="9"/>
            <color indexed="81"/>
            <rFont val="Tahoma"/>
            <family val="2"/>
          </rPr>
          <t>Hong, Sally (Research):</t>
        </r>
        <r>
          <rPr>
            <sz val="9"/>
            <color indexed="81"/>
            <rFont val="Tahoma"/>
            <family val="2"/>
          </rPr>
          <t xml:space="preserve">
Perls XI redeemed on 26/4/24</t>
        </r>
      </text>
    </comment>
    <comment ref="CS1278" authorId="4" shapeId="0" xr:uid="{CDCE1FB1-680C-47EB-ADF5-D9FC7DD47CD4}">
      <text>
        <r>
          <rPr>
            <b/>
            <sz val="9"/>
            <color indexed="81"/>
            <rFont val="Tahoma"/>
            <family val="2"/>
          </rPr>
          <t>Hong, Sally (Research):</t>
        </r>
        <r>
          <rPr>
            <sz val="9"/>
            <color indexed="81"/>
            <rFont val="Tahoma"/>
            <family val="2"/>
          </rPr>
          <t xml:space="preserve">
PERLS XIV  will be issued on 31 March 2022 - (Announced 1 March 2022)
Margin set at 2.75% p.a.
Revised Prospectus to be available 9th March 2022 (Announced 4 March 2022)</t>
        </r>
      </text>
    </comment>
    <comment ref="CV1279" authorId="4" shapeId="0" xr:uid="{D105C23E-3EBE-4043-A12E-6E2BA3C7E030}">
      <text>
        <r>
          <rPr>
            <b/>
            <sz val="9"/>
            <color indexed="81"/>
            <rFont val="Tahoma"/>
            <family val="2"/>
          </rPr>
          <t>Hong, Sally (Research):</t>
        </r>
        <r>
          <rPr>
            <sz val="9"/>
            <color indexed="81"/>
            <rFont val="Tahoma"/>
            <family val="2"/>
          </rPr>
          <t xml:space="preserve">
ASX Announcment on 15 Nov 2022:
-  Allocated $1.777bn @ 2.85% margin
ASX announcemnet 18/10/22:
Issue A$750m PERLS XV on 15 Nov 2022 with Margin of 2.85%-3% above BBSW
Redeem A$3bn PERLX VII on 15 Dec 2022</t>
        </r>
      </text>
    </comment>
    <comment ref="CW1280" authorId="4" shapeId="0" xr:uid="{66B116C1-C003-426B-A01E-B743093DEDA8}">
      <text>
        <r>
          <rPr>
            <b/>
            <sz val="9"/>
            <color indexed="81"/>
            <rFont val="Tahoma"/>
            <family val="2"/>
          </rPr>
          <t>Hong, Sally (Research):</t>
        </r>
        <r>
          <rPr>
            <sz val="9"/>
            <color indexed="81"/>
            <rFont val="Tahoma"/>
            <family val="2"/>
          </rPr>
          <t xml:space="preserve">
ASX announcmenet 17/5/23: Raised $1.55bn at 3.00%
ASX announcement 16/5/23: Launched PERLS XVI to raise A$750m</t>
        </r>
      </text>
    </comment>
    <comment ref="CB1282" authorId="8" shapeId="0" xr:uid="{5015D383-543A-4C4D-B8F4-F754901B717D}">
      <text>
        <r>
          <rPr>
            <b/>
            <sz val="9"/>
            <color indexed="81"/>
            <rFont val="Tahoma"/>
            <family val="2"/>
          </rPr>
          <t>Stadnik, Andrei (Research):</t>
        </r>
        <r>
          <rPr>
            <sz val="9"/>
            <color indexed="81"/>
            <rFont val="Tahoma"/>
            <family val="2"/>
          </rPr>
          <t xml:space="preserve">
looks for additional tier 1 capital</t>
        </r>
      </text>
    </comment>
    <comment ref="CF1282" authorId="8" shapeId="0" xr:uid="{D35FFC0E-8EB2-46BA-87AA-BE1584787B69}">
      <text>
        <r>
          <rPr>
            <b/>
            <sz val="9"/>
            <color indexed="81"/>
            <rFont val="Tahoma"/>
            <family val="2"/>
          </rPr>
          <t>Stadnik, Andrei (Research):</t>
        </r>
        <r>
          <rPr>
            <sz val="9"/>
            <color indexed="81"/>
            <rFont val="Tahoma"/>
            <family val="2"/>
          </rPr>
          <t xml:space="preserve">
looks for additional tier 1 capital</t>
        </r>
      </text>
    </comment>
    <comment ref="CJ1282" authorId="8" shapeId="0" xr:uid="{0322274D-5687-4C0D-B94C-09DED50133FF}">
      <text>
        <r>
          <rPr>
            <b/>
            <sz val="9"/>
            <color indexed="81"/>
            <rFont val="Tahoma"/>
            <family val="2"/>
          </rPr>
          <t>Stadnik, Andrei (Research):</t>
        </r>
        <r>
          <rPr>
            <sz val="9"/>
            <color indexed="81"/>
            <rFont val="Tahoma"/>
            <family val="2"/>
          </rPr>
          <t xml:space="preserve">
looks for additional tier 1 capital</t>
        </r>
      </text>
    </comment>
    <comment ref="BP1287" authorId="6" shapeId="0" xr:uid="{EA2DE5FD-FB46-45E6-B550-F8A52D4E24D4}">
      <text>
        <r>
          <rPr>
            <b/>
            <sz val="8"/>
            <color indexed="81"/>
            <rFont val="Tahoma"/>
            <family val="2"/>
          </rPr>
          <t>richwile:</t>
        </r>
        <r>
          <rPr>
            <sz val="8"/>
            <color indexed="81"/>
            <rFont val="Tahoma"/>
            <family val="2"/>
          </rPr>
          <t xml:space="preserve">
Redeemed on 14 Oct 2014, or converted into PERLS VII at the option of the holder.</t>
        </r>
      </text>
    </comment>
    <comment ref="BL1291" authorId="1" shapeId="0" xr:uid="{E54A714B-60F7-46BD-B6B2-FFC83E3F674E}">
      <text>
        <r>
          <rPr>
            <b/>
            <sz val="9"/>
            <color indexed="81"/>
            <rFont val="Tahoma"/>
            <family val="2"/>
          </rPr>
          <t>O'Neill, Emilie (Research):</t>
        </r>
        <r>
          <rPr>
            <sz val="9"/>
            <color indexed="81"/>
            <rFont val="Tahoma"/>
            <family val="2"/>
          </rPr>
          <t xml:space="preserve">
US$100m at spot FX</t>
        </r>
      </text>
    </comment>
    <comment ref="BX1291" authorId="1" shapeId="0" xr:uid="{3E26E85F-AA84-4DBB-B987-D818B2E1A9ED}">
      <text>
        <r>
          <rPr>
            <b/>
            <sz val="9"/>
            <color indexed="81"/>
            <rFont val="Tahoma"/>
            <family val="2"/>
          </rPr>
          <t>O'Neill, Emilie (Research):</t>
        </r>
        <r>
          <rPr>
            <sz val="9"/>
            <color indexed="81"/>
            <rFont val="Tahoma"/>
            <family val="2"/>
          </rPr>
          <t xml:space="preserve">
US$100m at spot FX</t>
        </r>
      </text>
    </comment>
    <comment ref="BY1291" authorId="1" shapeId="0" xr:uid="{E7318C0C-5651-43E4-BE81-EDCB87116EA4}">
      <text>
        <r>
          <rPr>
            <b/>
            <sz val="9"/>
            <color indexed="81"/>
            <rFont val="Tahoma"/>
            <family val="2"/>
          </rPr>
          <t>O'Neill, Emilie (Research):</t>
        </r>
        <r>
          <rPr>
            <sz val="9"/>
            <color indexed="81"/>
            <rFont val="Tahoma"/>
            <family val="2"/>
          </rPr>
          <t xml:space="preserve">
US$100m at spot FX</t>
        </r>
      </text>
    </comment>
    <comment ref="CC1291" authorId="1" shapeId="0" xr:uid="{F3AF9280-C5CE-421C-8017-FE580B56457C}">
      <text>
        <r>
          <rPr>
            <b/>
            <sz val="9"/>
            <color indexed="81"/>
            <rFont val="Tahoma"/>
            <family val="2"/>
          </rPr>
          <t>O'Neill, Emilie (Research):</t>
        </r>
        <r>
          <rPr>
            <sz val="9"/>
            <color indexed="81"/>
            <rFont val="Tahoma"/>
            <family val="2"/>
          </rPr>
          <t xml:space="preserve">
US$100m at spot FX</t>
        </r>
      </text>
    </comment>
    <comment ref="CG1291" authorId="1" shapeId="0" xr:uid="{82418194-7DAE-4120-BD83-F42A8ECF9785}">
      <text>
        <r>
          <rPr>
            <b/>
            <sz val="9"/>
            <color indexed="81"/>
            <rFont val="Tahoma"/>
            <family val="2"/>
          </rPr>
          <t>O'Neill, Emilie (Research):</t>
        </r>
        <r>
          <rPr>
            <sz val="9"/>
            <color indexed="81"/>
            <rFont val="Tahoma"/>
            <family val="2"/>
          </rPr>
          <t xml:space="preserve">
US$100m at spot FX</t>
        </r>
      </text>
    </comment>
    <comment ref="CC1308" authorId="4" shapeId="0" xr:uid="{3A174E1A-34D8-451F-98A2-29E71EE4D82D}">
      <text>
        <r>
          <rPr>
            <b/>
            <sz val="9"/>
            <color indexed="81"/>
            <rFont val="Tahoma"/>
            <family val="2"/>
          </rPr>
          <t>Hong, Sally (Research):</t>
        </r>
        <r>
          <rPr>
            <sz val="9"/>
            <color indexed="81"/>
            <rFont val="Tahoma"/>
            <family val="2"/>
          </rPr>
          <t xml:space="preserve">
$12.5bn RWA add-on in May 2018 by APRA
($1bn capital)</t>
        </r>
      </text>
    </comment>
    <comment ref="CN1308" authorId="4" shapeId="0" xr:uid="{82E74363-CC6C-4C52-BD09-E80CA0C4D33C}">
      <text>
        <r>
          <rPr>
            <b/>
            <sz val="9"/>
            <color indexed="81"/>
            <rFont val="Tahoma"/>
            <family val="2"/>
          </rPr>
          <t>Hong, Sally (Research):</t>
        </r>
        <r>
          <rPr>
            <sz val="9"/>
            <color indexed="81"/>
            <rFont val="Tahoma"/>
            <family val="2"/>
          </rPr>
          <t xml:space="preserve">
$6.25bn RWA add-on removed in Nov 2020 by APRA
($0.5bn capital)</t>
        </r>
      </text>
    </comment>
    <comment ref="CV1308" authorId="4" shapeId="0" xr:uid="{EAF2FEC0-EB37-4100-B88E-05970DAA829C}">
      <text>
        <r>
          <rPr>
            <b/>
            <sz val="9"/>
            <color indexed="81"/>
            <rFont val="Tahoma"/>
            <family val="2"/>
          </rPr>
          <t>Hong, Sally (Research):</t>
        </r>
        <r>
          <rPr>
            <sz val="9"/>
            <color indexed="81"/>
            <rFont val="Tahoma"/>
            <family val="2"/>
          </rPr>
          <t xml:space="preserve">
$6.25bn RWA add-on removed in 30 Sep-22 by APRA
($0.5bn capital)</t>
        </r>
      </text>
    </comment>
    <comment ref="BX1315" authorId="3" shapeId="0" xr:uid="{C915D1EC-C014-41C1-9C3B-E2E7334A389C}">
      <text>
        <r>
          <rPr>
            <b/>
            <sz val="9"/>
            <color indexed="81"/>
            <rFont val="Tahoma"/>
            <family val="2"/>
          </rPr>
          <t>Wiles, Richard (Research):</t>
        </r>
        <r>
          <rPr>
            <sz val="9"/>
            <color indexed="81"/>
            <rFont val="Tahoma"/>
            <family val="2"/>
          </rPr>
          <t xml:space="preserve">
80bp impact from "interim measures" (slide 90) implies A$32.2bn increase in mortgage RWAs</t>
        </r>
      </text>
    </comment>
    <comment ref="DA1317" authorId="4" shapeId="0" xr:uid="{422571FE-46BC-44CD-887C-BFA973B78B69}">
      <text>
        <r>
          <rPr>
            <b/>
            <sz val="9"/>
            <color indexed="81"/>
            <rFont val="Tahoma"/>
            <family val="2"/>
          </rPr>
          <t>Hong, Sally (Research):</t>
        </r>
        <r>
          <rPr>
            <sz val="9"/>
            <color indexed="81"/>
            <rFont val="Tahoma"/>
            <family val="2"/>
          </rPr>
          <t xml:space="preserve">
Restated in 2H25</t>
        </r>
      </text>
    </comment>
    <comment ref="DD1317" authorId="4" shapeId="0" xr:uid="{8586EF2F-C617-4565-9D95-7D8424E348F9}">
      <text>
        <r>
          <rPr>
            <b/>
            <sz val="9"/>
            <color indexed="81"/>
            <rFont val="Tahoma"/>
            <family val="2"/>
          </rPr>
          <t>Hong, Sally (Research):</t>
        </r>
        <r>
          <rPr>
            <sz val="9"/>
            <color indexed="81"/>
            <rFont val="Tahoma"/>
            <family val="2"/>
          </rPr>
          <t xml:space="preserve">
Restated in 2H25</t>
        </r>
      </text>
    </comment>
    <comment ref="DA1320" authorId="4" shapeId="0" xr:uid="{7449FBC0-E918-413B-A769-EC2AECB33F09}">
      <text>
        <r>
          <rPr>
            <b/>
            <sz val="9"/>
            <color indexed="81"/>
            <rFont val="Tahoma"/>
            <family val="2"/>
          </rPr>
          <t>Hong, Sally (Research):</t>
        </r>
        <r>
          <rPr>
            <sz val="9"/>
            <color indexed="81"/>
            <rFont val="Tahoma"/>
            <family val="2"/>
          </rPr>
          <t xml:space="preserve">
Restated in 2H25</t>
        </r>
      </text>
    </comment>
    <comment ref="DD1320" authorId="4" shapeId="0" xr:uid="{31EA8D08-339C-4846-8562-0B7EF3319055}">
      <text>
        <r>
          <rPr>
            <b/>
            <sz val="9"/>
            <color indexed="81"/>
            <rFont val="Tahoma"/>
            <family val="2"/>
          </rPr>
          <t>Hong, Sally (Research):</t>
        </r>
        <r>
          <rPr>
            <sz val="9"/>
            <color indexed="81"/>
            <rFont val="Tahoma"/>
            <family val="2"/>
          </rPr>
          <t xml:space="preserve">
Restated in 2H25</t>
        </r>
      </text>
    </comment>
    <comment ref="CV1323" authorId="4" shapeId="0" xr:uid="{F05FCA99-1162-4851-8890-7513BB982BB2}">
      <text>
        <r>
          <rPr>
            <b/>
            <sz val="9"/>
            <color indexed="81"/>
            <rFont val="Tahoma"/>
            <family val="2"/>
          </rPr>
          <t>Hong, Sally (Research):</t>
        </r>
        <r>
          <rPr>
            <sz val="9"/>
            <color indexed="81"/>
            <rFont val="Tahoma"/>
            <family val="2"/>
          </rPr>
          <t xml:space="preserve">
1Q23 Trading update:
Corporate RWA = 103,404bn… which was above previous forecast. Need to Increase RWAs by $1.5bn</t>
        </r>
      </text>
    </comment>
    <comment ref="BD1328" authorId="0" shapeId="0" xr:uid="{EA1C0CBD-CB91-413F-9337-1B69822183B1}">
      <text>
        <r>
          <rPr>
            <b/>
            <sz val="9"/>
            <color indexed="81"/>
            <rFont val="Tahoma"/>
            <family val="2"/>
          </rPr>
          <t>Dunger, Matt (Research):</t>
        </r>
        <r>
          <rPr>
            <sz val="9"/>
            <color indexed="81"/>
            <rFont val="Tahoma"/>
            <family val="2"/>
          </rPr>
          <t xml:space="preserve">
IRB plus standardised</t>
        </r>
      </text>
    </comment>
    <comment ref="BE1328" authorId="0" shapeId="0" xr:uid="{0802FBB5-4FED-4B76-8CB9-023E92D49923}">
      <text>
        <r>
          <rPr>
            <b/>
            <sz val="9"/>
            <color indexed="81"/>
            <rFont val="Tahoma"/>
            <family val="2"/>
          </rPr>
          <t>Dunger, Matt (Research):</t>
        </r>
        <r>
          <rPr>
            <sz val="9"/>
            <color indexed="81"/>
            <rFont val="Tahoma"/>
            <family val="2"/>
          </rPr>
          <t xml:space="preserve">
IRB plus standardised</t>
        </r>
      </text>
    </comment>
    <comment ref="BH1328" authorId="0" shapeId="0" xr:uid="{6BB0FB73-9698-474A-A81C-96BC8E241009}">
      <text>
        <r>
          <rPr>
            <b/>
            <sz val="9"/>
            <color indexed="81"/>
            <rFont val="Tahoma"/>
            <family val="2"/>
          </rPr>
          <t>Dunger, Matt (Research):</t>
        </r>
        <r>
          <rPr>
            <sz val="9"/>
            <color indexed="81"/>
            <rFont val="Tahoma"/>
            <family val="2"/>
          </rPr>
          <t xml:space="preserve">
IRB plus standardised</t>
        </r>
      </text>
    </comment>
    <comment ref="BI1328" authorId="0" shapeId="0" xr:uid="{ADC24A37-84AA-47B3-A2D4-9C3F9F35466A}">
      <text>
        <r>
          <rPr>
            <b/>
            <sz val="9"/>
            <color indexed="81"/>
            <rFont val="Tahoma"/>
            <family val="2"/>
          </rPr>
          <t>Dunger, Matt (Research):</t>
        </r>
        <r>
          <rPr>
            <sz val="9"/>
            <color indexed="81"/>
            <rFont val="Tahoma"/>
            <family val="2"/>
          </rPr>
          <t xml:space="preserve">
IRB plus standardised</t>
        </r>
      </text>
    </comment>
    <comment ref="BL1328" authorId="0" shapeId="0" xr:uid="{F8CC54FB-ADC6-4C6B-B6EA-AA3B3ECEB076}">
      <text>
        <r>
          <rPr>
            <b/>
            <sz val="9"/>
            <color indexed="81"/>
            <rFont val="Tahoma"/>
            <family val="2"/>
          </rPr>
          <t>Dunger, Matt (Research):</t>
        </r>
        <r>
          <rPr>
            <sz val="9"/>
            <color indexed="81"/>
            <rFont val="Tahoma"/>
            <family val="2"/>
          </rPr>
          <t xml:space="preserve">
IRB plus standardised</t>
        </r>
      </text>
    </comment>
    <comment ref="BM1328" authorId="0" shapeId="0" xr:uid="{075B75B2-B200-42B4-80AE-C857CA701599}">
      <text>
        <r>
          <rPr>
            <b/>
            <sz val="9"/>
            <color indexed="81"/>
            <rFont val="Tahoma"/>
            <family val="2"/>
          </rPr>
          <t>Dunger, Matt (Research):</t>
        </r>
        <r>
          <rPr>
            <sz val="9"/>
            <color indexed="81"/>
            <rFont val="Tahoma"/>
            <family val="2"/>
          </rPr>
          <t xml:space="preserve">
IRB plus standardised</t>
        </r>
      </text>
    </comment>
    <comment ref="BP1328" authorId="0" shapeId="0" xr:uid="{584F3B83-2685-418D-B0A3-33DD0FD9DFA4}">
      <text>
        <r>
          <rPr>
            <b/>
            <sz val="9"/>
            <color indexed="81"/>
            <rFont val="Tahoma"/>
            <family val="2"/>
          </rPr>
          <t>Dunger, Matt (Research):</t>
        </r>
        <r>
          <rPr>
            <sz val="9"/>
            <color indexed="81"/>
            <rFont val="Tahoma"/>
            <family val="2"/>
          </rPr>
          <t xml:space="preserve">
IRB plus standardised</t>
        </r>
      </text>
    </comment>
    <comment ref="BQ1328" authorId="0" shapeId="0" xr:uid="{F049D22F-01B8-47A4-811E-0F3CB7F746DD}">
      <text>
        <r>
          <rPr>
            <b/>
            <sz val="9"/>
            <color indexed="81"/>
            <rFont val="Tahoma"/>
            <family val="2"/>
          </rPr>
          <t>Dunger, Matt (Research):</t>
        </r>
        <r>
          <rPr>
            <sz val="9"/>
            <color indexed="81"/>
            <rFont val="Tahoma"/>
            <family val="2"/>
          </rPr>
          <t xml:space="preserve">
IRB plus standardised</t>
        </r>
      </text>
    </comment>
    <comment ref="BT1328" authorId="0" shapeId="0" xr:uid="{24128DE3-DB2D-4B60-97FF-BABE70833778}">
      <text>
        <r>
          <rPr>
            <b/>
            <sz val="9"/>
            <color indexed="81"/>
            <rFont val="Tahoma"/>
            <family val="2"/>
          </rPr>
          <t>Dunger, Matt (Research):</t>
        </r>
        <r>
          <rPr>
            <sz val="9"/>
            <color indexed="81"/>
            <rFont val="Tahoma"/>
            <family val="2"/>
          </rPr>
          <t xml:space="preserve">
IRB plus standardised</t>
        </r>
      </text>
    </comment>
    <comment ref="BU1328" authorId="0" shapeId="0" xr:uid="{8A84DA52-D829-4388-82AB-FBA4E2BED06E}">
      <text>
        <r>
          <rPr>
            <b/>
            <sz val="9"/>
            <color indexed="81"/>
            <rFont val="Tahoma"/>
            <family val="2"/>
          </rPr>
          <t>Dunger, Matt (Research):</t>
        </r>
        <r>
          <rPr>
            <sz val="9"/>
            <color indexed="81"/>
            <rFont val="Tahoma"/>
            <family val="2"/>
          </rPr>
          <t xml:space="preserve">
IRB plus standardised</t>
        </r>
      </text>
    </comment>
    <comment ref="BY1328" authorId="0" shapeId="0" xr:uid="{FB3AE227-487F-4449-B8E4-77ED035EB2C5}">
      <text>
        <r>
          <rPr>
            <b/>
            <sz val="9"/>
            <color indexed="81"/>
            <rFont val="Tahoma"/>
            <family val="2"/>
          </rPr>
          <t>Dunger, Matt (Research):</t>
        </r>
        <r>
          <rPr>
            <sz val="9"/>
            <color indexed="81"/>
            <rFont val="Tahoma"/>
            <family val="2"/>
          </rPr>
          <t xml:space="preserve">
IRB plus standardised</t>
        </r>
      </text>
    </comment>
    <comment ref="CF1328" authorId="1" shapeId="0" xr:uid="{3A26D6C0-8203-4FAE-B33B-BE5A391F9911}">
      <text>
        <r>
          <rPr>
            <b/>
            <sz val="9"/>
            <color indexed="81"/>
            <rFont val="Tahoma"/>
            <family val="2"/>
          </rPr>
          <t>O'Neill, Emilie (Research):</t>
        </r>
        <r>
          <rPr>
            <sz val="9"/>
            <color indexed="81"/>
            <rFont val="Tahoma"/>
            <family val="2"/>
          </rPr>
          <t xml:space="preserve">
IRB + Standardised</t>
        </r>
      </text>
    </comment>
    <comment ref="CJ1328" authorId="1" shapeId="0" xr:uid="{411C0FF0-0EF0-44EC-9EAC-4B49819718CE}">
      <text>
        <r>
          <rPr>
            <b/>
            <sz val="9"/>
            <color indexed="81"/>
            <rFont val="Tahoma"/>
            <family val="2"/>
          </rPr>
          <t>O'Neill, Emilie (Research):</t>
        </r>
        <r>
          <rPr>
            <sz val="9"/>
            <color indexed="81"/>
            <rFont val="Tahoma"/>
            <family val="2"/>
          </rPr>
          <t xml:space="preserve">
IRB + Standardised</t>
        </r>
      </text>
    </comment>
    <comment ref="CO1336" authorId="4" shapeId="0" xr:uid="{D620F5E6-0202-4D3B-AF0C-D930D89ABD56}">
      <text>
        <r>
          <rPr>
            <b/>
            <sz val="9"/>
            <color indexed="81"/>
            <rFont val="Tahoma"/>
            <family val="2"/>
          </rPr>
          <t>Hong, Sally (Research):</t>
        </r>
        <r>
          <rPr>
            <sz val="9"/>
            <color indexed="81"/>
            <rFont val="Tahoma"/>
            <family val="2"/>
          </rPr>
          <t xml:space="preserve">
Restated in 1H22</t>
        </r>
      </text>
    </comment>
    <comment ref="CW1345" authorId="3" shapeId="0" xr:uid="{D992EF35-1CB3-434B-8C65-C40A71491314}">
      <text>
        <r>
          <rPr>
            <b/>
            <sz val="9"/>
            <color indexed="81"/>
            <rFont val="Tahoma"/>
            <family val="2"/>
          </rPr>
          <t>Wiles, Richard (Research):</t>
        </r>
        <r>
          <rPr>
            <sz val="9"/>
            <color indexed="81"/>
            <rFont val="Tahoma"/>
            <family val="2"/>
          </rPr>
          <t xml:space="preserve">
estimated change to reflect new capital adequacy framework</t>
        </r>
      </text>
    </comment>
    <comment ref="CW1350" authorId="3" shapeId="0" xr:uid="{C61BAE3E-DBF5-45EA-8BA3-32B807DDAB8C}">
      <text>
        <r>
          <rPr>
            <b/>
            <sz val="9"/>
            <color indexed="81"/>
            <rFont val="Tahoma"/>
            <family val="2"/>
          </rPr>
          <t>Wiles, Richard (Research):</t>
        </r>
        <r>
          <rPr>
            <sz val="9"/>
            <color indexed="81"/>
            <rFont val="Tahoma"/>
            <family val="2"/>
          </rPr>
          <t xml:space="preserve">
estimated change to reflect new capital adequacy framework ... 70bp or A$30bn decline in total credit RWA … implies 46% corp RW density
then assume another reduction to 42.5% given better 3Q23 CEt1 </t>
        </r>
      </text>
    </comment>
    <comment ref="DE1350" authorId="3" shapeId="0" xr:uid="{FC0E3675-394B-4507-B7A5-7C4E11F3999F}">
      <text>
        <r>
          <rPr>
            <b/>
            <sz val="9"/>
            <color indexed="81"/>
            <rFont val="Tahoma"/>
            <family val="2"/>
          </rPr>
          <t>Wiles, Richard (Research):</t>
        </r>
        <r>
          <rPr>
            <sz val="9"/>
            <color indexed="81"/>
            <rFont val="Tahoma"/>
            <family val="2"/>
          </rPr>
          <t xml:space="preserve">
assume lower RW density based on 3Q25 RWA vs forecast</t>
        </r>
      </text>
    </comment>
    <comment ref="CW1351" authorId="3" shapeId="0" xr:uid="{E3CFDE3D-BCAA-489F-B7A9-5B87641E9A91}">
      <text>
        <r>
          <rPr>
            <b/>
            <sz val="9"/>
            <color indexed="81"/>
            <rFont val="Tahoma"/>
            <family val="2"/>
          </rPr>
          <t>Wiles, Richard (Research):</t>
        </r>
        <r>
          <rPr>
            <sz val="9"/>
            <color indexed="81"/>
            <rFont val="Tahoma"/>
            <family val="2"/>
          </rPr>
          <t xml:space="preserve">
estimated change to reflect new capital adequacy framework ... 70bp or A$30bn decline in total credit RWA … implies 65% corp RW density</t>
        </r>
      </text>
    </comment>
    <comment ref="CV1366" authorId="4" shapeId="0" xr:uid="{DFC428E6-C5DE-48DC-B44C-7F1EC99AC7EE}">
      <text>
        <r>
          <rPr>
            <b/>
            <sz val="9"/>
            <color indexed="81"/>
            <rFont val="Tahoma"/>
            <family val="2"/>
          </rPr>
          <t>Hong, Sally (Research):</t>
        </r>
        <r>
          <rPr>
            <sz val="9"/>
            <color indexed="81"/>
            <rFont val="Tahoma"/>
            <family val="2"/>
          </rPr>
          <t xml:space="preserve">
1Q23 Trading Update:
Market Risk was up $2700m … need to adjust upwards by $3bn </t>
        </r>
      </text>
    </comment>
    <comment ref="CV1368" authorId="3" shapeId="0" xr:uid="{A2A544E3-91F1-4310-9B59-2289C756C4A5}">
      <text>
        <r>
          <rPr>
            <b/>
            <sz val="9"/>
            <color indexed="81"/>
            <rFont val="Tahoma"/>
            <family val="2"/>
          </rPr>
          <t>Wiles, Richard (Research):</t>
        </r>
        <r>
          <rPr>
            <sz val="9"/>
            <color indexed="81"/>
            <rFont val="Tahoma"/>
            <family val="2"/>
          </rPr>
          <t xml:space="preserve">
1Q23 Trading Update:
IRRBB was up +$1700m … need to adjust upwards by $2bn
Refer slide 31 FY22 
+A$3bn pa for credit spread risk as bond portfoliio grows: -A$5bn pa on embedded loss … faster unwind if swap rate falls</t>
        </r>
      </text>
    </comment>
    <comment ref="CW1368" authorId="3" shapeId="0" xr:uid="{38EDA8E7-A3C1-4CEA-98F0-8A95D07C11A8}">
      <text>
        <r>
          <rPr>
            <b/>
            <sz val="9"/>
            <color indexed="81"/>
            <rFont val="Tahoma"/>
            <family val="2"/>
          </rPr>
          <t>Wiles, Richard (Research):</t>
        </r>
        <r>
          <rPr>
            <sz val="9"/>
            <color indexed="81"/>
            <rFont val="Tahoma"/>
            <family val="2"/>
          </rPr>
          <t xml:space="preserve">
+13bp benefit in 3Q23, with IRRBB at A$42bn 
Refer slide 31 FY22 
+A$3bn pa for credit spread risk as bond portfoliio grows: -A$5bn pa on embedded loss … faster unwind if swap rate falls</t>
        </r>
      </text>
    </comment>
    <comment ref="CZ1368" authorId="3" shapeId="0" xr:uid="{CCAA55AF-0F22-4ED5-A8E3-5266AD540032}">
      <text>
        <r>
          <rPr>
            <b/>
            <sz val="9"/>
            <color indexed="81"/>
            <rFont val="Tahoma"/>
            <family val="2"/>
          </rPr>
          <t>Wiles, Richard (Research):</t>
        </r>
        <r>
          <rPr>
            <sz val="9"/>
            <color indexed="81"/>
            <rFont val="Tahoma"/>
            <family val="2"/>
          </rPr>
          <t xml:space="preserve">
Refer slide 31 FY22 
Net -A$2bn p.a …..
+A$3bn pa for credit spread risk as bond portfoliio grows: -A$5bn pa on embedded loss … faster unwind if swap rate falls</t>
        </r>
      </text>
    </comment>
    <comment ref="DA1368" authorId="3" shapeId="0" xr:uid="{E790C492-5ED0-46BE-B64F-CF7828359944}">
      <text>
        <r>
          <rPr>
            <b/>
            <sz val="9"/>
            <color indexed="81"/>
            <rFont val="Tahoma"/>
            <family val="2"/>
          </rPr>
          <t>Wiles, Richard (Research):</t>
        </r>
        <r>
          <rPr>
            <sz val="9"/>
            <color indexed="81"/>
            <rFont val="Tahoma"/>
            <family val="2"/>
          </rPr>
          <t xml:space="preserve">
3Q24 Trading update A$45,067m of IRRBB RWAs 
</t>
        </r>
        <r>
          <rPr>
            <b/>
            <sz val="9"/>
            <color indexed="81"/>
            <rFont val="Tahoma"/>
            <family val="2"/>
          </rPr>
          <t>Previous</t>
        </r>
        <r>
          <rPr>
            <sz val="9"/>
            <color indexed="81"/>
            <rFont val="Tahoma"/>
            <family val="2"/>
          </rPr>
          <t xml:space="preserve">
Refer slide 31 FY22 
Net -A$2bn p.a …..
+A$3bn pa for credit spread risk as bond portfoliio grows: -A$5bn pa on embedded loss … faster unwind if swap rate falls</t>
        </r>
      </text>
    </comment>
    <comment ref="DD1368" authorId="3" shapeId="0" xr:uid="{7EA0ED9B-69A5-4B85-BAE6-6CEECF65FFE8}">
      <text>
        <r>
          <rPr>
            <b/>
            <sz val="9"/>
            <color indexed="81"/>
            <rFont val="Tahoma"/>
            <family val="2"/>
          </rPr>
          <t>Wiles, Richard (Research):</t>
        </r>
        <r>
          <rPr>
            <sz val="9"/>
            <color indexed="81"/>
            <rFont val="Tahoma"/>
            <family val="2"/>
          </rPr>
          <t xml:space="preserve">
Refer slide 31 FY22 
Net -A$2bn p.a …..
+A$3bn pa for credit spread risk as bond portfoliio grows: -A$5bn pa on embedded loss … faster unwind if swap rate falls</t>
        </r>
      </text>
    </comment>
    <comment ref="DE1368" authorId="3" shapeId="0" xr:uid="{263E9B3F-0F56-4737-9D95-26FB58FDFD0A}">
      <text>
        <r>
          <rPr>
            <b/>
            <sz val="9"/>
            <color indexed="81"/>
            <rFont val="Tahoma"/>
            <family val="2"/>
          </rPr>
          <t>Wiles, Richard (Research):</t>
        </r>
        <r>
          <rPr>
            <sz val="9"/>
            <color indexed="81"/>
            <rFont val="Tahoma"/>
            <family val="2"/>
          </rPr>
          <t xml:space="preserve">
Refer slide 31 FY22 
Net -A$2bn p.a …..
+A$3bn pa for credit spread risk as bond portfoliio grows: -A$5bn pa on embedded loss … faster unwind if swap rate falls</t>
        </r>
      </text>
    </comment>
    <comment ref="DH1368" authorId="3" shapeId="0" xr:uid="{7DDC2833-4DE0-4E03-94AE-7E51F921C1B9}">
      <text>
        <r>
          <rPr>
            <b/>
            <sz val="9"/>
            <color indexed="81"/>
            <rFont val="Tahoma"/>
            <family val="2"/>
          </rPr>
          <t>Wiles, Richard (Research):</t>
        </r>
        <r>
          <rPr>
            <sz val="9"/>
            <color indexed="81"/>
            <rFont val="Tahoma"/>
            <family val="2"/>
          </rPr>
          <t xml:space="preserve">
1Q26 trading update:
+20bp CET1 benefit from new APS 117 framework, impies A$8.4bn reduction in IRRBB on Sep-25 RWAs
</t>
        </r>
        <r>
          <rPr>
            <b/>
            <sz val="9"/>
            <color indexed="81"/>
            <rFont val="Tahoma"/>
            <family val="2"/>
          </rPr>
          <t>Previous;</t>
        </r>
        <r>
          <rPr>
            <sz val="9"/>
            <color indexed="81"/>
            <rFont val="Tahoma"/>
            <family val="2"/>
          </rPr>
          <t xml:space="preserve">
Refer slide 31 FY22 
Net -A$2bn p.a …..
+A$3bn pa for credit spread risk as bond portfoliio grows: -A$5bn pa on embedded loss … faster unwind if swap rate falls</t>
        </r>
      </text>
    </comment>
    <comment ref="CV1369" authorId="4" shapeId="0" xr:uid="{46F5D423-431B-44FF-A226-61FDCD20DB96}">
      <text>
        <r>
          <rPr>
            <b/>
            <sz val="9"/>
            <color indexed="81"/>
            <rFont val="Tahoma"/>
            <family val="2"/>
          </rPr>
          <t>Hong, Sally (Research):</t>
        </r>
        <r>
          <rPr>
            <sz val="9"/>
            <color indexed="81"/>
            <rFont val="Tahoma"/>
            <family val="2"/>
          </rPr>
          <t xml:space="preserve">
$6.25bn RWA add-on removed in 30 Sep-22 by APRA
($0.5bn capital)</t>
        </r>
      </text>
    </comment>
    <comment ref="DE1378" authorId="4" shapeId="0" xr:uid="{AA41DAB3-B9CD-4441-A079-00D1289F73AB}">
      <text>
        <r>
          <rPr>
            <b/>
            <sz val="9"/>
            <color indexed="81"/>
            <rFont val="Tahoma"/>
            <family val="2"/>
          </rPr>
          <t>Hong, Sally (Research):</t>
        </r>
        <r>
          <rPr>
            <sz val="9"/>
            <color indexed="81"/>
            <rFont val="Tahoma"/>
            <family val="2"/>
          </rPr>
          <t xml:space="preserve">
NO capital floor adjustment required in 3Q25</t>
        </r>
      </text>
    </comment>
    <comment ref="A1396" authorId="7" shapeId="0" xr:uid="{A3C1A118-459C-4B25-B6B4-E29C3B58C862}">
      <text>
        <r>
          <rPr>
            <b/>
            <sz val="8"/>
            <color indexed="81"/>
            <rFont val="Tahoma"/>
            <family val="2"/>
          </rPr>
          <t>Dunger:</t>
        </r>
        <r>
          <rPr>
            <sz val="8"/>
            <color indexed="81"/>
            <rFont val="Tahoma"/>
            <family val="2"/>
          </rPr>
          <t xml:space="preserve">
per Note 21. Analysis tmeplate</t>
        </r>
      </text>
    </comment>
    <comment ref="CB1396" authorId="1" shapeId="0" xr:uid="{CF199427-1CBC-489F-9610-9CCD14FD9959}">
      <text>
        <r>
          <rPr>
            <b/>
            <sz val="9"/>
            <color indexed="81"/>
            <rFont val="Tahoma"/>
            <family val="2"/>
          </rPr>
          <t>O'Neill, Emilie (Research):</t>
        </r>
        <r>
          <rPr>
            <sz val="9"/>
            <color indexed="81"/>
            <rFont val="Tahoma"/>
            <family val="2"/>
          </rPr>
          <t xml:space="preserve">
Restated 1H19</t>
        </r>
      </text>
    </comment>
    <comment ref="CC1396" authorId="1" shapeId="0" xr:uid="{9CD4FA47-63BD-43EE-9129-F485DC9E1D03}">
      <text>
        <r>
          <rPr>
            <b/>
            <sz val="9"/>
            <color indexed="81"/>
            <rFont val="Tahoma"/>
            <family val="2"/>
          </rPr>
          <t>O'Neill, Emilie (Research):</t>
        </r>
        <r>
          <rPr>
            <sz val="9"/>
            <color indexed="81"/>
            <rFont val="Tahoma"/>
            <family val="2"/>
          </rPr>
          <t xml:space="preserve">
Restated 1H19</t>
        </r>
      </text>
    </comment>
    <comment ref="CN1396" authorId="5" shapeId="0" xr:uid="{5E5BCE36-E963-4964-AF93-818E029EF5F2}">
      <text>
        <r>
          <rPr>
            <b/>
            <sz val="9"/>
            <color indexed="81"/>
            <rFont val="Tahoma"/>
            <family val="2"/>
          </rPr>
          <t>Fernandes, Sona (Research):</t>
        </r>
        <r>
          <rPr>
            <sz val="9"/>
            <color indexed="81"/>
            <rFont val="Tahoma"/>
            <family val="2"/>
          </rPr>
          <t xml:space="preserve">
Analysis Template</t>
        </r>
      </text>
    </comment>
    <comment ref="CR1396" authorId="5" shapeId="0" xr:uid="{351AC418-3170-4AF6-9441-5B5712EEFB06}">
      <text>
        <r>
          <rPr>
            <b/>
            <sz val="9"/>
            <color indexed="81"/>
            <rFont val="Tahoma"/>
            <family val="2"/>
          </rPr>
          <t>Fernandes, Sona (Research):</t>
        </r>
        <r>
          <rPr>
            <sz val="9"/>
            <color indexed="81"/>
            <rFont val="Tahoma"/>
            <family val="2"/>
          </rPr>
          <t xml:space="preserve">
Analysis Template</t>
        </r>
      </text>
    </comment>
    <comment ref="CW1403" authorId="4" shapeId="0" xr:uid="{6BCE90D5-C0D1-4935-AEFB-6708BEEA04F6}">
      <text>
        <r>
          <rPr>
            <b/>
            <sz val="9"/>
            <color indexed="81"/>
            <rFont val="Tahoma"/>
            <family val="2"/>
          </rPr>
          <t>Hong, Sally (Research):</t>
        </r>
        <r>
          <rPr>
            <sz val="9"/>
            <color indexed="81"/>
            <rFont val="Tahoma"/>
            <family val="2"/>
          </rPr>
          <t xml:space="preserve">
Restated in 1H24:
2H23 = 1.37%</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Hong, Sally (Research)</author>
  </authors>
  <commentList>
    <comment ref="D6" authorId="0" shapeId="0" xr:uid="{5B17B071-6123-4DDF-8933-B46D58BB1277}">
      <text>
        <r>
          <rPr>
            <b/>
            <sz val="9"/>
            <color indexed="81"/>
            <rFont val="Tahoma"/>
            <family val="2"/>
          </rPr>
          <t>Hong, Sally (Research):</t>
        </r>
        <r>
          <rPr>
            <sz val="9"/>
            <color indexed="81"/>
            <rFont val="Tahoma"/>
            <family val="2"/>
          </rPr>
          <t xml:space="preserve">
Next Half</t>
        </r>
      </text>
    </comment>
    <comment ref="D7" authorId="0" shapeId="0" xr:uid="{FF0E2465-16B3-4054-ACA9-90ECCF91D649}">
      <text>
        <r>
          <rPr>
            <b/>
            <sz val="9"/>
            <color indexed="81"/>
            <rFont val="Tahoma"/>
            <family val="2"/>
          </rPr>
          <t>Hong, Sally (Research):</t>
        </r>
        <r>
          <rPr>
            <sz val="9"/>
            <color indexed="81"/>
            <rFont val="Tahoma"/>
            <family val="2"/>
          </rPr>
          <t xml:space="preserve">
Next 2 Halves</t>
        </r>
      </text>
    </comment>
    <comment ref="D8" authorId="0" shapeId="0" xr:uid="{7F7D7CD3-EB76-4935-B7F1-F8B37DC00AE0}">
      <text>
        <r>
          <rPr>
            <b/>
            <sz val="9"/>
            <color indexed="81"/>
            <rFont val="Tahoma"/>
            <family val="2"/>
          </rPr>
          <t>Hong, Sally (Research):</t>
        </r>
        <r>
          <rPr>
            <sz val="9"/>
            <color indexed="81"/>
            <rFont val="Tahoma"/>
            <family val="2"/>
          </rPr>
          <t xml:space="preserve">
Last Reported Half</t>
        </r>
      </text>
    </comment>
    <comment ref="D9" authorId="0" shapeId="0" xr:uid="{AD08C288-9732-4935-94F6-A7215A1E0C54}">
      <text>
        <r>
          <rPr>
            <b/>
            <sz val="9"/>
            <color indexed="81"/>
            <rFont val="Tahoma"/>
            <family val="2"/>
          </rPr>
          <t>Hong, Sally (Research):</t>
        </r>
        <r>
          <rPr>
            <sz val="9"/>
            <color indexed="81"/>
            <rFont val="Tahoma"/>
            <family val="2"/>
          </rPr>
          <t xml:space="preserve">
Last Reported Half</t>
        </r>
      </text>
    </comment>
  </commentList>
</comments>
</file>

<file path=xl/sharedStrings.xml><?xml version="1.0" encoding="utf-8"?>
<sst xmlns="http://schemas.openxmlformats.org/spreadsheetml/2006/main" count="2578" uniqueCount="1627">
  <si>
    <t>COMMONWEALTH BANK OF AUSTRALIA (CBA)</t>
  </si>
  <si>
    <t>Richard Wiles (+612) 9770 1537</t>
  </si>
  <si>
    <t>Current Share Price</t>
  </si>
  <si>
    <t>Richard.Wiles@morganstanley.com</t>
  </si>
  <si>
    <t>Recommendation</t>
  </si>
  <si>
    <t>Underweight</t>
  </si>
  <si>
    <t>INCOME STATEMENT (A$m)</t>
  </si>
  <si>
    <t>SHARE RATIOS &amp; VALUATION</t>
  </si>
  <si>
    <t>Year End 30 June</t>
  </si>
  <si>
    <t>Share Price (A$)</t>
  </si>
  <si>
    <t>Net Interest Income</t>
  </si>
  <si>
    <t>Current Share Price (A$)</t>
  </si>
  <si>
    <t>Shares on Issue (m)</t>
  </si>
  <si>
    <t>Net Interest Margin</t>
  </si>
  <si>
    <t>Modelware P/E Multiple (x)</t>
  </si>
  <si>
    <t>Market Cap (A$m)</t>
  </si>
  <si>
    <t>Fees and Commissions</t>
  </si>
  <si>
    <t>Basic P/E Multiple (x)</t>
  </si>
  <si>
    <t>A$/US$</t>
  </si>
  <si>
    <t>Trading Income</t>
  </si>
  <si>
    <t>P/UP Multiple (x)</t>
  </si>
  <si>
    <t>Market Cap (US$m)</t>
  </si>
  <si>
    <t>A$m</t>
  </si>
  <si>
    <t>Other Income</t>
  </si>
  <si>
    <t>NTA per Share (A$)</t>
  </si>
  <si>
    <t>Pre Provision Profit (ex Notable Items)</t>
  </si>
  <si>
    <t>Banking Non Interest Income</t>
  </si>
  <si>
    <t>Book Value per Share (A$)</t>
  </si>
  <si>
    <t>Change (y-o-y)</t>
  </si>
  <si>
    <t>Banking Income</t>
  </si>
  <si>
    <t>Price/NTA (x)</t>
  </si>
  <si>
    <t>Cash Profit (ex Notable Items)</t>
  </si>
  <si>
    <t>Wealth Management Income</t>
  </si>
  <si>
    <t>Price/Book (x)</t>
  </si>
  <si>
    <t>Total Income</t>
  </si>
  <si>
    <t>Dividend per Share (¢)</t>
  </si>
  <si>
    <t>Total Operating Expenses</t>
  </si>
  <si>
    <t>Franking (%)</t>
  </si>
  <si>
    <t>Cash EPS</t>
  </si>
  <si>
    <t>Pre-Provision Profit</t>
  </si>
  <si>
    <t>Dividend Payout Ratio (%)</t>
  </si>
  <si>
    <t>Dividend per Share</t>
  </si>
  <si>
    <t>Impairment Charges</t>
  </si>
  <si>
    <t>Dividend Yield (%)</t>
  </si>
  <si>
    <t>ROE</t>
  </si>
  <si>
    <t>Pre-Tax Operating Profit</t>
  </si>
  <si>
    <t>Issued Shares (m)</t>
  </si>
  <si>
    <t>P/E Multiple</t>
  </si>
  <si>
    <t>Tax Expense</t>
  </si>
  <si>
    <t>Weighted Average Shares (m)</t>
  </si>
  <si>
    <t>P/BV Multiple</t>
  </si>
  <si>
    <t xml:space="preserve">Minority Interests </t>
  </si>
  <si>
    <t>Dividend Yield</t>
  </si>
  <si>
    <t>Continuing Cash Profit</t>
  </si>
  <si>
    <t>PERFORMANCE ANALYSIS (%)</t>
  </si>
  <si>
    <t>Discontinued Operations</t>
  </si>
  <si>
    <t>Reported Cash Profit</t>
  </si>
  <si>
    <t>Profitability</t>
  </si>
  <si>
    <t>Non Cash Items</t>
  </si>
  <si>
    <t>Income / Avg Assets (%)</t>
  </si>
  <si>
    <t>Reported Profit</t>
  </si>
  <si>
    <t>Expenses / Avg Assets (%)</t>
  </si>
  <si>
    <t>Notable Income Items (Pre-Tax)</t>
  </si>
  <si>
    <t>Underlying Profit / Avg Assets  (%)</t>
  </si>
  <si>
    <t>Notable Expense Items (Pre-Tax)</t>
  </si>
  <si>
    <t>Return on Avg Assets (ROA) (%)</t>
  </si>
  <si>
    <t>Notable Items (Post-Tax)</t>
  </si>
  <si>
    <t>Gearing (x)</t>
  </si>
  <si>
    <t>EPS, for Consensus (cps)</t>
  </si>
  <si>
    <t>Return on Ordinary Equity (ROE) (%)</t>
  </si>
  <si>
    <t>Continuing Cash EPS (cps)</t>
  </si>
  <si>
    <t>Return on Net Tangible Assets (RoNTA) (%)</t>
  </si>
  <si>
    <t>Reported Cash EPS (cps)</t>
  </si>
  <si>
    <t>Net Int Margin (%)</t>
  </si>
  <si>
    <t>Reported EPS (cps)</t>
  </si>
  <si>
    <t>Non Interest Income / Total Income (%)</t>
  </si>
  <si>
    <t>Dividend per Share (cps)</t>
  </si>
  <si>
    <t>Cost / Income (%)</t>
  </si>
  <si>
    <t>INCOME STATEMENT (EX NOTABLE ITEMS) (A$m)</t>
  </si>
  <si>
    <t>Underlying Tax Rate (%)</t>
  </si>
  <si>
    <t>CAPITAL ADEQUACY</t>
  </si>
  <si>
    <t>Credit Risk Weighted Assets (A$bn)</t>
  </si>
  <si>
    <t>Risk Weighted Assets (A$bn)</t>
  </si>
  <si>
    <t>Housing RWA / Housing EAD (%)</t>
  </si>
  <si>
    <t>Underlying Cost to Income Ratio</t>
  </si>
  <si>
    <t>BALANCE SHEET DATA (A$bn)</t>
  </si>
  <si>
    <t>Total RWA / Total Assets (%)</t>
  </si>
  <si>
    <t>Total Assets</t>
  </si>
  <si>
    <t>Common Equity Tier 1 Capital (A$bn)</t>
  </si>
  <si>
    <t>Housing Loans</t>
  </si>
  <si>
    <t>Additional Tier 1 Capital (A$bn)</t>
  </si>
  <si>
    <t>Non-Housing Loans</t>
  </si>
  <si>
    <t>Tier 1 Capital (A$bn)</t>
  </si>
  <si>
    <t>Gross Loans &amp; Acceptances</t>
  </si>
  <si>
    <t>APRA Basel III CET1 Ratio (%)</t>
  </si>
  <si>
    <t>Ordinary Shareholders' Equity</t>
  </si>
  <si>
    <t>International BCBS CET 1 Ratio (%)</t>
  </si>
  <si>
    <t>Total Deposits</t>
  </si>
  <si>
    <t>Tier 1 Ratio (%)</t>
  </si>
  <si>
    <t>Avg Loans &amp; Acceptances</t>
  </si>
  <si>
    <t>Ordinary Shareholders' Equity / Total Assets (%)</t>
  </si>
  <si>
    <t>Avg Interest Earning Assets</t>
  </si>
  <si>
    <t>Dividend Reinvestment Plan (DRP) (A$bn)</t>
  </si>
  <si>
    <t>Avg Total Assets</t>
  </si>
  <si>
    <t>Capital Raisings / (Buybacks) (A$bn)</t>
  </si>
  <si>
    <t>Avg Ordinary Shareholders' Equity</t>
  </si>
  <si>
    <t>GROWTH RATES (%, y-o-y)</t>
  </si>
  <si>
    <t>FUNDING</t>
  </si>
  <si>
    <t>EPS, for Consensus</t>
  </si>
  <si>
    <t>Continuing Cash EPS</t>
  </si>
  <si>
    <t>Deposits (excl CoD) / Total Funding (%)</t>
  </si>
  <si>
    <t>Reported Cash EPS</t>
  </si>
  <si>
    <t>Deposits (incl CoD) / Total Funding (%)</t>
  </si>
  <si>
    <t>Loan to Deposit Ratio (excl CoD) (%)</t>
  </si>
  <si>
    <t>ASSET QUALITY</t>
  </si>
  <si>
    <t>Total Non Interest Income</t>
  </si>
  <si>
    <t>Operating Expenses</t>
  </si>
  <si>
    <t>large</t>
  </si>
  <si>
    <t>Total Provisions (A$m)</t>
  </si>
  <si>
    <t>Individual Provision (A$m)</t>
  </si>
  <si>
    <t>Income (ex Notable Items)</t>
  </si>
  <si>
    <t>Individual Provision Cover (%)</t>
  </si>
  <si>
    <t>Expenses (ex Notable Items)</t>
  </si>
  <si>
    <t>Collective Provision (A$m)</t>
  </si>
  <si>
    <t>Pre-Provision Profit (ex Notable Items)</t>
  </si>
  <si>
    <t>Continuing Cash Profit (ex Notable Items)</t>
  </si>
  <si>
    <t>Collective Provision / Credit RWA (%)</t>
  </si>
  <si>
    <t>Collective Provision / RWA (%)</t>
  </si>
  <si>
    <t xml:space="preserve">Non-Housing Loans </t>
  </si>
  <si>
    <t>Individual Provision Charge/(Release) / Total Loans (%)</t>
  </si>
  <si>
    <t>Collective Provision Charge/(Release) / Total Loans (%)</t>
  </si>
  <si>
    <t>Australian Loans (local ccy)</t>
  </si>
  <si>
    <t>Impairment Charges / Avg Loans (%)</t>
  </si>
  <si>
    <t>New Zealand Loans (local ccy)</t>
  </si>
  <si>
    <t>Impairment Charges / Total Loans (%)</t>
  </si>
  <si>
    <t>Impairment Charges / Non-Housing Loans (%)</t>
  </si>
  <si>
    <t>Impairment Charges / Credit RWA (%)</t>
  </si>
  <si>
    <t>EXCHANGE RATE</t>
  </si>
  <si>
    <t>Avg Non Lending IEA</t>
  </si>
  <si>
    <t>Average A$/NZ$</t>
  </si>
  <si>
    <t>%</t>
  </si>
  <si>
    <t>1H00</t>
  </si>
  <si>
    <t>2H00</t>
  </si>
  <si>
    <t>FY00</t>
  </si>
  <si>
    <t>Ch</t>
  </si>
  <si>
    <t>1H01</t>
  </si>
  <si>
    <t>2H01</t>
  </si>
  <si>
    <t>FY01</t>
  </si>
  <si>
    <t>1H02</t>
  </si>
  <si>
    <t>2H02</t>
  </si>
  <si>
    <t>FY02</t>
  </si>
  <si>
    <t>1H03</t>
  </si>
  <si>
    <t>2H03</t>
  </si>
  <si>
    <t>FY03</t>
  </si>
  <si>
    <t>1H04</t>
  </si>
  <si>
    <t>2H04</t>
  </si>
  <si>
    <t>FY04</t>
  </si>
  <si>
    <t>1H05</t>
  </si>
  <si>
    <t>2H05</t>
  </si>
  <si>
    <t>FY05</t>
  </si>
  <si>
    <t>1H06</t>
  </si>
  <si>
    <t>2H06</t>
  </si>
  <si>
    <t>FY06</t>
  </si>
  <si>
    <t>1H07</t>
  </si>
  <si>
    <t>2H07</t>
  </si>
  <si>
    <t>FY07</t>
  </si>
  <si>
    <t>1H08</t>
  </si>
  <si>
    <t>2H08</t>
  </si>
  <si>
    <t>FY08</t>
  </si>
  <si>
    <t>1H09</t>
  </si>
  <si>
    <t>2H09</t>
  </si>
  <si>
    <t>FY09</t>
  </si>
  <si>
    <t>1H10</t>
  </si>
  <si>
    <t>2H10</t>
  </si>
  <si>
    <t>FY10</t>
  </si>
  <si>
    <t>1H11</t>
  </si>
  <si>
    <t>2H11</t>
  </si>
  <si>
    <t>FY11</t>
  </si>
  <si>
    <t>1H12</t>
  </si>
  <si>
    <t>2H12</t>
  </si>
  <si>
    <t>FY12</t>
  </si>
  <si>
    <t>1H13</t>
  </si>
  <si>
    <t>2H13</t>
  </si>
  <si>
    <t>FY13</t>
  </si>
  <si>
    <t>1H14</t>
  </si>
  <si>
    <t>2H14</t>
  </si>
  <si>
    <t>FY14</t>
  </si>
  <si>
    <t>1H15</t>
  </si>
  <si>
    <t>2H15</t>
  </si>
  <si>
    <t>FY15</t>
  </si>
  <si>
    <t>1H16</t>
  </si>
  <si>
    <t>2H16</t>
  </si>
  <si>
    <t>FY16</t>
  </si>
  <si>
    <t>1H17</t>
  </si>
  <si>
    <t>2H17</t>
  </si>
  <si>
    <t>FY17</t>
  </si>
  <si>
    <t>1H18</t>
  </si>
  <si>
    <t>2H18</t>
  </si>
  <si>
    <t>FY18</t>
  </si>
  <si>
    <t>1H19</t>
  </si>
  <si>
    <t>2H19</t>
  </si>
  <si>
    <t>FY19</t>
  </si>
  <si>
    <t>1H20</t>
  </si>
  <si>
    <t>2H20</t>
  </si>
  <si>
    <t>FY20</t>
  </si>
  <si>
    <t>1H21</t>
  </si>
  <si>
    <t>2H21</t>
  </si>
  <si>
    <t>FY21</t>
  </si>
  <si>
    <t>1H22</t>
  </si>
  <si>
    <t>2H22</t>
  </si>
  <si>
    <t>FY22</t>
  </si>
  <si>
    <t>1H23</t>
  </si>
  <si>
    <t>2H23</t>
  </si>
  <si>
    <t>FY23</t>
  </si>
  <si>
    <t>1H24</t>
  </si>
  <si>
    <t>2H24</t>
  </si>
  <si>
    <t>FY24</t>
  </si>
  <si>
    <t xml:space="preserve"> </t>
  </si>
  <si>
    <t>AGAAP</t>
  </si>
  <si>
    <t>AIFRS</t>
  </si>
  <si>
    <t>SUMMARY INCOME STATEMENT</t>
  </si>
  <si>
    <t>Net Interest Income (pre Bank Levy)</t>
  </si>
  <si>
    <t>Bank Levy</t>
  </si>
  <si>
    <t>Funds Management Income</t>
  </si>
  <si>
    <t>Insurance Income</t>
  </si>
  <si>
    <t>Investment Experience</t>
  </si>
  <si>
    <t>Other Operating Income</t>
  </si>
  <si>
    <t>Personnel Expenses</t>
  </si>
  <si>
    <t>Occupancy &amp; Equipment</t>
  </si>
  <si>
    <t>IT Services</t>
  </si>
  <si>
    <t>Other Expenses</t>
  </si>
  <si>
    <t>Less : Preference Share Dividends</t>
  </si>
  <si>
    <t>Cash Profit for EPS</t>
  </si>
  <si>
    <t>Growth (y-o-y)</t>
  </si>
  <si>
    <t>EXCHANGE RATES</t>
  </si>
  <si>
    <t>A$/NZ$ Spot</t>
  </si>
  <si>
    <t>F'cast</t>
  </si>
  <si>
    <t>A$/NZ$ Average</t>
  </si>
  <si>
    <t>A$/US$ Spot</t>
  </si>
  <si>
    <t>A$/US$ Average</t>
  </si>
  <si>
    <t>UNDERLYING</t>
  </si>
  <si>
    <t>CBA Basis</t>
  </si>
  <si>
    <t>Revenue</t>
  </si>
  <si>
    <t>Other One Offs</t>
  </si>
  <si>
    <t>Mortgage Broker Consolidation</t>
  </si>
  <si>
    <t>Total Notable Items in Revenue</t>
  </si>
  <si>
    <t>Underlying Revenue as per CBA Calc</t>
  </si>
  <si>
    <t>Expenses ex Remediation</t>
  </si>
  <si>
    <t>Customer Remediation</t>
  </si>
  <si>
    <t>Expenses</t>
  </si>
  <si>
    <t>Risk and Compliance Programs</t>
  </si>
  <si>
    <t>Insurance Recoveries</t>
  </si>
  <si>
    <t>Total Notable Items in Expenses</t>
  </si>
  <si>
    <t>Underlying Expenses as per CBA Calc</t>
  </si>
  <si>
    <t>Pre Provision Profit</t>
  </si>
  <si>
    <t>Underlying Pre Provision Profit as per CBA Calc</t>
  </si>
  <si>
    <t>Pre-Tax Operating Profit ex Notable Items</t>
  </si>
  <si>
    <t>Total Notable Items</t>
  </si>
  <si>
    <t>Tax</t>
  </si>
  <si>
    <t>Notable Items Post Tax</t>
  </si>
  <si>
    <t>Tax Expense ex Notable Items</t>
  </si>
  <si>
    <t>Cash Profit Ex Notable Items</t>
  </si>
  <si>
    <t>Morgan Stanley Basis</t>
  </si>
  <si>
    <t xml:space="preserve">One-off Revenue </t>
  </si>
  <si>
    <t xml:space="preserve">Underling Revenue </t>
  </si>
  <si>
    <t xml:space="preserve">One-off Expenses </t>
  </si>
  <si>
    <t>Underlying Expenses</t>
  </si>
  <si>
    <t>Underlying Pre Provision Profit</t>
  </si>
  <si>
    <t>BALANCE SHEET</t>
  </si>
  <si>
    <t>Loans &amp; Acceptances</t>
  </si>
  <si>
    <t>Australia</t>
  </si>
  <si>
    <t>Non Housing Loans</t>
  </si>
  <si>
    <t>Total Loans</t>
  </si>
  <si>
    <t>Change (h-o-h)</t>
  </si>
  <si>
    <t>Housing: RBA System Growth (h-o-h)</t>
  </si>
  <si>
    <t>CBA vs System</t>
  </si>
  <si>
    <t>Consumer Finance (incl Margin Loans)</t>
  </si>
  <si>
    <t>Business Loans</t>
  </si>
  <si>
    <t>Institutional / Other Loans</t>
  </si>
  <si>
    <t>Total Non Housing Loans</t>
  </si>
  <si>
    <t>New Zealand</t>
  </si>
  <si>
    <t>A$/NZ$</t>
  </si>
  <si>
    <t>NZ$m</t>
  </si>
  <si>
    <t>Other Overseas</t>
  </si>
  <si>
    <t>US$m</t>
  </si>
  <si>
    <t>Group Loans</t>
  </si>
  <si>
    <t>Gross Loans</t>
  </si>
  <si>
    <t>Acceptances</t>
  </si>
  <si>
    <t>per balance sheet</t>
  </si>
  <si>
    <t>Credit Quality</t>
  </si>
  <si>
    <t>New and Increased Impaired Assets</t>
  </si>
  <si>
    <t>h-o-h</t>
  </si>
  <si>
    <t>&gt;90DPD</t>
  </si>
  <si>
    <t>Impaired Assets</t>
  </si>
  <si>
    <t>Non Performing Loans</t>
  </si>
  <si>
    <t>New Impaired Assets / Gross Loans &amp; Acceptances</t>
  </si>
  <si>
    <t>New Impaired Assets / Non Housing Loans &amp; Acceptances</t>
  </si>
  <si>
    <t>&gt;90DPD / Gross Loans &amp; Acceptances</t>
  </si>
  <si>
    <t>Impaired Assets / Gross Loans &amp; Acceptances</t>
  </si>
  <si>
    <t>NPL Ratio</t>
  </si>
  <si>
    <t>Provisions</t>
  </si>
  <si>
    <t>Bad and Doubtful Debts Expense</t>
  </si>
  <si>
    <t>Specific Provision (Charge)</t>
  </si>
  <si>
    <t>Collective Provision (Charge) / Release</t>
  </si>
  <si>
    <t>Collective Provisions</t>
  </si>
  <si>
    <t>Opening balance</t>
  </si>
  <si>
    <t>Adjustments / FX</t>
  </si>
  <si>
    <t>Collective provision charges</t>
  </si>
  <si>
    <t>Closing balance</t>
  </si>
  <si>
    <t>Comprising:</t>
  </si>
  <si>
    <t>Off Balnce Sheet Exposures</t>
  </si>
  <si>
    <t>On Balance Sheet Exposures</t>
  </si>
  <si>
    <t>Specific Provisions</t>
  </si>
  <si>
    <t>Opening Balance</t>
  </si>
  <si>
    <t>Discount Unwind</t>
  </si>
  <si>
    <t>Exchange Rate Movements &amp; Other</t>
  </si>
  <si>
    <t>Recoveries</t>
  </si>
  <si>
    <t>Net Bad Debts Written Off</t>
  </si>
  <si>
    <t>Specific Provision Charge</t>
  </si>
  <si>
    <t>Closing Balance</t>
  </si>
  <si>
    <t>Total Provisions</t>
  </si>
  <si>
    <t>Unearned Income</t>
  </si>
  <si>
    <t>Provisions and Unearned Income</t>
  </si>
  <si>
    <t>Credit RWA</t>
  </si>
  <si>
    <t>RWA</t>
  </si>
  <si>
    <t>CP / Credit RWA</t>
  </si>
  <si>
    <t>CP / RWA</t>
  </si>
  <si>
    <t>Discount Unwind / Opening Specific Provision</t>
  </si>
  <si>
    <t>Unearned Income / Gross Loans &amp; Acceptances</t>
  </si>
  <si>
    <t>Collective Provisions / NHL</t>
  </si>
  <si>
    <t>Collective Provisions / Gross Loans &amp; Acceptances</t>
  </si>
  <si>
    <t>Total Provisions / Gross Loans &amp; Acceptances</t>
  </si>
  <si>
    <t>IP Coverage</t>
  </si>
  <si>
    <t>Implied Provisions on New and Increased Impaired Assets</t>
  </si>
  <si>
    <t>Ratio</t>
  </si>
  <si>
    <t>Deposits</t>
  </si>
  <si>
    <t>CoD</t>
  </si>
  <si>
    <t>Term Deposits</t>
  </si>
  <si>
    <t>Non Interest Bearing</t>
  </si>
  <si>
    <t>Other Deposits</t>
  </si>
  <si>
    <t>Repurchase agreements</t>
  </si>
  <si>
    <t>Term Deposits / Total Deposits</t>
  </si>
  <si>
    <t>Term Deposits/ Total Deposits</t>
  </si>
  <si>
    <t xml:space="preserve">Deposits </t>
  </si>
  <si>
    <t>Repurchase Agreements</t>
  </si>
  <si>
    <t>Total Deposits excl Repo's</t>
  </si>
  <si>
    <t xml:space="preserve">Total Deposits excl CoD and Repo's </t>
  </si>
  <si>
    <t>Summary Balance Sheet</t>
  </si>
  <si>
    <t>Net Loans</t>
  </si>
  <si>
    <t>Investments in Associates &amp; JVs</t>
  </si>
  <si>
    <t>Intangible Assets</t>
  </si>
  <si>
    <t>Other Assets</t>
  </si>
  <si>
    <t>Payables to Other Financial Institutions</t>
  </si>
  <si>
    <t>Debt Issues</t>
  </si>
  <si>
    <t>Implied</t>
  </si>
  <si>
    <t>Bills Payable and Other Liabilities</t>
  </si>
  <si>
    <t>Loan Capital</t>
  </si>
  <si>
    <t>Other Liabilities</t>
  </si>
  <si>
    <t>Total Liabilities</t>
  </si>
  <si>
    <t>Net Assets</t>
  </si>
  <si>
    <t>Shareholders Equity</t>
  </si>
  <si>
    <t>Net Tangible Assets</t>
  </si>
  <si>
    <t>Av Tangible Assets (calc)</t>
  </si>
  <si>
    <t>Net Loans / Total Assets</t>
  </si>
  <si>
    <t>Gross Loans &amp; Acceptances / Total Assets</t>
  </si>
  <si>
    <t>Other Assets / Gross Loans</t>
  </si>
  <si>
    <t>Other Assets / Total Assets</t>
  </si>
  <si>
    <t>Deposits / Total Liabilities</t>
  </si>
  <si>
    <t>Loan / Deposit Ratio</t>
  </si>
  <si>
    <t>Deposits / Total Loans</t>
  </si>
  <si>
    <t>Investments in Asssociates &amp; JVs</t>
  </si>
  <si>
    <t>Intangible Assets (per Appendices)</t>
  </si>
  <si>
    <t>Purchased Goodwill</t>
  </si>
  <si>
    <t>Computer Software Costs</t>
  </si>
  <si>
    <t>Core Deposits</t>
  </si>
  <si>
    <t>Managed Fee Rights</t>
  </si>
  <si>
    <t>Brand Names</t>
  </si>
  <si>
    <t>Other</t>
  </si>
  <si>
    <t>Total</t>
  </si>
  <si>
    <t>Check</t>
  </si>
  <si>
    <t>Capitalised Software</t>
  </si>
  <si>
    <t>Additions</t>
  </si>
  <si>
    <t>Amortisation</t>
  </si>
  <si>
    <t>Write-downs &amp; Reclassification</t>
  </si>
  <si>
    <t>Additions / Opening Balance</t>
  </si>
  <si>
    <t>Amortisation / Opening Balance</t>
  </si>
  <si>
    <t>Computer Software Costs (Change h-o-h)</t>
  </si>
  <si>
    <t>Investment Spending</t>
  </si>
  <si>
    <t>Capitalised</t>
  </si>
  <si>
    <t>Expensed</t>
  </si>
  <si>
    <t>Capitalised Software / Capitalised Investment Spend</t>
  </si>
  <si>
    <t>Funding</t>
  </si>
  <si>
    <t>Deposits / Loans &amp; Acceptances</t>
  </si>
  <si>
    <t>Payables to FI / Loans &amp; Acceptances</t>
  </si>
  <si>
    <t>Debts Issues / Loans &amp; Acceptances</t>
  </si>
  <si>
    <t>Bills Payable / Loans &amp; Acceptances</t>
  </si>
  <si>
    <t>Loan Capital / Loans &amp; Acceptances</t>
  </si>
  <si>
    <t>Other Liabilities / Loans &amp; Acceptances</t>
  </si>
  <si>
    <t>Adjustments to Balance Sheet Liabilities to arrive at Funding position</t>
  </si>
  <si>
    <t>Loans &amp; other receivables - collateral posted</t>
  </si>
  <si>
    <t>Receivables from other fin institutions - collateral posted</t>
  </si>
  <si>
    <t>Securities purchased under agreements to resell</t>
  </si>
  <si>
    <t xml:space="preserve"> - split into backing REPOs</t>
  </si>
  <si>
    <t xml:space="preserve"> - split into backing other wholesale</t>
  </si>
  <si>
    <t>Total Deposits (excl CoDs &amp; Repos) - calculated</t>
  </si>
  <si>
    <t>Total Deposits (excl CoDs &amp; Repos) - reported</t>
  </si>
  <si>
    <t>Total Deposits (excl CoDs &amp; Repos) - reported vs calculated</t>
  </si>
  <si>
    <t>Total Deposits (excl Repurchase Agreements)</t>
  </si>
  <si>
    <t>Total Debt Issues</t>
  </si>
  <si>
    <t>Total Loan Capital</t>
  </si>
  <si>
    <t>Shareholders Funds</t>
  </si>
  <si>
    <t>Other Funding</t>
  </si>
  <si>
    <t>Total Funding</t>
  </si>
  <si>
    <t>Total Funding ex Shareholders Funds - calculated</t>
  </si>
  <si>
    <t>Total Funding ex Shareholders Funds - reported</t>
  </si>
  <si>
    <t>Total Funding ex Shareholders Funds - reported vs calculated</t>
  </si>
  <si>
    <t>CoD / Total Deposits (ex Repos)</t>
  </si>
  <si>
    <t>Term Deposits / Total Deposits (incl CoD)</t>
  </si>
  <si>
    <t>Term Deposits / Total Deposits (excl CoD)</t>
  </si>
  <si>
    <t>Deposits (excl CoD) / Total Funding</t>
  </si>
  <si>
    <t>Deposits (incl CoD) / Total Funding</t>
  </si>
  <si>
    <t>Loan to Deposit Ratio (excl CoD)</t>
  </si>
  <si>
    <t>AV BALANCE SHEET</t>
  </si>
  <si>
    <t>Average Loans</t>
  </si>
  <si>
    <t>Non Lending AIEA</t>
  </si>
  <si>
    <t>Total AIEA</t>
  </si>
  <si>
    <t>Average Assets</t>
  </si>
  <si>
    <t>Total AIBL</t>
  </si>
  <si>
    <t>Average Liabilities</t>
  </si>
  <si>
    <t>Average Net Assets</t>
  </si>
  <si>
    <t>Av Pref Shares</t>
  </si>
  <si>
    <t>Av OEI</t>
  </si>
  <si>
    <t>Av Ord Equity</t>
  </si>
  <si>
    <t>Av Ord Equity (calculated)</t>
  </si>
  <si>
    <t xml:space="preserve">Difference </t>
  </si>
  <si>
    <t>AIEA / Av Loans</t>
  </si>
  <si>
    <t>Non Lending AIEA / Av Loans</t>
  </si>
  <si>
    <t>Non Lending AIEA / AIEA</t>
  </si>
  <si>
    <t>Av Assets / Av Loans</t>
  </si>
  <si>
    <t>Av Assets / AIEA</t>
  </si>
  <si>
    <t>Other Assets / AIEA</t>
  </si>
  <si>
    <t>Other Assets / Av Assets</t>
  </si>
  <si>
    <t>Average (calculated)</t>
  </si>
  <si>
    <t>Average Loans &amp; Acceptances</t>
  </si>
  <si>
    <t>Average Loans and Acceptance (calculated)</t>
  </si>
  <si>
    <t>Actual / Calculated</t>
  </si>
  <si>
    <t>Average Loans (calculated)</t>
  </si>
  <si>
    <t>AIBL / Av Liabilities</t>
  </si>
  <si>
    <t>INCOME STATEMENT</t>
  </si>
  <si>
    <t>Underlying Revenue</t>
  </si>
  <si>
    <t>Revenue ex Notable Items</t>
  </si>
  <si>
    <t>Notable Revenue Items</t>
  </si>
  <si>
    <t>Other Revenue</t>
  </si>
  <si>
    <t>Mortgage broker consolidation</t>
  </si>
  <si>
    <t>Total Notable revenue Items (Pre-Tax)</t>
  </si>
  <si>
    <t>Tax on Notable Revenue Items</t>
  </si>
  <si>
    <t>Total Notable Revenue Items (Post-Tax)</t>
  </si>
  <si>
    <t>Banking Revenue</t>
  </si>
  <si>
    <t>Interest Income</t>
  </si>
  <si>
    <t>Interest Expense</t>
  </si>
  <si>
    <t>Net Interest Income (pre levy)</t>
  </si>
  <si>
    <t>AIEA</t>
  </si>
  <si>
    <t>Margin Change (h-o-h)</t>
  </si>
  <si>
    <t>Margin Change (y-o-y)</t>
  </si>
  <si>
    <t>Net Interest Margin (ex Bank Levy)</t>
  </si>
  <si>
    <t>Margin Change (ex Levy) (h-o-h)</t>
  </si>
  <si>
    <t>Lending Rate</t>
  </si>
  <si>
    <t>Funding Rate</t>
  </si>
  <si>
    <t>Lending Spread</t>
  </si>
  <si>
    <t>Liquidity Dilution</t>
  </si>
  <si>
    <t>Net Interest Spread</t>
  </si>
  <si>
    <t>Benefit of Free Funds</t>
  </si>
  <si>
    <t>Closing Cash Rate</t>
  </si>
  <si>
    <t>Est</t>
  </si>
  <si>
    <t>Average Cash Rate</t>
  </si>
  <si>
    <t>Average 90BBSW</t>
  </si>
  <si>
    <t>90BBSW - Cash</t>
  </si>
  <si>
    <t>Loans: Interest Income</t>
  </si>
  <si>
    <t>Spread vs Av Cash Rate</t>
  </si>
  <si>
    <t xml:space="preserve"> Change (h-o-h)</t>
  </si>
  <si>
    <t>Non Lending IEA</t>
  </si>
  <si>
    <t>Other Assets: Interest Income</t>
  </si>
  <si>
    <t>Non Lending Rate</t>
  </si>
  <si>
    <t>Asset Yield</t>
  </si>
  <si>
    <t>AIBL</t>
  </si>
  <si>
    <t>Cost Above vs Av Cash Rate</t>
  </si>
  <si>
    <t>Cost Above vs Av 90BBSW</t>
  </si>
  <si>
    <t>Commissions</t>
  </si>
  <si>
    <t>Lending Fees</t>
  </si>
  <si>
    <t>Fees and Commission</t>
  </si>
  <si>
    <t>Other Banking Income</t>
  </si>
  <si>
    <t>Mortgage Broking</t>
  </si>
  <si>
    <t>Impairments</t>
  </si>
  <si>
    <t>Restructuring of Hedge / Other One Off items</t>
  </si>
  <si>
    <t>Profits from Associates (ex Impairments)</t>
  </si>
  <si>
    <t>Other (excl Profit from Associates)</t>
  </si>
  <si>
    <t>Sales</t>
  </si>
  <si>
    <t>Trading</t>
  </si>
  <si>
    <t>CVA/FVA</t>
  </si>
  <si>
    <t>Insitutional: Markets Income</t>
  </si>
  <si>
    <t>Total Markets Income</t>
  </si>
  <si>
    <t>Markets Income / Trading Income</t>
  </si>
  <si>
    <t>Other Markets Income / Trading Income</t>
  </si>
  <si>
    <t>Other Income (reconcilation only)</t>
  </si>
  <si>
    <t>Gain / Loss on Sale of Property</t>
  </si>
  <si>
    <t>Other Specified Gains on Sale / Write-downs</t>
  </si>
  <si>
    <t>Profit from Associates</t>
  </si>
  <si>
    <t>Other Income incl dividends and net hedging</t>
  </si>
  <si>
    <t>Other incl Financials Instruments (Balancing Item)</t>
  </si>
  <si>
    <t xml:space="preserve">Total Other Banking Income </t>
  </si>
  <si>
    <t/>
  </si>
  <si>
    <t>Wealth Management Revenue</t>
  </si>
  <si>
    <t>Wealth: Operating Income</t>
  </si>
  <si>
    <t>Wealth: Total Income</t>
  </si>
  <si>
    <t>Operating Income</t>
  </si>
  <si>
    <t>CFS GAM</t>
  </si>
  <si>
    <t>Other Australia and Overseas</t>
  </si>
  <si>
    <t>Australia and Overseas</t>
  </si>
  <si>
    <t>FM Revenue Margin</t>
  </si>
  <si>
    <t>Average FUA + AUM</t>
  </si>
  <si>
    <t>Opening FUA + AUM</t>
  </si>
  <si>
    <t>Restatement</t>
  </si>
  <si>
    <t>Inflows</t>
  </si>
  <si>
    <t>Outflows</t>
  </si>
  <si>
    <t>Investment Income &amp; Other</t>
  </si>
  <si>
    <t>Closing FUA + AUM</t>
  </si>
  <si>
    <t>Inflow Ratio</t>
  </si>
  <si>
    <t>Outflow Ratio</t>
  </si>
  <si>
    <t>Investment Return</t>
  </si>
  <si>
    <t>Insurance Revenue Margin</t>
  </si>
  <si>
    <t>Average Inforce Premium</t>
  </si>
  <si>
    <t xml:space="preserve">Life Insurance </t>
  </si>
  <si>
    <t>Opening Inforce Premium</t>
  </si>
  <si>
    <t>New Business</t>
  </si>
  <si>
    <t>Lapses</t>
  </si>
  <si>
    <t>Disposals</t>
  </si>
  <si>
    <t>Closing Inforce Premium</t>
  </si>
  <si>
    <t>New Business Ratio</t>
  </si>
  <si>
    <t>Lapse Ratio</t>
  </si>
  <si>
    <t>General Insurance</t>
  </si>
  <si>
    <t>Inforce Premiums</t>
  </si>
  <si>
    <t>Claims</t>
  </si>
  <si>
    <t>Insurance Revenue</t>
  </si>
  <si>
    <t>Premium Growth (h-o-h)</t>
  </si>
  <si>
    <t>Claims Ratio</t>
  </si>
  <si>
    <t>Underwriting Profit Margin</t>
  </si>
  <si>
    <t>Insurance Expenses</t>
  </si>
  <si>
    <t>Expense Ratio</t>
  </si>
  <si>
    <t>Insurance Profit Before Tax</t>
  </si>
  <si>
    <t>Insurance Profit After Tax</t>
  </si>
  <si>
    <t>Closing Inforce Premiums</t>
  </si>
  <si>
    <t>Life: Inforce</t>
  </si>
  <si>
    <t>General: Inforce</t>
  </si>
  <si>
    <t>Total Inforce Premium</t>
  </si>
  <si>
    <t>Investment Experience Pre-Tax</t>
  </si>
  <si>
    <t>Investment Experience Post-Tax</t>
  </si>
  <si>
    <t>Average Shareholders Funds</t>
  </si>
  <si>
    <t>Investment Return (pre tax)</t>
  </si>
  <si>
    <t>Tax Rate</t>
  </si>
  <si>
    <t>Expenses ex Remediation and Write-downs</t>
  </si>
  <si>
    <t>Write-downs</t>
  </si>
  <si>
    <t>Fines / Provisions</t>
  </si>
  <si>
    <t>Insurance Recovery</t>
  </si>
  <si>
    <t>Accelerated Amortisation / Write-down</t>
  </si>
  <si>
    <t>Restructuring Charges</t>
  </si>
  <si>
    <t>Releases and Rebates</t>
  </si>
  <si>
    <t>CTI Ratio</t>
  </si>
  <si>
    <t>CTI Ratio (underlying)</t>
  </si>
  <si>
    <t>Cost / Av Assets</t>
  </si>
  <si>
    <t>FTE</t>
  </si>
  <si>
    <t>Average FTE</t>
  </si>
  <si>
    <t>Staff Expenses / Average FTE</t>
  </si>
  <si>
    <t>Software Amortisation</t>
  </si>
  <si>
    <t>Application, Maintenance, Development</t>
  </si>
  <si>
    <t>Other IT Costs</t>
  </si>
  <si>
    <t>Accelrated Amortisation / Write-down</t>
  </si>
  <si>
    <t>Total IT Services Expense</t>
  </si>
  <si>
    <t>na</t>
  </si>
  <si>
    <t>Prepaid Software Amortisation</t>
  </si>
  <si>
    <t>Other Software Amortisation</t>
  </si>
  <si>
    <t>Software Write-Off</t>
  </si>
  <si>
    <t>Amortisation Expense</t>
  </si>
  <si>
    <t>Fines / Provision (AUSTRAC, ASIC BBSW etc)</t>
  </si>
  <si>
    <t>Restructuring</t>
  </si>
  <si>
    <t>Total: Change (h-o-h)</t>
  </si>
  <si>
    <t>Total: Change (y-o-y)</t>
  </si>
  <si>
    <t>Underlying: Change (h-o-h)</t>
  </si>
  <si>
    <t>Remediation: Staff Expenses</t>
  </si>
  <si>
    <t>Remediation: Occupancy</t>
  </si>
  <si>
    <t>Remediation: IT</t>
  </si>
  <si>
    <t>Remediation: Other</t>
  </si>
  <si>
    <t>Total Remediation</t>
  </si>
  <si>
    <t>One Off Regulatory Costs (incl Refunds / Remediation)</t>
  </si>
  <si>
    <t>Total Notable Expense Items</t>
  </si>
  <si>
    <t>Notable Expense Items (post tax)</t>
  </si>
  <si>
    <t>Discontinued remediation</t>
  </si>
  <si>
    <t>Other notable items: Mortgage Broker Consolidation</t>
  </si>
  <si>
    <t>Other Notable Items: Risk and Compliance Costs</t>
  </si>
  <si>
    <t>Individual Provision Charge</t>
  </si>
  <si>
    <t>Collective Provision Charge</t>
  </si>
  <si>
    <t>Impairment Charge</t>
  </si>
  <si>
    <t>Opening CP</t>
  </si>
  <si>
    <t>Adjustments</t>
  </si>
  <si>
    <t>CP Charge</t>
  </si>
  <si>
    <t>Closing CP</t>
  </si>
  <si>
    <t>IP Charge</t>
  </si>
  <si>
    <t>Total Charge</t>
  </si>
  <si>
    <t>Change in provisions</t>
  </si>
  <si>
    <t>Net charge off</t>
  </si>
  <si>
    <t>CP Charge / Total Loans</t>
  </si>
  <si>
    <t>IP Charge / Total Loans</t>
  </si>
  <si>
    <t>Total Charge / Total Loans</t>
  </si>
  <si>
    <t>Total Charge / Avge Loans</t>
  </si>
  <si>
    <t>Total Charge / Credit RWA</t>
  </si>
  <si>
    <t>Total Charge / Avge GLAs</t>
  </si>
  <si>
    <t>Non Housing Loans &amp; Acceptances</t>
  </si>
  <si>
    <t>CP Charge / Non Housing Loans</t>
  </si>
  <si>
    <t>IP Charge / Non Housing Loans</t>
  </si>
  <si>
    <t>Total Charge / Non Housing Loans</t>
  </si>
  <si>
    <t>Tax Expenses</t>
  </si>
  <si>
    <t>Pre Tax Profit</t>
  </si>
  <si>
    <t>Effective Tax Rate</t>
  </si>
  <si>
    <t>Non Deductible Items</t>
  </si>
  <si>
    <t>Adjusted Pre Tax Profit</t>
  </si>
  <si>
    <t>Underlying Tax Rate</t>
  </si>
  <si>
    <t>Effective Tax Rate (ex Notable Items)</t>
  </si>
  <si>
    <t>% Australian ADI</t>
  </si>
  <si>
    <t>Australian ADI Liabilities</t>
  </si>
  <si>
    <t>FCS Deposits</t>
  </si>
  <si>
    <t>Derivaties</t>
  </si>
  <si>
    <t>Tier 1 Capital Securities</t>
  </si>
  <si>
    <t>Exchange Settlement Accounts</t>
  </si>
  <si>
    <t>Assessable Liabilities</t>
  </si>
  <si>
    <t>FCS Deposits / Total Deposits</t>
  </si>
  <si>
    <t>Derivatives / Total Liabilities</t>
  </si>
  <si>
    <t>ESA / Total Liabilities</t>
  </si>
  <si>
    <t>Levy</t>
  </si>
  <si>
    <t xml:space="preserve">Bank Levy (pre tax) </t>
  </si>
  <si>
    <t>Check vs reported</t>
  </si>
  <si>
    <t>Other Items</t>
  </si>
  <si>
    <t>Minority Interests</t>
  </si>
  <si>
    <t>Minority Interest</t>
  </si>
  <si>
    <t>Non Cash Items (post tax) (incl DisContinued)</t>
  </si>
  <si>
    <t>Hedging and IFRS Volatility</t>
  </si>
  <si>
    <t>BankWest Non Cash Items</t>
  </si>
  <si>
    <t>Treasury Shares Valuation Adjustment</t>
  </si>
  <si>
    <t>Gain / (loss) on Acquisitions, Disposals etc</t>
  </si>
  <si>
    <t>Non Cash Items (pre tax)</t>
  </si>
  <si>
    <t>Non Cash Items (post tax)</t>
  </si>
  <si>
    <t>Effective tax rate</t>
  </si>
  <si>
    <t>Preference Share Distributions</t>
  </si>
  <si>
    <t>Discontinued Items</t>
  </si>
  <si>
    <t>Australian Life Businesses</t>
  </si>
  <si>
    <t>International Businesses</t>
  </si>
  <si>
    <t>Sovereign (New Zealand)</t>
  </si>
  <si>
    <t>CFS GAM Earnings</t>
  </si>
  <si>
    <t>Colonial First State</t>
  </si>
  <si>
    <t>Total Discontinued Items</t>
  </si>
  <si>
    <t>SHAREHOLDERS FUNDS</t>
  </si>
  <si>
    <t>Ordinary Share Capital</t>
  </si>
  <si>
    <t>Reserves</t>
  </si>
  <si>
    <t>Retained Earnings</t>
  </si>
  <si>
    <t>Ordinary Equity</t>
  </si>
  <si>
    <t>Other Equity Instruments</t>
  </si>
  <si>
    <t>Non-controlling interests</t>
  </si>
  <si>
    <t>Total Equity</t>
  </si>
  <si>
    <t>Capital Raising</t>
  </si>
  <si>
    <t>Dividend Reinvestment Plan</t>
  </si>
  <si>
    <t>DRP Buyback</t>
  </si>
  <si>
    <t>Buyback</t>
  </si>
  <si>
    <t>Net Sale / (Purchase) of Treasury Shares</t>
  </si>
  <si>
    <t>Other Issues</t>
  </si>
  <si>
    <t>Restatement/Other</t>
  </si>
  <si>
    <t>Gain / (Loss) on Defined Benefit Plan</t>
  </si>
  <si>
    <t>Income on Treasury Shares</t>
  </si>
  <si>
    <t>Available for Appropriation</t>
  </si>
  <si>
    <t>From / (To) Reserves</t>
  </si>
  <si>
    <t>Final Dividend</t>
  </si>
  <si>
    <t>Interim Dividend</t>
  </si>
  <si>
    <t>Other (Distributions on Other Equity Instruments)</t>
  </si>
  <si>
    <t>From / (To) Retained Earnings</t>
  </si>
  <si>
    <t>Outside Equity Interests</t>
  </si>
  <si>
    <t>SHARES ON ISSUE</t>
  </si>
  <si>
    <t>Closing Balance (incl Treasury Shares)</t>
  </si>
  <si>
    <t>Less: Treasury Shares</t>
  </si>
  <si>
    <t>Treasury Shares</t>
  </si>
  <si>
    <t>% of Total</t>
  </si>
  <si>
    <t>Non Controlling Interests</t>
  </si>
  <si>
    <t>Book Value per Share</t>
  </si>
  <si>
    <t>NTA per Share</t>
  </si>
  <si>
    <t>NTA ps: per Analysis Template</t>
  </si>
  <si>
    <t>NTA (incl Discontinued)</t>
  </si>
  <si>
    <t>Total NTA</t>
  </si>
  <si>
    <t>Difference</t>
  </si>
  <si>
    <t>CAPITAL MANAGEMENT</t>
  </si>
  <si>
    <t>Dividends</t>
  </si>
  <si>
    <t>Ordinary Dividend per Share</t>
  </si>
  <si>
    <t>Special Dividend per Shares</t>
  </si>
  <si>
    <t>Total Dividend per Share</t>
  </si>
  <si>
    <t>Shares on Issue</t>
  </si>
  <si>
    <t>Ordinary Dividend</t>
  </si>
  <si>
    <t>Special Dividend</t>
  </si>
  <si>
    <t>Total Dividend</t>
  </si>
  <si>
    <t>Cash Profit (post distributions)</t>
  </si>
  <si>
    <t>Ordinary Dividend Payout Ratio</t>
  </si>
  <si>
    <t>Special Dividend Payout Ratio</t>
  </si>
  <si>
    <t>Total Payout Ratio</t>
  </si>
  <si>
    <t>Net Total Payout Ratio</t>
  </si>
  <si>
    <t xml:space="preserve">Notable items </t>
  </si>
  <si>
    <t>Underlying Profit</t>
  </si>
  <si>
    <t>Underlying Payout Ratio</t>
  </si>
  <si>
    <t>% Franked</t>
  </si>
  <si>
    <t>Franking Rate (Aust Tax Rate)</t>
  </si>
  <si>
    <t>Dividend Grossed Up For Franking Credits (cents/share)</t>
  </si>
  <si>
    <t>Total Franking Credits Used (A$m)</t>
  </si>
  <si>
    <t>Reported Payout Ratio</t>
  </si>
  <si>
    <t>Net Payout Ratio</t>
  </si>
  <si>
    <t>Expenses ex Notable Items</t>
  </si>
  <si>
    <t>Pre Provision Profit ex Notable Items</t>
  </si>
  <si>
    <t>Loan Loss Rate</t>
  </si>
  <si>
    <t>Normalised Loan Loss Rate</t>
  </si>
  <si>
    <t>Normalised Impairment Charge</t>
  </si>
  <si>
    <t>Implied Pre Tax Profit</t>
  </si>
  <si>
    <t>Normalised Cash Profit</t>
  </si>
  <si>
    <t>Normalised Payout Ratio</t>
  </si>
  <si>
    <t>1H/2H Split</t>
  </si>
  <si>
    <t xml:space="preserve">CET1 Impact: Dividend </t>
  </si>
  <si>
    <t>CET1 Impact: Net of DRP</t>
  </si>
  <si>
    <t>CET1 Ratio (pre Dividend)</t>
  </si>
  <si>
    <t>CET1 Ratio (post Dividend)</t>
  </si>
  <si>
    <t xml:space="preserve">Total Dividend </t>
  </si>
  <si>
    <t>DRP Participation</t>
  </si>
  <si>
    <t>DRP Price</t>
  </si>
  <si>
    <t>Ordinary Shares</t>
  </si>
  <si>
    <t>DRP Neutralisation</t>
  </si>
  <si>
    <t>DRP Buyback - $m</t>
  </si>
  <si>
    <t>DRP Buyback - shares</t>
  </si>
  <si>
    <t>CET 1 Capital</t>
  </si>
  <si>
    <t>CET1 Ratio</t>
  </si>
  <si>
    <t>Minimum CET1 Ratio</t>
  </si>
  <si>
    <t>CET1 Ratio Deficit</t>
  </si>
  <si>
    <t>CET1 Deficit</t>
  </si>
  <si>
    <t>Target CET1 Ratio</t>
  </si>
  <si>
    <t>Implied Capital Raising</t>
  </si>
  <si>
    <t>Share Price</t>
  </si>
  <si>
    <t>Share Issue</t>
  </si>
  <si>
    <t>Buybacks</t>
  </si>
  <si>
    <t>CET1 Ratio: Buyback Trigger</t>
  </si>
  <si>
    <t>CET1 Ratio Surplus</t>
  </si>
  <si>
    <t>CET1 Surplus</t>
  </si>
  <si>
    <t>Implied Buyback</t>
  </si>
  <si>
    <t>Share Buyback</t>
  </si>
  <si>
    <t>Other Share Issues</t>
  </si>
  <si>
    <t>Other Issues / Opening Equity</t>
  </si>
  <si>
    <t>EPS</t>
  </si>
  <si>
    <t>Calculated Average</t>
  </si>
  <si>
    <t>Weighted Average Shares: Cash Basis</t>
  </si>
  <si>
    <t>Dilutionary Options</t>
  </si>
  <si>
    <t>Dilutive Securities</t>
  </si>
  <si>
    <t>Weighted Average Shares for Diluted Cash EPS</t>
  </si>
  <si>
    <t>Continuing Cash Profit for Basic EPS</t>
  </si>
  <si>
    <t>Earnings on Dilutive Securities</t>
  </si>
  <si>
    <t>Cash Profit for Diluted EPS</t>
  </si>
  <si>
    <t>Weighted Average Shares: Reported Basis</t>
  </si>
  <si>
    <t>Reported / Cash</t>
  </si>
  <si>
    <t>Reported Profit (post distributions)</t>
  </si>
  <si>
    <t>Dilution Adjusted Shares</t>
  </si>
  <si>
    <t>Weighted Average Shares: Diluted Cash Basis</t>
  </si>
  <si>
    <t>Dilution Factor</t>
  </si>
  <si>
    <t>Continuing Cash EPS (undiluted)</t>
  </si>
  <si>
    <t>Continuing Cash (diluted) EPS</t>
  </si>
  <si>
    <t>Modelware EPS</t>
  </si>
  <si>
    <t>Reported EPS (undiluted) - inlcudes discontinued Ops</t>
  </si>
  <si>
    <t>Reported EPS (diluted) - inlcudes discontinued Ops</t>
  </si>
  <si>
    <t>Underlying EPS ( ie pre loan losses)</t>
  </si>
  <si>
    <t>Capital Ratios</t>
  </si>
  <si>
    <t>Basel III</t>
  </si>
  <si>
    <t>Common Equity Tier 1</t>
  </si>
  <si>
    <t>Additional Tier 1</t>
  </si>
  <si>
    <t>Total Tier 1</t>
  </si>
  <si>
    <t>Tier 2</t>
  </si>
  <si>
    <t>Total Capital Ratio</t>
  </si>
  <si>
    <t xml:space="preserve">Target </t>
  </si>
  <si>
    <t>Surplus / Deficit</t>
  </si>
  <si>
    <t>CET1 Ratio (ex dividend)</t>
  </si>
  <si>
    <t xml:space="preserve">APRA CET1 </t>
  </si>
  <si>
    <t>Equity Investments</t>
  </si>
  <si>
    <t>DTA</t>
  </si>
  <si>
    <t>IRRBB</t>
  </si>
  <si>
    <t>Mortgages</t>
  </si>
  <si>
    <t>Other Exposures</t>
  </si>
  <si>
    <t>Total Adjustments</t>
  </si>
  <si>
    <t>International CET1</t>
  </si>
  <si>
    <t>Tier 1 Capital</t>
  </si>
  <si>
    <t>Add: Treasury Shares</t>
  </si>
  <si>
    <t>Less: Non Consol Sub RE and Reserves</t>
  </si>
  <si>
    <t>Less: Non Controlling Interests</t>
  </si>
  <si>
    <t>CET1 Capital Before Adjustments</t>
  </si>
  <si>
    <t>Less: Goodwill</t>
  </si>
  <si>
    <t>Less: Other Intangibles (ex software)</t>
  </si>
  <si>
    <t>Less: Capitalised Costs</t>
  </si>
  <si>
    <t>Less: Capitalised Software</t>
  </si>
  <si>
    <t>Less: Equity Investments</t>
  </si>
  <si>
    <t>Less: Investments in Non Consol Subs</t>
  </si>
  <si>
    <t>Less: GRCL</t>
  </si>
  <si>
    <t>Less: Shortfall of Provisions to Expected Loss</t>
  </si>
  <si>
    <t>Less: Other Deductions</t>
  </si>
  <si>
    <t>Total Deductions</t>
  </si>
  <si>
    <t>CET1 Capital</t>
  </si>
  <si>
    <t>Complying Instruments</t>
  </si>
  <si>
    <t>Non Complying Instruments (net)</t>
  </si>
  <si>
    <t>Additional Tier 1 Capital</t>
  </si>
  <si>
    <t>Total Tier 1 Capital</t>
  </si>
  <si>
    <t>Treasures Shares / Total Shares</t>
  </si>
  <si>
    <t>Goodwill per Balance Sheet</t>
  </si>
  <si>
    <t>Goodwill</t>
  </si>
  <si>
    <t>Acquisitions</t>
  </si>
  <si>
    <t>Other Movements / Opening Balance</t>
  </si>
  <si>
    <t>Goodwill: Capital / Balance Sheet</t>
  </si>
  <si>
    <t>Capitalised Software per Balance Sheet</t>
  </si>
  <si>
    <t>Tier 1 Deduction</t>
  </si>
  <si>
    <t>Other Intangibles per Balance Sheet</t>
  </si>
  <si>
    <t>Investments in Non Consol Subsidiaries</t>
  </si>
  <si>
    <t>Acquisitions / Disposals</t>
  </si>
  <si>
    <t>Non Recourse Debt Maturity</t>
  </si>
  <si>
    <t>% of RWA</t>
  </si>
  <si>
    <t>GRCL post tax</t>
  </si>
  <si>
    <t>GRCL pre tax</t>
  </si>
  <si>
    <t>CP + GRCL</t>
  </si>
  <si>
    <t>GRCL pre tax / RWA</t>
  </si>
  <si>
    <t>CP + GRCL / RWA</t>
  </si>
  <si>
    <t>Individual Provisions</t>
  </si>
  <si>
    <t>Other (incl GRCL)</t>
  </si>
  <si>
    <t>Total Eligible Provisions</t>
  </si>
  <si>
    <t>Regulatory Expected Loss</t>
  </si>
  <si>
    <t>EL / RWA</t>
  </si>
  <si>
    <t>(Shortfall) / Excess to EL (pre tax)</t>
  </si>
  <si>
    <t>Tier 2 Addition</t>
  </si>
  <si>
    <t>Other / Dividends Received</t>
  </si>
  <si>
    <t>Other / Opening</t>
  </si>
  <si>
    <t>Other Deductions (change h-o-h)</t>
  </si>
  <si>
    <t>PERLS VI</t>
  </si>
  <si>
    <t>PERLS VII</t>
  </si>
  <si>
    <t>PERLS VIII</t>
  </si>
  <si>
    <t>PERLS IX</t>
  </si>
  <si>
    <t>PERLS X</t>
  </si>
  <si>
    <t>PERLS XI</t>
  </si>
  <si>
    <t>PERLS XII</t>
  </si>
  <si>
    <t>PERLS XIII</t>
  </si>
  <si>
    <t>PERLS XIV</t>
  </si>
  <si>
    <t>PERLS XV</t>
  </si>
  <si>
    <t>PERLS XVI</t>
  </si>
  <si>
    <t>cross check</t>
  </si>
  <si>
    <t>Non Complying Instruments</t>
  </si>
  <si>
    <t>PERLS III (A$1,166m)</t>
  </si>
  <si>
    <t>Debt</t>
  </si>
  <si>
    <t>PERLS V (A$2,000m)</t>
  </si>
  <si>
    <t>TPS 2003 (US$500m)</t>
  </si>
  <si>
    <t>TPS 2006 (US$700m)</t>
  </si>
  <si>
    <t>Equity</t>
  </si>
  <si>
    <t>ASB PPP (NZ$550m)</t>
  </si>
  <si>
    <t>PEFRN (US$100m)</t>
  </si>
  <si>
    <t>Maximium Allowable</t>
  </si>
  <si>
    <t>% Allowable</t>
  </si>
  <si>
    <t>Holding of Additional Tier 1 (CMLA)</t>
  </si>
  <si>
    <t>Tier 2 Capital</t>
  </si>
  <si>
    <t>Risk Weighted Assets</t>
  </si>
  <si>
    <t>Basel II</t>
  </si>
  <si>
    <t>Market Risk</t>
  </si>
  <si>
    <t>Operational Risk</t>
  </si>
  <si>
    <t>Total RWA</t>
  </si>
  <si>
    <t>Other Loans</t>
  </si>
  <si>
    <t>Lending RWA</t>
  </si>
  <si>
    <t>Secuitisation</t>
  </si>
  <si>
    <t>CVA</t>
  </si>
  <si>
    <t>Central Counterparts</t>
  </si>
  <si>
    <t>Corporate RWA</t>
  </si>
  <si>
    <t>Specialised Lending RWA</t>
  </si>
  <si>
    <t>Other RWA</t>
  </si>
  <si>
    <t>Non Mortgage Lending RWA</t>
  </si>
  <si>
    <t>Housing EAD</t>
  </si>
  <si>
    <t>Non Housing EAD</t>
  </si>
  <si>
    <t>Total EAD</t>
  </si>
  <si>
    <t>Housing EAD / Loans</t>
  </si>
  <si>
    <t>Non Housing EAD / Loans</t>
  </si>
  <si>
    <t>Corporate EAD</t>
  </si>
  <si>
    <t>Specialised Lending EAD</t>
  </si>
  <si>
    <t>Other Non Housing AD</t>
  </si>
  <si>
    <t>Mix</t>
  </si>
  <si>
    <t>Mortgage: RWA / EAD</t>
  </si>
  <si>
    <t>Mortgage: RWA / Loans</t>
  </si>
  <si>
    <t>Lending RWA / Loans</t>
  </si>
  <si>
    <t>Corporate RWA / EAD</t>
  </si>
  <si>
    <t>Specialised Lending RWA / EAD</t>
  </si>
  <si>
    <t>Corporate and Specialised Lending RWA / EAD</t>
  </si>
  <si>
    <t>Other Non Housing RWA / EAD</t>
  </si>
  <si>
    <t>Other Lending: RWA / Loans</t>
  </si>
  <si>
    <t>Other Lending: RWA / Non Housing EAD</t>
  </si>
  <si>
    <t>Credit RWA / Loans</t>
  </si>
  <si>
    <t>Credit RWA / EAD</t>
  </si>
  <si>
    <t>IRRBB / Credit RWA</t>
  </si>
  <si>
    <t>Op Risk / Credit RWA</t>
  </si>
  <si>
    <t>Market Risk / Total Assets</t>
  </si>
  <si>
    <t>IRRBB / Total Assets</t>
  </si>
  <si>
    <t>Op Risk / Total Assets</t>
  </si>
  <si>
    <t>Total RWA / Total Assets</t>
  </si>
  <si>
    <t>RETURNS</t>
  </si>
  <si>
    <t>Average Ordinary Equity</t>
  </si>
  <si>
    <t>Av Treasury Shares</t>
  </si>
  <si>
    <t>Net Av Ord Equity</t>
  </si>
  <si>
    <t>Av Intangible Assets</t>
  </si>
  <si>
    <t>Av Tangible Equity</t>
  </si>
  <si>
    <t>Return on Ordinary Equity ex Notables  (%)</t>
  </si>
  <si>
    <t>Average RWA</t>
  </si>
  <si>
    <t>Net Int Income / Avg Assets (%)</t>
  </si>
  <si>
    <t>Other Banking Income / Avg Assets (%)</t>
  </si>
  <si>
    <t>Banking Income / Avg Assets (%)</t>
  </si>
  <si>
    <t>Wealth Income / Avg Assets (%)</t>
  </si>
  <si>
    <t>Impairment Charge / Avg Assets  (%)</t>
  </si>
  <si>
    <t>Pre-tax Return on Avg Assets (%)</t>
  </si>
  <si>
    <t>Tax and OEI on Avg Assets (%)</t>
  </si>
  <si>
    <t>Less Preference Share Distributions</t>
  </si>
  <si>
    <t>Underlying Profit / Avg RWA (%)</t>
  </si>
  <si>
    <t>Return on Avg RWA (%)</t>
  </si>
  <si>
    <t>Loans</t>
  </si>
  <si>
    <t>2H26E</t>
  </si>
  <si>
    <t>1H27E</t>
  </si>
  <si>
    <t>FY26E</t>
  </si>
  <si>
    <t>Housing Loan Growth</t>
  </si>
  <si>
    <t>Base Case</t>
  </si>
  <si>
    <t>Cost of Equity</t>
  </si>
  <si>
    <t>Cash Profit</t>
  </si>
  <si>
    <t>Cash Profit ex Notable Items</t>
  </si>
  <si>
    <t>Cash Payout Ratio</t>
  </si>
  <si>
    <t>Market Risk RWA</t>
  </si>
  <si>
    <t>Change</t>
  </si>
  <si>
    <t>Non Housing Loan Growth</t>
  </si>
  <si>
    <t>Loan Growth</t>
  </si>
  <si>
    <t>Av Loans</t>
  </si>
  <si>
    <t>Av Other IEA</t>
  </si>
  <si>
    <t>Margin</t>
  </si>
  <si>
    <t>Underlying Income</t>
  </si>
  <si>
    <t>Notable Income Items</t>
  </si>
  <si>
    <t>Notable Items in Expenses</t>
  </si>
  <si>
    <t>Charge / Loans</t>
  </si>
  <si>
    <t>Charge / Non Housing Loans</t>
  </si>
  <si>
    <t>Discontinued</t>
  </si>
  <si>
    <t>Av Shares</t>
  </si>
  <si>
    <t>Underlying Cash EPS</t>
  </si>
  <si>
    <t>Bull Case</t>
  </si>
  <si>
    <t>Bear Case</t>
  </si>
  <si>
    <t>Notable Items in Income</t>
  </si>
  <si>
    <t>Underlying Pre-Provision Profit</t>
  </si>
  <si>
    <t>Underlying Pre Tax Profit</t>
  </si>
  <si>
    <t>BV per Share (Base)</t>
  </si>
  <si>
    <t>CBA SHARE PRICE TARGET</t>
  </si>
  <si>
    <t>12-month fwd Earnings per Share</t>
  </si>
  <si>
    <t>Bull Case P/E Multiple</t>
  </si>
  <si>
    <t>Implied Bull Case Valuation</t>
  </si>
  <si>
    <t>12-month fwd RIVM Valuation</t>
  </si>
  <si>
    <t>Bear Case P/BV Ratio</t>
  </si>
  <si>
    <t>Implied Bear Case Valuation</t>
  </si>
  <si>
    <t>12-month fwd Valuation</t>
  </si>
  <si>
    <t>Probability</t>
  </si>
  <si>
    <t>Probability: Bull Case</t>
  </si>
  <si>
    <t>Probability: Base Case</t>
  </si>
  <si>
    <t>Probability: Bear Case</t>
  </si>
  <si>
    <t>Premium / Discount to Valuation</t>
  </si>
  <si>
    <t>Valuation</t>
  </si>
  <si>
    <t>12-month forward Price Target</t>
  </si>
  <si>
    <t>Current Price</t>
  </si>
  <si>
    <t>Upside / (Downside)</t>
  </si>
  <si>
    <t>Add: Exp 12-month Div</t>
  </si>
  <si>
    <t>Implied 12 month TSR</t>
  </si>
  <si>
    <t>VALUATION</t>
  </si>
  <si>
    <t>Assumptions</t>
  </si>
  <si>
    <t>Price Target</t>
  </si>
  <si>
    <t>Maturity</t>
  </si>
  <si>
    <t>Decline</t>
  </si>
  <si>
    <t>RIVM</t>
  </si>
  <si>
    <t>per share</t>
  </si>
  <si>
    <t xml:space="preserve"> Share Information  </t>
  </si>
  <si>
    <t>Book value</t>
  </si>
  <si>
    <t>FY29E</t>
  </si>
  <si>
    <t>FY30E</t>
  </si>
  <si>
    <t>FY31E</t>
  </si>
  <si>
    <t>FY32E</t>
  </si>
  <si>
    <t xml:space="preserve">  Expected 12 Month Dividend  </t>
  </si>
  <si>
    <t>Residual Income (Stage 1)</t>
  </si>
  <si>
    <t xml:space="preserve">  Current Stock Price  </t>
  </si>
  <si>
    <t>Residual Income (Stage 2)</t>
  </si>
  <si>
    <t xml:space="preserve">  Issued Shares (million)  </t>
  </si>
  <si>
    <t>Residual Income (Stage 3)</t>
  </si>
  <si>
    <t xml:space="preserve">  Last Reported BV Per Share</t>
  </si>
  <si>
    <t>Total Residual Income</t>
  </si>
  <si>
    <t>Sub total</t>
  </si>
  <si>
    <t xml:space="preserve"> Cost of Capital  </t>
  </si>
  <si>
    <t>Adjustment</t>
  </si>
  <si>
    <t xml:space="preserve">  Risk Free Rate (%)  </t>
  </si>
  <si>
    <t>Estimated fair value per share</t>
  </si>
  <si>
    <t>Total Loan Growth</t>
  </si>
  <si>
    <t xml:space="preserve">  Beta  </t>
  </si>
  <si>
    <t>12 month forward</t>
  </si>
  <si>
    <t xml:space="preserve">  Market Risk Premium (%)  </t>
  </si>
  <si>
    <t>Implied Upside / (Downside)</t>
  </si>
  <si>
    <t>Other Asset Growth</t>
  </si>
  <si>
    <t xml:space="preserve">  Cost of Common Equity (%)    </t>
  </si>
  <si>
    <t xml:space="preserve">  Development Payout Ratio</t>
  </si>
  <si>
    <t>DCF</t>
  </si>
  <si>
    <t>Asset Growth</t>
  </si>
  <si>
    <t>10-yr avg</t>
  </si>
  <si>
    <t>Explicit PV</t>
  </si>
  <si>
    <t>Perpetuity growth</t>
  </si>
  <si>
    <t>Key Valuation Outcomes</t>
  </si>
  <si>
    <t>Perpetuity factor 10+yrs</t>
  </si>
  <si>
    <t>Perpetuity value</t>
  </si>
  <si>
    <t xml:space="preserve"> Stock Price  </t>
  </si>
  <si>
    <t>Est. fair value per share</t>
  </si>
  <si>
    <t xml:space="preserve"> Estimated Fair Value ($)</t>
  </si>
  <si>
    <t>Housing RW Density</t>
  </si>
  <si>
    <t xml:space="preserve"> 12-month Forward</t>
  </si>
  <si>
    <t>12 month total return (%)</t>
  </si>
  <si>
    <t>Non Housing RW Density</t>
  </si>
  <si>
    <t>Other Credit RWA / EAD</t>
  </si>
  <si>
    <t>DDM</t>
  </si>
  <si>
    <t>Credit RW Density</t>
  </si>
  <si>
    <t>Mature payout ratio</t>
  </si>
  <si>
    <t>Other RWA / Total Assets</t>
  </si>
  <si>
    <t>RWA / Housing Loans</t>
  </si>
  <si>
    <t>RWA / Other Assets</t>
  </si>
  <si>
    <t xml:space="preserve"> Fair Value: Implied PE Multiple</t>
  </si>
  <si>
    <t>RWA / Assets</t>
  </si>
  <si>
    <t xml:space="preserve"> Fair Value: Implied P/BV Multiple</t>
  </si>
  <si>
    <t>Housing RWA</t>
  </si>
  <si>
    <t>Non Housing RWA</t>
  </si>
  <si>
    <t xml:space="preserve"> Development Phase</t>
  </si>
  <si>
    <t>Value of Franking Credits</t>
  </si>
  <si>
    <t xml:space="preserve">  Number of Years </t>
  </si>
  <si>
    <t>Other Credit RWA</t>
  </si>
  <si>
    <t xml:space="preserve">  Average CET1 Ratio</t>
  </si>
  <si>
    <t xml:space="preserve">  Average Asset Growth</t>
  </si>
  <si>
    <t xml:space="preserve">  Average RWA / Assets</t>
  </si>
  <si>
    <t xml:space="preserve">  Average PPR</t>
  </si>
  <si>
    <t>RWA Growth</t>
  </si>
  <si>
    <t xml:space="preserve">  Average Imp Chge / Loans</t>
  </si>
  <si>
    <t xml:space="preserve">  Average ROA</t>
  </si>
  <si>
    <t xml:space="preserve">  Average ROE</t>
  </si>
  <si>
    <t>Tier 1 Deductions</t>
  </si>
  <si>
    <t xml:space="preserve">  Profit CAGR (FY20 - FY29E)</t>
  </si>
  <si>
    <t xml:space="preserve">  Profit CAGR (FY20E - FY25E)</t>
  </si>
  <si>
    <t>CET1 / Ordinary Equity</t>
  </si>
  <si>
    <t>Composite Valuation</t>
  </si>
  <si>
    <t xml:space="preserve"> Maturity Phase  </t>
  </si>
  <si>
    <t>Avg fair value per share</t>
  </si>
  <si>
    <t>Total Revenue</t>
  </si>
  <si>
    <t xml:space="preserve"> Decline Phase  </t>
  </si>
  <si>
    <t>3-yr Average</t>
  </si>
  <si>
    <t>7-yr Average</t>
  </si>
  <si>
    <t>Distributions and OEI</t>
  </si>
  <si>
    <t>10-yr average</t>
  </si>
  <si>
    <t>Look-up table</t>
  </si>
  <si>
    <t>Stage 2 Revenue Margin</t>
  </si>
  <si>
    <t>Banking Revenue / Av Assets</t>
  </si>
  <si>
    <t>Stage 2 Housing Loan Growth</t>
  </si>
  <si>
    <t>Wealth Revenue / Av Assets</t>
  </si>
  <si>
    <t>BVPS</t>
  </si>
  <si>
    <t>Stage 2 Non-Housing Loan Growth</t>
  </si>
  <si>
    <t>Total Revenue / Av Assets</t>
  </si>
  <si>
    <t>Stage 2 Total Loan Growth</t>
  </si>
  <si>
    <t>Expenses / Av Assets</t>
  </si>
  <si>
    <t>10-year Forecast Avge ROE</t>
  </si>
  <si>
    <t>Pre Provision Profit / Av Assets</t>
  </si>
  <si>
    <t>12-month Fwd RIVM</t>
  </si>
  <si>
    <t>Impairment Charge / Av Assets</t>
  </si>
  <si>
    <t>ROA</t>
  </si>
  <si>
    <t>Upside / Downside</t>
  </si>
  <si>
    <t>ROE (average)</t>
  </si>
  <si>
    <t>3-yr avg</t>
  </si>
  <si>
    <t>ROE (opening)</t>
  </si>
  <si>
    <t>Previous</t>
  </si>
  <si>
    <t>Banking Revenue Growth</t>
  </si>
  <si>
    <t>Wealth Mgmt Revenue Growth</t>
  </si>
  <si>
    <t>Revenue Growth</t>
  </si>
  <si>
    <t>Expense Growth</t>
  </si>
  <si>
    <t>Impairment Charge / Total Loans</t>
  </si>
  <si>
    <t>Impairment Charge / Non Housing Loans</t>
  </si>
  <si>
    <t>Opening Ordinary Shareholders Equity</t>
  </si>
  <si>
    <t>Reported Earnings</t>
  </si>
  <si>
    <t>DRP Shares</t>
  </si>
  <si>
    <t>Share Buybacks</t>
  </si>
  <si>
    <t>Other Movements</t>
  </si>
  <si>
    <t>Closing Ordinary Shareholders Equity</t>
  </si>
  <si>
    <t>DRP Participation Rate</t>
  </si>
  <si>
    <t>Maximum</t>
  </si>
  <si>
    <t>Surplus &gt; Maximum</t>
  </si>
  <si>
    <t>Capital Charge</t>
  </si>
  <si>
    <t>Residual Income</t>
  </si>
  <si>
    <t>Present Value</t>
  </si>
  <si>
    <t>Standard Discounted Cash Flow</t>
  </si>
  <si>
    <t>Free Cash Flow</t>
  </si>
  <si>
    <t>Less:-</t>
  </si>
  <si>
    <t>Capital to Fund Growth (CET1 Target)</t>
  </si>
  <si>
    <t>Available for distribution</t>
  </si>
  <si>
    <t>Present value</t>
  </si>
  <si>
    <t>Explicit Period PV</t>
  </si>
  <si>
    <t>Asmptn 10 years</t>
  </si>
  <si>
    <t>Dividend Discount Model</t>
  </si>
  <si>
    <t>Cash dividends paid</t>
  </si>
  <si>
    <t xml:space="preserve">Perpetuity value </t>
  </si>
  <si>
    <t>Total present value</t>
  </si>
  <si>
    <t>Australian Tax Rate</t>
  </si>
  <si>
    <t>Franking</t>
  </si>
  <si>
    <t>Tax Paid on Dividend</t>
  </si>
  <si>
    <t>% Valued</t>
  </si>
  <si>
    <t>New</t>
  </si>
  <si>
    <t>AUD</t>
  </si>
  <si>
    <t>CBA.AX</t>
  </si>
  <si>
    <t>1H25</t>
  </si>
  <si>
    <t>Well-Secured</t>
  </si>
  <si>
    <t>Not well-secured and unsecured</t>
  </si>
  <si>
    <t>Total Non-Performing Exposures</t>
  </si>
  <si>
    <t>Non-Performing Exposures</t>
  </si>
  <si>
    <t>New and increased Non-Performing Exposures</t>
  </si>
  <si>
    <t>New Impaired Non-Performing Exposures / Gross Loans &amp; Acceptances</t>
  </si>
  <si>
    <t>Well-Secured Home Loans NPL / Housing Loans</t>
  </si>
  <si>
    <t>Not Well Secured and Unsecured Home Loans NPL / Housing Loans</t>
  </si>
  <si>
    <t>Not Well Secured and Unsecured Other Loans NPL / Non-Housing Loans</t>
  </si>
  <si>
    <t>Well Secured Other Loans NPL / Non Housing Loans</t>
  </si>
  <si>
    <t>Non-Performing Exposures (A$m)</t>
  </si>
  <si>
    <t>Well-Secured NPL / Total Loans (%)</t>
  </si>
  <si>
    <t>Non-Performing Exposures / Total Loans (%)</t>
  </si>
  <si>
    <t>New and Impaired Non-Performing Exposures (A$m)</t>
  </si>
  <si>
    <t>Well-Secured Non Performing Exposures / Total Loans (%)</t>
  </si>
  <si>
    <t>Not Well Secured and Unsecured Other Loans NPL / Total Loans</t>
  </si>
  <si>
    <t>Non Performing Exposures / Total Loans (%)</t>
  </si>
  <si>
    <t>Deposits ex COD</t>
  </si>
  <si>
    <t>Other Investment Deposits</t>
  </si>
  <si>
    <t>Total Investment Deposits</t>
  </si>
  <si>
    <t>Investment Deposits</t>
  </si>
  <si>
    <t>Non-Performing Housing Loans</t>
  </si>
  <si>
    <t xml:space="preserve">Non-Performing Non-Housing Loans </t>
  </si>
  <si>
    <t>Non-Performing Housing Loans / Housing Loans</t>
  </si>
  <si>
    <t>Non-Performing Non-Housing Loans / Non Housing Loans</t>
  </si>
  <si>
    <t>Not well-secured and unsecured NPL / Total Loans (%)</t>
  </si>
  <si>
    <t>Collective Provision / Total Loans  (%)</t>
  </si>
  <si>
    <t>Total Provisions / Total Loans  (%)</t>
  </si>
  <si>
    <t>Individual Provision Coverage (New)</t>
  </si>
  <si>
    <t>Recoveries / Opening NPLs (New)</t>
  </si>
  <si>
    <t>Recoveries / Opening Non Accrual Loans (old)</t>
  </si>
  <si>
    <t>Individual Provision Coverage (old)</t>
  </si>
  <si>
    <t>Wealth Income</t>
  </si>
  <si>
    <t>Total "Other" Income (per slides)</t>
  </si>
  <si>
    <t>2H25</t>
  </si>
  <si>
    <t>FY25</t>
  </si>
  <si>
    <t>FY33E</t>
  </si>
  <si>
    <t>FY34E</t>
  </si>
  <si>
    <t>FY35E</t>
  </si>
  <si>
    <t>10-yr avge</t>
  </si>
  <si>
    <t>3-yr avge</t>
  </si>
  <si>
    <t>FY23 - FY25</t>
  </si>
  <si>
    <t>FY26-FY28</t>
  </si>
  <si>
    <t>FY26 - FY35</t>
  </si>
  <si>
    <t>FY16 - FY25</t>
  </si>
  <si>
    <t>Implied Base Case Valuation</t>
  </si>
  <si>
    <t>Present Value (Net Tangible Assets)</t>
  </si>
  <si>
    <t>Capital Floor Calculation</t>
  </si>
  <si>
    <t>Standardised Credit RWA</t>
  </si>
  <si>
    <t>Operational RWA</t>
  </si>
  <si>
    <t>Total Standardised RWA</t>
  </si>
  <si>
    <t>Standardised Credit RWA / Total EAD</t>
  </si>
  <si>
    <t>Capital Floor (%)</t>
  </si>
  <si>
    <t>Capital Floor</t>
  </si>
  <si>
    <t>IRB Credit RWA</t>
  </si>
  <si>
    <t>Total IRB RWA</t>
  </si>
  <si>
    <t>Capital Floor Adjustment</t>
  </si>
  <si>
    <t>Impact of Capital Floor</t>
  </si>
  <si>
    <t>Housing: RBNZ System Growth (h-o-h)</t>
  </si>
  <si>
    <t>CBA VALUATION</t>
  </si>
  <si>
    <t>1H26</t>
  </si>
  <si>
    <t>Old</t>
  </si>
  <si>
    <t>FY26E Cash EPS</t>
  </si>
  <si>
    <t>FY27E Cash EPS</t>
  </si>
  <si>
    <t>FY26E ROE</t>
  </si>
  <si>
    <t>FY26E RoNTA</t>
  </si>
  <si>
    <t>FY26E P/E</t>
  </si>
  <si>
    <t>FY26E P/BV</t>
  </si>
  <si>
    <t>FY26E P/NTA</t>
  </si>
  <si>
    <t>Bear Case FY26E ROE</t>
  </si>
  <si>
    <t>FY26E P/E Multiple at PT</t>
  </si>
  <si>
    <t>FY26E P/BV Multiple at PT</t>
  </si>
  <si>
    <t>FY26E Dividend Yield at PT</t>
  </si>
  <si>
    <t xml:space="preserve">1 Austin Road West </t>
  </si>
  <si>
    <t xml:space="preserve">Kowloon </t>
  </si>
  <si>
    <t xml:space="preserve">Hong Kong </t>
  </si>
  <si>
    <t>Tel: +852 2848 5200</t>
  </si>
  <si>
    <t>Authors: Richard Wiles</t>
  </si>
  <si>
    <t>Date: 12 Feb 2026</t>
  </si>
  <si>
    <t>Ticker: CBA.AX</t>
  </si>
  <si>
    <t>Stock Rating: Underweight</t>
  </si>
  <si>
    <t>Industry: Australia Banks</t>
  </si>
  <si>
    <t>Industry View: In-Line</t>
  </si>
  <si>
    <t>Price as of 12 Feb 2026: 169.56</t>
  </si>
  <si>
    <t>Target Price: 140.00</t>
  </si>
  <si>
    <t>e = Morgan Stanley Research estimates unless otherwise noted</t>
  </si>
  <si>
    <t>Source: Morgan Stanley Research unless otherwise noted</t>
  </si>
  <si>
    <t>Stocks ratings are relative to the analyst's industry coverage universe.</t>
  </si>
  <si>
    <t>Morgan Stanley does and seeks to do business with companies covered in Morgan Stanley Research. As a</t>
  </si>
  <si>
    <t>result, investors should be aware that the firm may have a conflict of interest that could affect the</t>
  </si>
  <si>
    <t>objectivity of Morgan Stanley Research. Investors should consider Morgan Stanley Research as only a</t>
  </si>
  <si>
    <t>single factor in making their investment decision.</t>
  </si>
  <si>
    <t>The information and opinions in Morgan Stanley Research were prepared or are disseminated by Morgan</t>
  </si>
  <si>
    <t>Stanley Asia Limited (which accepts the responsibility for its contents) and/or Morgan Stanley Asia</t>
  </si>
  <si>
    <t>(Singapore) Pte. (Registration number 199206298Z) and/or Morgan Stanley Asia (Singapore) Securities Pte</t>
  </si>
  <si>
    <t>Ltd (Registration number 200008434H), regulated by the Monetary Authority of Singapore (which accepts</t>
  </si>
  <si>
    <t>legal responsibility for its contents and should be contacted with respect to any matters arising from,</t>
  </si>
  <si>
    <t>or in connection with, Morgan Stanley Research), and/or Morgan Stanley Taiwan Limited and/or Morgan</t>
  </si>
  <si>
    <t>Stanley &amp; Co International plc, Seoul Branch, and/or Morgan Stanley Australia Limited (A.B.N. 67 003 734</t>
  </si>
  <si>
    <t>576, holder of Australian financial services license No. 233742, which accepts responsibility for its</t>
  </si>
  <si>
    <t>contents), and/or Morgan Stanley Wealth Management Australia Pty Ltd (A.B.N. 19 009 145 555, holder of</t>
  </si>
  <si>
    <t>Australian financial services license No. 240813, which accepts responsibility for its contents), and/or</t>
  </si>
  <si>
    <t>Morgan Stanley India Company Private Limited having Corporate Identification No (CIN)</t>
  </si>
  <si>
    <t>U22990MH1998PTC115305, regulated by the Securities and Exchange Board of India (“SEBI”) and holder of</t>
  </si>
  <si>
    <t>licenses as a Research Analyst (SEBI Registration No. INH000001105); Stock Broker (SEBI Stock Broker</t>
  </si>
  <si>
    <t>Registration No. INZ000244438), Merchant Banker (SEBI Registration No. INM000011203), and depository</t>
  </si>
  <si>
    <t>participant with National Securities Depository Limited (SEBI Registration No. IN-DP-NSDL-567-2021)</t>
  </si>
  <si>
    <t>having registered office at Altimus, Level 39 &amp; 40, Pandurang Budhkar Marg, Worli, Mumbai 400018, India;</t>
  </si>
  <si>
    <t>Telephone no. +91-22-61181000; Compliance Officer Details: Mr. Tejarshi Hardas, Tel. No.:</t>
  </si>
  <si>
    <t>+91-22-61181000 or Email: tejarshi.hardas@morganstanley.com; Grievance officer details: Mr. Tejarshi</t>
  </si>
  <si>
    <t>Hardas, Tel. No.: +91-22-61181000 or Email: msic-compliance@morganstanley.com which accepts the</t>
  </si>
  <si>
    <t>responsibility for its contents and should be contacted with respect to any matters arising from, or in</t>
  </si>
  <si>
    <t>connection with, Morgan Stanley Research, and their affiliates (collectively, "Morgan Stanley"). Morgan</t>
  </si>
  <si>
    <t>Stanley India Company Private Limited (MSICPL) may use AI tools in providing research services. All</t>
  </si>
  <si>
    <t>recommendations contained herein are made by the duly qualified research analysts.</t>
  </si>
  <si>
    <t>For important disclosures, stock price charts and equity rating histories regarding companies that are</t>
  </si>
  <si>
    <t>the subject of this report, please see the Morgan Stanley Research Disclosure Website at</t>
  </si>
  <si>
    <t>www.morganstanley.com/eqr/disclosures/webapp/generalresearch, or contact your investment representative</t>
  </si>
  <si>
    <t>or Morgan Stanley Research at 1585 Broadway, (Attention: Research Management), New York, NY, 10036 USA.</t>
  </si>
  <si>
    <t>For valuation methodology and risks associated with any recommendation, rating or price target</t>
  </si>
  <si>
    <t>referenced in this research report, please contact the Client Support Team as follows: US/Canada +1 800</t>
  </si>
  <si>
    <t>303-2495; Hong Kong +852 2848-5999; Latin America +1 718 754-5444 (U.S.); London +44 (0)20-7425-8169;</t>
  </si>
  <si>
    <t>Singapore +65 6834-6860; Sydney +61 (0)2-9770-1505; Tokyo +81 (0)3-6836-9000. Alternatively you may</t>
  </si>
  <si>
    <t>contact your investment representative or Morgan Stanley Research at 1585 Broadway, (Attention: Research</t>
  </si>
  <si>
    <t>Management), New York, NY 10036 USA.</t>
  </si>
  <si>
    <t>Analyst Certification</t>
  </si>
  <si>
    <t>The following analysts hereby certify that their views about the companies and their securities</t>
  </si>
  <si>
    <t>discussed in this report are accurately expressed and that they have not received and will not receive</t>
  </si>
  <si>
    <t>direct or indirect compensation in exchange for expressing specific recommendations or views in this</t>
  </si>
  <si>
    <t>report: Richard E Wiles.</t>
  </si>
  <si>
    <t>.</t>
  </si>
  <si>
    <t>Global Research Conflict Management Policy</t>
  </si>
  <si>
    <t>Morgan Stanley Research has been published in accordance with our conflict management policy, which is</t>
  </si>
  <si>
    <t>available at www.morganstanley.com/institutional/research/conflictpolicies. A Portuguese version of the</t>
  </si>
  <si>
    <t>policy can be found at www.morganstanley.com.br</t>
  </si>
  <si>
    <t>Important Regulatory Disclosures on Subject Companies</t>
  </si>
  <si>
    <t>Within the last 12 months, Morgan Stanley managed or co-managed a public offering (or 144A offering) of</t>
  </si>
  <si>
    <t>securities of Commonwealth Bk Aust.</t>
  </si>
  <si>
    <t>Within the last 12 months, Morgan Stanley has received compensation for investment banking services from</t>
  </si>
  <si>
    <t>Commonwealth Bk Aust.</t>
  </si>
  <si>
    <t>In the next 3 months, Morgan Stanley expects to receive or intends to seek compensation for investment</t>
  </si>
  <si>
    <t>banking services from Commonwealth Bk Aust.</t>
  </si>
  <si>
    <t>Within the last 12 months, Morgan Stanley has received compensation for products and services other than</t>
  </si>
  <si>
    <t>investment banking services from Commonwealth Bk Aust.</t>
  </si>
  <si>
    <t>Within the last 12 months, Morgan Stanley has provided or is providing investment banking services to,</t>
  </si>
  <si>
    <t>or has an investment banking client relationship with, the following company: Commonwealth Bk Aust.</t>
  </si>
  <si>
    <t>Within the last 12 months, Morgan Stanley has either provided or is providing non-investment banking,</t>
  </si>
  <si>
    <t>securities-related services to and/or in the past has entered into an agreement to provide services or</t>
  </si>
  <si>
    <t>has a client relationship with the following company: Commonwealth Bk Aust.</t>
  </si>
  <si>
    <t>The equity research analysts or strategists principally responsible for the preparation of Morgan</t>
  </si>
  <si>
    <t>Stanley Research have received compensation based upon various factors, including quality of research,</t>
  </si>
  <si>
    <t>investor client feedback, stock picking, competitive factors, firm revenues and overall investment</t>
  </si>
  <si>
    <t>banking revenues. Equity Research analysts' or strategists' compensation is not linked to investment</t>
  </si>
  <si>
    <t>banking or capital markets transactions performed by Morgan Stanley or the profitability or revenues of</t>
  </si>
  <si>
    <t>particular trading desks.</t>
  </si>
  <si>
    <t>Morgan Stanley and its affiliates do business that relates to companies/instruments covered in Morgan</t>
  </si>
  <si>
    <t>Stanley Research, including market making, providing liquidity, fund management, commercial banking,</t>
  </si>
  <si>
    <t>extension of credit, investment services and investment banking. Morgan Stanley sells to and buys from</t>
  </si>
  <si>
    <t>customers the securities/instruments of companies covered in Morgan Stanley Research on a principal</t>
  </si>
  <si>
    <t>basis. Morgan Stanley may have a position in the debt of the Company or instruments discussed in this</t>
  </si>
  <si>
    <t>report. Morgan Stanley trades or may trade as principal in the debt securities (or in related</t>
  </si>
  <si>
    <t>derivatives) that are the subject of the debt research report.</t>
  </si>
  <si>
    <t>Certain disclosures listed above are also for compliance with applicable regulations in non-US</t>
  </si>
  <si>
    <t>jurisdictions.</t>
  </si>
  <si>
    <t>STOCK RATINGS</t>
  </si>
  <si>
    <t>Morgan Stanley uses a relative rating system using terms such as Overweight, Equal-weight, Not-Rated or</t>
  </si>
  <si>
    <t>Underweight (see definitions below). Morgan Stanley does not assign ratings of Buy, Hold or Sell to the</t>
  </si>
  <si>
    <t>stocks we cover. Overweight, Equal-weight, Not-Rated and Underweight are not the equivalent of buy, hold</t>
  </si>
  <si>
    <t>and sell. Investors should carefully read the definitions of all ratings used in Morgan Stanley</t>
  </si>
  <si>
    <t>Research. In addition, since Morgan Stanley Research contains more complete information concerning the</t>
  </si>
  <si>
    <t>analyst's views, investors should carefully read Morgan Stanley Research, in its entirety, and not infer</t>
  </si>
  <si>
    <t>the contents from the rating alone. In any case, ratings (or research) should not be used or relied</t>
  </si>
  <si>
    <t>upon as investment advice. An investor's decision to buy or sell a stock should depend on individual</t>
  </si>
  <si>
    <t>circumstances (such as the investor's existing holdings) and other considerations.</t>
  </si>
  <si>
    <t>Global Stock Ratings Distribution</t>
  </si>
  <si>
    <t>(as of January 31, 2026)</t>
  </si>
  <si>
    <t>The Stock Ratings described below apply to Morgan Stanley's Fundamental Equity Research and do not apply</t>
  </si>
  <si>
    <t>to Debt Research produced by the Firm.</t>
  </si>
  <si>
    <t>For disclosure purposes only (in accordance with FINRA requirements), we include the category headings</t>
  </si>
  <si>
    <t>of Buy, Hold, and Sell alongside our ratings of Overweight, Equal-weight, Not-Rated and Underweight.</t>
  </si>
  <si>
    <t>Morgan Stanley does not assign ratings of Buy, Hold or Sell to the stocks we cover. Overweight,</t>
  </si>
  <si>
    <t>Equal-weight, Not-Rated and Underweight are not the equivalent of buy, hold, and sell but represent</t>
  </si>
  <si>
    <t>recommended relative weightings (see definitions below). To satisfy regulatory requirements, we</t>
  </si>
  <si>
    <t>correspond Overweight, our most positive stock rating, with a buy recommendation; we correspond</t>
  </si>
  <si>
    <t>Equal-weight and Not-Rated to hold and Underweight to sell recommendations, respectively.</t>
  </si>
  <si>
    <t>Coverage Universe</t>
  </si>
  <si>
    <t>Investment Banking Clients (IBC)</t>
  </si>
  <si>
    <t>Other Material Investment Services Clients (MISC)</t>
  </si>
  <si>
    <t>Stock Rating Category</t>
  </si>
  <si>
    <t>Count</t>
  </si>
  <si>
    <t>% of Total IBC</t>
  </si>
  <si>
    <t>% of Rating Category</t>
  </si>
  <si>
    <t>% of Total Other MISC</t>
  </si>
  <si>
    <t>Overweight/Buy</t>
  </si>
  <si>
    <t>Equal-weight/Hold</t>
  </si>
  <si>
    <t>Not-Rated/Hold</t>
  </si>
  <si>
    <t>Underweight/Sell</t>
  </si>
  <si>
    <t>Data include common stock and ADRs currently assigned ratings. Investment Banking Clients are companies</t>
  </si>
  <si>
    <t>from whom Morgan Stanley received investment banking compensation in the last 12 months. Due to rounding</t>
  </si>
  <si>
    <t>off of decimals, the percentages provided in the "% of total" column may not add up to exactly 100</t>
  </si>
  <si>
    <t>percent.</t>
  </si>
  <si>
    <t>Analyst Stock Ratings</t>
  </si>
  <si>
    <t>Overweight (O). The stock's total return is expected to exceed the average total return of the analyst's</t>
  </si>
  <si>
    <t>industry (or industry team's) coverage universe, on a risk-adjusted basis, over the next 12-18 months.</t>
  </si>
  <si>
    <t>Equal-weight (E). The stock's total return is expected to be in line with the average total return of</t>
  </si>
  <si>
    <t>the analyst's industry (or industry team's) coverage universe, on a risk-adjusted basis, over the next</t>
  </si>
  <si>
    <t>12-18 months.</t>
  </si>
  <si>
    <t>Not-Rated (NR). Currently the analyst does not have adequate conviction about the stock's total return</t>
  </si>
  <si>
    <t>relative to the average total return of the analyst's industry (or industry team's) coverage universe,</t>
  </si>
  <si>
    <t>on a risk-adjusted basis, over the next 12-18 months.</t>
  </si>
  <si>
    <t>Underweight (U). The stock's total return is expected to be below the average total return of the</t>
  </si>
  <si>
    <t>analyst's industry (or industry team's) coverage universe, on a risk-adjusted basis, over the next 12-18</t>
  </si>
  <si>
    <t>months.</t>
  </si>
  <si>
    <t>Unless otherwise specified, the time frame for price targets included in Morgan Stanley Research is 12</t>
  </si>
  <si>
    <t>to 18 months.</t>
  </si>
  <si>
    <t>Analyst Industry Views</t>
  </si>
  <si>
    <t>Attractive (A): The analyst expects the performance of his or her industry coverage universe over the</t>
  </si>
  <si>
    <t>next 12-18 months to be attractive vs. the relevant broad market benchmark, as indicated below.</t>
  </si>
  <si>
    <t>In-Line (I): The analyst expects the performance of his or her industry coverage universe over the next</t>
  </si>
  <si>
    <t>12-18 months to be in line with the relevant broad market benchmark, as indicated below.</t>
  </si>
  <si>
    <t>Cautious (C): The analyst views the performance of his or her industry coverage universe over the next</t>
  </si>
  <si>
    <t>12-18 months with caution vs. the relevant broad market benchmark, as indicated below.</t>
  </si>
  <si>
    <t>Benchmarks for each region are as follows: North America - S&amp;P 500; Latin America - relevant MSCI</t>
  </si>
  <si>
    <t>country index or MSCI Latin America Index; Europe - MSCI Europe; Japan - TOPIX; Asia - relevant MSCI</t>
  </si>
  <si>
    <t>country index or MSCI sub-regional index or MSCI AC Asia Pacific ex Japan Index.</t>
  </si>
  <si>
    <t>Stock Price, Price Target and Rating History (See Rating Definitions)</t>
  </si>
  <si>
    <t>Important Disclosures for Morgan Stanley Smith Barney LLC Customers</t>
  </si>
  <si>
    <t>Important disclosures regarding any material conflict of interest that can reasonably be expected to</t>
  </si>
  <si>
    <t>have influenced Morgan Stanley Smith Barney LLC's choice of a third-party research provider or the</t>
  </si>
  <si>
    <t>subject company of a third-party research report, are available on the Morgan Stanley Wealth Management</t>
  </si>
  <si>
    <t>disclosure website at www.morganstanley.com/online/researchdisclosures. For Morgan Stanley specific</t>
  </si>
  <si>
    <t>disclosures, you may refer to https://www.morganstanley.com/eqr/disclosures/webapp/generalresearch.</t>
  </si>
  <si>
    <t>Each Morgan Stanley research report is reviewed and approved on behalf of Morgan Stanley Smith Barney</t>
  </si>
  <si>
    <t>LLC. This review and approval is conducted by the same person who reviews the research report on behalf</t>
  </si>
  <si>
    <t>of Morgan Stanley. This could create a conflict of interest.</t>
  </si>
  <si>
    <t>Other Important Disclosures</t>
  </si>
  <si>
    <t>Morgan Stanley Research policy is to update research reports as and when the Research Analyst and</t>
  </si>
  <si>
    <t>Research Management deem appropriate, based on developments with the issuer, the sector, or the market</t>
  </si>
  <si>
    <t>that may have a material impact on the research views or opinions stated therein. In addition, certain</t>
  </si>
  <si>
    <t>Research publications are intended to be updated on a regular periodic basis</t>
  </si>
  <si>
    <t>(weekly/monthly/quarterly/annual) and will ordinarily be updated with that frequency, unless the</t>
  </si>
  <si>
    <t>Research Analyst and Research Management determine that a different publication schedule is appropriate</t>
  </si>
  <si>
    <t>based on current conditions.</t>
  </si>
  <si>
    <t>Morgan Stanley is not acting as a municipal advisor and the opinions or views contained herein are not</t>
  </si>
  <si>
    <t>intended to be, and do not constitute, advice within the meaning of Section 975 of the Dodd-Frank Wall</t>
  </si>
  <si>
    <t>Street Reform and Consumer Protection Act.</t>
  </si>
  <si>
    <t>Morgan Stanley produces an equity research product called a "Tactical Idea." Views contained in a</t>
  </si>
  <si>
    <t>"Tactical Idea" on a particular stock may be contrary to the recommendations or views expressed in</t>
  </si>
  <si>
    <t>research on the same stock. This may be the result of differing time horizons, methodologies, market</t>
  </si>
  <si>
    <t>events, or other factors. For all research available on a particular stock, please contact your sales</t>
  </si>
  <si>
    <t>representative or go to Matrix at http://www.morganstanley.com/matrix.</t>
  </si>
  <si>
    <t>Morgan Stanley Research is provided to our clients through our proprietary research portal on Matrix and</t>
  </si>
  <si>
    <t>also distributed electronically by Morgan Stanley to clients. Certain, but not all, Morgan Stanley</t>
  </si>
  <si>
    <t>Research products are also made available to clients through third-party vendors or redistributed to</t>
  </si>
  <si>
    <t>clients through alternate electronic means as a convenience. For access to all available Morgan Stanley</t>
  </si>
  <si>
    <t>Research, please contact your sales representative or go to Matrix at</t>
  </si>
  <si>
    <t>http://www.morganstanley.com/matrix.</t>
  </si>
  <si>
    <t>Any access and/or use of Morgan Stanley Research is subject to Morgan Stanley's Terms of Use</t>
  </si>
  <si>
    <t>(http://www.morganstanley.com/terms.html). By accessing and/or using Morgan Stanley Research, you are</t>
  </si>
  <si>
    <t>indicating that you have read and agree to be bound by our Terms of Use</t>
  </si>
  <si>
    <t>(http://www.morganstanley.com/terms.html). In addition you consent to Morgan Stanley processing your</t>
  </si>
  <si>
    <t>personal data and using cookies in accordance with our Privacy Policy and our Global Cookies Policy</t>
  </si>
  <si>
    <t>(http://www.morganstanley.com/privacy_pledge.html), including for the purposes of setting your</t>
  </si>
  <si>
    <t>preferences and to collect readership data so that we can deliver better and more personalized service</t>
  </si>
  <si>
    <t>and products to you. To find out more information about how Morgan Stanley processes personal data, how</t>
  </si>
  <si>
    <t>we use cookies and how to reject cookies see our Privacy Policy and our Global Cookies Policy</t>
  </si>
  <si>
    <t>(http://www.morganstanley.com/privacy_pledge.html). Please use the provided link to review the Terms and</t>
  </si>
  <si>
    <t>Conditions and Most Important Terms and Conditions for Morgan Stanley India Company Private Limited</t>
  </si>
  <si>
    <t>(https://www.morganstanley.com/assets/pdfs/about-us-global-offices/india/Terms_and_conditions.pdf) and</t>
  </si>
  <si>
    <t>the following link to review the audit report</t>
  </si>
  <si>
    <t>(https://www.morganstanley.com/assets/pdfs/about-us-global-offices/india/Research_Audit_Report.pdf).</t>
  </si>
  <si>
    <t>If you do not agree to our Terms of Use and/or if you do not wish to provide your consent to Morgan</t>
  </si>
  <si>
    <t>Stanley processing your personal data or using cookies please do not access our research.</t>
  </si>
  <si>
    <t>Morgan Stanley Research does not provide individually tailored investment advice. Morgan Stanley</t>
  </si>
  <si>
    <t>Research has been prepared without regard to the circumstances and objectives of those who receive it.</t>
  </si>
  <si>
    <t>Morgan Stanley recommends that investors independently evaluate particular investments and strategies,</t>
  </si>
  <si>
    <t>and encourages investors to seek the advice of a financial adviser. The appropriateness of an investment</t>
  </si>
  <si>
    <t>or strategy will depend on an investor's circumstances and objectives. The securities, instruments, or</t>
  </si>
  <si>
    <t>strategies discussed in Morgan Stanley Research may not be suitable for all investors, and certain</t>
  </si>
  <si>
    <t>investors may not be eligible to purchase or participate in some or all of them. Morgan Stanley Research</t>
  </si>
  <si>
    <t>is not an offer to buy or sell or the solicitation of an offer to buy or sell any security/instrument or</t>
  </si>
  <si>
    <t>to participate in any particular trading strategy. The value of and income from your investments may</t>
  </si>
  <si>
    <t>vary because of changes in interest rates, foreign exchange rates, default rates, prepayment rates,</t>
  </si>
  <si>
    <t>securities/instruments prices, market indexes, operational or financial conditions of companies or other</t>
  </si>
  <si>
    <t>factors. There may be time limitations on the exercise of options or other rights in</t>
  </si>
  <si>
    <t>securities/instruments transactions. Past performance is not necessarily a guide to future performance.</t>
  </si>
  <si>
    <t>Estimates of future performance are based on assumptions that may not be realized. If provided, and</t>
  </si>
  <si>
    <t>unless otherwise stated, the closing price on the cover page is that of the primary exchange for the</t>
  </si>
  <si>
    <t>subject company's securities/instruments.</t>
  </si>
  <si>
    <t>The fixed income research analysts, strategists or economists principally responsible for the</t>
  </si>
  <si>
    <t>preparation of Morgan Stanley Research have received compensation based upon various factors, including</t>
  </si>
  <si>
    <t>quality, accuracy and value of research, firm profitability or revenues (which include fixed income</t>
  </si>
  <si>
    <t>trading and capital markets profitability or revenues), client feedback and competitive factors. Fixed</t>
  </si>
  <si>
    <t>Income Research analysts', strategists' or economists' compensation is not linked to investment banking</t>
  </si>
  <si>
    <t>or capital markets transactions performed by Morgan Stanley or the profitability or revenues of</t>
  </si>
  <si>
    <t>The "Important Regulatory Disclosures on Subject Companies" section in Morgan Stanley Research lists all</t>
  </si>
  <si>
    <t>companies mentioned where Morgan Stanley owns 1% or more of a class of common equity securities of the</t>
  </si>
  <si>
    <t>companies. For all other companies mentioned in Morgan Stanley Research, Morgan Stanley may have an</t>
  </si>
  <si>
    <t>investment of less than 1% in securities/instruments or derivatives of securities/instruments of</t>
  </si>
  <si>
    <t>companies and may trade them in ways different from those discussed in Morgan Stanley Research.</t>
  </si>
  <si>
    <t>Employees of Morgan Stanley not involved in the preparation of Morgan Stanley Research may have</t>
  </si>
  <si>
    <t>investments in securities/instruments or derivatives of securities/instruments of companies mentioned</t>
  </si>
  <si>
    <t>and may trade them in ways different from those discussed in Morgan Stanley Research. Derivatives may be</t>
  </si>
  <si>
    <t>issued by Morgan Stanley or associated persons.</t>
  </si>
  <si>
    <t>With the exception of information regarding Morgan Stanley, Morgan Stanley Research is based on public</t>
  </si>
  <si>
    <t>information. Morgan Stanley makes every effort to use reliable, comprehensive information, but we make</t>
  </si>
  <si>
    <t>no representation that it is accurate or complete. We have no obligation to tell you when opinions or</t>
  </si>
  <si>
    <t>information in Morgan Stanley Research change apart from when we intend to discontinue equity research</t>
  </si>
  <si>
    <t>coverage of a subject company. Facts and views presented in Morgan Stanley Research have not been</t>
  </si>
  <si>
    <t>reviewed by, and may not reflect information known to, professionals in other Morgan Stanley business</t>
  </si>
  <si>
    <t>areas, including investment banking personnel.</t>
  </si>
  <si>
    <t>Morgan Stanley Research personnel may participate in company events such as site visits and are</t>
  </si>
  <si>
    <t>generally prohibited from accepting payment by the company of associated expenses unless pre-approved by</t>
  </si>
  <si>
    <t>authorized members of Research management.</t>
  </si>
  <si>
    <t>Morgan Stanley may make investment decisions that are inconsistent with the recommendations or views in</t>
  </si>
  <si>
    <t>this report.</t>
  </si>
  <si>
    <t>To our readers based in Taiwan or trading in Taiwan securities/instruments: Information on</t>
  </si>
  <si>
    <t>securities/instruments that trade in Taiwan is distributed by Morgan Stanley Taiwan Limited ("MSTL").</t>
  </si>
  <si>
    <t>Such information is for your reference only. The reader should independently evaluate the investment</t>
  </si>
  <si>
    <t>risks and is solely responsible for their investment decisions. Morgan Stanley Research may not be</t>
  </si>
  <si>
    <t>distributed to the public media or quoted or used by the public media without the express written</t>
  </si>
  <si>
    <t>consent of Morgan Stanley. Any non-customer reader within the scope of Article 7-1 of the Taiwan Stock</t>
  </si>
  <si>
    <t>Exchange Recommendation Regulations accessing and/or receiving Morgan Stanley Research is not permitted</t>
  </si>
  <si>
    <t>to provide Morgan Stanley Research to any third party (including but not limited to related parties,</t>
  </si>
  <si>
    <t>affiliated companies and any other third parties) or engage in any activities regarding Morgan Stanley</t>
  </si>
  <si>
    <t>Research which may create or give the appearance of creating a conflict of interest. Information on</t>
  </si>
  <si>
    <t>securities/instruments that do not trade in Taiwan is for informational purposes only and is not to be</t>
  </si>
  <si>
    <t>construed as a recommendation or a solicitation to trade in such securities/instruments. MSTL may not</t>
  </si>
  <si>
    <t>execute transactions for clients in these securities/instruments.</t>
  </si>
  <si>
    <t>Certain information in Morgan Stanley Research was sourced by employees of the Shanghai Representative</t>
  </si>
  <si>
    <t>Office of Morgan Stanley Asia Limited for the use of Morgan Stanley Asia Limited.</t>
  </si>
  <si>
    <t>Morgan Stanley is not incorporated under PRC law and the research in relation to this report is</t>
  </si>
  <si>
    <t>conducted outside the PRC. Morgan Stanley Research does not constitute an offer to sell or the</t>
  </si>
  <si>
    <t>solicitation of an offer to buy any securities in the PRC. PRC investors shall have the relevant</t>
  </si>
  <si>
    <t>qualifications to invest in such securities and shall be responsible for obtaining all relevant</t>
  </si>
  <si>
    <t>approvals, licenses, verifications and/or registrations from the relevant governmental authorities</t>
  </si>
  <si>
    <t>themselves. Neither this report nor any part of it is intended as, or shall constitute, provision of any</t>
  </si>
  <si>
    <t>consultancy or advisory service of securities investment as defined under PRC law. Such information is</t>
  </si>
  <si>
    <t>provided for your reference only.</t>
  </si>
  <si>
    <t>Morgan Stanley Research is disseminated in Brazil by Morgan Stanley C.T.V.M. S.A. located at Av.</t>
  </si>
  <si>
    <t>Brigadeiro Faria Lima, 3600, 6th floor, São Paulo - SP, Brazil; and is regulated by the Comissão de</t>
  </si>
  <si>
    <t>Valores Mobiliários; in Mexico by Morgan Stanley México, Casa de Bolsa, S.A. de C.V which is regulated</t>
  </si>
  <si>
    <t>by Comision Nacional Bancaria y de Valores. Paseo de los Tamarindos 90, Torre 1, Col. Bosques de las</t>
  </si>
  <si>
    <t>Lomas Floor 29, 05120 Mexico City; in Japan by Morgan Stanley MUFG Securities Co., Ltd. and, for</t>
  </si>
  <si>
    <t>Commodities related research reports only, Morgan Stanley Capital Group Japan Co., Ltd; in Hong Kong by</t>
  </si>
  <si>
    <t>Morgan Stanley Asia Limited (which accepts responsibility for its contents) and by Morgan Stanley Bank</t>
  </si>
  <si>
    <t>Asia Limited; in Singapore by Morgan Stanley Asia (Singapore) Pte. (Registration number 199206298Z)</t>
  </si>
  <si>
    <t>and/or Morgan Stanley Asia (Singapore) Securities Pte Ltd (Registration number 200008434H), regulated by</t>
  </si>
  <si>
    <t>the Monetary Authority of Singapore (which accepts legal responsibility for its contents and should be</t>
  </si>
  <si>
    <t>contacted with respect to any matters arising from, or in connection with, Morgan Stanley Research) and</t>
  </si>
  <si>
    <t>by Morgan Stanley Bank Asia Limited, Singapore Branch (Registration number T14FC0118J); in Australia to</t>
  </si>
  <si>
    <t>"wholesale clients" within the meaning of the Australian Corporations Act by Morgan Stanley Australia</t>
  </si>
  <si>
    <t>Limited A.B.N. 67 003 734 576, holder of Australian financial services license No. 233742, which accepts</t>
  </si>
  <si>
    <t>responsibility for its contents; in Australia to "wholesale clients" and "retail clients" within the</t>
  </si>
  <si>
    <t>meaning of the Australian Corporations Act by Morgan Stanley Wealth Management Australia Pty Ltd (A.B.N.</t>
  </si>
  <si>
    <t>19 009 145 555, holder of Australian financial services license No. 240813, which accepts responsibility</t>
  </si>
  <si>
    <t>for its contents; in Korea by Morgan Stanley &amp; Co International plc, Seoul Branch; in India by Morgan</t>
  </si>
  <si>
    <t>Stanley India Company Private Limited having Corporate Identification No (CIN) U22990MH1998PTC115305,</t>
  </si>
  <si>
    <t>regulated by the Securities and Exchange Board of India (“SEBI”) and holder of licenses as a Research</t>
  </si>
  <si>
    <t>Analyst (SEBI Registration No. INH000001105); Stock Broker (SEBI Stock Broker Registration No.</t>
  </si>
  <si>
    <t>INZ000244438), Merchant Banker (SEBI Registration No. INM000011203), and depository participant with</t>
  </si>
  <si>
    <t>National Securities Depository Limited (SEBI Registration No. IN-DP-NSDL-567-2021) having registered</t>
  </si>
  <si>
    <t>office at Altimus, Level 39 &amp; 40, Pandurang Budhkar Marg, Worli, Mumbai 400018, India; Telephone no.</t>
  </si>
  <si>
    <t>+91-22-61181000; Compliance Officer Details: Mr. Tejarshi Hardas, Tel. No.: +91-22-61181000 or Email:</t>
  </si>
  <si>
    <t>tejarshi.hardas@morganstanley.com; Grievance officer details: Mr. Tejarshi Hardas, Tel. No.:</t>
  </si>
  <si>
    <t>+91-22-61181000 or Email: msic-compliance@morganstanley.com. Morgan Stanley India Company Private</t>
  </si>
  <si>
    <t>Limited (MSICPL) may use AI tools in providing research services. All recommendations contained herein</t>
  </si>
  <si>
    <t>are made by the duly qualified research analysts; in Canada by Morgan Stanley Canada Limited; in Germany</t>
  </si>
  <si>
    <t>and the European Economic Area where required by Morgan Stanley Europe S.E., authorised and regulated by</t>
  </si>
  <si>
    <t>Bundesanstalt fuer Finanzdienstleistungsaufsicht (BaFin) under the reference number 149169; in the US by</t>
  </si>
  <si>
    <t>Morgan Stanley &amp; Co. LLC, which accepts responsibility for its contents. Morgan Stanley &amp; Co.</t>
  </si>
  <si>
    <t>International plc, authorized by the Prudential Regulation Authority and regulated by the Financial</t>
  </si>
  <si>
    <t>Conduct Authority and the Prudential Regulation Authority, disseminates in the UK research that it has</t>
  </si>
  <si>
    <t>prepared, and research which has been prepared by any of its affiliates, only to persons who (i) are</t>
  </si>
  <si>
    <t>investment professionals falling within Article 19(5) of the Financial Services and Markets Act 2000</t>
  </si>
  <si>
    <t>(Financial Promotion) Order 2005 (as amended, the “Order”); (ii) are persons who are high net worth</t>
  </si>
  <si>
    <t>entities falling within Article 49(2)(a) to (d) of the Order; or (iii) are persons to whom an invitation</t>
  </si>
  <si>
    <t>or inducement to engage in investment activity (within the meaning of section 21 of the Financial</t>
  </si>
  <si>
    <t>Services and Markets Act 2000, as amended) may otherwise lawfully be communicated or caused to be</t>
  </si>
  <si>
    <t>communicated. RMB Morgan Stanley Proprietary Limited is a member of the JSE Limited and A2X (Pty) Ltd.</t>
  </si>
  <si>
    <t>RMB Morgan Stanley Proprietary Limited is a joint venture owned equally by Morgan Stanley International</t>
  </si>
  <si>
    <t>Holdings Inc. and RMB Investment Advisory (Proprietary) Limited, which is wholly owned by FirstRand</t>
  </si>
  <si>
    <t>Limited. The information in Morgan Stanley Research is being disseminated by Morgan Stanley Saudi</t>
  </si>
  <si>
    <t>Arabia, regulated by the Capital Market Authority in the Kingdom of Saudi Arabia, and is directed at</t>
  </si>
  <si>
    <t>Sophisticated investors only.</t>
  </si>
  <si>
    <t>The information in Morgan Stanley Research is being communicated by Morgan Stanley &amp; Co. International</t>
  </si>
  <si>
    <t>plc (DIFC Branch), regulated by the Dubai Financial Services Authority (the DFSA) or by Morgan Stanley &amp;</t>
  </si>
  <si>
    <t>Co. International plc (ADGM Branch), regulated by the Financial Services Regulatory Authority Abu Dhabi</t>
  </si>
  <si>
    <t>(the FSRA), and is directed at Professional Clients only, as defined by the DFSA or the FSRA,</t>
  </si>
  <si>
    <t>respectively. The financial products or financial services to which this research relates will only be</t>
  </si>
  <si>
    <t>made available to a customer who we are satisfied meets the regulatory criteria of a Professional</t>
  </si>
  <si>
    <t>Client. A distribution of the different MS Research ratings or recommendations, in percentage terms for</t>
  </si>
  <si>
    <t>Investments in each sector covered, is available upon request from your sales representative.</t>
  </si>
  <si>
    <t>plc (QFC Branch), regulated by the Qatar Financial Centre Regulatory Authority (the QFCRA), and is</t>
  </si>
  <si>
    <t>directed at business customers and market counterparties only and is not intended for Retail Customers</t>
  </si>
  <si>
    <t>as defined by the QFCRA.</t>
  </si>
  <si>
    <t>As required by the Capital Markets Board of Turkey, investment information, comments and recommendations</t>
  </si>
  <si>
    <t>stated here, are not within the scope of investment advisory activity. Investment advisory service is</t>
  </si>
  <si>
    <t>provided exclusively to persons based on their risk and income preferences by the authorized firms.</t>
  </si>
  <si>
    <t>Comments and recommendations stated here are general in nature. These opinions may not fit to your</t>
  </si>
  <si>
    <t>financial status, risk and return preferences. For this reason, to make an investment decision by</t>
  </si>
  <si>
    <t>relying solely to this information stated here may not bring about outcomes that fit your expectations.</t>
  </si>
  <si>
    <t>The trademarks and service marks contained in Morgan Stanley Research are the property of their</t>
  </si>
  <si>
    <t>respective owners. Third-party data providers make no warranties or representations relating to the</t>
  </si>
  <si>
    <t>accuracy, completeness, or timeliness of the data they provide and shall not have liability for any</t>
  </si>
  <si>
    <t>damages relating to such data. The Global Industry Classification Standard (GICS) was developed by and</t>
  </si>
  <si>
    <t>is the exclusive property of MSCI and S&amp;P.</t>
  </si>
  <si>
    <t>Morgan Stanley Research, or any portion thereof may not be reprinted, sold or redistributed without the</t>
  </si>
  <si>
    <t>written consent of Morgan Stanley.</t>
  </si>
  <si>
    <t>Indicators and trackers referenced in Morgan Stanley Research may not be used as, or treated as, a</t>
  </si>
  <si>
    <t>benchmark under Regulation EU 2016/1011, or any other similar framework.</t>
  </si>
  <si>
    <t>The issuers and/or fixed income products recommended or discussed in certain fixed income research</t>
  </si>
  <si>
    <t>reports may not be continuously followed. Accordingly, investors should regard those fixed income</t>
  </si>
  <si>
    <t>research reports as providing stand-alone analysis and should not expect continuing analysis or</t>
  </si>
  <si>
    <t>additional reports relating to such issuers and/or individual fixed income products.</t>
  </si>
  <si>
    <t>Morgan Stanley may hold, from time to time, material financial and commercial interests regarding the</t>
  </si>
  <si>
    <t>company subject to the Research report.</t>
  </si>
  <si>
    <t>Registration granted by SEBI and certification from the National Institute of Securities Markets (NISM)</t>
  </si>
  <si>
    <t>in no way guarantee performance of the intermediary or provide any assurance of returns to investors.</t>
  </si>
  <si>
    <t>Investment in securities market are subject to market risks. Read all the related documents carefully</t>
  </si>
  <si>
    <t>before investing.</t>
  </si>
  <si>
    <t>© Copyright 2026 Morgan Stanley</t>
  </si>
  <si>
    <t>MacroVersion</t>
  </si>
  <si>
    <t>6.10</t>
  </si>
  <si>
    <t>PublishDate</t>
  </si>
  <si>
    <t>02/12/26 07:31</t>
  </si>
  <si>
    <t>Discipline</t>
  </si>
  <si>
    <t>Research</t>
  </si>
  <si>
    <t>ResearchTopic</t>
  </si>
  <si>
    <t>Company</t>
  </si>
  <si>
    <t>DocType</t>
  </si>
  <si>
    <t>Model</t>
  </si>
  <si>
    <t>SubjectCode</t>
  </si>
  <si>
    <t>Description</t>
  </si>
  <si>
    <t>Commonwealth Bk Aust</t>
  </si>
  <si>
    <t>KeepVersions</t>
  </si>
  <si>
    <t>All</t>
  </si>
  <si>
    <t>Rating</t>
  </si>
  <si>
    <t>Underweight / In-Line</t>
  </si>
  <si>
    <t>CurrYearTotalRevenue*</t>
  </si>
  <si>
    <t>CurrYearEPS*</t>
  </si>
  <si>
    <t>NextYearTotalRevenue*</t>
  </si>
  <si>
    <t>NextYearEPS*</t>
  </si>
  <si>
    <t>FollowingYearTotalRevenue*</t>
  </si>
  <si>
    <t>FollowingYearEPS*</t>
  </si>
  <si>
    <t>5YearGrowthRate</t>
  </si>
  <si>
    <t>UpdateReason</t>
  </si>
  <si>
    <t>Regular Update</t>
  </si>
  <si>
    <t>Authors</t>
  </si>
  <si>
    <t>MSA12226</t>
  </si>
  <si>
    <t>Tickers</t>
  </si>
  <si>
    <t>CUSIP</t>
  </si>
  <si>
    <t>999999469</t>
  </si>
  <si>
    <t>RIC</t>
  </si>
  <si>
    <t>SEDOL</t>
  </si>
  <si>
    <t>6215035</t>
  </si>
  <si>
    <t>Current Stock Price</t>
  </si>
  <si>
    <t>169.56</t>
  </si>
  <si>
    <t>Currency</t>
  </si>
  <si>
    <t>PathName</t>
  </si>
  <si>
    <t>\\msad\root\AP\APBO\SY\LIB\EQR\USERS\Banks\rwiles\Banks New\CBA\cba new model.xlsm</t>
  </si>
  <si>
    <t>Distribution</t>
  </si>
  <si>
    <t>0</t>
  </si>
  <si>
    <t>Deleted</t>
  </si>
  <si>
    <t>NO</t>
  </si>
  <si>
    <t>EmailAlert</t>
  </si>
  <si>
    <t>YES</t>
  </si>
  <si>
    <t>CurrQtrEPS</t>
  </si>
  <si>
    <t>CYEnd</t>
  </si>
  <si>
    <t>CQEnd</t>
  </si>
  <si>
    <t>CurrYearTotalRevenueActual*</t>
  </si>
  <si>
    <t>NextYearTotalRevenueActual*</t>
  </si>
  <si>
    <t>FollowingYearTotalRevenueActual*</t>
  </si>
  <si>
    <t>Multiplier</t>
  </si>
  <si>
    <t>1000000</t>
  </si>
  <si>
    <t>TemplateRegion</t>
  </si>
  <si>
    <t>AsiaPacific</t>
  </si>
  <si>
    <t>ObjectType</t>
  </si>
  <si>
    <t>excel</t>
  </si>
  <si>
    <t>LanguageCode</t>
  </si>
  <si>
    <t>en-US</t>
  </si>
  <si>
    <t>SubmitterUserId</t>
  </si>
  <si>
    <t>hongsal</t>
  </si>
  <si>
    <t>IndustryId</t>
  </si>
  <si>
    <t>1900001083</t>
  </si>
  <si>
    <t>TickerRegion</t>
  </si>
  <si>
    <t>5</t>
  </si>
  <si>
    <t>AdditionalInstructions</t>
  </si>
  <si>
    <t>*Estimated</t>
  </si>
  <si>
    <t>OwnerTeam</t>
  </si>
  <si>
    <t>I888888909</t>
  </si>
  <si>
    <t>[BRO MSA]</t>
  </si>
  <si>
    <t>[DOCDAT 2026-02-12]</t>
  </si>
  <si>
    <t>[DOCTIME 07:31]</t>
  </si>
  <si>
    <t>[PSYM CBA.AX(Reuters) (None)]</t>
  </si>
  <si>
    <t>[COU Australia]</t>
  </si>
  <si>
    <t>[PRODUCT MODEL]</t>
  </si>
  <si>
    <t>[ANA ]</t>
  </si>
  <si>
    <t>[HL CBA.AX Model]</t>
  </si>
  <si>
    <t>[IND Financial Services]</t>
  </si>
  <si>
    <t>[EMAIL_ALERT YES]</t>
  </si>
  <si>
    <t>[PANA  MSA12226]</t>
  </si>
  <si>
    <t>[DISCIPLINE Company]</t>
  </si>
  <si>
    <t>[SUPPRESSED NO]</t>
  </si>
  <si>
    <t>This workbook contains formulas which intentionally use circular reference calculation. These calculations can be resolved as intended by the originating analyst by applying the following settings in the File &gt;&gt; Options &gt;&gt; Formulas:</t>
  </si>
  <si>
    <t>1) Select the Enable iterative calculation check box</t>
  </si>
  <si>
    <t>2) Set Maximum Iterations = 100</t>
  </si>
  <si>
    <t>3) Set Maximum Change = 0.001</t>
  </si>
  <si>
    <t>Failure to apply these settings can result in incorrect calculation or unexpected termination of your Microsoft Excel session.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</si>
</sst>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3">
    <numFmt numFmtId="7" formatCode="&quot;$&quot;#,##0.00_);\(&quot;$&quot;#,##0.00\)"/>
    <numFmt numFmtId="44" formatCode="_(&quot;$&quot;* #,##0.00_);_(&quot;$&quot;* \(#,##0.00\);_(&quot;$&quot;* &quot;-&quot;??_);_(@_)"/>
    <numFmt numFmtId="43" formatCode="_(* #,##0.00_);_(* \(#,##0.00\);_(* &quot;-&quot;??_);_(@_)"/>
    <numFmt numFmtId="164" formatCode="0.0%"/>
    <numFmt numFmtId="165" formatCode="0.00000000000000000%"/>
    <numFmt numFmtId="166" formatCode="0;\(0\)"/>
    <numFmt numFmtId="167" formatCode="#,##0;\(#,##0\)"/>
    <numFmt numFmtId="168" formatCode="#0.00%_);\(#0.00%\)"/>
    <numFmt numFmtId="169" formatCode="#,##0.0"/>
    <numFmt numFmtId="170" formatCode="0.000"/>
    <numFmt numFmtId="171" formatCode="0.0000%"/>
    <numFmt numFmtId="172" formatCode="0&quot;¢&quot;"/>
    <numFmt numFmtId="173" formatCode="0_)"/>
    <numFmt numFmtId="174" formatCode="0.0&quot;x&quot;"/>
    <numFmt numFmtId="175" formatCode="#,##0.0;[Red]\-#,##0.0"/>
    <numFmt numFmtId="176" formatCode="_(* #,##0_);_(* \(#,##0\);_(* &quot;-&quot;??_);_(@_)"/>
    <numFmt numFmtId="177" formatCode="0.0"/>
    <numFmt numFmtId="178" formatCode="0.000%"/>
    <numFmt numFmtId="179" formatCode="#0.0%_);\(#0.0%\)"/>
    <numFmt numFmtId="180" formatCode="#,##0.0_);\(#,##0.0\)"/>
    <numFmt numFmtId="181" formatCode="_(* #,##0.0_);_(* \(#,##0.0\);_(* &quot;-&quot;??_);_(@_)"/>
    <numFmt numFmtId="182" formatCode="#,##0.0;\(#,##0.0\)"/>
    <numFmt numFmtId="183" formatCode="0&quot;bp&quot;"/>
    <numFmt numFmtId="184" formatCode="0.0\x"/>
    <numFmt numFmtId="185" formatCode="0.0000"/>
    <numFmt numFmtId="186" formatCode="#,##0.000"/>
    <numFmt numFmtId="187" formatCode="0.00&quot;x&quot;"/>
    <numFmt numFmtId="188" formatCode="&quot;$&quot;0.00"/>
    <numFmt numFmtId="189" formatCode="&quot;$&quot;#,##0.00"/>
    <numFmt numFmtId="190" formatCode="#,##0.0&quot;x&quot;"/>
    <numFmt numFmtId="191" formatCode="&quot;A$&quot;#,##0.00"/>
    <numFmt numFmtId="192" formatCode="[$-C09]dd\-mmm\-yy;@"/>
    <numFmt numFmtId="193" formatCode="#0.0%_);\(#0.0%\);\-"/>
    <numFmt numFmtId="194" formatCode="#0.0\x"/>
    <numFmt numFmtId="195" formatCode="0.0%;\(0.0%\)"/>
    <numFmt numFmtId="196" formatCode="[$-409]dd\-mmm\-yy;@"/>
    <numFmt numFmtId="197" formatCode="[$-409]mmm\-yy;@"/>
    <numFmt numFmtId="198" formatCode="[$$-C09]#,##0.00"/>
    <numFmt numFmtId="199" formatCode="#,##0.000;\(#,##0.000\)"/>
    <numFmt numFmtId="200" formatCode="#0%_);\(#0%\)"/>
    <numFmt numFmtId="201" formatCode="0.0&quot;¢&quot;"/>
    <numFmt numFmtId="202" formatCode="#,##0.00_ ;\-#,##0.00\ "/>
    <numFmt numFmtId="203" formatCode="#0.00%_);\(#0.00%\);\-"/>
  </numFmts>
  <fonts count="135" x14ac:knownFonts="1">
    <font>
      <sz val="11"/>
      <color rgb="FF000000"/>
      <name val="Calibri"/>
      <family val="2"/>
      <scheme val="minor"/>
    </font>
    <font>
      <sz val="11"/>
      <color theme="1"/>
      <name val="Calibri"/>
      <family val="2"/>
      <scheme val="minor"/>
    </font>
    <font>
      <sz val="10"/>
      <name val="Arial"/>
      <family val="2"/>
    </font>
    <font>
      <b/>
      <sz val="10"/>
      <name val="Calibri"/>
      <family val="2"/>
      <scheme val="minor"/>
    </font>
    <font>
      <sz val="10"/>
      <name val="Calibri"/>
      <family val="2"/>
      <scheme val="minor"/>
    </font>
    <font>
      <b/>
      <sz val="10"/>
      <color indexed="10"/>
      <name val="Calibri"/>
      <family val="2"/>
      <scheme val="minor"/>
    </font>
    <font>
      <b/>
      <u/>
      <sz val="10"/>
      <color indexed="12"/>
      <name val="Calibri"/>
      <family val="2"/>
      <scheme val="minor"/>
    </font>
    <font>
      <sz val="9"/>
      <name val="Times New Roman"/>
      <family val="1"/>
    </font>
    <font>
      <sz val="10"/>
      <color indexed="12"/>
      <name val="Calibri"/>
      <family val="2"/>
      <scheme val="minor"/>
    </font>
    <font>
      <b/>
      <sz val="10"/>
      <color indexed="12"/>
      <name val="Calibri"/>
      <family val="2"/>
      <scheme val="minor"/>
    </font>
    <font>
      <u/>
      <sz val="10"/>
      <color indexed="12"/>
      <name val="Arial"/>
      <family val="2"/>
    </font>
    <font>
      <u/>
      <sz val="10"/>
      <name val="Calibri"/>
      <family val="2"/>
      <scheme val="minor"/>
    </font>
    <font>
      <b/>
      <sz val="10"/>
      <color indexed="9"/>
      <name val="Calibri"/>
      <family val="2"/>
      <scheme val="minor"/>
    </font>
    <font>
      <b/>
      <sz val="10"/>
      <color indexed="8"/>
      <name val="Calibri"/>
      <family val="2"/>
      <scheme val="minor"/>
    </font>
    <font>
      <sz val="10"/>
      <name val="MS Sans Serif"/>
      <family val="2"/>
    </font>
    <font>
      <sz val="10"/>
      <color rgb="FF0000FF"/>
      <name val="Calibri"/>
      <family val="2"/>
      <scheme val="minor"/>
    </font>
    <font>
      <i/>
      <sz val="10"/>
      <name val="Calibri"/>
      <family val="2"/>
      <scheme val="minor"/>
    </font>
    <font>
      <sz val="10"/>
      <color indexed="8"/>
      <name val="Calibri"/>
      <family val="2"/>
      <scheme val="minor"/>
    </font>
    <font>
      <sz val="10"/>
      <color indexed="9"/>
      <name val="Calibri"/>
      <family val="2"/>
      <scheme val="minor"/>
    </font>
    <font>
      <b/>
      <i/>
      <sz val="10"/>
      <name val="Calibri"/>
      <family val="2"/>
      <scheme val="minor"/>
    </font>
    <font>
      <sz val="10"/>
      <name val="Arial Narrow"/>
      <family val="2"/>
    </font>
    <font>
      <b/>
      <sz val="10"/>
      <name val="Arial Narrow"/>
      <family val="2"/>
    </font>
    <font>
      <b/>
      <sz val="9"/>
      <name val="Arial Narrow"/>
      <family val="2"/>
    </font>
    <font>
      <b/>
      <sz val="9"/>
      <color indexed="12"/>
      <name val="Arial Narrow"/>
      <family val="2"/>
    </font>
    <font>
      <sz val="9"/>
      <name val="Arial Narrow"/>
      <family val="2"/>
    </font>
    <font>
      <b/>
      <sz val="10"/>
      <color indexed="9"/>
      <name val="Arial Narrow"/>
      <family val="2"/>
    </font>
    <font>
      <sz val="10"/>
      <color indexed="9"/>
      <name val="Arial Narrow"/>
      <family val="2"/>
    </font>
    <font>
      <sz val="10"/>
      <color indexed="12"/>
      <name val="Arial Narrow"/>
      <family val="2"/>
    </font>
    <font>
      <i/>
      <sz val="10"/>
      <name val="Arial Narrow"/>
      <family val="2"/>
    </font>
    <font>
      <b/>
      <sz val="10"/>
      <color indexed="12"/>
      <name val="Arial Narrow"/>
      <family val="2"/>
    </font>
    <font>
      <sz val="10"/>
      <color rgb="FF0000FF"/>
      <name val="Arial Narrow"/>
      <family val="2"/>
    </font>
    <font>
      <sz val="10"/>
      <color rgb="FFFF0000"/>
      <name val="Arial Narrow"/>
      <family val="2"/>
    </font>
    <font>
      <sz val="10"/>
      <color theme="1"/>
      <name val="Arial Narrow"/>
      <family val="2"/>
    </font>
    <font>
      <b/>
      <i/>
      <sz val="10"/>
      <name val="Arial Narrow"/>
      <family val="2"/>
    </font>
    <font>
      <i/>
      <sz val="10"/>
      <color indexed="12"/>
      <name val="Arial Narrow"/>
      <family val="2"/>
    </font>
    <font>
      <b/>
      <i/>
      <sz val="10"/>
      <color indexed="10"/>
      <name val="Arial Narrow"/>
      <family val="2"/>
    </font>
    <font>
      <i/>
      <sz val="10"/>
      <color indexed="10"/>
      <name val="Arial Narrow"/>
      <family val="2"/>
    </font>
    <font>
      <i/>
      <sz val="10"/>
      <color rgb="FF0000FF"/>
      <name val="Arial Narrow"/>
      <family val="2"/>
    </font>
    <font>
      <b/>
      <sz val="10"/>
      <name val="Arial"/>
      <family val="2"/>
    </font>
    <font>
      <b/>
      <sz val="10"/>
      <color theme="1"/>
      <name val="Arial Narrow"/>
      <family val="2"/>
    </font>
    <font>
      <i/>
      <sz val="10"/>
      <name val="Arial"/>
      <family val="2"/>
    </font>
    <font>
      <i/>
      <sz val="10"/>
      <color rgb="FFFF0000"/>
      <name val="Arial Narrow"/>
      <family val="2"/>
    </font>
    <font>
      <sz val="10"/>
      <color indexed="8"/>
      <name val="Arial Narrow"/>
      <family val="2"/>
    </font>
    <font>
      <b/>
      <sz val="10"/>
      <color indexed="8"/>
      <name val="Arial Narrow"/>
      <family val="2"/>
    </font>
    <font>
      <sz val="10"/>
      <color indexed="10"/>
      <name val="Arial Narrow"/>
      <family val="2"/>
    </font>
    <font>
      <i/>
      <sz val="10"/>
      <color indexed="8"/>
      <name val="Arial Narrow"/>
      <family val="2"/>
    </font>
    <font>
      <b/>
      <i/>
      <sz val="10"/>
      <color indexed="12"/>
      <name val="Arial Narrow"/>
      <family val="2"/>
    </font>
    <font>
      <sz val="10"/>
      <color indexed="20"/>
      <name val="Arial narrow"/>
      <family val="2"/>
    </font>
    <font>
      <b/>
      <i/>
      <sz val="10"/>
      <color indexed="20"/>
      <name val="Arial Narrow"/>
      <family val="2"/>
    </font>
    <font>
      <b/>
      <i/>
      <sz val="10"/>
      <color rgb="FFFF0000"/>
      <name val="Arial Narrow"/>
      <family val="2"/>
    </font>
    <font>
      <b/>
      <sz val="10"/>
      <color indexed="20"/>
      <name val="Arial narrow"/>
      <family val="2"/>
    </font>
    <font>
      <b/>
      <sz val="10"/>
      <color rgb="FF0000FF"/>
      <name val="Arial Narrow"/>
      <family val="2"/>
    </font>
    <font>
      <sz val="10"/>
      <color theme="1"/>
      <name val="Arial"/>
      <family val="2"/>
    </font>
    <font>
      <i/>
      <sz val="10"/>
      <color theme="1"/>
      <name val="Arial Narrow"/>
      <family val="2"/>
    </font>
    <font>
      <b/>
      <sz val="10"/>
      <color rgb="FFFF0000"/>
      <name val="Arial Narrow"/>
      <family val="2"/>
    </font>
    <font>
      <b/>
      <sz val="10"/>
      <color indexed="10"/>
      <name val="Arial Narrow"/>
      <family val="2"/>
    </font>
    <font>
      <b/>
      <sz val="10"/>
      <color rgb="FFFF66FF"/>
      <name val="Arial Narrow"/>
      <family val="2"/>
    </font>
    <font>
      <i/>
      <sz val="10"/>
      <color rgb="FFFF0000"/>
      <name val="Arial"/>
      <family val="2"/>
    </font>
    <font>
      <i/>
      <sz val="10"/>
      <color indexed="45"/>
      <name val="Arial Narrow"/>
      <family val="2"/>
    </font>
    <font>
      <sz val="10"/>
      <color rgb="FF0033CC"/>
      <name val="Arial Narrow"/>
      <family val="2"/>
    </font>
    <font>
      <sz val="8"/>
      <name val="Arial Narrow"/>
      <family val="2"/>
    </font>
    <font>
      <b/>
      <i/>
      <sz val="10"/>
      <color rgb="FF0000FF"/>
      <name val="Arial Narrow"/>
      <family val="2"/>
    </font>
    <font>
      <b/>
      <sz val="10"/>
      <color rgb="FF7030A0"/>
      <name val="Arial narrow"/>
      <family val="2"/>
    </font>
    <font>
      <sz val="10"/>
      <color rgb="FF00B0F0"/>
      <name val="Arial Narrow"/>
      <family val="2"/>
    </font>
    <font>
      <sz val="10"/>
      <color rgb="FF008000"/>
      <name val="Arial Narrow"/>
      <family val="2"/>
    </font>
    <font>
      <b/>
      <sz val="9"/>
      <color indexed="81"/>
      <name val="Tahoma"/>
      <family val="2"/>
    </font>
    <font>
      <sz val="9"/>
      <color indexed="81"/>
      <name val="Tahoma"/>
      <family val="2"/>
    </font>
    <font>
      <b/>
      <sz val="8"/>
      <color indexed="81"/>
      <name val="Tahoma"/>
      <family val="2"/>
    </font>
    <font>
      <sz val="8"/>
      <color indexed="81"/>
      <name val="Tahoma"/>
      <family val="2"/>
    </font>
    <font>
      <i/>
      <sz val="9"/>
      <color indexed="81"/>
      <name val="Tahoma"/>
      <family val="2"/>
    </font>
    <font>
      <b/>
      <u/>
      <sz val="9"/>
      <color indexed="81"/>
      <name val="Tahoma"/>
      <family val="2"/>
    </font>
    <font>
      <sz val="10"/>
      <color rgb="FFFF0000"/>
      <name val="Calibri"/>
      <family val="2"/>
      <scheme val="minor"/>
    </font>
    <font>
      <b/>
      <sz val="10"/>
      <color theme="0"/>
      <name val="Calibri"/>
      <family val="2"/>
      <scheme val="minor"/>
    </font>
    <font>
      <sz val="10"/>
      <color theme="0"/>
      <name val="Calibri"/>
      <family val="2"/>
      <scheme val="minor"/>
    </font>
    <font>
      <sz val="10"/>
      <color theme="1"/>
      <name val="Calibri"/>
      <family val="2"/>
      <scheme val="minor"/>
    </font>
    <font>
      <i/>
      <sz val="10"/>
      <color rgb="FFFF0000"/>
      <name val="Calibri"/>
      <family val="2"/>
      <scheme val="minor"/>
    </font>
    <font>
      <b/>
      <sz val="10"/>
      <color rgb="FFFF0000"/>
      <name val="Calibri"/>
      <family val="2"/>
      <scheme val="minor"/>
    </font>
    <font>
      <b/>
      <sz val="10"/>
      <color rgb="FF00B050"/>
      <name val="Calibri"/>
      <family val="2"/>
      <scheme val="minor"/>
    </font>
    <font>
      <sz val="10"/>
      <color rgb="FF00B050"/>
      <name val="Calibri"/>
      <family val="2"/>
      <scheme val="minor"/>
    </font>
    <font>
      <i/>
      <sz val="10"/>
      <color rgb="FF00B050"/>
      <name val="Calibri"/>
      <family val="2"/>
      <scheme val="minor"/>
    </font>
    <font>
      <b/>
      <i/>
      <sz val="10"/>
      <color theme="0"/>
      <name val="Calibri"/>
      <family val="2"/>
      <scheme val="minor"/>
    </font>
    <font>
      <b/>
      <i/>
      <sz val="10"/>
      <color indexed="9"/>
      <name val="Calibri"/>
      <family val="2"/>
      <scheme val="minor"/>
    </font>
    <font>
      <b/>
      <sz val="15"/>
      <color indexed="17"/>
      <name val="Calibri"/>
      <family val="2"/>
      <scheme val="minor"/>
    </font>
    <font>
      <sz val="10"/>
      <color indexed="48"/>
      <name val="Calibri"/>
      <family val="2"/>
      <scheme val="minor"/>
    </font>
    <font>
      <b/>
      <sz val="10"/>
      <color indexed="48"/>
      <name val="Calibri"/>
      <family val="2"/>
      <scheme val="minor"/>
    </font>
    <font>
      <i/>
      <sz val="10"/>
      <color indexed="10"/>
      <name val="Calibri"/>
      <family val="2"/>
      <scheme val="minor"/>
    </font>
    <font>
      <b/>
      <i/>
      <sz val="10"/>
      <color indexed="48"/>
      <name val="Calibri"/>
      <family val="2"/>
      <scheme val="minor"/>
    </font>
    <font>
      <sz val="8"/>
      <color indexed="22"/>
      <name val="Arial"/>
      <family val="2"/>
    </font>
    <font>
      <b/>
      <u/>
      <sz val="10"/>
      <name val="Helvetica"/>
      <family val="2"/>
    </font>
    <font>
      <sz val="10"/>
      <name val="Helvetica"/>
      <family val="2"/>
    </font>
    <font>
      <i/>
      <sz val="10"/>
      <name val="Helvetica"/>
      <family val="2"/>
    </font>
    <font>
      <b/>
      <sz val="10"/>
      <name val="Helvetica"/>
      <family val="2"/>
    </font>
    <font>
      <sz val="10"/>
      <color indexed="12"/>
      <name val="Helvetica"/>
      <family val="2"/>
    </font>
    <font>
      <b/>
      <sz val="10"/>
      <color indexed="12"/>
      <name val="Helvetica"/>
      <family val="2"/>
    </font>
    <font>
      <sz val="10"/>
      <color rgb="FF006600"/>
      <name val="Helvetica"/>
      <family val="2"/>
    </font>
    <font>
      <sz val="10"/>
      <color indexed="10"/>
      <name val="Helvetica"/>
      <family val="2"/>
    </font>
    <font>
      <sz val="10"/>
      <color theme="1"/>
      <name val="Helvetica"/>
      <family val="2"/>
    </font>
    <font>
      <sz val="10"/>
      <color rgb="FF008000"/>
      <name val="Helvetica"/>
      <family val="2"/>
    </font>
    <font>
      <b/>
      <sz val="10"/>
      <color indexed="10"/>
      <name val="Helvetica"/>
      <family val="2"/>
    </font>
    <font>
      <b/>
      <i/>
      <sz val="10"/>
      <name val="Helvetica"/>
      <family val="2"/>
    </font>
    <font>
      <b/>
      <sz val="10"/>
      <color theme="1"/>
      <name val="Helvetica"/>
      <family val="2"/>
    </font>
    <font>
      <b/>
      <sz val="10"/>
      <color rgb="FF008000"/>
      <name val="Helvetica"/>
      <family val="2"/>
    </font>
    <font>
      <i/>
      <sz val="10"/>
      <color theme="1"/>
      <name val="Helvetica"/>
      <family val="2"/>
    </font>
    <font>
      <i/>
      <sz val="10"/>
      <color indexed="12"/>
      <name val="Helvetica"/>
      <family val="2"/>
    </font>
    <font>
      <sz val="8"/>
      <name val="Arial"/>
      <family val="2"/>
    </font>
    <font>
      <i/>
      <sz val="10"/>
      <color rgb="FF008000"/>
      <name val="Helvetica"/>
      <family val="2"/>
    </font>
    <font>
      <sz val="10"/>
      <name val="Helvetica"/>
    </font>
    <font>
      <sz val="10"/>
      <color indexed="17"/>
      <name val="Helvetica"/>
      <family val="2"/>
    </font>
    <font>
      <sz val="10"/>
      <color indexed="17"/>
      <name val="Arial"/>
      <family val="2"/>
    </font>
    <font>
      <i/>
      <sz val="10"/>
      <color indexed="10"/>
      <name val="Helvetica"/>
      <family val="2"/>
    </font>
    <font>
      <b/>
      <i/>
      <sz val="10"/>
      <color indexed="10"/>
      <name val="Helvetica"/>
      <family val="2"/>
    </font>
    <font>
      <sz val="10"/>
      <color indexed="20"/>
      <name val="Helvetica"/>
      <family val="2"/>
    </font>
    <font>
      <b/>
      <sz val="10"/>
      <color indexed="20"/>
      <name val="Arial"/>
      <family val="2"/>
    </font>
    <font>
      <b/>
      <sz val="10"/>
      <color rgb="FFFF0000"/>
      <name val="Helvetica"/>
      <family val="2"/>
    </font>
    <font>
      <b/>
      <sz val="10"/>
      <color rgb="FF0000FF"/>
      <name val="Helvetica"/>
      <family val="2"/>
    </font>
    <font>
      <sz val="10"/>
      <color rgb="FF0000FF"/>
      <name val="Helvetica"/>
      <family val="2"/>
    </font>
    <font>
      <sz val="10"/>
      <color indexed="20"/>
      <name val="Arial"/>
      <family val="2"/>
    </font>
    <font>
      <b/>
      <i/>
      <sz val="10"/>
      <color indexed="10"/>
      <name val="Arial"/>
      <family val="2"/>
    </font>
    <font>
      <b/>
      <sz val="10"/>
      <name val="Helvetica"/>
    </font>
    <font>
      <i/>
      <sz val="10"/>
      <name val="Helvetica"/>
    </font>
    <font>
      <b/>
      <i/>
      <sz val="10"/>
      <color indexed="12"/>
      <name val="Helvetica"/>
      <family val="2"/>
    </font>
    <font>
      <b/>
      <i/>
      <sz val="10"/>
      <name val="Arial"/>
      <family val="2"/>
    </font>
    <font>
      <b/>
      <i/>
      <sz val="10"/>
      <color theme="1"/>
      <name val="Helvetica"/>
      <family val="2"/>
    </font>
    <font>
      <sz val="10"/>
      <color indexed="12"/>
      <name val="Arial"/>
      <family val="2"/>
    </font>
    <font>
      <b/>
      <sz val="10"/>
      <color rgb="FFFF0000"/>
      <name val="Arial"/>
      <family val="2"/>
    </font>
    <font>
      <b/>
      <sz val="10"/>
      <color rgb="FF00B050"/>
      <name val="Helvetica"/>
      <family val="2"/>
    </font>
    <font>
      <i/>
      <sz val="10"/>
      <color rgb="FF006600"/>
      <name val="Helvetica"/>
    </font>
    <font>
      <sz val="10"/>
      <color rgb="FF00B050"/>
      <name val="Helvetica"/>
      <family val="2"/>
    </font>
    <font>
      <sz val="10"/>
      <color rgb="FF00B050"/>
      <name val="Helvetica"/>
    </font>
    <font>
      <sz val="10"/>
      <color rgb="FF000000"/>
      <name val="Arial"/>
      <family val="2"/>
    </font>
    <font>
      <i/>
      <sz val="10"/>
      <color rgb="FF000000"/>
      <name val="Arial"/>
      <family val="2"/>
    </font>
    <font>
      <sz val="11"/>
      <color theme="1"/>
      <name val="Arial"/>
      <family val="2"/>
    </font>
    <font>
      <b/>
      <sz val="12"/>
      <color rgb="FF000080"/>
      <name val="Arial"/>
      <family val="2"/>
    </font>
    <font>
      <sz val="14"/>
      <color rgb="FF000000"/>
      <name val="Arial"/>
      <family val="2"/>
    </font>
    <font>
      <b/>
      <u/>
      <sz val="14"/>
      <color rgb="FFFF0000"/>
      <name val="Arial"/>
      <family val="2"/>
    </font>
  </fonts>
  <fills count="25">
    <fill>
      <patternFill patternType="none"/>
    </fill>
    <fill>
      <patternFill patternType="gray125"/>
    </fill>
    <fill>
      <patternFill patternType="solid">
        <fgColor theme="0" tint="-0.14999847407452621"/>
        <bgColor indexed="64"/>
      </patternFill>
    </fill>
    <fill>
      <patternFill patternType="solid">
        <fgColor rgb="FFFFFF99"/>
        <bgColor indexed="64"/>
      </patternFill>
    </fill>
    <fill>
      <patternFill patternType="solid">
        <fgColor indexed="43"/>
        <bgColor indexed="64"/>
      </patternFill>
    </fill>
    <fill>
      <patternFill patternType="solid">
        <fgColor rgb="FF0070C0"/>
        <bgColor indexed="64"/>
      </patternFill>
    </fill>
    <fill>
      <patternFill patternType="solid">
        <fgColor indexed="22"/>
        <bgColor indexed="64"/>
      </patternFill>
    </fill>
    <fill>
      <patternFill patternType="solid">
        <fgColor theme="0" tint="-0.249977111117893"/>
        <bgColor indexed="64"/>
      </patternFill>
    </fill>
    <fill>
      <patternFill patternType="solid">
        <fgColor indexed="10"/>
        <bgColor indexed="64"/>
      </patternFill>
    </fill>
    <fill>
      <patternFill patternType="solid">
        <fgColor indexed="44"/>
        <bgColor indexed="64"/>
      </patternFill>
    </fill>
    <fill>
      <patternFill patternType="solid">
        <fgColor indexed="41"/>
        <bgColor indexed="64"/>
      </patternFill>
    </fill>
    <fill>
      <patternFill patternType="solid">
        <fgColor indexed="42"/>
        <bgColor indexed="64"/>
      </patternFill>
    </fill>
    <fill>
      <patternFill patternType="solid">
        <fgColor rgb="FFFFFFCC"/>
        <bgColor indexed="64"/>
      </patternFill>
    </fill>
    <fill>
      <patternFill patternType="solid">
        <fgColor rgb="FFFFC000"/>
        <bgColor indexed="64"/>
      </patternFill>
    </fill>
    <fill>
      <patternFill patternType="solid">
        <fgColor theme="9" tint="0.59996337778862885"/>
        <bgColor indexed="64"/>
      </patternFill>
    </fill>
    <fill>
      <patternFill patternType="solid">
        <fgColor theme="1"/>
        <bgColor indexed="64"/>
      </patternFill>
    </fill>
    <fill>
      <patternFill patternType="solid">
        <fgColor rgb="FF0000FF"/>
        <bgColor indexed="64"/>
      </patternFill>
    </fill>
    <fill>
      <patternFill patternType="solid">
        <fgColor rgb="FFFF0000"/>
        <bgColor indexed="64"/>
      </patternFill>
    </fill>
    <fill>
      <patternFill patternType="solid">
        <fgColor rgb="FF92D050"/>
        <bgColor indexed="64"/>
      </patternFill>
    </fill>
    <fill>
      <patternFill patternType="solid">
        <fgColor indexed="51"/>
        <bgColor indexed="64"/>
      </patternFill>
    </fill>
    <fill>
      <patternFill patternType="solid">
        <fgColor indexed="13"/>
        <bgColor indexed="64"/>
      </patternFill>
    </fill>
    <fill>
      <patternFill patternType="solid">
        <fgColor indexed="47"/>
        <bgColor indexed="64"/>
      </patternFill>
    </fill>
    <fill>
      <patternFill patternType="solid">
        <fgColor rgb="FFDEDEDE"/>
        <bgColor indexed="64"/>
      </patternFill>
    </fill>
    <fill>
      <patternFill patternType="solid">
        <fgColor theme="5" tint="0.79998168889431442"/>
        <bgColor indexed="64"/>
      </patternFill>
    </fill>
    <fill>
      <patternFill patternType="solid">
        <fgColor indexed="65"/>
        <bgColor indexed="64"/>
      </patternFill>
    </fill>
  </fills>
  <borders count="81">
    <border>
      <left/>
      <right/>
      <top/>
      <bottom/>
      <diagonal/>
    </border>
    <border>
      <left/>
      <right/>
      <top/>
      <bottom style="thin">
        <color indexed="64"/>
      </bottom>
      <diagonal/>
    </border>
    <border>
      <left/>
      <right style="medium">
        <color indexed="64"/>
      </right>
      <top/>
      <bottom/>
      <diagonal/>
    </border>
    <border>
      <left/>
      <right/>
      <top style="thin">
        <color indexed="64"/>
      </top>
      <bottom/>
      <diagonal/>
    </border>
    <border>
      <left style="medium">
        <color indexed="64"/>
      </left>
      <right style="medium">
        <color indexed="64"/>
      </right>
      <top style="medium">
        <color indexed="64"/>
      </top>
      <bottom style="medium">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auto="1"/>
      </left>
      <right/>
      <top style="thin">
        <color auto="1"/>
      </top>
      <bottom style="thin">
        <color auto="1"/>
      </bottom>
      <diagonal/>
    </border>
    <border>
      <left/>
      <right style="thin">
        <color indexed="64"/>
      </right>
      <top style="thin">
        <color indexed="64"/>
      </top>
      <bottom/>
      <diagonal/>
    </border>
    <border>
      <left/>
      <right style="thin">
        <color indexed="64"/>
      </right>
      <top/>
      <bottom/>
      <diagonal/>
    </border>
    <border>
      <left style="thin">
        <color auto="1"/>
      </left>
      <right/>
      <top/>
      <bottom/>
      <diagonal/>
    </border>
    <border>
      <left style="thin">
        <color auto="1"/>
      </left>
      <right/>
      <top style="thin">
        <color auto="1"/>
      </top>
      <bottom/>
      <diagonal/>
    </border>
    <border>
      <left style="thin">
        <color indexed="64"/>
      </left>
      <right/>
      <top/>
      <bottom style="thin">
        <color auto="1"/>
      </bottom>
      <diagonal/>
    </border>
    <border>
      <left/>
      <right style="thin">
        <color indexed="64"/>
      </right>
      <top/>
      <bottom style="thin">
        <color indexed="64"/>
      </bottom>
      <diagonal/>
    </border>
    <border>
      <left/>
      <right/>
      <top style="thin">
        <color indexed="8"/>
      </top>
      <bottom style="thin">
        <color indexed="64"/>
      </bottom>
      <diagonal/>
    </border>
    <border>
      <left/>
      <right/>
      <top/>
      <bottom style="thin">
        <color indexed="8"/>
      </bottom>
      <diagonal/>
    </border>
    <border>
      <left/>
      <right style="thin">
        <color indexed="64"/>
      </right>
      <top/>
      <bottom style="thin">
        <color indexed="8"/>
      </bottom>
      <diagonal/>
    </border>
    <border>
      <left/>
      <right/>
      <top style="thin">
        <color auto="1"/>
      </top>
      <bottom/>
      <diagonal/>
    </border>
    <border>
      <left style="thin">
        <color auto="1"/>
      </left>
      <right/>
      <top style="thin">
        <color auto="1"/>
      </top>
      <bottom/>
      <diagonal/>
    </border>
    <border>
      <left/>
      <right style="thin">
        <color indexed="64"/>
      </right>
      <top style="thin">
        <color indexed="64"/>
      </top>
      <bottom/>
      <diagonal/>
    </border>
    <border>
      <left style="dashDotDot">
        <color indexed="64"/>
      </left>
      <right style="dashDotDot">
        <color indexed="64"/>
      </right>
      <top style="dashDotDot">
        <color indexed="64"/>
      </top>
      <bottom style="dashDotDot">
        <color indexed="64"/>
      </bottom>
      <diagonal/>
    </border>
    <border>
      <left style="mediumDashed">
        <color indexed="64"/>
      </left>
      <right style="mediumDashed">
        <color indexed="64"/>
      </right>
      <top style="mediumDashed">
        <color indexed="64"/>
      </top>
      <bottom style="mediumDashed">
        <color indexed="64"/>
      </bottom>
      <diagonal/>
    </border>
    <border>
      <left style="dashDot">
        <color indexed="64"/>
      </left>
      <right style="dashDot">
        <color indexed="64"/>
      </right>
      <top style="dashDot">
        <color indexed="64"/>
      </top>
      <bottom style="dashDot">
        <color indexed="64"/>
      </bottom>
      <diagonal/>
    </border>
    <border>
      <left style="dotted">
        <color auto="1"/>
      </left>
      <right style="dotted">
        <color auto="1"/>
      </right>
      <top style="dotted">
        <color auto="1"/>
      </top>
      <bottom style="dotted">
        <color auto="1"/>
      </bottom>
      <diagonal/>
    </border>
    <border>
      <left style="dashDot">
        <color indexed="64"/>
      </left>
      <right/>
      <top style="dashDot">
        <color indexed="64"/>
      </top>
      <bottom/>
      <diagonal/>
    </border>
    <border>
      <left/>
      <right/>
      <top style="dashDot">
        <color indexed="64"/>
      </top>
      <bottom/>
      <diagonal/>
    </border>
    <border>
      <left/>
      <right style="dashDot">
        <color indexed="64"/>
      </right>
      <top style="dashDot">
        <color indexed="64"/>
      </top>
      <bottom/>
      <diagonal/>
    </border>
    <border>
      <left style="dashDot">
        <color indexed="64"/>
      </left>
      <right/>
      <top/>
      <bottom/>
      <diagonal/>
    </border>
    <border>
      <left/>
      <right style="dashDot">
        <color indexed="64"/>
      </right>
      <top/>
      <bottom/>
      <diagonal/>
    </border>
    <border>
      <left style="dashDot">
        <color indexed="64"/>
      </left>
      <right/>
      <top/>
      <bottom style="dashDot">
        <color indexed="64"/>
      </bottom>
      <diagonal/>
    </border>
    <border>
      <left/>
      <right/>
      <top/>
      <bottom style="dashDot">
        <color indexed="64"/>
      </bottom>
      <diagonal/>
    </border>
    <border>
      <left/>
      <right style="dashDot">
        <color indexed="64"/>
      </right>
      <top/>
      <bottom style="dashDot">
        <color indexed="64"/>
      </bottom>
      <diagonal/>
    </border>
    <border>
      <left style="mediumDashDot">
        <color indexed="64"/>
      </left>
      <right style="mediumDashDot">
        <color indexed="64"/>
      </right>
      <top style="mediumDashDot">
        <color indexed="64"/>
      </top>
      <bottom/>
      <diagonal/>
    </border>
    <border>
      <left style="mediumDashDot">
        <color indexed="64"/>
      </left>
      <right style="mediumDashDot">
        <color indexed="64"/>
      </right>
      <top/>
      <bottom style="mediumDashDot">
        <color indexed="64"/>
      </bottom>
      <diagonal/>
    </border>
    <border>
      <left style="mediumDashed">
        <color indexed="64"/>
      </left>
      <right style="mediumDashed">
        <color indexed="64"/>
      </right>
      <top/>
      <bottom style="mediumDashed">
        <color indexed="64"/>
      </bottom>
      <diagonal/>
    </border>
    <border>
      <left style="dashed">
        <color indexed="64"/>
      </left>
      <right style="dashed">
        <color indexed="64"/>
      </right>
      <top style="dashed">
        <color indexed="64"/>
      </top>
      <bottom/>
      <diagonal/>
    </border>
    <border>
      <left style="dashed">
        <color indexed="64"/>
      </left>
      <right style="dashed">
        <color indexed="64"/>
      </right>
      <top/>
      <bottom/>
      <diagonal/>
    </border>
    <border>
      <left style="dashed">
        <color indexed="64"/>
      </left>
      <right style="dashed">
        <color indexed="64"/>
      </right>
      <top/>
      <bottom style="dashed">
        <color indexed="64"/>
      </bottom>
      <diagonal/>
    </border>
    <border>
      <left style="dashed">
        <color indexed="64"/>
      </left>
      <right style="dashed">
        <color indexed="64"/>
      </right>
      <top style="dashed">
        <color indexed="64"/>
      </top>
      <bottom style="dashed">
        <color indexed="64"/>
      </bottom>
      <diagonal/>
    </border>
    <border>
      <left style="thin">
        <color indexed="64"/>
      </left>
      <right style="thin">
        <color indexed="64"/>
      </right>
      <top style="thin">
        <color indexed="64"/>
      </top>
      <bottom style="thin">
        <color indexed="64"/>
      </bottom>
      <diagonal/>
    </border>
    <border>
      <left style="mediumDashDot">
        <color indexed="64"/>
      </left>
      <right style="mediumDashDot">
        <color indexed="64"/>
      </right>
      <top style="mediumDashDot">
        <color indexed="64"/>
      </top>
      <bottom style="mediumDashDot">
        <color indexed="64"/>
      </bottom>
      <diagonal/>
    </border>
    <border>
      <left/>
      <right/>
      <top style="thin">
        <color indexed="64"/>
      </top>
      <bottom/>
      <diagonal/>
    </border>
    <border>
      <left/>
      <right style="thin">
        <color indexed="64"/>
      </right>
      <top style="thin">
        <color indexed="64"/>
      </top>
      <bottom/>
      <diagonal/>
    </border>
    <border>
      <left style="medium">
        <color indexed="64"/>
      </left>
      <right/>
      <top/>
      <bottom/>
      <diagonal/>
    </border>
    <border>
      <left/>
      <right style="thin">
        <color indexed="8"/>
      </right>
      <top/>
      <bottom/>
      <diagonal/>
    </border>
    <border>
      <left/>
      <right style="thin">
        <color auto="1"/>
      </right>
      <top/>
      <bottom/>
      <diagonal/>
    </border>
    <border>
      <left/>
      <right/>
      <top style="thin">
        <color indexed="8"/>
      </top>
      <bottom/>
      <diagonal/>
    </border>
    <border>
      <left/>
      <right style="thin">
        <color indexed="8"/>
      </right>
      <top style="thin">
        <color indexed="8"/>
      </top>
      <bottom/>
      <diagonal/>
    </border>
    <border>
      <left style="thin">
        <color auto="1"/>
      </left>
      <right/>
      <top/>
      <bottom style="thin">
        <color indexed="64"/>
      </bottom>
      <diagonal/>
    </border>
    <border>
      <left style="thin">
        <color indexed="8"/>
      </left>
      <right/>
      <top style="thin">
        <color indexed="8"/>
      </top>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Dashed">
        <color indexed="64"/>
      </left>
      <right/>
      <top style="mediumDashed">
        <color indexed="64"/>
      </top>
      <bottom style="mediumDashed">
        <color indexed="64"/>
      </bottom>
      <diagonal/>
    </border>
    <border>
      <left/>
      <right/>
      <top style="mediumDashed">
        <color indexed="64"/>
      </top>
      <bottom style="mediumDashed">
        <color indexed="64"/>
      </bottom>
      <diagonal/>
    </border>
    <border>
      <left/>
      <right style="mediumDashed">
        <color indexed="64"/>
      </right>
      <top style="mediumDashed">
        <color indexed="64"/>
      </top>
      <bottom style="mediumDashed">
        <color indexed="64"/>
      </bottom>
      <diagonal/>
    </border>
    <border>
      <left/>
      <right style="mediumDashed">
        <color indexed="64"/>
      </right>
      <top/>
      <bottom/>
      <diagonal/>
    </border>
    <border>
      <left/>
      <right style="medium">
        <color indexed="64"/>
      </right>
      <top/>
      <bottom style="medium">
        <color indexed="64"/>
      </bottom>
      <diagonal/>
    </border>
    <border>
      <left style="medium">
        <color indexed="8"/>
      </left>
      <right/>
      <top style="medium">
        <color indexed="64"/>
      </top>
      <bottom/>
      <diagonal/>
    </border>
    <border>
      <left/>
      <right style="medium">
        <color indexed="64"/>
      </right>
      <top style="medium">
        <color indexed="64"/>
      </top>
      <bottom/>
      <diagonal/>
    </border>
    <border>
      <left style="medium">
        <color indexed="8"/>
      </left>
      <right/>
      <top/>
      <bottom/>
      <diagonal/>
    </border>
    <border>
      <left style="thin">
        <color indexed="8"/>
      </left>
      <right/>
      <top/>
      <bottom/>
      <diagonal/>
    </border>
    <border>
      <left style="thin">
        <color indexed="64"/>
      </left>
      <right style="medium">
        <color indexed="64"/>
      </right>
      <top style="thin">
        <color indexed="64"/>
      </top>
      <bottom style="thin">
        <color indexed="64"/>
      </bottom>
      <diagonal/>
    </border>
    <border>
      <left style="thin">
        <color indexed="8"/>
      </left>
      <right/>
      <top style="thin">
        <color indexed="64"/>
      </top>
      <bottom style="medium">
        <color indexed="8"/>
      </bottom>
      <diagonal/>
    </border>
    <border>
      <left/>
      <right/>
      <top style="thin">
        <color indexed="64"/>
      </top>
      <bottom style="medium">
        <color indexed="8"/>
      </bottom>
      <diagonal/>
    </border>
    <border>
      <left/>
      <right style="thin">
        <color indexed="8"/>
      </right>
      <top style="thin">
        <color indexed="64"/>
      </top>
      <bottom style="medium">
        <color indexed="64"/>
      </bottom>
      <diagonal/>
    </border>
    <border>
      <left/>
      <right/>
      <top style="medium">
        <color indexed="8"/>
      </top>
      <bottom/>
      <diagonal/>
    </border>
    <border>
      <left style="medium">
        <color indexed="8"/>
      </left>
      <right/>
      <top/>
      <bottom style="medium">
        <color indexed="8"/>
      </bottom>
      <diagonal/>
    </border>
    <border>
      <left/>
      <right/>
      <top/>
      <bottom style="medium">
        <color indexed="8"/>
      </bottom>
      <diagonal/>
    </border>
    <border>
      <left/>
      <right style="medium">
        <color indexed="8"/>
      </right>
      <top/>
      <bottom style="medium">
        <color indexed="8"/>
      </bottom>
      <diagonal/>
    </border>
    <border>
      <left style="thin">
        <color indexed="64"/>
      </left>
      <right/>
      <top/>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right style="thin">
        <color indexed="64"/>
      </right>
      <top style="thin">
        <color indexed="64"/>
      </top>
      <bottom style="medium">
        <color indexed="64"/>
      </bottom>
      <diagonal/>
    </border>
    <border>
      <left style="thin">
        <color indexed="8"/>
      </left>
      <right/>
      <top style="medium">
        <color indexed="8"/>
      </top>
      <bottom/>
      <diagonal/>
    </border>
    <border>
      <left style="medium">
        <color indexed="8"/>
      </left>
      <right/>
      <top/>
      <bottom style="medium">
        <color indexed="64"/>
      </bottom>
      <diagonal/>
    </border>
    <border>
      <left/>
      <right/>
      <top style="medium">
        <color indexed="64"/>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mediumDashed">
        <color indexed="64"/>
      </left>
      <right style="thin">
        <color indexed="64"/>
      </right>
      <top style="mediumDashed">
        <color indexed="64"/>
      </top>
      <bottom style="mediumDashed">
        <color indexed="64"/>
      </bottom>
      <diagonal/>
    </border>
  </borders>
  <cellStyleXfs count="22">
    <xf numFmtId="0" fontId="0" fillId="0" borderId="0"/>
    <xf numFmtId="0" fontId="2" fillId="0" borderId="0"/>
    <xf numFmtId="0" fontId="2" fillId="0" borderId="0"/>
    <xf numFmtId="2" fontId="7" fillId="0" borderId="2"/>
    <xf numFmtId="9" fontId="2" fillId="0" borderId="0" applyFont="0" applyFill="0" applyBorder="0" applyAlignment="0" applyProtection="0"/>
    <xf numFmtId="0" fontId="2" fillId="0" borderId="0"/>
    <xf numFmtId="0" fontId="10" fillId="0" borderId="0" applyNumberFormat="0" applyFill="0" applyBorder="0" applyAlignment="0" applyProtection="0">
      <alignment vertical="top"/>
      <protection locked="0"/>
    </xf>
    <xf numFmtId="3" fontId="14" fillId="0" borderId="0" applyFont="0" applyFill="0" applyBorder="0" applyAlignment="0" applyProtection="0"/>
    <xf numFmtId="40" fontId="14" fillId="0" borderId="0" applyFont="0" applyFill="0" applyBorder="0" applyAlignment="0" applyProtection="0"/>
    <xf numFmtId="2" fontId="7" fillId="0" borderId="2"/>
    <xf numFmtId="0" fontId="14" fillId="0" borderId="0"/>
    <xf numFmtId="9" fontId="14" fillId="0" borderId="2" applyFont="0" applyFill="0" applyAlignment="0" applyProtection="0"/>
    <xf numFmtId="43" fontId="2" fillId="0" borderId="0" applyFont="0" applyFill="0" applyBorder="0" applyAlignment="0" applyProtection="0"/>
    <xf numFmtId="0" fontId="2" fillId="0" borderId="0"/>
    <xf numFmtId="0" fontId="2" fillId="0" borderId="0"/>
    <xf numFmtId="0" fontId="2" fillId="0" borderId="0"/>
    <xf numFmtId="0" fontId="1" fillId="0" borderId="0"/>
    <xf numFmtId="3" fontId="15" fillId="14" borderId="20">
      <alignment horizontal="center"/>
    </xf>
    <xf numFmtId="0" fontId="87" fillId="0" borderId="0"/>
    <xf numFmtId="43" fontId="104" fillId="0" borderId="0" applyFont="0" applyFill="0" applyBorder="0" applyAlignment="0" applyProtection="0"/>
    <xf numFmtId="44" fontId="104" fillId="0" borderId="0" applyFont="0" applyFill="0" applyBorder="0" applyAlignment="0" applyProtection="0"/>
    <xf numFmtId="9" fontId="1" fillId="0" borderId="0" applyFont="0" applyFill="0" applyBorder="0" applyAlignment="0" applyProtection="0"/>
  </cellStyleXfs>
  <cellXfs count="1541">
    <xf numFmtId="0" fontId="0" fillId="0" borderId="0" xfId="0"/>
    <xf numFmtId="0" fontId="2" fillId="0" borderId="0" xfId="1"/>
    <xf numFmtId="0" fontId="4" fillId="0" borderId="0" xfId="1" applyFont="1"/>
    <xf numFmtId="0" fontId="3" fillId="0" borderId="0" xfId="1" applyFont="1"/>
    <xf numFmtId="0" fontId="4" fillId="0" borderId="0" xfId="2" applyFont="1"/>
    <xf numFmtId="0" fontId="5" fillId="0" borderId="0" xfId="2" applyFont="1"/>
    <xf numFmtId="0" fontId="4" fillId="0" borderId="0" xfId="2" applyFont="1" applyAlignment="1">
      <alignment horizontal="center"/>
    </xf>
    <xf numFmtId="0" fontId="4" fillId="0" borderId="1" xfId="2" applyFont="1" applyBorder="1"/>
    <xf numFmtId="0" fontId="6" fillId="0" borderId="0" xfId="1" applyFont="1"/>
    <xf numFmtId="0" fontId="4" fillId="0" borderId="0" xfId="1" applyFont="1" applyAlignment="1">
      <alignment horizontal="center"/>
    </xf>
    <xf numFmtId="2" fontId="3" fillId="0" borderId="3" xfId="3" applyFont="1" applyBorder="1"/>
    <xf numFmtId="0" fontId="4" fillId="0" borderId="3" xfId="2" applyFont="1" applyBorder="1"/>
    <xf numFmtId="164" fontId="4" fillId="0" borderId="3" xfId="2" applyNumberFormat="1" applyFont="1" applyBorder="1"/>
    <xf numFmtId="164" fontId="4" fillId="0" borderId="3" xfId="4" applyNumberFormat="1" applyFont="1" applyBorder="1"/>
    <xf numFmtId="165" fontId="4" fillId="0" borderId="3" xfId="2" applyNumberFormat="1" applyFont="1" applyBorder="1"/>
    <xf numFmtId="2" fontId="3" fillId="0" borderId="0" xfId="3" applyFont="1" applyBorder="1" applyAlignment="1">
      <alignment horizontal="right"/>
    </xf>
    <xf numFmtId="2" fontId="3" fillId="0" borderId="3" xfId="3" applyFont="1" applyBorder="1" applyAlignment="1">
      <alignment horizontal="right"/>
    </xf>
    <xf numFmtId="0" fontId="4" fillId="0" borderId="3" xfId="1" applyFont="1" applyBorder="1"/>
    <xf numFmtId="2" fontId="8" fillId="4" borderId="4" xfId="2" applyNumberFormat="1" applyFont="1" applyFill="1" applyBorder="1" applyAlignment="1">
      <alignment horizontal="center"/>
    </xf>
    <xf numFmtId="15" fontId="9" fillId="0" borderId="0" xfId="2" applyNumberFormat="1" applyFont="1" applyAlignment="1">
      <alignment horizontal="center"/>
    </xf>
    <xf numFmtId="0" fontId="8" fillId="0" borderId="0" xfId="1" applyFont="1"/>
    <xf numFmtId="2" fontId="3" fillId="0" borderId="0" xfId="3" applyFont="1" applyBorder="1"/>
    <xf numFmtId="2" fontId="4" fillId="0" borderId="0" xfId="3" applyFont="1" applyBorder="1"/>
    <xf numFmtId="3" fontId="8" fillId="0" borderId="0" xfId="4" applyNumberFormat="1" applyFont="1" applyBorder="1" applyAlignment="1">
      <alignment horizontal="center" vertical="center"/>
    </xf>
    <xf numFmtId="164" fontId="4" fillId="0" borderId="0" xfId="4" applyNumberFormat="1" applyFont="1" applyBorder="1"/>
    <xf numFmtId="10" fontId="4" fillId="0" borderId="0" xfId="4" applyNumberFormat="1" applyFont="1" applyBorder="1"/>
    <xf numFmtId="166" fontId="4" fillId="0" borderId="0" xfId="5" applyNumberFormat="1" applyFont="1"/>
    <xf numFmtId="0" fontId="11" fillId="0" borderId="0" xfId="6" applyFont="1" applyBorder="1" applyAlignment="1" applyProtection="1">
      <alignment horizontal="right"/>
    </xf>
    <xf numFmtId="0" fontId="11" fillId="0" borderId="0" xfId="6" applyFont="1" applyFill="1" applyBorder="1" applyAlignment="1" applyProtection="1">
      <alignment horizontal="right"/>
    </xf>
    <xf numFmtId="166" fontId="12" fillId="5" borderId="0" xfId="5" applyNumberFormat="1" applyFont="1" applyFill="1" applyAlignment="1">
      <alignment horizontal="left"/>
    </xf>
    <xf numFmtId="166" fontId="3" fillId="5" borderId="0" xfId="5" applyNumberFormat="1" applyFont="1" applyFill="1" applyAlignment="1">
      <alignment horizontal="right"/>
    </xf>
    <xf numFmtId="166" fontId="4" fillId="5" borderId="0" xfId="5" applyNumberFormat="1" applyFont="1" applyFill="1" applyAlignment="1">
      <alignment horizontal="right"/>
    </xf>
    <xf numFmtId="166" fontId="3" fillId="5" borderId="0" xfId="5" applyNumberFormat="1" applyFont="1" applyFill="1"/>
    <xf numFmtId="166" fontId="3" fillId="0" borderId="0" xfId="5" applyNumberFormat="1" applyFont="1"/>
    <xf numFmtId="166" fontId="13" fillId="0" borderId="5" xfId="5" applyNumberFormat="1" applyFont="1" applyBorder="1" applyAlignment="1">
      <alignment horizontal="left"/>
    </xf>
    <xf numFmtId="166" fontId="13" fillId="0" borderId="5" xfId="5" applyNumberFormat="1" applyFont="1" applyBorder="1" applyAlignment="1">
      <alignment horizontal="center"/>
    </xf>
    <xf numFmtId="166" fontId="13" fillId="0" borderId="3" xfId="5" applyNumberFormat="1" applyFont="1" applyBorder="1" applyAlignment="1">
      <alignment horizontal="center"/>
    </xf>
    <xf numFmtId="166" fontId="13" fillId="0" borderId="6" xfId="5" applyNumberFormat="1" applyFont="1" applyBorder="1" applyAlignment="1">
      <alignment horizontal="center"/>
    </xf>
    <xf numFmtId="166" fontId="13" fillId="0" borderId="7" xfId="5" applyNumberFormat="1" applyFont="1" applyBorder="1" applyAlignment="1">
      <alignment horizontal="center"/>
    </xf>
    <xf numFmtId="167" fontId="3" fillId="0" borderId="8" xfId="7" applyNumberFormat="1" applyFont="1" applyFill="1" applyBorder="1" applyAlignment="1">
      <alignment horizontal="right"/>
    </xf>
    <xf numFmtId="166" fontId="13" fillId="0" borderId="7" xfId="5" applyNumberFormat="1" applyFont="1" applyBorder="1" applyAlignment="1">
      <alignment horizontal="left"/>
    </xf>
    <xf numFmtId="166" fontId="13" fillId="0" borderId="0" xfId="5" applyNumberFormat="1" applyFont="1" applyAlignment="1">
      <alignment horizontal="center"/>
    </xf>
    <xf numFmtId="2" fontId="3" fillId="0" borderId="0" xfId="5" applyNumberFormat="1" applyFont="1"/>
    <xf numFmtId="166" fontId="3" fillId="0" borderId="0" xfId="8" applyNumberFormat="1" applyFont="1" applyFill="1" applyBorder="1"/>
    <xf numFmtId="3" fontId="3" fillId="0" borderId="0" xfId="7" applyFont="1" applyBorder="1"/>
    <xf numFmtId="3" fontId="3" fillId="0" borderId="0" xfId="7" applyFont="1" applyFill="1" applyBorder="1"/>
    <xf numFmtId="3" fontId="3" fillId="0" borderId="9" xfId="7" applyFont="1" applyBorder="1"/>
    <xf numFmtId="3" fontId="3" fillId="0" borderId="10" xfId="7" applyFont="1" applyBorder="1"/>
    <xf numFmtId="166" fontId="4" fillId="0" borderId="9" xfId="5" applyNumberFormat="1" applyFont="1" applyBorder="1" applyAlignment="1">
      <alignment horizontal="right"/>
    </xf>
    <xf numFmtId="166" fontId="3" fillId="0" borderId="0" xfId="5" applyNumberFormat="1" applyFont="1" applyAlignment="1">
      <alignment horizontal="left"/>
    </xf>
    <xf numFmtId="2" fontId="4" fillId="0" borderId="0" xfId="5" applyNumberFormat="1" applyFont="1"/>
    <xf numFmtId="0" fontId="4" fillId="0" borderId="9" xfId="1" applyFont="1" applyBorder="1"/>
    <xf numFmtId="2" fontId="3" fillId="0" borderId="9" xfId="5" applyNumberFormat="1" applyFont="1" applyBorder="1"/>
    <xf numFmtId="0" fontId="3" fillId="0" borderId="0" xfId="5" applyFont="1"/>
    <xf numFmtId="166" fontId="16" fillId="6" borderId="0" xfId="8" applyNumberFormat="1" applyFont="1" applyFill="1" applyBorder="1"/>
    <xf numFmtId="168" fontId="16" fillId="6" borderId="0" xfId="7" applyNumberFormat="1" applyFont="1" applyFill="1" applyBorder="1"/>
    <xf numFmtId="168" fontId="16" fillId="6" borderId="9" xfId="7" applyNumberFormat="1" applyFont="1" applyFill="1" applyBorder="1"/>
    <xf numFmtId="168" fontId="16" fillId="6" borderId="10" xfId="7" applyNumberFormat="1" applyFont="1" applyFill="1" applyBorder="1"/>
    <xf numFmtId="166" fontId="4" fillId="0" borderId="0" xfId="5" applyNumberFormat="1" applyFont="1" applyAlignment="1">
      <alignment horizontal="left"/>
    </xf>
    <xf numFmtId="169" fontId="4" fillId="0" borderId="0" xfId="7" applyNumberFormat="1" applyFont="1" applyFill="1" applyBorder="1" applyAlignment="1">
      <alignment horizontal="right" vertical="center"/>
    </xf>
    <xf numFmtId="169" fontId="4" fillId="0" borderId="9" xfId="7" applyNumberFormat="1" applyFont="1" applyFill="1" applyBorder="1" applyAlignment="1">
      <alignment horizontal="right" vertical="center"/>
    </xf>
    <xf numFmtId="3" fontId="3" fillId="0" borderId="0" xfId="2" applyNumberFormat="1" applyFont="1"/>
    <xf numFmtId="0" fontId="4" fillId="0" borderId="0" xfId="5" applyFont="1" applyAlignment="1">
      <alignment horizontal="center"/>
    </xf>
    <xf numFmtId="166" fontId="4" fillId="0" borderId="0" xfId="8" applyNumberFormat="1" applyFont="1" applyFill="1" applyBorder="1"/>
    <xf numFmtId="3" fontId="4" fillId="0" borderId="0" xfId="7" applyFont="1" applyFill="1" applyBorder="1" applyAlignment="1">
      <alignment horizontal="right"/>
    </xf>
    <xf numFmtId="3" fontId="4" fillId="0" borderId="9" xfId="7" applyFont="1" applyFill="1" applyBorder="1" applyAlignment="1">
      <alignment horizontal="right"/>
    </xf>
    <xf numFmtId="3" fontId="4" fillId="0" borderId="10" xfId="7" applyFont="1" applyFill="1" applyBorder="1" applyAlignment="1">
      <alignment horizontal="right"/>
    </xf>
    <xf numFmtId="166" fontId="3" fillId="0" borderId="9" xfId="5" applyNumberFormat="1" applyFont="1" applyBorder="1" applyAlignment="1">
      <alignment horizontal="right"/>
    </xf>
    <xf numFmtId="166" fontId="3" fillId="7" borderId="0" xfId="5" applyNumberFormat="1" applyFont="1" applyFill="1" applyAlignment="1">
      <alignment horizontal="left"/>
    </xf>
    <xf numFmtId="169" fontId="3" fillId="7" borderId="0" xfId="7" applyNumberFormat="1" applyFont="1" applyFill="1" applyBorder="1" applyAlignment="1">
      <alignment horizontal="right" vertical="center"/>
    </xf>
    <xf numFmtId="169" fontId="3" fillId="7" borderId="9" xfId="7" applyNumberFormat="1" applyFont="1" applyFill="1" applyBorder="1" applyAlignment="1">
      <alignment horizontal="right" vertical="center"/>
    </xf>
    <xf numFmtId="170" fontId="15" fillId="0" borderId="0" xfId="2" applyNumberFormat="1" applyFont="1"/>
    <xf numFmtId="3" fontId="3" fillId="0" borderId="0" xfId="2" applyNumberFormat="1" applyFont="1" applyAlignment="1">
      <alignment horizontal="center"/>
    </xf>
    <xf numFmtId="169" fontId="3" fillId="0" borderId="0" xfId="7" applyNumberFormat="1" applyFont="1" applyFill="1" applyBorder="1" applyAlignment="1">
      <alignment horizontal="right" vertical="center"/>
    </xf>
    <xf numFmtId="169" fontId="3" fillId="0" borderId="9" xfId="7" applyNumberFormat="1" applyFont="1" applyFill="1" applyBorder="1" applyAlignment="1">
      <alignment horizontal="right" vertical="center"/>
    </xf>
    <xf numFmtId="169" fontId="4" fillId="0" borderId="0" xfId="2" applyNumberFormat="1" applyFont="1" applyAlignment="1">
      <alignment horizontal="center"/>
    </xf>
    <xf numFmtId="166" fontId="4" fillId="0" borderId="0" xfId="1" applyNumberFormat="1" applyFont="1"/>
    <xf numFmtId="166" fontId="4" fillId="0" borderId="0" xfId="1" applyNumberFormat="1" applyFont="1" applyAlignment="1">
      <alignment horizontal="center"/>
    </xf>
    <xf numFmtId="0" fontId="4" fillId="0" borderId="5" xfId="1" applyFont="1" applyBorder="1"/>
    <xf numFmtId="166" fontId="3" fillId="0" borderId="5" xfId="1" applyNumberFormat="1" applyFont="1" applyBorder="1" applyAlignment="1">
      <alignment horizontal="center"/>
    </xf>
    <xf numFmtId="0" fontId="3" fillId="0" borderId="5" xfId="1" applyFont="1" applyBorder="1"/>
    <xf numFmtId="166" fontId="3" fillId="0" borderId="7" xfId="1" applyNumberFormat="1" applyFont="1" applyBorder="1" applyAlignment="1">
      <alignment horizontal="center"/>
    </xf>
    <xf numFmtId="4" fontId="4" fillId="0" borderId="0" xfId="7" applyNumberFormat="1" applyFont="1" applyFill="1" applyBorder="1" applyAlignment="1">
      <alignment horizontal="right" vertical="center"/>
    </xf>
    <xf numFmtId="4" fontId="4" fillId="0" borderId="9" xfId="7" applyNumberFormat="1" applyFont="1" applyFill="1" applyBorder="1" applyAlignment="1">
      <alignment horizontal="right" vertical="center"/>
    </xf>
    <xf numFmtId="169" fontId="3" fillId="0" borderId="0" xfId="2" applyNumberFormat="1" applyFont="1" applyAlignment="1">
      <alignment horizontal="center"/>
    </xf>
    <xf numFmtId="3" fontId="4" fillId="0" borderId="0" xfId="1" applyNumberFormat="1" applyFont="1" applyAlignment="1">
      <alignment horizontal="center"/>
    </xf>
    <xf numFmtId="3" fontId="4" fillId="0" borderId="10" xfId="1" applyNumberFormat="1" applyFont="1" applyBorder="1" applyAlignment="1">
      <alignment horizontal="center"/>
    </xf>
    <xf numFmtId="3" fontId="3" fillId="0" borderId="0" xfId="7" applyFont="1" applyFill="1" applyBorder="1" applyAlignment="1">
      <alignment horizontal="right"/>
    </xf>
    <xf numFmtId="171" fontId="4" fillId="0" borderId="0" xfId="1" applyNumberFormat="1" applyFont="1"/>
    <xf numFmtId="169" fontId="3" fillId="0" borderId="0" xfId="7" applyNumberFormat="1" applyFont="1" applyFill="1" applyBorder="1" applyAlignment="1">
      <alignment horizontal="center" vertical="center"/>
    </xf>
    <xf numFmtId="0" fontId="16" fillId="0" borderId="0" xfId="1" applyFont="1"/>
    <xf numFmtId="164" fontId="16" fillId="0" borderId="0" xfId="4" applyNumberFormat="1" applyFont="1" applyAlignment="1">
      <alignment horizontal="center"/>
    </xf>
    <xf numFmtId="164" fontId="16" fillId="0" borderId="10" xfId="4" applyNumberFormat="1" applyFont="1" applyBorder="1" applyAlignment="1">
      <alignment horizontal="center"/>
    </xf>
    <xf numFmtId="4" fontId="3" fillId="0" borderId="0" xfId="7" applyNumberFormat="1" applyFont="1" applyFill="1" applyBorder="1" applyAlignment="1">
      <alignment horizontal="right"/>
    </xf>
    <xf numFmtId="4" fontId="3" fillId="0" borderId="9" xfId="7" applyNumberFormat="1" applyFont="1" applyFill="1" applyBorder="1" applyAlignment="1">
      <alignment horizontal="right"/>
    </xf>
    <xf numFmtId="4" fontId="4" fillId="0" borderId="0" xfId="7" applyNumberFormat="1" applyFont="1" applyFill="1" applyBorder="1" applyAlignment="1">
      <alignment horizontal="center" vertical="center"/>
    </xf>
    <xf numFmtId="0" fontId="4" fillId="0" borderId="0" xfId="5" applyFont="1"/>
    <xf numFmtId="3" fontId="4" fillId="0" borderId="0" xfId="7" applyFont="1" applyBorder="1"/>
    <xf numFmtId="3" fontId="4" fillId="0" borderId="9" xfId="7" applyFont="1" applyBorder="1"/>
    <xf numFmtId="3" fontId="4" fillId="0" borderId="10" xfId="7" applyFont="1" applyBorder="1"/>
    <xf numFmtId="2" fontId="3" fillId="7" borderId="0" xfId="3" applyFont="1" applyFill="1" applyBorder="1"/>
    <xf numFmtId="4" fontId="3" fillId="7" borderId="0" xfId="7" applyNumberFormat="1" applyFont="1" applyFill="1" applyBorder="1" applyAlignment="1">
      <alignment horizontal="right"/>
    </xf>
    <xf numFmtId="4" fontId="3" fillId="7" borderId="9" xfId="7" applyNumberFormat="1" applyFont="1" applyFill="1" applyBorder="1" applyAlignment="1">
      <alignment horizontal="right"/>
    </xf>
    <xf numFmtId="3" fontId="4" fillId="0" borderId="0" xfId="2" applyNumberFormat="1" applyFont="1"/>
    <xf numFmtId="169" fontId="3" fillId="0" borderId="0" xfId="7" applyNumberFormat="1" applyFont="1" applyFill="1" applyBorder="1" applyAlignment="1">
      <alignment horizontal="center"/>
    </xf>
    <xf numFmtId="0" fontId="3" fillId="0" borderId="0" xfId="2" applyFont="1"/>
    <xf numFmtId="0" fontId="4" fillId="0" borderId="0" xfId="5" applyFont="1" applyAlignment="1">
      <alignment horizontal="left"/>
    </xf>
    <xf numFmtId="9" fontId="4" fillId="0" borderId="0" xfId="4" applyFont="1" applyFill="1" applyBorder="1"/>
    <xf numFmtId="3" fontId="4" fillId="0" borderId="3" xfId="1" applyNumberFormat="1" applyFont="1" applyBorder="1" applyAlignment="1">
      <alignment horizontal="center"/>
    </xf>
    <xf numFmtId="3" fontId="4" fillId="0" borderId="11" xfId="1" applyNumberFormat="1" applyFont="1" applyBorder="1" applyAlignment="1">
      <alignment horizontal="center"/>
    </xf>
    <xf numFmtId="3" fontId="3" fillId="0" borderId="0" xfId="5" applyNumberFormat="1" applyFont="1"/>
    <xf numFmtId="172" fontId="4" fillId="0" borderId="0" xfId="1" applyNumberFormat="1" applyFont="1" applyAlignment="1">
      <alignment horizontal="center"/>
    </xf>
    <xf numFmtId="172" fontId="4" fillId="0" borderId="10" xfId="1" applyNumberFormat="1" applyFont="1" applyBorder="1" applyAlignment="1">
      <alignment horizontal="center"/>
    </xf>
    <xf numFmtId="0" fontId="3" fillId="7" borderId="0" xfId="5" applyFont="1" applyFill="1" applyAlignment="1">
      <alignment horizontal="left"/>
    </xf>
    <xf numFmtId="169" fontId="3" fillId="7" borderId="0" xfId="7" applyNumberFormat="1" applyFont="1" applyFill="1" applyBorder="1" applyAlignment="1">
      <alignment horizontal="right"/>
    </xf>
    <xf numFmtId="169" fontId="3" fillId="7" borderId="9" xfId="7" applyNumberFormat="1" applyFont="1" applyFill="1" applyBorder="1" applyAlignment="1">
      <alignment horizontal="right"/>
    </xf>
    <xf numFmtId="0" fontId="3" fillId="7" borderId="0" xfId="5" quotePrefix="1" applyFont="1" applyFill="1" applyAlignment="1" applyProtection="1">
      <alignment horizontal="left"/>
      <protection locked="0"/>
    </xf>
    <xf numFmtId="169" fontId="4" fillId="0" borderId="0" xfId="7" applyNumberFormat="1" applyFont="1" applyFill="1" applyBorder="1" applyAlignment="1">
      <alignment horizontal="right"/>
    </xf>
    <xf numFmtId="164" fontId="4" fillId="0" borderId="0" xfId="4" applyNumberFormat="1" applyFont="1" applyAlignment="1">
      <alignment horizontal="center"/>
    </xf>
    <xf numFmtId="0" fontId="4" fillId="0" borderId="1" xfId="1" applyFont="1" applyBorder="1"/>
    <xf numFmtId="164" fontId="4" fillId="0" borderId="1" xfId="4" applyNumberFormat="1" applyFont="1" applyBorder="1" applyAlignment="1">
      <alignment horizontal="center"/>
    </xf>
    <xf numFmtId="164" fontId="4" fillId="0" borderId="12" xfId="4" applyNumberFormat="1" applyFont="1" applyBorder="1" applyAlignment="1">
      <alignment horizontal="center"/>
    </xf>
    <xf numFmtId="173" fontId="17" fillId="0" borderId="0" xfId="9" applyNumberFormat="1" applyFont="1" applyBorder="1" applyAlignment="1">
      <alignment horizontal="left"/>
    </xf>
    <xf numFmtId="37" fontId="4" fillId="0" borderId="0" xfId="7" applyNumberFormat="1" applyFont="1" applyFill="1" applyBorder="1" applyAlignment="1">
      <alignment horizontal="right"/>
    </xf>
    <xf numFmtId="37" fontId="4" fillId="0" borderId="9" xfId="7" applyNumberFormat="1" applyFont="1" applyFill="1" applyBorder="1" applyAlignment="1">
      <alignment horizontal="right"/>
    </xf>
    <xf numFmtId="174" fontId="4" fillId="0" borderId="0" xfId="1" applyNumberFormat="1" applyFont="1" applyAlignment="1">
      <alignment horizontal="center"/>
    </xf>
    <xf numFmtId="174" fontId="4" fillId="0" borderId="10" xfId="1" applyNumberFormat="1" applyFont="1" applyBorder="1" applyAlignment="1">
      <alignment horizontal="center"/>
    </xf>
    <xf numFmtId="175" fontId="4" fillId="0" borderId="0" xfId="3" applyNumberFormat="1" applyFont="1" applyBorder="1"/>
    <xf numFmtId="2" fontId="17" fillId="0" borderId="0" xfId="9" applyFont="1" applyBorder="1" applyAlignment="1">
      <alignment horizontal="left"/>
    </xf>
    <xf numFmtId="9" fontId="4" fillId="0" borderId="0" xfId="4" applyFont="1" applyFill="1" applyBorder="1" applyAlignment="1">
      <alignment horizontal="right"/>
    </xf>
    <xf numFmtId="166" fontId="4" fillId="0" borderId="9" xfId="5" applyNumberFormat="1" applyFont="1" applyBorder="1"/>
    <xf numFmtId="164" fontId="4" fillId="0" borderId="0" xfId="4" applyNumberFormat="1" applyFont="1" applyBorder="1" applyAlignment="1">
      <alignment horizontal="center"/>
    </xf>
    <xf numFmtId="175" fontId="3" fillId="6" borderId="0" xfId="3" applyNumberFormat="1" applyFont="1" applyFill="1" applyBorder="1"/>
    <xf numFmtId="3" fontId="3" fillId="6" borderId="0" xfId="7" applyFont="1" applyFill="1" applyBorder="1"/>
    <xf numFmtId="3" fontId="3" fillId="6" borderId="0" xfId="7" applyFont="1" applyFill="1" applyBorder="1" applyAlignment="1">
      <alignment horizontal="right"/>
    </xf>
    <xf numFmtId="3" fontId="3" fillId="6" borderId="9" xfId="7" applyFont="1" applyFill="1" applyBorder="1"/>
    <xf numFmtId="3" fontId="3" fillId="6" borderId="10" xfId="7" applyFont="1" applyFill="1" applyBorder="1"/>
    <xf numFmtId="166" fontId="12" fillId="5" borderId="10" xfId="5" applyNumberFormat="1" applyFont="1" applyFill="1" applyBorder="1" applyAlignment="1">
      <alignment horizontal="left"/>
    </xf>
    <xf numFmtId="176" fontId="18" fillId="5" borderId="0" xfId="7" applyNumberFormat="1" applyFont="1" applyFill="1" applyBorder="1"/>
    <xf numFmtId="166" fontId="3" fillId="5" borderId="9" xfId="5" applyNumberFormat="1" applyFont="1" applyFill="1" applyBorder="1"/>
    <xf numFmtId="0" fontId="16" fillId="0" borderId="0" xfId="2" applyFont="1"/>
    <xf numFmtId="3" fontId="4" fillId="0" borderId="0" xfId="7" applyFont="1" applyFill="1" applyBorder="1"/>
    <xf numFmtId="3" fontId="4" fillId="0" borderId="9" xfId="7" applyFont="1" applyFill="1" applyBorder="1"/>
    <xf numFmtId="3" fontId="4" fillId="0" borderId="10" xfId="7" applyFont="1" applyFill="1" applyBorder="1"/>
    <xf numFmtId="0" fontId="4" fillId="0" borderId="10" xfId="2" applyFont="1" applyBorder="1"/>
    <xf numFmtId="175" fontId="3" fillId="0" borderId="0" xfId="3" applyNumberFormat="1" applyFont="1" applyBorder="1"/>
    <xf numFmtId="3" fontId="3" fillId="0" borderId="9" xfId="7" applyFont="1" applyFill="1" applyBorder="1"/>
    <xf numFmtId="3" fontId="3" fillId="0" borderId="10" xfId="7" applyFont="1" applyFill="1" applyBorder="1"/>
    <xf numFmtId="166" fontId="3" fillId="0" borderId="10" xfId="10" applyNumberFormat="1" applyFont="1" applyBorder="1" applyAlignment="1">
      <alignment horizontal="left"/>
    </xf>
    <xf numFmtId="169" fontId="4" fillId="0" borderId="0" xfId="7" applyNumberFormat="1" applyFont="1" applyBorder="1"/>
    <xf numFmtId="166" fontId="4" fillId="0" borderId="10" xfId="11" applyNumberFormat="1" applyFont="1" applyBorder="1" applyAlignment="1">
      <alignment horizontal="left"/>
    </xf>
    <xf numFmtId="4" fontId="4" fillId="0" borderId="0" xfId="7" applyNumberFormat="1" applyFont="1" applyFill="1" applyBorder="1" applyAlignment="1">
      <alignment horizontal="right"/>
    </xf>
    <xf numFmtId="4" fontId="4" fillId="0" borderId="9" xfId="7" applyNumberFormat="1" applyFont="1" applyFill="1" applyBorder="1" applyAlignment="1">
      <alignment horizontal="right"/>
    </xf>
    <xf numFmtId="9" fontId="4" fillId="0" borderId="0" xfId="4" applyFont="1"/>
    <xf numFmtId="0" fontId="3" fillId="0" borderId="1" xfId="2" applyFont="1" applyBorder="1"/>
    <xf numFmtId="3" fontId="3" fillId="0" borderId="1" xfId="7" applyFont="1" applyFill="1" applyBorder="1"/>
    <xf numFmtId="3" fontId="3" fillId="0" borderId="1" xfId="2" applyNumberFormat="1" applyFont="1" applyBorder="1"/>
    <xf numFmtId="3" fontId="3" fillId="0" borderId="13" xfId="7" applyFont="1" applyFill="1" applyBorder="1"/>
    <xf numFmtId="3" fontId="3" fillId="0" borderId="12" xfId="7" applyFont="1" applyFill="1" applyBorder="1"/>
    <xf numFmtId="3" fontId="4" fillId="0" borderId="8" xfId="7" applyFont="1" applyFill="1" applyBorder="1" applyAlignment="1">
      <alignment horizontal="right"/>
    </xf>
    <xf numFmtId="3" fontId="4" fillId="0" borderId="11" xfId="7" applyFont="1" applyFill="1" applyBorder="1" applyAlignment="1">
      <alignment horizontal="right"/>
    </xf>
    <xf numFmtId="166" fontId="4" fillId="0" borderId="10" xfId="8" applyNumberFormat="1" applyFont="1" applyFill="1" applyBorder="1" applyAlignment="1">
      <alignment horizontal="left"/>
    </xf>
    <xf numFmtId="3" fontId="4" fillId="0" borderId="0" xfId="1" applyNumberFormat="1" applyFont="1"/>
    <xf numFmtId="3" fontId="4" fillId="0" borderId="9" xfId="1" applyNumberFormat="1" applyFont="1" applyBorder="1"/>
    <xf numFmtId="2" fontId="3" fillId="6" borderId="10" xfId="3" applyFont="1" applyFill="1" applyBorder="1"/>
    <xf numFmtId="4" fontId="3" fillId="6" borderId="0" xfId="7" applyNumberFormat="1" applyFont="1" applyFill="1" applyBorder="1" applyAlignment="1">
      <alignment horizontal="right"/>
    </xf>
    <xf numFmtId="4" fontId="3" fillId="6" borderId="9" xfId="7" applyNumberFormat="1" applyFont="1" applyFill="1" applyBorder="1" applyAlignment="1">
      <alignment horizontal="right"/>
    </xf>
    <xf numFmtId="164" fontId="4" fillId="0" borderId="0" xfId="4" applyNumberFormat="1" applyFont="1" applyFill="1" applyBorder="1"/>
    <xf numFmtId="3" fontId="4" fillId="0" borderId="1" xfId="1" applyNumberFormat="1" applyFont="1" applyBorder="1"/>
    <xf numFmtId="3" fontId="4" fillId="0" borderId="13" xfId="1" applyNumberFormat="1" applyFont="1" applyBorder="1"/>
    <xf numFmtId="3" fontId="4" fillId="0" borderId="12" xfId="1" applyNumberFormat="1" applyFont="1" applyBorder="1"/>
    <xf numFmtId="2" fontId="4" fillId="0" borderId="10" xfId="3" applyFont="1" applyBorder="1"/>
    <xf numFmtId="169" fontId="4" fillId="0" borderId="9" xfId="7" applyNumberFormat="1" applyFont="1" applyFill="1" applyBorder="1" applyAlignment="1">
      <alignment horizontal="right"/>
    </xf>
    <xf numFmtId="164" fontId="4" fillId="0" borderId="0" xfId="4" applyNumberFormat="1" applyFont="1" applyFill="1" applyBorder="1" applyAlignment="1">
      <alignment horizontal="right"/>
    </xf>
    <xf numFmtId="2" fontId="13" fillId="0" borderId="0" xfId="3" applyFont="1" applyBorder="1" applyAlignment="1">
      <alignment horizontal="left"/>
    </xf>
    <xf numFmtId="169" fontId="3" fillId="0" borderId="0" xfId="7" applyNumberFormat="1" applyFont="1" applyBorder="1" applyAlignment="1">
      <alignment horizontal="right"/>
    </xf>
    <xf numFmtId="169" fontId="3" fillId="0" borderId="9" xfId="7" applyNumberFormat="1" applyFont="1" applyBorder="1" applyAlignment="1">
      <alignment horizontal="right"/>
    </xf>
    <xf numFmtId="169" fontId="3" fillId="0" borderId="10" xfId="7" applyNumberFormat="1" applyFont="1" applyBorder="1" applyAlignment="1">
      <alignment horizontal="right"/>
    </xf>
    <xf numFmtId="0" fontId="4" fillId="0" borderId="9" xfId="2" applyFont="1" applyBorder="1"/>
    <xf numFmtId="0" fontId="3" fillId="6" borderId="10" xfId="5" applyFont="1" applyFill="1" applyBorder="1"/>
    <xf numFmtId="169" fontId="3" fillId="6" borderId="0" xfId="7" applyNumberFormat="1" applyFont="1" applyFill="1" applyBorder="1" applyAlignment="1">
      <alignment horizontal="right"/>
    </xf>
    <xf numFmtId="169" fontId="3" fillId="6" borderId="9" xfId="7" applyNumberFormat="1" applyFont="1" applyFill="1" applyBorder="1" applyAlignment="1">
      <alignment horizontal="right"/>
    </xf>
    <xf numFmtId="2" fontId="13" fillId="6" borderId="0" xfId="3" applyFont="1" applyFill="1" applyBorder="1" applyAlignment="1">
      <alignment horizontal="left"/>
    </xf>
    <xf numFmtId="169" fontId="3" fillId="6" borderId="10" xfId="7" applyNumberFormat="1" applyFont="1" applyFill="1" applyBorder="1" applyAlignment="1">
      <alignment horizontal="right"/>
    </xf>
    <xf numFmtId="169" fontId="3" fillId="0" borderId="0" xfId="7" applyNumberFormat="1" applyFont="1" applyFill="1" applyBorder="1" applyAlignment="1">
      <alignment horizontal="right"/>
    </xf>
    <xf numFmtId="169" fontId="3" fillId="0" borderId="9" xfId="7" applyNumberFormat="1" applyFont="1" applyFill="1" applyBorder="1" applyAlignment="1">
      <alignment horizontal="right"/>
    </xf>
    <xf numFmtId="169" fontId="3" fillId="0" borderId="10" xfId="7" applyNumberFormat="1" applyFont="1" applyFill="1" applyBorder="1" applyAlignment="1">
      <alignment horizontal="right"/>
    </xf>
    <xf numFmtId="166" fontId="3" fillId="0" borderId="10" xfId="5" applyNumberFormat="1" applyFont="1" applyBorder="1" applyAlignment="1">
      <alignment horizontal="left" vertical="center"/>
    </xf>
    <xf numFmtId="4" fontId="3" fillId="0" borderId="0" xfId="7" applyNumberFormat="1" applyFont="1" applyFill="1" applyBorder="1" applyAlignment="1">
      <alignment horizontal="right" vertical="center"/>
    </xf>
    <xf numFmtId="4" fontId="3" fillId="0" borderId="9" xfId="7" applyNumberFormat="1" applyFont="1" applyFill="1" applyBorder="1" applyAlignment="1">
      <alignment horizontal="right" vertical="center"/>
    </xf>
    <xf numFmtId="2" fontId="17" fillId="0" borderId="0" xfId="3" applyFont="1" applyBorder="1" applyAlignment="1">
      <alignment horizontal="left"/>
    </xf>
    <xf numFmtId="169" fontId="4" fillId="0" borderId="0" xfId="7" applyNumberFormat="1" applyFont="1" applyBorder="1" applyAlignment="1">
      <alignment horizontal="right"/>
    </xf>
    <xf numFmtId="169" fontId="4" fillId="0" borderId="9" xfId="7" applyNumberFormat="1" applyFont="1" applyBorder="1" applyAlignment="1">
      <alignment horizontal="right"/>
    </xf>
    <xf numFmtId="169" fontId="4" fillId="0" borderId="10" xfId="7" applyNumberFormat="1" applyFont="1" applyBorder="1" applyAlignment="1">
      <alignment horizontal="right"/>
    </xf>
    <xf numFmtId="166" fontId="4" fillId="0" borderId="10" xfId="5" applyNumberFormat="1" applyFont="1" applyBorder="1" applyAlignment="1">
      <alignment horizontal="left" vertical="center"/>
    </xf>
    <xf numFmtId="177" fontId="4" fillId="0" borderId="0" xfId="2" applyNumberFormat="1" applyFont="1"/>
    <xf numFmtId="177" fontId="4" fillId="0" borderId="9" xfId="2" applyNumberFormat="1" applyFont="1" applyBorder="1"/>
    <xf numFmtId="0" fontId="3" fillId="0" borderId="1" xfId="5" applyFont="1" applyBorder="1" applyAlignment="1">
      <alignment horizontal="left"/>
    </xf>
    <xf numFmtId="3" fontId="3" fillId="0" borderId="1" xfId="7" applyFont="1" applyBorder="1" applyAlignment="1">
      <alignment horizontal="right"/>
    </xf>
    <xf numFmtId="3" fontId="3" fillId="0" borderId="1" xfId="7" applyFont="1" applyFill="1" applyBorder="1" applyAlignment="1">
      <alignment horizontal="right"/>
    </xf>
    <xf numFmtId="3" fontId="3" fillId="0" borderId="13" xfId="7" applyFont="1" applyFill="1" applyBorder="1" applyAlignment="1">
      <alignment horizontal="right"/>
    </xf>
    <xf numFmtId="3" fontId="3" fillId="0" borderId="12" xfId="7" applyFont="1" applyFill="1" applyBorder="1" applyAlignment="1">
      <alignment horizontal="right"/>
    </xf>
    <xf numFmtId="166" fontId="3" fillId="7" borderId="10" xfId="11" applyNumberFormat="1" applyFont="1" applyFill="1" applyBorder="1" applyAlignment="1">
      <alignment horizontal="left"/>
    </xf>
    <xf numFmtId="178" fontId="4" fillId="0" borderId="0" xfId="4" applyNumberFormat="1" applyFont="1"/>
    <xf numFmtId="166" fontId="13" fillId="0" borderId="0" xfId="5" applyNumberFormat="1" applyFont="1" applyAlignment="1">
      <alignment horizontal="left"/>
    </xf>
    <xf numFmtId="166" fontId="13" fillId="0" borderId="14" xfId="5" applyNumberFormat="1" applyFont="1" applyBorder="1" applyAlignment="1">
      <alignment horizontal="center"/>
    </xf>
    <xf numFmtId="166" fontId="3" fillId="5" borderId="9" xfId="5" applyNumberFormat="1" applyFont="1" applyFill="1" applyBorder="1" applyAlignment="1">
      <alignment horizontal="right"/>
    </xf>
    <xf numFmtId="166" fontId="4" fillId="0" borderId="0" xfId="2" applyNumberFormat="1" applyFont="1"/>
    <xf numFmtId="0" fontId="4" fillId="0" borderId="10" xfId="5" applyFont="1" applyBorder="1" applyAlignment="1">
      <alignment horizontal="left"/>
    </xf>
    <xf numFmtId="176" fontId="18" fillId="5" borderId="9" xfId="7" applyNumberFormat="1" applyFont="1" applyFill="1" applyBorder="1"/>
    <xf numFmtId="3" fontId="3" fillId="0" borderId="9" xfId="7" applyFont="1" applyFill="1" applyBorder="1" applyAlignment="1">
      <alignment horizontal="right"/>
    </xf>
    <xf numFmtId="3" fontId="3" fillId="0" borderId="10" xfId="7" applyFont="1" applyFill="1" applyBorder="1" applyAlignment="1">
      <alignment horizontal="right"/>
    </xf>
    <xf numFmtId="43" fontId="4" fillId="0" borderId="0" xfId="7" applyNumberFormat="1" applyFont="1" applyBorder="1" applyAlignment="1">
      <alignment horizontal="right"/>
    </xf>
    <xf numFmtId="43" fontId="4" fillId="0" borderId="9" xfId="7" applyNumberFormat="1" applyFont="1" applyBorder="1" applyAlignment="1">
      <alignment horizontal="right"/>
    </xf>
    <xf numFmtId="10" fontId="4" fillId="0" borderId="0" xfId="4" applyNumberFormat="1" applyFont="1"/>
    <xf numFmtId="4" fontId="4" fillId="0" borderId="0" xfId="2" applyNumberFormat="1" applyFont="1" applyAlignment="1">
      <alignment horizontal="center"/>
    </xf>
    <xf numFmtId="4" fontId="3" fillId="0" borderId="0" xfId="2" applyNumberFormat="1" applyFont="1" applyAlignment="1">
      <alignment horizontal="center"/>
    </xf>
    <xf numFmtId="3" fontId="4" fillId="0" borderId="0" xfId="7" applyFont="1" applyFill="1" applyBorder="1" applyAlignment="1" applyProtection="1">
      <alignment horizontal="right"/>
    </xf>
    <xf numFmtId="166" fontId="3" fillId="7" borderId="0" xfId="8" applyNumberFormat="1" applyFont="1" applyFill="1" applyBorder="1"/>
    <xf numFmtId="3" fontId="3" fillId="7" borderId="0" xfId="7" applyFont="1" applyFill="1" applyBorder="1" applyAlignment="1">
      <alignment horizontal="right"/>
    </xf>
    <xf numFmtId="3" fontId="3" fillId="7" borderId="9" xfId="7" applyFont="1" applyFill="1" applyBorder="1" applyAlignment="1">
      <alignment horizontal="right"/>
    </xf>
    <xf numFmtId="3" fontId="3" fillId="7" borderId="10" xfId="7" applyFont="1" applyFill="1" applyBorder="1" applyAlignment="1">
      <alignment horizontal="right"/>
    </xf>
    <xf numFmtId="9" fontId="4" fillId="0" borderId="0" xfId="4" applyFont="1" applyBorder="1" applyAlignment="1">
      <alignment horizontal="center"/>
    </xf>
    <xf numFmtId="3" fontId="4" fillId="0" borderId="0" xfId="2" applyNumberFormat="1" applyFont="1" applyAlignment="1">
      <alignment horizontal="center"/>
    </xf>
    <xf numFmtId="0" fontId="16" fillId="0" borderId="1" xfId="5" applyFont="1" applyBorder="1"/>
    <xf numFmtId="179" fontId="16" fillId="0" borderId="1" xfId="5" applyNumberFormat="1" applyFont="1" applyBorder="1"/>
    <xf numFmtId="179" fontId="16" fillId="0" borderId="13" xfId="5" applyNumberFormat="1" applyFont="1" applyBorder="1"/>
    <xf numFmtId="179" fontId="16" fillId="0" borderId="0" xfId="5" applyNumberFormat="1" applyFont="1"/>
    <xf numFmtId="179" fontId="16" fillId="0" borderId="12" xfId="5" applyNumberFormat="1" applyFont="1" applyBorder="1"/>
    <xf numFmtId="0" fontId="3" fillId="7" borderId="10" xfId="2" applyFont="1" applyFill="1" applyBorder="1"/>
    <xf numFmtId="180" fontId="3" fillId="7" borderId="0" xfId="7" applyNumberFormat="1" applyFont="1" applyFill="1" applyBorder="1" applyAlignment="1" applyProtection="1">
      <alignment horizontal="right"/>
    </xf>
    <xf numFmtId="180" fontId="3" fillId="7" borderId="9" xfId="7" applyNumberFormat="1" applyFont="1" applyFill="1" applyBorder="1" applyAlignment="1" applyProtection="1">
      <alignment horizontal="right"/>
    </xf>
    <xf numFmtId="176" fontId="18" fillId="0" borderId="0" xfId="7" applyNumberFormat="1" applyFont="1" applyFill="1" applyBorder="1"/>
    <xf numFmtId="0" fontId="3" fillId="0" borderId="0" xfId="5" quotePrefix="1" applyFont="1" applyAlignment="1" applyProtection="1">
      <alignment horizontal="left"/>
      <protection locked="0"/>
    </xf>
    <xf numFmtId="169" fontId="4" fillId="0" borderId="1" xfId="2" applyNumberFormat="1" applyFont="1" applyBorder="1" applyAlignment="1">
      <alignment horizontal="center"/>
    </xf>
    <xf numFmtId="181" fontId="4" fillId="5" borderId="0" xfId="7" applyNumberFormat="1" applyFont="1" applyFill="1" applyBorder="1" applyAlignment="1">
      <alignment horizontal="right"/>
    </xf>
    <xf numFmtId="164" fontId="4" fillId="5" borderId="0" xfId="4" applyNumberFormat="1" applyFont="1" applyFill="1" applyBorder="1" applyAlignment="1">
      <alignment horizontal="right"/>
    </xf>
    <xf numFmtId="9" fontId="4" fillId="5" borderId="0" xfId="4" applyFont="1" applyFill="1" applyBorder="1" applyAlignment="1">
      <alignment horizontal="right"/>
    </xf>
    <xf numFmtId="181" fontId="4" fillId="5" borderId="9" xfId="7" applyNumberFormat="1" applyFont="1" applyFill="1" applyBorder="1" applyAlignment="1">
      <alignment horizontal="right"/>
    </xf>
    <xf numFmtId="181" fontId="4" fillId="5" borderId="10" xfId="7" applyNumberFormat="1" applyFont="1" applyFill="1" applyBorder="1" applyAlignment="1">
      <alignment horizontal="right"/>
    </xf>
    <xf numFmtId="43" fontId="4" fillId="0" borderId="0" xfId="7" applyNumberFormat="1" applyFont="1" applyFill="1" applyBorder="1" applyAlignment="1">
      <alignment horizontal="right"/>
    </xf>
    <xf numFmtId="166" fontId="4" fillId="0" borderId="0" xfId="8" applyNumberFormat="1" applyFont="1" applyBorder="1" applyAlignment="1" applyProtection="1">
      <alignment horizontal="left"/>
    </xf>
    <xf numFmtId="181" fontId="4" fillId="0" borderId="0" xfId="7" applyNumberFormat="1" applyFont="1" applyBorder="1" applyAlignment="1" applyProtection="1">
      <alignment horizontal="right"/>
    </xf>
    <xf numFmtId="181" fontId="4" fillId="0" borderId="9" xfId="7" applyNumberFormat="1" applyFont="1" applyBorder="1" applyAlignment="1" applyProtection="1">
      <alignment horizontal="right"/>
    </xf>
    <xf numFmtId="181" fontId="4" fillId="0" borderId="10" xfId="7" applyNumberFormat="1" applyFont="1" applyBorder="1" applyAlignment="1" applyProtection="1">
      <alignment horizontal="right"/>
    </xf>
    <xf numFmtId="166" fontId="4" fillId="0" borderId="0" xfId="10" applyNumberFormat="1" applyFont="1"/>
    <xf numFmtId="43" fontId="3" fillId="6" borderId="0" xfId="7" applyNumberFormat="1" applyFont="1" applyFill="1" applyBorder="1" applyAlignment="1">
      <alignment horizontal="right"/>
    </xf>
    <xf numFmtId="43" fontId="3" fillId="6" borderId="9" xfId="7" applyNumberFormat="1" applyFont="1" applyFill="1" applyBorder="1" applyAlignment="1">
      <alignment horizontal="right"/>
    </xf>
    <xf numFmtId="4" fontId="4" fillId="0" borderId="0" xfId="2" applyNumberFormat="1" applyFont="1"/>
    <xf numFmtId="166" fontId="4" fillId="0" borderId="0" xfId="10" applyNumberFormat="1" applyFont="1" applyAlignment="1">
      <alignment horizontal="left"/>
    </xf>
    <xf numFmtId="3" fontId="4" fillId="0" borderId="0" xfId="7" applyFont="1" applyBorder="1" applyAlignment="1" applyProtection="1">
      <alignment horizontal="right"/>
    </xf>
    <xf numFmtId="166" fontId="4" fillId="0" borderId="15" xfId="10" applyNumberFormat="1" applyFont="1" applyBorder="1"/>
    <xf numFmtId="181" fontId="4" fillId="0" borderId="15" xfId="7" applyNumberFormat="1" applyFont="1" applyBorder="1" applyAlignment="1" applyProtection="1">
      <alignment horizontal="right"/>
    </xf>
    <xf numFmtId="3" fontId="4" fillId="0" borderId="15" xfId="2" applyNumberFormat="1" applyFont="1" applyBorder="1"/>
    <xf numFmtId="181" fontId="4" fillId="0" borderId="16" xfId="7" applyNumberFormat="1" applyFont="1" applyBorder="1" applyAlignment="1" applyProtection="1">
      <alignment horizontal="right"/>
    </xf>
    <xf numFmtId="181" fontId="4" fillId="0" borderId="13" xfId="7" applyNumberFormat="1" applyFont="1" applyBorder="1" applyAlignment="1" applyProtection="1">
      <alignment horizontal="right"/>
    </xf>
    <xf numFmtId="181" fontId="4" fillId="0" borderId="1" xfId="7" applyNumberFormat="1" applyFont="1" applyBorder="1" applyAlignment="1" applyProtection="1">
      <alignment horizontal="right"/>
    </xf>
    <xf numFmtId="181" fontId="4" fillId="0" borderId="12" xfId="7" applyNumberFormat="1" applyFont="1" applyBorder="1" applyAlignment="1" applyProtection="1">
      <alignment horizontal="right"/>
    </xf>
    <xf numFmtId="0" fontId="4" fillId="0" borderId="10" xfId="5" applyFont="1" applyBorder="1"/>
    <xf numFmtId="43" fontId="4" fillId="0" borderId="9" xfId="7" applyNumberFormat="1" applyFont="1" applyFill="1" applyBorder="1" applyAlignment="1">
      <alignment horizontal="right"/>
    </xf>
    <xf numFmtId="43" fontId="4" fillId="0" borderId="0" xfId="1" applyNumberFormat="1" applyFont="1"/>
    <xf numFmtId="180" fontId="4" fillId="0" borderId="0" xfId="7" applyNumberFormat="1" applyFont="1" applyFill="1" applyBorder="1" applyAlignment="1">
      <alignment horizontal="right"/>
    </xf>
    <xf numFmtId="180" fontId="4" fillId="0" borderId="9" xfId="7" applyNumberFormat="1" applyFont="1" applyFill="1" applyBorder="1" applyAlignment="1">
      <alignment horizontal="right"/>
    </xf>
    <xf numFmtId="9" fontId="8" fillId="0" borderId="0" xfId="2" applyNumberFormat="1" applyFont="1"/>
    <xf numFmtId="180" fontId="3" fillId="0" borderId="0" xfId="7" applyNumberFormat="1" applyFont="1" applyFill="1" applyBorder="1" applyAlignment="1">
      <alignment horizontal="right"/>
    </xf>
    <xf numFmtId="180" fontId="3" fillId="0" borderId="9" xfId="7" applyNumberFormat="1" applyFont="1" applyFill="1" applyBorder="1" applyAlignment="1">
      <alignment horizontal="right"/>
    </xf>
    <xf numFmtId="0" fontId="8" fillId="0" borderId="0" xfId="2" applyFont="1"/>
    <xf numFmtId="181" fontId="4" fillId="0" borderId="0" xfId="7" applyNumberFormat="1" applyFont="1" applyFill="1" applyBorder="1" applyAlignment="1"/>
    <xf numFmtId="176" fontId="18" fillId="5" borderId="1" xfId="7" applyNumberFormat="1" applyFont="1" applyFill="1" applyBorder="1"/>
    <xf numFmtId="176" fontId="18" fillId="5" borderId="10" xfId="7" applyNumberFormat="1" applyFont="1" applyFill="1" applyBorder="1"/>
    <xf numFmtId="0" fontId="12" fillId="5" borderId="10" xfId="5" applyFont="1" applyFill="1" applyBorder="1" applyAlignment="1">
      <alignment horizontal="left"/>
    </xf>
    <xf numFmtId="181" fontId="4" fillId="5" borderId="0" xfId="7" applyNumberFormat="1" applyFont="1" applyFill="1" applyBorder="1" applyAlignment="1"/>
    <xf numFmtId="181" fontId="4" fillId="5" borderId="9" xfId="7" applyNumberFormat="1" applyFont="1" applyFill="1" applyBorder="1" applyAlignment="1"/>
    <xf numFmtId="181" fontId="4" fillId="0" borderId="0" xfId="7" applyNumberFormat="1" applyFont="1" applyFill="1"/>
    <xf numFmtId="0" fontId="4" fillId="0" borderId="0" xfId="5" applyFont="1" applyAlignment="1" applyProtection="1">
      <alignment horizontal="left"/>
      <protection locked="0"/>
    </xf>
    <xf numFmtId="182" fontId="4" fillId="0" borderId="0" xfId="7" quotePrefix="1" applyNumberFormat="1" applyFont="1" applyFill="1" applyBorder="1" applyAlignment="1" applyProtection="1">
      <alignment horizontal="right"/>
      <protection locked="0"/>
    </xf>
    <xf numFmtId="182" fontId="4" fillId="0" borderId="9" xfId="7" quotePrefix="1" applyNumberFormat="1" applyFont="1" applyFill="1" applyBorder="1" applyAlignment="1" applyProtection="1">
      <alignment horizontal="right"/>
      <protection locked="0"/>
    </xf>
    <xf numFmtId="182" fontId="4" fillId="0" borderId="10" xfId="7" quotePrefix="1" applyNumberFormat="1" applyFont="1" applyFill="1" applyBorder="1" applyAlignment="1" applyProtection="1">
      <alignment horizontal="right"/>
      <protection locked="0"/>
    </xf>
    <xf numFmtId="164" fontId="4" fillId="0" borderId="0" xfId="4" applyNumberFormat="1" applyFont="1"/>
    <xf numFmtId="0" fontId="3" fillId="6" borderId="0" xfId="5" applyFont="1" applyFill="1" applyAlignment="1" applyProtection="1">
      <alignment horizontal="left"/>
      <protection locked="0"/>
    </xf>
    <xf numFmtId="182" fontId="3" fillId="6" borderId="0" xfId="7" quotePrefix="1" applyNumberFormat="1" applyFont="1" applyFill="1" applyBorder="1" applyAlignment="1" applyProtection="1">
      <alignment horizontal="right"/>
      <protection locked="0"/>
    </xf>
    <xf numFmtId="182" fontId="3" fillId="6" borderId="9" xfId="7" quotePrefix="1" applyNumberFormat="1" applyFont="1" applyFill="1" applyBorder="1" applyAlignment="1" applyProtection="1">
      <alignment horizontal="right"/>
      <protection locked="0"/>
    </xf>
    <xf numFmtId="182" fontId="3" fillId="6" borderId="10" xfId="7" quotePrefix="1" applyNumberFormat="1" applyFont="1" applyFill="1" applyBorder="1" applyAlignment="1" applyProtection="1">
      <alignment horizontal="right"/>
      <protection locked="0"/>
    </xf>
    <xf numFmtId="180" fontId="4" fillId="0" borderId="0" xfId="2" applyNumberFormat="1" applyFont="1"/>
    <xf numFmtId="180" fontId="4" fillId="0" borderId="9" xfId="2" applyNumberFormat="1" applyFont="1" applyBorder="1"/>
    <xf numFmtId="3" fontId="4" fillId="0" borderId="0" xfId="7" quotePrefix="1" applyFont="1" applyFill="1" applyBorder="1" applyAlignment="1">
      <alignment horizontal="right"/>
    </xf>
    <xf numFmtId="167" fontId="3" fillId="0" borderId="9" xfId="5" applyNumberFormat="1" applyFont="1" applyBorder="1" applyAlignment="1">
      <alignment horizontal="right"/>
    </xf>
    <xf numFmtId="4" fontId="4" fillId="0" borderId="0" xfId="7" applyNumberFormat="1" applyFont="1" applyFill="1" applyBorder="1"/>
    <xf numFmtId="169" fontId="4" fillId="0" borderId="0" xfId="7" applyNumberFormat="1" applyFont="1" applyFill="1"/>
    <xf numFmtId="4" fontId="4" fillId="0" borderId="0" xfId="7" applyNumberFormat="1" applyFont="1" applyBorder="1"/>
    <xf numFmtId="4" fontId="4" fillId="0" borderId="9" xfId="7" applyNumberFormat="1" applyFont="1" applyBorder="1"/>
    <xf numFmtId="3" fontId="4" fillId="0" borderId="0" xfId="7" applyFont="1" applyFill="1"/>
    <xf numFmtId="181" fontId="3" fillId="0" borderId="0" xfId="7" applyNumberFormat="1" applyFont="1" applyBorder="1" applyAlignment="1" applyProtection="1">
      <alignment horizontal="right"/>
    </xf>
    <xf numFmtId="181" fontId="3" fillId="0" borderId="9" xfId="7" applyNumberFormat="1" applyFont="1" applyBorder="1" applyAlignment="1" applyProtection="1">
      <alignment horizontal="right"/>
    </xf>
    <xf numFmtId="181" fontId="3" fillId="0" borderId="10" xfId="7" applyNumberFormat="1" applyFont="1" applyBorder="1" applyAlignment="1" applyProtection="1">
      <alignment horizontal="right"/>
    </xf>
    <xf numFmtId="166" fontId="3" fillId="6" borderId="0" xfId="10" applyNumberFormat="1" applyFont="1" applyFill="1" applyAlignment="1">
      <alignment horizontal="left"/>
    </xf>
    <xf numFmtId="181" fontId="3" fillId="6" borderId="0" xfId="7" applyNumberFormat="1" applyFont="1" applyFill="1" applyBorder="1" applyAlignment="1" applyProtection="1">
      <alignment horizontal="right"/>
    </xf>
    <xf numFmtId="181" fontId="3" fillId="6" borderId="9" xfId="7" applyNumberFormat="1" applyFont="1" applyFill="1" applyBorder="1" applyAlignment="1" applyProtection="1">
      <alignment horizontal="right"/>
    </xf>
    <xf numFmtId="181" fontId="3" fillId="6" borderId="10" xfId="7" applyNumberFormat="1" applyFont="1" applyFill="1" applyBorder="1" applyAlignment="1" applyProtection="1">
      <alignment horizontal="right"/>
    </xf>
    <xf numFmtId="181" fontId="4" fillId="0" borderId="0" xfId="7" applyNumberFormat="1" applyFont="1" applyFill="1" applyBorder="1" applyAlignment="1" applyProtection="1">
      <alignment horizontal="right"/>
    </xf>
    <xf numFmtId="181" fontId="4" fillId="0" borderId="9" xfId="7" applyNumberFormat="1" applyFont="1" applyFill="1" applyBorder="1" applyAlignment="1" applyProtection="1">
      <alignment horizontal="right"/>
    </xf>
    <xf numFmtId="2" fontId="3" fillId="6" borderId="0" xfId="3" applyFont="1" applyFill="1" applyBorder="1"/>
    <xf numFmtId="181" fontId="4" fillId="0" borderId="1" xfId="7" applyNumberFormat="1" applyFont="1" applyFill="1" applyBorder="1" applyAlignment="1" applyProtection="1">
      <alignment horizontal="right"/>
    </xf>
    <xf numFmtId="181" fontId="4" fillId="0" borderId="13" xfId="7" applyNumberFormat="1" applyFont="1" applyFill="1" applyBorder="1" applyAlignment="1" applyProtection="1">
      <alignment horizontal="right"/>
    </xf>
    <xf numFmtId="177" fontId="4" fillId="0" borderId="1" xfId="1" applyNumberFormat="1" applyFont="1" applyBorder="1"/>
    <xf numFmtId="177" fontId="4" fillId="0" borderId="13" xfId="7" applyNumberFormat="1" applyFont="1" applyFill="1" applyBorder="1" applyAlignment="1" applyProtection="1">
      <alignment horizontal="right"/>
    </xf>
    <xf numFmtId="181" fontId="4" fillId="0" borderId="12" xfId="7" applyNumberFormat="1" applyFont="1" applyFill="1" applyBorder="1" applyAlignment="1" applyProtection="1">
      <alignment horizontal="right"/>
    </xf>
    <xf numFmtId="0" fontId="4" fillId="0" borderId="17" xfId="1" applyFont="1" applyBorder="1"/>
    <xf numFmtId="169" fontId="3" fillId="0" borderId="0" xfId="7" applyNumberFormat="1" applyFont="1" applyBorder="1"/>
    <xf numFmtId="166" fontId="3" fillId="0" borderId="0" xfId="10" applyNumberFormat="1" applyFont="1" applyAlignment="1">
      <alignment horizontal="left"/>
    </xf>
    <xf numFmtId="4" fontId="4" fillId="0" borderId="9" xfId="7" applyNumberFormat="1" applyFont="1" applyFill="1" applyBorder="1"/>
    <xf numFmtId="2" fontId="3" fillId="7" borderId="1" xfId="3" applyFont="1" applyFill="1" applyBorder="1"/>
    <xf numFmtId="0" fontId="3" fillId="7" borderId="1" xfId="1" applyFont="1" applyFill="1" applyBorder="1"/>
    <xf numFmtId="181" fontId="3" fillId="7" borderId="13" xfId="7" applyNumberFormat="1" applyFont="1" applyFill="1" applyBorder="1" applyAlignment="1" applyProtection="1">
      <alignment horizontal="right"/>
    </xf>
    <xf numFmtId="181" fontId="3" fillId="7" borderId="1" xfId="7" applyNumberFormat="1" applyFont="1" applyFill="1" applyBorder="1" applyAlignment="1" applyProtection="1">
      <alignment horizontal="right"/>
    </xf>
    <xf numFmtId="181" fontId="3" fillId="7" borderId="12" xfId="7" applyNumberFormat="1" applyFont="1" applyFill="1" applyBorder="1" applyAlignment="1" applyProtection="1">
      <alignment horizontal="right"/>
    </xf>
    <xf numFmtId="0" fontId="3" fillId="0" borderId="10" xfId="5" applyFont="1" applyBorder="1"/>
    <xf numFmtId="4" fontId="3" fillId="0" borderId="0" xfId="7" applyNumberFormat="1" applyFont="1" applyFill="1" applyBorder="1"/>
    <xf numFmtId="4" fontId="3" fillId="0" borderId="9" xfId="7" applyNumberFormat="1" applyFont="1" applyFill="1" applyBorder="1"/>
    <xf numFmtId="4" fontId="4" fillId="0" borderId="1" xfId="7" applyNumberFormat="1" applyFont="1" applyFill="1" applyBorder="1" applyAlignment="1">
      <alignment horizontal="right"/>
    </xf>
    <xf numFmtId="4" fontId="4" fillId="0" borderId="13" xfId="7" applyNumberFormat="1" applyFont="1" applyFill="1" applyBorder="1" applyAlignment="1">
      <alignment horizontal="right"/>
    </xf>
    <xf numFmtId="0" fontId="4" fillId="0" borderId="9" xfId="5" applyFont="1" applyBorder="1"/>
    <xf numFmtId="0" fontId="4" fillId="0" borderId="10" xfId="1" applyFont="1" applyBorder="1"/>
    <xf numFmtId="181" fontId="4" fillId="0" borderId="10" xfId="7" applyNumberFormat="1" applyFont="1" applyFill="1" applyBorder="1" applyAlignment="1" applyProtection="1">
      <alignment horizontal="right"/>
    </xf>
    <xf numFmtId="4" fontId="4" fillId="0" borderId="0" xfId="7" applyNumberFormat="1" applyFont="1" applyBorder="1" applyAlignment="1">
      <alignment horizontal="right"/>
    </xf>
    <xf numFmtId="0" fontId="3" fillId="6" borderId="0" xfId="5" applyFont="1" applyFill="1" applyAlignment="1">
      <alignment horizontal="left"/>
    </xf>
    <xf numFmtId="166" fontId="4" fillId="0" borderId="1" xfId="10" applyNumberFormat="1" applyFont="1" applyBorder="1" applyAlignment="1">
      <alignment horizontal="left"/>
    </xf>
    <xf numFmtId="181" fontId="4" fillId="0" borderId="18" xfId="7" applyNumberFormat="1" applyFont="1" applyFill="1" applyBorder="1" applyAlignment="1" applyProtection="1">
      <alignment horizontal="right"/>
    </xf>
    <xf numFmtId="181" fontId="4" fillId="0" borderId="17" xfId="7" applyNumberFormat="1" applyFont="1" applyFill="1" applyBorder="1" applyAlignment="1" applyProtection="1">
      <alignment horizontal="right"/>
    </xf>
    <xf numFmtId="181" fontId="4" fillId="0" borderId="19" xfId="7" applyNumberFormat="1" applyFont="1" applyFill="1" applyBorder="1" applyAlignment="1" applyProtection="1">
      <alignment horizontal="right"/>
    </xf>
    <xf numFmtId="0" fontId="12" fillId="5" borderId="0" xfId="5" applyFont="1" applyFill="1" applyAlignment="1">
      <alignment horizontal="left"/>
    </xf>
    <xf numFmtId="2" fontId="4" fillId="0" borderId="0" xfId="7" applyNumberFormat="1" applyFont="1" applyFill="1" applyBorder="1" applyAlignment="1">
      <alignment horizontal="right" vertical="center"/>
    </xf>
    <xf numFmtId="0" fontId="4" fillId="0" borderId="12" xfId="1" applyFont="1" applyBorder="1"/>
    <xf numFmtId="0" fontId="4" fillId="0" borderId="13" xfId="1" applyFont="1" applyBorder="1"/>
    <xf numFmtId="0" fontId="19" fillId="0" borderId="0" xfId="2" applyFont="1"/>
    <xf numFmtId="2" fontId="16" fillId="0" borderId="0" xfId="3" applyFont="1" applyBorder="1"/>
    <xf numFmtId="166" fontId="16" fillId="0" borderId="0" xfId="2" applyNumberFormat="1" applyFont="1"/>
    <xf numFmtId="37" fontId="16" fillId="0" borderId="0" xfId="4" applyNumberFormat="1" applyFont="1" applyBorder="1"/>
    <xf numFmtId="3" fontId="16" fillId="0" borderId="0" xfId="4" applyNumberFormat="1" applyFont="1" applyBorder="1"/>
    <xf numFmtId="164" fontId="16" fillId="0" borderId="0" xfId="4" applyNumberFormat="1" applyFont="1" applyBorder="1"/>
    <xf numFmtId="176" fontId="4" fillId="0" borderId="0" xfId="12" applyNumberFormat="1" applyFont="1" applyBorder="1"/>
    <xf numFmtId="183" fontId="16" fillId="0" borderId="0" xfId="1" applyNumberFormat="1" applyFont="1"/>
    <xf numFmtId="164" fontId="19" fillId="0" borderId="0" xfId="1" applyNumberFormat="1" applyFont="1"/>
    <xf numFmtId="164" fontId="16" fillId="0" borderId="0" xfId="1" applyNumberFormat="1" applyFont="1"/>
    <xf numFmtId="166" fontId="16" fillId="0" borderId="0" xfId="1" applyNumberFormat="1" applyFont="1"/>
    <xf numFmtId="3" fontId="16" fillId="0" borderId="0" xfId="1" applyNumberFormat="1" applyFont="1"/>
    <xf numFmtId="3" fontId="16" fillId="0" borderId="0" xfId="7" applyFont="1" applyFill="1" applyBorder="1" applyAlignment="1">
      <alignment horizontal="right"/>
    </xf>
    <xf numFmtId="0" fontId="20" fillId="0" borderId="0" xfId="2" applyFont="1"/>
    <xf numFmtId="0" fontId="20" fillId="0" borderId="0" xfId="2" applyFont="1" applyAlignment="1">
      <alignment horizontal="center"/>
    </xf>
    <xf numFmtId="15" fontId="20" fillId="0" borderId="0" xfId="2" applyNumberFormat="1" applyFont="1" applyAlignment="1">
      <alignment horizontal="center"/>
    </xf>
    <xf numFmtId="0" fontId="2" fillId="0" borderId="0" xfId="2"/>
    <xf numFmtId="3" fontId="20" fillId="0" borderId="0" xfId="2" applyNumberFormat="1" applyFont="1" applyAlignment="1">
      <alignment horizontal="center"/>
    </xf>
    <xf numFmtId="184" fontId="20" fillId="0" borderId="0" xfId="2" applyNumberFormat="1" applyFont="1" applyAlignment="1">
      <alignment horizontal="center"/>
    </xf>
    <xf numFmtId="185" fontId="21" fillId="6" borderId="17" xfId="2" applyNumberFormat="1" applyFont="1" applyFill="1" applyBorder="1" applyAlignment="1" applyProtection="1">
      <alignment horizontal="left"/>
      <protection locked="0"/>
    </xf>
    <xf numFmtId="185" fontId="22" fillId="6" borderId="17" xfId="2" applyNumberFormat="1" applyFont="1" applyFill="1" applyBorder="1" applyAlignment="1">
      <alignment horizontal="center"/>
    </xf>
    <xf numFmtId="185" fontId="22" fillId="6" borderId="17" xfId="2" applyNumberFormat="1" applyFont="1" applyFill="1" applyBorder="1"/>
    <xf numFmtId="185" fontId="22" fillId="6" borderId="17" xfId="2" applyNumberFormat="1" applyFont="1" applyFill="1" applyBorder="1" applyAlignment="1" applyProtection="1">
      <alignment horizontal="center"/>
      <protection locked="0"/>
    </xf>
    <xf numFmtId="1" fontId="22" fillId="6" borderId="17" xfId="2" applyNumberFormat="1" applyFont="1" applyFill="1" applyBorder="1" applyAlignment="1" applyProtection="1">
      <alignment horizontal="center"/>
      <protection locked="0"/>
    </xf>
    <xf numFmtId="185" fontId="23" fillId="6" borderId="17" xfId="2" applyNumberFormat="1" applyFont="1" applyFill="1" applyBorder="1" applyAlignment="1" applyProtection="1">
      <alignment horizontal="center"/>
      <protection locked="0"/>
    </xf>
    <xf numFmtId="177" fontId="22" fillId="6" borderId="17" xfId="2" applyNumberFormat="1" applyFont="1" applyFill="1" applyBorder="1" applyAlignment="1" applyProtection="1">
      <alignment horizontal="center"/>
      <protection locked="0"/>
    </xf>
    <xf numFmtId="185" fontId="22" fillId="7" borderId="17" xfId="2" applyNumberFormat="1" applyFont="1" applyFill="1" applyBorder="1" applyAlignment="1">
      <alignment horizontal="center"/>
    </xf>
    <xf numFmtId="1" fontId="22" fillId="7" borderId="17" xfId="2" applyNumberFormat="1" applyFont="1" applyFill="1" applyBorder="1" applyAlignment="1" applyProtection="1">
      <alignment horizontal="center"/>
      <protection locked="0"/>
    </xf>
    <xf numFmtId="185" fontId="22" fillId="7" borderId="17" xfId="2" applyNumberFormat="1" applyFont="1" applyFill="1" applyBorder="1" applyAlignment="1" applyProtection="1">
      <alignment horizontal="center"/>
      <protection locked="0"/>
    </xf>
    <xf numFmtId="185" fontId="22" fillId="0" borderId="17" xfId="2" applyNumberFormat="1" applyFont="1" applyBorder="1" applyAlignment="1">
      <alignment horizontal="center"/>
    </xf>
    <xf numFmtId="1" fontId="22" fillId="0" borderId="17" xfId="2" applyNumberFormat="1" applyFont="1" applyBorder="1" applyAlignment="1" applyProtection="1">
      <alignment horizontal="center"/>
      <protection locked="0"/>
    </xf>
    <xf numFmtId="185" fontId="22" fillId="0" borderId="17" xfId="2" applyNumberFormat="1" applyFont="1" applyBorder="1" applyAlignment="1" applyProtection="1">
      <alignment horizontal="center"/>
      <protection locked="0"/>
    </xf>
    <xf numFmtId="1" fontId="21" fillId="6" borderId="0" xfId="2" applyNumberFormat="1" applyFont="1" applyFill="1" applyAlignment="1" applyProtection="1">
      <alignment horizontal="left"/>
      <protection locked="0"/>
    </xf>
    <xf numFmtId="185" fontId="22" fillId="6" borderId="0" xfId="2" applyNumberFormat="1" applyFont="1" applyFill="1" applyAlignment="1">
      <alignment horizontal="center"/>
    </xf>
    <xf numFmtId="185" fontId="22" fillId="6" borderId="0" xfId="2" applyNumberFormat="1" applyFont="1" applyFill="1" applyAlignment="1" applyProtection="1">
      <alignment horizontal="left"/>
      <protection locked="0"/>
    </xf>
    <xf numFmtId="1" fontId="22" fillId="6" borderId="0" xfId="2" applyNumberFormat="1" applyFont="1" applyFill="1" applyAlignment="1" applyProtection="1">
      <alignment horizontal="center"/>
      <protection locked="0"/>
    </xf>
    <xf numFmtId="1" fontId="22" fillId="6" borderId="0" xfId="2" applyNumberFormat="1" applyFont="1" applyFill="1" applyAlignment="1">
      <alignment horizontal="center"/>
    </xf>
    <xf numFmtId="177" fontId="22" fillId="6" borderId="0" xfId="2" applyNumberFormat="1" applyFont="1" applyFill="1" applyAlignment="1">
      <alignment horizontal="center"/>
    </xf>
    <xf numFmtId="185" fontId="22" fillId="7" borderId="0" xfId="2" applyNumberFormat="1" applyFont="1" applyFill="1" applyAlignment="1">
      <alignment horizontal="center"/>
    </xf>
    <xf numFmtId="185" fontId="22" fillId="0" borderId="0" xfId="2" applyNumberFormat="1" applyFont="1" applyAlignment="1">
      <alignment horizontal="center"/>
    </xf>
    <xf numFmtId="185" fontId="20" fillId="6" borderId="1" xfId="2" applyNumberFormat="1" applyFont="1" applyFill="1" applyBorder="1" applyAlignment="1" applyProtection="1">
      <alignment horizontal="left"/>
      <protection locked="0"/>
    </xf>
    <xf numFmtId="185" fontId="24" fillId="6" borderId="1" xfId="2" applyNumberFormat="1" applyFont="1" applyFill="1" applyBorder="1" applyAlignment="1">
      <alignment horizontal="center"/>
    </xf>
    <xf numFmtId="185" fontId="24" fillId="6" borderId="1" xfId="2" applyNumberFormat="1" applyFont="1" applyFill="1" applyBorder="1"/>
    <xf numFmtId="185" fontId="22" fillId="6" borderId="1" xfId="2" applyNumberFormat="1" applyFont="1" applyFill="1" applyBorder="1" applyAlignment="1">
      <alignment horizontal="center"/>
    </xf>
    <xf numFmtId="177" fontId="24" fillId="6" borderId="1" xfId="2" applyNumberFormat="1" applyFont="1" applyFill="1" applyBorder="1" applyAlignment="1">
      <alignment horizontal="center"/>
    </xf>
    <xf numFmtId="185" fontId="22" fillId="7" borderId="1" xfId="2" applyNumberFormat="1" applyFont="1" applyFill="1" applyBorder="1" applyAlignment="1">
      <alignment horizontal="center"/>
    </xf>
    <xf numFmtId="185" fontId="24" fillId="7" borderId="1" xfId="2" applyNumberFormat="1" applyFont="1" applyFill="1" applyBorder="1" applyAlignment="1">
      <alignment horizontal="center"/>
    </xf>
    <xf numFmtId="185" fontId="22" fillId="0" borderId="1" xfId="2" applyNumberFormat="1" applyFont="1" applyBorder="1" applyAlignment="1">
      <alignment horizontal="center"/>
    </xf>
    <xf numFmtId="185" fontId="24" fillId="0" borderId="1" xfId="2" applyNumberFormat="1" applyFont="1" applyBorder="1" applyAlignment="1">
      <alignment horizontal="center"/>
    </xf>
    <xf numFmtId="0" fontId="25" fillId="8" borderId="5" xfId="2" applyFont="1" applyFill="1" applyBorder="1"/>
    <xf numFmtId="0" fontId="26" fillId="8" borderId="5" xfId="2" applyFont="1" applyFill="1" applyBorder="1" applyAlignment="1">
      <alignment horizontal="center"/>
    </xf>
    <xf numFmtId="0" fontId="26" fillId="8" borderId="5" xfId="2" applyFont="1" applyFill="1" applyBorder="1"/>
    <xf numFmtId="0" fontId="20" fillId="0" borderId="5" xfId="2" applyFont="1" applyBorder="1"/>
    <xf numFmtId="0" fontId="20" fillId="0" borderId="0" xfId="13" applyFont="1"/>
    <xf numFmtId="0" fontId="20" fillId="0" borderId="0" xfId="13" applyFont="1" applyAlignment="1">
      <alignment horizontal="center"/>
    </xf>
    <xf numFmtId="3" fontId="20" fillId="0" borderId="0" xfId="13" applyNumberFormat="1" applyFont="1" applyAlignment="1">
      <alignment horizontal="center"/>
    </xf>
    <xf numFmtId="0" fontId="21" fillId="0" borderId="0" xfId="13" applyFont="1" applyAlignment="1">
      <alignment horizontal="center"/>
    </xf>
    <xf numFmtId="175" fontId="20" fillId="0" borderId="0" xfId="3" applyNumberFormat="1" applyFont="1" applyBorder="1"/>
    <xf numFmtId="3" fontId="27" fillId="0" borderId="0" xfId="13" applyNumberFormat="1" applyFont="1" applyAlignment="1">
      <alignment horizontal="center"/>
    </xf>
    <xf numFmtId="164" fontId="28" fillId="0" borderId="0" xfId="4" applyNumberFormat="1" applyFont="1" applyAlignment="1">
      <alignment horizontal="center"/>
    </xf>
    <xf numFmtId="164" fontId="28" fillId="0" borderId="0" xfId="4" applyNumberFormat="1" applyFont="1" applyFill="1" applyAlignment="1">
      <alignment horizontal="center"/>
    </xf>
    <xf numFmtId="166" fontId="21" fillId="0" borderId="0" xfId="8" applyNumberFormat="1" applyFont="1" applyFill="1" applyBorder="1"/>
    <xf numFmtId="3" fontId="29" fillId="0" borderId="0" xfId="2" applyNumberFormat="1" applyFont="1" applyAlignment="1">
      <alignment horizontal="center"/>
    </xf>
    <xf numFmtId="3" fontId="21" fillId="0" borderId="0" xfId="2" applyNumberFormat="1" applyFont="1" applyAlignment="1">
      <alignment horizontal="center"/>
    </xf>
    <xf numFmtId="3" fontId="27" fillId="0" borderId="0" xfId="2" applyNumberFormat="1" applyFont="1" applyAlignment="1">
      <alignment horizontal="center"/>
    </xf>
    <xf numFmtId="3" fontId="30" fillId="0" borderId="0" xfId="2" applyNumberFormat="1" applyFont="1" applyAlignment="1">
      <alignment horizontal="center"/>
    </xf>
    <xf numFmtId="3" fontId="20" fillId="0" borderId="0" xfId="2" applyNumberFormat="1" applyFont="1"/>
    <xf numFmtId="3" fontId="29" fillId="0" borderId="20" xfId="2" applyNumberFormat="1" applyFont="1" applyBorder="1" applyAlignment="1">
      <alignment horizontal="center"/>
    </xf>
    <xf numFmtId="166" fontId="20" fillId="0" borderId="0" xfId="8" applyNumberFormat="1" applyFont="1" applyFill="1" applyBorder="1"/>
    <xf numFmtId="9" fontId="28" fillId="0" borderId="0" xfId="4" applyFont="1" applyAlignment="1">
      <alignment horizontal="center"/>
    </xf>
    <xf numFmtId="3" fontId="27" fillId="0" borderId="20" xfId="2" applyNumberFormat="1" applyFont="1" applyBorder="1" applyAlignment="1">
      <alignment horizontal="center"/>
    </xf>
    <xf numFmtId="2" fontId="20" fillId="0" borderId="0" xfId="3" applyFont="1" applyBorder="1"/>
    <xf numFmtId="3" fontId="31" fillId="0" borderId="0" xfId="2" applyNumberFormat="1" applyFont="1" applyAlignment="1">
      <alignment horizontal="center"/>
    </xf>
    <xf numFmtId="0" fontId="21" fillId="0" borderId="0" xfId="5" applyFont="1"/>
    <xf numFmtId="0" fontId="28" fillId="0" borderId="0" xfId="2" applyFont="1" applyAlignment="1">
      <alignment horizontal="center"/>
    </xf>
    <xf numFmtId="0" fontId="20" fillId="0" borderId="0" xfId="5" applyFont="1"/>
    <xf numFmtId="164" fontId="20" fillId="0" borderId="0" xfId="4" applyNumberFormat="1" applyFont="1"/>
    <xf numFmtId="0" fontId="21" fillId="0" borderId="0" xfId="2" applyFont="1"/>
    <xf numFmtId="0" fontId="20" fillId="0" borderId="0" xfId="5" applyFont="1" applyAlignment="1">
      <alignment horizontal="left"/>
    </xf>
    <xf numFmtId="164" fontId="20" fillId="0" borderId="0" xfId="2" applyNumberFormat="1" applyFont="1"/>
    <xf numFmtId="175" fontId="21" fillId="6" borderId="0" xfId="3" applyNumberFormat="1" applyFont="1" applyFill="1" applyBorder="1"/>
    <xf numFmtId="0" fontId="20" fillId="6" borderId="0" xfId="2" applyFont="1" applyFill="1" applyAlignment="1">
      <alignment horizontal="center"/>
    </xf>
    <xf numFmtId="0" fontId="20" fillId="6" borderId="0" xfId="2" applyFont="1" applyFill="1"/>
    <xf numFmtId="3" fontId="21" fillId="6" borderId="0" xfId="2" applyNumberFormat="1" applyFont="1" applyFill="1" applyAlignment="1">
      <alignment horizontal="center"/>
    </xf>
    <xf numFmtId="164" fontId="20" fillId="6" borderId="0" xfId="4" applyNumberFormat="1" applyFont="1" applyFill="1" applyAlignment="1">
      <alignment horizontal="center"/>
    </xf>
    <xf numFmtId="164" fontId="20" fillId="0" borderId="0" xfId="4" applyNumberFormat="1" applyFont="1" applyFill="1" applyAlignment="1">
      <alignment horizontal="center"/>
    </xf>
    <xf numFmtId="3" fontId="32" fillId="0" borderId="0" xfId="2" applyNumberFormat="1" applyFont="1" applyAlignment="1">
      <alignment horizontal="center"/>
    </xf>
    <xf numFmtId="175" fontId="21" fillId="0" borderId="0" xfId="3" applyNumberFormat="1" applyFont="1" applyBorder="1"/>
    <xf numFmtId="3" fontId="20" fillId="0" borderId="0" xfId="7" applyFont="1" applyBorder="1" applyAlignment="1" applyProtection="1">
      <alignment horizontal="left"/>
    </xf>
    <xf numFmtId="0" fontId="21" fillId="0" borderId="0" xfId="2" applyFont="1" applyAlignment="1">
      <alignment horizontal="center"/>
    </xf>
    <xf numFmtId="0" fontId="33" fillId="0" borderId="0" xfId="2" applyFont="1"/>
    <xf numFmtId="166" fontId="28" fillId="0" borderId="0" xfId="8" applyNumberFormat="1" applyFont="1" applyFill="1" applyBorder="1"/>
    <xf numFmtId="0" fontId="28" fillId="0" borderId="0" xfId="5" applyFont="1"/>
    <xf numFmtId="0" fontId="33" fillId="0" borderId="0" xfId="5" applyFont="1"/>
    <xf numFmtId="164" fontId="33" fillId="0" borderId="0" xfId="4" applyNumberFormat="1" applyFont="1" applyAlignment="1">
      <alignment horizontal="center"/>
    </xf>
    <xf numFmtId="0" fontId="28" fillId="0" borderId="0" xfId="2" applyFont="1"/>
    <xf numFmtId="175" fontId="28" fillId="0" borderId="0" xfId="3" applyNumberFormat="1" applyFont="1" applyBorder="1"/>
    <xf numFmtId="175" fontId="33" fillId="6" borderId="0" xfId="3" applyNumberFormat="1" applyFont="1" applyFill="1" applyBorder="1"/>
    <xf numFmtId="0" fontId="21" fillId="6" borderId="0" xfId="2" applyFont="1" applyFill="1" applyAlignment="1">
      <alignment horizontal="center"/>
    </xf>
    <xf numFmtId="0" fontId="21" fillId="6" borderId="0" xfId="2" applyFont="1" applyFill="1"/>
    <xf numFmtId="164" fontId="33" fillId="6" borderId="0" xfId="4" applyNumberFormat="1" applyFont="1" applyFill="1" applyAlignment="1">
      <alignment horizontal="center"/>
    </xf>
    <xf numFmtId="166" fontId="20" fillId="0" borderId="0" xfId="2" applyNumberFormat="1" applyFont="1"/>
    <xf numFmtId="0" fontId="28" fillId="4" borderId="0" xfId="2" applyFont="1" applyFill="1"/>
    <xf numFmtId="0" fontId="28" fillId="4" borderId="0" xfId="2" applyFont="1" applyFill="1" applyAlignment="1">
      <alignment horizontal="center"/>
    </xf>
    <xf numFmtId="186" fontId="34" fillId="4" borderId="0" xfId="2" applyNumberFormat="1" applyFont="1" applyFill="1" applyAlignment="1">
      <alignment horizontal="center"/>
    </xf>
    <xf numFmtId="186" fontId="28" fillId="4" borderId="0" xfId="2" applyNumberFormat="1" applyFont="1" applyFill="1" applyAlignment="1">
      <alignment horizontal="center"/>
    </xf>
    <xf numFmtId="186" fontId="35" fillId="3" borderId="21" xfId="2" applyNumberFormat="1" applyFont="1" applyFill="1" applyBorder="1" applyAlignment="1">
      <alignment horizontal="center"/>
    </xf>
    <xf numFmtId="186" fontId="36" fillId="4" borderId="0" xfId="2" applyNumberFormat="1" applyFont="1" applyFill="1" applyAlignment="1">
      <alignment horizontal="center"/>
    </xf>
    <xf numFmtId="186" fontId="28" fillId="0" borderId="0" xfId="2" applyNumberFormat="1" applyFont="1" applyAlignment="1">
      <alignment horizontal="center"/>
    </xf>
    <xf numFmtId="186" fontId="37" fillId="0" borderId="0" xfId="2" applyNumberFormat="1" applyFont="1" applyAlignment="1">
      <alignment horizontal="center"/>
    </xf>
    <xf numFmtId="166" fontId="21" fillId="0" borderId="0" xfId="2" applyNumberFormat="1" applyFont="1"/>
    <xf numFmtId="166" fontId="20" fillId="3" borderId="0" xfId="2" applyNumberFormat="1" applyFont="1" applyFill="1"/>
    <xf numFmtId="0" fontId="20" fillId="3" borderId="0" xfId="2" applyFont="1" applyFill="1" applyAlignment="1">
      <alignment horizontal="center"/>
    </xf>
    <xf numFmtId="0" fontId="20" fillId="3" borderId="0" xfId="2" applyFont="1" applyFill="1"/>
    <xf numFmtId="3" fontId="27" fillId="3" borderId="0" xfId="2" applyNumberFormat="1" applyFont="1" applyFill="1" applyAlignment="1">
      <alignment horizontal="center"/>
    </xf>
    <xf numFmtId="3" fontId="20" fillId="3" borderId="0" xfId="2" applyNumberFormat="1" applyFont="1" applyFill="1" applyAlignment="1">
      <alignment horizontal="center"/>
    </xf>
    <xf numFmtId="3" fontId="30" fillId="3" borderId="0" xfId="2" applyNumberFormat="1" applyFont="1" applyFill="1" applyAlignment="1">
      <alignment horizontal="center"/>
    </xf>
    <xf numFmtId="0" fontId="38" fillId="0" borderId="0" xfId="1" applyFont="1"/>
    <xf numFmtId="166" fontId="28" fillId="0" borderId="0" xfId="2" applyNumberFormat="1" applyFont="1"/>
    <xf numFmtId="164" fontId="21" fillId="0" borderId="0" xfId="2" applyNumberFormat="1" applyFont="1"/>
    <xf numFmtId="3" fontId="39" fillId="0" borderId="0" xfId="2" applyNumberFormat="1" applyFont="1" applyAlignment="1">
      <alignment horizontal="center"/>
    </xf>
    <xf numFmtId="164" fontId="21" fillId="0" borderId="0" xfId="4" applyNumberFormat="1" applyFont="1"/>
    <xf numFmtId="3" fontId="28" fillId="0" borderId="0" xfId="2" applyNumberFormat="1" applyFont="1" applyAlignment="1">
      <alignment horizontal="center"/>
    </xf>
    <xf numFmtId="0" fontId="40" fillId="0" borderId="0" xfId="1" applyFont="1"/>
    <xf numFmtId="0" fontId="21" fillId="9" borderId="5" xfId="2" applyFont="1" applyFill="1" applyBorder="1"/>
    <xf numFmtId="0" fontId="21" fillId="9" borderId="5" xfId="2" applyFont="1" applyFill="1" applyBorder="1" applyAlignment="1">
      <alignment horizontal="center"/>
    </xf>
    <xf numFmtId="0" fontId="21" fillId="0" borderId="5" xfId="2" applyFont="1" applyBorder="1"/>
    <xf numFmtId="10" fontId="20" fillId="0" borderId="0" xfId="4" applyNumberFormat="1" applyFont="1"/>
    <xf numFmtId="164" fontId="27" fillId="0" borderId="0" xfId="4" applyNumberFormat="1" applyFont="1" applyFill="1" applyAlignment="1">
      <alignment horizontal="center"/>
    </xf>
    <xf numFmtId="0" fontId="20" fillId="4" borderId="0" xfId="2" applyFont="1" applyFill="1"/>
    <xf numFmtId="3" fontId="27" fillId="4" borderId="0" xfId="2" applyNumberFormat="1" applyFont="1" applyFill="1" applyAlignment="1">
      <alignment horizontal="center"/>
    </xf>
    <xf numFmtId="164" fontId="28" fillId="4" borderId="0" xfId="4" applyNumberFormat="1" applyFont="1" applyFill="1" applyAlignment="1">
      <alignment horizontal="center"/>
    </xf>
    <xf numFmtId="0" fontId="20" fillId="4" borderId="0" xfId="2" applyFont="1" applyFill="1" applyAlignment="1">
      <alignment horizontal="center"/>
    </xf>
    <xf numFmtId="164" fontId="20" fillId="4" borderId="0" xfId="4" applyNumberFormat="1" applyFont="1" applyFill="1" applyAlignment="1">
      <alignment horizontal="center"/>
    </xf>
    <xf numFmtId="164" fontId="36" fillId="3" borderId="0" xfId="4" applyNumberFormat="1" applyFont="1" applyFill="1" applyAlignment="1">
      <alignment horizontal="center"/>
    </xf>
    <xf numFmtId="0" fontId="28" fillId="3" borderId="0" xfId="14" applyFont="1" applyFill="1"/>
    <xf numFmtId="164" fontId="33" fillId="3" borderId="0" xfId="4" applyNumberFormat="1" applyFont="1" applyFill="1" applyAlignment="1">
      <alignment horizontal="center"/>
    </xf>
    <xf numFmtId="164" fontId="37" fillId="3" borderId="0" xfId="4" applyNumberFormat="1" applyFont="1" applyFill="1" applyAlignment="1">
      <alignment horizontal="center"/>
    </xf>
    <xf numFmtId="0" fontId="28" fillId="3" borderId="0" xfId="14" applyFont="1" applyFill="1" applyAlignment="1">
      <alignment horizontal="center"/>
    </xf>
    <xf numFmtId="0" fontId="41" fillId="3" borderId="0" xfId="14" applyFont="1" applyFill="1" applyAlignment="1">
      <alignment horizontal="center"/>
    </xf>
    <xf numFmtId="164" fontId="41" fillId="3" borderId="0" xfId="4" applyNumberFormat="1" applyFont="1" applyFill="1" applyAlignment="1">
      <alignment horizontal="center"/>
    </xf>
    <xf numFmtId="0" fontId="28" fillId="0" borderId="0" xfId="14" applyFont="1"/>
    <xf numFmtId="187" fontId="28" fillId="0" borderId="0" xfId="14" applyNumberFormat="1" applyFont="1" applyAlignment="1">
      <alignment horizontal="center"/>
    </xf>
    <xf numFmtId="0" fontId="28" fillId="3" borderId="0" xfId="2" applyFont="1" applyFill="1"/>
    <xf numFmtId="164" fontId="28" fillId="3" borderId="0" xfId="4" applyNumberFormat="1" applyFont="1" applyFill="1" applyAlignment="1">
      <alignment horizontal="center"/>
    </xf>
    <xf numFmtId="3" fontId="42" fillId="0" borderId="0" xfId="2" applyNumberFormat="1" applyFont="1" applyAlignment="1">
      <alignment horizontal="center"/>
    </xf>
    <xf numFmtId="3" fontId="43" fillId="0" borderId="0" xfId="2" applyNumberFormat="1" applyFont="1" applyAlignment="1">
      <alignment horizontal="center"/>
    </xf>
    <xf numFmtId="164" fontId="33" fillId="0" borderId="0" xfId="4" applyNumberFormat="1" applyFont="1" applyFill="1" applyAlignment="1">
      <alignment horizontal="center"/>
    </xf>
    <xf numFmtId="164" fontId="36" fillId="4" borderId="0" xfId="4" applyNumberFormat="1" applyFont="1" applyFill="1" applyAlignment="1">
      <alignment horizontal="center"/>
    </xf>
    <xf numFmtId="164" fontId="20" fillId="0" borderId="0" xfId="4" applyNumberFormat="1" applyFont="1" applyAlignment="1">
      <alignment horizontal="center"/>
    </xf>
    <xf numFmtId="9" fontId="20" fillId="0" borderId="0" xfId="4" applyFont="1" applyAlignment="1">
      <alignment horizontal="center"/>
    </xf>
    <xf numFmtId="3" fontId="20" fillId="4" borderId="0" xfId="2" applyNumberFormat="1" applyFont="1" applyFill="1" applyAlignment="1">
      <alignment horizontal="center"/>
    </xf>
    <xf numFmtId="9" fontId="27" fillId="0" borderId="0" xfId="4" applyFont="1" applyFill="1" applyAlignment="1">
      <alignment horizontal="center"/>
    </xf>
    <xf numFmtId="10" fontId="20" fillId="4" borderId="0" xfId="4" applyNumberFormat="1" applyFont="1" applyFill="1" applyAlignment="1">
      <alignment horizontal="center"/>
    </xf>
    <xf numFmtId="10" fontId="44" fillId="4" borderId="0" xfId="4" applyNumberFormat="1" applyFont="1" applyFill="1" applyAlignment="1">
      <alignment horizontal="center"/>
    </xf>
    <xf numFmtId="10" fontId="20" fillId="0" borderId="0" xfId="4" applyNumberFormat="1" applyFont="1" applyAlignment="1">
      <alignment horizontal="center"/>
    </xf>
    <xf numFmtId="10" fontId="21" fillId="0" borderId="0" xfId="4" applyNumberFormat="1" applyFont="1" applyAlignment="1">
      <alignment horizontal="center"/>
    </xf>
    <xf numFmtId="10" fontId="33" fillId="0" borderId="0" xfId="4" applyNumberFormat="1" applyFont="1" applyAlignment="1">
      <alignment horizontal="center"/>
    </xf>
    <xf numFmtId="10" fontId="33" fillId="4" borderId="0" xfId="4" applyNumberFormat="1" applyFont="1" applyFill="1" applyAlignment="1">
      <alignment horizontal="center"/>
    </xf>
    <xf numFmtId="10" fontId="28" fillId="4" borderId="0" xfId="4" applyNumberFormat="1" applyFont="1" applyFill="1" applyAlignment="1">
      <alignment horizontal="center"/>
    </xf>
    <xf numFmtId="10" fontId="36" fillId="3" borderId="0" xfId="4" applyNumberFormat="1" applyFont="1" applyFill="1" applyAlignment="1">
      <alignment horizontal="center"/>
    </xf>
    <xf numFmtId="10" fontId="36" fillId="4" borderId="0" xfId="4" applyNumberFormat="1" applyFont="1" applyFill="1" applyAlignment="1">
      <alignment horizontal="center"/>
    </xf>
    <xf numFmtId="3" fontId="30" fillId="0" borderId="22" xfId="2" applyNumberFormat="1" applyFont="1" applyBorder="1" applyAlignment="1">
      <alignment horizontal="center"/>
    </xf>
    <xf numFmtId="10" fontId="21" fillId="0" borderId="0" xfId="4" applyNumberFormat="1" applyFont="1"/>
    <xf numFmtId="3" fontId="21" fillId="0" borderId="0" xfId="2" applyNumberFormat="1" applyFont="1"/>
    <xf numFmtId="10" fontId="20" fillId="0" borderId="0" xfId="4" applyNumberFormat="1" applyFont="1" applyFill="1" applyAlignment="1">
      <alignment horizontal="center"/>
    </xf>
    <xf numFmtId="10" fontId="20" fillId="0" borderId="0" xfId="2" applyNumberFormat="1" applyFont="1" applyAlignment="1">
      <alignment horizontal="center"/>
    </xf>
    <xf numFmtId="10" fontId="36" fillId="4" borderId="0" xfId="2" applyNumberFormat="1" applyFont="1" applyFill="1" applyAlignment="1">
      <alignment horizontal="center"/>
    </xf>
    <xf numFmtId="10" fontId="28" fillId="0" borderId="0" xfId="4" applyNumberFormat="1" applyFont="1" applyAlignment="1">
      <alignment horizontal="center"/>
    </xf>
    <xf numFmtId="164" fontId="36" fillId="4" borderId="0" xfId="2" applyNumberFormat="1" applyFont="1" applyFill="1" applyAlignment="1">
      <alignment horizontal="center"/>
    </xf>
    <xf numFmtId="164" fontId="42" fillId="0" borderId="0" xfId="4" applyNumberFormat="1" applyFont="1" applyAlignment="1">
      <alignment horizontal="center"/>
    </xf>
    <xf numFmtId="164" fontId="45" fillId="0" borderId="0" xfId="4" applyNumberFormat="1" applyFont="1" applyAlignment="1">
      <alignment horizontal="center"/>
    </xf>
    <xf numFmtId="10" fontId="20" fillId="0" borderId="0" xfId="2" applyNumberFormat="1" applyFont="1"/>
    <xf numFmtId="3" fontId="46" fillId="0" borderId="0" xfId="2" applyNumberFormat="1" applyFont="1" applyAlignment="1">
      <alignment horizontal="center"/>
    </xf>
    <xf numFmtId="3" fontId="33" fillId="0" borderId="0" xfId="2" applyNumberFormat="1" applyFont="1" applyAlignment="1">
      <alignment horizontal="center"/>
    </xf>
    <xf numFmtId="3" fontId="34" fillId="0" borderId="0" xfId="2" applyNumberFormat="1" applyFont="1" applyAlignment="1">
      <alignment horizontal="center"/>
    </xf>
    <xf numFmtId="185" fontId="21" fillId="9" borderId="5" xfId="2" applyNumberFormat="1" applyFont="1" applyFill="1" applyBorder="1" applyAlignment="1">
      <alignment horizontal="center"/>
    </xf>
    <xf numFmtId="0" fontId="21" fillId="9" borderId="5" xfId="2" applyFont="1" applyFill="1" applyBorder="1" applyAlignment="1">
      <alignment horizontal="center" vertical="center" wrapText="1"/>
    </xf>
    <xf numFmtId="0" fontId="47" fillId="0" borderId="0" xfId="2" applyFont="1"/>
    <xf numFmtId="164" fontId="48" fillId="0" borderId="0" xfId="4" applyNumberFormat="1" applyFont="1" applyAlignment="1">
      <alignment horizontal="center"/>
    </xf>
    <xf numFmtId="3" fontId="44" fillId="4" borderId="0" xfId="2" applyNumberFormat="1" applyFont="1" applyFill="1" applyAlignment="1">
      <alignment horizontal="center"/>
    </xf>
    <xf numFmtId="0" fontId="49" fillId="0" borderId="0" xfId="2" applyFont="1"/>
    <xf numFmtId="169" fontId="41" fillId="0" borderId="0" xfId="2" applyNumberFormat="1" applyFont="1" applyAlignment="1">
      <alignment horizontal="center"/>
    </xf>
    <xf numFmtId="0" fontId="50" fillId="0" borderId="0" xfId="2" applyFont="1" applyAlignment="1">
      <alignment horizontal="right"/>
    </xf>
    <xf numFmtId="3" fontId="50" fillId="0" borderId="0" xfId="2" applyNumberFormat="1" applyFont="1" applyAlignment="1">
      <alignment horizontal="center" vertical="center" wrapText="1"/>
    </xf>
    <xf numFmtId="3" fontId="20" fillId="0" borderId="0" xfId="2" applyNumberFormat="1" applyFont="1" applyAlignment="1">
      <alignment horizontal="center" vertical="center" wrapText="1"/>
    </xf>
    <xf numFmtId="0" fontId="27" fillId="0" borderId="0" xfId="2" applyFont="1" applyAlignment="1">
      <alignment horizontal="center"/>
    </xf>
    <xf numFmtId="0" fontId="21" fillId="4" borderId="0" xfId="2" applyFont="1" applyFill="1"/>
    <xf numFmtId="0" fontId="21" fillId="4" borderId="0" xfId="2" applyFont="1" applyFill="1" applyAlignment="1">
      <alignment horizontal="center"/>
    </xf>
    <xf numFmtId="164" fontId="41" fillId="4" borderId="0" xfId="4" applyNumberFormat="1" applyFont="1" applyFill="1" applyAlignment="1">
      <alignment horizontal="center"/>
    </xf>
    <xf numFmtId="3" fontId="51" fillId="0" borderId="0" xfId="2" applyNumberFormat="1" applyFont="1" applyAlignment="1">
      <alignment horizontal="center"/>
    </xf>
    <xf numFmtId="0" fontId="21" fillId="3" borderId="0" xfId="2" applyFont="1" applyFill="1" applyAlignment="1">
      <alignment horizontal="center"/>
    </xf>
    <xf numFmtId="0" fontId="21" fillId="3" borderId="0" xfId="2" applyFont="1" applyFill="1"/>
    <xf numFmtId="3" fontId="21" fillId="3" borderId="0" xfId="2" applyNumberFormat="1" applyFont="1" applyFill="1" applyAlignment="1">
      <alignment horizontal="center"/>
    </xf>
    <xf numFmtId="3" fontId="21" fillId="3" borderId="0" xfId="2" applyNumberFormat="1" applyFont="1" applyFill="1"/>
    <xf numFmtId="3" fontId="51" fillId="3" borderId="0" xfId="2" applyNumberFormat="1" applyFont="1" applyFill="1" applyAlignment="1">
      <alignment horizontal="center"/>
    </xf>
    <xf numFmtId="0" fontId="33" fillId="3" borderId="0" xfId="2" applyFont="1" applyFill="1"/>
    <xf numFmtId="164" fontId="21" fillId="3" borderId="0" xfId="4" applyNumberFormat="1" applyFont="1" applyFill="1" applyAlignment="1">
      <alignment horizontal="center"/>
    </xf>
    <xf numFmtId="3" fontId="27" fillId="0" borderId="0" xfId="2" applyNumberFormat="1" applyFont="1" applyAlignment="1">
      <alignment horizontal="center" vertical="center"/>
    </xf>
    <xf numFmtId="3" fontId="20" fillId="0" borderId="0" xfId="2" applyNumberFormat="1" applyFont="1" applyAlignment="1">
      <alignment horizontal="center" vertical="center"/>
    </xf>
    <xf numFmtId="3" fontId="44" fillId="0" borderId="0" xfId="2" applyNumberFormat="1" applyFont="1" applyAlignment="1">
      <alignment horizontal="center" vertical="center"/>
    </xf>
    <xf numFmtId="3" fontId="42" fillId="0" borderId="0" xfId="2" applyNumberFormat="1" applyFont="1" applyAlignment="1">
      <alignment horizontal="center" vertical="center"/>
    </xf>
    <xf numFmtId="0" fontId="33" fillId="0" borderId="0" xfId="2" applyFont="1" applyAlignment="1">
      <alignment horizontal="center"/>
    </xf>
    <xf numFmtId="3" fontId="34" fillId="0" borderId="0" xfId="2" applyNumberFormat="1" applyFont="1" applyAlignment="1">
      <alignment horizontal="center" vertical="center"/>
    </xf>
    <xf numFmtId="0" fontId="33" fillId="3" borderId="0" xfId="2" applyFont="1" applyFill="1" applyAlignment="1">
      <alignment horizontal="center"/>
    </xf>
    <xf numFmtId="3" fontId="33" fillId="3" borderId="0" xfId="2" applyNumberFormat="1" applyFont="1" applyFill="1" applyAlignment="1">
      <alignment horizontal="center"/>
    </xf>
    <xf numFmtId="0" fontId="28" fillId="3" borderId="0" xfId="2" applyFont="1" applyFill="1" applyAlignment="1">
      <alignment horizontal="center"/>
    </xf>
    <xf numFmtId="3" fontId="28" fillId="3" borderId="0" xfId="2" applyNumberFormat="1" applyFont="1" applyFill="1" applyAlignment="1">
      <alignment horizontal="center"/>
    </xf>
    <xf numFmtId="3" fontId="34" fillId="3" borderId="0" xfId="2" applyNumberFormat="1" applyFont="1" applyFill="1" applyAlignment="1">
      <alignment horizontal="center" vertical="center"/>
    </xf>
    <xf numFmtId="3" fontId="41" fillId="3" borderId="0" xfId="2" applyNumberFormat="1" applyFont="1" applyFill="1" applyAlignment="1">
      <alignment horizontal="center"/>
    </xf>
    <xf numFmtId="0" fontId="32" fillId="0" borderId="0" xfId="2" applyFont="1"/>
    <xf numFmtId="0" fontId="39" fillId="0" borderId="0" xfId="2" applyFont="1" applyAlignment="1">
      <alignment horizontal="center"/>
    </xf>
    <xf numFmtId="0" fontId="39" fillId="0" borderId="0" xfId="2" applyFont="1"/>
    <xf numFmtId="0" fontId="32" fillId="0" borderId="0" xfId="2" applyFont="1" applyAlignment="1">
      <alignment horizontal="center"/>
    </xf>
    <xf numFmtId="0" fontId="52" fillId="0" borderId="0" xfId="1" applyFont="1"/>
    <xf numFmtId="3" fontId="37" fillId="0" borderId="0" xfId="2" applyNumberFormat="1" applyFont="1" applyAlignment="1">
      <alignment horizontal="center"/>
    </xf>
    <xf numFmtId="0" fontId="53" fillId="0" borderId="0" xfId="2" applyFont="1"/>
    <xf numFmtId="164" fontId="53" fillId="0" borderId="0" xfId="4" applyNumberFormat="1" applyFont="1" applyAlignment="1">
      <alignment horizontal="center"/>
    </xf>
    <xf numFmtId="178" fontId="20" fillId="0" borderId="0" xfId="4" applyNumberFormat="1" applyFont="1"/>
    <xf numFmtId="0" fontId="31" fillId="0" borderId="0" xfId="2" applyFont="1"/>
    <xf numFmtId="9" fontId="20" fillId="0" borderId="0" xfId="4" applyFont="1" applyFill="1"/>
    <xf numFmtId="3" fontId="41" fillId="0" borderId="0" xfId="2" applyNumberFormat="1" applyFont="1" applyAlignment="1">
      <alignment horizontal="center"/>
    </xf>
    <xf numFmtId="3" fontId="54" fillId="0" borderId="0" xfId="2" applyNumberFormat="1" applyFont="1" applyAlignment="1">
      <alignment horizontal="center"/>
    </xf>
    <xf numFmtId="0" fontId="20" fillId="10" borderId="0" xfId="2" applyFont="1" applyFill="1"/>
    <xf numFmtId="0" fontId="20" fillId="10" borderId="0" xfId="2" applyFont="1" applyFill="1" applyAlignment="1">
      <alignment horizontal="center"/>
    </xf>
    <xf numFmtId="164" fontId="28" fillId="10" borderId="0" xfId="4" applyNumberFormat="1" applyFont="1" applyFill="1" applyAlignment="1">
      <alignment horizontal="center"/>
    </xf>
    <xf numFmtId="164" fontId="36" fillId="10" borderId="4" xfId="4" applyNumberFormat="1" applyFont="1" applyFill="1" applyBorder="1" applyAlignment="1">
      <alignment horizontal="center"/>
    </xf>
    <xf numFmtId="164" fontId="36" fillId="10" borderId="0" xfId="4" applyNumberFormat="1" applyFont="1" applyFill="1" applyAlignment="1">
      <alignment horizontal="center"/>
    </xf>
    <xf numFmtId="0" fontId="21" fillId="11" borderId="5" xfId="13" applyFont="1" applyFill="1" applyBorder="1"/>
    <xf numFmtId="0" fontId="21" fillId="11" borderId="5" xfId="13" applyFont="1" applyFill="1" applyBorder="1" applyAlignment="1">
      <alignment horizontal="center"/>
    </xf>
    <xf numFmtId="0" fontId="21" fillId="0" borderId="0" xfId="13" applyFont="1"/>
    <xf numFmtId="0" fontId="28" fillId="0" borderId="0" xfId="13" applyFont="1"/>
    <xf numFmtId="3" fontId="21" fillId="0" borderId="0" xfId="13" applyNumberFormat="1" applyFont="1" applyAlignment="1">
      <alignment horizontal="center"/>
    </xf>
    <xf numFmtId="3" fontId="31" fillId="0" borderId="0" xfId="13" applyNumberFormat="1" applyFont="1" applyAlignment="1">
      <alignment horizontal="center"/>
    </xf>
    <xf numFmtId="0" fontId="21" fillId="11" borderId="5" xfId="2" applyFont="1" applyFill="1" applyBorder="1"/>
    <xf numFmtId="0" fontId="21" fillId="11" borderId="5" xfId="2" applyFont="1" applyFill="1" applyBorder="1" applyAlignment="1">
      <alignment horizontal="center"/>
    </xf>
    <xf numFmtId="10" fontId="20" fillId="0" borderId="0" xfId="4" applyNumberFormat="1" applyFont="1" applyFill="1"/>
    <xf numFmtId="10" fontId="21" fillId="0" borderId="0" xfId="2" applyNumberFormat="1" applyFont="1"/>
    <xf numFmtId="10" fontId="21" fillId="0" borderId="0" xfId="13" applyNumberFormat="1" applyFont="1" applyAlignment="1">
      <alignment horizontal="center"/>
    </xf>
    <xf numFmtId="10" fontId="28" fillId="3" borderId="0" xfId="4" applyNumberFormat="1" applyFont="1" applyFill="1" applyAlignment="1">
      <alignment horizontal="center"/>
    </xf>
    <xf numFmtId="10" fontId="28" fillId="3" borderId="0" xfId="2" applyNumberFormat="1" applyFont="1" applyFill="1" applyAlignment="1">
      <alignment horizontal="center"/>
    </xf>
    <xf numFmtId="10" fontId="28" fillId="3" borderId="23" xfId="4" applyNumberFormat="1" applyFont="1" applyFill="1" applyBorder="1" applyAlignment="1">
      <alignment horizontal="center"/>
    </xf>
    <xf numFmtId="0" fontId="33" fillId="4" borderId="0" xfId="13" applyFont="1" applyFill="1" applyAlignment="1">
      <alignment horizontal="center"/>
    </xf>
    <xf numFmtId="10" fontId="35" fillId="3" borderId="21" xfId="13" applyNumberFormat="1" applyFont="1" applyFill="1" applyBorder="1" applyAlignment="1">
      <alignment horizontal="center"/>
    </xf>
    <xf numFmtId="0" fontId="33" fillId="0" borderId="0" xfId="13" applyFont="1"/>
    <xf numFmtId="0" fontId="33" fillId="0" borderId="0" xfId="13" applyFont="1" applyAlignment="1">
      <alignment horizontal="center"/>
    </xf>
    <xf numFmtId="10" fontId="33" fillId="0" borderId="0" xfId="4" applyNumberFormat="1" applyFont="1" applyFill="1" applyAlignment="1">
      <alignment horizontal="center"/>
    </xf>
    <xf numFmtId="10" fontId="33" fillId="0" borderId="0" xfId="13" applyNumberFormat="1" applyFont="1" applyAlignment="1">
      <alignment horizontal="center"/>
    </xf>
    <xf numFmtId="10" fontId="21" fillId="0" borderId="0" xfId="2" applyNumberFormat="1" applyFont="1" applyAlignment="1">
      <alignment horizontal="center"/>
    </xf>
    <xf numFmtId="0" fontId="20" fillId="12" borderId="0" xfId="2" applyFont="1" applyFill="1"/>
    <xf numFmtId="0" fontId="28" fillId="12" borderId="0" xfId="2" applyFont="1" applyFill="1" applyAlignment="1">
      <alignment horizontal="center"/>
    </xf>
    <xf numFmtId="10" fontId="27" fillId="12" borderId="0" xfId="2" applyNumberFormat="1" applyFont="1" applyFill="1" applyAlignment="1">
      <alignment horizontal="center"/>
    </xf>
    <xf numFmtId="10" fontId="20" fillId="12" borderId="0" xfId="2" applyNumberFormat="1" applyFont="1" applyFill="1" applyAlignment="1">
      <alignment horizontal="center"/>
    </xf>
    <xf numFmtId="0" fontId="20" fillId="12" borderId="0" xfId="2" applyFont="1" applyFill="1" applyAlignment="1">
      <alignment horizontal="center"/>
    </xf>
    <xf numFmtId="10" fontId="31" fillId="12" borderId="0" xfId="2" applyNumberFormat="1" applyFont="1" applyFill="1" applyAlignment="1">
      <alignment horizontal="center"/>
    </xf>
    <xf numFmtId="10" fontId="27" fillId="0" borderId="0" xfId="4" applyNumberFormat="1" applyFont="1" applyFill="1" applyAlignment="1">
      <alignment horizontal="center"/>
    </xf>
    <xf numFmtId="10" fontId="27" fillId="0" borderId="0" xfId="2" applyNumberFormat="1" applyFont="1" applyAlignment="1">
      <alignment horizontal="center"/>
    </xf>
    <xf numFmtId="10" fontId="30" fillId="0" borderId="0" xfId="2" applyNumberFormat="1" applyFont="1" applyAlignment="1">
      <alignment horizontal="center"/>
    </xf>
    <xf numFmtId="10" fontId="30" fillId="0" borderId="0" xfId="4" applyNumberFormat="1" applyFont="1" applyFill="1" applyAlignment="1">
      <alignment horizontal="center"/>
    </xf>
    <xf numFmtId="10" fontId="20" fillId="12" borderId="0" xfId="4" applyNumberFormat="1" applyFont="1" applyFill="1" applyAlignment="1">
      <alignment horizontal="center"/>
    </xf>
    <xf numFmtId="0" fontId="28" fillId="12" borderId="0" xfId="2" applyFont="1" applyFill="1"/>
    <xf numFmtId="10" fontId="28" fillId="12" borderId="0" xfId="4" applyNumberFormat="1" applyFont="1" applyFill="1" applyAlignment="1">
      <alignment horizontal="center"/>
    </xf>
    <xf numFmtId="10" fontId="28" fillId="12" borderId="0" xfId="2" applyNumberFormat="1" applyFont="1" applyFill="1" applyAlignment="1">
      <alignment horizontal="center"/>
    </xf>
    <xf numFmtId="10" fontId="36" fillId="12" borderId="0" xfId="2" applyNumberFormat="1" applyFont="1" applyFill="1" applyAlignment="1">
      <alignment horizontal="center"/>
    </xf>
    <xf numFmtId="43" fontId="20" fillId="0" borderId="0" xfId="12" applyFont="1"/>
    <xf numFmtId="0" fontId="30" fillId="0" borderId="0" xfId="2" applyFont="1"/>
    <xf numFmtId="0" fontId="28" fillId="10" borderId="0" xfId="2" applyFont="1" applyFill="1"/>
    <xf numFmtId="3" fontId="31" fillId="0" borderId="20" xfId="2" applyNumberFormat="1" applyFont="1" applyBorder="1" applyAlignment="1">
      <alignment horizontal="center"/>
    </xf>
    <xf numFmtId="164" fontId="37" fillId="0" borderId="0" xfId="4" applyNumberFormat="1" applyFont="1" applyFill="1" applyAlignment="1">
      <alignment horizontal="center"/>
    </xf>
    <xf numFmtId="3" fontId="20" fillId="3" borderId="0" xfId="2" applyNumberFormat="1" applyFont="1" applyFill="1"/>
    <xf numFmtId="0" fontId="30" fillId="0" borderId="0" xfId="2" applyFont="1" applyAlignment="1">
      <alignment horizontal="center"/>
    </xf>
    <xf numFmtId="164" fontId="20" fillId="3" borderId="0" xfId="2" applyNumberFormat="1" applyFont="1" applyFill="1"/>
    <xf numFmtId="3" fontId="31" fillId="3" borderId="0" xfId="2" applyNumberFormat="1" applyFont="1" applyFill="1" applyAlignment="1">
      <alignment horizontal="center"/>
    </xf>
    <xf numFmtId="3" fontId="46" fillId="0" borderId="0" xfId="2" applyNumberFormat="1" applyFont="1" applyAlignment="1">
      <alignment horizontal="center" vertical="center"/>
    </xf>
    <xf numFmtId="3" fontId="28" fillId="0" borderId="0" xfId="2" applyNumberFormat="1" applyFont="1" applyAlignment="1">
      <alignment horizontal="center" vertical="center" wrapText="1"/>
    </xf>
    <xf numFmtId="3" fontId="37" fillId="0" borderId="0" xfId="2" applyNumberFormat="1" applyFont="1"/>
    <xf numFmtId="0" fontId="31" fillId="0" borderId="0" xfId="2" applyFont="1" applyAlignment="1">
      <alignment horizontal="center"/>
    </xf>
    <xf numFmtId="3" fontId="28" fillId="3" borderId="0" xfId="2" applyNumberFormat="1" applyFont="1" applyFill="1"/>
    <xf numFmtId="9" fontId="28" fillId="3" borderId="0" xfId="4" applyFont="1" applyFill="1" applyAlignment="1">
      <alignment horizontal="center"/>
    </xf>
    <xf numFmtId="9" fontId="20" fillId="3" borderId="0" xfId="2" applyNumberFormat="1" applyFont="1" applyFill="1"/>
    <xf numFmtId="9" fontId="36" fillId="3" borderId="0" xfId="4" applyFont="1" applyFill="1" applyAlignment="1">
      <alignment horizontal="center"/>
    </xf>
    <xf numFmtId="9" fontId="41" fillId="3" borderId="0" xfId="4" applyFont="1" applyFill="1" applyAlignment="1">
      <alignment horizontal="center"/>
    </xf>
    <xf numFmtId="3" fontId="32" fillId="3" borderId="0" xfId="2" applyNumberFormat="1" applyFont="1" applyFill="1" applyAlignment="1">
      <alignment horizontal="center"/>
    </xf>
    <xf numFmtId="0" fontId="20" fillId="0" borderId="0" xfId="2" quotePrefix="1" applyFont="1"/>
    <xf numFmtId="3" fontId="55" fillId="11" borderId="5" xfId="2" applyNumberFormat="1" applyFont="1" applyFill="1" applyBorder="1" applyAlignment="1">
      <alignment horizontal="center"/>
    </xf>
    <xf numFmtId="3" fontId="21" fillId="11" borderId="5" xfId="2" applyNumberFormat="1" applyFont="1" applyFill="1" applyBorder="1" applyAlignment="1">
      <alignment horizontal="center"/>
    </xf>
    <xf numFmtId="3" fontId="44" fillId="0" borderId="0" xfId="2" applyNumberFormat="1" applyFont="1" applyAlignment="1">
      <alignment horizontal="center"/>
    </xf>
    <xf numFmtId="164" fontId="21" fillId="0" borderId="0" xfId="4" applyNumberFormat="1" applyFont="1" applyAlignment="1">
      <alignment horizontal="center"/>
    </xf>
    <xf numFmtId="164" fontId="34" fillId="3" borderId="0" xfId="2" applyNumberFormat="1" applyFont="1" applyFill="1" applyAlignment="1">
      <alignment horizontal="center"/>
    </xf>
    <xf numFmtId="164" fontId="28" fillId="3" borderId="0" xfId="2" applyNumberFormat="1" applyFont="1" applyFill="1" applyAlignment="1">
      <alignment horizontal="center"/>
    </xf>
    <xf numFmtId="164" fontId="20" fillId="3" borderId="0" xfId="2" applyNumberFormat="1" applyFont="1" applyFill="1" applyAlignment="1">
      <alignment horizontal="center"/>
    </xf>
    <xf numFmtId="10" fontId="28" fillId="0" borderId="0" xfId="2" applyNumberFormat="1" applyFont="1" applyAlignment="1">
      <alignment horizontal="center"/>
    </xf>
    <xf numFmtId="171" fontId="20" fillId="0" borderId="0" xfId="4" applyNumberFormat="1" applyFont="1" applyAlignment="1">
      <alignment horizontal="center"/>
    </xf>
    <xf numFmtId="10" fontId="28" fillId="10" borderId="0" xfId="2" applyNumberFormat="1" applyFont="1" applyFill="1" applyAlignment="1">
      <alignment horizontal="center"/>
    </xf>
    <xf numFmtId="10" fontId="34" fillId="10" borderId="0" xfId="2" applyNumberFormat="1" applyFont="1" applyFill="1" applyAlignment="1">
      <alignment horizontal="center"/>
    </xf>
    <xf numFmtId="3" fontId="56" fillId="0" borderId="0" xfId="2" applyNumberFormat="1" applyFont="1" applyAlignment="1">
      <alignment horizontal="center"/>
    </xf>
    <xf numFmtId="3" fontId="55" fillId="0" borderId="0" xfId="2" applyNumberFormat="1" applyFont="1" applyAlignment="1">
      <alignment horizontal="center"/>
    </xf>
    <xf numFmtId="3" fontId="30" fillId="0" borderId="21" xfId="2" applyNumberFormat="1" applyFont="1" applyBorder="1" applyAlignment="1">
      <alignment horizontal="center"/>
    </xf>
    <xf numFmtId="3" fontId="29" fillId="4" borderId="0" xfId="2" applyNumberFormat="1" applyFont="1" applyFill="1" applyAlignment="1">
      <alignment horizontal="center"/>
    </xf>
    <xf numFmtId="0" fontId="41" fillId="0" borderId="0" xfId="2" applyFont="1"/>
    <xf numFmtId="0" fontId="41" fillId="0" borderId="0" xfId="2" applyFont="1" applyAlignment="1">
      <alignment horizontal="center"/>
    </xf>
    <xf numFmtId="164" fontId="41" fillId="0" borderId="0" xfId="4" applyNumberFormat="1" applyFont="1"/>
    <xf numFmtId="0" fontId="57" fillId="0" borderId="0" xfId="1" applyFont="1"/>
    <xf numFmtId="164" fontId="20" fillId="4" borderId="0" xfId="2" applyNumberFormat="1" applyFont="1" applyFill="1" applyAlignment="1">
      <alignment horizontal="center"/>
    </xf>
    <xf numFmtId="164" fontId="34" fillId="4" borderId="0" xfId="2" applyNumberFormat="1" applyFont="1" applyFill="1" applyAlignment="1">
      <alignment horizontal="center"/>
    </xf>
    <xf numFmtId="164" fontId="20" fillId="10" borderId="0" xfId="2" applyNumberFormat="1" applyFont="1" applyFill="1" applyAlignment="1">
      <alignment horizontal="center"/>
    </xf>
    <xf numFmtId="164" fontId="34" fillId="10" borderId="0" xfId="2" applyNumberFormat="1" applyFont="1" applyFill="1" applyAlignment="1">
      <alignment horizontal="center"/>
    </xf>
    <xf numFmtId="0" fontId="44" fillId="4" borderId="0" xfId="2" applyFont="1" applyFill="1"/>
    <xf numFmtId="164" fontId="20" fillId="0" borderId="0" xfId="2" applyNumberFormat="1" applyFont="1" applyAlignment="1">
      <alignment horizontal="center"/>
    </xf>
    <xf numFmtId="164" fontId="34" fillId="0" borderId="0" xfId="2" applyNumberFormat="1" applyFont="1" applyAlignment="1">
      <alignment horizontal="center"/>
    </xf>
    <xf numFmtId="1" fontId="20" fillId="0" borderId="0" xfId="2" applyNumberFormat="1" applyFont="1" applyAlignment="1">
      <alignment horizontal="center"/>
    </xf>
    <xf numFmtId="0" fontId="51" fillId="0" borderId="0" xfId="2" applyFont="1" applyAlignment="1">
      <alignment horizontal="center"/>
    </xf>
    <xf numFmtId="1" fontId="21" fillId="0" borderId="0" xfId="2" applyNumberFormat="1" applyFont="1" applyAlignment="1">
      <alignment horizontal="center"/>
    </xf>
    <xf numFmtId="164" fontId="41" fillId="0" borderId="0" xfId="4" applyNumberFormat="1" applyFont="1" applyFill="1" applyAlignment="1">
      <alignment horizontal="center"/>
    </xf>
    <xf numFmtId="0" fontId="44" fillId="0" borderId="0" xfId="2" applyFont="1"/>
    <xf numFmtId="164" fontId="36" fillId="0" borderId="0" xfId="2" applyNumberFormat="1" applyFont="1" applyAlignment="1">
      <alignment horizontal="center"/>
    </xf>
    <xf numFmtId="3" fontId="58" fillId="0" borderId="0" xfId="2" applyNumberFormat="1" applyFont="1" applyAlignment="1">
      <alignment horizontal="center"/>
    </xf>
    <xf numFmtId="164" fontId="34" fillId="4" borderId="0" xfId="4" applyNumberFormat="1" applyFont="1" applyFill="1" applyAlignment="1">
      <alignment horizontal="center"/>
    </xf>
    <xf numFmtId="3" fontId="2" fillId="0" borderId="0" xfId="1" applyNumberFormat="1"/>
    <xf numFmtId="164" fontId="28" fillId="0" borderId="20" xfId="4" applyNumberFormat="1" applyFont="1" applyBorder="1" applyAlignment="1">
      <alignment horizontal="center"/>
    </xf>
    <xf numFmtId="0" fontId="20" fillId="3" borderId="0" xfId="5" applyFont="1" applyFill="1"/>
    <xf numFmtId="0" fontId="21" fillId="2" borderId="0" xfId="5" applyFont="1" applyFill="1"/>
    <xf numFmtId="0" fontId="20" fillId="2" borderId="0" xfId="2" applyFont="1" applyFill="1" applyAlignment="1">
      <alignment horizontal="center"/>
    </xf>
    <xf numFmtId="0" fontId="20" fillId="2" borderId="0" xfId="2" applyFont="1" applyFill="1"/>
    <xf numFmtId="3" fontId="21" fillId="2" borderId="0" xfId="2" applyNumberFormat="1" applyFont="1" applyFill="1" applyAlignment="1">
      <alignment horizontal="center"/>
    </xf>
    <xf numFmtId="164" fontId="28" fillId="2" borderId="0" xfId="4" applyNumberFormat="1" applyFont="1" applyFill="1" applyAlignment="1">
      <alignment horizontal="center"/>
    </xf>
    <xf numFmtId="164" fontId="45" fillId="4" borderId="0" xfId="4" applyNumberFormat="1" applyFont="1" applyFill="1" applyAlignment="1">
      <alignment horizontal="center"/>
    </xf>
    <xf numFmtId="3" fontId="28" fillId="4" borderId="0" xfId="2" applyNumberFormat="1" applyFont="1" applyFill="1" applyAlignment="1">
      <alignment horizontal="center"/>
    </xf>
    <xf numFmtId="3" fontId="28" fillId="0" borderId="20" xfId="2" applyNumberFormat="1" applyFont="1" applyBorder="1" applyAlignment="1">
      <alignment horizontal="center"/>
    </xf>
    <xf numFmtId="177" fontId="20" fillId="0" borderId="0" xfId="2" applyNumberFormat="1" applyFont="1" applyAlignment="1">
      <alignment horizontal="center"/>
    </xf>
    <xf numFmtId="164" fontId="45" fillId="0" borderId="0" xfId="4" applyNumberFormat="1" applyFont="1" applyFill="1" applyAlignment="1">
      <alignment horizontal="center"/>
    </xf>
    <xf numFmtId="3" fontId="53" fillId="0" borderId="0" xfId="2" applyNumberFormat="1" applyFont="1" applyAlignment="1">
      <alignment horizontal="center"/>
    </xf>
    <xf numFmtId="3" fontId="20" fillId="0" borderId="20" xfId="2" applyNumberFormat="1" applyFont="1" applyBorder="1" applyAlignment="1">
      <alignment horizontal="center"/>
    </xf>
    <xf numFmtId="3" fontId="59" fillId="3" borderId="0" xfId="2" applyNumberFormat="1" applyFont="1" applyFill="1" applyAlignment="1">
      <alignment horizontal="center"/>
    </xf>
    <xf numFmtId="0" fontId="31" fillId="3" borderId="0" xfId="2" applyFont="1" applyFill="1" applyAlignment="1">
      <alignment horizontal="center"/>
    </xf>
    <xf numFmtId="0" fontId="20" fillId="3" borderId="24" xfId="2" applyFont="1" applyFill="1" applyBorder="1"/>
    <xf numFmtId="0" fontId="20" fillId="3" borderId="25" xfId="2" applyFont="1" applyFill="1" applyBorder="1" applyAlignment="1">
      <alignment horizontal="center"/>
    </xf>
    <xf numFmtId="0" fontId="20" fillId="3" borderId="25" xfId="2" applyFont="1" applyFill="1" applyBorder="1"/>
    <xf numFmtId="3" fontId="27" fillId="3" borderId="25" xfId="2" applyNumberFormat="1" applyFont="1" applyFill="1" applyBorder="1" applyAlignment="1">
      <alignment horizontal="center"/>
    </xf>
    <xf numFmtId="3" fontId="20" fillId="3" borderId="25" xfId="2" applyNumberFormat="1" applyFont="1" applyFill="1" applyBorder="1" applyAlignment="1">
      <alignment horizontal="center"/>
    </xf>
    <xf numFmtId="3" fontId="20" fillId="3" borderId="25" xfId="2" applyNumberFormat="1" applyFont="1" applyFill="1" applyBorder="1"/>
    <xf numFmtId="0" fontId="20" fillId="3" borderId="26" xfId="2" applyFont="1" applyFill="1" applyBorder="1"/>
    <xf numFmtId="3" fontId="31" fillId="3" borderId="25" xfId="2" applyNumberFormat="1" applyFont="1" applyFill="1" applyBorder="1" applyAlignment="1">
      <alignment horizontal="center"/>
    </xf>
    <xf numFmtId="0" fontId="20" fillId="3" borderId="27" xfId="2" applyFont="1" applyFill="1" applyBorder="1"/>
    <xf numFmtId="0" fontId="20" fillId="3" borderId="28" xfId="2" applyFont="1" applyFill="1" applyBorder="1"/>
    <xf numFmtId="0" fontId="20" fillId="3" borderId="29" xfId="2" applyFont="1" applyFill="1" applyBorder="1"/>
    <xf numFmtId="0" fontId="20" fillId="3" borderId="30" xfId="2" applyFont="1" applyFill="1" applyBorder="1" applyAlignment="1">
      <alignment horizontal="center"/>
    </xf>
    <xf numFmtId="0" fontId="20" fillId="3" borderId="30" xfId="2" applyFont="1" applyFill="1" applyBorder="1"/>
    <xf numFmtId="3" fontId="27" fillId="3" borderId="30" xfId="2" applyNumberFormat="1" applyFont="1" applyFill="1" applyBorder="1" applyAlignment="1">
      <alignment horizontal="center"/>
    </xf>
    <xf numFmtId="3" fontId="20" fillId="3" borderId="30" xfId="2" applyNumberFormat="1" applyFont="1" applyFill="1" applyBorder="1" applyAlignment="1">
      <alignment horizontal="center"/>
    </xf>
    <xf numFmtId="3" fontId="20" fillId="3" borderId="30" xfId="2" applyNumberFormat="1" applyFont="1" applyFill="1" applyBorder="1"/>
    <xf numFmtId="0" fontId="20" fillId="3" borderId="31" xfId="2" applyFont="1" applyFill="1" applyBorder="1"/>
    <xf numFmtId="3" fontId="31" fillId="3" borderId="30" xfId="2" applyNumberFormat="1" applyFont="1" applyFill="1" applyBorder="1" applyAlignment="1">
      <alignment horizontal="center"/>
    </xf>
    <xf numFmtId="0" fontId="28" fillId="10" borderId="0" xfId="2" applyFont="1" applyFill="1" applyAlignment="1">
      <alignment horizontal="center"/>
    </xf>
    <xf numFmtId="164" fontId="45" fillId="10" borderId="0" xfId="4" applyNumberFormat="1" applyFont="1" applyFill="1" applyAlignment="1">
      <alignment horizontal="center"/>
    </xf>
    <xf numFmtId="3" fontId="28" fillId="10" borderId="0" xfId="2" applyNumberFormat="1" applyFont="1" applyFill="1" applyAlignment="1">
      <alignment horizontal="center"/>
    </xf>
    <xf numFmtId="164" fontId="20" fillId="10" borderId="0" xfId="2" applyNumberFormat="1" applyFont="1" applyFill="1"/>
    <xf numFmtId="0" fontId="30" fillId="3" borderId="0" xfId="2" applyFont="1" applyFill="1" applyAlignment="1">
      <alignment horizontal="center"/>
    </xf>
    <xf numFmtId="0" fontId="16" fillId="0" borderId="10" xfId="1" applyFont="1" applyBorder="1"/>
    <xf numFmtId="0" fontId="21" fillId="10" borderId="0" xfId="2" applyFont="1" applyFill="1"/>
    <xf numFmtId="0" fontId="21" fillId="10" borderId="0" xfId="2" applyFont="1" applyFill="1" applyAlignment="1">
      <alignment horizontal="center"/>
    </xf>
    <xf numFmtId="10" fontId="21" fillId="10" borderId="0" xfId="4" applyNumberFormat="1" applyFont="1" applyFill="1" applyAlignment="1">
      <alignment horizontal="center"/>
    </xf>
    <xf numFmtId="10" fontId="21" fillId="10" borderId="0" xfId="2" applyNumberFormat="1" applyFont="1" applyFill="1" applyAlignment="1">
      <alignment horizontal="center"/>
    </xf>
    <xf numFmtId="10" fontId="55" fillId="10" borderId="0" xfId="2" applyNumberFormat="1" applyFont="1" applyFill="1" applyAlignment="1">
      <alignment horizontal="center"/>
    </xf>
    <xf numFmtId="164" fontId="21" fillId="0" borderId="0" xfId="4" applyNumberFormat="1" applyFont="1" applyFill="1" applyAlignment="1">
      <alignment horizontal="center"/>
    </xf>
    <xf numFmtId="164" fontId="55" fillId="3" borderId="0" xfId="4" applyNumberFormat="1" applyFont="1" applyFill="1" applyAlignment="1">
      <alignment horizontal="center"/>
    </xf>
    <xf numFmtId="3" fontId="20" fillId="0" borderId="0" xfId="13" applyNumberFormat="1" applyFont="1"/>
    <xf numFmtId="0" fontId="20" fillId="3" borderId="0" xfId="13" applyFont="1" applyFill="1"/>
    <xf numFmtId="0" fontId="20" fillId="3" borderId="0" xfId="13" applyFont="1" applyFill="1" applyAlignment="1">
      <alignment horizontal="center"/>
    </xf>
    <xf numFmtId="3" fontId="20" fillId="3" borderId="0" xfId="13" applyNumberFormat="1" applyFont="1" applyFill="1"/>
    <xf numFmtId="3" fontId="20" fillId="3" borderId="0" xfId="13" applyNumberFormat="1" applyFont="1" applyFill="1" applyAlignment="1">
      <alignment horizontal="center"/>
    </xf>
    <xf numFmtId="9" fontId="20" fillId="3" borderId="0" xfId="4" applyFont="1" applyFill="1" applyAlignment="1">
      <alignment horizontal="center"/>
    </xf>
    <xf numFmtId="9" fontId="31" fillId="3" borderId="0" xfId="4" applyFont="1" applyFill="1" applyAlignment="1">
      <alignment horizontal="center"/>
    </xf>
    <xf numFmtId="3" fontId="30" fillId="0" borderId="0" xfId="13" applyNumberFormat="1" applyFont="1" applyAlignment="1">
      <alignment horizontal="center"/>
    </xf>
    <xf numFmtId="3" fontId="21" fillId="0" borderId="0" xfId="13" applyNumberFormat="1" applyFont="1"/>
    <xf numFmtId="178" fontId="30" fillId="3" borderId="0" xfId="13" applyNumberFormat="1" applyFont="1" applyFill="1" applyAlignment="1">
      <alignment horizontal="center"/>
    </xf>
    <xf numFmtId="10" fontId="20" fillId="3" borderId="0" xfId="4" applyNumberFormat="1" applyFont="1" applyFill="1" applyAlignment="1">
      <alignment horizontal="center"/>
    </xf>
    <xf numFmtId="0" fontId="54" fillId="0" borderId="0" xfId="13" applyFont="1"/>
    <xf numFmtId="3" fontId="21" fillId="0" borderId="32" xfId="13" applyNumberFormat="1" applyFont="1" applyBorder="1" applyAlignment="1">
      <alignment horizontal="center"/>
    </xf>
    <xf numFmtId="3" fontId="41" fillId="3" borderId="0" xfId="13" applyNumberFormat="1" applyFont="1" applyFill="1" applyAlignment="1">
      <alignment horizontal="center"/>
    </xf>
    <xf numFmtId="3" fontId="49" fillId="3" borderId="33" xfId="13" applyNumberFormat="1" applyFont="1" applyFill="1" applyBorder="1" applyAlignment="1">
      <alignment horizontal="center"/>
    </xf>
    <xf numFmtId="3" fontId="37" fillId="3" borderId="0" xfId="13" applyNumberFormat="1" applyFont="1" applyFill="1" applyAlignment="1">
      <alignment horizontal="center"/>
    </xf>
    <xf numFmtId="169" fontId="60" fillId="0" borderId="0" xfId="2" applyNumberFormat="1" applyFont="1" applyAlignment="1">
      <alignment horizontal="center" vertical="center" wrapText="1"/>
    </xf>
    <xf numFmtId="0" fontId="60" fillId="0" borderId="0" xfId="2" applyFont="1"/>
    <xf numFmtId="164" fontId="44" fillId="4" borderId="0" xfId="2" applyNumberFormat="1" applyFont="1" applyFill="1" applyAlignment="1">
      <alignment horizontal="center"/>
    </xf>
    <xf numFmtId="3" fontId="61" fillId="0" borderId="0" xfId="2" applyNumberFormat="1" applyFont="1" applyAlignment="1">
      <alignment horizontal="center"/>
    </xf>
    <xf numFmtId="0" fontId="27" fillId="4" borderId="0" xfId="2" applyFont="1" applyFill="1" applyAlignment="1">
      <alignment horizontal="center"/>
    </xf>
    <xf numFmtId="3" fontId="30" fillId="4" borderId="0" xfId="2" applyNumberFormat="1" applyFont="1" applyFill="1" applyAlignment="1">
      <alignment horizontal="center"/>
    </xf>
    <xf numFmtId="169" fontId="20" fillId="0" borderId="0" xfId="2" applyNumberFormat="1" applyFont="1" applyAlignment="1">
      <alignment horizontal="center"/>
    </xf>
    <xf numFmtId="169" fontId="27" fillId="0" borderId="0" xfId="2" applyNumberFormat="1" applyFont="1" applyAlignment="1">
      <alignment horizontal="center"/>
    </xf>
    <xf numFmtId="169" fontId="29" fillId="0" borderId="0" xfId="2" applyNumberFormat="1" applyFont="1" applyAlignment="1">
      <alignment horizontal="center"/>
    </xf>
    <xf numFmtId="169" fontId="21" fillId="0" borderId="0" xfId="2" applyNumberFormat="1" applyFont="1" applyAlignment="1">
      <alignment horizontal="center"/>
    </xf>
    <xf numFmtId="4" fontId="21" fillId="0" borderId="0" xfId="2" applyNumberFormat="1" applyFont="1" applyAlignment="1">
      <alignment horizontal="center"/>
    </xf>
    <xf numFmtId="10" fontId="20" fillId="4" borderId="0" xfId="2" applyNumberFormat="1" applyFont="1" applyFill="1" applyAlignment="1">
      <alignment horizontal="center"/>
    </xf>
    <xf numFmtId="10" fontId="44" fillId="4" borderId="0" xfId="2" applyNumberFormat="1" applyFont="1" applyFill="1" applyAlignment="1">
      <alignment horizontal="center"/>
    </xf>
    <xf numFmtId="2" fontId="21" fillId="0" borderId="0" xfId="2" applyNumberFormat="1" applyFont="1" applyAlignment="1">
      <alignment horizontal="center"/>
    </xf>
    <xf numFmtId="2" fontId="36" fillId="0" borderId="0" xfId="2" applyNumberFormat="1" applyFont="1" applyAlignment="1">
      <alignment horizontal="center"/>
    </xf>
    <xf numFmtId="2" fontId="28" fillId="0" borderId="0" xfId="2" applyNumberFormat="1" applyFont="1" applyAlignment="1">
      <alignment horizontal="center"/>
    </xf>
    <xf numFmtId="2" fontId="44" fillId="0" borderId="0" xfId="2" applyNumberFormat="1" applyFont="1" applyAlignment="1">
      <alignment horizontal="center"/>
    </xf>
    <xf numFmtId="2" fontId="20" fillId="0" borderId="0" xfId="2" applyNumberFormat="1" applyFont="1" applyAlignment="1">
      <alignment horizontal="center"/>
    </xf>
    <xf numFmtId="2" fontId="55" fillId="0" borderId="0" xfId="2" applyNumberFormat="1" applyFont="1" applyAlignment="1">
      <alignment horizontal="center"/>
    </xf>
    <xf numFmtId="164" fontId="21" fillId="4" borderId="0" xfId="4" applyNumberFormat="1" applyFont="1" applyFill="1" applyAlignment="1">
      <alignment horizontal="center"/>
    </xf>
    <xf numFmtId="164" fontId="55" fillId="4" borderId="0" xfId="4" applyNumberFormat="1" applyFont="1" applyFill="1" applyAlignment="1">
      <alignment horizontal="center"/>
    </xf>
    <xf numFmtId="164" fontId="44" fillId="4" borderId="0" xfId="4" applyNumberFormat="1" applyFont="1" applyFill="1" applyAlignment="1">
      <alignment horizontal="center"/>
    </xf>
    <xf numFmtId="9" fontId="21" fillId="0" borderId="0" xfId="4" applyFont="1" applyAlignment="1">
      <alignment horizontal="center"/>
    </xf>
    <xf numFmtId="9" fontId="27" fillId="4" borderId="0" xfId="4" applyFont="1" applyFill="1" applyAlignment="1">
      <alignment horizontal="center"/>
    </xf>
    <xf numFmtId="9" fontId="20" fillId="4" borderId="0" xfId="4" applyFont="1" applyFill="1" applyAlignment="1">
      <alignment horizontal="center"/>
    </xf>
    <xf numFmtId="164" fontId="21" fillId="0" borderId="0" xfId="2" applyNumberFormat="1" applyFont="1" applyAlignment="1">
      <alignment horizontal="center" vertical="center" wrapText="1"/>
    </xf>
    <xf numFmtId="10" fontId="31" fillId="3" borderId="0" xfId="4" applyNumberFormat="1" applyFont="1" applyFill="1" applyAlignment="1">
      <alignment horizontal="center"/>
    </xf>
    <xf numFmtId="10" fontId="20" fillId="3" borderId="0" xfId="2" applyNumberFormat="1" applyFont="1" applyFill="1" applyAlignment="1">
      <alignment horizontal="center" vertical="center" wrapText="1"/>
    </xf>
    <xf numFmtId="10" fontId="20" fillId="3" borderId="0" xfId="4" applyNumberFormat="1" applyFont="1" applyFill="1" applyAlignment="1">
      <alignment horizontal="center" vertical="center" wrapText="1"/>
    </xf>
    <xf numFmtId="0" fontId="21" fillId="2" borderId="0" xfId="2" applyFont="1" applyFill="1"/>
    <xf numFmtId="0" fontId="21" fillId="2" borderId="0" xfId="2" applyFont="1" applyFill="1" applyAlignment="1">
      <alignment horizontal="center"/>
    </xf>
    <xf numFmtId="164" fontId="21" fillId="2" borderId="0" xfId="4" applyNumberFormat="1" applyFont="1" applyFill="1" applyAlignment="1">
      <alignment horizontal="center" vertical="center" wrapText="1"/>
    </xf>
    <xf numFmtId="164" fontId="21" fillId="2" borderId="0" xfId="2" applyNumberFormat="1" applyFont="1" applyFill="1"/>
    <xf numFmtId="164" fontId="51" fillId="2" borderId="0" xfId="4" applyNumberFormat="1" applyFont="1" applyFill="1" applyAlignment="1">
      <alignment horizontal="center" vertical="center" wrapText="1"/>
    </xf>
    <xf numFmtId="10" fontId="20" fillId="0" borderId="0" xfId="2" applyNumberFormat="1" applyFont="1" applyAlignment="1">
      <alignment horizontal="center" vertical="center" wrapText="1"/>
    </xf>
    <xf numFmtId="10" fontId="21" fillId="0" borderId="0" xfId="2" applyNumberFormat="1" applyFont="1" applyAlignment="1">
      <alignment horizontal="center" vertical="center" wrapText="1"/>
    </xf>
    <xf numFmtId="164" fontId="27" fillId="4" borderId="0" xfId="2" applyNumberFormat="1" applyFont="1" applyFill="1" applyAlignment="1">
      <alignment horizontal="center"/>
    </xf>
    <xf numFmtId="10" fontId="27" fillId="4" borderId="0" xfId="2" applyNumberFormat="1" applyFont="1" applyFill="1" applyAlignment="1">
      <alignment horizontal="center"/>
    </xf>
    <xf numFmtId="164" fontId="32" fillId="4" borderId="0" xfId="2" applyNumberFormat="1" applyFont="1" applyFill="1" applyAlignment="1">
      <alignment horizontal="center"/>
    </xf>
    <xf numFmtId="164" fontId="30" fillId="4" borderId="0" xfId="15" applyNumberFormat="1" applyFont="1" applyFill="1" applyAlignment="1">
      <alignment horizontal="center"/>
    </xf>
    <xf numFmtId="164" fontId="20" fillId="4" borderId="0" xfId="15" applyNumberFormat="1" applyFont="1" applyFill="1" applyAlignment="1">
      <alignment horizontal="center"/>
    </xf>
    <xf numFmtId="7" fontId="27" fillId="4" borderId="0" xfId="2" applyNumberFormat="1" applyFont="1" applyFill="1" applyAlignment="1">
      <alignment horizontal="center"/>
    </xf>
    <xf numFmtId="188" fontId="20" fillId="4" borderId="0" xfId="2" applyNumberFormat="1" applyFont="1" applyFill="1" applyAlignment="1">
      <alignment horizontal="center"/>
    </xf>
    <xf numFmtId="188" fontId="27" fillId="4" borderId="0" xfId="2" applyNumberFormat="1" applyFont="1" applyFill="1" applyAlignment="1">
      <alignment horizontal="center"/>
    </xf>
    <xf numFmtId="188" fontId="44" fillId="4" borderId="0" xfId="2" applyNumberFormat="1" applyFont="1" applyFill="1" applyAlignment="1">
      <alignment horizontal="center"/>
    </xf>
    <xf numFmtId="188" fontId="30" fillId="4" borderId="0" xfId="2" applyNumberFormat="1" applyFont="1" applyFill="1" applyAlignment="1">
      <alignment horizontal="center"/>
    </xf>
    <xf numFmtId="188" fontId="30" fillId="3" borderId="0" xfId="2" applyNumberFormat="1" applyFont="1" applyFill="1" applyAlignment="1">
      <alignment horizontal="center"/>
    </xf>
    <xf numFmtId="169" fontId="51" fillId="0" borderId="0" xfId="2" applyNumberFormat="1" applyFont="1" applyAlignment="1">
      <alignment horizontal="center"/>
    </xf>
    <xf numFmtId="188" fontId="44" fillId="0" borderId="0" xfId="2" applyNumberFormat="1" applyFont="1" applyAlignment="1">
      <alignment horizontal="center"/>
    </xf>
    <xf numFmtId="9" fontId="55" fillId="4" borderId="0" xfId="4" applyFont="1" applyFill="1" applyAlignment="1">
      <alignment horizontal="center"/>
    </xf>
    <xf numFmtId="9" fontId="51" fillId="4" borderId="0" xfId="4" applyFont="1" applyFill="1" applyAlignment="1">
      <alignment horizontal="center"/>
    </xf>
    <xf numFmtId="169" fontId="20" fillId="0" borderId="0" xfId="2" applyNumberFormat="1" applyFont="1"/>
    <xf numFmtId="189" fontId="21" fillId="0" borderId="0" xfId="2" applyNumberFormat="1" applyFont="1"/>
    <xf numFmtId="10" fontId="20" fillId="0" borderId="0" xfId="4" applyNumberFormat="1" applyFont="1" applyBorder="1" applyAlignment="1">
      <alignment horizontal="center"/>
    </xf>
    <xf numFmtId="10" fontId="27" fillId="4" borderId="0" xfId="4" applyNumberFormat="1" applyFont="1" applyFill="1" applyAlignment="1">
      <alignment horizontal="center"/>
    </xf>
    <xf numFmtId="10" fontId="29" fillId="4" borderId="34" xfId="4" applyNumberFormat="1" applyFont="1" applyFill="1" applyBorder="1" applyAlignment="1">
      <alignment horizontal="center"/>
    </xf>
    <xf numFmtId="10" fontId="29" fillId="4" borderId="21" xfId="4" applyNumberFormat="1" applyFont="1" applyFill="1" applyBorder="1" applyAlignment="1">
      <alignment horizontal="center"/>
    </xf>
    <xf numFmtId="10" fontId="39" fillId="4" borderId="21" xfId="4" applyNumberFormat="1" applyFont="1" applyFill="1" applyBorder="1" applyAlignment="1">
      <alignment horizontal="center"/>
    </xf>
    <xf numFmtId="0" fontId="51" fillId="4" borderId="0" xfId="2" applyFont="1" applyFill="1"/>
    <xf numFmtId="169" fontId="20" fillId="4" borderId="0" xfId="2" applyNumberFormat="1" applyFont="1" applyFill="1" applyAlignment="1">
      <alignment horizontal="center"/>
    </xf>
    <xf numFmtId="177" fontId="20" fillId="4" borderId="0" xfId="2" applyNumberFormat="1" applyFont="1" applyFill="1" applyAlignment="1">
      <alignment horizontal="center"/>
    </xf>
    <xf numFmtId="169" fontId="28" fillId="0" borderId="0" xfId="2" applyNumberFormat="1" applyFont="1" applyAlignment="1">
      <alignment horizontal="center"/>
    </xf>
    <xf numFmtId="169" fontId="28" fillId="0" borderId="20" xfId="2" applyNumberFormat="1" applyFont="1" applyBorder="1" applyAlignment="1">
      <alignment horizontal="center"/>
    </xf>
    <xf numFmtId="169" fontId="28" fillId="0" borderId="0" xfId="13" applyNumberFormat="1" applyFont="1" applyAlignment="1">
      <alignment horizontal="center"/>
    </xf>
    <xf numFmtId="170" fontId="27" fillId="0" borderId="0" xfId="13" applyNumberFormat="1" applyFont="1" applyAlignment="1">
      <alignment horizontal="center"/>
    </xf>
    <xf numFmtId="170" fontId="20" fillId="0" borderId="0" xfId="13" applyNumberFormat="1" applyFont="1" applyAlignment="1">
      <alignment horizontal="center"/>
    </xf>
    <xf numFmtId="169" fontId="39" fillId="0" borderId="0" xfId="2" applyNumberFormat="1" applyFont="1" applyAlignment="1">
      <alignment horizontal="center"/>
    </xf>
    <xf numFmtId="169" fontId="62" fillId="0" borderId="0" xfId="2" applyNumberFormat="1" applyFont="1" applyAlignment="1">
      <alignment horizontal="center"/>
    </xf>
    <xf numFmtId="0" fontId="34" fillId="0" borderId="0" xfId="2" applyFont="1"/>
    <xf numFmtId="0" fontId="34" fillId="0" borderId="0" xfId="2" applyFont="1" applyAlignment="1">
      <alignment horizontal="center"/>
    </xf>
    <xf numFmtId="177" fontId="34" fillId="0" borderId="0" xfId="2" applyNumberFormat="1" applyFont="1" applyAlignment="1">
      <alignment horizontal="center"/>
    </xf>
    <xf numFmtId="177" fontId="45" fillId="0" borderId="0" xfId="2" applyNumberFormat="1" applyFont="1" applyAlignment="1">
      <alignment horizontal="center"/>
    </xf>
    <xf numFmtId="169" fontId="34" fillId="0" borderId="0" xfId="2" applyNumberFormat="1" applyFont="1" applyAlignment="1">
      <alignment horizontal="center"/>
    </xf>
    <xf numFmtId="4" fontId="20" fillId="0" borderId="0" xfId="2" applyNumberFormat="1" applyFont="1" applyAlignment="1">
      <alignment horizontal="center"/>
    </xf>
    <xf numFmtId="9" fontId="20" fillId="0" borderId="0" xfId="4" applyFont="1" applyBorder="1"/>
    <xf numFmtId="10" fontId="21" fillId="0" borderId="0" xfId="4" applyNumberFormat="1" applyFont="1" applyFill="1" applyAlignment="1">
      <alignment horizontal="center"/>
    </xf>
    <xf numFmtId="10" fontId="27" fillId="3" borderId="0" xfId="4" applyNumberFormat="1" applyFont="1" applyFill="1" applyAlignment="1">
      <alignment horizontal="center"/>
    </xf>
    <xf numFmtId="10" fontId="31" fillId="3" borderId="20" xfId="4" applyNumberFormat="1" applyFont="1" applyFill="1" applyBorder="1" applyAlignment="1">
      <alignment horizontal="center"/>
    </xf>
    <xf numFmtId="10" fontId="30" fillId="0" borderId="0" xfId="4" applyNumberFormat="1" applyFont="1" applyAlignment="1">
      <alignment horizontal="center"/>
    </xf>
    <xf numFmtId="43" fontId="21" fillId="0" borderId="0" xfId="12" applyFont="1" applyAlignment="1">
      <alignment horizontal="center"/>
    </xf>
    <xf numFmtId="164" fontId="30" fillId="3" borderId="0" xfId="4" applyNumberFormat="1" applyFont="1" applyFill="1" applyAlignment="1">
      <alignment horizontal="center"/>
    </xf>
    <xf numFmtId="164" fontId="20" fillId="3" borderId="0" xfId="4" applyNumberFormat="1" applyFont="1" applyFill="1" applyAlignment="1">
      <alignment horizontal="center"/>
    </xf>
    <xf numFmtId="10" fontId="20" fillId="3" borderId="0" xfId="2" applyNumberFormat="1" applyFont="1" applyFill="1"/>
    <xf numFmtId="164" fontId="30" fillId="3" borderId="35" xfId="4" applyNumberFormat="1" applyFont="1" applyFill="1" applyBorder="1" applyAlignment="1">
      <alignment horizontal="center"/>
    </xf>
    <xf numFmtId="164" fontId="32" fillId="3" borderId="0" xfId="4" applyNumberFormat="1" applyFont="1" applyFill="1" applyAlignment="1">
      <alignment horizontal="center"/>
    </xf>
    <xf numFmtId="164" fontId="30" fillId="3" borderId="36" xfId="4" applyNumberFormat="1" applyFont="1" applyFill="1" applyBorder="1" applyAlignment="1">
      <alignment horizontal="center"/>
    </xf>
    <xf numFmtId="164" fontId="20" fillId="3" borderId="36" xfId="4" applyNumberFormat="1" applyFont="1" applyFill="1" applyBorder="1" applyAlignment="1">
      <alignment horizontal="center"/>
    </xf>
    <xf numFmtId="10" fontId="32" fillId="3" borderId="0" xfId="2" applyNumberFormat="1" applyFont="1" applyFill="1"/>
    <xf numFmtId="178" fontId="30" fillId="3" borderId="0" xfId="4" applyNumberFormat="1" applyFont="1" applyFill="1" applyAlignment="1">
      <alignment horizontal="center"/>
    </xf>
    <xf numFmtId="164" fontId="20" fillId="3" borderId="37" xfId="4" applyNumberFormat="1" applyFont="1" applyFill="1" applyBorder="1" applyAlignment="1">
      <alignment horizontal="center"/>
    </xf>
    <xf numFmtId="164" fontId="39" fillId="0" borderId="0" xfId="4" applyNumberFormat="1" applyFont="1" applyFill="1" applyAlignment="1">
      <alignment horizontal="center"/>
    </xf>
    <xf numFmtId="164" fontId="21" fillId="0" borderId="0" xfId="2" applyNumberFormat="1" applyFont="1" applyAlignment="1">
      <alignment horizontal="center"/>
    </xf>
    <xf numFmtId="164" fontId="51" fillId="0" borderId="0" xfId="4" applyNumberFormat="1" applyFont="1" applyAlignment="1">
      <alignment horizontal="center"/>
    </xf>
    <xf numFmtId="164" fontId="51" fillId="0" borderId="0" xfId="4" applyNumberFormat="1" applyFont="1" applyFill="1" applyAlignment="1">
      <alignment horizontal="center"/>
    </xf>
    <xf numFmtId="3" fontId="30" fillId="0" borderId="20" xfId="2" applyNumberFormat="1" applyFont="1" applyBorder="1" applyAlignment="1">
      <alignment horizontal="center"/>
    </xf>
    <xf numFmtId="3" fontId="27" fillId="0" borderId="22" xfId="2" applyNumberFormat="1" applyFont="1" applyBorder="1" applyAlignment="1">
      <alignment horizontal="center"/>
    </xf>
    <xf numFmtId="3" fontId="30" fillId="3" borderId="20" xfId="2" applyNumberFormat="1" applyFont="1" applyFill="1" applyBorder="1" applyAlignment="1">
      <alignment horizontal="center"/>
    </xf>
    <xf numFmtId="3" fontId="63" fillId="0" borderId="0" xfId="2" applyNumberFormat="1" applyFont="1" applyAlignment="1">
      <alignment horizontal="center"/>
    </xf>
    <xf numFmtId="10" fontId="50" fillId="4" borderId="0" xfId="2" applyNumberFormat="1" applyFont="1" applyFill="1" applyAlignment="1">
      <alignment horizontal="center"/>
    </xf>
    <xf numFmtId="178" fontId="63" fillId="4" borderId="0" xfId="2" applyNumberFormat="1" applyFont="1" applyFill="1" applyAlignment="1">
      <alignment horizontal="center"/>
    </xf>
    <xf numFmtId="10" fontId="63" fillId="4" borderId="0" xfId="4" applyNumberFormat="1" applyFont="1" applyFill="1" applyAlignment="1">
      <alignment horizontal="center"/>
    </xf>
    <xf numFmtId="10" fontId="41" fillId="3" borderId="0" xfId="4" applyNumberFormat="1" applyFont="1" applyFill="1" applyAlignment="1">
      <alignment horizontal="center"/>
    </xf>
    <xf numFmtId="3" fontId="30" fillId="0" borderId="38" xfId="13" applyNumberFormat="1" applyFont="1" applyBorder="1" applyAlignment="1">
      <alignment horizontal="center"/>
    </xf>
    <xf numFmtId="0" fontId="33" fillId="3" borderId="0" xfId="13" applyFont="1" applyFill="1"/>
    <xf numFmtId="0" fontId="28" fillId="3" borderId="0" xfId="13" applyFont="1" applyFill="1" applyAlignment="1">
      <alignment horizontal="center"/>
    </xf>
    <xf numFmtId="0" fontId="28" fillId="3" borderId="0" xfId="13" applyFont="1" applyFill="1"/>
    <xf numFmtId="3" fontId="28" fillId="3" borderId="0" xfId="13" applyNumberFormat="1" applyFont="1" applyFill="1" applyAlignment="1">
      <alignment horizontal="center"/>
    </xf>
    <xf numFmtId="0" fontId="28" fillId="0" borderId="0" xfId="13" applyFont="1" applyAlignment="1">
      <alignment horizontal="center"/>
    </xf>
    <xf numFmtId="3" fontId="28" fillId="0" borderId="0" xfId="13" applyNumberFormat="1" applyFont="1" applyAlignment="1">
      <alignment horizontal="center"/>
    </xf>
    <xf numFmtId="164" fontId="27" fillId="4" borderId="0" xfId="4" applyNumberFormat="1" applyFont="1" applyFill="1" applyAlignment="1">
      <alignment horizontal="center"/>
    </xf>
    <xf numFmtId="9" fontId="27" fillId="0" borderId="0" xfId="2" applyNumberFormat="1" applyFont="1" applyAlignment="1">
      <alignment horizontal="center"/>
    </xf>
    <xf numFmtId="3" fontId="31" fillId="0" borderId="0" xfId="2" applyNumberFormat="1" applyFont="1"/>
    <xf numFmtId="3" fontId="36" fillId="0" borderId="0" xfId="2" applyNumberFormat="1" applyFont="1" applyAlignment="1">
      <alignment horizontal="center"/>
    </xf>
    <xf numFmtId="0" fontId="44" fillId="0" borderId="0" xfId="2" applyFont="1" applyAlignment="1">
      <alignment horizontal="center"/>
    </xf>
    <xf numFmtId="3" fontId="35" fillId="0" borderId="0" xfId="2" applyNumberFormat="1" applyFont="1" applyAlignment="1">
      <alignment horizontal="center"/>
    </xf>
    <xf numFmtId="0" fontId="55" fillId="0" borderId="0" xfId="2" applyFont="1" applyAlignment="1">
      <alignment horizontal="center"/>
    </xf>
    <xf numFmtId="3" fontId="64" fillId="0" borderId="0" xfId="2" applyNumberFormat="1" applyFont="1"/>
    <xf numFmtId="3" fontId="64" fillId="0" borderId="0" xfId="2" applyNumberFormat="1" applyFont="1" applyAlignment="1">
      <alignment horizontal="center"/>
    </xf>
    <xf numFmtId="164" fontId="35" fillId="3" borderId="0" xfId="4" applyNumberFormat="1" applyFont="1" applyFill="1" applyAlignment="1">
      <alignment horizontal="center"/>
    </xf>
    <xf numFmtId="3" fontId="36" fillId="3" borderId="0" xfId="2" applyNumberFormat="1" applyFont="1" applyFill="1" applyAlignment="1">
      <alignment horizontal="center"/>
    </xf>
    <xf numFmtId="0" fontId="44" fillId="3" borderId="0" xfId="2" applyFont="1" applyFill="1" applyAlignment="1">
      <alignment horizontal="center"/>
    </xf>
    <xf numFmtId="10" fontId="20" fillId="3" borderId="0" xfId="2" applyNumberFormat="1" applyFont="1" applyFill="1" applyAlignment="1">
      <alignment horizontal="center"/>
    </xf>
    <xf numFmtId="164" fontId="31" fillId="3" borderId="0" xfId="4" applyNumberFormat="1" applyFont="1" applyFill="1" applyAlignment="1">
      <alignment horizontal="center"/>
    </xf>
    <xf numFmtId="0" fontId="33" fillId="4" borderId="0" xfId="2" applyFont="1" applyFill="1"/>
    <xf numFmtId="0" fontId="33" fillId="4" borderId="0" xfId="2" applyFont="1" applyFill="1" applyAlignment="1">
      <alignment horizontal="center"/>
    </xf>
    <xf numFmtId="164" fontId="33" fillId="4" borderId="0" xfId="4" applyNumberFormat="1" applyFont="1" applyFill="1" applyAlignment="1">
      <alignment horizontal="center"/>
    </xf>
    <xf numFmtId="164" fontId="33" fillId="3" borderId="40" xfId="4" applyNumberFormat="1" applyFont="1" applyFill="1" applyBorder="1" applyAlignment="1">
      <alignment horizontal="center"/>
    </xf>
    <xf numFmtId="0" fontId="49" fillId="4" borderId="0" xfId="2" applyFont="1" applyFill="1"/>
    <xf numFmtId="10" fontId="33" fillId="4" borderId="0" xfId="2" applyNumberFormat="1" applyFont="1" applyFill="1"/>
    <xf numFmtId="10" fontId="28" fillId="0" borderId="0" xfId="4" applyNumberFormat="1" applyFont="1" applyFill="1" applyAlignment="1">
      <alignment horizontal="center"/>
    </xf>
    <xf numFmtId="3" fontId="32" fillId="4" borderId="0" xfId="2" applyNumberFormat="1" applyFont="1" applyFill="1" applyAlignment="1">
      <alignment horizontal="center"/>
    </xf>
    <xf numFmtId="190" fontId="20" fillId="0" borderId="0" xfId="2" applyNumberFormat="1" applyFont="1" applyAlignment="1">
      <alignment horizontal="center"/>
    </xf>
    <xf numFmtId="10" fontId="51" fillId="0" borderId="0" xfId="4" applyNumberFormat="1" applyFont="1" applyAlignment="1">
      <alignment horizontal="center"/>
    </xf>
    <xf numFmtId="177" fontId="4" fillId="0" borderId="0" xfId="1" applyNumberFormat="1" applyFont="1" applyAlignment="1">
      <alignment horizontal="center"/>
    </xf>
    <xf numFmtId="10" fontId="4" fillId="0" borderId="0" xfId="1" applyNumberFormat="1" applyFont="1"/>
    <xf numFmtId="177" fontId="3" fillId="0" borderId="0" xfId="1" applyNumberFormat="1" applyFont="1" applyAlignment="1">
      <alignment horizontal="center"/>
    </xf>
    <xf numFmtId="0" fontId="3" fillId="0" borderId="0" xfId="1" applyFont="1" applyAlignment="1">
      <alignment horizontal="center"/>
    </xf>
    <xf numFmtId="0" fontId="19" fillId="0" borderId="0" xfId="1" applyFont="1"/>
    <xf numFmtId="164" fontId="19" fillId="0" borderId="0" xfId="4" applyNumberFormat="1" applyFont="1" applyAlignment="1">
      <alignment horizontal="center"/>
    </xf>
    <xf numFmtId="0" fontId="19" fillId="0" borderId="1" xfId="1" applyFont="1" applyBorder="1"/>
    <xf numFmtId="164" fontId="19" fillId="0" borderId="1" xfId="4" applyNumberFormat="1" applyFont="1" applyBorder="1" applyAlignment="1">
      <alignment horizontal="center"/>
    </xf>
    <xf numFmtId="164" fontId="19" fillId="0" borderId="0" xfId="4" applyNumberFormat="1" applyFont="1" applyBorder="1" applyAlignment="1">
      <alignment horizontal="center"/>
    </xf>
    <xf numFmtId="0" fontId="3" fillId="0" borderId="5" xfId="1" applyFont="1" applyBorder="1" applyAlignment="1">
      <alignment horizontal="center"/>
    </xf>
    <xf numFmtId="0" fontId="3" fillId="0" borderId="6" xfId="1" applyFont="1" applyBorder="1" applyAlignment="1">
      <alignment horizontal="center"/>
    </xf>
    <xf numFmtId="164" fontId="4" fillId="0" borderId="9" xfId="4" applyNumberFormat="1" applyFont="1" applyBorder="1" applyAlignment="1">
      <alignment horizontal="center"/>
    </xf>
    <xf numFmtId="10" fontId="4" fillId="0" borderId="0" xfId="1" applyNumberFormat="1" applyFont="1" applyAlignment="1">
      <alignment horizontal="center"/>
    </xf>
    <xf numFmtId="9" fontId="16" fillId="0" borderId="0" xfId="4" applyFont="1" applyAlignment="1">
      <alignment horizontal="center"/>
    </xf>
    <xf numFmtId="177" fontId="3" fillId="0" borderId="9" xfId="1" applyNumberFormat="1" applyFont="1" applyBorder="1" applyAlignment="1">
      <alignment horizontal="center"/>
    </xf>
    <xf numFmtId="3" fontId="3" fillId="0" borderId="0" xfId="1" applyNumberFormat="1" applyFont="1" applyAlignment="1">
      <alignment horizontal="center"/>
    </xf>
    <xf numFmtId="9" fontId="16" fillId="0" borderId="0" xfId="4" applyFont="1" applyBorder="1" applyAlignment="1">
      <alignment horizontal="center"/>
    </xf>
    <xf numFmtId="164" fontId="16" fillId="0" borderId="0" xfId="4" applyNumberFormat="1" applyFont="1" applyFill="1" applyBorder="1" applyAlignment="1">
      <alignment horizontal="center"/>
    </xf>
    <xf numFmtId="164" fontId="19" fillId="0" borderId="0" xfId="4" applyNumberFormat="1" applyFont="1" applyFill="1" applyBorder="1" applyAlignment="1">
      <alignment horizontal="center"/>
    </xf>
    <xf numFmtId="0" fontId="2" fillId="0" borderId="9" xfId="1" applyBorder="1"/>
    <xf numFmtId="0" fontId="4" fillId="2" borderId="0" xfId="2" applyFont="1" applyFill="1"/>
    <xf numFmtId="0" fontId="3" fillId="2" borderId="0" xfId="2" applyFont="1" applyFill="1"/>
    <xf numFmtId="0" fontId="72" fillId="15" borderId="0" xfId="1" applyFont="1" applyFill="1"/>
    <xf numFmtId="0" fontId="72" fillId="15" borderId="0" xfId="1" applyFont="1" applyFill="1" applyAlignment="1">
      <alignment horizontal="center"/>
    </xf>
    <xf numFmtId="0" fontId="73" fillId="15" borderId="0" xfId="1" applyFont="1" applyFill="1"/>
    <xf numFmtId="0" fontId="72" fillId="15" borderId="9" xfId="1" applyFont="1" applyFill="1" applyBorder="1" applyAlignment="1">
      <alignment horizontal="center"/>
    </xf>
    <xf numFmtId="177" fontId="78" fillId="0" borderId="0" xfId="1" applyNumberFormat="1" applyFont="1" applyAlignment="1">
      <alignment horizontal="center"/>
    </xf>
    <xf numFmtId="0" fontId="78" fillId="0" borderId="0" xfId="1" applyFont="1"/>
    <xf numFmtId="177" fontId="78" fillId="0" borderId="9" xfId="1" applyNumberFormat="1" applyFont="1" applyBorder="1" applyAlignment="1">
      <alignment horizontal="center"/>
    </xf>
    <xf numFmtId="0" fontId="16" fillId="3" borderId="0" xfId="1" applyFont="1" applyFill="1"/>
    <xf numFmtId="164" fontId="79" fillId="3" borderId="0" xfId="4" applyNumberFormat="1" applyFont="1" applyFill="1" applyAlignment="1">
      <alignment horizontal="center"/>
    </xf>
    <xf numFmtId="0" fontId="79" fillId="3" borderId="0" xfId="1" applyFont="1" applyFill="1"/>
    <xf numFmtId="164" fontId="79" fillId="3" borderId="0" xfId="4" applyNumberFormat="1" applyFont="1" applyFill="1" applyBorder="1" applyAlignment="1">
      <alignment horizontal="center"/>
    </xf>
    <xf numFmtId="164" fontId="79" fillId="3" borderId="9" xfId="4" applyNumberFormat="1" applyFont="1" applyFill="1" applyBorder="1" applyAlignment="1">
      <alignment horizontal="center"/>
    </xf>
    <xf numFmtId="177" fontId="4" fillId="0" borderId="9" xfId="1" applyNumberFormat="1" applyFont="1" applyBorder="1" applyAlignment="1">
      <alignment horizontal="center"/>
    </xf>
    <xf numFmtId="164" fontId="16" fillId="3" borderId="0" xfId="4" applyNumberFormat="1" applyFont="1" applyFill="1" applyAlignment="1">
      <alignment horizontal="center"/>
    </xf>
    <xf numFmtId="164" fontId="16" fillId="3" borderId="0" xfId="4" applyNumberFormat="1" applyFont="1" applyFill="1" applyBorder="1" applyAlignment="1">
      <alignment horizontal="center"/>
    </xf>
    <xf numFmtId="164" fontId="16" fillId="3" borderId="9" xfId="4" applyNumberFormat="1" applyFont="1" applyFill="1" applyBorder="1" applyAlignment="1">
      <alignment horizontal="center"/>
    </xf>
    <xf numFmtId="0" fontId="77" fillId="0" borderId="0" xfId="1" applyFont="1"/>
    <xf numFmtId="10" fontId="78" fillId="0" borderId="0" xfId="1" applyNumberFormat="1" applyFont="1" applyAlignment="1">
      <alignment horizontal="center"/>
    </xf>
    <xf numFmtId="10" fontId="78" fillId="0" borderId="9" xfId="1" applyNumberFormat="1" applyFont="1" applyBorder="1" applyAlignment="1">
      <alignment horizontal="center"/>
    </xf>
    <xf numFmtId="10" fontId="79" fillId="3" borderId="0" xfId="4" applyNumberFormat="1" applyFont="1" applyFill="1" applyAlignment="1">
      <alignment horizontal="center"/>
    </xf>
    <xf numFmtId="0" fontId="78" fillId="3" borderId="0" xfId="1" applyFont="1" applyFill="1"/>
    <xf numFmtId="10" fontId="79" fillId="3" borderId="0" xfId="4" applyNumberFormat="1" applyFont="1" applyFill="1" applyBorder="1" applyAlignment="1">
      <alignment horizontal="center"/>
    </xf>
    <xf numFmtId="10" fontId="79" fillId="3" borderId="9" xfId="4" applyNumberFormat="1" applyFont="1" applyFill="1" applyBorder="1" applyAlignment="1">
      <alignment horizontal="center"/>
    </xf>
    <xf numFmtId="3" fontId="78" fillId="0" borderId="0" xfId="1" applyNumberFormat="1" applyFont="1" applyAlignment="1">
      <alignment horizontal="center"/>
    </xf>
    <xf numFmtId="3" fontId="78" fillId="0" borderId="9" xfId="1" applyNumberFormat="1" applyFont="1" applyBorder="1" applyAlignment="1">
      <alignment horizontal="center"/>
    </xf>
    <xf numFmtId="3" fontId="4" fillId="0" borderId="9" xfId="1" applyNumberFormat="1" applyFont="1" applyBorder="1" applyAlignment="1">
      <alignment horizontal="center"/>
    </xf>
    <xf numFmtId="3" fontId="16" fillId="0" borderId="0" xfId="1" applyNumberFormat="1" applyFont="1" applyAlignment="1">
      <alignment horizontal="center"/>
    </xf>
    <xf numFmtId="164" fontId="16" fillId="0" borderId="0" xfId="4" applyNumberFormat="1" applyFont="1" applyBorder="1" applyAlignment="1">
      <alignment horizontal="center"/>
    </xf>
    <xf numFmtId="164" fontId="16" fillId="0" borderId="9" xfId="4" applyNumberFormat="1" applyFont="1" applyBorder="1" applyAlignment="1">
      <alignment horizontal="center"/>
    </xf>
    <xf numFmtId="164" fontId="79" fillId="0" borderId="0" xfId="4" applyNumberFormat="1" applyFont="1" applyFill="1" applyAlignment="1">
      <alignment horizontal="center"/>
    </xf>
    <xf numFmtId="0" fontId="79" fillId="0" borderId="0" xfId="1" applyFont="1"/>
    <xf numFmtId="164" fontId="16" fillId="0" borderId="0" xfId="4" applyNumberFormat="1" applyFont="1" applyFill="1" applyAlignment="1">
      <alignment horizontal="center"/>
    </xf>
    <xf numFmtId="164" fontId="16" fillId="0" borderId="9" xfId="4" applyNumberFormat="1" applyFont="1" applyFill="1" applyBorder="1" applyAlignment="1">
      <alignment horizontal="center"/>
    </xf>
    <xf numFmtId="10" fontId="16" fillId="3" borderId="0" xfId="4" applyNumberFormat="1" applyFont="1" applyFill="1" applyAlignment="1">
      <alignment horizontal="center"/>
    </xf>
    <xf numFmtId="10" fontId="16" fillId="3" borderId="0" xfId="4" applyNumberFormat="1" applyFont="1" applyFill="1" applyBorder="1" applyAlignment="1">
      <alignment horizontal="center"/>
    </xf>
    <xf numFmtId="10" fontId="16" fillId="3" borderId="9" xfId="4" applyNumberFormat="1" applyFont="1" applyFill="1" applyBorder="1" applyAlignment="1">
      <alignment horizontal="center"/>
    </xf>
    <xf numFmtId="10" fontId="16" fillId="0" borderId="0" xfId="4" applyNumberFormat="1" applyFont="1" applyFill="1" applyAlignment="1">
      <alignment horizontal="center"/>
    </xf>
    <xf numFmtId="0" fontId="75" fillId="0" borderId="0" xfId="1" applyFont="1"/>
    <xf numFmtId="10" fontId="16" fillId="0" borderId="0" xfId="4" applyNumberFormat="1" applyFont="1" applyFill="1" applyBorder="1" applyAlignment="1">
      <alignment horizontal="center"/>
    </xf>
    <xf numFmtId="10" fontId="16" fillId="0" borderId="9" xfId="4" applyNumberFormat="1" applyFont="1" applyFill="1" applyBorder="1" applyAlignment="1">
      <alignment horizontal="center"/>
    </xf>
    <xf numFmtId="0" fontId="4" fillId="0" borderId="0" xfId="1" quotePrefix="1" applyFont="1"/>
    <xf numFmtId="0" fontId="78" fillId="0" borderId="0" xfId="1" quotePrefix="1" applyFont="1"/>
    <xf numFmtId="0" fontId="16" fillId="0" borderId="0" xfId="1" quotePrefix="1" applyFont="1"/>
    <xf numFmtId="9" fontId="16" fillId="0" borderId="9" xfId="4" applyFont="1" applyBorder="1" applyAlignment="1">
      <alignment horizontal="center"/>
    </xf>
    <xf numFmtId="3" fontId="77" fillId="0" borderId="0" xfId="1" applyNumberFormat="1" applyFont="1" applyAlignment="1">
      <alignment horizontal="center"/>
    </xf>
    <xf numFmtId="3" fontId="77" fillId="0" borderId="9" xfId="1" applyNumberFormat="1" applyFont="1" applyBorder="1" applyAlignment="1">
      <alignment horizontal="center"/>
    </xf>
    <xf numFmtId="0" fontId="16" fillId="2" borderId="0" xfId="1" applyFont="1" applyFill="1"/>
    <xf numFmtId="164" fontId="79" fillId="2" borderId="0" xfId="4" applyNumberFormat="1" applyFont="1" applyFill="1" applyAlignment="1">
      <alignment horizontal="center"/>
    </xf>
    <xf numFmtId="0" fontId="79" fillId="2" borderId="0" xfId="1" applyFont="1" applyFill="1"/>
    <xf numFmtId="164" fontId="79" fillId="2" borderId="0" xfId="4" applyNumberFormat="1" applyFont="1" applyFill="1" applyBorder="1" applyAlignment="1">
      <alignment horizontal="center"/>
    </xf>
    <xf numFmtId="164" fontId="79" fillId="2" borderId="9" xfId="4" applyNumberFormat="1" applyFont="1" applyFill="1" applyBorder="1" applyAlignment="1">
      <alignment horizontal="center"/>
    </xf>
    <xf numFmtId="3" fontId="77" fillId="0" borderId="0" xfId="1" applyNumberFormat="1" applyFont="1"/>
    <xf numFmtId="3" fontId="3" fillId="0" borderId="0" xfId="1" applyNumberFormat="1" applyFont="1"/>
    <xf numFmtId="3" fontId="3" fillId="0" borderId="9" xfId="1" applyNumberFormat="1" applyFont="1" applyBorder="1" applyAlignment="1">
      <alignment horizontal="center"/>
    </xf>
    <xf numFmtId="3" fontId="78" fillId="0" borderId="0" xfId="1" applyNumberFormat="1" applyFont="1"/>
    <xf numFmtId="0" fontId="16" fillId="2" borderId="1" xfId="1" applyFont="1" applyFill="1" applyBorder="1"/>
    <xf numFmtId="164" fontId="16" fillId="2" borderId="1" xfId="4" applyNumberFormat="1" applyFont="1" applyFill="1" applyBorder="1" applyAlignment="1">
      <alignment horizontal="center"/>
    </xf>
    <xf numFmtId="164" fontId="16" fillId="2" borderId="0" xfId="4" applyNumberFormat="1" applyFont="1" applyFill="1" applyBorder="1" applyAlignment="1">
      <alignment horizontal="center"/>
    </xf>
    <xf numFmtId="164" fontId="16" fillId="2" borderId="13" xfId="4" applyNumberFormat="1" applyFont="1" applyFill="1" applyBorder="1" applyAlignment="1">
      <alignment horizontal="center"/>
    </xf>
    <xf numFmtId="177" fontId="79" fillId="0" borderId="0" xfId="1" applyNumberFormat="1" applyFont="1" applyAlignment="1">
      <alignment horizontal="center"/>
    </xf>
    <xf numFmtId="177" fontId="79" fillId="0" borderId="9" xfId="1" applyNumberFormat="1" applyFont="1" applyBorder="1" applyAlignment="1">
      <alignment horizontal="center"/>
    </xf>
    <xf numFmtId="164" fontId="78" fillId="0" borderId="0" xfId="4" applyNumberFormat="1" applyFont="1" applyAlignment="1">
      <alignment horizontal="center"/>
    </xf>
    <xf numFmtId="164" fontId="78" fillId="0" borderId="0" xfId="4" applyNumberFormat="1" applyFont="1" applyBorder="1" applyAlignment="1">
      <alignment horizontal="center"/>
    </xf>
    <xf numFmtId="164" fontId="78" fillId="0" borderId="9" xfId="4" applyNumberFormat="1" applyFont="1" applyBorder="1" applyAlignment="1">
      <alignment horizontal="center"/>
    </xf>
    <xf numFmtId="0" fontId="72" fillId="16" borderId="0" xfId="1" applyFont="1" applyFill="1"/>
    <xf numFmtId="0" fontId="72" fillId="16" borderId="0" xfId="1" applyFont="1" applyFill="1" applyAlignment="1">
      <alignment horizontal="center"/>
    </xf>
    <xf numFmtId="0" fontId="73" fillId="16" borderId="0" xfId="1" applyFont="1" applyFill="1"/>
    <xf numFmtId="0" fontId="72" fillId="16" borderId="9" xfId="1" applyFont="1" applyFill="1" applyBorder="1" applyAlignment="1">
      <alignment horizontal="center"/>
    </xf>
    <xf numFmtId="0" fontId="75" fillId="3" borderId="0" xfId="1" applyFont="1" applyFill="1"/>
    <xf numFmtId="164" fontId="75" fillId="3" borderId="0" xfId="4" applyNumberFormat="1" applyFont="1" applyFill="1" applyBorder="1" applyAlignment="1">
      <alignment horizontal="center"/>
    </xf>
    <xf numFmtId="164" fontId="75" fillId="3" borderId="0" xfId="4" applyNumberFormat="1" applyFont="1" applyFill="1" applyAlignment="1">
      <alignment horizontal="center"/>
    </xf>
    <xf numFmtId="10" fontId="4" fillId="0" borderId="9" xfId="1" applyNumberFormat="1" applyFont="1" applyBorder="1" applyAlignment="1">
      <alignment horizontal="center"/>
    </xf>
    <xf numFmtId="0" fontId="4" fillId="3" borderId="0" xfId="1" applyFont="1" applyFill="1"/>
    <xf numFmtId="10" fontId="75" fillId="3" borderId="0" xfId="4" applyNumberFormat="1" applyFont="1" applyFill="1" applyBorder="1" applyAlignment="1">
      <alignment horizontal="center"/>
    </xf>
    <xf numFmtId="10" fontId="75" fillId="3" borderId="0" xfId="4" applyNumberFormat="1" applyFont="1" applyFill="1" applyAlignment="1">
      <alignment horizontal="center"/>
    </xf>
    <xf numFmtId="164" fontId="16" fillId="2" borderId="0" xfId="4" applyNumberFormat="1" applyFont="1" applyFill="1" applyAlignment="1">
      <alignment horizontal="center"/>
    </xf>
    <xf numFmtId="164" fontId="16" fillId="2" borderId="9" xfId="4" applyNumberFormat="1" applyFont="1" applyFill="1" applyBorder="1" applyAlignment="1">
      <alignment horizontal="center"/>
    </xf>
    <xf numFmtId="164" fontId="4" fillId="0" borderId="0" xfId="4" applyNumberFormat="1" applyFont="1" applyFill="1" applyAlignment="1">
      <alignment horizontal="center"/>
    </xf>
    <xf numFmtId="164" fontId="3" fillId="0" borderId="0" xfId="4" applyNumberFormat="1" applyFont="1" applyFill="1" applyAlignment="1">
      <alignment horizontal="center"/>
    </xf>
    <xf numFmtId="3" fontId="4" fillId="3" borderId="0" xfId="1" applyNumberFormat="1" applyFont="1" applyFill="1" applyAlignment="1">
      <alignment horizontal="center"/>
    </xf>
    <xf numFmtId="3" fontId="4" fillId="3" borderId="0" xfId="1" applyNumberFormat="1" applyFont="1" applyFill="1"/>
    <xf numFmtId="3" fontId="71" fillId="3" borderId="0" xfId="1" applyNumberFormat="1" applyFont="1" applyFill="1"/>
    <xf numFmtId="0" fontId="71" fillId="0" borderId="0" xfId="1" applyFont="1"/>
    <xf numFmtId="3" fontId="71" fillId="3" borderId="0" xfId="1" applyNumberFormat="1" applyFont="1" applyFill="1" applyAlignment="1">
      <alignment horizontal="center"/>
    </xf>
    <xf numFmtId="3" fontId="4" fillId="3" borderId="9" xfId="1" applyNumberFormat="1" applyFont="1" applyFill="1" applyBorder="1" applyAlignment="1">
      <alignment horizontal="center"/>
    </xf>
    <xf numFmtId="0" fontId="80" fillId="15" borderId="0" xfId="1" applyFont="1" applyFill="1"/>
    <xf numFmtId="0" fontId="80" fillId="15" borderId="0" xfId="1" applyFont="1" applyFill="1" applyAlignment="1">
      <alignment horizontal="center"/>
    </xf>
    <xf numFmtId="0" fontId="80" fillId="15" borderId="9" xfId="1" applyFont="1" applyFill="1" applyBorder="1" applyAlignment="1">
      <alignment horizontal="center"/>
    </xf>
    <xf numFmtId="183" fontId="16" fillId="0" borderId="0" xfId="1" applyNumberFormat="1" applyFont="1" applyAlignment="1">
      <alignment horizontal="center"/>
    </xf>
    <xf numFmtId="183" fontId="16" fillId="0" borderId="9" xfId="1" applyNumberFormat="1" applyFont="1" applyBorder="1" applyAlignment="1">
      <alignment horizontal="center"/>
    </xf>
    <xf numFmtId="164" fontId="19" fillId="0" borderId="9" xfId="4" applyNumberFormat="1" applyFont="1" applyBorder="1" applyAlignment="1">
      <alignment horizontal="center"/>
    </xf>
    <xf numFmtId="9" fontId="19" fillId="0" borderId="0" xfId="1" applyNumberFormat="1" applyFont="1"/>
    <xf numFmtId="9" fontId="19" fillId="0" borderId="0" xfId="4" applyFont="1" applyBorder="1" applyAlignment="1">
      <alignment horizontal="center"/>
    </xf>
    <xf numFmtId="9" fontId="16" fillId="0" borderId="0" xfId="1" applyNumberFormat="1" applyFont="1"/>
    <xf numFmtId="9" fontId="4" fillId="0" borderId="0" xfId="1" applyNumberFormat="1" applyFont="1"/>
    <xf numFmtId="9" fontId="19" fillId="0" borderId="9" xfId="4" applyFont="1" applyBorder="1" applyAlignment="1">
      <alignment horizontal="center"/>
    </xf>
    <xf numFmtId="9" fontId="19" fillId="0" borderId="1" xfId="1" applyNumberFormat="1" applyFont="1" applyBorder="1"/>
    <xf numFmtId="9" fontId="19" fillId="0" borderId="1" xfId="4" applyFont="1" applyBorder="1" applyAlignment="1">
      <alignment horizontal="center"/>
    </xf>
    <xf numFmtId="9" fontId="16" fillId="0" borderId="1" xfId="1" applyNumberFormat="1" applyFont="1" applyBorder="1"/>
    <xf numFmtId="9" fontId="4" fillId="0" borderId="1" xfId="1" applyNumberFormat="1" applyFont="1" applyBorder="1"/>
    <xf numFmtId="9" fontId="19" fillId="0" borderId="13" xfId="4" applyFont="1" applyBorder="1" applyAlignment="1">
      <alignment horizontal="center"/>
    </xf>
    <xf numFmtId="0" fontId="72" fillId="17" borderId="0" xfId="1" applyFont="1" applyFill="1"/>
    <xf numFmtId="0" fontId="72" fillId="17" borderId="0" xfId="1" applyFont="1" applyFill="1" applyAlignment="1">
      <alignment horizontal="center"/>
    </xf>
    <xf numFmtId="0" fontId="73" fillId="17" borderId="0" xfId="1" applyFont="1" applyFill="1"/>
    <xf numFmtId="0" fontId="72" fillId="17" borderId="9" xfId="1" applyFont="1" applyFill="1" applyBorder="1" applyAlignment="1">
      <alignment horizontal="center"/>
    </xf>
    <xf numFmtId="4" fontId="4" fillId="0" borderId="0" xfId="1" applyNumberFormat="1" applyFont="1" applyAlignment="1">
      <alignment horizontal="center"/>
    </xf>
    <xf numFmtId="4" fontId="78" fillId="0" borderId="0" xfId="1" applyNumberFormat="1" applyFont="1" applyAlignment="1">
      <alignment horizontal="center"/>
    </xf>
    <xf numFmtId="4" fontId="78" fillId="0" borderId="9" xfId="1" applyNumberFormat="1" applyFont="1" applyBorder="1" applyAlignment="1">
      <alignment horizontal="center"/>
    </xf>
    <xf numFmtId="0" fontId="4" fillId="0" borderId="9" xfId="1" applyFont="1" applyBorder="1" applyAlignment="1">
      <alignment horizontal="center"/>
    </xf>
    <xf numFmtId="164" fontId="82" fillId="0" borderId="0" xfId="2" applyNumberFormat="1" applyFont="1"/>
    <xf numFmtId="0" fontId="16" fillId="0" borderId="0" xfId="2" applyFont="1" applyAlignment="1">
      <alignment horizontal="center"/>
    </xf>
    <xf numFmtId="193" fontId="16" fillId="0" borderId="0" xfId="2" applyNumberFormat="1" applyFont="1" applyAlignment="1">
      <alignment horizontal="center"/>
    </xf>
    <xf numFmtId="192" fontId="9" fillId="0" borderId="0" xfId="2" applyNumberFormat="1" applyFont="1" applyAlignment="1">
      <alignment horizontal="center"/>
    </xf>
    <xf numFmtId="0" fontId="12" fillId="5" borderId="0" xfId="2" applyFont="1" applyFill="1"/>
    <xf numFmtId="0" fontId="12" fillId="5" borderId="0" xfId="2" applyFont="1" applyFill="1" applyAlignment="1">
      <alignment horizontal="center"/>
    </xf>
    <xf numFmtId="0" fontId="3" fillId="0" borderId="0" xfId="2" applyFont="1" applyAlignment="1">
      <alignment horizontal="center"/>
    </xf>
    <xf numFmtId="7" fontId="4" fillId="0" borderId="0" xfId="2" applyNumberFormat="1" applyFont="1" applyAlignment="1">
      <alignment horizontal="center"/>
    </xf>
    <xf numFmtId="7" fontId="83" fillId="0" borderId="0" xfId="2" applyNumberFormat="1" applyFont="1" applyAlignment="1">
      <alignment horizontal="center"/>
    </xf>
    <xf numFmtId="7" fontId="3" fillId="0" borderId="0" xfId="2" applyNumberFormat="1" applyFont="1" applyAlignment="1">
      <alignment horizontal="center"/>
    </xf>
    <xf numFmtId="7" fontId="84" fillId="0" borderId="0" xfId="2" applyNumberFormat="1" applyFont="1" applyAlignment="1">
      <alignment horizontal="center"/>
    </xf>
    <xf numFmtId="174" fontId="4" fillId="0" borderId="0" xfId="2" applyNumberFormat="1" applyFont="1" applyAlignment="1">
      <alignment horizontal="center"/>
    </xf>
    <xf numFmtId="164" fontId="84" fillId="0" borderId="0" xfId="2" applyNumberFormat="1" applyFont="1" applyAlignment="1">
      <alignment horizontal="center"/>
    </xf>
    <xf numFmtId="7" fontId="3" fillId="0" borderId="1" xfId="2" applyNumberFormat="1" applyFont="1" applyBorder="1" applyAlignment="1">
      <alignment horizontal="center"/>
    </xf>
    <xf numFmtId="194" fontId="4" fillId="0" borderId="0" xfId="2" applyNumberFormat="1" applyFont="1" applyAlignment="1">
      <alignment horizontal="center"/>
    </xf>
    <xf numFmtId="193" fontId="85" fillId="0" borderId="0" xfId="2" applyNumberFormat="1" applyFont="1" applyAlignment="1">
      <alignment horizontal="center"/>
    </xf>
    <xf numFmtId="0" fontId="83" fillId="0" borderId="0" xfId="2" applyFont="1"/>
    <xf numFmtId="164" fontId="83" fillId="0" borderId="0" xfId="4" applyNumberFormat="1" applyFont="1" applyFill="1" applyBorder="1" applyAlignment="1">
      <alignment horizontal="center"/>
    </xf>
    <xf numFmtId="174" fontId="83" fillId="0" borderId="0" xfId="2" applyNumberFormat="1" applyFont="1" applyAlignment="1">
      <alignment horizontal="center"/>
    </xf>
    <xf numFmtId="191" fontId="3" fillId="0" borderId="0" xfId="2" applyNumberFormat="1" applyFont="1" applyAlignment="1">
      <alignment horizontal="center"/>
    </xf>
    <xf numFmtId="191" fontId="84" fillId="0" borderId="0" xfId="2" applyNumberFormat="1" applyFont="1" applyAlignment="1">
      <alignment horizontal="center"/>
    </xf>
    <xf numFmtId="164" fontId="4" fillId="0" borderId="0" xfId="4" applyNumberFormat="1" applyFont="1" applyFill="1" applyBorder="1" applyAlignment="1">
      <alignment horizontal="center"/>
    </xf>
    <xf numFmtId="164" fontId="8" fillId="0" borderId="0" xfId="2" applyNumberFormat="1" applyFont="1" applyAlignment="1">
      <alignment horizontal="center"/>
    </xf>
    <xf numFmtId="187" fontId="8" fillId="0" borderId="0" xfId="2" applyNumberFormat="1" applyFont="1" applyAlignment="1">
      <alignment horizontal="center"/>
    </xf>
    <xf numFmtId="164" fontId="4" fillId="0" borderId="0" xfId="2" applyNumberFormat="1" applyFont="1" applyAlignment="1">
      <alignment horizontal="center"/>
    </xf>
    <xf numFmtId="187" fontId="3" fillId="0" borderId="0" xfId="2" applyNumberFormat="1" applyFont="1" applyAlignment="1">
      <alignment horizontal="center"/>
    </xf>
    <xf numFmtId="187" fontId="4" fillId="0" borderId="0" xfId="2" applyNumberFormat="1" applyFont="1" applyAlignment="1">
      <alignment horizontal="center"/>
    </xf>
    <xf numFmtId="164" fontId="76" fillId="0" borderId="0" xfId="2" applyNumberFormat="1" applyFont="1" applyAlignment="1">
      <alignment horizontal="center"/>
    </xf>
    <xf numFmtId="187" fontId="83" fillId="0" borderId="0" xfId="2" applyNumberFormat="1" applyFont="1" applyAlignment="1">
      <alignment horizontal="center"/>
    </xf>
    <xf numFmtId="0" fontId="84" fillId="0" borderId="0" xfId="2" applyFont="1"/>
    <xf numFmtId="191" fontId="4" fillId="0" borderId="0" xfId="2" applyNumberFormat="1" applyFont="1" applyAlignment="1">
      <alignment horizontal="center"/>
    </xf>
    <xf numFmtId="191" fontId="83" fillId="0" borderId="0" xfId="2" applyNumberFormat="1" applyFont="1" applyAlignment="1">
      <alignment horizontal="center"/>
    </xf>
    <xf numFmtId="9" fontId="4" fillId="0" borderId="0" xfId="2" applyNumberFormat="1" applyFont="1" applyAlignment="1">
      <alignment horizontal="center"/>
    </xf>
    <xf numFmtId="9" fontId="83" fillId="0" borderId="0" xfId="2" applyNumberFormat="1" applyFont="1" applyAlignment="1">
      <alignment horizontal="center"/>
    </xf>
    <xf numFmtId="0" fontId="3" fillId="6" borderId="50" xfId="2" applyFont="1" applyFill="1" applyBorder="1"/>
    <xf numFmtId="0" fontId="3" fillId="6" borderId="51" xfId="2" applyFont="1" applyFill="1" applyBorder="1"/>
    <xf numFmtId="7" fontId="3" fillId="6" borderId="52" xfId="2" applyNumberFormat="1" applyFont="1" applyFill="1" applyBorder="1" applyAlignment="1">
      <alignment horizontal="center"/>
    </xf>
    <xf numFmtId="0" fontId="3" fillId="4" borderId="53" xfId="2" applyFont="1" applyFill="1" applyBorder="1"/>
    <xf numFmtId="0" fontId="3" fillId="4" borderId="54" xfId="2" applyFont="1" applyFill="1" applyBorder="1"/>
    <xf numFmtId="179" fontId="3" fillId="4" borderId="55" xfId="4" applyNumberFormat="1" applyFont="1" applyFill="1" applyBorder="1" applyAlignment="1">
      <alignment horizontal="center"/>
    </xf>
    <xf numFmtId="179" fontId="84" fillId="0" borderId="0" xfId="4" applyNumberFormat="1" applyFont="1" applyFill="1" applyBorder="1" applyAlignment="1">
      <alignment horizontal="center"/>
    </xf>
    <xf numFmtId="195" fontId="3" fillId="4" borderId="55" xfId="4" applyNumberFormat="1" applyFont="1" applyFill="1" applyBorder="1" applyAlignment="1">
      <alignment horizontal="center"/>
    </xf>
    <xf numFmtId="195" fontId="84" fillId="0" borderId="0" xfId="4" applyNumberFormat="1" applyFont="1" applyFill="1" applyBorder="1" applyAlignment="1">
      <alignment horizontal="center"/>
    </xf>
    <xf numFmtId="194" fontId="83" fillId="0" borderId="0" xfId="2" applyNumberFormat="1" applyFont="1" applyAlignment="1">
      <alignment horizontal="center"/>
    </xf>
    <xf numFmtId="164" fontId="4" fillId="0" borderId="1" xfId="4" applyNumberFormat="1" applyFont="1" applyFill="1" applyBorder="1" applyAlignment="1">
      <alignment horizontal="center"/>
    </xf>
    <xf numFmtId="9" fontId="4" fillId="0" borderId="0" xfId="4" applyFont="1" applyFill="1" applyBorder="1" applyAlignment="1">
      <alignment horizontal="center"/>
    </xf>
    <xf numFmtId="9" fontId="83" fillId="0" borderId="0" xfId="4" applyFont="1" applyFill="1" applyBorder="1" applyAlignment="1">
      <alignment horizontal="center"/>
    </xf>
    <xf numFmtId="0" fontId="83" fillId="0" borderId="0" xfId="2" applyFont="1" applyAlignment="1">
      <alignment horizontal="center"/>
    </xf>
    <xf numFmtId="0" fontId="84" fillId="0" borderId="0" xfId="2" applyFont="1" applyAlignment="1">
      <alignment horizontal="center"/>
    </xf>
    <xf numFmtId="177" fontId="4" fillId="0" borderId="0" xfId="2" applyNumberFormat="1" applyFont="1" applyAlignment="1">
      <alignment horizontal="center"/>
    </xf>
    <xf numFmtId="177" fontId="83" fillId="0" borderId="0" xfId="2" applyNumberFormat="1" applyFont="1" applyAlignment="1">
      <alignment horizontal="center"/>
    </xf>
    <xf numFmtId="164" fontId="86" fillId="0" borderId="0" xfId="4" applyNumberFormat="1" applyFont="1" applyFill="1" applyBorder="1" applyAlignment="1">
      <alignment horizontal="center"/>
    </xf>
    <xf numFmtId="164" fontId="83" fillId="0" borderId="0" xfId="2" applyNumberFormat="1" applyFont="1" applyAlignment="1">
      <alignment horizontal="center"/>
    </xf>
    <xf numFmtId="177" fontId="3" fillId="0" borderId="0" xfId="2" applyNumberFormat="1" applyFont="1" applyAlignment="1">
      <alignment horizontal="center"/>
    </xf>
    <xf numFmtId="177" fontId="84" fillId="0" borderId="0" xfId="2" applyNumberFormat="1" applyFont="1" applyAlignment="1">
      <alignment horizontal="center"/>
    </xf>
    <xf numFmtId="0" fontId="8" fillId="0" borderId="0" xfId="2" applyFont="1" applyAlignment="1">
      <alignment horizontal="center"/>
    </xf>
    <xf numFmtId="174" fontId="8" fillId="0" borderId="0" xfId="2" applyNumberFormat="1" applyFont="1" applyAlignment="1">
      <alignment horizontal="center"/>
    </xf>
    <xf numFmtId="9" fontId="9" fillId="0" borderId="0" xfId="2" applyNumberFormat="1" applyFont="1" applyAlignment="1">
      <alignment horizontal="center"/>
    </xf>
    <xf numFmtId="9" fontId="84" fillId="0" borderId="0" xfId="2" applyNumberFormat="1" applyFont="1" applyAlignment="1">
      <alignment horizontal="center"/>
    </xf>
    <xf numFmtId="164" fontId="4" fillId="0" borderId="0" xfId="2" applyNumberFormat="1" applyFont="1"/>
    <xf numFmtId="10" fontId="8" fillId="0" borderId="0" xfId="4" applyNumberFormat="1" applyFont="1" applyFill="1" applyBorder="1" applyAlignment="1">
      <alignment horizontal="center"/>
    </xf>
    <xf numFmtId="10" fontId="4" fillId="0" borderId="0" xfId="2" applyNumberFormat="1" applyFont="1" applyAlignment="1">
      <alignment horizontal="center"/>
    </xf>
    <xf numFmtId="0" fontId="88" fillId="0" borderId="0" xfId="18" applyFont="1"/>
    <xf numFmtId="0" fontId="89" fillId="0" borderId="0" xfId="18" applyFont="1" applyAlignment="1">
      <alignment horizontal="center"/>
    </xf>
    <xf numFmtId="0" fontId="89" fillId="0" borderId="0" xfId="18" applyFont="1"/>
    <xf numFmtId="2" fontId="89" fillId="0" borderId="0" xfId="18" applyNumberFormat="1" applyFont="1" applyAlignment="1">
      <alignment horizontal="center"/>
    </xf>
    <xf numFmtId="0" fontId="90" fillId="0" borderId="0" xfId="18" applyFont="1"/>
    <xf numFmtId="0" fontId="91" fillId="0" borderId="0" xfId="18" applyFont="1"/>
    <xf numFmtId="189" fontId="91" fillId="0" borderId="0" xfId="18" applyNumberFormat="1" applyFont="1" applyAlignment="1">
      <alignment horizontal="center"/>
    </xf>
    <xf numFmtId="14" fontId="89" fillId="0" borderId="0" xfId="18" applyNumberFormat="1" applyFont="1"/>
    <xf numFmtId="196" fontId="92" fillId="0" borderId="0" xfId="18" applyNumberFormat="1" applyFont="1"/>
    <xf numFmtId="196" fontId="89" fillId="0" borderId="0" xfId="18" applyNumberFormat="1" applyFont="1"/>
    <xf numFmtId="0" fontId="91" fillId="6" borderId="50" xfId="18" applyFont="1" applyFill="1" applyBorder="1"/>
    <xf numFmtId="0" fontId="89" fillId="6" borderId="52" xfId="18" applyFont="1" applyFill="1" applyBorder="1" applyAlignment="1">
      <alignment horizontal="center"/>
    </xf>
    <xf numFmtId="0" fontId="89" fillId="0" borderId="15" xfId="18" applyFont="1" applyBorder="1"/>
    <xf numFmtId="7" fontId="89" fillId="0" borderId="0" xfId="18" applyNumberFormat="1" applyFont="1" applyAlignment="1">
      <alignment horizontal="center"/>
    </xf>
    <xf numFmtId="9" fontId="90" fillId="0" borderId="0" xfId="4" applyFont="1" applyFill="1" applyBorder="1" applyAlignment="1">
      <alignment horizontal="center" vertical="center" wrapText="1"/>
    </xf>
    <xf numFmtId="179" fontId="89" fillId="0" borderId="0" xfId="18" applyNumberFormat="1" applyFont="1"/>
    <xf numFmtId="0" fontId="89" fillId="0" borderId="58" xfId="18" applyFont="1" applyBorder="1"/>
    <xf numFmtId="0" fontId="89" fillId="0" borderId="59" xfId="18" applyFont="1" applyBorder="1" applyAlignment="1">
      <alignment horizontal="center"/>
    </xf>
    <xf numFmtId="0" fontId="91" fillId="6" borderId="49" xfId="18" applyFont="1" applyFill="1" applyBorder="1"/>
    <xf numFmtId="0" fontId="91" fillId="6" borderId="46" xfId="18" applyFont="1" applyFill="1" applyBorder="1" applyAlignment="1">
      <alignment horizontal="center"/>
    </xf>
    <xf numFmtId="0" fontId="91" fillId="6" borderId="47" xfId="18" applyFont="1" applyFill="1" applyBorder="1" applyAlignment="1">
      <alignment horizontal="center"/>
    </xf>
    <xf numFmtId="0" fontId="91" fillId="0" borderId="0" xfId="18" applyFont="1" applyAlignment="1">
      <alignment horizontal="center"/>
    </xf>
    <xf numFmtId="15" fontId="93" fillId="20" borderId="39" xfId="4" applyNumberFormat="1" applyFont="1" applyFill="1" applyBorder="1" applyAlignment="1">
      <alignment horizontal="center"/>
    </xf>
    <xf numFmtId="0" fontId="89" fillId="11" borderId="0" xfId="18" applyFont="1" applyFill="1"/>
    <xf numFmtId="0" fontId="89" fillId="21" borderId="0" xfId="18" applyFont="1" applyFill="1"/>
    <xf numFmtId="0" fontId="91" fillId="0" borderId="60" xfId="18" applyFont="1" applyBorder="1"/>
    <xf numFmtId="0" fontId="91" fillId="0" borderId="2" xfId="18" applyFont="1" applyBorder="1" applyAlignment="1">
      <alignment horizontal="center"/>
    </xf>
    <xf numFmtId="0" fontId="89" fillId="0" borderId="43" xfId="18" applyFont="1" applyBorder="1"/>
    <xf numFmtId="0" fontId="89" fillId="0" borderId="61" xfId="18" applyFont="1" applyBorder="1"/>
    <xf numFmtId="167" fontId="89" fillId="0" borderId="39" xfId="18" applyNumberFormat="1" applyFont="1" applyBorder="1" applyAlignment="1">
      <alignment horizontal="center"/>
    </xf>
    <xf numFmtId="189" fontId="89" fillId="0" borderId="44" xfId="18" applyNumberFormat="1" applyFont="1" applyBorder="1" applyAlignment="1">
      <alignment horizontal="center"/>
    </xf>
    <xf numFmtId="9" fontId="90" fillId="0" borderId="0" xfId="4" applyFont="1" applyFill="1" applyBorder="1"/>
    <xf numFmtId="197" fontId="91" fillId="0" borderId="0" xfId="2" applyNumberFormat="1" applyFont="1" applyAlignment="1">
      <alignment horizontal="right"/>
    </xf>
    <xf numFmtId="197" fontId="91" fillId="11" borderId="0" xfId="2" applyNumberFormat="1" applyFont="1" applyFill="1" applyAlignment="1">
      <alignment horizontal="right"/>
    </xf>
    <xf numFmtId="197" fontId="89" fillId="21" borderId="0" xfId="18" applyNumberFormat="1" applyFont="1" applyFill="1"/>
    <xf numFmtId="197" fontId="89" fillId="22" borderId="0" xfId="18" applyNumberFormat="1" applyFont="1" applyFill="1"/>
    <xf numFmtId="197" fontId="89" fillId="11" borderId="0" xfId="18" applyNumberFormat="1" applyFont="1" applyFill="1"/>
    <xf numFmtId="0" fontId="89" fillId="0" borderId="60" xfId="18" applyFont="1" applyBorder="1"/>
    <xf numFmtId="198" fontId="95" fillId="0" borderId="62" xfId="18" applyNumberFormat="1" applyFont="1" applyBorder="1" applyAlignment="1">
      <alignment horizontal="center"/>
    </xf>
    <xf numFmtId="0" fontId="93" fillId="20" borderId="43" xfId="18" applyFont="1" applyFill="1" applyBorder="1" applyAlignment="1">
      <alignment horizontal="center"/>
    </xf>
    <xf numFmtId="167" fontId="89" fillId="0" borderId="0" xfId="18" applyNumberFormat="1" applyFont="1" applyAlignment="1">
      <alignment horizontal="center"/>
    </xf>
    <xf numFmtId="197" fontId="89" fillId="0" borderId="0" xfId="18" applyNumberFormat="1" applyFont="1"/>
    <xf numFmtId="198" fontId="89" fillId="0" borderId="2" xfId="18" applyNumberFormat="1" applyFont="1" applyBorder="1" applyAlignment="1">
      <alignment horizontal="center"/>
    </xf>
    <xf numFmtId="198" fontId="89" fillId="0" borderId="0" xfId="18" applyNumberFormat="1" applyFont="1"/>
    <xf numFmtId="3" fontId="89" fillId="0" borderId="0" xfId="18" applyNumberFormat="1" applyFont="1"/>
    <xf numFmtId="3" fontId="96" fillId="0" borderId="0" xfId="18" applyNumberFormat="1" applyFont="1"/>
    <xf numFmtId="3" fontId="97" fillId="0" borderId="0" xfId="18" applyNumberFormat="1" applyFont="1"/>
    <xf numFmtId="37" fontId="98" fillId="0" borderId="62" xfId="18" applyNumberFormat="1" applyFont="1" applyBorder="1" applyAlignment="1">
      <alignment horizontal="center"/>
    </xf>
    <xf numFmtId="189" fontId="89" fillId="0" borderId="0" xfId="18" applyNumberFormat="1" applyFont="1"/>
    <xf numFmtId="198" fontId="98" fillId="0" borderId="62" xfId="18" applyNumberFormat="1" applyFont="1" applyBorder="1" applyAlignment="1">
      <alignment horizontal="center"/>
    </xf>
    <xf numFmtId="0" fontId="89" fillId="0" borderId="43" xfId="18" applyFont="1" applyBorder="1" applyAlignment="1">
      <alignment horizontal="center"/>
    </xf>
    <xf numFmtId="0" fontId="99" fillId="0" borderId="61" xfId="18" applyFont="1" applyBorder="1"/>
    <xf numFmtId="167" fontId="99" fillId="0" borderId="0" xfId="18" applyNumberFormat="1" applyFont="1" applyAlignment="1">
      <alignment horizontal="center"/>
    </xf>
    <xf numFmtId="189" fontId="99" fillId="0" borderId="44" xfId="18" applyNumberFormat="1" applyFont="1" applyBorder="1" applyAlignment="1">
      <alignment horizontal="center"/>
    </xf>
    <xf numFmtId="193" fontId="90" fillId="0" borderId="0" xfId="18" applyNumberFormat="1" applyFont="1"/>
    <xf numFmtId="3" fontId="91" fillId="0" borderId="0" xfId="18" applyNumberFormat="1" applyFont="1"/>
    <xf numFmtId="3" fontId="100" fillId="0" borderId="0" xfId="18" applyNumberFormat="1" applyFont="1"/>
    <xf numFmtId="3" fontId="101" fillId="0" borderId="0" xfId="18" applyNumberFormat="1" applyFont="1"/>
    <xf numFmtId="0" fontId="89" fillId="0" borderId="2" xfId="18" applyFont="1" applyBorder="1" applyAlignment="1">
      <alignment horizontal="center"/>
    </xf>
    <xf numFmtId="195" fontId="89" fillId="0" borderId="0" xfId="18" applyNumberFormat="1" applyFont="1"/>
    <xf numFmtId="0" fontId="91" fillId="0" borderId="61" xfId="18" applyFont="1" applyBorder="1"/>
    <xf numFmtId="167" fontId="91" fillId="0" borderId="0" xfId="18" applyNumberFormat="1" applyFont="1" applyAlignment="1">
      <alignment horizontal="center"/>
    </xf>
    <xf numFmtId="189" fontId="91" fillId="0" borderId="44" xfId="18" applyNumberFormat="1" applyFont="1" applyBorder="1" applyAlignment="1">
      <alignment horizontal="center"/>
    </xf>
    <xf numFmtId="164" fontId="90" fillId="0" borderId="0" xfId="4" applyNumberFormat="1" applyFont="1" applyFill="1" applyBorder="1"/>
    <xf numFmtId="164" fontId="102" fillId="0" borderId="0" xfId="4" applyNumberFormat="1" applyFont="1" applyFill="1" applyBorder="1"/>
    <xf numFmtId="164" fontId="91" fillId="4" borderId="21" xfId="18" applyNumberFormat="1" applyFont="1" applyFill="1" applyBorder="1"/>
    <xf numFmtId="164" fontId="90" fillId="4" borderId="0" xfId="4" applyNumberFormat="1" applyFont="1" applyFill="1" applyBorder="1"/>
    <xf numFmtId="164" fontId="103" fillId="11" borderId="0" xfId="4" applyNumberFormat="1" applyFont="1" applyFill="1" applyBorder="1"/>
    <xf numFmtId="164" fontId="103" fillId="19" borderId="0" xfId="4" applyNumberFormat="1" applyFont="1" applyFill="1" applyBorder="1"/>
    <xf numFmtId="164" fontId="103" fillId="0" borderId="0" xfId="4" applyNumberFormat="1" applyFont="1" applyFill="1" applyBorder="1"/>
    <xf numFmtId="0" fontId="91" fillId="0" borderId="43" xfId="18" applyFont="1" applyBorder="1"/>
    <xf numFmtId="4" fontId="95" fillId="18" borderId="62" xfId="19" applyNumberFormat="1" applyFont="1" applyFill="1" applyBorder="1" applyAlignment="1">
      <alignment horizontal="center" vertical="center" wrapText="1"/>
    </xf>
    <xf numFmtId="177" fontId="89" fillId="0" borderId="0" xfId="18" applyNumberFormat="1" applyFont="1"/>
    <xf numFmtId="0" fontId="91" fillId="0" borderId="63" xfId="18" applyFont="1" applyBorder="1"/>
    <xf numFmtId="167" fontId="91" fillId="0" borderId="64" xfId="18" applyNumberFormat="1" applyFont="1" applyBorder="1" applyAlignment="1">
      <alignment horizontal="center"/>
    </xf>
    <xf numFmtId="189" fontId="91" fillId="0" borderId="65" xfId="18" applyNumberFormat="1" applyFont="1" applyBorder="1" applyAlignment="1">
      <alignment horizontal="center"/>
    </xf>
    <xf numFmtId="4" fontId="92" fillId="4" borderId="62" xfId="18" applyNumberFormat="1" applyFont="1" applyFill="1" applyBorder="1" applyAlignment="1">
      <alignment horizontal="center" vertical="center" wrapText="1"/>
    </xf>
    <xf numFmtId="4" fontId="94" fillId="0" borderId="0" xfId="18" applyNumberFormat="1" applyFont="1" applyAlignment="1">
      <alignment horizontal="center"/>
    </xf>
    <xf numFmtId="2" fontId="89" fillId="0" borderId="2" xfId="18" applyNumberFormat="1" applyFont="1" applyBorder="1"/>
    <xf numFmtId="0" fontId="91" fillId="0" borderId="66" xfId="18" applyFont="1" applyBorder="1" applyAlignment="1">
      <alignment horizontal="left"/>
    </xf>
    <xf numFmtId="199" fontId="91" fillId="0" borderId="66" xfId="18" applyNumberFormat="1" applyFont="1" applyBorder="1" applyAlignment="1">
      <alignment horizontal="center"/>
    </xf>
    <xf numFmtId="189" fontId="91" fillId="0" borderId="9" xfId="18" applyNumberFormat="1" applyFont="1" applyBorder="1" applyAlignment="1">
      <alignment horizontal="center"/>
    </xf>
    <xf numFmtId="164" fontId="89" fillId="0" borderId="0" xfId="4" applyNumberFormat="1" applyFont="1" applyFill="1" applyBorder="1"/>
    <xf numFmtId="0" fontId="40" fillId="0" borderId="67" xfId="18" applyFont="1" applyBorder="1"/>
    <xf numFmtId="199" fontId="40" fillId="0" borderId="68" xfId="18" applyNumberFormat="1" applyFont="1" applyBorder="1" applyAlignment="1">
      <alignment horizontal="center"/>
    </xf>
    <xf numFmtId="195" fontId="40" fillId="0" borderId="69" xfId="4" applyNumberFormat="1" applyFont="1" applyFill="1" applyBorder="1" applyAlignment="1">
      <alignment horizontal="center"/>
    </xf>
    <xf numFmtId="0" fontId="90" fillId="0" borderId="0" xfId="4" applyNumberFormat="1" applyFont="1" applyFill="1" applyBorder="1"/>
    <xf numFmtId="164" fontId="90" fillId="0" borderId="0" xfId="4" applyNumberFormat="1" applyFont="1" applyFill="1" applyBorder="1" applyAlignment="1">
      <alignment horizontal="right"/>
    </xf>
    <xf numFmtId="164" fontId="102" fillId="0" borderId="0" xfId="4" applyNumberFormat="1" applyFont="1" applyFill="1" applyBorder="1" applyAlignment="1">
      <alignment horizontal="right"/>
    </xf>
    <xf numFmtId="164" fontId="93" fillId="4" borderId="21" xfId="18" applyNumberFormat="1" applyFont="1" applyFill="1" applyBorder="1"/>
    <xf numFmtId="4" fontId="89" fillId="0" borderId="2" xfId="18" applyNumberFormat="1" applyFont="1" applyBorder="1" applyAlignment="1">
      <alignment horizontal="center" vertical="center" wrapText="1"/>
    </xf>
    <xf numFmtId="200" fontId="92" fillId="0" borderId="0" xfId="18" applyNumberFormat="1" applyFont="1" applyAlignment="1">
      <alignment horizontal="center"/>
    </xf>
    <xf numFmtId="177" fontId="90" fillId="0" borderId="0" xfId="18" applyNumberFormat="1" applyFont="1"/>
    <xf numFmtId="3" fontId="91" fillId="0" borderId="0" xfId="2" applyNumberFormat="1" applyFont="1" applyAlignment="1">
      <alignment horizontal="right"/>
    </xf>
    <xf numFmtId="3" fontId="100" fillId="0" borderId="0" xfId="2" applyNumberFormat="1" applyFont="1" applyAlignment="1">
      <alignment horizontal="right"/>
    </xf>
    <xf numFmtId="3" fontId="101" fillId="0" borderId="0" xfId="2" applyNumberFormat="1" applyFont="1" applyAlignment="1">
      <alignment horizontal="right"/>
    </xf>
    <xf numFmtId="9" fontId="89" fillId="0" borderId="2" xfId="18" applyNumberFormat="1" applyFont="1" applyBorder="1" applyAlignment="1">
      <alignment horizontal="center" vertical="center" wrapText="1"/>
    </xf>
    <xf numFmtId="2" fontId="89" fillId="0" borderId="0" xfId="18" applyNumberFormat="1" applyFont="1"/>
    <xf numFmtId="0" fontId="91" fillId="6" borderId="11" xfId="18" applyFont="1" applyFill="1" applyBorder="1" applyAlignment="1">
      <alignment horizontal="left"/>
    </xf>
    <xf numFmtId="0" fontId="91" fillId="6" borderId="3" xfId="18" applyFont="1" applyFill="1" applyBorder="1" applyAlignment="1">
      <alignment horizontal="center"/>
    </xf>
    <xf numFmtId="0" fontId="91" fillId="6" borderId="8" xfId="18" applyFont="1" applyFill="1" applyBorder="1" applyAlignment="1">
      <alignment horizontal="center"/>
    </xf>
    <xf numFmtId="0" fontId="91" fillId="0" borderId="0" xfId="18" applyFont="1" applyAlignment="1">
      <alignment horizontal="right"/>
    </xf>
    <xf numFmtId="2" fontId="90" fillId="0" borderId="0" xfId="18" applyNumberFormat="1" applyFont="1"/>
    <xf numFmtId="164" fontId="91" fillId="0" borderId="39" xfId="2" applyNumberFormat="1" applyFont="1" applyBorder="1" applyAlignment="1">
      <alignment horizontal="center"/>
    </xf>
    <xf numFmtId="0" fontId="89" fillId="0" borderId="70" xfId="18" applyFont="1" applyBorder="1" applyAlignment="1">
      <alignment horizontal="left"/>
    </xf>
    <xf numFmtId="189" fontId="89" fillId="0" borderId="9" xfId="18" applyNumberFormat="1" applyFont="1" applyBorder="1" applyAlignment="1">
      <alignment horizontal="center"/>
    </xf>
    <xf numFmtId="164" fontId="105" fillId="0" borderId="0" xfId="4" applyNumberFormat="1" applyFont="1" applyFill="1" applyBorder="1" applyAlignment="1">
      <alignment horizontal="right"/>
    </xf>
    <xf numFmtId="164" fontId="89" fillId="4" borderId="0" xfId="18" applyNumberFormat="1" applyFont="1" applyFill="1"/>
    <xf numFmtId="164" fontId="96" fillId="11" borderId="0" xfId="18" applyNumberFormat="1" applyFont="1" applyFill="1"/>
    <xf numFmtId="164" fontId="96" fillId="19" borderId="0" xfId="18" applyNumberFormat="1" applyFont="1" applyFill="1"/>
    <xf numFmtId="164" fontId="92" fillId="0" borderId="0" xfId="18" applyNumberFormat="1" applyFont="1"/>
    <xf numFmtId="164" fontId="95" fillId="0" borderId="0" xfId="4" applyNumberFormat="1" applyFont="1" applyFill="1" applyBorder="1" applyAlignment="1">
      <alignment horizontal="center"/>
    </xf>
    <xf numFmtId="0" fontId="89" fillId="0" borderId="9" xfId="18" applyFont="1" applyBorder="1" applyAlignment="1">
      <alignment horizontal="center"/>
    </xf>
    <xf numFmtId="182" fontId="89" fillId="0" borderId="0" xfId="18" applyNumberFormat="1" applyFont="1" applyAlignment="1">
      <alignment horizontal="center"/>
    </xf>
    <xf numFmtId="197" fontId="89" fillId="0" borderId="0" xfId="2" applyNumberFormat="1" applyFont="1" applyAlignment="1">
      <alignment horizontal="right"/>
    </xf>
    <xf numFmtId="0" fontId="92" fillId="0" borderId="43" xfId="18" applyFont="1" applyBorder="1"/>
    <xf numFmtId="0" fontId="2" fillId="0" borderId="43" xfId="18" applyFont="1" applyBorder="1" applyAlignment="1">
      <alignment horizontal="left"/>
    </xf>
    <xf numFmtId="0" fontId="91" fillId="0" borderId="71" xfId="18" applyFont="1" applyBorder="1" applyAlignment="1">
      <alignment horizontal="left"/>
    </xf>
    <xf numFmtId="167" fontId="91" fillId="0" borderId="72" xfId="18" applyNumberFormat="1" applyFont="1" applyBorder="1" applyAlignment="1">
      <alignment horizontal="center"/>
    </xf>
    <xf numFmtId="189" fontId="91" fillId="0" borderId="73" xfId="18" applyNumberFormat="1" applyFont="1" applyBorder="1" applyAlignment="1">
      <alignment horizontal="center"/>
    </xf>
    <xf numFmtId="189" fontId="91" fillId="0" borderId="0" xfId="18" applyNumberFormat="1" applyFont="1"/>
    <xf numFmtId="189" fontId="89" fillId="0" borderId="2" xfId="18" applyNumberFormat="1" applyFont="1" applyBorder="1" applyAlignment="1">
      <alignment horizontal="center"/>
    </xf>
    <xf numFmtId="0" fontId="91" fillId="0" borderId="70" xfId="18" applyFont="1" applyBorder="1" applyAlignment="1">
      <alignment horizontal="left"/>
    </xf>
    <xf numFmtId="199" fontId="89" fillId="0" borderId="0" xfId="18" applyNumberFormat="1" applyFont="1" applyAlignment="1">
      <alignment horizontal="center"/>
    </xf>
    <xf numFmtId="0" fontId="38" fillId="0" borderId="43" xfId="18" applyFont="1" applyBorder="1" applyAlignment="1">
      <alignment horizontal="left"/>
    </xf>
    <xf numFmtId="189" fontId="91" fillId="0" borderId="2" xfId="18" applyNumberFormat="1" applyFont="1" applyBorder="1" applyAlignment="1">
      <alignment horizontal="center"/>
    </xf>
    <xf numFmtId="0" fontId="89" fillId="0" borderId="48" xfId="18" applyFont="1" applyBorder="1" applyAlignment="1">
      <alignment horizontal="left"/>
    </xf>
    <xf numFmtId="199" fontId="89" fillId="0" borderId="1" xfId="18" applyNumberFormat="1" applyFont="1" applyBorder="1" applyAlignment="1">
      <alignment horizontal="center"/>
    </xf>
    <xf numFmtId="195" fontId="89" fillId="0" borderId="13" xfId="4" applyNumberFormat="1" applyFont="1" applyFill="1" applyBorder="1" applyAlignment="1">
      <alignment horizontal="center"/>
    </xf>
    <xf numFmtId="195" fontId="89" fillId="0" borderId="0" xfId="4" applyNumberFormat="1" applyFont="1" applyFill="1" applyBorder="1"/>
    <xf numFmtId="0" fontId="2" fillId="0" borderId="43" xfId="18" applyFont="1" applyBorder="1"/>
    <xf numFmtId="10" fontId="91" fillId="0" borderId="0" xfId="4" applyNumberFormat="1" applyFont="1" applyFill="1" applyBorder="1" applyAlignment="1">
      <alignment horizontal="right"/>
    </xf>
    <xf numFmtId="174" fontId="89" fillId="0" borderId="2" xfId="18" applyNumberFormat="1" applyFont="1" applyBorder="1" applyAlignment="1">
      <alignment horizontal="center"/>
    </xf>
    <xf numFmtId="0" fontId="91" fillId="6" borderId="11" xfId="18" applyFont="1" applyFill="1" applyBorder="1"/>
    <xf numFmtId="3" fontId="89" fillId="0" borderId="0" xfId="2" applyNumberFormat="1" applyFont="1" applyAlignment="1">
      <alignment horizontal="right"/>
    </xf>
    <xf numFmtId="0" fontId="89" fillId="0" borderId="70" xfId="18" applyFont="1" applyBorder="1"/>
    <xf numFmtId="9" fontId="89" fillId="0" borderId="0" xfId="4" applyFont="1" applyFill="1" applyBorder="1" applyAlignment="1">
      <alignment horizontal="center"/>
    </xf>
    <xf numFmtId="164" fontId="106" fillId="0" borderId="0" xfId="4" applyNumberFormat="1" applyFont="1" applyFill="1" applyBorder="1" applyAlignment="1">
      <alignment horizontal="right"/>
    </xf>
    <xf numFmtId="164" fontId="89" fillId="0" borderId="2" xfId="4" applyNumberFormat="1" applyFont="1" applyFill="1" applyBorder="1" applyAlignment="1">
      <alignment horizontal="center"/>
    </xf>
    <xf numFmtId="164" fontId="89" fillId="0" borderId="0" xfId="18" applyNumberFormat="1" applyFont="1"/>
    <xf numFmtId="164" fontId="96" fillId="0" borderId="0" xfId="18" applyNumberFormat="1" applyFont="1"/>
    <xf numFmtId="164" fontId="106" fillId="0" borderId="0" xfId="18" applyNumberFormat="1" applyFont="1"/>
    <xf numFmtId="164" fontId="89" fillId="0" borderId="0" xfId="4" applyNumberFormat="1" applyFont="1" applyFill="1" applyBorder="1" applyAlignment="1">
      <alignment horizontal="center"/>
    </xf>
    <xf numFmtId="164" fontId="96" fillId="0" borderId="0" xfId="4" applyNumberFormat="1" applyFont="1" applyFill="1" applyBorder="1"/>
    <xf numFmtId="164" fontId="106" fillId="0" borderId="0" xfId="4" applyNumberFormat="1" applyFont="1" applyFill="1" applyBorder="1"/>
    <xf numFmtId="0" fontId="38" fillId="0" borderId="43" xfId="18" applyFont="1" applyBorder="1"/>
    <xf numFmtId="174" fontId="91" fillId="0" borderId="2" xfId="18" applyNumberFormat="1" applyFont="1" applyBorder="1" applyAlignment="1">
      <alignment horizontal="center"/>
    </xf>
    <xf numFmtId="0" fontId="89" fillId="0" borderId="43" xfId="18" applyFont="1" applyBorder="1" applyAlignment="1">
      <alignment horizontal="center" vertical="center" wrapText="1"/>
    </xf>
    <xf numFmtId="37" fontId="93" fillId="0" borderId="2" xfId="18" applyNumberFormat="1" applyFont="1" applyBorder="1" applyAlignment="1">
      <alignment horizontal="center"/>
    </xf>
    <xf numFmtId="0" fontId="89" fillId="0" borderId="60" xfId="2" applyFont="1" applyBorder="1"/>
    <xf numFmtId="10" fontId="89" fillId="0" borderId="2" xfId="4" applyNumberFormat="1" applyFont="1" applyFill="1" applyBorder="1" applyAlignment="1">
      <alignment horizontal="center"/>
    </xf>
    <xf numFmtId="0" fontId="91" fillId="0" borderId="74" xfId="18" applyFont="1" applyBorder="1" applyAlignment="1">
      <alignment horizontal="left"/>
    </xf>
    <xf numFmtId="0" fontId="89" fillId="0" borderId="0" xfId="2" applyFont="1"/>
    <xf numFmtId="0" fontId="89" fillId="0" borderId="0" xfId="2" applyFont="1" applyAlignment="1">
      <alignment horizontal="center"/>
    </xf>
    <xf numFmtId="0" fontId="91" fillId="0" borderId="0" xfId="2" applyFont="1"/>
    <xf numFmtId="0" fontId="91" fillId="0" borderId="0" xfId="2" applyFont="1" applyAlignment="1">
      <alignment horizontal="center"/>
    </xf>
    <xf numFmtId="10" fontId="100" fillId="0" borderId="0" xfId="4" applyNumberFormat="1" applyFont="1" applyFill="1" applyBorder="1" applyAlignment="1">
      <alignment horizontal="right"/>
    </xf>
    <xf numFmtId="0" fontId="38" fillId="0" borderId="0" xfId="2" applyFont="1" applyAlignment="1">
      <alignment horizontal="center"/>
    </xf>
    <xf numFmtId="0" fontId="89" fillId="0" borderId="0" xfId="18" applyFont="1" applyAlignment="1">
      <alignment horizontal="left"/>
    </xf>
    <xf numFmtId="37" fontId="107" fillId="0" borderId="0" xfId="18" applyNumberFormat="1" applyFont="1" applyAlignment="1">
      <alignment horizontal="center"/>
    </xf>
    <xf numFmtId="179" fontId="89" fillId="0" borderId="0" xfId="18" applyNumberFormat="1" applyFont="1" applyAlignment="1">
      <alignment horizontal="center"/>
    </xf>
    <xf numFmtId="3" fontId="96" fillId="0" borderId="0" xfId="2" applyNumberFormat="1" applyFont="1" applyAlignment="1">
      <alignment horizontal="right"/>
    </xf>
    <xf numFmtId="3" fontId="97" fillId="0" borderId="0" xfId="2" applyNumberFormat="1" applyFont="1" applyAlignment="1">
      <alignment horizontal="right"/>
    </xf>
    <xf numFmtId="0" fontId="91" fillId="0" borderId="60" xfId="2" applyFont="1" applyBorder="1"/>
    <xf numFmtId="164" fontId="91" fillId="0" borderId="2" xfId="4" applyNumberFormat="1" applyFont="1" applyFill="1" applyBorder="1" applyAlignment="1">
      <alignment horizontal="center"/>
    </xf>
    <xf numFmtId="201" fontId="2" fillId="0" borderId="0" xfId="2" applyNumberFormat="1" applyAlignment="1">
      <alignment horizontal="center"/>
    </xf>
    <xf numFmtId="37" fontId="89" fillId="0" borderId="0" xfId="18" applyNumberFormat="1" applyFont="1" applyAlignment="1">
      <alignment horizontal="center"/>
    </xf>
    <xf numFmtId="195" fontId="89" fillId="0" borderId="0" xfId="4" applyNumberFormat="1" applyFont="1" applyFill="1" applyBorder="1" applyAlignment="1">
      <alignment horizontal="center"/>
    </xf>
    <xf numFmtId="164" fontId="2" fillId="0" borderId="0" xfId="2" applyNumberFormat="1"/>
    <xf numFmtId="37" fontId="91" fillId="0" borderId="0" xfId="18" applyNumberFormat="1" applyFont="1" applyAlignment="1">
      <alignment horizontal="center"/>
    </xf>
    <xf numFmtId="0" fontId="90" fillId="0" borderId="0" xfId="2" applyFont="1"/>
    <xf numFmtId="174" fontId="2" fillId="0" borderId="0" xfId="2" applyNumberFormat="1" applyAlignment="1">
      <alignment horizontal="center"/>
    </xf>
    <xf numFmtId="10" fontId="2" fillId="0" borderId="0" xfId="4" applyNumberFormat="1" applyFont="1" applyFill="1" applyBorder="1"/>
    <xf numFmtId="9" fontId="2" fillId="0" borderId="0" xfId="2" applyNumberFormat="1" applyAlignment="1">
      <alignment horizontal="center"/>
    </xf>
    <xf numFmtId="164" fontId="2" fillId="0" borderId="0" xfId="18" applyNumberFormat="1" applyFont="1"/>
    <xf numFmtId="3" fontId="92" fillId="0" borderId="0" xfId="2" applyNumberFormat="1" applyFont="1" applyAlignment="1">
      <alignment horizontal="right"/>
    </xf>
    <xf numFmtId="164" fontId="108" fillId="0" borderId="0" xfId="18" applyNumberFormat="1" applyFont="1"/>
    <xf numFmtId="164" fontId="2" fillId="0" borderId="0" xfId="2" applyNumberFormat="1" applyAlignment="1">
      <alignment horizontal="center"/>
    </xf>
    <xf numFmtId="0" fontId="38" fillId="0" borderId="0" xfId="2" applyFont="1"/>
    <xf numFmtId="0" fontId="96" fillId="0" borderId="0" xfId="18" applyFont="1"/>
    <xf numFmtId="7" fontId="38" fillId="0" borderId="0" xfId="2" applyNumberFormat="1" applyFont="1" applyAlignment="1">
      <alignment horizontal="center"/>
    </xf>
    <xf numFmtId="164" fontId="38" fillId="0" borderId="0" xfId="4" applyNumberFormat="1" applyFont="1" applyFill="1" applyBorder="1"/>
    <xf numFmtId="3" fontId="109" fillId="0" borderId="0" xfId="18" applyNumberFormat="1" applyFont="1"/>
    <xf numFmtId="9" fontId="109" fillId="0" borderId="0" xfId="4" applyFont="1" applyFill="1" applyBorder="1"/>
    <xf numFmtId="7" fontId="2" fillId="0" borderId="0" xfId="2" applyNumberFormat="1" applyAlignment="1">
      <alignment horizontal="center"/>
    </xf>
    <xf numFmtId="3" fontId="109" fillId="0" borderId="0" xfId="2" applyNumberFormat="1" applyFont="1" applyAlignment="1">
      <alignment horizontal="right"/>
    </xf>
    <xf numFmtId="195" fontId="2" fillId="0" borderId="0" xfId="4" applyNumberFormat="1" applyFont="1" applyBorder="1" applyAlignment="1">
      <alignment horizontal="center"/>
    </xf>
    <xf numFmtId="164" fontId="91" fillId="0" borderId="0" xfId="4" applyNumberFormat="1" applyFont="1" applyFill="1" applyBorder="1" applyAlignment="1">
      <alignment horizontal="right"/>
    </xf>
    <xf numFmtId="177" fontId="90" fillId="0" borderId="0" xfId="2" applyNumberFormat="1" applyFont="1" applyAlignment="1">
      <alignment horizontal="center"/>
    </xf>
    <xf numFmtId="0" fontId="91" fillId="0" borderId="11" xfId="18" applyFont="1" applyBorder="1" applyAlignment="1">
      <alignment horizontal="left"/>
    </xf>
    <xf numFmtId="0" fontId="91" fillId="0" borderId="3" xfId="18" applyFont="1" applyBorder="1" applyAlignment="1">
      <alignment horizontal="center"/>
    </xf>
    <xf numFmtId="0" fontId="91" fillId="0" borderId="8" xfId="18" applyFont="1" applyBorder="1" applyAlignment="1">
      <alignment horizontal="center"/>
    </xf>
    <xf numFmtId="189" fontId="89" fillId="0" borderId="0" xfId="18" applyNumberFormat="1" applyFont="1" applyAlignment="1">
      <alignment horizontal="center"/>
    </xf>
    <xf numFmtId="164" fontId="89" fillId="13" borderId="9" xfId="4" applyNumberFormat="1" applyFont="1" applyFill="1" applyBorder="1" applyAlignment="1">
      <alignment horizontal="center"/>
    </xf>
    <xf numFmtId="3" fontId="89" fillId="4" borderId="0" xfId="2" applyNumberFormat="1" applyFont="1" applyFill="1" applyAlignment="1">
      <alignment horizontal="right"/>
    </xf>
    <xf numFmtId="0" fontId="89" fillId="0" borderId="1" xfId="18" applyFont="1" applyBorder="1" applyAlignment="1">
      <alignment horizontal="center"/>
    </xf>
    <xf numFmtId="164" fontId="89" fillId="0" borderId="13" xfId="4" applyNumberFormat="1" applyFont="1" applyFill="1" applyBorder="1" applyAlignment="1">
      <alignment horizontal="center"/>
    </xf>
    <xf numFmtId="3" fontId="110" fillId="0" borderId="0" xfId="2" applyNumberFormat="1" applyFont="1" applyAlignment="1">
      <alignment horizontal="right"/>
    </xf>
    <xf numFmtId="0" fontId="89" fillId="0" borderId="75" xfId="18" applyFont="1" applyBorder="1"/>
    <xf numFmtId="37" fontId="92" fillId="0" borderId="57" xfId="18" applyNumberFormat="1" applyFont="1" applyBorder="1" applyAlignment="1">
      <alignment horizontal="center"/>
    </xf>
    <xf numFmtId="3" fontId="92" fillId="4" borderId="0" xfId="2" applyNumberFormat="1" applyFont="1" applyFill="1" applyAlignment="1">
      <alignment horizontal="right"/>
    </xf>
    <xf numFmtId="3" fontId="92" fillId="11" borderId="0" xfId="2" applyNumberFormat="1" applyFont="1" applyFill="1" applyAlignment="1">
      <alignment horizontal="right"/>
    </xf>
    <xf numFmtId="3" fontId="92" fillId="19" borderId="0" xfId="2" applyNumberFormat="1" applyFont="1" applyFill="1" applyAlignment="1">
      <alignment horizontal="right"/>
    </xf>
    <xf numFmtId="0" fontId="38" fillId="0" borderId="11" xfId="2" applyFont="1" applyBorder="1"/>
    <xf numFmtId="0" fontId="110" fillId="0" borderId="8" xfId="18" applyFont="1" applyBorder="1" applyAlignment="1">
      <alignment horizontal="center"/>
    </xf>
    <xf numFmtId="9" fontId="100" fillId="0" borderId="0" xfId="4" applyFont="1" applyFill="1" applyBorder="1" applyAlignment="1">
      <alignment horizontal="right"/>
    </xf>
    <xf numFmtId="9" fontId="98" fillId="0" borderId="0" xfId="4" applyFont="1" applyFill="1" applyBorder="1" applyAlignment="1">
      <alignment horizontal="right"/>
    </xf>
    <xf numFmtId="0" fontId="111" fillId="0" borderId="70" xfId="18" applyFont="1" applyBorder="1"/>
    <xf numFmtId="174" fontId="112" fillId="0" borderId="9" xfId="2" applyNumberFormat="1" applyFont="1" applyBorder="1" applyAlignment="1">
      <alignment horizontal="center"/>
    </xf>
    <xf numFmtId="0" fontId="106" fillId="0" borderId="0" xfId="18" applyFont="1" applyAlignment="1">
      <alignment horizontal="left"/>
    </xf>
    <xf numFmtId="10" fontId="113" fillId="4" borderId="21" xfId="18" applyNumberFormat="1" applyFont="1" applyFill="1" applyBorder="1" applyAlignment="1">
      <alignment horizontal="center"/>
    </xf>
    <xf numFmtId="189" fontId="110" fillId="0" borderId="0" xfId="18" applyNumberFormat="1" applyFont="1"/>
    <xf numFmtId="10" fontId="89" fillId="0" borderId="0" xfId="4" applyNumberFormat="1" applyFont="1" applyFill="1" applyBorder="1" applyAlignment="1">
      <alignment horizontal="right"/>
    </xf>
    <xf numFmtId="10" fontId="96" fillId="0" borderId="0" xfId="4" applyNumberFormat="1" applyFont="1" applyFill="1" applyBorder="1" applyAlignment="1">
      <alignment horizontal="right"/>
    </xf>
    <xf numFmtId="10" fontId="114" fillId="4" borderId="21" xfId="18" applyNumberFormat="1" applyFont="1" applyFill="1" applyBorder="1"/>
    <xf numFmtId="10" fontId="115" fillId="4" borderId="0" xfId="4" applyNumberFormat="1" applyFont="1" applyFill="1" applyBorder="1" applyAlignment="1">
      <alignment horizontal="right"/>
    </xf>
    <xf numFmtId="0" fontId="116" fillId="0" borderId="70" xfId="2" applyFont="1" applyBorder="1"/>
    <xf numFmtId="182" fontId="111" fillId="0" borderId="9" xfId="18" applyNumberFormat="1" applyFont="1" applyBorder="1" applyAlignment="1">
      <alignment horizontal="center"/>
    </xf>
    <xf numFmtId="164" fontId="93" fillId="4" borderId="21" xfId="18" applyNumberFormat="1" applyFont="1" applyFill="1" applyBorder="1" applyAlignment="1">
      <alignment horizontal="center"/>
    </xf>
    <xf numFmtId="9" fontId="89" fillId="0" borderId="0" xfId="4" applyFont="1" applyFill="1" applyBorder="1"/>
    <xf numFmtId="9" fontId="117" fillId="0" borderId="0" xfId="2" applyNumberFormat="1" applyFont="1" applyAlignment="1">
      <alignment horizontal="center"/>
    </xf>
    <xf numFmtId="0" fontId="110" fillId="0" borderId="0" xfId="2" applyFont="1"/>
    <xf numFmtId="0" fontId="110" fillId="0" borderId="0" xfId="18" applyFont="1"/>
    <xf numFmtId="0" fontId="116" fillId="0" borderId="48" xfId="2" applyFont="1" applyBorder="1"/>
    <xf numFmtId="9" fontId="111" fillId="0" borderId="13" xfId="4" applyFont="1" applyFill="1" applyBorder="1" applyAlignment="1">
      <alignment horizontal="center"/>
    </xf>
    <xf numFmtId="164" fontId="89" fillId="0" borderId="0" xfId="18" applyNumberFormat="1" applyFont="1" applyAlignment="1">
      <alignment horizontal="center"/>
    </xf>
    <xf numFmtId="0" fontId="118" fillId="2" borderId="0" xfId="18" applyFont="1" applyFill="1" applyAlignment="1">
      <alignment horizontal="left"/>
    </xf>
    <xf numFmtId="189" fontId="118" fillId="2" borderId="0" xfId="18" applyNumberFormat="1" applyFont="1" applyFill="1" applyAlignment="1">
      <alignment horizontal="center"/>
    </xf>
    <xf numFmtId="164" fontId="118" fillId="2" borderId="0" xfId="4" applyNumberFormat="1" applyFont="1" applyFill="1" applyBorder="1" applyAlignment="1">
      <alignment horizontal="center"/>
    </xf>
    <xf numFmtId="0" fontId="118" fillId="0" borderId="0" xfId="18" applyFont="1" applyAlignment="1">
      <alignment horizontal="left"/>
    </xf>
    <xf numFmtId="189" fontId="118" fillId="0" borderId="0" xfId="18" applyNumberFormat="1" applyFont="1" applyAlignment="1">
      <alignment horizontal="center"/>
    </xf>
    <xf numFmtId="0" fontId="119" fillId="0" borderId="0" xfId="18" applyFont="1" applyAlignment="1">
      <alignment horizontal="left"/>
    </xf>
    <xf numFmtId="189" fontId="119" fillId="0" borderId="0" xfId="18" applyNumberFormat="1" applyFont="1" applyAlignment="1">
      <alignment horizontal="center"/>
    </xf>
    <xf numFmtId="164" fontId="119" fillId="0" borderId="0" xfId="4" applyNumberFormat="1" applyFont="1" applyFill="1" applyBorder="1" applyAlignment="1">
      <alignment horizontal="center"/>
    </xf>
    <xf numFmtId="164" fontId="100" fillId="0" borderId="0" xfId="4" applyNumberFormat="1" applyFont="1" applyFill="1" applyBorder="1" applyAlignment="1">
      <alignment horizontal="right"/>
    </xf>
    <xf numFmtId="164" fontId="91" fillId="11" borderId="0" xfId="4" applyNumberFormat="1" applyFont="1" applyFill="1" applyBorder="1" applyAlignment="1">
      <alignment horizontal="right"/>
    </xf>
    <xf numFmtId="164" fontId="91" fillId="19" borderId="0" xfId="4" applyNumberFormat="1" applyFont="1" applyFill="1" applyBorder="1" applyAlignment="1">
      <alignment horizontal="right"/>
    </xf>
    <xf numFmtId="197" fontId="100" fillId="0" borderId="0" xfId="2" applyNumberFormat="1" applyFont="1" applyAlignment="1">
      <alignment horizontal="right"/>
    </xf>
    <xf numFmtId="164" fontId="89" fillId="0" borderId="0" xfId="4" applyNumberFormat="1" applyFont="1" applyFill="1" applyBorder="1" applyAlignment="1">
      <alignment horizontal="right"/>
    </xf>
    <xf numFmtId="164" fontId="96" fillId="0" borderId="0" xfId="4" applyNumberFormat="1" applyFont="1" applyFill="1" applyBorder="1" applyAlignment="1">
      <alignment horizontal="right"/>
    </xf>
    <xf numFmtId="3" fontId="90" fillId="0" borderId="0" xfId="2" applyNumberFormat="1" applyFont="1" applyAlignment="1">
      <alignment horizontal="right"/>
    </xf>
    <xf numFmtId="164" fontId="92" fillId="4" borderId="0" xfId="4" applyNumberFormat="1" applyFont="1" applyFill="1" applyBorder="1" applyAlignment="1">
      <alignment horizontal="right"/>
    </xf>
    <xf numFmtId="164" fontId="120" fillId="0" borderId="0" xfId="4" applyNumberFormat="1" applyFont="1" applyFill="1" applyBorder="1" applyAlignment="1">
      <alignment horizontal="right"/>
    </xf>
    <xf numFmtId="164" fontId="92" fillId="4" borderId="7" xfId="4" applyNumberFormat="1" applyFont="1" applyFill="1" applyBorder="1" applyAlignment="1">
      <alignment horizontal="right"/>
    </xf>
    <xf numFmtId="10" fontId="91" fillId="0" borderId="39" xfId="2" applyNumberFormat="1" applyFont="1" applyBorder="1" applyAlignment="1">
      <alignment horizontal="center"/>
    </xf>
    <xf numFmtId="197" fontId="99" fillId="0" borderId="0" xfId="2" applyNumberFormat="1" applyFont="1" applyAlignment="1">
      <alignment horizontal="right"/>
    </xf>
    <xf numFmtId="164" fontId="103" fillId="0" borderId="0" xfId="4" applyNumberFormat="1" applyFont="1" applyFill="1" applyBorder="1" applyAlignment="1">
      <alignment horizontal="right"/>
    </xf>
    <xf numFmtId="10" fontId="92" fillId="4" borderId="0" xfId="4" applyNumberFormat="1" applyFont="1" applyFill="1" applyBorder="1" applyAlignment="1">
      <alignment horizontal="right"/>
    </xf>
    <xf numFmtId="10" fontId="92" fillId="19" borderId="20" xfId="4" applyNumberFormat="1" applyFont="1" applyFill="1" applyBorder="1" applyAlignment="1">
      <alignment horizontal="right"/>
    </xf>
    <xf numFmtId="164" fontId="103" fillId="4" borderId="0" xfId="4" applyNumberFormat="1" applyFont="1" applyFill="1" applyBorder="1" applyAlignment="1">
      <alignment horizontal="right"/>
    </xf>
    <xf numFmtId="0" fontId="121" fillId="0" borderId="0" xfId="2" applyFont="1"/>
    <xf numFmtId="9" fontId="121" fillId="0" borderId="0" xfId="2" applyNumberFormat="1" applyFont="1" applyAlignment="1">
      <alignment horizontal="center"/>
    </xf>
    <xf numFmtId="189" fontId="99" fillId="0" borderId="0" xfId="18" applyNumberFormat="1" applyFont="1"/>
    <xf numFmtId="10" fontId="89" fillId="0" borderId="0" xfId="4" applyNumberFormat="1" applyFont="1" applyFill="1" applyBorder="1"/>
    <xf numFmtId="174" fontId="121" fillId="0" borderId="0" xfId="2" applyNumberFormat="1" applyFont="1" applyAlignment="1">
      <alignment horizontal="center"/>
    </xf>
    <xf numFmtId="0" fontId="99" fillId="0" borderId="0" xfId="2" applyFont="1"/>
    <xf numFmtId="0" fontId="91" fillId="0" borderId="0" xfId="18" applyFont="1" applyAlignment="1">
      <alignment horizontal="left"/>
    </xf>
    <xf numFmtId="0" fontId="99" fillId="0" borderId="0" xfId="18" applyFont="1"/>
    <xf numFmtId="3" fontId="89" fillId="0" borderId="0" xfId="4" applyNumberFormat="1" applyFont="1" applyFill="1" applyBorder="1" applyAlignment="1">
      <alignment horizontal="right"/>
    </xf>
    <xf numFmtId="164" fontId="90" fillId="0" borderId="0" xfId="18" applyNumberFormat="1" applyFont="1"/>
    <xf numFmtId="167" fontId="89" fillId="0" borderId="0" xfId="18" applyNumberFormat="1" applyFont="1"/>
    <xf numFmtId="3" fontId="102" fillId="0" borderId="0" xfId="2" applyNumberFormat="1" applyFont="1" applyAlignment="1">
      <alignment horizontal="right"/>
    </xf>
    <xf numFmtId="164" fontId="99" fillId="0" borderId="0" xfId="4" applyNumberFormat="1" applyFont="1" applyFill="1" applyBorder="1" applyAlignment="1">
      <alignment horizontal="right"/>
    </xf>
    <xf numFmtId="164" fontId="122" fillId="0" borderId="0" xfId="4" applyNumberFormat="1" applyFont="1" applyFill="1" applyBorder="1" applyAlignment="1">
      <alignment horizontal="right"/>
    </xf>
    <xf numFmtId="164" fontId="120" fillId="4" borderId="0" xfId="4" applyNumberFormat="1" applyFont="1" applyFill="1" applyBorder="1" applyAlignment="1">
      <alignment horizontal="right"/>
    </xf>
    <xf numFmtId="164" fontId="120" fillId="11" borderId="0" xfId="4" applyNumberFormat="1" applyFont="1" applyFill="1" applyBorder="1" applyAlignment="1">
      <alignment horizontal="right"/>
    </xf>
    <xf numFmtId="164" fontId="99" fillId="19" borderId="0" xfId="4" applyNumberFormat="1" applyFont="1" applyFill="1" applyBorder="1" applyAlignment="1">
      <alignment horizontal="right"/>
    </xf>
    <xf numFmtId="197" fontId="90" fillId="0" borderId="0" xfId="2" applyNumberFormat="1" applyFont="1" applyAlignment="1">
      <alignment horizontal="right"/>
    </xf>
    <xf numFmtId="164" fontId="103" fillId="11" borderId="0" xfId="4" applyNumberFormat="1" applyFont="1" applyFill="1" applyBorder="1" applyAlignment="1">
      <alignment horizontal="right"/>
    </xf>
    <xf numFmtId="10" fontId="92" fillId="11" borderId="21" xfId="4" applyNumberFormat="1" applyFont="1" applyFill="1" applyBorder="1" applyAlignment="1">
      <alignment horizontal="right"/>
    </xf>
    <xf numFmtId="10" fontId="89" fillId="4" borderId="0" xfId="4" applyNumberFormat="1" applyFont="1" applyFill="1" applyBorder="1" applyAlignment="1">
      <alignment horizontal="right"/>
    </xf>
    <xf numFmtId="10" fontId="89" fillId="11" borderId="0" xfId="4" applyNumberFormat="1" applyFont="1" applyFill="1" applyBorder="1" applyAlignment="1">
      <alignment horizontal="right"/>
    </xf>
    <xf numFmtId="9" fontId="123" fillId="0" borderId="0" xfId="4" applyFont="1" applyBorder="1" applyAlignment="1">
      <alignment horizontal="center"/>
    </xf>
    <xf numFmtId="9" fontId="123" fillId="0" borderId="0" xfId="4" applyFont="1" applyFill="1" applyBorder="1" applyAlignment="1">
      <alignment horizontal="center"/>
    </xf>
    <xf numFmtId="202" fontId="2" fillId="0" borderId="0" xfId="12" applyNumberFormat="1" applyFont="1" applyFill="1" applyBorder="1" applyAlignment="1">
      <alignment horizontal="center"/>
    </xf>
    <xf numFmtId="10" fontId="123" fillId="0" borderId="0" xfId="4" applyNumberFormat="1" applyFont="1" applyFill="1" applyBorder="1" applyAlignment="1">
      <alignment horizontal="center"/>
    </xf>
    <xf numFmtId="10" fontId="123" fillId="0" borderId="0" xfId="2" applyNumberFormat="1" applyFont="1" applyAlignment="1">
      <alignment horizontal="center"/>
    </xf>
    <xf numFmtId="177" fontId="123" fillId="0" borderId="0" xfId="2" applyNumberFormat="1" applyFont="1" applyAlignment="1">
      <alignment horizontal="center"/>
    </xf>
    <xf numFmtId="10" fontId="2" fillId="0" borderId="0" xfId="4" applyNumberFormat="1" applyFont="1" applyBorder="1" applyAlignment="1">
      <alignment horizontal="center"/>
    </xf>
    <xf numFmtId="0" fontId="99" fillId="0" borderId="0" xfId="18" applyFont="1" applyAlignment="1">
      <alignment horizontal="center"/>
    </xf>
    <xf numFmtId="0" fontId="91" fillId="6" borderId="0" xfId="18" applyFont="1" applyFill="1"/>
    <xf numFmtId="189" fontId="91" fillId="6" borderId="4" xfId="18" applyNumberFormat="1" applyFont="1" applyFill="1" applyBorder="1"/>
    <xf numFmtId="197" fontId="91" fillId="6" borderId="0" xfId="2" applyNumberFormat="1" applyFont="1" applyFill="1" applyAlignment="1">
      <alignment horizontal="right"/>
    </xf>
    <xf numFmtId="3" fontId="91" fillId="6" borderId="0" xfId="2" applyNumberFormat="1" applyFont="1" applyFill="1" applyAlignment="1">
      <alignment horizontal="right"/>
    </xf>
    <xf numFmtId="0" fontId="90" fillId="0" borderId="0" xfId="18" applyFont="1" applyAlignment="1">
      <alignment horizontal="center"/>
    </xf>
    <xf numFmtId="199" fontId="89" fillId="0" borderId="0" xfId="18" applyNumberFormat="1" applyFont="1"/>
    <xf numFmtId="170" fontId="89" fillId="0" borderId="0" xfId="18" applyNumberFormat="1" applyFont="1"/>
    <xf numFmtId="164" fontId="95" fillId="0" borderId="0" xfId="4" applyNumberFormat="1" applyFont="1" applyFill="1" applyBorder="1"/>
    <xf numFmtId="9" fontId="89" fillId="0" borderId="0" xfId="18" applyNumberFormat="1" applyFont="1"/>
    <xf numFmtId="167" fontId="91" fillId="0" borderId="0" xfId="18" applyNumberFormat="1" applyFont="1"/>
    <xf numFmtId="176" fontId="89" fillId="0" borderId="0" xfId="12" applyNumberFormat="1" applyFont="1" applyFill="1" applyBorder="1"/>
    <xf numFmtId="167" fontId="91" fillId="6" borderId="0" xfId="18" applyNumberFormat="1" applyFont="1" applyFill="1"/>
    <xf numFmtId="43" fontId="89" fillId="0" borderId="0" xfId="18" applyNumberFormat="1" applyFont="1"/>
    <xf numFmtId="167" fontId="91" fillId="0" borderId="4" xfId="18" applyNumberFormat="1" applyFont="1" applyBorder="1"/>
    <xf numFmtId="182" fontId="89" fillId="0" borderId="0" xfId="18" applyNumberFormat="1" applyFont="1"/>
    <xf numFmtId="197" fontId="91" fillId="0" borderId="0" xfId="18" applyNumberFormat="1" applyFont="1" applyAlignment="1">
      <alignment horizontal="center"/>
    </xf>
    <xf numFmtId="198" fontId="89" fillId="0" borderId="0" xfId="20" applyNumberFormat="1" applyFont="1" applyFill="1" applyBorder="1"/>
    <xf numFmtId="164" fontId="92" fillId="0" borderId="56" xfId="18" applyNumberFormat="1" applyFont="1" applyBorder="1"/>
    <xf numFmtId="164" fontId="92" fillId="20" borderId="55" xfId="18" applyNumberFormat="1" applyFont="1" applyFill="1" applyBorder="1"/>
    <xf numFmtId="9" fontId="92" fillId="0" borderId="0" xfId="18" applyNumberFormat="1" applyFont="1"/>
    <xf numFmtId="9" fontId="92" fillId="0" borderId="0" xfId="4" applyFont="1" applyFill="1" applyBorder="1"/>
    <xf numFmtId="0" fontId="20" fillId="0" borderId="0" xfId="14" applyFont="1"/>
    <xf numFmtId="0" fontId="31" fillId="3" borderId="0" xfId="2" applyFont="1" applyFill="1"/>
    <xf numFmtId="10" fontId="31" fillId="4" borderId="0" xfId="2" applyNumberFormat="1" applyFont="1" applyFill="1" applyAlignment="1">
      <alignment horizontal="center"/>
    </xf>
    <xf numFmtId="10" fontId="54" fillId="4" borderId="21" xfId="4" applyNumberFormat="1" applyFont="1" applyFill="1" applyBorder="1" applyAlignment="1">
      <alignment horizontal="center"/>
    </xf>
    <xf numFmtId="10" fontId="21" fillId="4" borderId="0" xfId="4" applyNumberFormat="1" applyFont="1" applyFill="1" applyAlignment="1">
      <alignment horizontal="center"/>
    </xf>
    <xf numFmtId="10" fontId="44" fillId="3" borderId="0" xfId="4" applyNumberFormat="1" applyFont="1" applyFill="1" applyAlignment="1">
      <alignment horizontal="center"/>
    </xf>
    <xf numFmtId="10" fontId="3" fillId="0" borderId="0" xfId="1" applyNumberFormat="1" applyFont="1"/>
    <xf numFmtId="169" fontId="3" fillId="0" borderId="9" xfId="7" applyNumberFormat="1" applyFont="1" applyBorder="1"/>
    <xf numFmtId="0" fontId="4" fillId="0" borderId="70" xfId="2" applyFont="1" applyBorder="1"/>
    <xf numFmtId="2" fontId="4" fillId="0" borderId="0" xfId="2" applyNumberFormat="1" applyFont="1"/>
    <xf numFmtId="2" fontId="4" fillId="0" borderId="45" xfId="2" applyNumberFormat="1" applyFont="1" applyBorder="1"/>
    <xf numFmtId="0" fontId="19" fillId="0" borderId="77" xfId="2" applyFont="1" applyBorder="1"/>
    <xf numFmtId="0" fontId="4" fillId="0" borderId="78" xfId="1" applyFont="1" applyBorder="1"/>
    <xf numFmtId="0" fontId="4" fillId="0" borderId="79" xfId="1" applyFont="1" applyBorder="1"/>
    <xf numFmtId="10" fontId="44" fillId="0" borderId="0" xfId="4" applyNumberFormat="1" applyFont="1" applyFill="1" applyAlignment="1">
      <alignment horizontal="center"/>
    </xf>
    <xf numFmtId="10" fontId="51" fillId="4" borderId="21" xfId="4" applyNumberFormat="1" applyFont="1" applyFill="1" applyBorder="1" applyAlignment="1">
      <alignment horizontal="center"/>
    </xf>
    <xf numFmtId="164" fontId="4" fillId="0" borderId="0" xfId="21" applyNumberFormat="1" applyFont="1"/>
    <xf numFmtId="10" fontId="92" fillId="11" borderId="55" xfId="4" applyNumberFormat="1" applyFont="1" applyFill="1" applyBorder="1" applyAlignment="1">
      <alignment horizontal="right"/>
    </xf>
    <xf numFmtId="0" fontId="89" fillId="0" borderId="45" xfId="18" applyFont="1" applyBorder="1"/>
    <xf numFmtId="196" fontId="89" fillId="0" borderId="45" xfId="18" applyNumberFormat="1" applyFont="1" applyBorder="1"/>
    <xf numFmtId="179" fontId="89" fillId="0" borderId="45" xfId="18" applyNumberFormat="1" applyFont="1" applyBorder="1"/>
    <xf numFmtId="197" fontId="91" fillId="0" borderId="45" xfId="2" applyNumberFormat="1" applyFont="1" applyBorder="1" applyAlignment="1">
      <alignment horizontal="right"/>
    </xf>
    <xf numFmtId="3" fontId="97" fillId="0" borderId="45" xfId="18" applyNumberFormat="1" applyFont="1" applyBorder="1"/>
    <xf numFmtId="3" fontId="89" fillId="0" borderId="45" xfId="18" applyNumberFormat="1" applyFont="1" applyBorder="1"/>
    <xf numFmtId="3" fontId="101" fillId="0" borderId="45" xfId="18" applyNumberFormat="1" applyFont="1" applyBorder="1"/>
    <xf numFmtId="164" fontId="90" fillId="0" borderId="45" xfId="4" applyNumberFormat="1" applyFont="1" applyFill="1" applyBorder="1"/>
    <xf numFmtId="164" fontId="90" fillId="0" borderId="45" xfId="4" applyNumberFormat="1" applyFont="1" applyFill="1" applyBorder="1" applyAlignment="1">
      <alignment horizontal="right"/>
    </xf>
    <xf numFmtId="3" fontId="101" fillId="0" borderId="45" xfId="2" applyNumberFormat="1" applyFont="1" applyBorder="1" applyAlignment="1">
      <alignment horizontal="right"/>
    </xf>
    <xf numFmtId="164" fontId="105" fillId="0" borderId="45" xfId="4" applyNumberFormat="1" applyFont="1" applyFill="1" applyBorder="1" applyAlignment="1">
      <alignment horizontal="right"/>
    </xf>
    <xf numFmtId="3" fontId="91" fillId="0" borderId="45" xfId="18" applyNumberFormat="1" applyFont="1" applyBorder="1"/>
    <xf numFmtId="164" fontId="89" fillId="0" borderId="45" xfId="18" applyNumberFormat="1" applyFont="1" applyBorder="1"/>
    <xf numFmtId="164" fontId="89" fillId="0" borderId="45" xfId="4" applyNumberFormat="1" applyFont="1" applyFill="1" applyBorder="1"/>
    <xf numFmtId="3" fontId="91" fillId="0" borderId="45" xfId="2" applyNumberFormat="1" applyFont="1" applyBorder="1" applyAlignment="1">
      <alignment horizontal="right"/>
    </xf>
    <xf numFmtId="10" fontId="91" fillId="0" borderId="45" xfId="4" applyNumberFormat="1" applyFont="1" applyFill="1" applyBorder="1" applyAlignment="1">
      <alignment horizontal="right"/>
    </xf>
    <xf numFmtId="3" fontId="97" fillId="0" borderId="45" xfId="2" applyNumberFormat="1" applyFont="1" applyBorder="1" applyAlignment="1">
      <alignment horizontal="right"/>
    </xf>
    <xf numFmtId="3" fontId="89" fillId="0" borderId="45" xfId="2" applyNumberFormat="1" applyFont="1" applyBorder="1" applyAlignment="1">
      <alignment horizontal="right"/>
    </xf>
    <xf numFmtId="9" fontId="98" fillId="0" borderId="45" xfId="4" applyFont="1" applyFill="1" applyBorder="1" applyAlignment="1">
      <alignment horizontal="right"/>
    </xf>
    <xf numFmtId="10" fontId="89" fillId="0" borderId="45" xfId="4" applyNumberFormat="1" applyFont="1" applyFill="1" applyBorder="1" applyAlignment="1">
      <alignment horizontal="right"/>
    </xf>
    <xf numFmtId="164" fontId="91" fillId="0" borderId="45" xfId="4" applyNumberFormat="1" applyFont="1" applyFill="1" applyBorder="1" applyAlignment="1">
      <alignment horizontal="right"/>
    </xf>
    <xf numFmtId="164" fontId="89" fillId="0" borderId="45" xfId="4" applyNumberFormat="1" applyFont="1" applyFill="1" applyBorder="1" applyAlignment="1">
      <alignment horizontal="right"/>
    </xf>
    <xf numFmtId="3" fontId="90" fillId="0" borderId="45" xfId="2" applyNumberFormat="1" applyFont="1" applyBorder="1" applyAlignment="1">
      <alignment horizontal="right"/>
    </xf>
    <xf numFmtId="164" fontId="99" fillId="0" borderId="45" xfId="4" applyNumberFormat="1" applyFont="1" applyFill="1" applyBorder="1" applyAlignment="1">
      <alignment horizontal="right"/>
    </xf>
    <xf numFmtId="10" fontId="92" fillId="11" borderId="80" xfId="4" applyNumberFormat="1" applyFont="1" applyFill="1" applyBorder="1" applyAlignment="1">
      <alignment horizontal="right"/>
    </xf>
    <xf numFmtId="10" fontId="89" fillId="0" borderId="45" xfId="4" applyNumberFormat="1" applyFont="1" applyFill="1" applyBorder="1"/>
    <xf numFmtId="3" fontId="89" fillId="0" borderId="45" xfId="4" applyNumberFormat="1" applyFont="1" applyFill="1" applyBorder="1" applyAlignment="1">
      <alignment horizontal="right"/>
    </xf>
    <xf numFmtId="164" fontId="90" fillId="0" borderId="45" xfId="18" applyNumberFormat="1" applyFont="1" applyBorder="1"/>
    <xf numFmtId="167" fontId="89" fillId="0" borderId="45" xfId="18" applyNumberFormat="1" applyFont="1" applyBorder="1"/>
    <xf numFmtId="3" fontId="91" fillId="6" borderId="45" xfId="2" applyNumberFormat="1" applyFont="1" applyFill="1" applyBorder="1" applyAlignment="1">
      <alignment horizontal="right"/>
    </xf>
    <xf numFmtId="9" fontId="89" fillId="0" borderId="45" xfId="18" applyNumberFormat="1" applyFont="1" applyBorder="1"/>
    <xf numFmtId="199" fontId="89" fillId="0" borderId="45" xfId="18" applyNumberFormat="1" applyFont="1" applyBorder="1"/>
    <xf numFmtId="167" fontId="91" fillId="0" borderId="45" xfId="18" applyNumberFormat="1" applyFont="1" applyBorder="1"/>
    <xf numFmtId="167" fontId="91" fillId="6" borderId="45" xfId="18" applyNumberFormat="1" applyFont="1" applyFill="1" applyBorder="1"/>
    <xf numFmtId="197" fontId="91" fillId="0" borderId="45" xfId="18" applyNumberFormat="1" applyFont="1" applyBorder="1" applyAlignment="1">
      <alignment horizontal="center"/>
    </xf>
    <xf numFmtId="9" fontId="92" fillId="0" borderId="45" xfId="18" applyNumberFormat="1" applyFont="1" applyBorder="1"/>
    <xf numFmtId="164" fontId="16" fillId="2" borderId="78" xfId="4" applyNumberFormat="1" applyFont="1" applyFill="1" applyBorder="1" applyAlignment="1">
      <alignment horizontal="center"/>
    </xf>
    <xf numFmtId="9" fontId="19" fillId="0" borderId="78" xfId="4" applyFont="1" applyBorder="1" applyAlignment="1">
      <alignment horizontal="center"/>
    </xf>
    <xf numFmtId="2" fontId="3" fillId="0" borderId="41" xfId="3" applyFont="1" applyBorder="1" applyAlignment="1">
      <alignment horizontal="right"/>
    </xf>
    <xf numFmtId="166" fontId="3" fillId="5" borderId="45" xfId="5" applyNumberFormat="1" applyFont="1" applyFill="1" applyBorder="1"/>
    <xf numFmtId="0" fontId="4" fillId="0" borderId="45" xfId="1" applyFont="1" applyBorder="1"/>
    <xf numFmtId="169" fontId="4" fillId="0" borderId="45" xfId="7" applyNumberFormat="1" applyFont="1" applyFill="1" applyBorder="1" applyAlignment="1">
      <alignment horizontal="right" vertical="center"/>
    </xf>
    <xf numFmtId="169" fontId="3" fillId="7" borderId="45" xfId="7" applyNumberFormat="1" applyFont="1" applyFill="1" applyBorder="1" applyAlignment="1">
      <alignment horizontal="right" vertical="center"/>
    </xf>
    <xf numFmtId="169" fontId="3" fillId="0" borderId="45" xfId="7" applyNumberFormat="1" applyFont="1" applyFill="1" applyBorder="1" applyAlignment="1">
      <alignment horizontal="right" vertical="center"/>
    </xf>
    <xf numFmtId="4" fontId="4" fillId="0" borderId="45" xfId="7" applyNumberFormat="1" applyFont="1" applyFill="1" applyBorder="1" applyAlignment="1">
      <alignment horizontal="right" vertical="center"/>
    </xf>
    <xf numFmtId="4" fontId="3" fillId="0" borderId="45" xfId="7" applyNumberFormat="1" applyFont="1" applyFill="1" applyBorder="1" applyAlignment="1">
      <alignment horizontal="right"/>
    </xf>
    <xf numFmtId="4" fontId="3" fillId="7" borderId="45" xfId="7" applyNumberFormat="1" applyFont="1" applyFill="1" applyBorder="1" applyAlignment="1">
      <alignment horizontal="right"/>
    </xf>
    <xf numFmtId="3" fontId="4" fillId="0" borderId="45" xfId="7" applyFont="1" applyFill="1" applyBorder="1" applyAlignment="1">
      <alignment horizontal="right"/>
    </xf>
    <xf numFmtId="169" fontId="3" fillId="7" borderId="45" xfId="7" applyNumberFormat="1" applyFont="1" applyFill="1" applyBorder="1" applyAlignment="1">
      <alignment horizontal="right"/>
    </xf>
    <xf numFmtId="37" fontId="4" fillId="0" borderId="45" xfId="7" applyNumberFormat="1" applyFont="1" applyFill="1" applyBorder="1" applyAlignment="1">
      <alignment horizontal="right"/>
    </xf>
    <xf numFmtId="4" fontId="4" fillId="0" borderId="45" xfId="7" applyNumberFormat="1" applyFont="1" applyFill="1" applyBorder="1" applyAlignment="1">
      <alignment horizontal="right"/>
    </xf>
    <xf numFmtId="4" fontId="3" fillId="6" borderId="45" xfId="7" applyNumberFormat="1" applyFont="1" applyFill="1" applyBorder="1" applyAlignment="1">
      <alignment horizontal="right"/>
    </xf>
    <xf numFmtId="169" fontId="4" fillId="0" borderId="45" xfId="7" applyNumberFormat="1" applyFont="1" applyFill="1" applyBorder="1" applyAlignment="1">
      <alignment horizontal="right"/>
    </xf>
    <xf numFmtId="169" fontId="3" fillId="6" borderId="45" xfId="7" applyNumberFormat="1" applyFont="1" applyFill="1" applyBorder="1" applyAlignment="1">
      <alignment horizontal="right"/>
    </xf>
    <xf numFmtId="4" fontId="3" fillId="0" borderId="45" xfId="7" applyNumberFormat="1" applyFont="1" applyFill="1" applyBorder="1" applyAlignment="1">
      <alignment horizontal="right" vertical="center"/>
    </xf>
    <xf numFmtId="177" fontId="4" fillId="0" borderId="45" xfId="2" applyNumberFormat="1" applyFont="1" applyBorder="1"/>
    <xf numFmtId="169" fontId="4" fillId="0" borderId="45" xfId="7" applyNumberFormat="1" applyFont="1" applyBorder="1" applyAlignment="1">
      <alignment horizontal="right"/>
    </xf>
    <xf numFmtId="176" fontId="18" fillId="5" borderId="45" xfId="7" applyNumberFormat="1" applyFont="1" applyFill="1" applyBorder="1"/>
    <xf numFmtId="43" fontId="4" fillId="0" borderId="45" xfId="7" applyNumberFormat="1" applyFont="1" applyBorder="1" applyAlignment="1">
      <alignment horizontal="right"/>
    </xf>
    <xf numFmtId="180" fontId="3" fillId="7" borderId="45" xfId="7" applyNumberFormat="1" applyFont="1" applyFill="1" applyBorder="1" applyAlignment="1" applyProtection="1">
      <alignment horizontal="right"/>
    </xf>
    <xf numFmtId="43" fontId="3" fillId="6" borderId="45" xfId="7" applyNumberFormat="1" applyFont="1" applyFill="1" applyBorder="1" applyAlignment="1">
      <alignment horizontal="right"/>
    </xf>
    <xf numFmtId="43" fontId="4" fillId="0" borderId="45" xfId="7" applyNumberFormat="1" applyFont="1" applyFill="1" applyBorder="1" applyAlignment="1">
      <alignment horizontal="right"/>
    </xf>
    <xf numFmtId="180" fontId="4" fillId="0" borderId="45" xfId="7" applyNumberFormat="1" applyFont="1" applyFill="1" applyBorder="1" applyAlignment="1">
      <alignment horizontal="right"/>
    </xf>
    <xf numFmtId="180" fontId="3" fillId="0" borderId="45" xfId="7" applyNumberFormat="1" applyFont="1" applyFill="1" applyBorder="1" applyAlignment="1">
      <alignment horizontal="right"/>
    </xf>
    <xf numFmtId="181" fontId="4" fillId="5" borderId="45" xfId="7" applyNumberFormat="1" applyFont="1" applyFill="1" applyBorder="1" applyAlignment="1"/>
    <xf numFmtId="0" fontId="4" fillId="0" borderId="45" xfId="2" applyFont="1" applyBorder="1"/>
    <xf numFmtId="180" fontId="4" fillId="0" borderId="45" xfId="2" applyNumberFormat="1" applyFont="1" applyBorder="1"/>
    <xf numFmtId="4" fontId="4" fillId="0" borderId="45" xfId="7" applyNumberFormat="1" applyFont="1" applyBorder="1"/>
    <xf numFmtId="3" fontId="4" fillId="0" borderId="45" xfId="7" applyFont="1" applyBorder="1"/>
    <xf numFmtId="169" fontId="3" fillId="0" borderId="45" xfId="7" applyNumberFormat="1" applyFont="1" applyBorder="1"/>
    <xf numFmtId="4" fontId="4" fillId="0" borderId="45" xfId="7" applyNumberFormat="1" applyFont="1" applyFill="1" applyBorder="1"/>
    <xf numFmtId="4" fontId="3" fillId="0" borderId="45" xfId="7" applyNumberFormat="1" applyFont="1" applyFill="1" applyBorder="1"/>
    <xf numFmtId="4" fontId="4" fillId="0" borderId="79" xfId="7" applyNumberFormat="1" applyFont="1" applyFill="1" applyBorder="1" applyAlignment="1">
      <alignment horizontal="right"/>
    </xf>
    <xf numFmtId="166" fontId="3" fillId="5" borderId="78" xfId="5" applyNumberFormat="1" applyFont="1" applyFill="1" applyBorder="1"/>
    <xf numFmtId="3" fontId="3" fillId="0" borderId="45" xfId="7" applyFont="1" applyBorder="1"/>
    <xf numFmtId="168" fontId="16" fillId="6" borderId="45" xfId="7" applyNumberFormat="1" applyFont="1" applyFill="1" applyBorder="1"/>
    <xf numFmtId="3" fontId="3" fillId="6" borderId="45" xfId="7" applyFont="1" applyFill="1" applyBorder="1"/>
    <xf numFmtId="3" fontId="4" fillId="0" borderId="45" xfId="7" applyFont="1" applyFill="1" applyBorder="1"/>
    <xf numFmtId="3" fontId="3" fillId="0" borderId="45" xfId="7" applyFont="1" applyFill="1" applyBorder="1"/>
    <xf numFmtId="3" fontId="3" fillId="0" borderId="79" xfId="7" applyFont="1" applyFill="1" applyBorder="1"/>
    <xf numFmtId="3" fontId="4" fillId="0" borderId="42" xfId="7" applyFont="1" applyFill="1" applyBorder="1" applyAlignment="1">
      <alignment horizontal="right"/>
    </xf>
    <xf numFmtId="3" fontId="4" fillId="0" borderId="79" xfId="1" applyNumberFormat="1" applyFont="1" applyBorder="1"/>
    <xf numFmtId="169" fontId="3" fillId="0" borderId="45" xfId="7" applyNumberFormat="1" applyFont="1" applyBorder="1" applyAlignment="1">
      <alignment horizontal="right"/>
    </xf>
    <xf numFmtId="169" fontId="3" fillId="0" borderId="45" xfId="7" applyNumberFormat="1" applyFont="1" applyFill="1" applyBorder="1" applyAlignment="1">
      <alignment horizontal="right"/>
    </xf>
    <xf numFmtId="3" fontId="3" fillId="0" borderId="79" xfId="7" applyFont="1" applyFill="1" applyBorder="1" applyAlignment="1">
      <alignment horizontal="right"/>
    </xf>
    <xf numFmtId="166" fontId="3" fillId="5" borderId="45" xfId="5" applyNumberFormat="1" applyFont="1" applyFill="1" applyBorder="1" applyAlignment="1">
      <alignment horizontal="right"/>
    </xf>
    <xf numFmtId="3" fontId="3" fillId="0" borderId="45" xfId="7" applyFont="1" applyFill="1" applyBorder="1" applyAlignment="1">
      <alignment horizontal="right"/>
    </xf>
    <xf numFmtId="3" fontId="3" fillId="7" borderId="45" xfId="7" applyFont="1" applyFill="1" applyBorder="1" applyAlignment="1">
      <alignment horizontal="right"/>
    </xf>
    <xf numFmtId="179" fontId="16" fillId="0" borderId="79" xfId="5" applyNumberFormat="1" applyFont="1" applyBorder="1"/>
    <xf numFmtId="181" fontId="4" fillId="5" borderId="45" xfId="7" applyNumberFormat="1" applyFont="1" applyFill="1" applyBorder="1" applyAlignment="1">
      <alignment horizontal="right"/>
    </xf>
    <xf numFmtId="181" fontId="4" fillId="0" borderId="45" xfId="7" applyNumberFormat="1" applyFont="1" applyBorder="1" applyAlignment="1" applyProtection="1">
      <alignment horizontal="right"/>
    </xf>
    <xf numFmtId="181" fontId="4" fillId="0" borderId="79" xfId="7" applyNumberFormat="1" applyFont="1" applyBorder="1" applyAlignment="1" applyProtection="1">
      <alignment horizontal="right"/>
    </xf>
    <xf numFmtId="182" fontId="4" fillId="0" borderId="45" xfId="7" quotePrefix="1" applyNumberFormat="1" applyFont="1" applyFill="1" applyBorder="1" applyAlignment="1" applyProtection="1">
      <alignment horizontal="right"/>
      <protection locked="0"/>
    </xf>
    <xf numFmtId="182" fontId="3" fillId="6" borderId="45" xfId="7" quotePrefix="1" applyNumberFormat="1" applyFont="1" applyFill="1" applyBorder="1" applyAlignment="1" applyProtection="1">
      <alignment horizontal="right"/>
      <protection locked="0"/>
    </xf>
    <xf numFmtId="181" fontId="3" fillId="0" borderId="45" xfId="7" applyNumberFormat="1" applyFont="1" applyBorder="1" applyAlignment="1" applyProtection="1">
      <alignment horizontal="right"/>
    </xf>
    <xf numFmtId="181" fontId="3" fillId="6" borderId="45" xfId="7" applyNumberFormat="1" applyFont="1" applyFill="1" applyBorder="1" applyAlignment="1" applyProtection="1">
      <alignment horizontal="right"/>
    </xf>
    <xf numFmtId="181" fontId="4" fillId="0" borderId="79" xfId="7" applyNumberFormat="1" applyFont="1" applyFill="1" applyBorder="1" applyAlignment="1" applyProtection="1">
      <alignment horizontal="right"/>
    </xf>
    <xf numFmtId="181" fontId="3" fillId="7" borderId="79" xfId="7" applyNumberFormat="1" applyFont="1" applyFill="1" applyBorder="1" applyAlignment="1" applyProtection="1">
      <alignment horizontal="right"/>
    </xf>
    <xf numFmtId="181" fontId="4" fillId="0" borderId="45" xfId="7" applyNumberFormat="1" applyFont="1" applyFill="1" applyBorder="1" applyAlignment="1" applyProtection="1">
      <alignment horizontal="right"/>
    </xf>
    <xf numFmtId="181" fontId="4" fillId="0" borderId="42" xfId="7" applyNumberFormat="1" applyFont="1" applyFill="1" applyBorder="1" applyAlignment="1" applyProtection="1">
      <alignment horizontal="right"/>
    </xf>
    <xf numFmtId="0" fontId="4" fillId="0" borderId="41" xfId="1" applyFont="1" applyBorder="1"/>
    <xf numFmtId="3" fontId="3" fillId="0" borderId="78" xfId="7" applyFont="1" applyFill="1" applyBorder="1"/>
    <xf numFmtId="3" fontId="4" fillId="0" borderId="41" xfId="7" applyFont="1" applyFill="1" applyBorder="1" applyAlignment="1">
      <alignment horizontal="right"/>
    </xf>
    <xf numFmtId="3" fontId="4" fillId="0" borderId="78" xfId="1" applyNumberFormat="1" applyFont="1" applyBorder="1"/>
    <xf numFmtId="3" fontId="3" fillId="0" borderId="78" xfId="7" applyFont="1" applyFill="1" applyBorder="1" applyAlignment="1">
      <alignment horizontal="right"/>
    </xf>
    <xf numFmtId="179" fontId="16" fillId="0" borderId="78" xfId="5" applyNumberFormat="1" applyFont="1" applyBorder="1"/>
    <xf numFmtId="181" fontId="4" fillId="0" borderId="78" xfId="7" applyNumberFormat="1" applyFont="1" applyBorder="1" applyAlignment="1" applyProtection="1">
      <alignment horizontal="right"/>
    </xf>
    <xf numFmtId="181" fontId="4" fillId="0" borderId="78" xfId="7" applyNumberFormat="1" applyFont="1" applyFill="1" applyBorder="1" applyAlignment="1" applyProtection="1">
      <alignment horizontal="right"/>
    </xf>
    <xf numFmtId="181" fontId="3" fillId="7" borderId="78" xfId="7" applyNumberFormat="1" applyFont="1" applyFill="1" applyBorder="1" applyAlignment="1" applyProtection="1">
      <alignment horizontal="right"/>
    </xf>
    <xf numFmtId="181" fontId="4" fillId="0" borderId="41" xfId="7" applyNumberFormat="1" applyFont="1" applyFill="1" applyBorder="1" applyAlignment="1" applyProtection="1">
      <alignment horizontal="right"/>
    </xf>
    <xf numFmtId="177" fontId="4" fillId="0" borderId="78" xfId="1" applyNumberFormat="1" applyFont="1" applyBorder="1"/>
    <xf numFmtId="0" fontId="3" fillId="0" borderId="10" xfId="1" applyFont="1" applyBorder="1"/>
    <xf numFmtId="166" fontId="4" fillId="0" borderId="10" xfId="10" applyNumberFormat="1" applyFont="1" applyBorder="1" applyAlignment="1">
      <alignment horizontal="left"/>
    </xf>
    <xf numFmtId="0" fontId="4" fillId="0" borderId="48" xfId="2" applyFont="1" applyBorder="1"/>
    <xf numFmtId="3" fontId="3" fillId="0" borderId="45" xfId="1" applyNumberFormat="1" applyFont="1" applyBorder="1"/>
    <xf numFmtId="10" fontId="4" fillId="0" borderId="45" xfId="1" applyNumberFormat="1" applyFont="1" applyBorder="1"/>
    <xf numFmtId="10" fontId="3" fillId="0" borderId="45" xfId="1" applyNumberFormat="1" applyFont="1" applyBorder="1"/>
    <xf numFmtId="3" fontId="30" fillId="0" borderId="20" xfId="13" applyNumberFormat="1" applyFont="1" applyBorder="1" applyAlignment="1">
      <alignment horizontal="center"/>
    </xf>
    <xf numFmtId="197" fontId="125" fillId="0" borderId="70" xfId="2" applyNumberFormat="1" applyFont="1" applyBorder="1" applyAlignment="1">
      <alignment horizontal="right"/>
    </xf>
    <xf numFmtId="197" fontId="125" fillId="0" borderId="0" xfId="2" applyNumberFormat="1" applyFont="1" applyAlignment="1">
      <alignment horizontal="right"/>
    </xf>
    <xf numFmtId="164" fontId="37" fillId="0" borderId="0" xfId="4" applyNumberFormat="1" applyFont="1" applyAlignment="1">
      <alignment horizontal="center"/>
    </xf>
    <xf numFmtId="189" fontId="94" fillId="0" borderId="0" xfId="18" applyNumberFormat="1" applyFont="1" applyAlignment="1">
      <alignment horizontal="center"/>
    </xf>
    <xf numFmtId="164" fontId="126" fillId="0" borderId="0" xfId="21" applyNumberFormat="1" applyFont="1" applyFill="1" applyAlignment="1">
      <alignment horizontal="center"/>
    </xf>
    <xf numFmtId="200" fontId="92" fillId="0" borderId="0" xfId="18" applyNumberFormat="1" applyFont="1"/>
    <xf numFmtId="189" fontId="127" fillId="0" borderId="0" xfId="18" applyNumberFormat="1" applyFont="1" applyAlignment="1">
      <alignment horizontal="center"/>
    </xf>
    <xf numFmtId="10" fontId="4" fillId="0" borderId="0" xfId="21" applyNumberFormat="1" applyFont="1" applyFill="1" applyBorder="1" applyAlignment="1">
      <alignment horizontal="right"/>
    </xf>
    <xf numFmtId="2" fontId="118" fillId="0" borderId="0" xfId="18" applyNumberFormat="1" applyFont="1" applyAlignment="1">
      <alignment horizontal="center"/>
    </xf>
    <xf numFmtId="193" fontId="106" fillId="0" borderId="0" xfId="18" applyNumberFormat="1" applyFont="1" applyAlignment="1">
      <alignment horizontal="center"/>
    </xf>
    <xf numFmtId="203" fontId="106" fillId="0" borderId="0" xfId="18" applyNumberFormat="1" applyFont="1" applyAlignment="1">
      <alignment horizontal="center"/>
    </xf>
    <xf numFmtId="200" fontId="89" fillId="0" borderId="0" xfId="18" applyNumberFormat="1" applyFont="1"/>
    <xf numFmtId="164" fontId="106" fillId="0" borderId="0" xfId="21" applyNumberFormat="1" applyFont="1" applyFill="1" applyAlignment="1">
      <alignment horizontal="center"/>
    </xf>
    <xf numFmtId="10" fontId="106" fillId="0" borderId="0" xfId="21" applyNumberFormat="1" applyFont="1" applyFill="1" applyAlignment="1">
      <alignment horizontal="center"/>
    </xf>
    <xf numFmtId="193" fontId="106" fillId="0" borderId="0" xfId="21" applyNumberFormat="1" applyFont="1" applyFill="1" applyAlignment="1">
      <alignment horizontal="center"/>
    </xf>
    <xf numFmtId="0" fontId="106" fillId="0" borderId="0" xfId="18" applyFont="1"/>
    <xf numFmtId="3" fontId="118" fillId="0" borderId="0" xfId="2" applyNumberFormat="1" applyFont="1" applyAlignment="1">
      <alignment horizontal="right"/>
    </xf>
    <xf numFmtId="3" fontId="128" fillId="0" borderId="0" xfId="2" applyNumberFormat="1" applyFont="1" applyAlignment="1">
      <alignment horizontal="right"/>
    </xf>
    <xf numFmtId="164" fontId="28" fillId="3" borderId="0" xfId="14" applyNumberFormat="1" applyFont="1" applyFill="1" applyAlignment="1">
      <alignment horizontal="center"/>
    </xf>
    <xf numFmtId="3" fontId="44" fillId="3" borderId="0" xfId="2" applyNumberFormat="1" applyFont="1" applyFill="1" applyAlignment="1">
      <alignment horizontal="center"/>
    </xf>
    <xf numFmtId="10" fontId="37" fillId="3" borderId="40" xfId="4" applyNumberFormat="1" applyFont="1" applyFill="1" applyBorder="1" applyAlignment="1">
      <alignment horizontal="center"/>
    </xf>
    <xf numFmtId="0" fontId="21" fillId="0" borderId="0" xfId="14" applyFont="1"/>
    <xf numFmtId="0" fontId="41" fillId="0" borderId="0" xfId="14" applyFont="1"/>
    <xf numFmtId="3" fontId="27" fillId="0" borderId="0" xfId="14" applyNumberFormat="1" applyFont="1" applyAlignment="1">
      <alignment horizontal="center"/>
    </xf>
    <xf numFmtId="3" fontId="20" fillId="0" borderId="0" xfId="14" applyNumberFormat="1" applyFont="1" applyAlignment="1">
      <alignment horizontal="center"/>
    </xf>
    <xf numFmtId="3" fontId="21" fillId="0" borderId="0" xfId="14" applyNumberFormat="1" applyFont="1" applyAlignment="1">
      <alignment horizontal="center"/>
    </xf>
    <xf numFmtId="164" fontId="41" fillId="3" borderId="0" xfId="14" applyNumberFormat="1" applyFont="1" applyFill="1" applyAlignment="1">
      <alignment horizontal="center"/>
    </xf>
    <xf numFmtId="164" fontId="49" fillId="3" borderId="21" xfId="4" applyNumberFormat="1" applyFont="1" applyFill="1" applyBorder="1" applyAlignment="1">
      <alignment horizontal="center"/>
    </xf>
    <xf numFmtId="164" fontId="28" fillId="0" borderId="0" xfId="4" applyNumberFormat="1" applyFont="1" applyFill="1" applyBorder="1" applyAlignment="1">
      <alignment horizontal="center"/>
    </xf>
    <xf numFmtId="3" fontId="49" fillId="0" borderId="0" xfId="0" applyNumberFormat="1" applyFont="1" applyAlignment="1">
      <alignment horizontal="center"/>
    </xf>
    <xf numFmtId="0" fontId="33" fillId="3" borderId="0" xfId="13" applyFont="1" applyFill="1" applyAlignment="1">
      <alignment horizontal="center"/>
    </xf>
    <xf numFmtId="164" fontId="21" fillId="0" borderId="0" xfId="21" applyNumberFormat="1" applyFont="1" applyAlignment="1">
      <alignment horizontal="center"/>
    </xf>
    <xf numFmtId="164" fontId="96" fillId="4" borderId="5" xfId="4" applyNumberFormat="1" applyFont="1" applyFill="1" applyBorder="1" applyAlignment="1">
      <alignment horizontal="right"/>
    </xf>
    <xf numFmtId="3" fontId="74" fillId="0" borderId="0" xfId="2" applyNumberFormat="1" applyFont="1"/>
    <xf numFmtId="0" fontId="3" fillId="2" borderId="3" xfId="2" applyFont="1" applyFill="1" applyBorder="1"/>
    <xf numFmtId="0" fontId="4" fillId="2" borderId="3" xfId="2" applyFont="1" applyFill="1" applyBorder="1"/>
    <xf numFmtId="188" fontId="44" fillId="13" borderId="0" xfId="2" applyNumberFormat="1" applyFont="1" applyFill="1" applyAlignment="1">
      <alignment horizontal="center"/>
    </xf>
    <xf numFmtId="164" fontId="36" fillId="23" borderId="0" xfId="4" applyNumberFormat="1" applyFont="1" applyFill="1" applyAlignment="1">
      <alignment horizontal="center"/>
    </xf>
    <xf numFmtId="3" fontId="124" fillId="0" borderId="0" xfId="1" applyNumberFormat="1" applyFont="1" applyAlignment="1">
      <alignment horizontal="center"/>
    </xf>
    <xf numFmtId="0" fontId="54" fillId="0" borderId="0" xfId="2" applyFont="1"/>
    <xf numFmtId="7" fontId="3" fillId="6" borderId="51" xfId="2" applyNumberFormat="1" applyFont="1" applyFill="1" applyBorder="1" applyAlignment="1">
      <alignment horizontal="center"/>
    </xf>
    <xf numFmtId="164" fontId="4" fillId="0" borderId="78" xfId="4" applyNumberFormat="1" applyFont="1" applyFill="1" applyBorder="1" applyAlignment="1">
      <alignment horizontal="center"/>
    </xf>
    <xf numFmtId="164" fontId="19" fillId="6" borderId="52" xfId="21" applyNumberFormat="1" applyFont="1" applyFill="1" applyBorder="1" applyAlignment="1">
      <alignment horizontal="center"/>
    </xf>
    <xf numFmtId="7" fontId="4" fillId="0" borderId="76" xfId="2" applyNumberFormat="1" applyFont="1" applyBorder="1" applyAlignment="1">
      <alignment horizontal="center"/>
    </xf>
    <xf numFmtId="179" fontId="3" fillId="0" borderId="0" xfId="4" applyNumberFormat="1" applyFont="1" applyFill="1" applyBorder="1" applyAlignment="1">
      <alignment horizontal="center"/>
    </xf>
    <xf numFmtId="195" fontId="3" fillId="0" borderId="0" xfId="4" applyNumberFormat="1" applyFont="1" applyFill="1" applyBorder="1" applyAlignment="1">
      <alignment horizontal="center"/>
    </xf>
    <xf numFmtId="164" fontId="40" fillId="0" borderId="0" xfId="21" applyNumberFormat="1" applyFont="1" applyAlignment="1">
      <alignment horizontal="center"/>
    </xf>
    <xf numFmtId="0" fontId="2" fillId="0" borderId="0" xfId="1" applyAlignment="1">
      <alignment horizontal="center"/>
    </xf>
    <xf numFmtId="0" fontId="81" fillId="5" borderId="0" xfId="2" applyFont="1" applyFill="1" applyAlignment="1">
      <alignment horizontal="center"/>
    </xf>
    <xf numFmtId="49" fontId="129" fillId="0" borderId="0" xfId="0" applyNumberFormat="1" applyFont="1"/>
    <xf numFmtId="49" fontId="130" fillId="0" borderId="0" xfId="0" applyNumberFormat="1" applyFont="1"/>
    <xf numFmtId="49" fontId="131" fillId="0" borderId="0" xfId="0" applyNumberFormat="1" applyFont="1" applyAlignment="1">
      <alignment horizontal="left" vertical="center"/>
    </xf>
    <xf numFmtId="49" fontId="131" fillId="0" borderId="0" xfId="0" applyNumberFormat="1" applyFont="1"/>
    <xf numFmtId="49" fontId="52" fillId="0" borderId="0" xfId="0" applyNumberFormat="1" applyFont="1"/>
    <xf numFmtId="49" fontId="132" fillId="0" borderId="0" xfId="0" applyNumberFormat="1" applyFont="1"/>
    <xf numFmtId="49" fontId="52" fillId="0" borderId="39" xfId="0" applyNumberFormat="1" applyFont="1" applyBorder="1"/>
    <xf numFmtId="0" fontId="52" fillId="0" borderId="0" xfId="0" applyFont="1"/>
    <xf numFmtId="2" fontId="129" fillId="0" borderId="0" xfId="0" applyNumberFormat="1" applyFont="1"/>
    <xf numFmtId="49" fontId="133" fillId="24" borderId="0" xfId="0" applyNumberFormat="1" applyFont="1" applyFill="1" applyAlignment="1">
      <alignment wrapText="1"/>
    </xf>
    <xf numFmtId="0" fontId="0" fillId="24" borderId="0" xfId="0" applyFill="1"/>
    <xf numFmtId="49" fontId="134" fillId="24" borderId="0" xfId="0" applyNumberFormat="1" applyFont="1" applyFill="1" applyAlignment="1">
      <alignment wrapText="1"/>
    </xf>
    <xf numFmtId="49" fontId="52" fillId="0" borderId="39" xfId="0" applyNumberFormat="1" applyFont="1" applyBorder="1"/>
  </cellXfs>
  <cellStyles count="22">
    <cellStyle name="_x000a_bidires=100_x000d_" xfId="2" xr:uid="{DB98E0B4-B4D6-4BD5-BC3A-9D2DA1E1077C}"/>
    <cellStyle name="_x000a_bidires=100_x000d_ 2" xfId="13" xr:uid="{951D7A7A-97DB-4976-B964-2E17E0E4D57D}"/>
    <cellStyle name="_x000a_bidires=100_x000d_ 2 2" xfId="14" xr:uid="{4113B678-7448-4A69-B3A7-B28CDE2F559D}"/>
    <cellStyle name="_x000a_bidires=100_x000d_ 3" xfId="15" xr:uid="{EFFDE25A-5E71-48A3-9655-A0466A6A9DC4}"/>
    <cellStyle name="Comma 2" xfId="12" xr:uid="{508EFC0C-E4B1-436B-B070-C41119D45C0B}"/>
    <cellStyle name="Comma_ASX" xfId="19" xr:uid="{FC055B53-5A6D-4699-BCAF-5AF2C5B6C7B9}"/>
    <cellStyle name="Comma_HSB_ACE" xfId="7" xr:uid="{74AF9F7D-ECDA-4E12-96E8-C6DEF9FCF0C1}"/>
    <cellStyle name="Comma_SSEML" xfId="8" xr:uid="{6FCEDEEB-5185-4253-9CD8-D27FE12D995E}"/>
    <cellStyle name="Currency_ASX" xfId="20" xr:uid="{1D9C46D9-A5DE-4A19-8360-5E6AA8006A71}"/>
    <cellStyle name="Hyperlink 2" xfId="6" xr:uid="{394271A8-65E0-4779-8E7B-5F162F4AADA9}"/>
    <cellStyle name="Normal" xfId="0" builtinId="0" customBuiltin="1"/>
    <cellStyle name="Normal 2" xfId="1" xr:uid="{2BBB1B5C-2AC9-491D-8878-CDDCD31CBFD8}"/>
    <cellStyle name="Normal 4 2" xfId="16" xr:uid="{90ACA79F-6ACD-4F17-B572-5A56F4D1844E}"/>
    <cellStyle name="Normal_ACE-OUT" xfId="5" xr:uid="{FC61D8B6-9872-4194-B835-1347B09175E5}"/>
    <cellStyle name="Normal_ASX" xfId="18" xr:uid="{9C735096-B22B-4018-A38A-3006339A0D4F}"/>
    <cellStyle name="Normal_banking template with RtN" xfId="9" xr:uid="{5641BCAC-A5F1-4625-8CCC-D4747F1AD989}"/>
    <cellStyle name="Normal_HSB_ACE" xfId="3" xr:uid="{059F1DB4-7868-4BDE-AECF-D34F56FA264B}"/>
    <cellStyle name="Normal_SSEML" xfId="10" xr:uid="{DBFB14CA-0A8B-40EF-B580-2F6BBE50D944}"/>
    <cellStyle name="Percent" xfId="21" builtinId="5"/>
    <cellStyle name="Percent 2" xfId="4" xr:uid="{4C09CE1F-87AC-4DB0-9582-074600A7B3D8}"/>
    <cellStyle name="Percent_HSB_ACE" xfId="11" xr:uid="{9B46B848-9989-4415-9BC0-EC0DCD4BE846}"/>
    <cellStyle name="result input" xfId="17" xr:uid="{46F16BDA-FF20-4AC2-95CB-35D03D8D42F1}"/>
  </cellStyles>
  <dxfs count="0"/>
  <tableStyles count="0" defaultTableStyle="TableStyleMedium2" defaultPivotStyle="PivotStyleLight16"/>
  <colors>
    <mruColors>
      <color rgb="FF0000FF"/>
      <color rgb="FFFFFF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0" Type="http://schemas.openxmlformats.org/officeDocument/2006/relationships/externalLink" Target="externalLinks/externalLink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alcChain" Target="calcChain.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areaChart>
        <c:grouping val="stacked"/>
        <c:varyColors val="0"/>
        <c:ser>
          <c:idx val="0"/>
          <c:order val="0"/>
          <c:spPr>
            <a:solidFill>
              <a:srgbClr val="9999FF"/>
            </a:solidFill>
            <a:ln w="12700">
              <a:solidFill>
                <a:srgbClr val="000000"/>
              </a:solidFill>
              <a:prstDash val="solid"/>
            </a:ln>
          </c:spPr>
          <c:val>
            <c:numRef>
              <c:f>#REF!</c:f>
              <c:numCache>
                <c:formatCode>General</c:formatCode>
                <c:ptCount val="1"/>
                <c:pt idx="0">
                  <c:v>1</c:v>
                </c:pt>
              </c:numCache>
            </c:numRef>
          </c:val>
          <c:extLst>
            <c:ext xmlns:c16="http://schemas.microsoft.com/office/drawing/2014/chart" uri="{C3380CC4-5D6E-409C-BE32-E72D297353CC}">
              <c16:uniqueId val="{00000000-4225-4A18-BCC4-684193DB6D96}"/>
            </c:ext>
          </c:extLst>
        </c:ser>
        <c:dLbls>
          <c:showLegendKey val="0"/>
          <c:showVal val="0"/>
          <c:showCatName val="0"/>
          <c:showSerName val="0"/>
          <c:showPercent val="0"/>
          <c:showBubbleSize val="0"/>
        </c:dLbls>
        <c:axId val="1287035472"/>
        <c:axId val="1"/>
      </c:areaChart>
      <c:catAx>
        <c:axId val="1287035472"/>
        <c:scaling>
          <c:orientation val="minMax"/>
        </c:scaling>
        <c:delete val="0"/>
        <c:axPos val="b"/>
        <c:title>
          <c:tx>
            <c:rich>
              <a:bodyPr/>
              <a:lstStyle/>
              <a:p>
                <a:pPr>
                  <a:defRPr sz="100" b="0" i="0" u="none" strike="noStrike" baseline="0">
                    <a:solidFill>
                      <a:srgbClr val="000000"/>
                    </a:solidFill>
                    <a:latin typeface="Arial"/>
                    <a:ea typeface="Arial"/>
                    <a:cs typeface="Arial"/>
                  </a:defRPr>
                </a:pPr>
                <a:r>
                  <a:rPr lang="en-AU"/>
                  <a:t>Years</a:t>
                </a:r>
              </a:p>
            </c:rich>
          </c:tx>
          <c:overlay val="0"/>
          <c:spPr>
            <a:noFill/>
            <a:ln w="25400">
              <a:noFill/>
            </a:ln>
          </c:spPr>
        </c:title>
        <c:numFmt formatCode="General" sourceLinked="1"/>
        <c:majorTickMark val="out"/>
        <c:minorTickMark val="none"/>
        <c:tickLblPos val="low"/>
        <c:spPr>
          <a:ln w="3175">
            <a:solidFill>
              <a:srgbClr val="000000"/>
            </a:solidFill>
            <a:prstDash val="solid"/>
          </a:ln>
        </c:spPr>
        <c:txPr>
          <a:bodyPr rot="0" vert="horz"/>
          <a:lstStyle/>
          <a:p>
            <a:pPr>
              <a:defRPr sz="100" b="0" i="0" u="none" strike="noStrike" baseline="0">
                <a:solidFill>
                  <a:srgbClr val="000000"/>
                </a:solidFill>
                <a:latin typeface="Arial"/>
                <a:ea typeface="Arial"/>
                <a:cs typeface="Arial"/>
              </a:defRPr>
            </a:pPr>
            <a:endParaRPr lang="en-US"/>
          </a:p>
        </c:txPr>
        <c:crossAx val="1"/>
        <c:crosses val="autoZero"/>
        <c:auto val="1"/>
        <c:lblAlgn val="ctr"/>
        <c:lblOffset val="100"/>
        <c:tickLblSkip val="4"/>
        <c:tickMarkSkip val="1"/>
        <c:noMultiLvlLbl val="0"/>
      </c:catAx>
      <c:valAx>
        <c:axId val="1"/>
        <c:scaling>
          <c:orientation val="minMax"/>
          <c:max val="3000"/>
          <c:min val="0"/>
        </c:scaling>
        <c:delete val="0"/>
        <c:axPos val="l"/>
        <c:majorGridlines>
          <c:spPr>
            <a:ln w="3175">
              <a:solidFill>
                <a:srgbClr val="000000"/>
              </a:solidFill>
              <a:prstDash val="sysDash"/>
            </a:ln>
          </c:spPr>
        </c:majorGridlines>
        <c:numFmt formatCode="#,##0" sourceLinked="0"/>
        <c:majorTickMark val="out"/>
        <c:minorTickMark val="none"/>
        <c:tickLblPos val="nextTo"/>
        <c:spPr>
          <a:ln w="3175">
            <a:solidFill>
              <a:srgbClr val="000000"/>
            </a:solidFill>
            <a:prstDash val="solid"/>
          </a:ln>
        </c:spPr>
        <c:txPr>
          <a:bodyPr rot="0" vert="horz"/>
          <a:lstStyle/>
          <a:p>
            <a:pPr>
              <a:defRPr sz="100" b="0" i="0" u="none" strike="noStrike" baseline="0">
                <a:solidFill>
                  <a:srgbClr val="000000"/>
                </a:solidFill>
                <a:latin typeface="Arial"/>
                <a:ea typeface="Arial"/>
                <a:cs typeface="Arial"/>
              </a:defRPr>
            </a:pPr>
            <a:endParaRPr lang="en-US"/>
          </a:p>
        </c:txPr>
        <c:crossAx val="1287035472"/>
        <c:crosses val="autoZero"/>
        <c:crossBetween val="midCat"/>
        <c:minorUnit val="50"/>
      </c:valAx>
      <c:spPr>
        <a:solidFill>
          <a:srgbClr val="FFFFFF"/>
        </a:solidFill>
        <a:ln w="25400">
          <a:noFill/>
        </a:ln>
      </c:spPr>
    </c:plotArea>
    <c:plotVisOnly val="1"/>
    <c:dispBlanksAs val="zero"/>
    <c:showDLblsOverMax val="0"/>
  </c:chart>
  <c:spPr>
    <a:solidFill>
      <a:srgbClr val="FFFFFF"/>
    </a:solidFill>
    <a:ln w="9525">
      <a:noFill/>
    </a:ln>
  </c:spPr>
  <c:txPr>
    <a:bodyPr/>
    <a:lstStyle/>
    <a:p>
      <a:pPr>
        <a:defRPr sz="150"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c:printSettings>
</c:chartSpace>
</file>

<file path=xl/drawings/_rels/drawing1.xml.rels><?xml version="1.0" encoding="UTF-8" standalone="yes"?>
<Relationships xmlns="http://schemas.openxmlformats.org/package/2006/relationships"><Relationship Id="rId2" Type="http://schemas.openxmlformats.org/officeDocument/2006/relationships/image" Target="../media/image2.gif"/><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3.png"/></Relationships>
</file>

<file path=xl/drawings/_rels/drawing3.xml.rels><?xml version="1.0" encoding="UTF-8" standalone="yes"?>
<Relationships xmlns="http://schemas.openxmlformats.org/package/2006/relationships"><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editAs="oneCell">
    <xdr:from>
      <xdr:col>0</xdr:col>
      <xdr:colOff>63500</xdr:colOff>
      <xdr:row>0</xdr:row>
      <xdr:rowOff>0</xdr:rowOff>
    </xdr:from>
    <xdr:to>
      <xdr:col>2</xdr:col>
      <xdr:colOff>406618</xdr:colOff>
      <xdr:row>1</xdr:row>
      <xdr:rowOff>5756</xdr:rowOff>
    </xdr:to>
    <xdr:pic>
      <xdr:nvPicPr>
        <xdr:cNvPr id="3" name="Picture 2">
          <a:extLst>
            <a:ext uri="{FF2B5EF4-FFF2-40B4-BE49-F238E27FC236}">
              <a16:creationId xmlns:a16="http://schemas.microsoft.com/office/drawing/2014/main" id="{568A9BCA-CC8C-874D-2D7C-4001288D16A6}"/>
            </a:ext>
          </a:extLst>
        </xdr:cNvPr>
        <xdr:cNvPicPr>
          <a:picLocks/>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63500" y="0"/>
          <a:ext cx="1562318" cy="295316"/>
        </a:xfrm>
        <a:prstGeom prst="rect">
          <a:avLst/>
        </a:prstGeom>
      </xdr:spPr>
    </xdr:pic>
    <xdr:clientData/>
  </xdr:twoCellAnchor>
  <xdr:twoCellAnchor editAs="oneCell">
    <xdr:from>
      <xdr:col>0</xdr:col>
      <xdr:colOff>127000</xdr:colOff>
      <xdr:row>196</xdr:row>
      <xdr:rowOff>0</xdr:rowOff>
    </xdr:from>
    <xdr:to>
      <xdr:col>10</xdr:col>
      <xdr:colOff>527050</xdr:colOff>
      <xdr:row>219</xdr:row>
      <xdr:rowOff>127635</xdr:rowOff>
    </xdr:to>
    <xdr:pic>
      <xdr:nvPicPr>
        <xdr:cNvPr id="5" name="Picture 4">
          <a:extLst>
            <a:ext uri="{FF2B5EF4-FFF2-40B4-BE49-F238E27FC236}">
              <a16:creationId xmlns:a16="http://schemas.microsoft.com/office/drawing/2014/main" id="{F6A387B0-2363-A3CE-03C0-9B5CB78B5B4C}"/>
            </a:ext>
          </a:extLst>
        </xdr:cNvPr>
        <xdr:cNvPicPr>
          <a:picLocks/>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127000" y="36073080"/>
          <a:ext cx="6496050" cy="4333875"/>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2</xdr:col>
      <xdr:colOff>175260</xdr:colOff>
      <xdr:row>0</xdr:row>
      <xdr:rowOff>0</xdr:rowOff>
    </xdr:from>
    <xdr:to>
      <xdr:col>2</xdr:col>
      <xdr:colOff>1920240</xdr:colOff>
      <xdr:row>0</xdr:row>
      <xdr:rowOff>0</xdr:rowOff>
    </xdr:to>
    <xdr:pic>
      <xdr:nvPicPr>
        <xdr:cNvPr id="2" name="Picture 1" descr="Black200">
          <a:extLst>
            <a:ext uri="{FF2B5EF4-FFF2-40B4-BE49-F238E27FC236}">
              <a16:creationId xmlns:a16="http://schemas.microsoft.com/office/drawing/2014/main" id="{2D1472CC-54F5-43B3-8F7B-0D1C6780FF5A}"/>
            </a:ext>
          </a:extLst>
        </xdr:cNvPr>
        <xdr:cNvPicPr>
          <a:picLocks noChangeAspect="1" noChangeArrowheads="1"/>
        </xdr:cNvPicPr>
      </xdr:nvPicPr>
      <xdr:blipFill>
        <a:blip xmlns:r="http://schemas.openxmlformats.org/officeDocument/2006/relationships" r:embed="rId1">
          <a:grayscl/>
          <a:biLevel thresh="50000"/>
          <a:extLst>
            <a:ext uri="{28A0092B-C50C-407E-A947-70E740481C1C}">
              <a14:useLocalDpi xmlns:a14="http://schemas.microsoft.com/office/drawing/2010/main" val="0"/>
            </a:ext>
          </a:extLst>
        </a:blip>
        <a:srcRect/>
        <a:stretch>
          <a:fillRect/>
        </a:stretch>
      </xdr:blipFill>
      <xdr:spPr bwMode="auto">
        <a:xfrm>
          <a:off x="543560" y="0"/>
          <a:ext cx="1744980"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3.xml><?xml version="1.0" encoding="utf-8"?>
<xdr:wsDr xmlns:xdr="http://schemas.openxmlformats.org/drawingml/2006/spreadsheetDrawing" xmlns:a="http://schemas.openxmlformats.org/drawingml/2006/main">
  <xdr:twoCellAnchor>
    <xdr:from>
      <xdr:col>4</xdr:col>
      <xdr:colOff>0</xdr:colOff>
      <xdr:row>5</xdr:row>
      <xdr:rowOff>22860</xdr:rowOff>
    </xdr:from>
    <xdr:to>
      <xdr:col>4</xdr:col>
      <xdr:colOff>0</xdr:colOff>
      <xdr:row>20</xdr:row>
      <xdr:rowOff>129540</xdr:rowOff>
    </xdr:to>
    <xdr:graphicFrame macro="">
      <xdr:nvGraphicFramePr>
        <xdr:cNvPr id="2" name="Chart 1">
          <a:extLst>
            <a:ext uri="{FF2B5EF4-FFF2-40B4-BE49-F238E27FC236}">
              <a16:creationId xmlns:a16="http://schemas.microsoft.com/office/drawing/2014/main" id="{B7F70EAD-936E-452F-93B4-C4C39C6D7BB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4</xdr:col>
      <xdr:colOff>0</xdr:colOff>
      <xdr:row>47</xdr:row>
      <xdr:rowOff>22860</xdr:rowOff>
    </xdr:from>
    <xdr:to>
      <xdr:col>4</xdr:col>
      <xdr:colOff>0</xdr:colOff>
      <xdr:row>47</xdr:row>
      <xdr:rowOff>22860</xdr:rowOff>
    </xdr:to>
    <xdr:sp macro="" textlink="">
      <xdr:nvSpPr>
        <xdr:cNvPr id="3" name="Line 4">
          <a:extLst>
            <a:ext uri="{FF2B5EF4-FFF2-40B4-BE49-F238E27FC236}">
              <a16:creationId xmlns:a16="http://schemas.microsoft.com/office/drawing/2014/main" id="{216D7EA4-050E-470A-BA22-35364473B28A}"/>
            </a:ext>
          </a:extLst>
        </xdr:cNvPr>
        <xdr:cNvSpPr>
          <a:spLocks noChangeShapeType="1"/>
        </xdr:cNvSpPr>
      </xdr:nvSpPr>
      <xdr:spPr bwMode="auto">
        <a:xfrm>
          <a:off x="3257550" y="7909560"/>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4</xdr:col>
      <xdr:colOff>0</xdr:colOff>
      <xdr:row>54</xdr:row>
      <xdr:rowOff>22860</xdr:rowOff>
    </xdr:from>
    <xdr:to>
      <xdr:col>4</xdr:col>
      <xdr:colOff>0</xdr:colOff>
      <xdr:row>54</xdr:row>
      <xdr:rowOff>22860</xdr:rowOff>
    </xdr:to>
    <xdr:sp macro="" textlink="">
      <xdr:nvSpPr>
        <xdr:cNvPr id="4" name="Line 5">
          <a:extLst>
            <a:ext uri="{FF2B5EF4-FFF2-40B4-BE49-F238E27FC236}">
              <a16:creationId xmlns:a16="http://schemas.microsoft.com/office/drawing/2014/main" id="{809A1ABB-CFD1-4554-957C-769D9C942E22}"/>
            </a:ext>
          </a:extLst>
        </xdr:cNvPr>
        <xdr:cNvSpPr>
          <a:spLocks noChangeShapeType="1"/>
        </xdr:cNvSpPr>
      </xdr:nvSpPr>
      <xdr:spPr bwMode="auto">
        <a:xfrm>
          <a:off x="3257550" y="9065260"/>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wsDr>
</file>

<file path=xl/externalLinks/_rels/externalLink1.xml.rels><?xml version="1.0" encoding="UTF-8" standalone="yes"?>
<Relationships xmlns="http://schemas.openxmlformats.org/package/2006/relationships"><Relationship Id="rId2" Type="http://schemas.openxmlformats.org/officeDocument/2006/relationships/externalLinkPath" Target="file:///\\stor127ncs3.london.ms.com\s189216\tiwarayu\Downloads\cba%20new%20model.xlsm" TargetMode="External"/><Relationship Id="rId1" Type="http://schemas.openxmlformats.org/officeDocument/2006/relationships/externalLinkPath" Target="/Users/hongsal/AppData/Local/Microsoft/Windows/INetCache/Content.Outlook/E7PBTYPA/cba%20new%20model.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Record"/>
      <sheetName val="SUMMARY"/>
      <sheetName val="MODEL"/>
      <sheetName val="tables"/>
      <sheetName val="A v E"/>
      <sheetName val="Consensus"/>
      <sheetName val="Revisions"/>
      <sheetName val="Bull Bear"/>
      <sheetName val="Price Target"/>
      <sheetName val="Price Target Detail"/>
      <sheetName val="Valuation"/>
      <sheetName val="Sensitivity Analysis"/>
      <sheetName val="Externally Linked Data"/>
      <sheetName val="ROE and PBV"/>
      <sheetName val="Preview HY"/>
      <sheetName val="mwareDates"/>
      <sheetName val="Modelware"/>
      <sheetName val="MW GEG"/>
      <sheetName val="mwareTaxoPres"/>
      <sheetName val="mwareValPrintout"/>
      <sheetName val="mwareSettings"/>
      <sheetName val="_Log"/>
    </sheetNames>
    <sheetDataSet>
      <sheetData sheetId="0"/>
      <sheetData sheetId="1"/>
      <sheetData sheetId="2"/>
      <sheetData sheetId="3">
        <row r="3">
          <cell r="BP3" t="str">
            <v>1H21</v>
          </cell>
        </row>
      </sheetData>
      <sheetData sheetId="4"/>
      <sheetData sheetId="5"/>
      <sheetData sheetId="6"/>
      <sheetData sheetId="7"/>
      <sheetData sheetId="8"/>
      <sheetData sheetId="9"/>
      <sheetData sheetId="10"/>
      <sheetData sheetId="11"/>
      <sheetData sheetId="12"/>
      <sheetData sheetId="13"/>
      <sheetData sheetId="14"/>
      <sheetData sheetId="15"/>
      <sheetData sheetId="16"/>
      <sheetData sheetId="17">
        <row r="10">
          <cell r="D10">
            <v>1</v>
          </cell>
        </row>
        <row r="12">
          <cell r="H12">
            <v>0</v>
          </cell>
        </row>
        <row r="14">
          <cell r="J14">
            <v>0</v>
          </cell>
        </row>
        <row r="15">
          <cell r="J15">
            <v>0</v>
          </cell>
        </row>
        <row r="16">
          <cell r="J16">
            <v>0</v>
          </cell>
        </row>
        <row r="17">
          <cell r="J17">
            <v>0</v>
          </cell>
        </row>
        <row r="18">
          <cell r="J18">
            <v>0</v>
          </cell>
        </row>
        <row r="20">
          <cell r="J20">
            <v>0</v>
          </cell>
        </row>
        <row r="21">
          <cell r="J21">
            <v>0</v>
          </cell>
        </row>
        <row r="23">
          <cell r="H23">
            <v>0</v>
          </cell>
        </row>
        <row r="24">
          <cell r="H24">
            <v>0</v>
          </cell>
        </row>
        <row r="25">
          <cell r="J25">
            <v>0</v>
          </cell>
        </row>
        <row r="26">
          <cell r="J26">
            <v>0</v>
          </cell>
        </row>
        <row r="28">
          <cell r="H28">
            <v>0</v>
          </cell>
        </row>
        <row r="29">
          <cell r="H29">
            <v>0</v>
          </cell>
        </row>
        <row r="30">
          <cell r="H30">
            <v>0</v>
          </cell>
        </row>
        <row r="31">
          <cell r="H31">
            <v>1</v>
          </cell>
        </row>
        <row r="32">
          <cell r="J32">
            <v>0</v>
          </cell>
        </row>
        <row r="33">
          <cell r="J33">
            <v>0</v>
          </cell>
        </row>
        <row r="34">
          <cell r="J34">
            <v>0</v>
          </cell>
        </row>
        <row r="35">
          <cell r="J35">
            <v>1</v>
          </cell>
        </row>
        <row r="36">
          <cell r="J36">
            <v>0</v>
          </cell>
        </row>
        <row r="39">
          <cell r="J39">
            <v>0</v>
          </cell>
        </row>
        <row r="40">
          <cell r="J40">
            <v>0</v>
          </cell>
        </row>
        <row r="42">
          <cell r="J42">
            <v>0</v>
          </cell>
        </row>
        <row r="43">
          <cell r="J43">
            <v>0</v>
          </cell>
        </row>
        <row r="44">
          <cell r="J44">
            <v>0</v>
          </cell>
        </row>
        <row r="45">
          <cell r="J45">
            <v>0</v>
          </cell>
        </row>
        <row r="46">
          <cell r="J46">
            <v>0</v>
          </cell>
        </row>
        <row r="48">
          <cell r="D48">
            <v>0</v>
          </cell>
        </row>
        <row r="49">
          <cell r="D49">
            <v>0</v>
          </cell>
        </row>
        <row r="50">
          <cell r="D50">
            <v>0</v>
          </cell>
        </row>
        <row r="51">
          <cell r="D51">
            <v>0</v>
          </cell>
        </row>
        <row r="54">
          <cell r="F54">
            <v>0.85</v>
          </cell>
        </row>
        <row r="55">
          <cell r="F55">
            <v>0.15</v>
          </cell>
        </row>
        <row r="58">
          <cell r="F58">
            <v>0.05</v>
          </cell>
        </row>
        <row r="59">
          <cell r="F59">
            <v>0.3</v>
          </cell>
        </row>
        <row r="60">
          <cell r="F60">
            <v>0.65</v>
          </cell>
        </row>
        <row r="63">
          <cell r="F63">
            <v>0</v>
          </cell>
        </row>
        <row r="64">
          <cell r="F64">
            <v>0</v>
          </cell>
        </row>
        <row r="65">
          <cell r="F65">
            <v>0</v>
          </cell>
        </row>
        <row r="66">
          <cell r="F66">
            <v>0</v>
          </cell>
        </row>
        <row r="67">
          <cell r="F67">
            <v>1</v>
          </cell>
        </row>
        <row r="70">
          <cell r="F70">
            <v>0</v>
          </cell>
        </row>
        <row r="71">
          <cell r="F71">
            <v>0</v>
          </cell>
        </row>
        <row r="72">
          <cell r="F72" t="str">
            <v>76-100%</v>
          </cell>
        </row>
        <row r="73">
          <cell r="F73">
            <v>0</v>
          </cell>
        </row>
        <row r="74">
          <cell r="F74">
            <v>0</v>
          </cell>
        </row>
        <row r="76">
          <cell r="F76" t="str">
            <v>76-100%</v>
          </cell>
        </row>
        <row r="77">
          <cell r="F77">
            <v>0</v>
          </cell>
        </row>
      </sheetData>
      <sheetData sheetId="18"/>
      <sheetData sheetId="19"/>
      <sheetData sheetId="20"/>
      <sheetData sheetId="21"/>
    </sheetDataSet>
  </externalBook>
</externalLink>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2.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rinterSettings" Target="../printerSettings/printerSettings1.bin"/><Relationship Id="rId1" Type="http://schemas.openxmlformats.org/officeDocument/2006/relationships/hyperlink" Target="mailto:Richard.Wiles@morganstanley.com" TargetMode="External"/></Relationships>
</file>

<file path=xl/worksheets/_rels/sheet4.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5.bin"/><Relationship Id="rId4" Type="http://schemas.openxmlformats.org/officeDocument/2006/relationships/comments" Target="../comments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E67974B-D5ED-4E94-ADE7-448AEC775AE1}">
  <dimension ref="B2:B9"/>
  <sheetViews>
    <sheetView showGridLines="0" showRowColHeaders="0" workbookViewId="0">
      <selection activeCell="Z1" sqref="Z1"/>
    </sheetView>
  </sheetViews>
  <sheetFormatPr defaultColWidth="8.85546875" defaultRowHeight="15" x14ac:dyDescent="0.25"/>
  <cols>
    <col min="1" max="1" width="8.85546875" style="1538"/>
    <col min="2" max="2" width="101.140625" style="1538" customWidth="1"/>
    <col min="3" max="16384" width="8.85546875" style="1538"/>
  </cols>
  <sheetData>
    <row r="2" spans="2:2" ht="54" x14ac:dyDescent="0.25">
      <c r="B2" s="1537" t="s">
        <v>1622</v>
      </c>
    </row>
    <row r="3" spans="2:2" ht="18" x14ac:dyDescent="0.25">
      <c r="B3" s="1537"/>
    </row>
    <row r="4" spans="2:2" ht="18" x14ac:dyDescent="0.25">
      <c r="B4" s="1537"/>
    </row>
    <row r="5" spans="2:2" ht="18" x14ac:dyDescent="0.25">
      <c r="B5" s="1537" t="s">
        <v>1623</v>
      </c>
    </row>
    <row r="6" spans="2:2" ht="18" x14ac:dyDescent="0.25">
      <c r="B6" s="1537" t="s">
        <v>1624</v>
      </c>
    </row>
    <row r="7" spans="2:2" ht="18" x14ac:dyDescent="0.25">
      <c r="B7" s="1537" t="s">
        <v>1625</v>
      </c>
    </row>
    <row r="8" spans="2:2" ht="18" x14ac:dyDescent="0.25">
      <c r="B8" s="1537"/>
    </row>
    <row r="9" spans="2:2" ht="36" x14ac:dyDescent="0.25">
      <c r="B9" s="1539" t="s">
        <v>1626</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6AAE276-7D05-4220-92D3-F02B2E30245D}">
  <dimension ref="A1:H448"/>
  <sheetViews>
    <sheetView showGridLines="0" tabSelected="1" workbookViewId="0">
      <selection activeCell="Z1" sqref="Z1"/>
    </sheetView>
  </sheetViews>
  <sheetFormatPr defaultRowHeight="15" x14ac:dyDescent="0.25"/>
  <sheetData>
    <row r="1" spans="1:8" ht="23.25" customHeight="1" x14ac:dyDescent="0.25">
      <c r="A1" s="1530"/>
      <c r="B1" s="1531"/>
      <c r="C1" s="1531"/>
      <c r="D1" s="1531"/>
      <c r="E1" s="1531"/>
      <c r="F1" s="1531"/>
      <c r="G1" s="1531"/>
      <c r="H1" s="1531"/>
    </row>
    <row r="2" spans="1:8" x14ac:dyDescent="0.25">
      <c r="A2" s="1528" t="s">
        <v>1191</v>
      </c>
      <c r="B2" s="1531"/>
      <c r="C2" s="1531"/>
      <c r="D2" s="1531"/>
      <c r="E2" s="1531"/>
      <c r="F2" s="1531"/>
      <c r="G2" s="1531"/>
      <c r="H2" s="1531"/>
    </row>
    <row r="3" spans="1:8" x14ac:dyDescent="0.25">
      <c r="A3" s="1528" t="s">
        <v>1192</v>
      </c>
      <c r="B3" s="1531"/>
      <c r="C3" s="1531"/>
      <c r="D3" s="1531"/>
      <c r="E3" s="1531"/>
      <c r="F3" s="1531"/>
      <c r="G3" s="1531"/>
      <c r="H3" s="1531"/>
    </row>
    <row r="4" spans="1:8" x14ac:dyDescent="0.25">
      <c r="A4" s="1528" t="s">
        <v>1193</v>
      </c>
      <c r="B4" s="1531"/>
      <c r="C4" s="1531"/>
      <c r="D4" s="1531"/>
      <c r="E4" s="1531"/>
      <c r="F4" s="1531"/>
      <c r="G4" s="1531"/>
      <c r="H4" s="1531"/>
    </row>
    <row r="5" spans="1:8" x14ac:dyDescent="0.25">
      <c r="A5" s="1528" t="s">
        <v>1194</v>
      </c>
      <c r="B5" s="1531"/>
      <c r="C5" s="1531"/>
      <c r="D5" s="1531"/>
      <c r="E5" s="1531"/>
      <c r="F5" s="1531"/>
      <c r="G5" s="1531"/>
      <c r="H5" s="1531"/>
    </row>
    <row r="6" spans="1:8" x14ac:dyDescent="0.25">
      <c r="A6" s="1528"/>
      <c r="B6" s="1531"/>
      <c r="C6" s="1531"/>
      <c r="D6" s="1531"/>
      <c r="E6" s="1531"/>
      <c r="F6" s="1531"/>
      <c r="G6" s="1531"/>
      <c r="H6" s="1531"/>
    </row>
    <row r="7" spans="1:8" x14ac:dyDescent="0.25">
      <c r="A7" s="1528" t="s">
        <v>1195</v>
      </c>
      <c r="B7" s="1531"/>
      <c r="C7" s="1531"/>
      <c r="D7" s="1531"/>
      <c r="E7" s="1531"/>
      <c r="F7" s="1531"/>
      <c r="G7" s="1531"/>
      <c r="H7" s="1531"/>
    </row>
    <row r="8" spans="1:8" x14ac:dyDescent="0.25">
      <c r="A8" s="1528" t="s">
        <v>1196</v>
      </c>
      <c r="B8" s="1531"/>
      <c r="C8" s="1531"/>
      <c r="D8" s="1531"/>
      <c r="E8" s="1531"/>
      <c r="F8" s="1531"/>
      <c r="G8" s="1531"/>
      <c r="H8" s="1531"/>
    </row>
    <row r="9" spans="1:8" x14ac:dyDescent="0.25">
      <c r="A9" s="1528"/>
      <c r="B9" s="1531"/>
      <c r="C9" s="1531"/>
      <c r="D9" s="1531"/>
      <c r="E9" s="1531"/>
      <c r="F9" s="1531"/>
      <c r="G9" s="1531"/>
      <c r="H9" s="1531"/>
    </row>
    <row r="10" spans="1:8" x14ac:dyDescent="0.25">
      <c r="A10" s="1528" t="s">
        <v>1197</v>
      </c>
      <c r="B10" s="1531"/>
      <c r="C10" s="1531"/>
      <c r="D10" s="1531"/>
      <c r="E10" s="1531"/>
      <c r="F10" s="1531"/>
      <c r="G10" s="1531"/>
      <c r="H10" s="1531"/>
    </row>
    <row r="11" spans="1:8" x14ac:dyDescent="0.25">
      <c r="A11" s="1528" t="s">
        <v>1198</v>
      </c>
      <c r="B11" s="1531"/>
      <c r="C11" s="1531"/>
      <c r="D11" s="1531"/>
      <c r="E11" s="1531"/>
      <c r="F11" s="1531"/>
      <c r="G11" s="1531"/>
      <c r="H11" s="1531"/>
    </row>
    <row r="12" spans="1:8" x14ac:dyDescent="0.25">
      <c r="A12" s="1528" t="s">
        <v>1199</v>
      </c>
      <c r="B12" s="1531"/>
      <c r="C12" s="1531"/>
      <c r="D12" s="1531"/>
      <c r="E12" s="1531"/>
      <c r="F12" s="1531"/>
      <c r="G12" s="1531"/>
      <c r="H12" s="1531"/>
    </row>
    <row r="13" spans="1:8" x14ac:dyDescent="0.25">
      <c r="A13" s="1528" t="s">
        <v>1200</v>
      </c>
      <c r="B13" s="1531"/>
      <c r="C13" s="1531"/>
      <c r="D13" s="1531"/>
      <c r="E13" s="1531"/>
      <c r="F13" s="1531"/>
      <c r="G13" s="1531"/>
      <c r="H13" s="1531"/>
    </row>
    <row r="14" spans="1:8" x14ac:dyDescent="0.25">
      <c r="A14" s="1528" t="s">
        <v>1201</v>
      </c>
      <c r="B14" s="1531"/>
      <c r="C14" s="1531"/>
      <c r="D14" s="1531"/>
      <c r="E14" s="1531"/>
      <c r="F14" s="1531"/>
      <c r="G14" s="1531"/>
      <c r="H14" s="1531"/>
    </row>
    <row r="15" spans="1:8" x14ac:dyDescent="0.25">
      <c r="A15" s="1528" t="s">
        <v>1202</v>
      </c>
      <c r="B15" s="1531"/>
      <c r="C15" s="1531"/>
      <c r="D15" s="1531"/>
      <c r="E15" s="1531"/>
      <c r="F15" s="1531"/>
      <c r="G15" s="1531"/>
      <c r="H15" s="1531"/>
    </row>
    <row r="16" spans="1:8" x14ac:dyDescent="0.25">
      <c r="A16" s="1528"/>
      <c r="B16" s="1531"/>
      <c r="C16" s="1531"/>
      <c r="D16" s="1531"/>
      <c r="E16" s="1531"/>
      <c r="F16" s="1531"/>
      <c r="G16" s="1531"/>
      <c r="H16" s="1531"/>
    </row>
    <row r="17" spans="1:8" x14ac:dyDescent="0.25">
      <c r="A17" s="1528" t="s">
        <v>1203</v>
      </c>
      <c r="B17" s="1531"/>
      <c r="C17" s="1531"/>
      <c r="D17" s="1531"/>
      <c r="E17" s="1531"/>
      <c r="F17" s="1531"/>
      <c r="G17" s="1531"/>
      <c r="H17" s="1531"/>
    </row>
    <row r="18" spans="1:8" x14ac:dyDescent="0.25">
      <c r="A18" s="1528"/>
      <c r="B18" s="1531"/>
      <c r="C18" s="1531"/>
      <c r="D18" s="1531"/>
      <c r="E18" s="1531"/>
      <c r="F18" s="1531"/>
      <c r="G18" s="1531"/>
      <c r="H18" s="1531"/>
    </row>
    <row r="19" spans="1:8" x14ac:dyDescent="0.25">
      <c r="A19" s="1528" t="s">
        <v>1204</v>
      </c>
      <c r="B19" s="1531"/>
      <c r="C19" s="1531"/>
      <c r="D19" s="1531"/>
      <c r="E19" s="1531"/>
      <c r="F19" s="1531"/>
      <c r="G19" s="1531"/>
      <c r="H19" s="1531"/>
    </row>
    <row r="20" spans="1:8" x14ac:dyDescent="0.25">
      <c r="A20" s="1528"/>
      <c r="B20" s="1531"/>
      <c r="C20" s="1531"/>
      <c r="D20" s="1531"/>
      <c r="E20" s="1531"/>
      <c r="F20" s="1531"/>
      <c r="G20" s="1531"/>
      <c r="H20" s="1531"/>
    </row>
    <row r="21" spans="1:8" x14ac:dyDescent="0.25">
      <c r="A21" s="1529" t="s">
        <v>1205</v>
      </c>
      <c r="B21" s="1531"/>
      <c r="C21" s="1531"/>
      <c r="D21" s="1531"/>
      <c r="E21" s="1531"/>
      <c r="F21" s="1531"/>
      <c r="G21" s="1531"/>
      <c r="H21" s="1531"/>
    </row>
    <row r="22" spans="1:8" x14ac:dyDescent="0.25">
      <c r="A22" s="1531"/>
      <c r="B22" s="1531"/>
      <c r="C22" s="1531"/>
      <c r="D22" s="1531"/>
      <c r="E22" s="1531"/>
      <c r="F22" s="1531"/>
      <c r="G22" s="1531"/>
      <c r="H22" s="1531"/>
    </row>
    <row r="23" spans="1:8" x14ac:dyDescent="0.25">
      <c r="A23" s="1532" t="s">
        <v>1206</v>
      </c>
      <c r="B23" s="1531"/>
      <c r="C23" s="1531"/>
      <c r="D23" s="1531"/>
      <c r="E23" s="1531"/>
      <c r="F23" s="1531"/>
      <c r="G23" s="1531"/>
      <c r="H23" s="1531"/>
    </row>
    <row r="24" spans="1:8" x14ac:dyDescent="0.25">
      <c r="A24" s="1532" t="s">
        <v>1207</v>
      </c>
      <c r="B24" s="1531"/>
      <c r="C24" s="1531"/>
      <c r="D24" s="1531"/>
      <c r="E24" s="1531"/>
      <c r="F24" s="1531"/>
      <c r="G24" s="1531"/>
      <c r="H24" s="1531"/>
    </row>
    <row r="25" spans="1:8" x14ac:dyDescent="0.25">
      <c r="A25" s="1532" t="s">
        <v>1208</v>
      </c>
      <c r="B25" s="1531"/>
      <c r="C25" s="1531"/>
      <c r="D25" s="1531"/>
      <c r="E25" s="1531"/>
      <c r="F25" s="1531"/>
      <c r="G25" s="1531"/>
      <c r="H25" s="1531"/>
    </row>
    <row r="26" spans="1:8" x14ac:dyDescent="0.25">
      <c r="A26" s="1532" t="s">
        <v>1209</v>
      </c>
      <c r="B26" s="1531"/>
      <c r="C26" s="1531"/>
      <c r="D26" s="1531"/>
      <c r="E26" s="1531"/>
      <c r="F26" s="1531"/>
      <c r="G26" s="1531"/>
      <c r="H26" s="1531"/>
    </row>
    <row r="27" spans="1:8" x14ac:dyDescent="0.25">
      <c r="A27" s="1531"/>
      <c r="B27" s="1531"/>
      <c r="C27" s="1531"/>
      <c r="D27" s="1531"/>
      <c r="E27" s="1531"/>
      <c r="F27" s="1531"/>
      <c r="G27" s="1531"/>
      <c r="H27" s="1531"/>
    </row>
    <row r="28" spans="1:8" x14ac:dyDescent="0.25">
      <c r="A28" s="1532" t="s">
        <v>1210</v>
      </c>
      <c r="B28" s="1531"/>
      <c r="C28" s="1531"/>
      <c r="D28" s="1531"/>
      <c r="E28" s="1531"/>
      <c r="F28" s="1531"/>
      <c r="G28" s="1531"/>
      <c r="H28" s="1531"/>
    </row>
    <row r="29" spans="1:8" x14ac:dyDescent="0.25">
      <c r="A29" s="1532" t="s">
        <v>1211</v>
      </c>
      <c r="B29" s="1531"/>
      <c r="C29" s="1531"/>
      <c r="D29" s="1531"/>
      <c r="E29" s="1531"/>
      <c r="F29" s="1531"/>
      <c r="G29" s="1531"/>
      <c r="H29" s="1531"/>
    </row>
    <row r="30" spans="1:8" x14ac:dyDescent="0.25">
      <c r="A30" s="1532" t="s">
        <v>1212</v>
      </c>
      <c r="B30" s="1531"/>
      <c r="C30" s="1531"/>
      <c r="D30" s="1531"/>
      <c r="E30" s="1531"/>
      <c r="F30" s="1531"/>
      <c r="G30" s="1531"/>
      <c r="H30" s="1531"/>
    </row>
    <row r="31" spans="1:8" x14ac:dyDescent="0.25">
      <c r="A31" s="1532" t="s">
        <v>1213</v>
      </c>
      <c r="B31" s="1531"/>
      <c r="C31" s="1531"/>
      <c r="D31" s="1531"/>
      <c r="E31" s="1531"/>
      <c r="F31" s="1531"/>
      <c r="G31" s="1531"/>
      <c r="H31" s="1531"/>
    </row>
    <row r="32" spans="1:8" x14ac:dyDescent="0.25">
      <c r="A32" s="1532" t="s">
        <v>1214</v>
      </c>
      <c r="B32" s="1531"/>
      <c r="C32" s="1531"/>
      <c r="D32" s="1531"/>
      <c r="E32" s="1531"/>
      <c r="F32" s="1531"/>
      <c r="G32" s="1531"/>
      <c r="H32" s="1531"/>
    </row>
    <row r="33" spans="1:8" x14ac:dyDescent="0.25">
      <c r="A33" s="1532" t="s">
        <v>1215</v>
      </c>
      <c r="B33" s="1531"/>
      <c r="C33" s="1531"/>
      <c r="D33" s="1531"/>
      <c r="E33" s="1531"/>
      <c r="F33" s="1531"/>
      <c r="G33" s="1531"/>
      <c r="H33" s="1531"/>
    </row>
    <row r="34" spans="1:8" x14ac:dyDescent="0.25">
      <c r="A34" s="1532" t="s">
        <v>1216</v>
      </c>
      <c r="B34" s="1531"/>
      <c r="C34" s="1531"/>
      <c r="D34" s="1531"/>
      <c r="E34" s="1531"/>
      <c r="F34" s="1531"/>
      <c r="G34" s="1531"/>
      <c r="H34" s="1531"/>
    </row>
    <row r="35" spans="1:8" x14ac:dyDescent="0.25">
      <c r="A35" s="1532" t="s">
        <v>1217</v>
      </c>
      <c r="B35" s="1531"/>
      <c r="C35" s="1531"/>
      <c r="D35" s="1531"/>
      <c r="E35" s="1531"/>
      <c r="F35" s="1531"/>
      <c r="G35" s="1531"/>
      <c r="H35" s="1531"/>
    </row>
    <row r="36" spans="1:8" x14ac:dyDescent="0.25">
      <c r="A36" s="1532" t="s">
        <v>1218</v>
      </c>
      <c r="B36" s="1531"/>
      <c r="C36" s="1531"/>
      <c r="D36" s="1531"/>
      <c r="E36" s="1531"/>
      <c r="F36" s="1531"/>
      <c r="G36" s="1531"/>
      <c r="H36" s="1531"/>
    </row>
    <row r="37" spans="1:8" x14ac:dyDescent="0.25">
      <c r="A37" s="1532" t="s">
        <v>1219</v>
      </c>
      <c r="B37" s="1531"/>
      <c r="C37" s="1531"/>
      <c r="D37" s="1531"/>
      <c r="E37" s="1531"/>
      <c r="F37" s="1531"/>
      <c r="G37" s="1531"/>
      <c r="H37" s="1531"/>
    </row>
    <row r="38" spans="1:8" x14ac:dyDescent="0.25">
      <c r="A38" s="1532" t="s">
        <v>1220</v>
      </c>
      <c r="B38" s="1531"/>
      <c r="C38" s="1531"/>
      <c r="D38" s="1531"/>
      <c r="E38" s="1531"/>
      <c r="F38" s="1531"/>
      <c r="G38" s="1531"/>
      <c r="H38" s="1531"/>
    </row>
    <row r="39" spans="1:8" x14ac:dyDescent="0.25">
      <c r="A39" s="1532" t="s">
        <v>1221</v>
      </c>
      <c r="B39" s="1531"/>
      <c r="C39" s="1531"/>
      <c r="D39" s="1531"/>
      <c r="E39" s="1531"/>
      <c r="F39" s="1531"/>
      <c r="G39" s="1531"/>
      <c r="H39" s="1531"/>
    </row>
    <row r="40" spans="1:8" x14ac:dyDescent="0.25">
      <c r="A40" s="1532" t="s">
        <v>1222</v>
      </c>
      <c r="B40" s="1531"/>
      <c r="C40" s="1531"/>
      <c r="D40" s="1531"/>
      <c r="E40" s="1531"/>
      <c r="F40" s="1531"/>
      <c r="G40" s="1531"/>
      <c r="H40" s="1531"/>
    </row>
    <row r="41" spans="1:8" x14ac:dyDescent="0.25">
      <c r="A41" s="1532" t="s">
        <v>1223</v>
      </c>
      <c r="B41" s="1531"/>
      <c r="C41" s="1531"/>
      <c r="D41" s="1531"/>
      <c r="E41" s="1531"/>
      <c r="F41" s="1531"/>
      <c r="G41" s="1531"/>
      <c r="H41" s="1531"/>
    </row>
    <row r="42" spans="1:8" x14ac:dyDescent="0.25">
      <c r="A42" s="1532" t="s">
        <v>1224</v>
      </c>
      <c r="B42" s="1531"/>
      <c r="C42" s="1531"/>
      <c r="D42" s="1531"/>
      <c r="E42" s="1531"/>
      <c r="F42" s="1531"/>
      <c r="G42" s="1531"/>
      <c r="H42" s="1531"/>
    </row>
    <row r="43" spans="1:8" x14ac:dyDescent="0.25">
      <c r="A43" s="1532" t="s">
        <v>1225</v>
      </c>
      <c r="B43" s="1531"/>
      <c r="C43" s="1531"/>
      <c r="D43" s="1531"/>
      <c r="E43" s="1531"/>
      <c r="F43" s="1531"/>
      <c r="G43" s="1531"/>
      <c r="H43" s="1531"/>
    </row>
    <row r="44" spans="1:8" x14ac:dyDescent="0.25">
      <c r="A44" s="1532" t="s">
        <v>1226</v>
      </c>
      <c r="B44" s="1531"/>
      <c r="C44" s="1531"/>
      <c r="D44" s="1531"/>
      <c r="E44" s="1531"/>
      <c r="F44" s="1531"/>
      <c r="G44" s="1531"/>
      <c r="H44" s="1531"/>
    </row>
    <row r="45" spans="1:8" x14ac:dyDescent="0.25">
      <c r="A45" s="1532" t="s">
        <v>1227</v>
      </c>
      <c r="B45" s="1531"/>
      <c r="C45" s="1531"/>
      <c r="D45" s="1531"/>
      <c r="E45" s="1531"/>
      <c r="F45" s="1531"/>
      <c r="G45" s="1531"/>
      <c r="H45" s="1531"/>
    </row>
    <row r="46" spans="1:8" x14ac:dyDescent="0.25">
      <c r="A46" s="1532" t="s">
        <v>1228</v>
      </c>
      <c r="B46" s="1531"/>
      <c r="C46" s="1531"/>
      <c r="D46" s="1531"/>
      <c r="E46" s="1531"/>
      <c r="F46" s="1531"/>
      <c r="G46" s="1531"/>
      <c r="H46" s="1531"/>
    </row>
    <row r="47" spans="1:8" x14ac:dyDescent="0.25">
      <c r="A47" s="1532" t="s">
        <v>1229</v>
      </c>
      <c r="B47" s="1531"/>
      <c r="C47" s="1531"/>
      <c r="D47" s="1531"/>
      <c r="E47" s="1531"/>
      <c r="F47" s="1531"/>
      <c r="G47" s="1531"/>
      <c r="H47" s="1531"/>
    </row>
    <row r="48" spans="1:8" x14ac:dyDescent="0.25">
      <c r="A48" s="1532" t="s">
        <v>1230</v>
      </c>
      <c r="B48" s="1531"/>
      <c r="C48" s="1531"/>
      <c r="D48" s="1531"/>
      <c r="E48" s="1531"/>
      <c r="F48" s="1531"/>
      <c r="G48" s="1531"/>
      <c r="H48" s="1531"/>
    </row>
    <row r="49" spans="1:8" x14ac:dyDescent="0.25">
      <c r="A49" s="1532" t="s">
        <v>1231</v>
      </c>
      <c r="B49" s="1531"/>
      <c r="C49" s="1531"/>
      <c r="D49" s="1531"/>
      <c r="E49" s="1531"/>
      <c r="F49" s="1531"/>
      <c r="G49" s="1531"/>
      <c r="H49" s="1531"/>
    </row>
    <row r="50" spans="1:8" x14ac:dyDescent="0.25">
      <c r="A50" s="1532" t="s">
        <v>1232</v>
      </c>
      <c r="B50" s="1531"/>
      <c r="C50" s="1531"/>
      <c r="D50" s="1531"/>
      <c r="E50" s="1531"/>
      <c r="F50" s="1531"/>
      <c r="G50" s="1531"/>
      <c r="H50" s="1531"/>
    </row>
    <row r="51" spans="1:8" x14ac:dyDescent="0.25">
      <c r="A51" s="1531"/>
      <c r="B51" s="1531"/>
      <c r="C51" s="1531"/>
      <c r="D51" s="1531"/>
      <c r="E51" s="1531"/>
      <c r="F51" s="1531"/>
      <c r="G51" s="1531"/>
      <c r="H51" s="1531"/>
    </row>
    <row r="52" spans="1:8" x14ac:dyDescent="0.25">
      <c r="A52" s="1532" t="s">
        <v>1233</v>
      </c>
      <c r="B52" s="1531"/>
      <c r="C52" s="1531"/>
      <c r="D52" s="1531"/>
      <c r="E52" s="1531"/>
      <c r="F52" s="1531"/>
      <c r="G52" s="1531"/>
      <c r="H52" s="1531"/>
    </row>
    <row r="53" spans="1:8" x14ac:dyDescent="0.25">
      <c r="A53" s="1532" t="s">
        <v>1234</v>
      </c>
      <c r="B53" s="1531"/>
      <c r="C53" s="1531"/>
      <c r="D53" s="1531"/>
      <c r="E53" s="1531"/>
      <c r="F53" s="1531"/>
      <c r="G53" s="1531"/>
      <c r="H53" s="1531"/>
    </row>
    <row r="54" spans="1:8" x14ac:dyDescent="0.25">
      <c r="A54" s="1532" t="s">
        <v>1235</v>
      </c>
      <c r="B54" s="1531"/>
      <c r="C54" s="1531"/>
      <c r="D54" s="1531"/>
      <c r="E54" s="1531"/>
      <c r="F54" s="1531"/>
      <c r="G54" s="1531"/>
      <c r="H54" s="1531"/>
    </row>
    <row r="55" spans="1:8" x14ac:dyDescent="0.25">
      <c r="A55" s="1532" t="s">
        <v>1236</v>
      </c>
      <c r="B55" s="1531"/>
      <c r="C55" s="1531"/>
      <c r="D55" s="1531"/>
      <c r="E55" s="1531"/>
      <c r="F55" s="1531"/>
      <c r="G55" s="1531"/>
      <c r="H55" s="1531"/>
    </row>
    <row r="56" spans="1:8" x14ac:dyDescent="0.25">
      <c r="A56" s="1531"/>
      <c r="B56" s="1531"/>
      <c r="C56" s="1531"/>
      <c r="D56" s="1531"/>
      <c r="E56" s="1531"/>
      <c r="F56" s="1531"/>
      <c r="G56" s="1531"/>
      <c r="H56" s="1531"/>
    </row>
    <row r="57" spans="1:8" x14ac:dyDescent="0.25">
      <c r="A57" s="1532" t="s">
        <v>1237</v>
      </c>
      <c r="B57" s="1531"/>
      <c r="C57" s="1531"/>
      <c r="D57" s="1531"/>
      <c r="E57" s="1531"/>
      <c r="F57" s="1531"/>
      <c r="G57" s="1531"/>
      <c r="H57" s="1531"/>
    </row>
    <row r="58" spans="1:8" x14ac:dyDescent="0.25">
      <c r="A58" s="1532" t="s">
        <v>1238</v>
      </c>
      <c r="B58" s="1531"/>
      <c r="C58" s="1531"/>
      <c r="D58" s="1531"/>
      <c r="E58" s="1531"/>
      <c r="F58" s="1531"/>
      <c r="G58" s="1531"/>
      <c r="H58" s="1531"/>
    </row>
    <row r="59" spans="1:8" x14ac:dyDescent="0.25">
      <c r="A59" s="1532" t="s">
        <v>1239</v>
      </c>
      <c r="B59" s="1531"/>
      <c r="C59" s="1531"/>
      <c r="D59" s="1531"/>
      <c r="E59" s="1531"/>
      <c r="F59" s="1531"/>
      <c r="G59" s="1531"/>
      <c r="H59" s="1531"/>
    </row>
    <row r="60" spans="1:8" x14ac:dyDescent="0.25">
      <c r="A60" s="1532" t="s">
        <v>1240</v>
      </c>
      <c r="B60" s="1531"/>
      <c r="C60" s="1531"/>
      <c r="D60" s="1531"/>
      <c r="E60" s="1531"/>
      <c r="F60" s="1531"/>
      <c r="G60" s="1531"/>
      <c r="H60" s="1531"/>
    </row>
    <row r="61" spans="1:8" x14ac:dyDescent="0.25">
      <c r="A61" s="1532" t="s">
        <v>1241</v>
      </c>
      <c r="B61" s="1531"/>
      <c r="C61" s="1531"/>
      <c r="D61" s="1531"/>
      <c r="E61" s="1531"/>
      <c r="F61" s="1531"/>
      <c r="G61" s="1531"/>
      <c r="H61" s="1531"/>
    </row>
    <row r="62" spans="1:8" x14ac:dyDescent="0.25">
      <c r="A62" s="1532" t="s">
        <v>1242</v>
      </c>
      <c r="B62" s="1531"/>
      <c r="C62" s="1531"/>
      <c r="D62" s="1531"/>
      <c r="E62" s="1531"/>
      <c r="F62" s="1531"/>
      <c r="G62" s="1531"/>
      <c r="H62" s="1531"/>
    </row>
    <row r="63" spans="1:8" x14ac:dyDescent="0.25">
      <c r="A63" s="1531"/>
      <c r="B63" s="1531"/>
      <c r="C63" s="1531"/>
      <c r="D63" s="1531"/>
      <c r="E63" s="1531"/>
      <c r="F63" s="1531"/>
      <c r="G63" s="1531"/>
      <c r="H63" s="1531"/>
    </row>
    <row r="64" spans="1:8" ht="15.75" x14ac:dyDescent="0.25">
      <c r="A64" s="1533" t="s">
        <v>1243</v>
      </c>
      <c r="B64" s="1531"/>
      <c r="C64" s="1531"/>
      <c r="D64" s="1531"/>
      <c r="E64" s="1531"/>
      <c r="F64" s="1531"/>
      <c r="G64" s="1531"/>
      <c r="H64" s="1531"/>
    </row>
    <row r="65" spans="1:8" x14ac:dyDescent="0.25">
      <c r="A65" s="1531"/>
      <c r="B65" s="1531"/>
      <c r="C65" s="1531"/>
      <c r="D65" s="1531"/>
      <c r="E65" s="1531"/>
      <c r="F65" s="1531"/>
      <c r="G65" s="1531"/>
      <c r="H65" s="1531"/>
    </row>
    <row r="66" spans="1:8" x14ac:dyDescent="0.25">
      <c r="A66" s="1532" t="s">
        <v>1244</v>
      </c>
      <c r="B66" s="1531"/>
      <c r="C66" s="1531"/>
      <c r="D66" s="1531"/>
      <c r="E66" s="1531"/>
      <c r="F66" s="1531"/>
      <c r="G66" s="1531"/>
      <c r="H66" s="1531"/>
    </row>
    <row r="67" spans="1:8" x14ac:dyDescent="0.25">
      <c r="A67" s="1532" t="s">
        <v>1245</v>
      </c>
      <c r="B67" s="1531"/>
      <c r="C67" s="1531"/>
      <c r="D67" s="1531"/>
      <c r="E67" s="1531"/>
      <c r="F67" s="1531"/>
      <c r="G67" s="1531"/>
      <c r="H67" s="1531"/>
    </row>
    <row r="68" spans="1:8" x14ac:dyDescent="0.25">
      <c r="A68" s="1532" t="s">
        <v>1246</v>
      </c>
      <c r="B68" s="1531"/>
      <c r="C68" s="1531"/>
      <c r="D68" s="1531"/>
      <c r="E68" s="1531"/>
      <c r="F68" s="1531"/>
      <c r="G68" s="1531"/>
      <c r="H68" s="1531"/>
    </row>
    <row r="69" spans="1:8" x14ac:dyDescent="0.25">
      <c r="A69" s="1532" t="s">
        <v>1247</v>
      </c>
      <c r="B69" s="1531"/>
      <c r="C69" s="1531"/>
      <c r="D69" s="1531"/>
      <c r="E69" s="1531"/>
      <c r="F69" s="1531"/>
      <c r="G69" s="1531"/>
      <c r="H69" s="1531"/>
    </row>
    <row r="70" spans="1:8" x14ac:dyDescent="0.25">
      <c r="A70" s="1531"/>
      <c r="B70" s="1531"/>
      <c r="C70" s="1531"/>
      <c r="D70" s="1531"/>
      <c r="E70" s="1531"/>
      <c r="F70" s="1531"/>
      <c r="G70" s="1531"/>
      <c r="H70" s="1531"/>
    </row>
    <row r="71" spans="1:8" x14ac:dyDescent="0.25">
      <c r="A71" s="1532" t="s">
        <v>1248</v>
      </c>
      <c r="B71" s="1531"/>
      <c r="C71" s="1531"/>
      <c r="D71" s="1531"/>
      <c r="E71" s="1531"/>
      <c r="F71" s="1531"/>
      <c r="G71" s="1531"/>
      <c r="H71" s="1531"/>
    </row>
    <row r="72" spans="1:8" x14ac:dyDescent="0.25">
      <c r="A72" s="1531"/>
      <c r="B72" s="1531"/>
      <c r="C72" s="1531"/>
      <c r="D72" s="1531"/>
      <c r="E72" s="1531"/>
      <c r="F72" s="1531"/>
      <c r="G72" s="1531"/>
      <c r="H72" s="1531"/>
    </row>
    <row r="73" spans="1:8" ht="15.75" x14ac:dyDescent="0.25">
      <c r="A73" s="1533" t="s">
        <v>1249</v>
      </c>
      <c r="B73" s="1531"/>
      <c r="C73" s="1531"/>
      <c r="D73" s="1531"/>
      <c r="E73" s="1531"/>
      <c r="F73" s="1531"/>
      <c r="G73" s="1531"/>
      <c r="H73" s="1531"/>
    </row>
    <row r="74" spans="1:8" x14ac:dyDescent="0.25">
      <c r="A74" s="1531"/>
      <c r="B74" s="1531"/>
      <c r="C74" s="1531"/>
      <c r="D74" s="1531"/>
      <c r="E74" s="1531"/>
      <c r="F74" s="1531"/>
      <c r="G74" s="1531"/>
      <c r="H74" s="1531"/>
    </row>
    <row r="75" spans="1:8" x14ac:dyDescent="0.25">
      <c r="A75" s="1532" t="s">
        <v>1250</v>
      </c>
      <c r="B75" s="1531"/>
      <c r="C75" s="1531"/>
      <c r="D75" s="1531"/>
      <c r="E75" s="1531"/>
      <c r="F75" s="1531"/>
      <c r="G75" s="1531"/>
      <c r="H75" s="1531"/>
    </row>
    <row r="76" spans="1:8" x14ac:dyDescent="0.25">
      <c r="A76" s="1532" t="s">
        <v>1251</v>
      </c>
      <c r="B76" s="1531"/>
      <c r="C76" s="1531"/>
      <c r="D76" s="1531"/>
      <c r="E76" s="1531"/>
      <c r="F76" s="1531"/>
      <c r="G76" s="1531"/>
      <c r="H76" s="1531"/>
    </row>
    <row r="77" spans="1:8" x14ac:dyDescent="0.25">
      <c r="A77" s="1532" t="s">
        <v>1252</v>
      </c>
      <c r="B77" s="1531"/>
      <c r="C77" s="1531"/>
      <c r="D77" s="1531"/>
      <c r="E77" s="1531"/>
      <c r="F77" s="1531"/>
      <c r="G77" s="1531"/>
      <c r="H77" s="1531"/>
    </row>
    <row r="78" spans="1:8" x14ac:dyDescent="0.25">
      <c r="A78" s="1531"/>
      <c r="B78" s="1531"/>
      <c r="C78" s="1531"/>
      <c r="D78" s="1531"/>
      <c r="E78" s="1531"/>
      <c r="F78" s="1531"/>
      <c r="G78" s="1531"/>
      <c r="H78" s="1531"/>
    </row>
    <row r="79" spans="1:8" ht="15.75" x14ac:dyDescent="0.25">
      <c r="A79" s="1533" t="s">
        <v>1253</v>
      </c>
      <c r="B79" s="1531"/>
      <c r="C79" s="1531"/>
      <c r="D79" s="1531"/>
      <c r="E79" s="1531"/>
      <c r="F79" s="1531"/>
      <c r="G79" s="1531"/>
      <c r="H79" s="1531"/>
    </row>
    <row r="80" spans="1:8" x14ac:dyDescent="0.25">
      <c r="A80" s="1531"/>
      <c r="B80" s="1531"/>
      <c r="C80" s="1531"/>
      <c r="D80" s="1531"/>
      <c r="E80" s="1531"/>
      <c r="F80" s="1531"/>
      <c r="G80" s="1531"/>
      <c r="H80" s="1531"/>
    </row>
    <row r="81" spans="1:8" x14ac:dyDescent="0.25">
      <c r="A81" s="1532" t="s">
        <v>1254</v>
      </c>
      <c r="B81" s="1531"/>
      <c r="C81" s="1531"/>
      <c r="D81" s="1531"/>
      <c r="E81" s="1531"/>
      <c r="F81" s="1531"/>
      <c r="G81" s="1531"/>
      <c r="H81" s="1531"/>
    </row>
    <row r="82" spans="1:8" x14ac:dyDescent="0.25">
      <c r="A82" s="1532" t="s">
        <v>1255</v>
      </c>
      <c r="B82" s="1531"/>
      <c r="C82" s="1531"/>
      <c r="D82" s="1531"/>
      <c r="E82" s="1531"/>
      <c r="F82" s="1531"/>
      <c r="G82" s="1531"/>
      <c r="H82" s="1531"/>
    </row>
    <row r="83" spans="1:8" x14ac:dyDescent="0.25">
      <c r="A83" s="1531"/>
      <c r="B83" s="1531"/>
      <c r="C83" s="1531"/>
      <c r="D83" s="1531"/>
      <c r="E83" s="1531"/>
      <c r="F83" s="1531"/>
      <c r="G83" s="1531"/>
      <c r="H83" s="1531"/>
    </row>
    <row r="84" spans="1:8" x14ac:dyDescent="0.25">
      <c r="A84" s="1532" t="s">
        <v>1256</v>
      </c>
      <c r="B84" s="1531"/>
      <c r="C84" s="1531"/>
      <c r="D84" s="1531"/>
      <c r="E84" s="1531"/>
      <c r="F84" s="1531"/>
      <c r="G84" s="1531"/>
      <c r="H84" s="1531"/>
    </row>
    <row r="85" spans="1:8" x14ac:dyDescent="0.25">
      <c r="A85" s="1532" t="s">
        <v>1257</v>
      </c>
      <c r="B85" s="1531"/>
      <c r="C85" s="1531"/>
      <c r="D85" s="1531"/>
      <c r="E85" s="1531"/>
      <c r="F85" s="1531"/>
      <c r="G85" s="1531"/>
      <c r="H85" s="1531"/>
    </row>
    <row r="86" spans="1:8" x14ac:dyDescent="0.25">
      <c r="A86" s="1531"/>
      <c r="B86" s="1531"/>
      <c r="C86" s="1531"/>
      <c r="D86" s="1531"/>
      <c r="E86" s="1531"/>
      <c r="F86" s="1531"/>
      <c r="G86" s="1531"/>
      <c r="H86" s="1531"/>
    </row>
    <row r="87" spans="1:8" x14ac:dyDescent="0.25">
      <c r="A87" s="1532" t="s">
        <v>1258</v>
      </c>
      <c r="B87" s="1531"/>
      <c r="C87" s="1531"/>
      <c r="D87" s="1531"/>
      <c r="E87" s="1531"/>
      <c r="F87" s="1531"/>
      <c r="G87" s="1531"/>
      <c r="H87" s="1531"/>
    </row>
    <row r="88" spans="1:8" x14ac:dyDescent="0.25">
      <c r="A88" s="1532" t="s">
        <v>1259</v>
      </c>
      <c r="B88" s="1531"/>
      <c r="C88" s="1531"/>
      <c r="D88" s="1531"/>
      <c r="E88" s="1531"/>
      <c r="F88" s="1531"/>
      <c r="G88" s="1531"/>
      <c r="H88" s="1531"/>
    </row>
    <row r="89" spans="1:8" x14ac:dyDescent="0.25">
      <c r="A89" s="1531"/>
      <c r="B89" s="1531"/>
      <c r="C89" s="1531"/>
      <c r="D89" s="1531"/>
      <c r="E89" s="1531"/>
      <c r="F89" s="1531"/>
      <c r="G89" s="1531"/>
      <c r="H89" s="1531"/>
    </row>
    <row r="90" spans="1:8" x14ac:dyDescent="0.25">
      <c r="A90" s="1532" t="s">
        <v>1260</v>
      </c>
      <c r="B90" s="1531"/>
      <c r="C90" s="1531"/>
      <c r="D90" s="1531"/>
      <c r="E90" s="1531"/>
      <c r="F90" s="1531"/>
      <c r="G90" s="1531"/>
      <c r="H90" s="1531"/>
    </row>
    <row r="91" spans="1:8" x14ac:dyDescent="0.25">
      <c r="A91" s="1532" t="s">
        <v>1261</v>
      </c>
      <c r="B91" s="1531"/>
      <c r="C91" s="1531"/>
      <c r="D91" s="1531"/>
      <c r="E91" s="1531"/>
      <c r="F91" s="1531"/>
      <c r="G91" s="1531"/>
      <c r="H91" s="1531"/>
    </row>
    <row r="92" spans="1:8" x14ac:dyDescent="0.25">
      <c r="A92" s="1531"/>
      <c r="B92" s="1531"/>
      <c r="C92" s="1531"/>
      <c r="D92" s="1531"/>
      <c r="E92" s="1531"/>
      <c r="F92" s="1531"/>
      <c r="G92" s="1531"/>
      <c r="H92" s="1531"/>
    </row>
    <row r="93" spans="1:8" x14ac:dyDescent="0.25">
      <c r="A93" s="1532" t="s">
        <v>1262</v>
      </c>
      <c r="B93" s="1531"/>
      <c r="C93" s="1531"/>
      <c r="D93" s="1531"/>
      <c r="E93" s="1531"/>
      <c r="F93" s="1531"/>
      <c r="G93" s="1531"/>
      <c r="H93" s="1531"/>
    </row>
    <row r="94" spans="1:8" x14ac:dyDescent="0.25">
      <c r="A94" s="1532" t="s">
        <v>1263</v>
      </c>
      <c r="B94" s="1531"/>
      <c r="C94" s="1531"/>
      <c r="D94" s="1531"/>
      <c r="E94" s="1531"/>
      <c r="F94" s="1531"/>
      <c r="G94" s="1531"/>
      <c r="H94" s="1531"/>
    </row>
    <row r="95" spans="1:8" x14ac:dyDescent="0.25">
      <c r="A95" s="1531"/>
      <c r="B95" s="1531"/>
      <c r="C95" s="1531"/>
      <c r="D95" s="1531"/>
      <c r="E95" s="1531"/>
      <c r="F95" s="1531"/>
      <c r="G95" s="1531"/>
      <c r="H95" s="1531"/>
    </row>
    <row r="96" spans="1:8" x14ac:dyDescent="0.25">
      <c r="A96" s="1532" t="s">
        <v>1264</v>
      </c>
      <c r="B96" s="1531"/>
      <c r="C96" s="1531"/>
      <c r="D96" s="1531"/>
      <c r="E96" s="1531"/>
      <c r="F96" s="1531"/>
      <c r="G96" s="1531"/>
      <c r="H96" s="1531"/>
    </row>
    <row r="97" spans="1:8" x14ac:dyDescent="0.25">
      <c r="A97" s="1532" t="s">
        <v>1265</v>
      </c>
      <c r="B97" s="1531"/>
      <c r="C97" s="1531"/>
      <c r="D97" s="1531"/>
      <c r="E97" s="1531"/>
      <c r="F97" s="1531"/>
      <c r="G97" s="1531"/>
      <c r="H97" s="1531"/>
    </row>
    <row r="98" spans="1:8" x14ac:dyDescent="0.25">
      <c r="A98" s="1532" t="s">
        <v>1266</v>
      </c>
      <c r="B98" s="1531"/>
      <c r="C98" s="1531"/>
      <c r="D98" s="1531"/>
      <c r="E98" s="1531"/>
      <c r="F98" s="1531"/>
      <c r="G98" s="1531"/>
      <c r="H98" s="1531"/>
    </row>
    <row r="99" spans="1:8" x14ac:dyDescent="0.25">
      <c r="A99" s="1531"/>
      <c r="B99" s="1531"/>
      <c r="C99" s="1531"/>
      <c r="D99" s="1531"/>
      <c r="E99" s="1531"/>
      <c r="F99" s="1531"/>
      <c r="G99" s="1531"/>
      <c r="H99" s="1531"/>
    </row>
    <row r="100" spans="1:8" x14ac:dyDescent="0.25">
      <c r="A100" s="1532" t="s">
        <v>1267</v>
      </c>
      <c r="B100" s="1531"/>
      <c r="C100" s="1531"/>
      <c r="D100" s="1531"/>
      <c r="E100" s="1531"/>
      <c r="F100" s="1531"/>
      <c r="G100" s="1531"/>
      <c r="H100" s="1531"/>
    </row>
    <row r="101" spans="1:8" x14ac:dyDescent="0.25">
      <c r="A101" s="1532" t="s">
        <v>1268</v>
      </c>
      <c r="B101" s="1531"/>
      <c r="C101" s="1531"/>
      <c r="D101" s="1531"/>
      <c r="E101" s="1531"/>
      <c r="F101" s="1531"/>
      <c r="G101" s="1531"/>
      <c r="H101" s="1531"/>
    </row>
    <row r="102" spans="1:8" x14ac:dyDescent="0.25">
      <c r="A102" s="1532" t="s">
        <v>1269</v>
      </c>
      <c r="B102" s="1531"/>
      <c r="C102" s="1531"/>
      <c r="D102" s="1531"/>
      <c r="E102" s="1531"/>
      <c r="F102" s="1531"/>
      <c r="G102" s="1531"/>
      <c r="H102" s="1531"/>
    </row>
    <row r="103" spans="1:8" x14ac:dyDescent="0.25">
      <c r="A103" s="1532" t="s">
        <v>1270</v>
      </c>
      <c r="B103" s="1531"/>
      <c r="C103" s="1531"/>
      <c r="D103" s="1531"/>
      <c r="E103" s="1531"/>
      <c r="F103" s="1531"/>
      <c r="G103" s="1531"/>
      <c r="H103" s="1531"/>
    </row>
    <row r="104" spans="1:8" x14ac:dyDescent="0.25">
      <c r="A104" s="1532" t="s">
        <v>1271</v>
      </c>
      <c r="B104" s="1531"/>
      <c r="C104" s="1531"/>
      <c r="D104" s="1531"/>
      <c r="E104" s="1531"/>
      <c r="F104" s="1531"/>
      <c r="G104" s="1531"/>
      <c r="H104" s="1531"/>
    </row>
    <row r="105" spans="1:8" x14ac:dyDescent="0.25">
      <c r="A105" s="1532" t="s">
        <v>1272</v>
      </c>
      <c r="B105" s="1531"/>
      <c r="C105" s="1531"/>
      <c r="D105" s="1531"/>
      <c r="E105" s="1531"/>
      <c r="F105" s="1531"/>
      <c r="G105" s="1531"/>
      <c r="H105" s="1531"/>
    </row>
    <row r="106" spans="1:8" x14ac:dyDescent="0.25">
      <c r="A106" s="1531"/>
      <c r="B106" s="1531"/>
      <c r="C106" s="1531"/>
      <c r="D106" s="1531"/>
      <c r="E106" s="1531"/>
      <c r="F106" s="1531"/>
      <c r="G106" s="1531"/>
      <c r="H106" s="1531"/>
    </row>
    <row r="107" spans="1:8" x14ac:dyDescent="0.25">
      <c r="A107" s="1532" t="s">
        <v>1273</v>
      </c>
      <c r="B107" s="1531"/>
      <c r="C107" s="1531"/>
      <c r="D107" s="1531"/>
      <c r="E107" s="1531"/>
      <c r="F107" s="1531"/>
      <c r="G107" s="1531"/>
      <c r="H107" s="1531"/>
    </row>
    <row r="108" spans="1:8" x14ac:dyDescent="0.25">
      <c r="A108" s="1532" t="s">
        <v>1274</v>
      </c>
      <c r="B108" s="1531"/>
      <c r="C108" s="1531"/>
      <c r="D108" s="1531"/>
      <c r="E108" s="1531"/>
      <c r="F108" s="1531"/>
      <c r="G108" s="1531"/>
      <c r="H108" s="1531"/>
    </row>
    <row r="109" spans="1:8" x14ac:dyDescent="0.25">
      <c r="A109" s="1532" t="s">
        <v>1275</v>
      </c>
      <c r="B109" s="1531"/>
      <c r="C109" s="1531"/>
      <c r="D109" s="1531"/>
      <c r="E109" s="1531"/>
      <c r="F109" s="1531"/>
      <c r="G109" s="1531"/>
      <c r="H109" s="1531"/>
    </row>
    <row r="110" spans="1:8" x14ac:dyDescent="0.25">
      <c r="A110" s="1532" t="s">
        <v>1276</v>
      </c>
      <c r="B110" s="1531"/>
      <c r="C110" s="1531"/>
      <c r="D110" s="1531"/>
      <c r="E110" s="1531"/>
      <c r="F110" s="1531"/>
      <c r="G110" s="1531"/>
      <c r="H110" s="1531"/>
    </row>
    <row r="111" spans="1:8" x14ac:dyDescent="0.25">
      <c r="A111" s="1532" t="s">
        <v>1277</v>
      </c>
      <c r="B111" s="1531"/>
      <c r="C111" s="1531"/>
      <c r="D111" s="1531"/>
      <c r="E111" s="1531"/>
      <c r="F111" s="1531"/>
      <c r="G111" s="1531"/>
      <c r="H111" s="1531"/>
    </row>
    <row r="112" spans="1:8" x14ac:dyDescent="0.25">
      <c r="A112" s="1532" t="s">
        <v>1278</v>
      </c>
      <c r="B112" s="1531"/>
      <c r="C112" s="1531"/>
      <c r="D112" s="1531"/>
      <c r="E112" s="1531"/>
      <c r="F112" s="1531"/>
      <c r="G112" s="1531"/>
      <c r="H112" s="1531"/>
    </row>
    <row r="113" spans="1:8" x14ac:dyDescent="0.25">
      <c r="A113" s="1532" t="s">
        <v>1279</v>
      </c>
      <c r="B113" s="1531"/>
      <c r="C113" s="1531"/>
      <c r="D113" s="1531"/>
      <c r="E113" s="1531"/>
      <c r="F113" s="1531"/>
      <c r="G113" s="1531"/>
      <c r="H113" s="1531"/>
    </row>
    <row r="114" spans="1:8" x14ac:dyDescent="0.25">
      <c r="A114" s="1531"/>
      <c r="B114" s="1531"/>
      <c r="C114" s="1531"/>
      <c r="D114" s="1531"/>
      <c r="E114" s="1531"/>
      <c r="F114" s="1531"/>
      <c r="G114" s="1531"/>
      <c r="H114" s="1531"/>
    </row>
    <row r="115" spans="1:8" x14ac:dyDescent="0.25">
      <c r="A115" s="1532" t="s">
        <v>1280</v>
      </c>
      <c r="B115" s="1531"/>
      <c r="C115" s="1531"/>
      <c r="D115" s="1531"/>
      <c r="E115" s="1531"/>
      <c r="F115" s="1531"/>
      <c r="G115" s="1531"/>
      <c r="H115" s="1531"/>
    </row>
    <row r="116" spans="1:8" x14ac:dyDescent="0.25">
      <c r="A116" s="1532" t="s">
        <v>1281</v>
      </c>
      <c r="B116" s="1531"/>
      <c r="C116" s="1531"/>
      <c r="D116" s="1531"/>
      <c r="E116" s="1531"/>
      <c r="F116" s="1531"/>
      <c r="G116" s="1531"/>
      <c r="H116" s="1531"/>
    </row>
    <row r="117" spans="1:8" x14ac:dyDescent="0.25">
      <c r="A117" s="1531"/>
      <c r="B117" s="1531"/>
      <c r="C117" s="1531"/>
      <c r="D117" s="1531"/>
      <c r="E117" s="1531"/>
      <c r="F117" s="1531"/>
      <c r="G117" s="1531"/>
      <c r="H117" s="1531"/>
    </row>
    <row r="118" spans="1:8" ht="15.75" x14ac:dyDescent="0.25">
      <c r="A118" s="1533" t="s">
        <v>1282</v>
      </c>
      <c r="B118" s="1531"/>
      <c r="C118" s="1531"/>
      <c r="D118" s="1531"/>
      <c r="E118" s="1531"/>
      <c r="F118" s="1531"/>
      <c r="G118" s="1531"/>
      <c r="H118" s="1531"/>
    </row>
    <row r="119" spans="1:8" x14ac:dyDescent="0.25">
      <c r="A119" s="1531"/>
      <c r="B119" s="1531"/>
      <c r="C119" s="1531"/>
      <c r="D119" s="1531"/>
      <c r="E119" s="1531"/>
      <c r="F119" s="1531"/>
      <c r="G119" s="1531"/>
      <c r="H119" s="1531"/>
    </row>
    <row r="120" spans="1:8" x14ac:dyDescent="0.25">
      <c r="A120" s="1532" t="s">
        <v>1283</v>
      </c>
      <c r="B120" s="1531"/>
      <c r="C120" s="1531"/>
      <c r="D120" s="1531"/>
      <c r="E120" s="1531"/>
      <c r="F120" s="1531"/>
      <c r="G120" s="1531"/>
      <c r="H120" s="1531"/>
    </row>
    <row r="121" spans="1:8" x14ac:dyDescent="0.25">
      <c r="A121" s="1532" t="s">
        <v>1284</v>
      </c>
      <c r="B121" s="1531"/>
      <c r="C121" s="1531"/>
      <c r="D121" s="1531"/>
      <c r="E121" s="1531"/>
      <c r="F121" s="1531"/>
      <c r="G121" s="1531"/>
      <c r="H121" s="1531"/>
    </row>
    <row r="122" spans="1:8" x14ac:dyDescent="0.25">
      <c r="A122" s="1532" t="s">
        <v>1285</v>
      </c>
      <c r="B122" s="1531"/>
      <c r="C122" s="1531"/>
      <c r="D122" s="1531"/>
      <c r="E122" s="1531"/>
      <c r="F122" s="1531"/>
      <c r="G122" s="1531"/>
      <c r="H122" s="1531"/>
    </row>
    <row r="123" spans="1:8" x14ac:dyDescent="0.25">
      <c r="A123" s="1532" t="s">
        <v>1286</v>
      </c>
      <c r="B123" s="1531"/>
      <c r="C123" s="1531"/>
      <c r="D123" s="1531"/>
      <c r="E123" s="1531"/>
      <c r="F123" s="1531"/>
      <c r="G123" s="1531"/>
      <c r="H123" s="1531"/>
    </row>
    <row r="124" spans="1:8" x14ac:dyDescent="0.25">
      <c r="A124" s="1532" t="s">
        <v>1287</v>
      </c>
      <c r="B124" s="1531"/>
      <c r="C124" s="1531"/>
      <c r="D124" s="1531"/>
      <c r="E124" s="1531"/>
      <c r="F124" s="1531"/>
      <c r="G124" s="1531"/>
      <c r="H124" s="1531"/>
    </row>
    <row r="125" spans="1:8" x14ac:dyDescent="0.25">
      <c r="A125" s="1532" t="s">
        <v>1288</v>
      </c>
      <c r="B125" s="1531"/>
      <c r="C125" s="1531"/>
      <c r="D125" s="1531"/>
      <c r="E125" s="1531"/>
      <c r="F125" s="1531"/>
      <c r="G125" s="1531"/>
      <c r="H125" s="1531"/>
    </row>
    <row r="126" spans="1:8" x14ac:dyDescent="0.25">
      <c r="A126" s="1532" t="s">
        <v>1289</v>
      </c>
      <c r="B126" s="1531"/>
      <c r="C126" s="1531"/>
      <c r="D126" s="1531"/>
      <c r="E126" s="1531"/>
      <c r="F126" s="1531"/>
      <c r="G126" s="1531"/>
      <c r="H126" s="1531"/>
    </row>
    <row r="127" spans="1:8" x14ac:dyDescent="0.25">
      <c r="A127" s="1532" t="s">
        <v>1290</v>
      </c>
      <c r="B127" s="1531"/>
      <c r="C127" s="1531"/>
      <c r="D127" s="1531"/>
      <c r="E127" s="1531"/>
      <c r="F127" s="1531"/>
      <c r="G127" s="1531"/>
      <c r="H127" s="1531"/>
    </row>
    <row r="128" spans="1:8" x14ac:dyDescent="0.25">
      <c r="A128" s="1532" t="s">
        <v>1291</v>
      </c>
      <c r="B128" s="1531"/>
      <c r="C128" s="1531"/>
      <c r="D128" s="1531"/>
      <c r="E128" s="1531"/>
      <c r="F128" s="1531"/>
      <c r="G128" s="1531"/>
      <c r="H128" s="1531"/>
    </row>
    <row r="129" spans="1:8" x14ac:dyDescent="0.25">
      <c r="A129" s="1531"/>
      <c r="B129" s="1531"/>
      <c r="C129" s="1531"/>
      <c r="D129" s="1531"/>
      <c r="E129" s="1531"/>
      <c r="F129" s="1531"/>
      <c r="G129" s="1531"/>
      <c r="H129" s="1531"/>
    </row>
    <row r="130" spans="1:8" ht="15.75" x14ac:dyDescent="0.25">
      <c r="A130" s="1533" t="s">
        <v>1292</v>
      </c>
      <c r="B130" s="1531"/>
      <c r="C130" s="1531"/>
      <c r="D130" s="1531"/>
      <c r="E130" s="1531"/>
      <c r="F130" s="1531"/>
      <c r="G130" s="1531"/>
      <c r="H130" s="1531"/>
    </row>
    <row r="131" spans="1:8" x14ac:dyDescent="0.25">
      <c r="A131" s="1531"/>
      <c r="B131" s="1531"/>
      <c r="C131" s="1531"/>
      <c r="D131" s="1531"/>
      <c r="E131" s="1531"/>
      <c r="F131" s="1531"/>
      <c r="G131" s="1531"/>
      <c r="H131" s="1531"/>
    </row>
    <row r="132" spans="1:8" x14ac:dyDescent="0.25">
      <c r="A132" s="1532" t="s">
        <v>1293</v>
      </c>
      <c r="B132" s="1531"/>
      <c r="C132" s="1531"/>
      <c r="D132" s="1531"/>
      <c r="E132" s="1531"/>
      <c r="F132" s="1531"/>
      <c r="G132" s="1531"/>
      <c r="H132" s="1531"/>
    </row>
    <row r="133" spans="1:8" x14ac:dyDescent="0.25">
      <c r="A133" s="1531"/>
      <c r="B133" s="1531"/>
      <c r="C133" s="1531"/>
      <c r="D133" s="1531"/>
      <c r="E133" s="1531"/>
      <c r="F133" s="1531"/>
      <c r="G133" s="1531"/>
      <c r="H133" s="1531"/>
    </row>
    <row r="134" spans="1:8" x14ac:dyDescent="0.25">
      <c r="A134" s="1532" t="s">
        <v>1294</v>
      </c>
      <c r="B134" s="1531"/>
      <c r="C134" s="1531"/>
      <c r="D134" s="1531"/>
      <c r="E134" s="1531"/>
      <c r="F134" s="1531"/>
      <c r="G134" s="1531"/>
      <c r="H134" s="1531"/>
    </row>
    <row r="135" spans="1:8" x14ac:dyDescent="0.25">
      <c r="A135" s="1532" t="s">
        <v>1295</v>
      </c>
      <c r="B135" s="1531"/>
      <c r="C135" s="1531"/>
      <c r="D135" s="1531"/>
      <c r="E135" s="1531"/>
      <c r="F135" s="1531"/>
      <c r="G135" s="1531"/>
      <c r="H135" s="1531"/>
    </row>
    <row r="136" spans="1:8" x14ac:dyDescent="0.25">
      <c r="A136" s="1531"/>
      <c r="B136" s="1531"/>
      <c r="C136" s="1531"/>
      <c r="D136" s="1531"/>
      <c r="E136" s="1531"/>
      <c r="F136" s="1531"/>
      <c r="G136" s="1531"/>
      <c r="H136" s="1531"/>
    </row>
    <row r="137" spans="1:8" x14ac:dyDescent="0.25">
      <c r="A137" s="1532" t="s">
        <v>1296</v>
      </c>
      <c r="B137" s="1531"/>
      <c r="C137" s="1531"/>
      <c r="D137" s="1531"/>
      <c r="E137" s="1531"/>
      <c r="F137" s="1531"/>
      <c r="G137" s="1531"/>
      <c r="H137" s="1531"/>
    </row>
    <row r="138" spans="1:8" x14ac:dyDescent="0.25">
      <c r="A138" s="1532" t="s">
        <v>1297</v>
      </c>
      <c r="B138" s="1531"/>
      <c r="C138" s="1531"/>
      <c r="D138" s="1531"/>
      <c r="E138" s="1531"/>
      <c r="F138" s="1531"/>
      <c r="G138" s="1531"/>
      <c r="H138" s="1531"/>
    </row>
    <row r="139" spans="1:8" x14ac:dyDescent="0.25">
      <c r="A139" s="1532" t="s">
        <v>1298</v>
      </c>
      <c r="B139" s="1531"/>
      <c r="C139" s="1531"/>
      <c r="D139" s="1531"/>
      <c r="E139" s="1531"/>
      <c r="F139" s="1531"/>
      <c r="G139" s="1531"/>
      <c r="H139" s="1531"/>
    </row>
    <row r="140" spans="1:8" x14ac:dyDescent="0.25">
      <c r="A140" s="1532" t="s">
        <v>1299</v>
      </c>
      <c r="B140" s="1531"/>
      <c r="C140" s="1531"/>
      <c r="D140" s="1531"/>
      <c r="E140" s="1531"/>
      <c r="F140" s="1531"/>
      <c r="G140" s="1531"/>
      <c r="H140" s="1531"/>
    </row>
    <row r="141" spans="1:8" x14ac:dyDescent="0.25">
      <c r="A141" s="1532" t="s">
        <v>1300</v>
      </c>
      <c r="B141" s="1531"/>
      <c r="C141" s="1531"/>
      <c r="D141" s="1531"/>
      <c r="E141" s="1531"/>
      <c r="F141" s="1531"/>
      <c r="G141" s="1531"/>
      <c r="H141" s="1531"/>
    </row>
    <row r="142" spans="1:8" x14ac:dyDescent="0.25">
      <c r="A142" s="1532" t="s">
        <v>1301</v>
      </c>
      <c r="B142" s="1531"/>
      <c r="C142" s="1531"/>
      <c r="D142" s="1531"/>
      <c r="E142" s="1531"/>
      <c r="F142" s="1531"/>
      <c r="G142" s="1531"/>
      <c r="H142" s="1531"/>
    </row>
    <row r="143" spans="1:8" x14ac:dyDescent="0.25">
      <c r="A143" s="1532" t="s">
        <v>1302</v>
      </c>
      <c r="B143" s="1531"/>
      <c r="C143" s="1531"/>
      <c r="D143" s="1531"/>
      <c r="E143" s="1531"/>
      <c r="F143" s="1531"/>
      <c r="G143" s="1531"/>
      <c r="H143" s="1531"/>
    </row>
    <row r="144" spans="1:8" x14ac:dyDescent="0.25">
      <c r="A144" s="1531"/>
      <c r="B144" s="1531"/>
      <c r="C144" s="1531"/>
      <c r="D144" s="1531"/>
      <c r="E144" s="1531"/>
      <c r="F144" s="1531"/>
      <c r="G144" s="1531"/>
      <c r="H144" s="1531"/>
    </row>
    <row r="145" spans="1:8" x14ac:dyDescent="0.25">
      <c r="A145" s="1534"/>
      <c r="B145" s="1540" t="s">
        <v>1303</v>
      </c>
      <c r="C145" s="1540"/>
      <c r="D145" s="1540" t="s">
        <v>1304</v>
      </c>
      <c r="E145" s="1540"/>
      <c r="F145" s="1540"/>
      <c r="G145" s="1540" t="s">
        <v>1305</v>
      </c>
      <c r="H145" s="1540"/>
    </row>
    <row r="146" spans="1:8" x14ac:dyDescent="0.25">
      <c r="A146" s="1534" t="s">
        <v>1306</v>
      </c>
      <c r="B146" s="1534" t="s">
        <v>1307</v>
      </c>
      <c r="C146" s="1534" t="s">
        <v>686</v>
      </c>
      <c r="D146" s="1534" t="s">
        <v>1307</v>
      </c>
      <c r="E146" s="1534" t="s">
        <v>1308</v>
      </c>
      <c r="F146" s="1534" t="s">
        <v>1309</v>
      </c>
      <c r="G146" s="1534" t="s">
        <v>1307</v>
      </c>
      <c r="H146" s="1534" t="s">
        <v>1310</v>
      </c>
    </row>
    <row r="147" spans="1:8" x14ac:dyDescent="0.25">
      <c r="A147" s="1534" t="s">
        <v>1311</v>
      </c>
      <c r="B147" s="1534">
        <v>1520</v>
      </c>
      <c r="C147" s="1534">
        <v>0.41</v>
      </c>
      <c r="D147" s="1534">
        <v>425</v>
      </c>
      <c r="E147" s="1534">
        <v>0.48</v>
      </c>
      <c r="F147" s="1534">
        <v>0.28000000000000003</v>
      </c>
      <c r="G147" s="1534">
        <v>685</v>
      </c>
      <c r="H147" s="1534">
        <v>0.42</v>
      </c>
    </row>
    <row r="148" spans="1:8" x14ac:dyDescent="0.25">
      <c r="A148" s="1534" t="s">
        <v>1312</v>
      </c>
      <c r="B148" s="1534">
        <v>1579</v>
      </c>
      <c r="C148" s="1534">
        <v>0.43</v>
      </c>
      <c r="D148" s="1534">
        <v>375</v>
      </c>
      <c r="E148" s="1534">
        <v>0.42</v>
      </c>
      <c r="F148" s="1534">
        <v>0.24</v>
      </c>
      <c r="G148" s="1534">
        <v>713</v>
      </c>
      <c r="H148" s="1534">
        <v>0.44</v>
      </c>
    </row>
    <row r="149" spans="1:8" x14ac:dyDescent="0.25">
      <c r="A149" s="1534" t="s">
        <v>1313</v>
      </c>
      <c r="B149" s="1534">
        <v>4</v>
      </c>
      <c r="C149" s="1534">
        <v>0</v>
      </c>
      <c r="D149" s="1534">
        <v>1</v>
      </c>
      <c r="E149" s="1534">
        <v>0</v>
      </c>
      <c r="F149" s="1534">
        <v>0.25</v>
      </c>
      <c r="G149" s="1534">
        <v>1</v>
      </c>
      <c r="H149" s="1534">
        <v>0</v>
      </c>
    </row>
    <row r="150" spans="1:8" x14ac:dyDescent="0.25">
      <c r="A150" s="1534" t="s">
        <v>1314</v>
      </c>
      <c r="B150" s="1534">
        <v>592</v>
      </c>
      <c r="C150" s="1534">
        <v>0.16</v>
      </c>
      <c r="D150" s="1534">
        <v>89</v>
      </c>
      <c r="E150" s="1534">
        <v>0.1</v>
      </c>
      <c r="F150" s="1534">
        <v>0.15</v>
      </c>
      <c r="G150" s="1534">
        <v>232</v>
      </c>
      <c r="H150" s="1534">
        <v>0.14000000000000001</v>
      </c>
    </row>
    <row r="151" spans="1:8" x14ac:dyDescent="0.25">
      <c r="A151" s="1534" t="s">
        <v>378</v>
      </c>
      <c r="B151" s="1534">
        <v>3695</v>
      </c>
      <c r="C151" s="1534"/>
      <c r="D151" s="1534">
        <v>890</v>
      </c>
      <c r="E151" s="1534"/>
      <c r="F151" s="1534"/>
      <c r="G151" s="1534">
        <v>1631</v>
      </c>
      <c r="H151" s="1534"/>
    </row>
    <row r="152" spans="1:8" x14ac:dyDescent="0.25">
      <c r="A152" s="1531"/>
      <c r="B152" s="1531"/>
      <c r="C152" s="1531"/>
      <c r="D152" s="1531"/>
      <c r="E152" s="1531"/>
      <c r="F152" s="1531"/>
      <c r="G152" s="1531"/>
      <c r="H152" s="1531"/>
    </row>
    <row r="153" spans="1:8" x14ac:dyDescent="0.25">
      <c r="A153" s="1532" t="s">
        <v>1315</v>
      </c>
      <c r="B153" s="1531"/>
      <c r="C153" s="1531"/>
      <c r="D153" s="1531"/>
      <c r="E153" s="1531"/>
      <c r="F153" s="1531"/>
      <c r="G153" s="1531"/>
      <c r="H153" s="1531"/>
    </row>
    <row r="154" spans="1:8" x14ac:dyDescent="0.25">
      <c r="A154" s="1532" t="s">
        <v>1316</v>
      </c>
      <c r="B154" s="1531"/>
      <c r="C154" s="1531"/>
      <c r="D154" s="1531"/>
      <c r="E154" s="1531"/>
      <c r="F154" s="1531"/>
      <c r="G154" s="1531"/>
      <c r="H154" s="1531"/>
    </row>
    <row r="155" spans="1:8" x14ac:dyDescent="0.25">
      <c r="A155" s="1532" t="s">
        <v>1317</v>
      </c>
      <c r="B155" s="1531"/>
      <c r="C155" s="1531"/>
      <c r="D155" s="1531"/>
      <c r="E155" s="1531"/>
      <c r="F155" s="1531"/>
      <c r="G155" s="1531"/>
      <c r="H155" s="1531"/>
    </row>
    <row r="156" spans="1:8" x14ac:dyDescent="0.25">
      <c r="A156" s="1532" t="s">
        <v>1318</v>
      </c>
      <c r="B156" s="1531"/>
      <c r="C156" s="1531"/>
      <c r="D156" s="1531"/>
      <c r="E156" s="1531"/>
      <c r="F156" s="1531"/>
      <c r="G156" s="1531"/>
      <c r="H156" s="1531"/>
    </row>
    <row r="157" spans="1:8" x14ac:dyDescent="0.25">
      <c r="A157" s="1531"/>
      <c r="B157" s="1531"/>
      <c r="C157" s="1531"/>
      <c r="D157" s="1531"/>
      <c r="E157" s="1531"/>
      <c r="F157" s="1531"/>
      <c r="G157" s="1531"/>
      <c r="H157" s="1531"/>
    </row>
    <row r="158" spans="1:8" ht="15.75" x14ac:dyDescent="0.25">
      <c r="A158" s="1533" t="s">
        <v>1319</v>
      </c>
      <c r="B158" s="1531"/>
      <c r="C158" s="1531"/>
      <c r="D158" s="1531"/>
      <c r="E158" s="1531"/>
      <c r="F158" s="1531"/>
      <c r="G158" s="1531"/>
      <c r="H158" s="1531"/>
    </row>
    <row r="159" spans="1:8" x14ac:dyDescent="0.25">
      <c r="A159" s="1531"/>
      <c r="B159" s="1531"/>
      <c r="C159" s="1531"/>
      <c r="D159" s="1531"/>
      <c r="E159" s="1531"/>
      <c r="F159" s="1531"/>
      <c r="G159" s="1531"/>
      <c r="H159" s="1531"/>
    </row>
    <row r="160" spans="1:8" x14ac:dyDescent="0.25">
      <c r="A160" s="1532" t="s">
        <v>1320</v>
      </c>
      <c r="B160" s="1531"/>
      <c r="C160" s="1531"/>
      <c r="D160" s="1531"/>
      <c r="E160" s="1531"/>
      <c r="F160" s="1531"/>
      <c r="G160" s="1531"/>
      <c r="H160" s="1531"/>
    </row>
    <row r="161" spans="1:8" x14ac:dyDescent="0.25">
      <c r="A161" s="1532" t="s">
        <v>1321</v>
      </c>
      <c r="B161" s="1531"/>
      <c r="C161" s="1531"/>
      <c r="D161" s="1531"/>
      <c r="E161" s="1531"/>
      <c r="F161" s="1531"/>
      <c r="G161" s="1531"/>
      <c r="H161" s="1531"/>
    </row>
    <row r="162" spans="1:8" x14ac:dyDescent="0.25">
      <c r="A162" s="1531"/>
      <c r="B162" s="1531"/>
      <c r="C162" s="1531"/>
      <c r="D162" s="1531"/>
      <c r="E162" s="1531"/>
      <c r="F162" s="1531"/>
      <c r="G162" s="1531"/>
      <c r="H162" s="1531"/>
    </row>
    <row r="163" spans="1:8" x14ac:dyDescent="0.25">
      <c r="A163" s="1532" t="s">
        <v>1322</v>
      </c>
      <c r="B163" s="1531"/>
      <c r="C163" s="1531"/>
      <c r="D163" s="1531"/>
      <c r="E163" s="1531"/>
      <c r="F163" s="1531"/>
      <c r="G163" s="1531"/>
      <c r="H163" s="1531"/>
    </row>
    <row r="164" spans="1:8" x14ac:dyDescent="0.25">
      <c r="A164" s="1532" t="s">
        <v>1323</v>
      </c>
      <c r="B164" s="1531"/>
      <c r="C164" s="1531"/>
      <c r="D164" s="1531"/>
      <c r="E164" s="1531"/>
      <c r="F164" s="1531"/>
      <c r="G164" s="1531"/>
      <c r="H164" s="1531"/>
    </row>
    <row r="165" spans="1:8" x14ac:dyDescent="0.25">
      <c r="A165" s="1532" t="s">
        <v>1324</v>
      </c>
      <c r="B165" s="1531"/>
      <c r="C165" s="1531"/>
      <c r="D165" s="1531"/>
      <c r="E165" s="1531"/>
      <c r="F165" s="1531"/>
      <c r="G165" s="1531"/>
      <c r="H165" s="1531"/>
    </row>
    <row r="166" spans="1:8" x14ac:dyDescent="0.25">
      <c r="A166" s="1531"/>
      <c r="B166" s="1531"/>
      <c r="C166" s="1531"/>
      <c r="D166" s="1531"/>
      <c r="E166" s="1531"/>
      <c r="F166" s="1531"/>
      <c r="G166" s="1531"/>
      <c r="H166" s="1531"/>
    </row>
    <row r="167" spans="1:8" x14ac:dyDescent="0.25">
      <c r="A167" s="1532" t="s">
        <v>1325</v>
      </c>
      <c r="B167" s="1531"/>
      <c r="C167" s="1531"/>
      <c r="D167" s="1531"/>
      <c r="E167" s="1531"/>
      <c r="F167" s="1531"/>
      <c r="G167" s="1531"/>
      <c r="H167" s="1531"/>
    </row>
    <row r="168" spans="1:8" x14ac:dyDescent="0.25">
      <c r="A168" s="1532" t="s">
        <v>1326</v>
      </c>
      <c r="B168" s="1531"/>
      <c r="C168" s="1531"/>
      <c r="D168" s="1531"/>
      <c r="E168" s="1531"/>
      <c r="F168" s="1531"/>
      <c r="G168" s="1531"/>
      <c r="H168" s="1531"/>
    </row>
    <row r="169" spans="1:8" x14ac:dyDescent="0.25">
      <c r="A169" s="1532" t="s">
        <v>1327</v>
      </c>
      <c r="B169" s="1531"/>
      <c r="C169" s="1531"/>
      <c r="D169" s="1531"/>
      <c r="E169" s="1531"/>
      <c r="F169" s="1531"/>
      <c r="G169" s="1531"/>
      <c r="H169" s="1531"/>
    </row>
    <row r="170" spans="1:8" x14ac:dyDescent="0.25">
      <c r="A170" s="1531"/>
      <c r="B170" s="1531"/>
      <c r="C170" s="1531"/>
      <c r="D170" s="1531"/>
      <c r="E170" s="1531"/>
      <c r="F170" s="1531"/>
      <c r="G170" s="1531"/>
      <c r="H170" s="1531"/>
    </row>
    <row r="171" spans="1:8" x14ac:dyDescent="0.25">
      <c r="A171" s="1532" t="s">
        <v>1328</v>
      </c>
      <c r="B171" s="1531"/>
      <c r="C171" s="1531"/>
      <c r="D171" s="1531"/>
      <c r="E171" s="1531"/>
      <c r="F171" s="1531"/>
      <c r="G171" s="1531"/>
      <c r="H171" s="1531"/>
    </row>
    <row r="172" spans="1:8" x14ac:dyDescent="0.25">
      <c r="A172" s="1532" t="s">
        <v>1329</v>
      </c>
      <c r="B172" s="1531"/>
      <c r="C172" s="1531"/>
      <c r="D172" s="1531"/>
      <c r="E172" s="1531"/>
      <c r="F172" s="1531"/>
      <c r="G172" s="1531"/>
      <c r="H172" s="1531"/>
    </row>
    <row r="173" spans="1:8" x14ac:dyDescent="0.25">
      <c r="A173" s="1532" t="s">
        <v>1330</v>
      </c>
      <c r="B173" s="1531"/>
      <c r="C173" s="1531"/>
      <c r="D173" s="1531"/>
      <c r="E173" s="1531"/>
      <c r="F173" s="1531"/>
      <c r="G173" s="1531"/>
      <c r="H173" s="1531"/>
    </row>
    <row r="174" spans="1:8" x14ac:dyDescent="0.25">
      <c r="A174" s="1531"/>
      <c r="B174" s="1531"/>
      <c r="C174" s="1531"/>
      <c r="D174" s="1531"/>
      <c r="E174" s="1531"/>
      <c r="F174" s="1531"/>
      <c r="G174" s="1531"/>
      <c r="H174" s="1531"/>
    </row>
    <row r="175" spans="1:8" x14ac:dyDescent="0.25">
      <c r="A175" s="1532" t="s">
        <v>1331</v>
      </c>
      <c r="B175" s="1531"/>
      <c r="C175" s="1531"/>
      <c r="D175" s="1531"/>
      <c r="E175" s="1531"/>
      <c r="F175" s="1531"/>
      <c r="G175" s="1531"/>
      <c r="H175" s="1531"/>
    </row>
    <row r="176" spans="1:8" x14ac:dyDescent="0.25">
      <c r="A176" s="1532" t="s">
        <v>1332</v>
      </c>
      <c r="B176" s="1531"/>
      <c r="C176" s="1531"/>
      <c r="D176" s="1531"/>
      <c r="E176" s="1531"/>
      <c r="F176" s="1531"/>
      <c r="G176" s="1531"/>
      <c r="H176" s="1531"/>
    </row>
    <row r="177" spans="1:8" x14ac:dyDescent="0.25">
      <c r="A177" s="1531"/>
      <c r="B177" s="1531"/>
      <c r="C177" s="1531"/>
      <c r="D177" s="1531"/>
      <c r="E177" s="1531"/>
      <c r="F177" s="1531"/>
      <c r="G177" s="1531"/>
      <c r="H177" s="1531"/>
    </row>
    <row r="178" spans="1:8" ht="15.75" x14ac:dyDescent="0.25">
      <c r="A178" s="1533" t="s">
        <v>1333</v>
      </c>
      <c r="B178" s="1531"/>
      <c r="C178" s="1531"/>
      <c r="D178" s="1531"/>
      <c r="E178" s="1531"/>
      <c r="F178" s="1531"/>
      <c r="G178" s="1531"/>
      <c r="H178" s="1531"/>
    </row>
    <row r="179" spans="1:8" x14ac:dyDescent="0.25">
      <c r="A179" s="1531"/>
      <c r="B179" s="1531"/>
      <c r="C179" s="1531"/>
      <c r="D179" s="1531"/>
      <c r="E179" s="1531"/>
      <c r="F179" s="1531"/>
      <c r="G179" s="1531"/>
      <c r="H179" s="1531"/>
    </row>
    <row r="180" spans="1:8" x14ac:dyDescent="0.25">
      <c r="A180" s="1532" t="s">
        <v>1334</v>
      </c>
      <c r="B180" s="1531"/>
      <c r="C180" s="1531"/>
      <c r="D180" s="1531"/>
      <c r="E180" s="1531"/>
      <c r="F180" s="1531"/>
      <c r="G180" s="1531"/>
      <c r="H180" s="1531"/>
    </row>
    <row r="181" spans="1:8" x14ac:dyDescent="0.25">
      <c r="A181" s="1532" t="s">
        <v>1335</v>
      </c>
      <c r="B181" s="1531"/>
      <c r="C181" s="1531"/>
      <c r="D181" s="1531"/>
      <c r="E181" s="1531"/>
      <c r="F181" s="1531"/>
      <c r="G181" s="1531"/>
      <c r="H181" s="1531"/>
    </row>
    <row r="182" spans="1:8" x14ac:dyDescent="0.25">
      <c r="A182" s="1531"/>
      <c r="B182" s="1531"/>
      <c r="C182" s="1531"/>
      <c r="D182" s="1531"/>
      <c r="E182" s="1531"/>
      <c r="F182" s="1531"/>
      <c r="G182" s="1531"/>
      <c r="H182" s="1531"/>
    </row>
    <row r="183" spans="1:8" x14ac:dyDescent="0.25">
      <c r="A183" s="1532" t="s">
        <v>1336</v>
      </c>
      <c r="B183" s="1531"/>
      <c r="C183" s="1531"/>
      <c r="D183" s="1531"/>
      <c r="E183" s="1531"/>
      <c r="F183" s="1531"/>
      <c r="G183" s="1531"/>
      <c r="H183" s="1531"/>
    </row>
    <row r="184" spans="1:8" x14ac:dyDescent="0.25">
      <c r="A184" s="1532" t="s">
        <v>1337</v>
      </c>
      <c r="B184" s="1531"/>
      <c r="C184" s="1531"/>
      <c r="D184" s="1531"/>
      <c r="E184" s="1531"/>
      <c r="F184" s="1531"/>
      <c r="G184" s="1531"/>
      <c r="H184" s="1531"/>
    </row>
    <row r="185" spans="1:8" x14ac:dyDescent="0.25">
      <c r="A185" s="1531"/>
      <c r="B185" s="1531"/>
      <c r="C185" s="1531"/>
      <c r="D185" s="1531"/>
      <c r="E185" s="1531"/>
      <c r="F185" s="1531"/>
      <c r="G185" s="1531"/>
      <c r="H185" s="1531"/>
    </row>
    <row r="186" spans="1:8" x14ac:dyDescent="0.25">
      <c r="A186" s="1532" t="s">
        <v>1338</v>
      </c>
      <c r="B186" s="1531"/>
      <c r="C186" s="1531"/>
      <c r="D186" s="1531"/>
      <c r="E186" s="1531"/>
      <c r="F186" s="1531"/>
      <c r="G186" s="1531"/>
      <c r="H186" s="1531"/>
    </row>
    <row r="187" spans="1:8" x14ac:dyDescent="0.25">
      <c r="A187" s="1532" t="s">
        <v>1339</v>
      </c>
      <c r="B187" s="1531"/>
      <c r="C187" s="1531"/>
      <c r="D187" s="1531"/>
      <c r="E187" s="1531"/>
      <c r="F187" s="1531"/>
      <c r="G187" s="1531"/>
      <c r="H187" s="1531"/>
    </row>
    <row r="188" spans="1:8" x14ac:dyDescent="0.25">
      <c r="A188" s="1531"/>
      <c r="B188" s="1531"/>
      <c r="C188" s="1531"/>
      <c r="D188" s="1531"/>
      <c r="E188" s="1531"/>
      <c r="F188" s="1531"/>
      <c r="G188" s="1531"/>
      <c r="H188" s="1531"/>
    </row>
    <row r="189" spans="1:8" x14ac:dyDescent="0.25">
      <c r="A189" s="1532" t="s">
        <v>1340</v>
      </c>
      <c r="B189" s="1531"/>
      <c r="C189" s="1531"/>
      <c r="D189" s="1531"/>
      <c r="E189" s="1531"/>
      <c r="F189" s="1531"/>
      <c r="G189" s="1531"/>
      <c r="H189" s="1531"/>
    </row>
    <row r="190" spans="1:8" x14ac:dyDescent="0.25">
      <c r="A190" s="1532" t="s">
        <v>1341</v>
      </c>
      <c r="B190" s="1531"/>
      <c r="C190" s="1531"/>
      <c r="D190" s="1531"/>
      <c r="E190" s="1531"/>
      <c r="F190" s="1531"/>
      <c r="G190" s="1531"/>
      <c r="H190" s="1531"/>
    </row>
    <row r="191" spans="1:8" x14ac:dyDescent="0.25">
      <c r="A191" s="1532" t="s">
        <v>1342</v>
      </c>
      <c r="B191" s="1531"/>
      <c r="C191" s="1531"/>
      <c r="D191" s="1531"/>
      <c r="E191" s="1531"/>
      <c r="F191" s="1531"/>
      <c r="G191" s="1531"/>
      <c r="H191" s="1531"/>
    </row>
    <row r="192" spans="1:8" x14ac:dyDescent="0.25">
      <c r="A192" s="1531"/>
      <c r="B192" s="1531"/>
      <c r="C192" s="1531"/>
      <c r="D192" s="1531"/>
      <c r="E192" s="1531"/>
      <c r="F192" s="1531"/>
      <c r="G192" s="1531"/>
      <c r="H192" s="1531"/>
    </row>
    <row r="193" spans="1:8" x14ac:dyDescent="0.25">
      <c r="A193" s="1532" t="s">
        <v>1248</v>
      </c>
      <c r="B193" s="1531"/>
      <c r="C193" s="1531"/>
      <c r="D193" s="1531"/>
      <c r="E193" s="1531"/>
      <c r="F193" s="1531"/>
      <c r="G193" s="1531"/>
      <c r="H193" s="1531"/>
    </row>
    <row r="194" spans="1:8" x14ac:dyDescent="0.25">
      <c r="A194" s="1531"/>
      <c r="B194" s="1531"/>
      <c r="C194" s="1531"/>
      <c r="D194" s="1531"/>
      <c r="E194" s="1531"/>
      <c r="F194" s="1531"/>
      <c r="G194" s="1531"/>
      <c r="H194" s="1531"/>
    </row>
    <row r="195" spans="1:8" ht="15.75" x14ac:dyDescent="0.25">
      <c r="A195" s="1533" t="s">
        <v>1343</v>
      </c>
      <c r="B195" s="1531"/>
      <c r="C195" s="1531"/>
      <c r="D195" s="1531"/>
      <c r="E195" s="1531"/>
      <c r="F195" s="1531"/>
      <c r="G195" s="1531"/>
      <c r="H195" s="1531"/>
    </row>
    <row r="196" spans="1:8" x14ac:dyDescent="0.25">
      <c r="A196" s="1531"/>
      <c r="B196" s="1531"/>
      <c r="C196" s="1531"/>
      <c r="D196" s="1531"/>
      <c r="E196" s="1531"/>
      <c r="F196" s="1531"/>
      <c r="G196" s="1531"/>
      <c r="H196" s="1531"/>
    </row>
    <row r="197" spans="1:8" x14ac:dyDescent="0.25">
      <c r="A197" s="1531"/>
      <c r="B197" s="1531"/>
      <c r="C197" s="1531"/>
      <c r="D197" s="1531"/>
      <c r="E197" s="1531"/>
      <c r="F197" s="1531"/>
      <c r="G197" s="1531"/>
      <c r="H197" s="1531"/>
    </row>
    <row r="198" spans="1:8" x14ac:dyDescent="0.25">
      <c r="A198" s="1531"/>
      <c r="B198" s="1531"/>
      <c r="C198" s="1531"/>
      <c r="D198" s="1531"/>
      <c r="E198" s="1531"/>
      <c r="F198" s="1531"/>
      <c r="G198" s="1531"/>
      <c r="H198" s="1531"/>
    </row>
    <row r="199" spans="1:8" x14ac:dyDescent="0.25">
      <c r="A199" s="1531"/>
      <c r="B199" s="1531"/>
      <c r="C199" s="1531"/>
      <c r="D199" s="1531"/>
      <c r="E199" s="1531"/>
      <c r="F199" s="1531"/>
      <c r="G199" s="1531"/>
      <c r="H199" s="1531"/>
    </row>
    <row r="200" spans="1:8" x14ac:dyDescent="0.25">
      <c r="A200" s="1531"/>
      <c r="B200" s="1531"/>
      <c r="C200" s="1531"/>
      <c r="D200" s="1531"/>
      <c r="E200" s="1531"/>
      <c r="F200" s="1531"/>
      <c r="G200" s="1531"/>
      <c r="H200" s="1531"/>
    </row>
    <row r="201" spans="1:8" x14ac:dyDescent="0.25">
      <c r="A201" s="1531"/>
      <c r="B201" s="1531"/>
      <c r="C201" s="1531"/>
      <c r="D201" s="1531"/>
      <c r="E201" s="1531"/>
      <c r="F201" s="1531"/>
      <c r="G201" s="1531"/>
      <c r="H201" s="1531"/>
    </row>
    <row r="202" spans="1:8" x14ac:dyDescent="0.25">
      <c r="A202" s="1531"/>
      <c r="B202" s="1531"/>
      <c r="C202" s="1531"/>
      <c r="D202" s="1531"/>
      <c r="E202" s="1531"/>
      <c r="F202" s="1531"/>
      <c r="G202" s="1531"/>
      <c r="H202" s="1531"/>
    </row>
    <row r="203" spans="1:8" x14ac:dyDescent="0.25">
      <c r="A203" s="1531"/>
      <c r="B203" s="1531"/>
      <c r="C203" s="1531"/>
      <c r="D203" s="1531"/>
      <c r="E203" s="1531"/>
      <c r="F203" s="1531"/>
      <c r="G203" s="1531"/>
      <c r="H203" s="1531"/>
    </row>
    <row r="204" spans="1:8" x14ac:dyDescent="0.25">
      <c r="A204" s="1531"/>
      <c r="B204" s="1531"/>
      <c r="C204" s="1531"/>
      <c r="D204" s="1531"/>
      <c r="E204" s="1531"/>
      <c r="F204" s="1531"/>
      <c r="G204" s="1531"/>
      <c r="H204" s="1531"/>
    </row>
    <row r="205" spans="1:8" x14ac:dyDescent="0.25">
      <c r="A205" s="1531"/>
      <c r="B205" s="1531"/>
      <c r="C205" s="1531"/>
      <c r="D205" s="1531"/>
      <c r="E205" s="1531"/>
      <c r="F205" s="1531"/>
      <c r="G205" s="1531"/>
      <c r="H205" s="1531"/>
    </row>
    <row r="206" spans="1:8" x14ac:dyDescent="0.25">
      <c r="A206" s="1531"/>
      <c r="B206" s="1531"/>
      <c r="C206" s="1531"/>
      <c r="D206" s="1531"/>
      <c r="E206" s="1531"/>
      <c r="F206" s="1531"/>
      <c r="G206" s="1531"/>
      <c r="H206" s="1531"/>
    </row>
    <row r="207" spans="1:8" x14ac:dyDescent="0.25">
      <c r="A207" s="1531"/>
      <c r="B207" s="1531"/>
      <c r="C207" s="1531"/>
      <c r="D207" s="1531"/>
      <c r="E207" s="1531"/>
      <c r="F207" s="1531"/>
      <c r="G207" s="1531"/>
      <c r="H207" s="1531"/>
    </row>
    <row r="208" spans="1:8" x14ac:dyDescent="0.25">
      <c r="A208" s="1531"/>
      <c r="B208" s="1531"/>
      <c r="C208" s="1531"/>
      <c r="D208" s="1531"/>
      <c r="E208" s="1531"/>
      <c r="F208" s="1531"/>
      <c r="G208" s="1531"/>
      <c r="H208" s="1531"/>
    </row>
    <row r="209" spans="1:8" x14ac:dyDescent="0.25">
      <c r="A209" s="1531"/>
      <c r="B209" s="1531"/>
      <c r="C209" s="1531"/>
      <c r="D209" s="1531"/>
      <c r="E209" s="1531"/>
      <c r="F209" s="1531"/>
      <c r="G209" s="1531"/>
      <c r="H209" s="1531"/>
    </row>
    <row r="210" spans="1:8" x14ac:dyDescent="0.25">
      <c r="A210" s="1531"/>
      <c r="B210" s="1531"/>
      <c r="C210" s="1531"/>
      <c r="D210" s="1531"/>
      <c r="E210" s="1531"/>
      <c r="F210" s="1531"/>
      <c r="G210" s="1531"/>
      <c r="H210" s="1531"/>
    </row>
    <row r="211" spans="1:8" x14ac:dyDescent="0.25">
      <c r="A211" s="1531"/>
      <c r="B211" s="1531"/>
      <c r="C211" s="1531"/>
      <c r="D211" s="1531"/>
      <c r="E211" s="1531"/>
      <c r="F211" s="1531"/>
      <c r="G211" s="1531"/>
      <c r="H211" s="1531"/>
    </row>
    <row r="212" spans="1:8" x14ac:dyDescent="0.25">
      <c r="A212" s="1531"/>
      <c r="B212" s="1531"/>
      <c r="C212" s="1531"/>
      <c r="D212" s="1531"/>
      <c r="E212" s="1531"/>
      <c r="F212" s="1531"/>
      <c r="G212" s="1531"/>
      <c r="H212" s="1531"/>
    </row>
    <row r="213" spans="1:8" x14ac:dyDescent="0.25">
      <c r="A213" s="1531"/>
      <c r="B213" s="1531"/>
      <c r="C213" s="1531"/>
      <c r="D213" s="1531"/>
      <c r="E213" s="1531"/>
      <c r="F213" s="1531"/>
      <c r="G213" s="1531"/>
      <c r="H213" s="1531"/>
    </row>
    <row r="214" spans="1:8" x14ac:dyDescent="0.25">
      <c r="A214" s="1531"/>
      <c r="B214" s="1531"/>
      <c r="C214" s="1531"/>
      <c r="D214" s="1531"/>
      <c r="E214" s="1531"/>
      <c r="F214" s="1531"/>
      <c r="G214" s="1531"/>
      <c r="H214" s="1531"/>
    </row>
    <row r="215" spans="1:8" x14ac:dyDescent="0.25">
      <c r="A215" s="1531"/>
      <c r="B215" s="1531"/>
      <c r="C215" s="1531"/>
      <c r="D215" s="1531"/>
      <c r="E215" s="1531"/>
      <c r="F215" s="1531"/>
      <c r="G215" s="1531"/>
      <c r="H215" s="1531"/>
    </row>
    <row r="216" spans="1:8" x14ac:dyDescent="0.25">
      <c r="A216" s="1531"/>
      <c r="B216" s="1531"/>
      <c r="C216" s="1531"/>
      <c r="D216" s="1531"/>
      <c r="E216" s="1531"/>
      <c r="F216" s="1531"/>
      <c r="G216" s="1531"/>
      <c r="H216" s="1531"/>
    </row>
    <row r="217" spans="1:8" x14ac:dyDescent="0.25">
      <c r="A217" s="1531"/>
      <c r="B217" s="1531"/>
      <c r="C217" s="1531"/>
      <c r="D217" s="1531"/>
      <c r="E217" s="1531"/>
      <c r="F217" s="1531"/>
      <c r="G217" s="1531"/>
      <c r="H217" s="1531"/>
    </row>
    <row r="218" spans="1:8" x14ac:dyDescent="0.25">
      <c r="A218" s="1531"/>
      <c r="B218" s="1531"/>
      <c r="C218" s="1531"/>
      <c r="D218" s="1531"/>
      <c r="E218" s="1531"/>
      <c r="F218" s="1531"/>
      <c r="G218" s="1531"/>
      <c r="H218" s="1531"/>
    </row>
    <row r="219" spans="1:8" x14ac:dyDescent="0.25">
      <c r="A219" s="1531"/>
      <c r="B219" s="1531"/>
      <c r="C219" s="1531"/>
      <c r="D219" s="1531"/>
      <c r="E219" s="1531"/>
      <c r="F219" s="1531"/>
      <c r="G219" s="1531"/>
      <c r="H219" s="1531"/>
    </row>
    <row r="220" spans="1:8" x14ac:dyDescent="0.25">
      <c r="A220" s="1531"/>
      <c r="B220" s="1531"/>
      <c r="C220" s="1531"/>
      <c r="D220" s="1531"/>
      <c r="E220" s="1531"/>
      <c r="F220" s="1531"/>
      <c r="G220" s="1531"/>
      <c r="H220" s="1531"/>
    </row>
    <row r="221" spans="1:8" x14ac:dyDescent="0.25">
      <c r="A221" s="1531"/>
      <c r="B221" s="1531"/>
      <c r="C221" s="1531"/>
      <c r="D221" s="1531"/>
      <c r="E221" s="1531"/>
      <c r="F221" s="1531"/>
      <c r="G221" s="1531"/>
      <c r="H221" s="1531"/>
    </row>
    <row r="222" spans="1:8" ht="15.75" x14ac:dyDescent="0.25">
      <c r="A222" s="1533" t="s">
        <v>1344</v>
      </c>
      <c r="B222" s="1531"/>
      <c r="C222" s="1531"/>
      <c r="D222" s="1531"/>
      <c r="E222" s="1531"/>
      <c r="F222" s="1531"/>
      <c r="G222" s="1531"/>
      <c r="H222" s="1531"/>
    </row>
    <row r="223" spans="1:8" x14ac:dyDescent="0.25">
      <c r="A223" s="1531"/>
      <c r="B223" s="1531"/>
      <c r="C223" s="1531"/>
      <c r="D223" s="1531"/>
      <c r="E223" s="1531"/>
      <c r="F223" s="1531"/>
      <c r="G223" s="1531"/>
      <c r="H223" s="1531"/>
    </row>
    <row r="224" spans="1:8" x14ac:dyDescent="0.25">
      <c r="A224" s="1532" t="s">
        <v>1345</v>
      </c>
      <c r="B224" s="1531"/>
      <c r="C224" s="1531"/>
      <c r="D224" s="1531"/>
      <c r="E224" s="1531"/>
      <c r="F224" s="1531"/>
      <c r="G224" s="1531"/>
      <c r="H224" s="1531"/>
    </row>
    <row r="225" spans="1:8" x14ac:dyDescent="0.25">
      <c r="A225" s="1532" t="s">
        <v>1346</v>
      </c>
      <c r="B225" s="1531"/>
      <c r="C225" s="1531"/>
      <c r="D225" s="1531"/>
      <c r="E225" s="1531"/>
      <c r="F225" s="1531"/>
      <c r="G225" s="1531"/>
      <c r="H225" s="1531"/>
    </row>
    <row r="226" spans="1:8" x14ac:dyDescent="0.25">
      <c r="A226" s="1532" t="s">
        <v>1347</v>
      </c>
      <c r="B226" s="1531"/>
      <c r="C226" s="1531"/>
      <c r="D226" s="1531"/>
      <c r="E226" s="1531"/>
      <c r="F226" s="1531"/>
      <c r="G226" s="1531"/>
      <c r="H226" s="1531"/>
    </row>
    <row r="227" spans="1:8" x14ac:dyDescent="0.25">
      <c r="A227" s="1532" t="s">
        <v>1348</v>
      </c>
      <c r="B227" s="1531"/>
      <c r="C227" s="1531"/>
      <c r="D227" s="1531"/>
      <c r="E227" s="1531"/>
      <c r="F227" s="1531"/>
      <c r="G227" s="1531"/>
      <c r="H227" s="1531"/>
    </row>
    <row r="228" spans="1:8" x14ac:dyDescent="0.25">
      <c r="A228" s="1532" t="s">
        <v>1349</v>
      </c>
      <c r="B228" s="1531"/>
      <c r="C228" s="1531"/>
      <c r="D228" s="1531"/>
      <c r="E228" s="1531"/>
      <c r="F228" s="1531"/>
      <c r="G228" s="1531"/>
      <c r="H228" s="1531"/>
    </row>
    <row r="229" spans="1:8" x14ac:dyDescent="0.25">
      <c r="A229" s="1531"/>
      <c r="B229" s="1531"/>
      <c r="C229" s="1531"/>
      <c r="D229" s="1531"/>
      <c r="E229" s="1531"/>
      <c r="F229" s="1531"/>
      <c r="G229" s="1531"/>
      <c r="H229" s="1531"/>
    </row>
    <row r="230" spans="1:8" x14ac:dyDescent="0.25">
      <c r="A230" s="1532" t="s">
        <v>1350</v>
      </c>
      <c r="B230" s="1531"/>
      <c r="C230" s="1531"/>
      <c r="D230" s="1531"/>
      <c r="E230" s="1531"/>
      <c r="F230" s="1531"/>
      <c r="G230" s="1531"/>
      <c r="H230" s="1531"/>
    </row>
    <row r="231" spans="1:8" x14ac:dyDescent="0.25">
      <c r="A231" s="1532" t="s">
        <v>1351</v>
      </c>
      <c r="B231" s="1531"/>
      <c r="C231" s="1531"/>
      <c r="D231" s="1531"/>
      <c r="E231" s="1531"/>
      <c r="F231" s="1531"/>
      <c r="G231" s="1531"/>
      <c r="H231" s="1531"/>
    </row>
    <row r="232" spans="1:8" x14ac:dyDescent="0.25">
      <c r="A232" s="1532" t="s">
        <v>1352</v>
      </c>
      <c r="B232" s="1531"/>
      <c r="C232" s="1531"/>
      <c r="D232" s="1531"/>
      <c r="E232" s="1531"/>
      <c r="F232" s="1531"/>
      <c r="G232" s="1531"/>
      <c r="H232" s="1531"/>
    </row>
    <row r="233" spans="1:8" x14ac:dyDescent="0.25">
      <c r="A233" s="1531"/>
      <c r="B233" s="1531"/>
      <c r="C233" s="1531"/>
      <c r="D233" s="1531"/>
      <c r="E233" s="1531"/>
      <c r="F233" s="1531"/>
      <c r="G233" s="1531"/>
      <c r="H233" s="1531"/>
    </row>
    <row r="234" spans="1:8" ht="15.75" x14ac:dyDescent="0.25">
      <c r="A234" s="1533" t="s">
        <v>1353</v>
      </c>
      <c r="B234" s="1531"/>
      <c r="C234" s="1531"/>
      <c r="D234" s="1531"/>
      <c r="E234" s="1531"/>
      <c r="F234" s="1531"/>
      <c r="G234" s="1531"/>
      <c r="H234" s="1531"/>
    </row>
    <row r="235" spans="1:8" x14ac:dyDescent="0.25">
      <c r="A235" s="1531"/>
      <c r="B235" s="1531"/>
      <c r="C235" s="1531"/>
      <c r="D235" s="1531"/>
      <c r="E235" s="1531"/>
      <c r="F235" s="1531"/>
      <c r="G235" s="1531"/>
      <c r="H235" s="1531"/>
    </row>
    <row r="236" spans="1:8" x14ac:dyDescent="0.25">
      <c r="A236" s="1532" t="s">
        <v>1354</v>
      </c>
      <c r="B236" s="1531"/>
      <c r="C236" s="1531"/>
      <c r="D236" s="1531"/>
      <c r="E236" s="1531"/>
      <c r="F236" s="1531"/>
      <c r="G236" s="1531"/>
      <c r="H236" s="1531"/>
    </row>
    <row r="237" spans="1:8" x14ac:dyDescent="0.25">
      <c r="A237" s="1532" t="s">
        <v>1355</v>
      </c>
      <c r="B237" s="1531"/>
      <c r="C237" s="1531"/>
      <c r="D237" s="1531"/>
      <c r="E237" s="1531"/>
      <c r="F237" s="1531"/>
      <c r="G237" s="1531"/>
      <c r="H237" s="1531"/>
    </row>
    <row r="238" spans="1:8" x14ac:dyDescent="0.25">
      <c r="A238" s="1532" t="s">
        <v>1356</v>
      </c>
      <c r="B238" s="1531"/>
      <c r="C238" s="1531"/>
      <c r="D238" s="1531"/>
      <c r="E238" s="1531"/>
      <c r="F238" s="1531"/>
      <c r="G238" s="1531"/>
      <c r="H238" s="1531"/>
    </row>
    <row r="239" spans="1:8" x14ac:dyDescent="0.25">
      <c r="A239" s="1532" t="s">
        <v>1357</v>
      </c>
      <c r="B239" s="1531"/>
      <c r="C239" s="1531"/>
      <c r="D239" s="1531"/>
      <c r="E239" s="1531"/>
      <c r="F239" s="1531"/>
      <c r="G239" s="1531"/>
      <c r="H239" s="1531"/>
    </row>
    <row r="240" spans="1:8" x14ac:dyDescent="0.25">
      <c r="A240" s="1532" t="s">
        <v>1358</v>
      </c>
      <c r="B240" s="1531"/>
      <c r="C240" s="1531"/>
      <c r="D240" s="1531"/>
      <c r="E240" s="1531"/>
      <c r="F240" s="1531"/>
      <c r="G240" s="1531"/>
      <c r="H240" s="1531"/>
    </row>
    <row r="241" spans="1:8" x14ac:dyDescent="0.25">
      <c r="A241" s="1532" t="s">
        <v>1359</v>
      </c>
      <c r="B241" s="1531"/>
      <c r="C241" s="1531"/>
      <c r="D241" s="1531"/>
      <c r="E241" s="1531"/>
      <c r="F241" s="1531"/>
      <c r="G241" s="1531"/>
      <c r="H241" s="1531"/>
    </row>
    <row r="242" spans="1:8" x14ac:dyDescent="0.25">
      <c r="A242" s="1532" t="s">
        <v>1360</v>
      </c>
      <c r="B242" s="1531"/>
      <c r="C242" s="1531"/>
      <c r="D242" s="1531"/>
      <c r="E242" s="1531"/>
      <c r="F242" s="1531"/>
      <c r="G242" s="1531"/>
      <c r="H242" s="1531"/>
    </row>
    <row r="243" spans="1:8" x14ac:dyDescent="0.25">
      <c r="A243" s="1531"/>
      <c r="B243" s="1531"/>
      <c r="C243" s="1531"/>
      <c r="D243" s="1531"/>
      <c r="E243" s="1531"/>
      <c r="F243" s="1531"/>
      <c r="G243" s="1531"/>
      <c r="H243" s="1531"/>
    </row>
    <row r="244" spans="1:8" x14ac:dyDescent="0.25">
      <c r="A244" s="1532" t="s">
        <v>1361</v>
      </c>
      <c r="B244" s="1531"/>
      <c r="C244" s="1531"/>
      <c r="D244" s="1531"/>
      <c r="E244" s="1531"/>
      <c r="F244" s="1531"/>
      <c r="G244" s="1531"/>
      <c r="H244" s="1531"/>
    </row>
    <row r="245" spans="1:8" x14ac:dyDescent="0.25">
      <c r="A245" s="1532" t="s">
        <v>1362</v>
      </c>
      <c r="B245" s="1531"/>
      <c r="C245" s="1531"/>
      <c r="D245" s="1531"/>
      <c r="E245" s="1531"/>
      <c r="F245" s="1531"/>
      <c r="G245" s="1531"/>
      <c r="H245" s="1531"/>
    </row>
    <row r="246" spans="1:8" x14ac:dyDescent="0.25">
      <c r="A246" s="1532" t="s">
        <v>1363</v>
      </c>
      <c r="B246" s="1531"/>
      <c r="C246" s="1531"/>
      <c r="D246" s="1531"/>
      <c r="E246" s="1531"/>
      <c r="F246" s="1531"/>
      <c r="G246" s="1531"/>
      <c r="H246" s="1531"/>
    </row>
    <row r="247" spans="1:8" x14ac:dyDescent="0.25">
      <c r="A247" s="1531"/>
      <c r="B247" s="1531"/>
      <c r="C247" s="1531"/>
      <c r="D247" s="1531"/>
      <c r="E247" s="1531"/>
      <c r="F247" s="1531"/>
      <c r="G247" s="1531"/>
      <c r="H247" s="1531"/>
    </row>
    <row r="248" spans="1:8" x14ac:dyDescent="0.25">
      <c r="A248" s="1532" t="s">
        <v>1364</v>
      </c>
      <c r="B248" s="1531"/>
      <c r="C248" s="1531"/>
      <c r="D248" s="1531"/>
      <c r="E248" s="1531"/>
      <c r="F248" s="1531"/>
      <c r="G248" s="1531"/>
      <c r="H248" s="1531"/>
    </row>
    <row r="249" spans="1:8" x14ac:dyDescent="0.25">
      <c r="A249" s="1532" t="s">
        <v>1365</v>
      </c>
      <c r="B249" s="1531"/>
      <c r="C249" s="1531"/>
      <c r="D249" s="1531"/>
      <c r="E249" s="1531"/>
      <c r="F249" s="1531"/>
      <c r="G249" s="1531"/>
      <c r="H249" s="1531"/>
    </row>
    <row r="250" spans="1:8" x14ac:dyDescent="0.25">
      <c r="A250" s="1532" t="s">
        <v>1366</v>
      </c>
      <c r="B250" s="1531"/>
      <c r="C250" s="1531"/>
      <c r="D250" s="1531"/>
      <c r="E250" s="1531"/>
      <c r="F250" s="1531"/>
      <c r="G250" s="1531"/>
      <c r="H250" s="1531"/>
    </row>
    <row r="251" spans="1:8" x14ac:dyDescent="0.25">
      <c r="A251" s="1532" t="s">
        <v>1367</v>
      </c>
      <c r="B251" s="1531"/>
      <c r="C251" s="1531"/>
      <c r="D251" s="1531"/>
      <c r="E251" s="1531"/>
      <c r="F251" s="1531"/>
      <c r="G251" s="1531"/>
      <c r="H251" s="1531"/>
    </row>
    <row r="252" spans="1:8" x14ac:dyDescent="0.25">
      <c r="A252" s="1532" t="s">
        <v>1368</v>
      </c>
      <c r="B252" s="1531"/>
      <c r="C252" s="1531"/>
      <c r="D252" s="1531"/>
      <c r="E252" s="1531"/>
      <c r="F252" s="1531"/>
      <c r="G252" s="1531"/>
      <c r="H252" s="1531"/>
    </row>
    <row r="253" spans="1:8" x14ac:dyDescent="0.25">
      <c r="A253" s="1531"/>
      <c r="B253" s="1531"/>
      <c r="C253" s="1531"/>
      <c r="D253" s="1531"/>
      <c r="E253" s="1531"/>
      <c r="F253" s="1531"/>
      <c r="G253" s="1531"/>
      <c r="H253" s="1531"/>
    </row>
    <row r="254" spans="1:8" x14ac:dyDescent="0.25">
      <c r="A254" s="1532" t="s">
        <v>1369</v>
      </c>
      <c r="B254" s="1531"/>
      <c r="C254" s="1531"/>
      <c r="D254" s="1531"/>
      <c r="E254" s="1531"/>
      <c r="F254" s="1531"/>
      <c r="G254" s="1531"/>
      <c r="H254" s="1531"/>
    </row>
    <row r="255" spans="1:8" x14ac:dyDescent="0.25">
      <c r="A255" s="1532" t="s">
        <v>1370</v>
      </c>
      <c r="B255" s="1531"/>
      <c r="C255" s="1531"/>
      <c r="D255" s="1531"/>
      <c r="E255" s="1531"/>
      <c r="F255" s="1531"/>
      <c r="G255" s="1531"/>
      <c r="H255" s="1531"/>
    </row>
    <row r="256" spans="1:8" x14ac:dyDescent="0.25">
      <c r="A256" s="1532" t="s">
        <v>1371</v>
      </c>
      <c r="B256" s="1531"/>
      <c r="C256" s="1531"/>
      <c r="D256" s="1531"/>
      <c r="E256" s="1531"/>
      <c r="F256" s="1531"/>
      <c r="G256" s="1531"/>
      <c r="H256" s="1531"/>
    </row>
    <row r="257" spans="1:8" x14ac:dyDescent="0.25">
      <c r="A257" s="1532" t="s">
        <v>1372</v>
      </c>
      <c r="B257" s="1531"/>
      <c r="C257" s="1531"/>
      <c r="D257" s="1531"/>
      <c r="E257" s="1531"/>
      <c r="F257" s="1531"/>
      <c r="G257" s="1531"/>
      <c r="H257" s="1531"/>
    </row>
    <row r="258" spans="1:8" x14ac:dyDescent="0.25">
      <c r="A258" s="1532" t="s">
        <v>1373</v>
      </c>
      <c r="B258" s="1531"/>
      <c r="C258" s="1531"/>
      <c r="D258" s="1531"/>
      <c r="E258" s="1531"/>
      <c r="F258" s="1531"/>
      <c r="G258" s="1531"/>
      <c r="H258" s="1531"/>
    </row>
    <row r="259" spans="1:8" x14ac:dyDescent="0.25">
      <c r="A259" s="1532" t="s">
        <v>1374</v>
      </c>
      <c r="B259" s="1531"/>
      <c r="C259" s="1531"/>
      <c r="D259" s="1531"/>
      <c r="E259" s="1531"/>
      <c r="F259" s="1531"/>
      <c r="G259" s="1531"/>
      <c r="H259" s="1531"/>
    </row>
    <row r="260" spans="1:8" x14ac:dyDescent="0.25">
      <c r="A260" s="1531"/>
      <c r="B260" s="1531"/>
      <c r="C260" s="1531"/>
      <c r="D260" s="1531"/>
      <c r="E260" s="1531"/>
      <c r="F260" s="1531"/>
      <c r="G260" s="1531"/>
      <c r="H260" s="1531"/>
    </row>
    <row r="261" spans="1:8" x14ac:dyDescent="0.25">
      <c r="A261" s="1532" t="s">
        <v>1375</v>
      </c>
      <c r="B261" s="1531"/>
      <c r="C261" s="1531"/>
      <c r="D261" s="1531"/>
      <c r="E261" s="1531"/>
      <c r="F261" s="1531"/>
      <c r="G261" s="1531"/>
      <c r="H261" s="1531"/>
    </row>
    <row r="262" spans="1:8" x14ac:dyDescent="0.25">
      <c r="A262" s="1532" t="s">
        <v>1376</v>
      </c>
      <c r="B262" s="1531"/>
      <c r="C262" s="1531"/>
      <c r="D262" s="1531"/>
      <c r="E262" s="1531"/>
      <c r="F262" s="1531"/>
      <c r="G262" s="1531"/>
      <c r="H262" s="1531"/>
    </row>
    <row r="263" spans="1:8" x14ac:dyDescent="0.25">
      <c r="A263" s="1532" t="s">
        <v>1377</v>
      </c>
      <c r="B263" s="1531"/>
      <c r="C263" s="1531"/>
      <c r="D263" s="1531"/>
      <c r="E263" s="1531"/>
      <c r="F263" s="1531"/>
      <c r="G263" s="1531"/>
      <c r="H263" s="1531"/>
    </row>
    <row r="264" spans="1:8" x14ac:dyDescent="0.25">
      <c r="A264" s="1532" t="s">
        <v>1378</v>
      </c>
      <c r="B264" s="1531"/>
      <c r="C264" s="1531"/>
      <c r="D264" s="1531"/>
      <c r="E264" s="1531"/>
      <c r="F264" s="1531"/>
      <c r="G264" s="1531"/>
      <c r="H264" s="1531"/>
    </row>
    <row r="265" spans="1:8" x14ac:dyDescent="0.25">
      <c r="A265" s="1532" t="s">
        <v>1379</v>
      </c>
      <c r="B265" s="1531"/>
      <c r="C265" s="1531"/>
      <c r="D265" s="1531"/>
      <c r="E265" s="1531"/>
      <c r="F265" s="1531"/>
      <c r="G265" s="1531"/>
      <c r="H265" s="1531"/>
    </row>
    <row r="266" spans="1:8" x14ac:dyDescent="0.25">
      <c r="A266" s="1532" t="s">
        <v>1380</v>
      </c>
      <c r="B266" s="1531"/>
      <c r="C266" s="1531"/>
      <c r="D266" s="1531"/>
      <c r="E266" s="1531"/>
      <c r="F266" s="1531"/>
      <c r="G266" s="1531"/>
      <c r="H266" s="1531"/>
    </row>
    <row r="267" spans="1:8" x14ac:dyDescent="0.25">
      <c r="A267" s="1532" t="s">
        <v>1381</v>
      </c>
      <c r="B267" s="1531"/>
      <c r="C267" s="1531"/>
      <c r="D267" s="1531"/>
      <c r="E267" s="1531"/>
      <c r="F267" s="1531"/>
      <c r="G267" s="1531"/>
      <c r="H267" s="1531"/>
    </row>
    <row r="268" spans="1:8" x14ac:dyDescent="0.25">
      <c r="A268" s="1532" t="s">
        <v>1382</v>
      </c>
      <c r="B268" s="1531"/>
      <c r="C268" s="1531"/>
      <c r="D268" s="1531"/>
      <c r="E268" s="1531"/>
      <c r="F268" s="1531"/>
      <c r="G268" s="1531"/>
      <c r="H268" s="1531"/>
    </row>
    <row r="269" spans="1:8" x14ac:dyDescent="0.25">
      <c r="A269" s="1532" t="s">
        <v>1383</v>
      </c>
      <c r="B269" s="1531"/>
      <c r="C269" s="1531"/>
      <c r="D269" s="1531"/>
      <c r="E269" s="1531"/>
      <c r="F269" s="1531"/>
      <c r="G269" s="1531"/>
      <c r="H269" s="1531"/>
    </row>
    <row r="270" spans="1:8" x14ac:dyDescent="0.25">
      <c r="A270" s="1532" t="s">
        <v>1384</v>
      </c>
      <c r="B270" s="1531"/>
      <c r="C270" s="1531"/>
      <c r="D270" s="1531"/>
      <c r="E270" s="1531"/>
      <c r="F270" s="1531"/>
      <c r="G270" s="1531"/>
      <c r="H270" s="1531"/>
    </row>
    <row r="271" spans="1:8" x14ac:dyDescent="0.25">
      <c r="A271" s="1532" t="s">
        <v>1385</v>
      </c>
      <c r="B271" s="1531"/>
      <c r="C271" s="1531"/>
      <c r="D271" s="1531"/>
      <c r="E271" s="1531"/>
      <c r="F271" s="1531"/>
      <c r="G271" s="1531"/>
      <c r="H271" s="1531"/>
    </row>
    <row r="272" spans="1:8" x14ac:dyDescent="0.25">
      <c r="A272" s="1532" t="s">
        <v>1386</v>
      </c>
      <c r="B272" s="1531"/>
      <c r="C272" s="1531"/>
      <c r="D272" s="1531"/>
      <c r="E272" s="1531"/>
      <c r="F272" s="1531"/>
      <c r="G272" s="1531"/>
      <c r="H272" s="1531"/>
    </row>
    <row r="273" spans="1:8" x14ac:dyDescent="0.25">
      <c r="A273" s="1532" t="s">
        <v>1387</v>
      </c>
      <c r="B273" s="1531"/>
      <c r="C273" s="1531"/>
      <c r="D273" s="1531"/>
      <c r="E273" s="1531"/>
      <c r="F273" s="1531"/>
      <c r="G273" s="1531"/>
      <c r="H273" s="1531"/>
    </row>
    <row r="274" spans="1:8" x14ac:dyDescent="0.25">
      <c r="A274" s="1532" t="s">
        <v>1388</v>
      </c>
      <c r="B274" s="1531"/>
      <c r="C274" s="1531"/>
      <c r="D274" s="1531"/>
      <c r="E274" s="1531"/>
      <c r="F274" s="1531"/>
      <c r="G274" s="1531"/>
      <c r="H274" s="1531"/>
    </row>
    <row r="275" spans="1:8" x14ac:dyDescent="0.25">
      <c r="A275" s="1531"/>
      <c r="B275" s="1531"/>
      <c r="C275" s="1531"/>
      <c r="D275" s="1531"/>
      <c r="E275" s="1531"/>
      <c r="F275" s="1531"/>
      <c r="G275" s="1531"/>
      <c r="H275" s="1531"/>
    </row>
    <row r="276" spans="1:8" x14ac:dyDescent="0.25">
      <c r="A276" s="1532" t="s">
        <v>1389</v>
      </c>
      <c r="B276" s="1531"/>
      <c r="C276" s="1531"/>
      <c r="D276" s="1531"/>
      <c r="E276" s="1531"/>
      <c r="F276" s="1531"/>
      <c r="G276" s="1531"/>
      <c r="H276" s="1531"/>
    </row>
    <row r="277" spans="1:8" x14ac:dyDescent="0.25">
      <c r="A277" s="1532" t="s">
        <v>1390</v>
      </c>
      <c r="B277" s="1531"/>
      <c r="C277" s="1531"/>
      <c r="D277" s="1531"/>
      <c r="E277" s="1531"/>
      <c r="F277" s="1531"/>
      <c r="G277" s="1531"/>
      <c r="H277" s="1531"/>
    </row>
    <row r="278" spans="1:8" x14ac:dyDescent="0.25">
      <c r="A278" s="1531"/>
      <c r="B278" s="1531"/>
      <c r="C278" s="1531"/>
      <c r="D278" s="1531"/>
      <c r="E278" s="1531"/>
      <c r="F278" s="1531"/>
      <c r="G278" s="1531"/>
      <c r="H278" s="1531"/>
    </row>
    <row r="279" spans="1:8" x14ac:dyDescent="0.25">
      <c r="A279" s="1532" t="s">
        <v>1391</v>
      </c>
      <c r="B279" s="1531"/>
      <c r="C279" s="1531"/>
      <c r="D279" s="1531"/>
      <c r="E279" s="1531"/>
      <c r="F279" s="1531"/>
      <c r="G279" s="1531"/>
      <c r="H279" s="1531"/>
    </row>
    <row r="280" spans="1:8" x14ac:dyDescent="0.25">
      <c r="A280" s="1532" t="s">
        <v>1392</v>
      </c>
      <c r="B280" s="1531"/>
      <c r="C280" s="1531"/>
      <c r="D280" s="1531"/>
      <c r="E280" s="1531"/>
      <c r="F280" s="1531"/>
      <c r="G280" s="1531"/>
      <c r="H280" s="1531"/>
    </row>
    <row r="281" spans="1:8" x14ac:dyDescent="0.25">
      <c r="A281" s="1532" t="s">
        <v>1393</v>
      </c>
      <c r="B281" s="1531"/>
      <c r="C281" s="1531"/>
      <c r="D281" s="1531"/>
      <c r="E281" s="1531"/>
      <c r="F281" s="1531"/>
      <c r="G281" s="1531"/>
      <c r="H281" s="1531"/>
    </row>
    <row r="282" spans="1:8" x14ac:dyDescent="0.25">
      <c r="A282" s="1532" t="s">
        <v>1394</v>
      </c>
      <c r="B282" s="1531"/>
      <c r="C282" s="1531"/>
      <c r="D282" s="1531"/>
      <c r="E282" s="1531"/>
      <c r="F282" s="1531"/>
      <c r="G282" s="1531"/>
      <c r="H282" s="1531"/>
    </row>
    <row r="283" spans="1:8" x14ac:dyDescent="0.25">
      <c r="A283" s="1532" t="s">
        <v>1395</v>
      </c>
      <c r="B283" s="1531"/>
      <c r="C283" s="1531"/>
      <c r="D283" s="1531"/>
      <c r="E283" s="1531"/>
      <c r="F283" s="1531"/>
      <c r="G283" s="1531"/>
      <c r="H283" s="1531"/>
    </row>
    <row r="284" spans="1:8" x14ac:dyDescent="0.25">
      <c r="A284" s="1532" t="s">
        <v>1396</v>
      </c>
      <c r="B284" s="1531"/>
      <c r="C284" s="1531"/>
      <c r="D284" s="1531"/>
      <c r="E284" s="1531"/>
      <c r="F284" s="1531"/>
      <c r="G284" s="1531"/>
      <c r="H284" s="1531"/>
    </row>
    <row r="285" spans="1:8" x14ac:dyDescent="0.25">
      <c r="A285" s="1532" t="s">
        <v>1397</v>
      </c>
      <c r="B285" s="1531"/>
      <c r="C285" s="1531"/>
      <c r="D285" s="1531"/>
      <c r="E285" s="1531"/>
      <c r="F285" s="1531"/>
      <c r="G285" s="1531"/>
      <c r="H285" s="1531"/>
    </row>
    <row r="286" spans="1:8" x14ac:dyDescent="0.25">
      <c r="A286" s="1532" t="s">
        <v>1398</v>
      </c>
      <c r="B286" s="1531"/>
      <c r="C286" s="1531"/>
      <c r="D286" s="1531"/>
      <c r="E286" s="1531"/>
      <c r="F286" s="1531"/>
      <c r="G286" s="1531"/>
      <c r="H286" s="1531"/>
    </row>
    <row r="287" spans="1:8" x14ac:dyDescent="0.25">
      <c r="A287" s="1532" t="s">
        <v>1399</v>
      </c>
      <c r="B287" s="1531"/>
      <c r="C287" s="1531"/>
      <c r="D287" s="1531"/>
      <c r="E287" s="1531"/>
      <c r="F287" s="1531"/>
      <c r="G287" s="1531"/>
      <c r="H287" s="1531"/>
    </row>
    <row r="288" spans="1:8" x14ac:dyDescent="0.25">
      <c r="A288" s="1532" t="s">
        <v>1400</v>
      </c>
      <c r="B288" s="1531"/>
      <c r="C288" s="1531"/>
      <c r="D288" s="1531"/>
      <c r="E288" s="1531"/>
      <c r="F288" s="1531"/>
      <c r="G288" s="1531"/>
      <c r="H288" s="1531"/>
    </row>
    <row r="289" spans="1:8" x14ac:dyDescent="0.25">
      <c r="A289" s="1532" t="s">
        <v>1401</v>
      </c>
      <c r="B289" s="1531"/>
      <c r="C289" s="1531"/>
      <c r="D289" s="1531"/>
      <c r="E289" s="1531"/>
      <c r="F289" s="1531"/>
      <c r="G289" s="1531"/>
      <c r="H289" s="1531"/>
    </row>
    <row r="290" spans="1:8" x14ac:dyDescent="0.25">
      <c r="A290" s="1532" t="s">
        <v>1402</v>
      </c>
      <c r="B290" s="1531"/>
      <c r="C290" s="1531"/>
      <c r="D290" s="1531"/>
      <c r="E290" s="1531"/>
      <c r="F290" s="1531"/>
      <c r="G290" s="1531"/>
      <c r="H290" s="1531"/>
    </row>
    <row r="291" spans="1:8" x14ac:dyDescent="0.25">
      <c r="A291" s="1532" t="s">
        <v>1403</v>
      </c>
      <c r="B291" s="1531"/>
      <c r="C291" s="1531"/>
      <c r="D291" s="1531"/>
      <c r="E291" s="1531"/>
      <c r="F291" s="1531"/>
      <c r="G291" s="1531"/>
      <c r="H291" s="1531"/>
    </row>
    <row r="292" spans="1:8" x14ac:dyDescent="0.25">
      <c r="A292" s="1532" t="s">
        <v>1404</v>
      </c>
      <c r="B292" s="1531"/>
      <c r="C292" s="1531"/>
      <c r="D292" s="1531"/>
      <c r="E292" s="1531"/>
      <c r="F292" s="1531"/>
      <c r="G292" s="1531"/>
      <c r="H292" s="1531"/>
    </row>
    <row r="293" spans="1:8" x14ac:dyDescent="0.25">
      <c r="A293" s="1532" t="s">
        <v>1405</v>
      </c>
      <c r="B293" s="1531"/>
      <c r="C293" s="1531"/>
      <c r="D293" s="1531"/>
      <c r="E293" s="1531"/>
      <c r="F293" s="1531"/>
      <c r="G293" s="1531"/>
      <c r="H293" s="1531"/>
    </row>
    <row r="294" spans="1:8" x14ac:dyDescent="0.25">
      <c r="A294" s="1532" t="s">
        <v>1406</v>
      </c>
      <c r="B294" s="1531"/>
      <c r="C294" s="1531"/>
      <c r="D294" s="1531"/>
      <c r="E294" s="1531"/>
      <c r="F294" s="1531"/>
      <c r="G294" s="1531"/>
      <c r="H294" s="1531"/>
    </row>
    <row r="295" spans="1:8" x14ac:dyDescent="0.25">
      <c r="A295" s="1531"/>
      <c r="B295" s="1531"/>
      <c r="C295" s="1531"/>
      <c r="D295" s="1531"/>
      <c r="E295" s="1531"/>
      <c r="F295" s="1531"/>
      <c r="G295" s="1531"/>
      <c r="H295" s="1531"/>
    </row>
    <row r="296" spans="1:8" x14ac:dyDescent="0.25">
      <c r="A296" s="1532" t="s">
        <v>1407</v>
      </c>
      <c r="B296" s="1531"/>
      <c r="C296" s="1531"/>
      <c r="D296" s="1531"/>
      <c r="E296" s="1531"/>
      <c r="F296" s="1531"/>
      <c r="G296" s="1531"/>
      <c r="H296" s="1531"/>
    </row>
    <row r="297" spans="1:8" x14ac:dyDescent="0.25">
      <c r="A297" s="1532" t="s">
        <v>1408</v>
      </c>
      <c r="B297" s="1531"/>
      <c r="C297" s="1531"/>
      <c r="D297" s="1531"/>
      <c r="E297" s="1531"/>
      <c r="F297" s="1531"/>
      <c r="G297" s="1531"/>
      <c r="H297" s="1531"/>
    </row>
    <row r="298" spans="1:8" x14ac:dyDescent="0.25">
      <c r="A298" s="1532" t="s">
        <v>1409</v>
      </c>
      <c r="B298" s="1531"/>
      <c r="C298" s="1531"/>
      <c r="D298" s="1531"/>
      <c r="E298" s="1531"/>
      <c r="F298" s="1531"/>
      <c r="G298" s="1531"/>
      <c r="H298" s="1531"/>
    </row>
    <row r="299" spans="1:8" x14ac:dyDescent="0.25">
      <c r="A299" s="1532" t="s">
        <v>1410</v>
      </c>
      <c r="B299" s="1531"/>
      <c r="C299" s="1531"/>
      <c r="D299" s="1531"/>
      <c r="E299" s="1531"/>
      <c r="F299" s="1531"/>
      <c r="G299" s="1531"/>
      <c r="H299" s="1531"/>
    </row>
    <row r="300" spans="1:8" x14ac:dyDescent="0.25">
      <c r="A300" s="1532" t="s">
        <v>1411</v>
      </c>
      <c r="B300" s="1531"/>
      <c r="C300" s="1531"/>
      <c r="D300" s="1531"/>
      <c r="E300" s="1531"/>
      <c r="F300" s="1531"/>
      <c r="G300" s="1531"/>
      <c r="H300" s="1531"/>
    </row>
    <row r="301" spans="1:8" x14ac:dyDescent="0.25">
      <c r="A301" s="1532" t="s">
        <v>1412</v>
      </c>
      <c r="B301" s="1531"/>
      <c r="C301" s="1531"/>
      <c r="D301" s="1531"/>
      <c r="E301" s="1531"/>
      <c r="F301" s="1531"/>
      <c r="G301" s="1531"/>
      <c r="H301" s="1531"/>
    </row>
    <row r="302" spans="1:8" x14ac:dyDescent="0.25">
      <c r="A302" s="1532" t="s">
        <v>1272</v>
      </c>
      <c r="B302" s="1531"/>
      <c r="C302" s="1531"/>
      <c r="D302" s="1531"/>
      <c r="E302" s="1531"/>
      <c r="F302" s="1531"/>
      <c r="G302" s="1531"/>
      <c r="H302" s="1531"/>
    </row>
    <row r="303" spans="1:8" x14ac:dyDescent="0.25">
      <c r="A303" s="1531"/>
      <c r="B303" s="1531"/>
      <c r="C303" s="1531"/>
      <c r="D303" s="1531"/>
      <c r="E303" s="1531"/>
      <c r="F303" s="1531"/>
      <c r="G303" s="1531"/>
      <c r="H303" s="1531"/>
    </row>
    <row r="304" spans="1:8" x14ac:dyDescent="0.25">
      <c r="A304" s="1532" t="s">
        <v>1413</v>
      </c>
      <c r="B304" s="1531"/>
      <c r="C304" s="1531"/>
      <c r="D304" s="1531"/>
      <c r="E304" s="1531"/>
      <c r="F304" s="1531"/>
      <c r="G304" s="1531"/>
      <c r="H304" s="1531"/>
    </row>
    <row r="305" spans="1:8" x14ac:dyDescent="0.25">
      <c r="A305" s="1532" t="s">
        <v>1414</v>
      </c>
      <c r="B305" s="1531"/>
      <c r="C305" s="1531"/>
      <c r="D305" s="1531"/>
      <c r="E305" s="1531"/>
      <c r="F305" s="1531"/>
      <c r="G305" s="1531"/>
      <c r="H305" s="1531"/>
    </row>
    <row r="306" spans="1:8" x14ac:dyDescent="0.25">
      <c r="A306" s="1532" t="s">
        <v>1415</v>
      </c>
      <c r="B306" s="1531"/>
      <c r="C306" s="1531"/>
      <c r="D306" s="1531"/>
      <c r="E306" s="1531"/>
      <c r="F306" s="1531"/>
      <c r="G306" s="1531"/>
      <c r="H306" s="1531"/>
    </row>
    <row r="307" spans="1:8" x14ac:dyDescent="0.25">
      <c r="A307" s="1532" t="s">
        <v>1416</v>
      </c>
      <c r="B307" s="1531"/>
      <c r="C307" s="1531"/>
      <c r="D307" s="1531"/>
      <c r="E307" s="1531"/>
      <c r="F307" s="1531"/>
      <c r="G307" s="1531"/>
      <c r="H307" s="1531"/>
    </row>
    <row r="308" spans="1:8" x14ac:dyDescent="0.25">
      <c r="A308" s="1532" t="s">
        <v>1417</v>
      </c>
      <c r="B308" s="1531"/>
      <c r="C308" s="1531"/>
      <c r="D308" s="1531"/>
      <c r="E308" s="1531"/>
      <c r="F308" s="1531"/>
      <c r="G308" s="1531"/>
      <c r="H308" s="1531"/>
    </row>
    <row r="309" spans="1:8" x14ac:dyDescent="0.25">
      <c r="A309" s="1532" t="s">
        <v>1418</v>
      </c>
      <c r="B309" s="1531"/>
      <c r="C309" s="1531"/>
      <c r="D309" s="1531"/>
      <c r="E309" s="1531"/>
      <c r="F309" s="1531"/>
      <c r="G309" s="1531"/>
      <c r="H309" s="1531"/>
    </row>
    <row r="310" spans="1:8" x14ac:dyDescent="0.25">
      <c r="A310" s="1532" t="s">
        <v>1419</v>
      </c>
      <c r="B310" s="1531"/>
      <c r="C310" s="1531"/>
      <c r="D310" s="1531"/>
      <c r="E310" s="1531"/>
      <c r="F310" s="1531"/>
      <c r="G310" s="1531"/>
      <c r="H310" s="1531"/>
    </row>
    <row r="311" spans="1:8" x14ac:dyDescent="0.25">
      <c r="A311" s="1532" t="s">
        <v>1420</v>
      </c>
      <c r="B311" s="1531"/>
      <c r="C311" s="1531"/>
      <c r="D311" s="1531"/>
      <c r="E311" s="1531"/>
      <c r="F311" s="1531"/>
      <c r="G311" s="1531"/>
      <c r="H311" s="1531"/>
    </row>
    <row r="312" spans="1:8" x14ac:dyDescent="0.25">
      <c r="A312" s="1532" t="s">
        <v>1421</v>
      </c>
      <c r="B312" s="1531"/>
      <c r="C312" s="1531"/>
      <c r="D312" s="1531"/>
      <c r="E312" s="1531"/>
      <c r="F312" s="1531"/>
      <c r="G312" s="1531"/>
      <c r="H312" s="1531"/>
    </row>
    <row r="313" spans="1:8" x14ac:dyDescent="0.25">
      <c r="A313" s="1531"/>
      <c r="B313" s="1531"/>
      <c r="C313" s="1531"/>
      <c r="D313" s="1531"/>
      <c r="E313" s="1531"/>
      <c r="F313" s="1531"/>
      <c r="G313" s="1531"/>
      <c r="H313" s="1531"/>
    </row>
    <row r="314" spans="1:8" x14ac:dyDescent="0.25">
      <c r="A314" s="1532" t="s">
        <v>1422</v>
      </c>
      <c r="B314" s="1531"/>
      <c r="C314" s="1531"/>
      <c r="D314" s="1531"/>
      <c r="E314" s="1531"/>
      <c r="F314" s="1531"/>
      <c r="G314" s="1531"/>
      <c r="H314" s="1531"/>
    </row>
    <row r="315" spans="1:8" x14ac:dyDescent="0.25">
      <c r="A315" s="1532" t="s">
        <v>1423</v>
      </c>
      <c r="B315" s="1531"/>
      <c r="C315" s="1531"/>
      <c r="D315" s="1531"/>
      <c r="E315" s="1531"/>
      <c r="F315" s="1531"/>
      <c r="G315" s="1531"/>
      <c r="H315" s="1531"/>
    </row>
    <row r="316" spans="1:8" x14ac:dyDescent="0.25">
      <c r="A316" s="1532" t="s">
        <v>1424</v>
      </c>
      <c r="B316" s="1531"/>
      <c r="C316" s="1531"/>
      <c r="D316" s="1531"/>
      <c r="E316" s="1531"/>
      <c r="F316" s="1531"/>
      <c r="G316" s="1531"/>
      <c r="H316" s="1531"/>
    </row>
    <row r="317" spans="1:8" x14ac:dyDescent="0.25">
      <c r="A317" s="1532" t="s">
        <v>1425</v>
      </c>
      <c r="B317" s="1531"/>
      <c r="C317" s="1531"/>
      <c r="D317" s="1531"/>
      <c r="E317" s="1531"/>
      <c r="F317" s="1531"/>
      <c r="G317" s="1531"/>
      <c r="H317" s="1531"/>
    </row>
    <row r="318" spans="1:8" x14ac:dyDescent="0.25">
      <c r="A318" s="1532" t="s">
        <v>1426</v>
      </c>
      <c r="B318" s="1531"/>
      <c r="C318" s="1531"/>
      <c r="D318" s="1531"/>
      <c r="E318" s="1531"/>
      <c r="F318" s="1531"/>
      <c r="G318" s="1531"/>
      <c r="H318" s="1531"/>
    </row>
    <row r="319" spans="1:8" x14ac:dyDescent="0.25">
      <c r="A319" s="1532" t="s">
        <v>1427</v>
      </c>
      <c r="B319" s="1531"/>
      <c r="C319" s="1531"/>
      <c r="D319" s="1531"/>
      <c r="E319" s="1531"/>
      <c r="F319" s="1531"/>
      <c r="G319" s="1531"/>
      <c r="H319" s="1531"/>
    </row>
    <row r="320" spans="1:8" x14ac:dyDescent="0.25">
      <c r="A320" s="1532" t="s">
        <v>1428</v>
      </c>
      <c r="B320" s="1531"/>
      <c r="C320" s="1531"/>
      <c r="D320" s="1531"/>
      <c r="E320" s="1531"/>
      <c r="F320" s="1531"/>
      <c r="G320" s="1531"/>
      <c r="H320" s="1531"/>
    </row>
    <row r="321" spans="1:8" x14ac:dyDescent="0.25">
      <c r="A321" s="1531"/>
      <c r="B321" s="1531"/>
      <c r="C321" s="1531"/>
      <c r="D321" s="1531"/>
      <c r="E321" s="1531"/>
      <c r="F321" s="1531"/>
      <c r="G321" s="1531"/>
      <c r="H321" s="1531"/>
    </row>
    <row r="322" spans="1:8" x14ac:dyDescent="0.25">
      <c r="A322" s="1532" t="s">
        <v>1429</v>
      </c>
      <c r="B322" s="1531"/>
      <c r="C322" s="1531"/>
      <c r="D322" s="1531"/>
      <c r="E322" s="1531"/>
      <c r="F322" s="1531"/>
      <c r="G322" s="1531"/>
      <c r="H322" s="1531"/>
    </row>
    <row r="323" spans="1:8" x14ac:dyDescent="0.25">
      <c r="A323" s="1532" t="s">
        <v>1430</v>
      </c>
      <c r="B323" s="1531"/>
      <c r="C323" s="1531"/>
      <c r="D323" s="1531"/>
      <c r="E323" s="1531"/>
      <c r="F323" s="1531"/>
      <c r="G323" s="1531"/>
      <c r="H323" s="1531"/>
    </row>
    <row r="324" spans="1:8" x14ac:dyDescent="0.25">
      <c r="A324" s="1532" t="s">
        <v>1431</v>
      </c>
      <c r="B324" s="1531"/>
      <c r="C324" s="1531"/>
      <c r="D324" s="1531"/>
      <c r="E324" s="1531"/>
      <c r="F324" s="1531"/>
      <c r="G324" s="1531"/>
      <c r="H324" s="1531"/>
    </row>
    <row r="325" spans="1:8" x14ac:dyDescent="0.25">
      <c r="A325" s="1531"/>
      <c r="B325" s="1531"/>
      <c r="C325" s="1531"/>
      <c r="D325" s="1531"/>
      <c r="E325" s="1531"/>
      <c r="F325" s="1531"/>
      <c r="G325" s="1531"/>
      <c r="H325" s="1531"/>
    </row>
    <row r="326" spans="1:8" x14ac:dyDescent="0.25">
      <c r="A326" s="1532" t="s">
        <v>1432</v>
      </c>
      <c r="B326" s="1531"/>
      <c r="C326" s="1531"/>
      <c r="D326" s="1531"/>
      <c r="E326" s="1531"/>
      <c r="F326" s="1531"/>
      <c r="G326" s="1531"/>
      <c r="H326" s="1531"/>
    </row>
    <row r="327" spans="1:8" x14ac:dyDescent="0.25">
      <c r="A327" s="1532" t="s">
        <v>1433</v>
      </c>
      <c r="B327" s="1531"/>
      <c r="C327" s="1531"/>
      <c r="D327" s="1531"/>
      <c r="E327" s="1531"/>
      <c r="F327" s="1531"/>
      <c r="G327" s="1531"/>
      <c r="H327" s="1531"/>
    </row>
    <row r="328" spans="1:8" x14ac:dyDescent="0.25">
      <c r="A328" s="1531"/>
      <c r="B328" s="1531"/>
      <c r="C328" s="1531"/>
      <c r="D328" s="1531"/>
      <c r="E328" s="1531"/>
      <c r="F328" s="1531"/>
      <c r="G328" s="1531"/>
      <c r="H328" s="1531"/>
    </row>
    <row r="329" spans="1:8" x14ac:dyDescent="0.25">
      <c r="A329" s="1532" t="s">
        <v>1434</v>
      </c>
      <c r="B329" s="1531"/>
      <c r="C329" s="1531"/>
      <c r="D329" s="1531"/>
      <c r="E329" s="1531"/>
      <c r="F329" s="1531"/>
      <c r="G329" s="1531"/>
      <c r="H329" s="1531"/>
    </row>
    <row r="330" spans="1:8" x14ac:dyDescent="0.25">
      <c r="A330" s="1532" t="s">
        <v>1435</v>
      </c>
      <c r="B330" s="1531"/>
      <c r="C330" s="1531"/>
      <c r="D330" s="1531"/>
      <c r="E330" s="1531"/>
      <c r="F330" s="1531"/>
      <c r="G330" s="1531"/>
      <c r="H330" s="1531"/>
    </row>
    <row r="331" spans="1:8" x14ac:dyDescent="0.25">
      <c r="A331" s="1532" t="s">
        <v>1436</v>
      </c>
      <c r="B331" s="1531"/>
      <c r="C331" s="1531"/>
      <c r="D331" s="1531"/>
      <c r="E331" s="1531"/>
      <c r="F331" s="1531"/>
      <c r="G331" s="1531"/>
      <c r="H331" s="1531"/>
    </row>
    <row r="332" spans="1:8" x14ac:dyDescent="0.25">
      <c r="A332" s="1532" t="s">
        <v>1437</v>
      </c>
      <c r="B332" s="1531"/>
      <c r="C332" s="1531"/>
      <c r="D332" s="1531"/>
      <c r="E332" s="1531"/>
      <c r="F332" s="1531"/>
      <c r="G332" s="1531"/>
      <c r="H332" s="1531"/>
    </row>
    <row r="333" spans="1:8" x14ac:dyDescent="0.25">
      <c r="A333" s="1532" t="s">
        <v>1438</v>
      </c>
      <c r="B333" s="1531"/>
      <c r="C333" s="1531"/>
      <c r="D333" s="1531"/>
      <c r="E333" s="1531"/>
      <c r="F333" s="1531"/>
      <c r="G333" s="1531"/>
      <c r="H333" s="1531"/>
    </row>
    <row r="334" spans="1:8" x14ac:dyDescent="0.25">
      <c r="A334" s="1532" t="s">
        <v>1439</v>
      </c>
      <c r="B334" s="1531"/>
      <c r="C334" s="1531"/>
      <c r="D334" s="1531"/>
      <c r="E334" s="1531"/>
      <c r="F334" s="1531"/>
      <c r="G334" s="1531"/>
      <c r="H334" s="1531"/>
    </row>
    <row r="335" spans="1:8" x14ac:dyDescent="0.25">
      <c r="A335" s="1532" t="s">
        <v>1440</v>
      </c>
      <c r="B335" s="1531"/>
      <c r="C335" s="1531"/>
      <c r="D335" s="1531"/>
      <c r="E335" s="1531"/>
      <c r="F335" s="1531"/>
      <c r="G335" s="1531"/>
      <c r="H335" s="1531"/>
    </row>
    <row r="336" spans="1:8" x14ac:dyDescent="0.25">
      <c r="A336" s="1532" t="s">
        <v>1441</v>
      </c>
      <c r="B336" s="1531"/>
      <c r="C336" s="1531"/>
      <c r="D336" s="1531"/>
      <c r="E336" s="1531"/>
      <c r="F336" s="1531"/>
      <c r="G336" s="1531"/>
      <c r="H336" s="1531"/>
    </row>
    <row r="337" spans="1:8" x14ac:dyDescent="0.25">
      <c r="A337" s="1532" t="s">
        <v>1442</v>
      </c>
      <c r="B337" s="1531"/>
      <c r="C337" s="1531"/>
      <c r="D337" s="1531"/>
      <c r="E337" s="1531"/>
      <c r="F337" s="1531"/>
      <c r="G337" s="1531"/>
      <c r="H337" s="1531"/>
    </row>
    <row r="338" spans="1:8" x14ac:dyDescent="0.25">
      <c r="A338" s="1532" t="s">
        <v>1443</v>
      </c>
      <c r="B338" s="1531"/>
      <c r="C338" s="1531"/>
      <c r="D338" s="1531"/>
      <c r="E338" s="1531"/>
      <c r="F338" s="1531"/>
      <c r="G338" s="1531"/>
      <c r="H338" s="1531"/>
    </row>
    <row r="339" spans="1:8" x14ac:dyDescent="0.25">
      <c r="A339" s="1532" t="s">
        <v>1444</v>
      </c>
      <c r="B339" s="1531"/>
      <c r="C339" s="1531"/>
      <c r="D339" s="1531"/>
      <c r="E339" s="1531"/>
      <c r="F339" s="1531"/>
      <c r="G339" s="1531"/>
      <c r="H339" s="1531"/>
    </row>
    <row r="340" spans="1:8" x14ac:dyDescent="0.25">
      <c r="A340" s="1532" t="s">
        <v>1445</v>
      </c>
      <c r="B340" s="1531"/>
      <c r="C340" s="1531"/>
      <c r="D340" s="1531"/>
      <c r="E340" s="1531"/>
      <c r="F340" s="1531"/>
      <c r="G340" s="1531"/>
      <c r="H340" s="1531"/>
    </row>
    <row r="341" spans="1:8" x14ac:dyDescent="0.25">
      <c r="A341" s="1532" t="s">
        <v>1446</v>
      </c>
      <c r="B341" s="1531"/>
      <c r="C341" s="1531"/>
      <c r="D341" s="1531"/>
      <c r="E341" s="1531"/>
      <c r="F341" s="1531"/>
      <c r="G341" s="1531"/>
      <c r="H341" s="1531"/>
    </row>
    <row r="342" spans="1:8" x14ac:dyDescent="0.25">
      <c r="A342" s="1531"/>
      <c r="B342" s="1531"/>
      <c r="C342" s="1531"/>
      <c r="D342" s="1531"/>
      <c r="E342" s="1531"/>
      <c r="F342" s="1531"/>
      <c r="G342" s="1531"/>
      <c r="H342" s="1531"/>
    </row>
    <row r="343" spans="1:8" x14ac:dyDescent="0.25">
      <c r="A343" s="1532" t="s">
        <v>1447</v>
      </c>
      <c r="B343" s="1531"/>
      <c r="C343" s="1531"/>
      <c r="D343" s="1531"/>
      <c r="E343" s="1531"/>
      <c r="F343" s="1531"/>
      <c r="G343" s="1531"/>
      <c r="H343" s="1531"/>
    </row>
    <row r="344" spans="1:8" x14ac:dyDescent="0.25">
      <c r="A344" s="1532" t="s">
        <v>1448</v>
      </c>
      <c r="B344" s="1531"/>
      <c r="C344" s="1531"/>
      <c r="D344" s="1531"/>
      <c r="E344" s="1531"/>
      <c r="F344" s="1531"/>
      <c r="G344" s="1531"/>
      <c r="H344" s="1531"/>
    </row>
    <row r="345" spans="1:8" x14ac:dyDescent="0.25">
      <c r="A345" s="1531"/>
      <c r="B345" s="1531"/>
      <c r="C345" s="1531"/>
      <c r="D345" s="1531"/>
      <c r="E345" s="1531"/>
      <c r="F345" s="1531"/>
      <c r="G345" s="1531"/>
      <c r="H345" s="1531"/>
    </row>
    <row r="346" spans="1:8" x14ac:dyDescent="0.25">
      <c r="A346" s="1532" t="s">
        <v>1449</v>
      </c>
      <c r="B346" s="1531"/>
      <c r="C346" s="1531"/>
      <c r="D346" s="1531"/>
      <c r="E346" s="1531"/>
      <c r="F346" s="1531"/>
      <c r="G346" s="1531"/>
      <c r="H346" s="1531"/>
    </row>
    <row r="347" spans="1:8" x14ac:dyDescent="0.25">
      <c r="A347" s="1532" t="s">
        <v>1450</v>
      </c>
      <c r="B347" s="1531"/>
      <c r="C347" s="1531"/>
      <c r="D347" s="1531"/>
      <c r="E347" s="1531"/>
      <c r="F347" s="1531"/>
      <c r="G347" s="1531"/>
      <c r="H347" s="1531"/>
    </row>
    <row r="348" spans="1:8" x14ac:dyDescent="0.25">
      <c r="A348" s="1532" t="s">
        <v>1451</v>
      </c>
      <c r="B348" s="1531"/>
      <c r="C348" s="1531"/>
      <c r="D348" s="1531"/>
      <c r="E348" s="1531"/>
      <c r="F348" s="1531"/>
      <c r="G348" s="1531"/>
      <c r="H348" s="1531"/>
    </row>
    <row r="349" spans="1:8" x14ac:dyDescent="0.25">
      <c r="A349" s="1532" t="s">
        <v>1452</v>
      </c>
      <c r="B349" s="1531"/>
      <c r="C349" s="1531"/>
      <c r="D349" s="1531"/>
      <c r="E349" s="1531"/>
      <c r="F349" s="1531"/>
      <c r="G349" s="1531"/>
      <c r="H349" s="1531"/>
    </row>
    <row r="350" spans="1:8" x14ac:dyDescent="0.25">
      <c r="A350" s="1532" t="s">
        <v>1453</v>
      </c>
      <c r="B350" s="1531"/>
      <c r="C350" s="1531"/>
      <c r="D350" s="1531"/>
      <c r="E350" s="1531"/>
      <c r="F350" s="1531"/>
      <c r="G350" s="1531"/>
      <c r="H350" s="1531"/>
    </row>
    <row r="351" spans="1:8" x14ac:dyDescent="0.25">
      <c r="A351" s="1532" t="s">
        <v>1454</v>
      </c>
      <c r="B351" s="1531"/>
      <c r="C351" s="1531"/>
      <c r="D351" s="1531"/>
      <c r="E351" s="1531"/>
      <c r="F351" s="1531"/>
      <c r="G351" s="1531"/>
      <c r="H351" s="1531"/>
    </row>
    <row r="352" spans="1:8" x14ac:dyDescent="0.25">
      <c r="A352" s="1532" t="s">
        <v>1455</v>
      </c>
      <c r="B352" s="1531"/>
      <c r="C352" s="1531"/>
      <c r="D352" s="1531"/>
      <c r="E352" s="1531"/>
      <c r="F352" s="1531"/>
      <c r="G352" s="1531"/>
      <c r="H352" s="1531"/>
    </row>
    <row r="353" spans="1:8" x14ac:dyDescent="0.25">
      <c r="A353" s="1532" t="s">
        <v>1456</v>
      </c>
      <c r="B353" s="1531"/>
      <c r="C353" s="1531"/>
      <c r="D353" s="1531"/>
      <c r="E353" s="1531"/>
      <c r="F353" s="1531"/>
      <c r="G353" s="1531"/>
      <c r="H353" s="1531"/>
    </row>
    <row r="354" spans="1:8" x14ac:dyDescent="0.25">
      <c r="A354" s="1531"/>
      <c r="B354" s="1531"/>
      <c r="C354" s="1531"/>
      <c r="D354" s="1531"/>
      <c r="E354" s="1531"/>
      <c r="F354" s="1531"/>
      <c r="G354" s="1531"/>
      <c r="H354" s="1531"/>
    </row>
    <row r="355" spans="1:8" x14ac:dyDescent="0.25">
      <c r="A355" s="1532" t="s">
        <v>1457</v>
      </c>
      <c r="B355" s="1531"/>
      <c r="C355" s="1531"/>
      <c r="D355" s="1531"/>
      <c r="E355" s="1531"/>
      <c r="F355" s="1531"/>
      <c r="G355" s="1531"/>
      <c r="H355" s="1531"/>
    </row>
    <row r="356" spans="1:8" x14ac:dyDescent="0.25">
      <c r="A356" s="1532" t="s">
        <v>1458</v>
      </c>
      <c r="B356" s="1531"/>
      <c r="C356" s="1531"/>
      <c r="D356" s="1531"/>
      <c r="E356" s="1531"/>
      <c r="F356" s="1531"/>
      <c r="G356" s="1531"/>
      <c r="H356" s="1531"/>
    </row>
    <row r="357" spans="1:8" x14ac:dyDescent="0.25">
      <c r="A357" s="1532" t="s">
        <v>1459</v>
      </c>
      <c r="B357" s="1531"/>
      <c r="C357" s="1531"/>
      <c r="D357" s="1531"/>
      <c r="E357" s="1531"/>
      <c r="F357" s="1531"/>
      <c r="G357" s="1531"/>
      <c r="H357" s="1531"/>
    </row>
    <row r="358" spans="1:8" x14ac:dyDescent="0.25">
      <c r="A358" s="1532" t="s">
        <v>1460</v>
      </c>
      <c r="B358" s="1531"/>
      <c r="C358" s="1531"/>
      <c r="D358" s="1531"/>
      <c r="E358" s="1531"/>
      <c r="F358" s="1531"/>
      <c r="G358" s="1531"/>
      <c r="H358" s="1531"/>
    </row>
    <row r="359" spans="1:8" x14ac:dyDescent="0.25">
      <c r="A359" s="1532" t="s">
        <v>1461</v>
      </c>
      <c r="B359" s="1531"/>
      <c r="C359" s="1531"/>
      <c r="D359" s="1531"/>
      <c r="E359" s="1531"/>
      <c r="F359" s="1531"/>
      <c r="G359" s="1531"/>
      <c r="H359" s="1531"/>
    </row>
    <row r="360" spans="1:8" x14ac:dyDescent="0.25">
      <c r="A360" s="1532" t="s">
        <v>1462</v>
      </c>
      <c r="B360" s="1531"/>
      <c r="C360" s="1531"/>
      <c r="D360" s="1531"/>
      <c r="E360" s="1531"/>
      <c r="F360" s="1531"/>
      <c r="G360" s="1531"/>
      <c r="H360" s="1531"/>
    </row>
    <row r="361" spans="1:8" x14ac:dyDescent="0.25">
      <c r="A361" s="1532" t="s">
        <v>1463</v>
      </c>
      <c r="B361" s="1531"/>
      <c r="C361" s="1531"/>
      <c r="D361" s="1531"/>
      <c r="E361" s="1531"/>
      <c r="F361" s="1531"/>
      <c r="G361" s="1531"/>
      <c r="H361" s="1531"/>
    </row>
    <row r="362" spans="1:8" x14ac:dyDescent="0.25">
      <c r="A362" s="1532" t="s">
        <v>1464</v>
      </c>
      <c r="B362" s="1531"/>
      <c r="C362" s="1531"/>
      <c r="D362" s="1531"/>
      <c r="E362" s="1531"/>
      <c r="F362" s="1531"/>
      <c r="G362" s="1531"/>
      <c r="H362" s="1531"/>
    </row>
    <row r="363" spans="1:8" x14ac:dyDescent="0.25">
      <c r="A363" s="1532" t="s">
        <v>1465</v>
      </c>
      <c r="B363" s="1531"/>
      <c r="C363" s="1531"/>
      <c r="D363" s="1531"/>
      <c r="E363" s="1531"/>
      <c r="F363" s="1531"/>
      <c r="G363" s="1531"/>
      <c r="H363" s="1531"/>
    </row>
    <row r="364" spans="1:8" x14ac:dyDescent="0.25">
      <c r="A364" s="1532" t="s">
        <v>1466</v>
      </c>
      <c r="B364" s="1531"/>
      <c r="C364" s="1531"/>
      <c r="D364" s="1531"/>
      <c r="E364" s="1531"/>
      <c r="F364" s="1531"/>
      <c r="G364" s="1531"/>
      <c r="H364" s="1531"/>
    </row>
    <row r="365" spans="1:8" x14ac:dyDescent="0.25">
      <c r="A365" s="1532" t="s">
        <v>1467</v>
      </c>
      <c r="B365" s="1531"/>
      <c r="C365" s="1531"/>
      <c r="D365" s="1531"/>
      <c r="E365" s="1531"/>
      <c r="F365" s="1531"/>
      <c r="G365" s="1531"/>
      <c r="H365" s="1531"/>
    </row>
    <row r="366" spans="1:8" x14ac:dyDescent="0.25">
      <c r="A366" s="1532" t="s">
        <v>1468</v>
      </c>
      <c r="B366" s="1531"/>
      <c r="C366" s="1531"/>
      <c r="D366" s="1531"/>
      <c r="E366" s="1531"/>
      <c r="F366" s="1531"/>
      <c r="G366" s="1531"/>
      <c r="H366" s="1531"/>
    </row>
    <row r="367" spans="1:8" x14ac:dyDescent="0.25">
      <c r="A367" s="1532" t="s">
        <v>1469</v>
      </c>
      <c r="B367" s="1531"/>
      <c r="C367" s="1531"/>
      <c r="D367" s="1531"/>
      <c r="E367" s="1531"/>
      <c r="F367" s="1531"/>
      <c r="G367" s="1531"/>
      <c r="H367" s="1531"/>
    </row>
    <row r="368" spans="1:8" x14ac:dyDescent="0.25">
      <c r="A368" s="1532" t="s">
        <v>1470</v>
      </c>
      <c r="B368" s="1531"/>
      <c r="C368" s="1531"/>
      <c r="D368" s="1531"/>
      <c r="E368" s="1531"/>
      <c r="F368" s="1531"/>
      <c r="G368" s="1531"/>
      <c r="H368" s="1531"/>
    </row>
    <row r="369" spans="1:8" x14ac:dyDescent="0.25">
      <c r="A369" s="1532" t="s">
        <v>1471</v>
      </c>
      <c r="B369" s="1531"/>
      <c r="C369" s="1531"/>
      <c r="D369" s="1531"/>
      <c r="E369" s="1531"/>
      <c r="F369" s="1531"/>
      <c r="G369" s="1531"/>
      <c r="H369" s="1531"/>
    </row>
    <row r="370" spans="1:8" x14ac:dyDescent="0.25">
      <c r="A370" s="1532" t="s">
        <v>1472</v>
      </c>
      <c r="B370" s="1531"/>
      <c r="C370" s="1531"/>
      <c r="D370" s="1531"/>
      <c r="E370" s="1531"/>
      <c r="F370" s="1531"/>
      <c r="G370" s="1531"/>
      <c r="H370" s="1531"/>
    </row>
    <row r="371" spans="1:8" x14ac:dyDescent="0.25">
      <c r="A371" s="1532" t="s">
        <v>1473</v>
      </c>
      <c r="B371" s="1531"/>
      <c r="C371" s="1531"/>
      <c r="D371" s="1531"/>
      <c r="E371" s="1531"/>
      <c r="F371" s="1531"/>
      <c r="G371" s="1531"/>
      <c r="H371" s="1531"/>
    </row>
    <row r="372" spans="1:8" x14ac:dyDescent="0.25">
      <c r="A372" s="1532" t="s">
        <v>1474</v>
      </c>
      <c r="B372" s="1531"/>
      <c r="C372" s="1531"/>
      <c r="D372" s="1531"/>
      <c r="E372" s="1531"/>
      <c r="F372" s="1531"/>
      <c r="G372" s="1531"/>
      <c r="H372" s="1531"/>
    </row>
    <row r="373" spans="1:8" x14ac:dyDescent="0.25">
      <c r="A373" s="1532" t="s">
        <v>1475</v>
      </c>
      <c r="B373" s="1531"/>
      <c r="C373" s="1531"/>
      <c r="D373" s="1531"/>
      <c r="E373" s="1531"/>
      <c r="F373" s="1531"/>
      <c r="G373" s="1531"/>
      <c r="H373" s="1531"/>
    </row>
    <row r="374" spans="1:8" x14ac:dyDescent="0.25">
      <c r="A374" s="1532" t="s">
        <v>1476</v>
      </c>
      <c r="B374" s="1531"/>
      <c r="C374" s="1531"/>
      <c r="D374" s="1531"/>
      <c r="E374" s="1531"/>
      <c r="F374" s="1531"/>
      <c r="G374" s="1531"/>
      <c r="H374" s="1531"/>
    </row>
    <row r="375" spans="1:8" x14ac:dyDescent="0.25">
      <c r="A375" s="1532" t="s">
        <v>1477</v>
      </c>
      <c r="B375" s="1531"/>
      <c r="C375" s="1531"/>
      <c r="D375" s="1531"/>
      <c r="E375" s="1531"/>
      <c r="F375" s="1531"/>
      <c r="G375" s="1531"/>
      <c r="H375" s="1531"/>
    </row>
    <row r="376" spans="1:8" x14ac:dyDescent="0.25">
      <c r="A376" s="1532" t="s">
        <v>1478</v>
      </c>
      <c r="B376" s="1531"/>
      <c r="C376" s="1531"/>
      <c r="D376" s="1531"/>
      <c r="E376" s="1531"/>
      <c r="F376" s="1531"/>
      <c r="G376" s="1531"/>
      <c r="H376" s="1531"/>
    </row>
    <row r="377" spans="1:8" x14ac:dyDescent="0.25">
      <c r="A377" s="1532" t="s">
        <v>1479</v>
      </c>
      <c r="B377" s="1531"/>
      <c r="C377" s="1531"/>
      <c r="D377" s="1531"/>
      <c r="E377" s="1531"/>
      <c r="F377" s="1531"/>
      <c r="G377" s="1531"/>
      <c r="H377" s="1531"/>
    </row>
    <row r="378" spans="1:8" x14ac:dyDescent="0.25">
      <c r="A378" s="1532" t="s">
        <v>1480</v>
      </c>
      <c r="B378" s="1531"/>
      <c r="C378" s="1531"/>
      <c r="D378" s="1531"/>
      <c r="E378" s="1531"/>
      <c r="F378" s="1531"/>
      <c r="G378" s="1531"/>
      <c r="H378" s="1531"/>
    </row>
    <row r="379" spans="1:8" x14ac:dyDescent="0.25">
      <c r="A379" s="1532" t="s">
        <v>1481</v>
      </c>
      <c r="B379" s="1531"/>
      <c r="C379" s="1531"/>
      <c r="D379" s="1531"/>
      <c r="E379" s="1531"/>
      <c r="F379" s="1531"/>
      <c r="G379" s="1531"/>
      <c r="H379" s="1531"/>
    </row>
    <row r="380" spans="1:8" x14ac:dyDescent="0.25">
      <c r="A380" s="1532" t="s">
        <v>1482</v>
      </c>
      <c r="B380" s="1531"/>
      <c r="C380" s="1531"/>
      <c r="D380" s="1531"/>
      <c r="E380" s="1531"/>
      <c r="F380" s="1531"/>
      <c r="G380" s="1531"/>
      <c r="H380" s="1531"/>
    </row>
    <row r="381" spans="1:8" x14ac:dyDescent="0.25">
      <c r="A381" s="1532" t="s">
        <v>1483</v>
      </c>
      <c r="B381" s="1531"/>
      <c r="C381" s="1531"/>
      <c r="D381" s="1531"/>
      <c r="E381" s="1531"/>
      <c r="F381" s="1531"/>
      <c r="G381" s="1531"/>
      <c r="H381" s="1531"/>
    </row>
    <row r="382" spans="1:8" x14ac:dyDescent="0.25">
      <c r="A382" s="1532" t="s">
        <v>1484</v>
      </c>
      <c r="B382" s="1531"/>
      <c r="C382" s="1531"/>
      <c r="D382" s="1531"/>
      <c r="E382" s="1531"/>
      <c r="F382" s="1531"/>
      <c r="G382" s="1531"/>
      <c r="H382" s="1531"/>
    </row>
    <row r="383" spans="1:8" x14ac:dyDescent="0.25">
      <c r="A383" s="1532" t="s">
        <v>1485</v>
      </c>
      <c r="B383" s="1531"/>
      <c r="C383" s="1531"/>
      <c r="D383" s="1531"/>
      <c r="E383" s="1531"/>
      <c r="F383" s="1531"/>
      <c r="G383" s="1531"/>
      <c r="H383" s="1531"/>
    </row>
    <row r="384" spans="1:8" x14ac:dyDescent="0.25">
      <c r="A384" s="1532" t="s">
        <v>1486</v>
      </c>
      <c r="B384" s="1531"/>
      <c r="C384" s="1531"/>
      <c r="D384" s="1531"/>
      <c r="E384" s="1531"/>
      <c r="F384" s="1531"/>
      <c r="G384" s="1531"/>
      <c r="H384" s="1531"/>
    </row>
    <row r="385" spans="1:8" x14ac:dyDescent="0.25">
      <c r="A385" s="1532" t="s">
        <v>1487</v>
      </c>
      <c r="B385" s="1531"/>
      <c r="C385" s="1531"/>
      <c r="D385" s="1531"/>
      <c r="E385" s="1531"/>
      <c r="F385" s="1531"/>
      <c r="G385" s="1531"/>
      <c r="H385" s="1531"/>
    </row>
    <row r="386" spans="1:8" x14ac:dyDescent="0.25">
      <c r="A386" s="1532" t="s">
        <v>1488</v>
      </c>
      <c r="B386" s="1531"/>
      <c r="C386" s="1531"/>
      <c r="D386" s="1531"/>
      <c r="E386" s="1531"/>
      <c r="F386" s="1531"/>
      <c r="G386" s="1531"/>
      <c r="H386" s="1531"/>
    </row>
    <row r="387" spans="1:8" x14ac:dyDescent="0.25">
      <c r="A387" s="1532" t="s">
        <v>1489</v>
      </c>
      <c r="B387" s="1531"/>
      <c r="C387" s="1531"/>
      <c r="D387" s="1531"/>
      <c r="E387" s="1531"/>
      <c r="F387" s="1531"/>
      <c r="G387" s="1531"/>
      <c r="H387" s="1531"/>
    </row>
    <row r="388" spans="1:8" x14ac:dyDescent="0.25">
      <c r="A388" s="1532" t="s">
        <v>1490</v>
      </c>
      <c r="B388" s="1531"/>
      <c r="C388" s="1531"/>
      <c r="D388" s="1531"/>
      <c r="E388" s="1531"/>
      <c r="F388" s="1531"/>
      <c r="G388" s="1531"/>
      <c r="H388" s="1531"/>
    </row>
    <row r="389" spans="1:8" x14ac:dyDescent="0.25">
      <c r="A389" s="1532" t="s">
        <v>1491</v>
      </c>
      <c r="B389" s="1531"/>
      <c r="C389" s="1531"/>
      <c r="D389" s="1531"/>
      <c r="E389" s="1531"/>
      <c r="F389" s="1531"/>
      <c r="G389" s="1531"/>
      <c r="H389" s="1531"/>
    </row>
    <row r="390" spans="1:8" x14ac:dyDescent="0.25">
      <c r="A390" s="1532" t="s">
        <v>1492</v>
      </c>
      <c r="B390" s="1531"/>
      <c r="C390" s="1531"/>
      <c r="D390" s="1531"/>
      <c r="E390" s="1531"/>
      <c r="F390" s="1531"/>
      <c r="G390" s="1531"/>
      <c r="H390" s="1531"/>
    </row>
    <row r="391" spans="1:8" x14ac:dyDescent="0.25">
      <c r="A391" s="1532" t="s">
        <v>1493</v>
      </c>
      <c r="B391" s="1531"/>
      <c r="C391" s="1531"/>
      <c r="D391" s="1531"/>
      <c r="E391" s="1531"/>
      <c r="F391" s="1531"/>
      <c r="G391" s="1531"/>
      <c r="H391" s="1531"/>
    </row>
    <row r="392" spans="1:8" x14ac:dyDescent="0.25">
      <c r="A392" s="1532" t="s">
        <v>1494</v>
      </c>
      <c r="B392" s="1531"/>
      <c r="C392" s="1531"/>
      <c r="D392" s="1531"/>
      <c r="E392" s="1531"/>
      <c r="F392" s="1531"/>
      <c r="G392" s="1531"/>
      <c r="H392" s="1531"/>
    </row>
    <row r="393" spans="1:8" x14ac:dyDescent="0.25">
      <c r="A393" s="1532" t="s">
        <v>1495</v>
      </c>
      <c r="B393" s="1531"/>
      <c r="C393" s="1531"/>
      <c r="D393" s="1531"/>
      <c r="E393" s="1531"/>
      <c r="F393" s="1531"/>
      <c r="G393" s="1531"/>
      <c r="H393" s="1531"/>
    </row>
    <row r="394" spans="1:8" x14ac:dyDescent="0.25">
      <c r="A394" s="1532" t="s">
        <v>1496</v>
      </c>
      <c r="B394" s="1531"/>
      <c r="C394" s="1531"/>
      <c r="D394" s="1531"/>
      <c r="E394" s="1531"/>
      <c r="F394" s="1531"/>
      <c r="G394" s="1531"/>
      <c r="H394" s="1531"/>
    </row>
    <row r="395" spans="1:8" x14ac:dyDescent="0.25">
      <c r="A395" s="1532" t="s">
        <v>1497</v>
      </c>
      <c r="B395" s="1531"/>
      <c r="C395" s="1531"/>
      <c r="D395" s="1531"/>
      <c r="E395" s="1531"/>
      <c r="F395" s="1531"/>
      <c r="G395" s="1531"/>
      <c r="H395" s="1531"/>
    </row>
    <row r="396" spans="1:8" x14ac:dyDescent="0.25">
      <c r="A396" s="1532" t="s">
        <v>1498</v>
      </c>
      <c r="B396" s="1531"/>
      <c r="C396" s="1531"/>
      <c r="D396" s="1531"/>
      <c r="E396" s="1531"/>
      <c r="F396" s="1531"/>
      <c r="G396" s="1531"/>
      <c r="H396" s="1531"/>
    </row>
    <row r="397" spans="1:8" x14ac:dyDescent="0.25">
      <c r="A397" s="1532" t="s">
        <v>1499</v>
      </c>
      <c r="B397" s="1531"/>
      <c r="C397" s="1531"/>
      <c r="D397" s="1531"/>
      <c r="E397" s="1531"/>
      <c r="F397" s="1531"/>
      <c r="G397" s="1531"/>
      <c r="H397" s="1531"/>
    </row>
    <row r="398" spans="1:8" x14ac:dyDescent="0.25">
      <c r="A398" s="1532" t="s">
        <v>1500</v>
      </c>
      <c r="B398" s="1531"/>
      <c r="C398" s="1531"/>
      <c r="D398" s="1531"/>
      <c r="E398" s="1531"/>
      <c r="F398" s="1531"/>
      <c r="G398" s="1531"/>
      <c r="H398" s="1531"/>
    </row>
    <row r="399" spans="1:8" x14ac:dyDescent="0.25">
      <c r="A399" s="1532" t="s">
        <v>1501</v>
      </c>
      <c r="B399" s="1531"/>
      <c r="C399" s="1531"/>
      <c r="D399" s="1531"/>
      <c r="E399" s="1531"/>
      <c r="F399" s="1531"/>
      <c r="G399" s="1531"/>
      <c r="H399" s="1531"/>
    </row>
    <row r="400" spans="1:8" x14ac:dyDescent="0.25">
      <c r="A400" s="1532" t="s">
        <v>1502</v>
      </c>
      <c r="B400" s="1531"/>
      <c r="C400" s="1531"/>
      <c r="D400" s="1531"/>
      <c r="E400" s="1531"/>
      <c r="F400" s="1531"/>
      <c r="G400" s="1531"/>
      <c r="H400" s="1531"/>
    </row>
    <row r="401" spans="1:8" x14ac:dyDescent="0.25">
      <c r="A401" s="1531"/>
      <c r="B401" s="1531"/>
      <c r="C401" s="1531"/>
      <c r="D401" s="1531"/>
      <c r="E401" s="1531"/>
      <c r="F401" s="1531"/>
      <c r="G401" s="1531"/>
      <c r="H401" s="1531"/>
    </row>
    <row r="402" spans="1:8" x14ac:dyDescent="0.25">
      <c r="A402" s="1532" t="s">
        <v>1503</v>
      </c>
      <c r="B402" s="1531"/>
      <c r="C402" s="1531"/>
      <c r="D402" s="1531"/>
      <c r="E402" s="1531"/>
      <c r="F402" s="1531"/>
      <c r="G402" s="1531"/>
      <c r="H402" s="1531"/>
    </row>
    <row r="403" spans="1:8" x14ac:dyDescent="0.25">
      <c r="A403" s="1532" t="s">
        <v>1504</v>
      </c>
      <c r="B403" s="1531"/>
      <c r="C403" s="1531"/>
      <c r="D403" s="1531"/>
      <c r="E403" s="1531"/>
      <c r="F403" s="1531"/>
      <c r="G403" s="1531"/>
      <c r="H403" s="1531"/>
    </row>
    <row r="404" spans="1:8" x14ac:dyDescent="0.25">
      <c r="A404" s="1532" t="s">
        <v>1505</v>
      </c>
      <c r="B404" s="1531"/>
      <c r="C404" s="1531"/>
      <c r="D404" s="1531"/>
      <c r="E404" s="1531"/>
      <c r="F404" s="1531"/>
      <c r="G404" s="1531"/>
      <c r="H404" s="1531"/>
    </row>
    <row r="405" spans="1:8" x14ac:dyDescent="0.25">
      <c r="A405" s="1532" t="s">
        <v>1506</v>
      </c>
      <c r="B405" s="1531"/>
      <c r="C405" s="1531"/>
      <c r="D405" s="1531"/>
      <c r="E405" s="1531"/>
      <c r="F405" s="1531"/>
      <c r="G405" s="1531"/>
      <c r="H405" s="1531"/>
    </row>
    <row r="406" spans="1:8" x14ac:dyDescent="0.25">
      <c r="A406" s="1532" t="s">
        <v>1507</v>
      </c>
      <c r="B406" s="1531"/>
      <c r="C406" s="1531"/>
      <c r="D406" s="1531"/>
      <c r="E406" s="1531"/>
      <c r="F406" s="1531"/>
      <c r="G406" s="1531"/>
      <c r="H406" s="1531"/>
    </row>
    <row r="407" spans="1:8" x14ac:dyDescent="0.25">
      <c r="A407" s="1532" t="s">
        <v>1508</v>
      </c>
      <c r="B407" s="1531"/>
      <c r="C407" s="1531"/>
      <c r="D407" s="1531"/>
      <c r="E407" s="1531"/>
      <c r="F407" s="1531"/>
      <c r="G407" s="1531"/>
      <c r="H407" s="1531"/>
    </row>
    <row r="408" spans="1:8" x14ac:dyDescent="0.25">
      <c r="A408" s="1532" t="s">
        <v>1509</v>
      </c>
      <c r="B408" s="1531"/>
      <c r="C408" s="1531"/>
      <c r="D408" s="1531"/>
      <c r="E408" s="1531"/>
      <c r="F408" s="1531"/>
      <c r="G408" s="1531"/>
      <c r="H408" s="1531"/>
    </row>
    <row r="409" spans="1:8" x14ac:dyDescent="0.25">
      <c r="A409" s="1532" t="s">
        <v>1510</v>
      </c>
      <c r="B409" s="1531"/>
      <c r="C409" s="1531"/>
      <c r="D409" s="1531"/>
      <c r="E409" s="1531"/>
      <c r="F409" s="1531"/>
      <c r="G409" s="1531"/>
      <c r="H409" s="1531"/>
    </row>
    <row r="410" spans="1:8" x14ac:dyDescent="0.25">
      <c r="A410" s="1531"/>
      <c r="B410" s="1531"/>
      <c r="C410" s="1531"/>
      <c r="D410" s="1531"/>
      <c r="E410" s="1531"/>
      <c r="F410" s="1531"/>
      <c r="G410" s="1531"/>
      <c r="H410" s="1531"/>
    </row>
    <row r="411" spans="1:8" x14ac:dyDescent="0.25">
      <c r="A411" s="1532" t="s">
        <v>1503</v>
      </c>
      <c r="B411" s="1531"/>
      <c r="C411" s="1531"/>
      <c r="D411" s="1531"/>
      <c r="E411" s="1531"/>
      <c r="F411" s="1531"/>
      <c r="G411" s="1531"/>
      <c r="H411" s="1531"/>
    </row>
    <row r="412" spans="1:8" x14ac:dyDescent="0.25">
      <c r="A412" s="1532" t="s">
        <v>1511</v>
      </c>
      <c r="B412" s="1531"/>
      <c r="C412" s="1531"/>
      <c r="D412" s="1531"/>
      <c r="E412" s="1531"/>
      <c r="F412" s="1531"/>
      <c r="G412" s="1531"/>
      <c r="H412" s="1531"/>
    </row>
    <row r="413" spans="1:8" x14ac:dyDescent="0.25">
      <c r="A413" s="1532" t="s">
        <v>1512</v>
      </c>
      <c r="B413" s="1531"/>
      <c r="C413" s="1531"/>
      <c r="D413" s="1531"/>
      <c r="E413" s="1531"/>
      <c r="F413" s="1531"/>
      <c r="G413" s="1531"/>
      <c r="H413" s="1531"/>
    </row>
    <row r="414" spans="1:8" x14ac:dyDescent="0.25">
      <c r="A414" s="1532" t="s">
        <v>1513</v>
      </c>
      <c r="B414" s="1531"/>
      <c r="C414" s="1531"/>
      <c r="D414" s="1531"/>
      <c r="E414" s="1531"/>
      <c r="F414" s="1531"/>
      <c r="G414" s="1531"/>
      <c r="H414" s="1531"/>
    </row>
    <row r="415" spans="1:8" x14ac:dyDescent="0.25">
      <c r="A415" s="1531"/>
      <c r="B415" s="1531"/>
      <c r="C415" s="1531"/>
      <c r="D415" s="1531"/>
      <c r="E415" s="1531"/>
      <c r="F415" s="1531"/>
      <c r="G415" s="1531"/>
      <c r="H415" s="1531"/>
    </row>
    <row r="416" spans="1:8" x14ac:dyDescent="0.25">
      <c r="A416" s="1532" t="s">
        <v>1514</v>
      </c>
      <c r="B416" s="1531"/>
      <c r="C416" s="1531"/>
      <c r="D416" s="1531"/>
      <c r="E416" s="1531"/>
      <c r="F416" s="1531"/>
      <c r="G416" s="1531"/>
      <c r="H416" s="1531"/>
    </row>
    <row r="417" spans="1:8" x14ac:dyDescent="0.25">
      <c r="A417" s="1532" t="s">
        <v>1515</v>
      </c>
      <c r="B417" s="1531"/>
      <c r="C417" s="1531"/>
      <c r="D417" s="1531"/>
      <c r="E417" s="1531"/>
      <c r="F417" s="1531"/>
      <c r="G417" s="1531"/>
      <c r="H417" s="1531"/>
    </row>
    <row r="418" spans="1:8" x14ac:dyDescent="0.25">
      <c r="A418" s="1532" t="s">
        <v>1516</v>
      </c>
      <c r="B418" s="1531"/>
      <c r="C418" s="1531"/>
      <c r="D418" s="1531"/>
      <c r="E418" s="1531"/>
      <c r="F418" s="1531"/>
      <c r="G418" s="1531"/>
      <c r="H418" s="1531"/>
    </row>
    <row r="419" spans="1:8" x14ac:dyDescent="0.25">
      <c r="A419" s="1532" t="s">
        <v>1517</v>
      </c>
      <c r="B419" s="1531"/>
      <c r="C419" s="1531"/>
      <c r="D419" s="1531"/>
      <c r="E419" s="1531"/>
      <c r="F419" s="1531"/>
      <c r="G419" s="1531"/>
      <c r="H419" s="1531"/>
    </row>
    <row r="420" spans="1:8" x14ac:dyDescent="0.25">
      <c r="A420" s="1532" t="s">
        <v>1518</v>
      </c>
      <c r="B420" s="1531"/>
      <c r="C420" s="1531"/>
      <c r="D420" s="1531"/>
      <c r="E420" s="1531"/>
      <c r="F420" s="1531"/>
      <c r="G420" s="1531"/>
      <c r="H420" s="1531"/>
    </row>
    <row r="421" spans="1:8" x14ac:dyDescent="0.25">
      <c r="A421" s="1532" t="s">
        <v>1519</v>
      </c>
      <c r="B421" s="1531"/>
      <c r="C421" s="1531"/>
      <c r="D421" s="1531"/>
      <c r="E421" s="1531"/>
      <c r="F421" s="1531"/>
      <c r="G421" s="1531"/>
      <c r="H421" s="1531"/>
    </row>
    <row r="422" spans="1:8" x14ac:dyDescent="0.25">
      <c r="A422" s="1531"/>
      <c r="B422" s="1531"/>
      <c r="C422" s="1531"/>
      <c r="D422" s="1531"/>
      <c r="E422" s="1531"/>
      <c r="F422" s="1531"/>
      <c r="G422" s="1531"/>
      <c r="H422" s="1531"/>
    </row>
    <row r="423" spans="1:8" x14ac:dyDescent="0.25">
      <c r="A423" s="1532" t="s">
        <v>1520</v>
      </c>
      <c r="B423" s="1531"/>
      <c r="C423" s="1531"/>
      <c r="D423" s="1531"/>
      <c r="E423" s="1531"/>
      <c r="F423" s="1531"/>
      <c r="G423" s="1531"/>
      <c r="H423" s="1531"/>
    </row>
    <row r="424" spans="1:8" x14ac:dyDescent="0.25">
      <c r="A424" s="1532" t="s">
        <v>1521</v>
      </c>
      <c r="B424" s="1531"/>
      <c r="C424" s="1531"/>
      <c r="D424" s="1531"/>
      <c r="E424" s="1531"/>
      <c r="F424" s="1531"/>
      <c r="G424" s="1531"/>
      <c r="H424" s="1531"/>
    </row>
    <row r="425" spans="1:8" x14ac:dyDescent="0.25">
      <c r="A425" s="1532" t="s">
        <v>1522</v>
      </c>
      <c r="B425" s="1531"/>
      <c r="C425" s="1531"/>
      <c r="D425" s="1531"/>
      <c r="E425" s="1531"/>
      <c r="F425" s="1531"/>
      <c r="G425" s="1531"/>
      <c r="H425" s="1531"/>
    </row>
    <row r="426" spans="1:8" x14ac:dyDescent="0.25">
      <c r="A426" s="1532" t="s">
        <v>1523</v>
      </c>
      <c r="B426" s="1531"/>
      <c r="C426" s="1531"/>
      <c r="D426" s="1531"/>
      <c r="E426" s="1531"/>
      <c r="F426" s="1531"/>
      <c r="G426" s="1531"/>
      <c r="H426" s="1531"/>
    </row>
    <row r="427" spans="1:8" x14ac:dyDescent="0.25">
      <c r="A427" s="1532" t="s">
        <v>1524</v>
      </c>
      <c r="B427" s="1531"/>
      <c r="C427" s="1531"/>
      <c r="D427" s="1531"/>
      <c r="E427" s="1531"/>
      <c r="F427" s="1531"/>
      <c r="G427" s="1531"/>
      <c r="H427" s="1531"/>
    </row>
    <row r="428" spans="1:8" x14ac:dyDescent="0.25">
      <c r="A428" s="1531"/>
      <c r="B428" s="1531"/>
      <c r="C428" s="1531"/>
      <c r="D428" s="1531"/>
      <c r="E428" s="1531"/>
      <c r="F428" s="1531"/>
      <c r="G428" s="1531"/>
      <c r="H428" s="1531"/>
    </row>
    <row r="429" spans="1:8" x14ac:dyDescent="0.25">
      <c r="A429" s="1532" t="s">
        <v>1525</v>
      </c>
      <c r="B429" s="1531"/>
      <c r="C429" s="1531"/>
      <c r="D429" s="1531"/>
      <c r="E429" s="1531"/>
      <c r="F429" s="1531"/>
      <c r="G429" s="1531"/>
      <c r="H429" s="1531"/>
    </row>
    <row r="430" spans="1:8" x14ac:dyDescent="0.25">
      <c r="A430" s="1532" t="s">
        <v>1526</v>
      </c>
      <c r="B430" s="1531"/>
      <c r="C430" s="1531"/>
      <c r="D430" s="1531"/>
      <c r="E430" s="1531"/>
      <c r="F430" s="1531"/>
      <c r="G430" s="1531"/>
      <c r="H430" s="1531"/>
    </row>
    <row r="431" spans="1:8" x14ac:dyDescent="0.25">
      <c r="A431" s="1531"/>
      <c r="B431" s="1531"/>
      <c r="C431" s="1531"/>
      <c r="D431" s="1531"/>
      <c r="E431" s="1531"/>
      <c r="F431" s="1531"/>
      <c r="G431" s="1531"/>
      <c r="H431" s="1531"/>
    </row>
    <row r="432" spans="1:8" x14ac:dyDescent="0.25">
      <c r="A432" s="1532" t="s">
        <v>1527</v>
      </c>
      <c r="B432" s="1531"/>
      <c r="C432" s="1531"/>
      <c r="D432" s="1531"/>
      <c r="E432" s="1531"/>
      <c r="F432" s="1531"/>
      <c r="G432" s="1531"/>
      <c r="H432" s="1531"/>
    </row>
    <row r="433" spans="1:8" x14ac:dyDescent="0.25">
      <c r="A433" s="1532" t="s">
        <v>1528</v>
      </c>
      <c r="B433" s="1531"/>
      <c r="C433" s="1531"/>
      <c r="D433" s="1531"/>
      <c r="E433" s="1531"/>
      <c r="F433" s="1531"/>
      <c r="G433" s="1531"/>
      <c r="H433" s="1531"/>
    </row>
    <row r="434" spans="1:8" x14ac:dyDescent="0.25">
      <c r="A434" s="1531"/>
      <c r="B434" s="1531"/>
      <c r="C434" s="1531"/>
      <c r="D434" s="1531"/>
      <c r="E434" s="1531"/>
      <c r="F434" s="1531"/>
      <c r="G434" s="1531"/>
      <c r="H434" s="1531"/>
    </row>
    <row r="435" spans="1:8" x14ac:dyDescent="0.25">
      <c r="A435" s="1532" t="s">
        <v>1529</v>
      </c>
      <c r="B435" s="1531"/>
      <c r="C435" s="1531"/>
      <c r="D435" s="1531"/>
      <c r="E435" s="1531"/>
      <c r="F435" s="1531"/>
      <c r="G435" s="1531"/>
      <c r="H435" s="1531"/>
    </row>
    <row r="436" spans="1:8" x14ac:dyDescent="0.25">
      <c r="A436" s="1532" t="s">
        <v>1530</v>
      </c>
      <c r="B436" s="1531"/>
      <c r="C436" s="1531"/>
      <c r="D436" s="1531"/>
      <c r="E436" s="1531"/>
      <c r="F436" s="1531"/>
      <c r="G436" s="1531"/>
      <c r="H436" s="1531"/>
    </row>
    <row r="437" spans="1:8" x14ac:dyDescent="0.25">
      <c r="A437" s="1532" t="s">
        <v>1531</v>
      </c>
      <c r="B437" s="1531"/>
      <c r="C437" s="1531"/>
      <c r="D437" s="1531"/>
      <c r="E437" s="1531"/>
      <c r="F437" s="1531"/>
      <c r="G437" s="1531"/>
      <c r="H437" s="1531"/>
    </row>
    <row r="438" spans="1:8" x14ac:dyDescent="0.25">
      <c r="A438" s="1532" t="s">
        <v>1532</v>
      </c>
      <c r="B438" s="1531"/>
      <c r="C438" s="1531"/>
      <c r="D438" s="1531"/>
      <c r="E438" s="1531"/>
      <c r="F438" s="1531"/>
      <c r="G438" s="1531"/>
      <c r="H438" s="1531"/>
    </row>
    <row r="439" spans="1:8" x14ac:dyDescent="0.25">
      <c r="A439" s="1531"/>
      <c r="B439" s="1531"/>
      <c r="C439" s="1531"/>
      <c r="D439" s="1531"/>
      <c r="E439" s="1531"/>
      <c r="F439" s="1531"/>
      <c r="G439" s="1531"/>
      <c r="H439" s="1531"/>
    </row>
    <row r="440" spans="1:8" x14ac:dyDescent="0.25">
      <c r="A440" s="1532" t="s">
        <v>1533</v>
      </c>
      <c r="B440" s="1531"/>
      <c r="C440" s="1531"/>
      <c r="D440" s="1531"/>
      <c r="E440" s="1531"/>
      <c r="F440" s="1531"/>
      <c r="G440" s="1531"/>
      <c r="H440" s="1531"/>
    </row>
    <row r="441" spans="1:8" x14ac:dyDescent="0.25">
      <c r="A441" s="1532" t="s">
        <v>1534</v>
      </c>
      <c r="B441" s="1531"/>
      <c r="C441" s="1531"/>
      <c r="D441" s="1531"/>
      <c r="E441" s="1531"/>
      <c r="F441" s="1531"/>
      <c r="G441" s="1531"/>
      <c r="H441" s="1531"/>
    </row>
    <row r="442" spans="1:8" x14ac:dyDescent="0.25">
      <c r="A442" s="1531"/>
      <c r="B442" s="1531"/>
      <c r="C442" s="1531"/>
      <c r="D442" s="1531"/>
      <c r="E442" s="1531"/>
      <c r="F442" s="1531"/>
      <c r="G442" s="1531"/>
      <c r="H442" s="1531"/>
    </row>
    <row r="443" spans="1:8" x14ac:dyDescent="0.25">
      <c r="A443" s="1532" t="s">
        <v>1535</v>
      </c>
      <c r="B443" s="1531"/>
      <c r="C443" s="1531"/>
      <c r="D443" s="1531"/>
      <c r="E443" s="1531"/>
      <c r="F443" s="1531"/>
      <c r="G443" s="1531"/>
      <c r="H443" s="1531"/>
    </row>
    <row r="444" spans="1:8" x14ac:dyDescent="0.25">
      <c r="A444" s="1532" t="s">
        <v>1536</v>
      </c>
      <c r="B444" s="1531"/>
      <c r="C444" s="1531"/>
      <c r="D444" s="1531"/>
      <c r="E444" s="1531"/>
      <c r="F444" s="1531"/>
      <c r="G444" s="1531"/>
      <c r="H444" s="1531"/>
    </row>
    <row r="445" spans="1:8" x14ac:dyDescent="0.25">
      <c r="A445" s="1532" t="s">
        <v>1537</v>
      </c>
      <c r="B445" s="1531"/>
      <c r="C445" s="1531"/>
      <c r="D445" s="1531"/>
      <c r="E445" s="1531"/>
      <c r="F445" s="1531"/>
      <c r="G445" s="1531"/>
      <c r="H445" s="1531"/>
    </row>
    <row r="446" spans="1:8" x14ac:dyDescent="0.25">
      <c r="A446" s="1532" t="s">
        <v>1538</v>
      </c>
      <c r="B446" s="1531"/>
      <c r="C446" s="1531"/>
      <c r="D446" s="1531"/>
      <c r="E446" s="1531"/>
      <c r="F446" s="1531"/>
      <c r="G446" s="1531"/>
      <c r="H446" s="1531"/>
    </row>
    <row r="448" spans="1:8" x14ac:dyDescent="0.25">
      <c r="A448" s="1535" t="s">
        <v>1539</v>
      </c>
    </row>
  </sheetData>
  <mergeCells count="3">
    <mergeCell ref="B145:C145"/>
    <mergeCell ref="D145:F145"/>
    <mergeCell ref="G145:H145"/>
  </mergeCells>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280D888-893B-4BC2-9922-E3B6F9D8C379}">
  <sheetPr codeName="Sheet3">
    <tabColor indexed="10"/>
    <pageSetUpPr fitToPage="1"/>
  </sheetPr>
  <dimension ref="A1:FW103"/>
  <sheetViews>
    <sheetView topLeftCell="A9" zoomScaleNormal="100" workbookViewId="0">
      <selection activeCell="BI7" sqref="BI7"/>
    </sheetView>
  </sheetViews>
  <sheetFormatPr defaultColWidth="9.28515625" defaultRowHeight="12.75" outlineLevelCol="2" x14ac:dyDescent="0.2"/>
  <cols>
    <col min="1" max="1" width="2.5703125" style="2" customWidth="1"/>
    <col min="2" max="2" width="2.7109375" style="2" customWidth="1"/>
    <col min="3" max="3" width="33.7109375" style="2" customWidth="1"/>
    <col min="4" max="5" width="8.7109375" style="2" hidden="1" customWidth="1" outlineLevel="1"/>
    <col min="6" max="6" width="8.7109375" style="2" hidden="1" customWidth="1" collapsed="1"/>
    <col min="7" max="7" width="7.7109375" style="2" hidden="1" customWidth="1" outlineLevel="1"/>
    <col min="8" max="9" width="8.7109375" style="2" hidden="1" customWidth="1" outlineLevel="2"/>
    <col min="10" max="10" width="8.7109375" style="2" hidden="1" customWidth="1" collapsed="1"/>
    <col min="11" max="11" width="8.7109375" style="2" hidden="1" customWidth="1" outlineLevel="1"/>
    <col min="12" max="13" width="8.7109375" style="2" hidden="1" customWidth="1" outlineLevel="2"/>
    <col min="14" max="14" width="8.7109375" style="2" hidden="1" customWidth="1" collapsed="1"/>
    <col min="15" max="15" width="8.7109375" style="2" hidden="1" customWidth="1" outlineLevel="1"/>
    <col min="16" max="17" width="8.7109375" style="2" hidden="1" customWidth="1" outlineLevel="2"/>
    <col min="18" max="18" width="8.7109375" style="2" hidden="1" customWidth="1" collapsed="1"/>
    <col min="19" max="19" width="8.7109375" style="2" hidden="1" customWidth="1"/>
    <col min="20" max="21" width="8.7109375" style="2" hidden="1" customWidth="1" outlineLevel="1"/>
    <col min="22" max="22" width="8.7109375" style="2" hidden="1" customWidth="1" collapsed="1"/>
    <col min="23" max="27" width="8.7109375" style="2" hidden="1" customWidth="1"/>
    <col min="28" max="28" width="8.7109375" style="2" hidden="1" customWidth="1" collapsed="1"/>
    <col min="29" max="29" width="8.7109375" style="2" hidden="1" customWidth="1"/>
    <col min="30" max="30" width="8.7109375" style="2" hidden="1" customWidth="1" collapsed="1"/>
    <col min="31" max="31" width="8.7109375" style="2" hidden="1" customWidth="1"/>
    <col min="32" max="32" width="8.7109375" style="2" hidden="1" customWidth="1" outlineLevel="2" collapsed="1"/>
    <col min="33" max="33" width="8.7109375" style="2" hidden="1" customWidth="1" outlineLevel="2"/>
    <col min="34" max="34" width="8.7109375" style="2" hidden="1" customWidth="1" collapsed="1"/>
    <col min="35" max="37" width="8.7109375" style="2" hidden="1" customWidth="1" outlineLevel="1"/>
    <col min="38" max="38" width="8.7109375" style="2" hidden="1" customWidth="1" collapsed="1"/>
    <col min="39" max="41" width="8.7109375" style="2" hidden="1" customWidth="1" outlineLevel="1"/>
    <col min="42" max="42" width="8.7109375" style="2" hidden="1" customWidth="1" collapsed="1"/>
    <col min="43" max="45" width="8.7109375" style="2" hidden="1" customWidth="1" outlineLevel="1"/>
    <col min="46" max="46" width="8.7109375" style="2" hidden="1" customWidth="1" collapsed="1"/>
    <col min="47" max="49" width="8.7109375" style="2" hidden="1" customWidth="1" outlineLevel="1"/>
    <col min="50" max="50" width="8.7109375" style="2" hidden="1" customWidth="1" collapsed="1"/>
    <col min="51" max="53" width="8.7109375" style="2" hidden="1" customWidth="1" outlineLevel="1"/>
    <col min="54" max="54" width="8.7109375" style="2" hidden="1" customWidth="1" collapsed="1"/>
    <col min="55" max="55" width="8.7109375" style="2" hidden="1" customWidth="1" outlineLevel="1"/>
    <col min="56" max="57" width="8.7109375" style="2" customWidth="1" outlineLevel="1"/>
    <col min="58" max="58" width="8.7109375" style="2" customWidth="1"/>
    <col min="59" max="59" width="8.7109375" style="2" hidden="1" customWidth="1" outlineLevel="1"/>
    <col min="60" max="61" width="8.7109375" style="2" customWidth="1" outlineLevel="1"/>
    <col min="62" max="62" width="8.7109375" style="2" customWidth="1"/>
    <col min="63" max="65" width="8.7109375" style="2" hidden="1" customWidth="1" outlineLevel="1"/>
    <col min="66" max="66" width="8.7109375" style="2" customWidth="1" collapsed="1"/>
    <col min="67" max="69" width="8.7109375" style="2" hidden="1" customWidth="1" outlineLevel="1"/>
    <col min="70" max="70" width="8.7109375" style="2" customWidth="1" collapsed="1"/>
    <col min="71" max="71" width="1.7109375" style="2" customWidth="1"/>
    <col min="72" max="72" width="44.5703125" style="2" customWidth="1"/>
    <col min="73" max="73" width="8.7109375" style="2" hidden="1" customWidth="1" outlineLevel="1"/>
    <col min="74" max="75" width="9.28515625" style="2" hidden="1" customWidth="1" outlineLevel="1"/>
    <col min="76" max="76" width="5.5703125" style="2" hidden="1" customWidth="1" collapsed="1"/>
    <col min="77" max="77" width="8.7109375" style="2" hidden="1" customWidth="1" outlineLevel="1"/>
    <col min="78" max="79" width="9.28515625" style="2" hidden="1" customWidth="1" outlineLevel="1"/>
    <col min="80" max="80" width="6.5703125" style="2" hidden="1" customWidth="1" collapsed="1"/>
    <col min="81" max="81" width="8.7109375" style="2" hidden="1" customWidth="1" outlineLevel="1"/>
    <col min="82" max="83" width="9.28515625" style="2" hidden="1" customWidth="1" outlineLevel="1"/>
    <col min="84" max="84" width="8.7109375" style="2" hidden="1" customWidth="1" collapsed="1"/>
    <col min="85" max="85" width="8.7109375" style="2" hidden="1" customWidth="1" outlineLevel="1"/>
    <col min="86" max="87" width="9.28515625" style="2" hidden="1" customWidth="1" outlineLevel="1"/>
    <col min="88" max="88" width="8.7109375" style="2" hidden="1" customWidth="1" collapsed="1"/>
    <col min="89" max="89" width="8.7109375" style="2" hidden="1" customWidth="1"/>
    <col min="90" max="91" width="9.28515625" style="2" hidden="1" customWidth="1"/>
    <col min="92" max="92" width="8.7109375" style="2" hidden="1" customWidth="1"/>
    <col min="93" max="95" width="8.7109375" style="2" hidden="1" customWidth="1" outlineLevel="1"/>
    <col min="96" max="96" width="8.7109375" style="2" hidden="1" customWidth="1" collapsed="1"/>
    <col min="97" max="99" width="8.7109375" style="2" hidden="1" customWidth="1" outlineLevel="1"/>
    <col min="100" max="100" width="8.7109375" style="2" hidden="1" customWidth="1" collapsed="1"/>
    <col min="101" max="103" width="8.7109375" style="2" hidden="1" customWidth="1" outlineLevel="1"/>
    <col min="104" max="104" width="8.7109375" style="2" hidden="1" customWidth="1" collapsed="1"/>
    <col min="105" max="107" width="8.7109375" style="2" hidden="1" customWidth="1" outlineLevel="1"/>
    <col min="108" max="108" width="8.7109375" style="2" hidden="1" customWidth="1" collapsed="1"/>
    <col min="109" max="111" width="8.7109375" style="2" hidden="1" customWidth="1" outlineLevel="1"/>
    <col min="112" max="112" width="8.7109375" style="2" hidden="1" customWidth="1" collapsed="1"/>
    <col min="113" max="115" width="8.7109375" style="2" hidden="1" customWidth="1" outlineLevel="1"/>
    <col min="116" max="116" width="8.7109375" style="2" hidden="1" customWidth="1" collapsed="1"/>
    <col min="117" max="119" width="8.7109375" style="2" hidden="1" customWidth="1" outlineLevel="1"/>
    <col min="120" max="120" width="8.7109375" style="2" hidden="1" customWidth="1" collapsed="1"/>
    <col min="121" max="123" width="8.7109375" style="2" hidden="1" customWidth="1" outlineLevel="1"/>
    <col min="124" max="124" width="8.7109375" style="2" customWidth="1" collapsed="1"/>
    <col min="125" max="127" width="8.7109375" style="2" hidden="1" customWidth="1" outlineLevel="1"/>
    <col min="128" max="128" width="8.7109375" style="2" customWidth="1" collapsed="1"/>
    <col min="129" max="131" width="8.7109375" style="2" hidden="1" customWidth="1" outlineLevel="1"/>
    <col min="132" max="132" width="8.7109375" style="2" customWidth="1" collapsed="1"/>
    <col min="133" max="135" width="8.7109375" style="2" hidden="1" customWidth="1" outlineLevel="1"/>
    <col min="136" max="136" width="8.7109375" style="2" customWidth="1" collapsed="1"/>
    <col min="137" max="137" width="8.7109375" style="2" customWidth="1"/>
    <col min="138" max="138" width="32.7109375" style="2" customWidth="1"/>
    <col min="139" max="139" width="10.85546875" style="2" customWidth="1"/>
    <col min="140" max="140" width="12.28515625" style="2" customWidth="1"/>
    <col min="141" max="143" width="9.7109375" style="2" customWidth="1"/>
    <col min="144" max="146" width="0" style="2" hidden="1" customWidth="1"/>
    <col min="147" max="147" width="9.28515625" style="2"/>
    <col min="148" max="150" width="0" style="2" hidden="1" customWidth="1"/>
    <col min="151" max="151" width="9.28515625" style="2"/>
    <col min="152" max="154" width="0" style="2" hidden="1" customWidth="1"/>
    <col min="155" max="155" width="9.28515625" style="2"/>
    <col min="156" max="158" width="0" style="2" hidden="1" customWidth="1"/>
    <col min="159" max="159" width="9.28515625" style="9"/>
    <col min="160" max="161" width="0" style="2" hidden="1" customWidth="1"/>
    <col min="162" max="162" width="31.7109375" style="2" customWidth="1"/>
    <col min="163" max="163" width="9.28515625" style="2"/>
    <col min="164" max="166" width="0" style="2" hidden="1" customWidth="1"/>
    <col min="167" max="167" width="9.28515625" style="2"/>
    <col min="168" max="170" width="0" style="2" hidden="1" customWidth="1"/>
    <col min="171" max="171" width="9.28515625" style="2"/>
    <col min="172" max="174" width="0" style="2" hidden="1" customWidth="1"/>
    <col min="175" max="175" width="9.28515625" style="2"/>
    <col min="176" max="178" width="0" style="2" hidden="1" customWidth="1"/>
    <col min="179" max="16384" width="9.28515625" style="2"/>
  </cols>
  <sheetData>
    <row r="1" spans="1:179" ht="13.5" thickBot="1" x14ac:dyDescent="0.25">
      <c r="A1" s="4"/>
      <c r="B1" s="4"/>
      <c r="C1" s="5"/>
      <c r="H1" s="6"/>
      <c r="I1" s="6"/>
      <c r="J1" s="6"/>
      <c r="K1" s="6"/>
      <c r="L1" s="6"/>
      <c r="M1" s="6"/>
      <c r="N1" s="6"/>
      <c r="O1" s="6"/>
      <c r="P1" s="6"/>
      <c r="Q1" s="6"/>
      <c r="R1" s="6"/>
      <c r="S1" s="6"/>
      <c r="T1" s="6"/>
      <c r="U1" s="6"/>
      <c r="V1" s="6"/>
      <c r="W1" s="6"/>
      <c r="X1" s="6"/>
      <c r="Y1" s="6"/>
      <c r="Z1" s="6"/>
      <c r="AA1" s="6"/>
      <c r="AB1" s="6"/>
      <c r="AC1" s="6"/>
      <c r="AD1" s="6"/>
      <c r="AE1" s="6"/>
      <c r="AF1" s="6"/>
      <c r="AG1" s="6"/>
      <c r="AH1" s="6"/>
      <c r="AI1" s="6"/>
      <c r="AJ1" s="6"/>
      <c r="AK1" s="6"/>
      <c r="AL1" s="6"/>
      <c r="AM1" s="6"/>
      <c r="AN1" s="6"/>
      <c r="AO1" s="6"/>
      <c r="AP1" s="6"/>
      <c r="AQ1" s="6"/>
      <c r="AR1" s="6"/>
      <c r="AS1" s="6"/>
      <c r="AT1" s="6"/>
      <c r="AU1" s="6"/>
      <c r="AV1" s="6"/>
      <c r="AW1" s="6"/>
      <c r="AX1" s="6"/>
      <c r="AY1" s="6"/>
      <c r="AZ1" s="6"/>
      <c r="BA1" s="6"/>
      <c r="BB1" s="6"/>
      <c r="BC1" s="6"/>
      <c r="BD1" s="6"/>
      <c r="BE1" s="6"/>
      <c r="BF1" s="6"/>
      <c r="BG1" s="6"/>
      <c r="BH1" s="6"/>
      <c r="BI1" s="6"/>
      <c r="BJ1" s="6"/>
      <c r="BK1" s="6"/>
      <c r="BL1" s="6"/>
      <c r="BM1" s="6"/>
      <c r="BN1" s="6"/>
      <c r="BO1" s="6"/>
      <c r="BP1" s="6"/>
      <c r="BQ1" s="6"/>
      <c r="BR1" s="6"/>
      <c r="BU1" s="7"/>
      <c r="BY1" s="7"/>
      <c r="CC1" s="7"/>
      <c r="CG1" s="7"/>
      <c r="CK1" s="7"/>
      <c r="EG1" s="4"/>
      <c r="EI1" s="6"/>
      <c r="EJ1" s="6"/>
      <c r="EK1" s="8"/>
      <c r="EL1" s="8"/>
    </row>
    <row r="2" spans="1:179" ht="13.5" thickBot="1" x14ac:dyDescent="0.25">
      <c r="C2" s="10" t="s">
        <v>0</v>
      </c>
      <c r="D2" s="11"/>
      <c r="E2" s="11"/>
      <c r="F2" s="11"/>
      <c r="G2" s="11"/>
      <c r="H2" s="11"/>
      <c r="I2" s="11"/>
      <c r="J2" s="11"/>
      <c r="K2" s="11"/>
      <c r="L2" s="11"/>
      <c r="M2" s="11"/>
      <c r="N2" s="11"/>
      <c r="O2" s="11"/>
      <c r="P2" s="11"/>
      <c r="Q2" s="11"/>
      <c r="R2" s="11"/>
      <c r="S2" s="11"/>
      <c r="T2" s="11"/>
      <c r="U2" s="11"/>
      <c r="V2" s="11"/>
      <c r="W2" s="11"/>
      <c r="X2" s="11"/>
      <c r="Y2" s="11"/>
      <c r="Z2" s="11"/>
      <c r="AA2" s="11"/>
      <c r="AB2" s="11"/>
      <c r="AC2" s="11"/>
      <c r="AD2" s="11"/>
      <c r="AE2" s="11"/>
      <c r="AF2" s="11"/>
      <c r="AG2" s="11"/>
      <c r="AH2" s="11"/>
      <c r="AI2" s="11"/>
      <c r="AJ2" s="11"/>
      <c r="AK2" s="11"/>
      <c r="AL2" s="12"/>
      <c r="AM2" s="11"/>
      <c r="AN2" s="11"/>
      <c r="AO2" s="11"/>
      <c r="AP2" s="11"/>
      <c r="AQ2" s="11"/>
      <c r="AR2" s="11"/>
      <c r="AS2" s="13"/>
      <c r="AT2" s="14"/>
      <c r="AU2" s="11"/>
      <c r="AV2" s="11"/>
      <c r="AW2" s="11"/>
      <c r="AX2" s="11"/>
      <c r="AY2" s="11"/>
      <c r="AZ2" s="11"/>
      <c r="BA2" s="11"/>
      <c r="BB2" s="11"/>
      <c r="BC2" s="11"/>
      <c r="BD2" s="11"/>
      <c r="BE2" s="11"/>
      <c r="BF2" s="11"/>
      <c r="BG2" s="11"/>
      <c r="BH2" s="11"/>
      <c r="BI2" s="11"/>
      <c r="BJ2" s="11"/>
      <c r="BK2" s="11"/>
      <c r="BL2" s="11"/>
      <c r="BM2" s="11"/>
      <c r="BN2" s="11"/>
      <c r="BO2" s="11"/>
      <c r="BP2" s="11"/>
      <c r="BQ2" s="11"/>
      <c r="BR2" s="11"/>
      <c r="BS2" s="11"/>
      <c r="BT2" s="11"/>
      <c r="BU2" s="15"/>
      <c r="BV2" s="16"/>
      <c r="BW2" s="16"/>
      <c r="BX2" s="16"/>
      <c r="BY2" s="15"/>
      <c r="BZ2" s="16"/>
      <c r="CA2" s="16"/>
      <c r="CB2" s="16"/>
      <c r="CC2" s="15"/>
      <c r="CD2" s="16"/>
      <c r="CE2" s="16"/>
      <c r="CF2" s="16"/>
      <c r="CG2" s="15"/>
      <c r="CH2" s="16"/>
      <c r="CI2" s="16"/>
      <c r="CJ2" s="16"/>
      <c r="CK2" s="15"/>
      <c r="CL2" s="16"/>
      <c r="CM2" s="16"/>
      <c r="CN2" s="16"/>
      <c r="CO2" s="16"/>
      <c r="CP2" s="16"/>
      <c r="CQ2" s="16"/>
      <c r="CR2" s="16"/>
      <c r="CS2" s="16"/>
      <c r="CT2" s="16"/>
      <c r="CU2" s="16"/>
      <c r="CV2" s="17"/>
      <c r="CW2" s="16"/>
      <c r="CX2" s="16"/>
      <c r="CY2" s="16"/>
      <c r="CZ2" s="17"/>
      <c r="DA2" s="16"/>
      <c r="DB2" s="16"/>
      <c r="DC2" s="16"/>
      <c r="DD2" s="17"/>
      <c r="DE2" s="16"/>
      <c r="DF2" s="16"/>
      <c r="DG2" s="16"/>
      <c r="DH2" s="16"/>
      <c r="DI2" s="16"/>
      <c r="DJ2" s="16"/>
      <c r="DK2" s="16"/>
      <c r="DL2" s="16"/>
      <c r="DM2" s="16"/>
      <c r="DN2" s="16"/>
      <c r="DO2" s="16"/>
      <c r="DP2" s="17"/>
      <c r="DQ2" s="16"/>
      <c r="DR2" s="16"/>
      <c r="DS2" s="16"/>
      <c r="DT2" s="1399"/>
      <c r="DU2" s="16"/>
      <c r="DV2" s="16"/>
      <c r="DW2" s="16"/>
      <c r="DX2" s="16"/>
      <c r="DY2" s="16"/>
      <c r="DZ2" s="16"/>
      <c r="EA2" s="16"/>
      <c r="EB2" s="16"/>
      <c r="EC2" s="16"/>
      <c r="ED2" s="16"/>
      <c r="EE2" s="16"/>
      <c r="EF2" s="16" t="s">
        <v>1</v>
      </c>
      <c r="EG2" s="15"/>
      <c r="EH2" s="2" t="s">
        <v>2</v>
      </c>
      <c r="EI2" s="18">
        <v>169.56</v>
      </c>
      <c r="EJ2" s="19">
        <v>46064</v>
      </c>
      <c r="EK2" s="20"/>
      <c r="EL2" s="20"/>
    </row>
    <row r="3" spans="1:179" ht="13.5" thickBot="1" x14ac:dyDescent="0.25">
      <c r="C3" s="21" t="str">
        <f>EI3</f>
        <v>Underweight</v>
      </c>
      <c r="D3" s="22"/>
      <c r="E3" s="22"/>
      <c r="F3" s="22"/>
      <c r="G3" s="22"/>
      <c r="H3" s="22"/>
      <c r="I3" s="22"/>
      <c r="J3" s="22"/>
      <c r="K3" s="22"/>
      <c r="L3" s="22"/>
      <c r="M3" s="22"/>
      <c r="N3" s="22"/>
      <c r="O3" s="22"/>
      <c r="P3" s="22"/>
      <c r="Q3" s="22"/>
      <c r="R3" s="22"/>
      <c r="S3" s="22"/>
      <c r="T3" s="22"/>
      <c r="U3" s="22"/>
      <c r="V3" s="22"/>
      <c r="W3" s="22"/>
      <c r="X3" s="22"/>
      <c r="Y3" s="22"/>
      <c r="Z3" s="22"/>
      <c r="AA3" s="22"/>
      <c r="AB3" s="22"/>
      <c r="AC3" s="22"/>
      <c r="AD3" s="22"/>
      <c r="AE3" s="22"/>
      <c r="AF3" s="22"/>
      <c r="AG3" s="22"/>
      <c r="AH3" s="22"/>
      <c r="AI3" s="22"/>
      <c r="AJ3" s="22"/>
      <c r="AK3" s="22"/>
      <c r="AL3" s="23"/>
      <c r="AM3" s="22"/>
      <c r="AN3" s="24"/>
      <c r="AO3" s="22"/>
      <c r="AP3" s="24"/>
      <c r="AQ3" s="22"/>
      <c r="AR3" s="22"/>
      <c r="AS3" s="24"/>
      <c r="AT3" s="24"/>
      <c r="AU3" s="22"/>
      <c r="AV3" s="25"/>
      <c r="AW3" s="22"/>
      <c r="AX3" s="24"/>
      <c r="AY3" s="22"/>
      <c r="AZ3" s="22"/>
      <c r="BA3" s="22"/>
      <c r="BB3" s="24"/>
      <c r="BC3" s="22"/>
      <c r="BD3" s="22"/>
      <c r="BE3" s="22"/>
      <c r="BF3" s="24"/>
      <c r="BG3" s="22"/>
      <c r="BH3" s="22"/>
      <c r="BI3" s="22"/>
      <c r="BJ3" s="24"/>
      <c r="BK3" s="22"/>
      <c r="BL3" s="22"/>
      <c r="BM3" s="22"/>
      <c r="BN3" s="24"/>
      <c r="BO3" s="22"/>
      <c r="BP3" s="22"/>
      <c r="BQ3" s="22"/>
      <c r="BR3" s="24"/>
      <c r="BS3" s="26"/>
      <c r="BT3" s="21"/>
      <c r="BU3" s="27"/>
      <c r="BV3" s="27"/>
      <c r="BW3" s="27"/>
      <c r="BX3" s="27"/>
      <c r="BY3" s="27"/>
      <c r="BZ3" s="27"/>
      <c r="CA3" s="27"/>
      <c r="CB3" s="27"/>
      <c r="CC3" s="27"/>
      <c r="CD3" s="27"/>
      <c r="CE3" s="27"/>
      <c r="CF3" s="27"/>
      <c r="CG3" s="27"/>
      <c r="CH3" s="27"/>
      <c r="CI3" s="27"/>
      <c r="CJ3" s="27"/>
      <c r="CK3" s="27"/>
      <c r="CL3" s="27"/>
      <c r="CM3" s="27"/>
      <c r="CN3" s="27"/>
      <c r="CO3" s="27"/>
      <c r="CP3" s="27"/>
      <c r="CQ3" s="27"/>
      <c r="CR3" s="27"/>
      <c r="CS3" s="27"/>
      <c r="CT3" s="27"/>
      <c r="CU3" s="27"/>
      <c r="CW3" s="27"/>
      <c r="CX3" s="27"/>
      <c r="CY3" s="27"/>
      <c r="DA3" s="27"/>
      <c r="DB3" s="27"/>
      <c r="DC3" s="27"/>
      <c r="DE3" s="27"/>
      <c r="DF3" s="27"/>
      <c r="DG3" s="27"/>
      <c r="DH3" s="27"/>
      <c r="DI3" s="27"/>
      <c r="DJ3" s="27"/>
      <c r="DK3" s="27"/>
      <c r="DL3" s="27"/>
      <c r="DM3" s="27"/>
      <c r="DN3" s="27"/>
      <c r="DO3" s="27"/>
      <c r="DQ3" s="27"/>
      <c r="DR3" s="27"/>
      <c r="DS3" s="27"/>
      <c r="DT3" s="27"/>
      <c r="DU3" s="27"/>
      <c r="DV3" s="27"/>
      <c r="DW3" s="27"/>
      <c r="DX3" s="27"/>
      <c r="DY3" s="27"/>
      <c r="DZ3" s="27"/>
      <c r="EA3" s="27"/>
      <c r="EB3" s="27"/>
      <c r="EC3" s="27"/>
      <c r="ED3" s="27"/>
      <c r="EE3" s="27"/>
      <c r="EF3" s="27" t="s">
        <v>3</v>
      </c>
      <c r="EG3" s="28"/>
      <c r="EH3" s="2" t="s">
        <v>4</v>
      </c>
      <c r="EI3" s="18" t="s">
        <v>5</v>
      </c>
      <c r="EJ3" s="6"/>
      <c r="EK3" s="20"/>
      <c r="EL3" s="20"/>
      <c r="EU3" s="4"/>
      <c r="EV3" s="4"/>
    </row>
    <row r="4" spans="1:179" x14ac:dyDescent="0.2">
      <c r="C4" s="29" t="s">
        <v>6</v>
      </c>
      <c r="D4" s="30"/>
      <c r="E4" s="30"/>
      <c r="F4" s="30"/>
      <c r="G4" s="30"/>
      <c r="H4" s="30"/>
      <c r="I4" s="30"/>
      <c r="J4" s="30"/>
      <c r="K4" s="30"/>
      <c r="L4" s="30"/>
      <c r="M4" s="30"/>
      <c r="N4" s="30"/>
      <c r="O4" s="30"/>
      <c r="P4" s="30"/>
      <c r="Q4" s="30"/>
      <c r="R4" s="30"/>
      <c r="S4" s="30"/>
      <c r="T4" s="30"/>
      <c r="U4" s="30"/>
      <c r="V4" s="30"/>
      <c r="W4" s="30"/>
      <c r="X4" s="30"/>
      <c r="Y4" s="30"/>
      <c r="Z4" s="30"/>
      <c r="AA4" s="30"/>
      <c r="AB4" s="30"/>
      <c r="AC4" s="30"/>
      <c r="AD4" s="30"/>
      <c r="AE4" s="30"/>
      <c r="AF4" s="30"/>
      <c r="AG4" s="30"/>
      <c r="AH4" s="30"/>
      <c r="AI4" s="30"/>
      <c r="AJ4" s="30"/>
      <c r="AK4" s="30"/>
      <c r="AL4" s="30"/>
      <c r="AM4" s="30"/>
      <c r="AN4" s="30"/>
      <c r="AO4" s="30"/>
      <c r="AP4" s="30"/>
      <c r="AQ4" s="30"/>
      <c r="AR4" s="30"/>
      <c r="AS4" s="30"/>
      <c r="AT4" s="30"/>
      <c r="AU4" s="30"/>
      <c r="AV4" s="30"/>
      <c r="AW4" s="30"/>
      <c r="AX4" s="30"/>
      <c r="AY4" s="30"/>
      <c r="AZ4" s="30"/>
      <c r="BA4" s="30"/>
      <c r="BB4" s="30"/>
      <c r="BC4" s="30"/>
      <c r="BD4" s="30"/>
      <c r="BE4" s="30"/>
      <c r="BF4" s="30"/>
      <c r="BG4" s="30"/>
      <c r="BH4" s="30"/>
      <c r="BI4" s="30"/>
      <c r="BJ4" s="30"/>
      <c r="BK4" s="30"/>
      <c r="BL4" s="30"/>
      <c r="BM4" s="30"/>
      <c r="BN4" s="30"/>
      <c r="BO4" s="30"/>
      <c r="BP4" s="30"/>
      <c r="BQ4" s="30"/>
      <c r="BR4" s="30"/>
      <c r="BS4" s="31"/>
      <c r="BT4" s="29" t="s">
        <v>7</v>
      </c>
      <c r="BU4" s="32"/>
      <c r="BV4" s="32"/>
      <c r="BW4" s="32"/>
      <c r="BX4" s="32"/>
      <c r="BY4" s="32"/>
      <c r="BZ4" s="32"/>
      <c r="CA4" s="32"/>
      <c r="CB4" s="32"/>
      <c r="CC4" s="32"/>
      <c r="CD4" s="32"/>
      <c r="CE4" s="32"/>
      <c r="CF4" s="32"/>
      <c r="CG4" s="32"/>
      <c r="CH4" s="32"/>
      <c r="CI4" s="32"/>
      <c r="CJ4" s="32"/>
      <c r="CK4" s="32"/>
      <c r="CL4" s="32"/>
      <c r="CM4" s="32"/>
      <c r="CN4" s="32"/>
      <c r="CO4" s="32"/>
      <c r="CP4" s="32"/>
      <c r="CQ4" s="32"/>
      <c r="CR4" s="32"/>
      <c r="CS4" s="32"/>
      <c r="CT4" s="32"/>
      <c r="CU4" s="32"/>
      <c r="CV4" s="32"/>
      <c r="CW4" s="32"/>
      <c r="CX4" s="32"/>
      <c r="CY4" s="32"/>
      <c r="CZ4" s="32"/>
      <c r="DA4" s="32"/>
      <c r="DB4" s="32"/>
      <c r="DC4" s="32"/>
      <c r="DD4" s="32"/>
      <c r="DE4" s="32"/>
      <c r="DF4" s="32"/>
      <c r="DG4" s="32"/>
      <c r="DH4" s="32"/>
      <c r="DI4" s="32"/>
      <c r="DJ4" s="32"/>
      <c r="DK4" s="32"/>
      <c r="DL4" s="32"/>
      <c r="DM4" s="32"/>
      <c r="DN4" s="32"/>
      <c r="DO4" s="32"/>
      <c r="DP4" s="32"/>
      <c r="DQ4" s="32"/>
      <c r="DR4" s="32"/>
      <c r="DS4" s="32"/>
      <c r="DT4" s="1434"/>
      <c r="DU4" s="32"/>
      <c r="DV4" s="32"/>
      <c r="DW4" s="32"/>
      <c r="DX4" s="32"/>
      <c r="DY4" s="32"/>
      <c r="DZ4" s="32"/>
      <c r="EA4" s="32"/>
      <c r="EB4" s="32"/>
      <c r="EC4" s="32"/>
      <c r="ED4" s="32"/>
      <c r="EE4" s="32"/>
      <c r="EF4" s="32"/>
      <c r="EG4" s="33"/>
      <c r="EK4" s="20"/>
      <c r="EL4" s="20"/>
      <c r="EU4" s="4"/>
      <c r="EV4" s="4"/>
    </row>
    <row r="5" spans="1:179" x14ac:dyDescent="0.2">
      <c r="C5" s="34" t="s">
        <v>8</v>
      </c>
      <c r="D5" s="35" t="str">
        <f>MODEL!BD7</f>
        <v>1H12</v>
      </c>
      <c r="E5" s="35" t="str">
        <f>MODEL!BE7</f>
        <v>2H12</v>
      </c>
      <c r="F5" s="35" t="str">
        <f>MODEL!BF7</f>
        <v>FY12</v>
      </c>
      <c r="G5" s="35"/>
      <c r="H5" s="35" t="str">
        <f>MODEL!BH7</f>
        <v>1H13</v>
      </c>
      <c r="I5" s="35" t="str">
        <f>MODEL!BI7</f>
        <v>2H13</v>
      </c>
      <c r="J5" s="35" t="str">
        <f>MODEL!BJ7</f>
        <v>FY13</v>
      </c>
      <c r="K5" s="35"/>
      <c r="L5" s="35" t="str">
        <f>MODEL!BL7</f>
        <v>1H14</v>
      </c>
      <c r="M5" s="35" t="str">
        <f>MODEL!BM7</f>
        <v>2H14</v>
      </c>
      <c r="N5" s="35" t="str">
        <f>MODEL!BN7</f>
        <v>FY14</v>
      </c>
      <c r="O5" s="35"/>
      <c r="P5" s="35" t="str">
        <f>MODEL!BP7</f>
        <v>1H15</v>
      </c>
      <c r="Q5" s="35" t="str">
        <f>MODEL!BQ7</f>
        <v>2H15</v>
      </c>
      <c r="R5" s="35" t="str">
        <f>MODEL!BR7</f>
        <v>FY15</v>
      </c>
      <c r="S5" s="35"/>
      <c r="T5" s="35" t="str">
        <f>MODEL!BT7</f>
        <v>1H16</v>
      </c>
      <c r="U5" s="35" t="str">
        <f>MODEL!BU7</f>
        <v>2H16</v>
      </c>
      <c r="V5" s="35" t="str">
        <f>MODEL!BV7</f>
        <v>FY16</v>
      </c>
      <c r="W5" s="36"/>
      <c r="X5" s="35" t="str">
        <f>MODEL!BX7</f>
        <v>1H17</v>
      </c>
      <c r="Y5" s="35" t="str">
        <f>MODEL!BY7</f>
        <v>2H17</v>
      </c>
      <c r="Z5" s="35" t="str">
        <f>MODEL!BZ7</f>
        <v>FY17</v>
      </c>
      <c r="AA5" s="36"/>
      <c r="AB5" s="35" t="str">
        <f>MODEL!CB7</f>
        <v>1H18</v>
      </c>
      <c r="AC5" s="35" t="str">
        <f>MODEL!CC7</f>
        <v>2H18</v>
      </c>
      <c r="AD5" s="35" t="str">
        <f>MODEL!CD7</f>
        <v>FY18</v>
      </c>
      <c r="AE5" s="36"/>
      <c r="AF5" s="35" t="str">
        <f>MODEL!CF7</f>
        <v>1H19</v>
      </c>
      <c r="AG5" s="35" t="str">
        <f>MODEL!CG7</f>
        <v>2H19</v>
      </c>
      <c r="AH5" s="37" t="str">
        <f>MODEL!CH7</f>
        <v>FY19</v>
      </c>
      <c r="AI5" s="36"/>
      <c r="AJ5" s="35" t="str">
        <f>MODEL!CJ7</f>
        <v>1H20</v>
      </c>
      <c r="AK5" s="35" t="str">
        <f>MODEL!CK7</f>
        <v>2H20</v>
      </c>
      <c r="AL5" s="37" t="str">
        <f>MODEL!CL7</f>
        <v>FY20</v>
      </c>
      <c r="AM5" s="36"/>
      <c r="AN5" s="35" t="str">
        <f>MODEL!CN7</f>
        <v>1H21</v>
      </c>
      <c r="AO5" s="35" t="str">
        <f>MODEL!CO7</f>
        <v>2H21</v>
      </c>
      <c r="AP5" s="37" t="str">
        <f>MODEL!CP7</f>
        <v>FY21</v>
      </c>
      <c r="AQ5" s="36"/>
      <c r="AR5" s="35" t="str">
        <f>MODEL!CR7</f>
        <v>1H22</v>
      </c>
      <c r="AS5" s="35" t="str">
        <f>MODEL!CS7</f>
        <v>2H22</v>
      </c>
      <c r="AT5" s="37" t="str">
        <f>MODEL!CT7</f>
        <v>FY22</v>
      </c>
      <c r="AU5" s="36"/>
      <c r="AV5" s="35" t="str">
        <f>MODEL!CV7</f>
        <v>1H23</v>
      </c>
      <c r="AW5" s="35" t="str">
        <f>MODEL!CW7</f>
        <v>2H23</v>
      </c>
      <c r="AX5" s="37" t="str">
        <f>MODEL!CX7</f>
        <v>FY23</v>
      </c>
      <c r="AY5" s="35"/>
      <c r="AZ5" s="35" t="str">
        <f>MODEL!CZ7</f>
        <v>1H24</v>
      </c>
      <c r="BA5" s="35" t="str">
        <f>MODEL!DA7</f>
        <v>2H24</v>
      </c>
      <c r="BB5" s="37" t="str">
        <f>MODEL!DB7</f>
        <v>FY24</v>
      </c>
      <c r="BC5" s="35"/>
      <c r="BD5" s="35" t="str">
        <f>MODEL!DD7</f>
        <v>1H25</v>
      </c>
      <c r="BE5" s="35" t="str">
        <f>MODEL!DE7</f>
        <v>2H25</v>
      </c>
      <c r="BF5" s="37" t="str">
        <f>MODEL!DF7</f>
        <v>FY25</v>
      </c>
      <c r="BG5" s="35"/>
      <c r="BH5" s="35" t="str">
        <f>MODEL!DH7</f>
        <v>1H26</v>
      </c>
      <c r="BI5" s="35" t="str">
        <f>MODEL!DI7</f>
        <v>2H26E</v>
      </c>
      <c r="BJ5" s="35" t="str">
        <f>MODEL!DJ7</f>
        <v>FY26E</v>
      </c>
      <c r="BK5" s="35"/>
      <c r="BL5" s="35" t="str">
        <f>MODEL!DL7</f>
        <v>1H27E</v>
      </c>
      <c r="BM5" s="35" t="str">
        <f>MODEL!DM7</f>
        <v>2H27E</v>
      </c>
      <c r="BN5" s="38" t="str">
        <f>MODEL!DN7</f>
        <v>FY27E</v>
      </c>
      <c r="BO5" s="35"/>
      <c r="BP5" s="35" t="str">
        <f>MODEL!DP7</f>
        <v>1H28E</v>
      </c>
      <c r="BQ5" s="35" t="str">
        <f>MODEL!DQ7</f>
        <v>2H28E</v>
      </c>
      <c r="BR5" s="38" t="str">
        <f>MODEL!DR7</f>
        <v>FY28E</v>
      </c>
      <c r="BS5" s="39"/>
      <c r="BT5" s="40" t="s">
        <v>8</v>
      </c>
      <c r="BU5" s="35"/>
      <c r="BV5" s="35" t="str">
        <f>MODEL!BH7</f>
        <v>1H13</v>
      </c>
      <c r="BW5" s="35" t="str">
        <f>MODEL!BI7</f>
        <v>2H13</v>
      </c>
      <c r="BX5" s="35" t="str">
        <f>MODEL!BJ7</f>
        <v>FY13</v>
      </c>
      <c r="BY5" s="35"/>
      <c r="BZ5" s="35" t="str">
        <f>MODEL!BL7</f>
        <v>1H14</v>
      </c>
      <c r="CA5" s="35" t="str">
        <f>MODEL!BM7</f>
        <v>2H14</v>
      </c>
      <c r="CB5" s="35" t="str">
        <f>MODEL!BN7</f>
        <v>FY14</v>
      </c>
      <c r="CC5" s="35"/>
      <c r="CD5" s="35" t="str">
        <f>MODEL!BP7</f>
        <v>1H15</v>
      </c>
      <c r="CE5" s="35" t="str">
        <f>MODEL!BQ7</f>
        <v>2H15</v>
      </c>
      <c r="CF5" s="35" t="str">
        <f>MODEL!BR7</f>
        <v>FY15</v>
      </c>
      <c r="CG5" s="35"/>
      <c r="CH5" s="35" t="str">
        <f>MODEL!BT7</f>
        <v>1H16</v>
      </c>
      <c r="CI5" s="35" t="str">
        <f>MODEL!BU7</f>
        <v>2H16</v>
      </c>
      <c r="CJ5" s="35" t="str">
        <f>MODEL!BV7</f>
        <v>FY16</v>
      </c>
      <c r="CK5" s="35"/>
      <c r="CL5" s="35" t="str">
        <f>MODEL!BX7</f>
        <v>1H17</v>
      </c>
      <c r="CM5" s="35" t="str">
        <f>MODEL!BY7</f>
        <v>2H17</v>
      </c>
      <c r="CN5" s="35" t="str">
        <f>MODEL!BZ7</f>
        <v>FY17</v>
      </c>
      <c r="CO5" s="36"/>
      <c r="CP5" s="35" t="str">
        <f>MODEL!CB7</f>
        <v>1H18</v>
      </c>
      <c r="CQ5" s="35" t="str">
        <f>MODEL!CC7</f>
        <v>2H18</v>
      </c>
      <c r="CR5" s="35" t="str">
        <f>MODEL!CD7</f>
        <v>FY18</v>
      </c>
      <c r="CS5" s="36"/>
      <c r="CT5" s="35" t="str">
        <f>MODEL!CF7</f>
        <v>1H19</v>
      </c>
      <c r="CU5" s="35" t="str">
        <f>MODEL!CG7</f>
        <v>2H19</v>
      </c>
      <c r="CV5" s="35" t="str">
        <f>MODEL!CH7</f>
        <v>FY19</v>
      </c>
      <c r="CW5" s="41"/>
      <c r="CX5" s="35" t="str">
        <f>MODEL!CJ7</f>
        <v>1H20</v>
      </c>
      <c r="CY5" s="35" t="str">
        <f>MODEL!CK7</f>
        <v>2H20</v>
      </c>
      <c r="CZ5" s="35" t="str">
        <f>MODEL!CL7</f>
        <v>FY20</v>
      </c>
      <c r="DA5" s="41"/>
      <c r="DB5" s="35" t="str">
        <f>MODEL!CN7</f>
        <v>1H21</v>
      </c>
      <c r="DC5" s="35" t="str">
        <f>MODEL!CO7</f>
        <v>2H21</v>
      </c>
      <c r="DD5" s="35" t="str">
        <f>MODEL!CP7</f>
        <v>FY21</v>
      </c>
      <c r="DE5" s="41"/>
      <c r="DF5" s="35" t="str">
        <f>MODEL!CR7</f>
        <v>1H22</v>
      </c>
      <c r="DG5" s="35" t="str">
        <f>MODEL!CS7</f>
        <v>2H22</v>
      </c>
      <c r="DH5" s="35" t="str">
        <f>MODEL!CT7</f>
        <v>FY22</v>
      </c>
      <c r="DI5" s="41"/>
      <c r="DJ5" s="35" t="str">
        <f>MODEL!CV7</f>
        <v>1H23</v>
      </c>
      <c r="DK5" s="35" t="str">
        <f>MODEL!CW7</f>
        <v>2H23</v>
      </c>
      <c r="DL5" s="37" t="str">
        <f>MODEL!CX7</f>
        <v>FY23</v>
      </c>
      <c r="DM5" s="41"/>
      <c r="DN5" s="35" t="str">
        <f>MODEL!CZ7</f>
        <v>1H24</v>
      </c>
      <c r="DO5" s="35" t="str">
        <f>MODEL!DA7</f>
        <v>2H24</v>
      </c>
      <c r="DP5" s="37" t="str">
        <f>MODEL!DB7</f>
        <v>FY24</v>
      </c>
      <c r="DQ5" s="41"/>
      <c r="DR5" s="35" t="str">
        <f>MODEL!DD7</f>
        <v>1H25</v>
      </c>
      <c r="DS5" s="35" t="str">
        <f>MODEL!DE7</f>
        <v>2H25</v>
      </c>
      <c r="DT5" s="37" t="str">
        <f>MODEL!DF7</f>
        <v>FY25</v>
      </c>
      <c r="DU5" s="41"/>
      <c r="DV5" s="35" t="str">
        <f>MODEL!DH7</f>
        <v>1H26</v>
      </c>
      <c r="DW5" s="35" t="str">
        <f>MODEL!DI7</f>
        <v>2H26E</v>
      </c>
      <c r="DX5" s="35" t="str">
        <f>MODEL!DJ7</f>
        <v>FY26E</v>
      </c>
      <c r="DY5" s="41"/>
      <c r="DZ5" s="35" t="str">
        <f>MODEL!DL7</f>
        <v>1H27E</v>
      </c>
      <c r="EA5" s="35" t="str">
        <f>MODEL!DM7</f>
        <v>2H27E</v>
      </c>
      <c r="EB5" s="35" t="str">
        <f>MODEL!DN7</f>
        <v>FY27E</v>
      </c>
      <c r="EC5" s="41"/>
      <c r="ED5" s="35" t="str">
        <f>MODEL!DP7</f>
        <v>1H28E</v>
      </c>
      <c r="EE5" s="35" t="str">
        <f>MODEL!DQ7</f>
        <v>2H28E</v>
      </c>
      <c r="EF5" s="35" t="str">
        <f>MODEL!DR7</f>
        <v>FY28E</v>
      </c>
      <c r="EG5" s="41"/>
      <c r="EH5" s="2" t="s">
        <v>9</v>
      </c>
      <c r="EI5" s="42">
        <f>$EI$2</f>
        <v>169.56</v>
      </c>
      <c r="EJ5" s="4"/>
      <c r="EK5" s="20"/>
      <c r="EL5" s="20"/>
      <c r="EU5" s="4"/>
      <c r="EV5" s="4"/>
    </row>
    <row r="6" spans="1:179" x14ac:dyDescent="0.2">
      <c r="C6" s="43" t="s">
        <v>10</v>
      </c>
      <c r="D6" s="44">
        <v>6644</v>
      </c>
      <c r="E6" s="44">
        <v>6513</v>
      </c>
      <c r="F6" s="44">
        <v>13157</v>
      </c>
      <c r="G6" s="45"/>
      <c r="H6" s="44">
        <f>MODEL!BH14</f>
        <v>6862</v>
      </c>
      <c r="I6" s="44">
        <f>MODEL!BI14</f>
        <v>7082</v>
      </c>
      <c r="J6" s="44">
        <f>MODEL!BJ14</f>
        <v>13944</v>
      </c>
      <c r="K6" s="44"/>
      <c r="L6" s="44">
        <f>MODEL!BL14</f>
        <v>7444</v>
      </c>
      <c r="M6" s="44">
        <f>MODEL!BM14</f>
        <v>7647</v>
      </c>
      <c r="N6" s="44">
        <f>MODEL!BN14</f>
        <v>15091</v>
      </c>
      <c r="O6" s="44"/>
      <c r="P6" s="44">
        <f>MODEL!BP14</f>
        <v>7901</v>
      </c>
      <c r="Q6" s="44">
        <f>MODEL!BQ14</f>
        <v>7926</v>
      </c>
      <c r="R6" s="44">
        <f>MODEL!BR14</f>
        <v>15827</v>
      </c>
      <c r="S6" s="44"/>
      <c r="T6" s="44">
        <f>MODEL!BT14</f>
        <v>8427</v>
      </c>
      <c r="U6" s="44">
        <f>MODEL!BU14</f>
        <v>8508</v>
      </c>
      <c r="V6" s="44">
        <f>MODEL!BV14</f>
        <v>16935</v>
      </c>
      <c r="W6" s="44"/>
      <c r="X6" s="44">
        <f>MODEL!BX14</f>
        <v>8710</v>
      </c>
      <c r="Y6" s="44">
        <f>MODEL!BY14</f>
        <v>8833</v>
      </c>
      <c r="Z6" s="44">
        <f>MODEL!BZ14</f>
        <v>17543</v>
      </c>
      <c r="AA6" s="44"/>
      <c r="AB6" s="44">
        <f>MODEL!CB14</f>
        <v>9257</v>
      </c>
      <c r="AC6" s="44">
        <f>MODEL!CC14</f>
        <v>9085</v>
      </c>
      <c r="AD6" s="44">
        <f>MODEL!CD14</f>
        <v>18342</v>
      </c>
      <c r="AE6" s="44"/>
      <c r="AF6" s="44">
        <f>MODEL!CF14</f>
        <v>9188</v>
      </c>
      <c r="AG6" s="44">
        <f>MODEL!CG14</f>
        <v>9036</v>
      </c>
      <c r="AH6" s="46">
        <f>MODEL!CH14</f>
        <v>18224</v>
      </c>
      <c r="AI6" s="44"/>
      <c r="AJ6" s="44">
        <f>MODEL!CJ14</f>
        <v>9350</v>
      </c>
      <c r="AK6" s="44">
        <f>MODEL!CK14</f>
        <v>9260</v>
      </c>
      <c r="AL6" s="46">
        <f>MODEL!CL14</f>
        <v>18610</v>
      </c>
      <c r="AM6" s="44"/>
      <c r="AN6" s="44">
        <f>MODEL!CN14</f>
        <v>9600</v>
      </c>
      <c r="AO6" s="44">
        <f>MODEL!CO14</f>
        <v>9702</v>
      </c>
      <c r="AP6" s="46">
        <f>MODEL!CP14</f>
        <v>19302</v>
      </c>
      <c r="AQ6" s="44"/>
      <c r="AR6" s="44">
        <f>MODEL!CR14</f>
        <v>9748</v>
      </c>
      <c r="AS6" s="44">
        <f>MODEL!CS14</f>
        <v>9725</v>
      </c>
      <c r="AT6" s="46">
        <f>MODEL!CT14</f>
        <v>19473</v>
      </c>
      <c r="AU6" s="44"/>
      <c r="AV6" s="44">
        <f>MODEL!CV14</f>
        <v>11637</v>
      </c>
      <c r="AW6" s="44">
        <f>MODEL!CW14</f>
        <v>11419</v>
      </c>
      <c r="AX6" s="46">
        <f>MODEL!CX14</f>
        <v>23056</v>
      </c>
      <c r="AY6" s="44"/>
      <c r="AZ6" s="44">
        <f>MODEL!CZ14</f>
        <v>11404</v>
      </c>
      <c r="BA6" s="44">
        <f>MODEL!DA14</f>
        <v>11420</v>
      </c>
      <c r="BB6" s="46">
        <f>MODEL!DB14</f>
        <v>22824</v>
      </c>
      <c r="BC6" s="44"/>
      <c r="BD6" s="44">
        <f>MODEL!DD14</f>
        <v>11934</v>
      </c>
      <c r="BE6" s="44">
        <f>MODEL!DE14</f>
        <v>12089</v>
      </c>
      <c r="BF6" s="1435">
        <f>MODEL!DF14</f>
        <v>24023</v>
      </c>
      <c r="BG6" s="44"/>
      <c r="BH6" s="44">
        <f>MODEL!DH14</f>
        <v>12695</v>
      </c>
      <c r="BI6" s="44">
        <f>MODEL!DI14</f>
        <v>12972.604412194529</v>
      </c>
      <c r="BJ6" s="44">
        <f>MODEL!DJ14</f>
        <v>25667.604412194531</v>
      </c>
      <c r="BK6" s="44"/>
      <c r="BL6" s="44">
        <f>MODEL!DL14</f>
        <v>13610.327930904466</v>
      </c>
      <c r="BM6" s="44">
        <f>MODEL!DM14</f>
        <v>13726.051181626672</v>
      </c>
      <c r="BN6" s="47">
        <f>MODEL!DN14</f>
        <v>27336.37911253114</v>
      </c>
      <c r="BO6" s="44"/>
      <c r="BP6" s="44">
        <f>MODEL!DP14</f>
        <v>14223.863377232674</v>
      </c>
      <c r="BQ6" s="44">
        <f>MODEL!DQ14</f>
        <v>14339.792929357214</v>
      </c>
      <c r="BR6" s="47">
        <f>MODEL!DR14</f>
        <v>28563.656306589888</v>
      </c>
      <c r="BS6" s="48"/>
      <c r="BT6" s="49" t="s">
        <v>11</v>
      </c>
      <c r="BU6" s="50"/>
      <c r="BV6" s="50"/>
      <c r="BW6" s="50"/>
      <c r="BX6" s="4"/>
      <c r="BY6" s="50"/>
      <c r="BZ6" s="50"/>
      <c r="CA6" s="50"/>
      <c r="CC6" s="50"/>
      <c r="CD6" s="50"/>
      <c r="CE6" s="50"/>
      <c r="CG6" s="50"/>
      <c r="CH6" s="50"/>
      <c r="CI6" s="50"/>
      <c r="CK6" s="50"/>
      <c r="CL6" s="50"/>
      <c r="CM6" s="50"/>
      <c r="CO6" s="50"/>
      <c r="CP6" s="50"/>
      <c r="CQ6" s="50"/>
      <c r="CS6" s="50"/>
      <c r="CT6" s="50"/>
      <c r="CU6" s="50"/>
      <c r="CW6" s="50"/>
      <c r="CX6" s="50"/>
      <c r="CY6" s="50"/>
      <c r="CZ6" s="50"/>
      <c r="DA6" s="50"/>
      <c r="DB6" s="50"/>
      <c r="DC6" s="50"/>
      <c r="DD6" s="50"/>
      <c r="DE6" s="50"/>
      <c r="DF6" s="50"/>
      <c r="DG6" s="50"/>
      <c r="DH6" s="42"/>
      <c r="DI6" s="50"/>
      <c r="DJ6" s="50"/>
      <c r="DK6" s="50"/>
      <c r="DL6" s="51"/>
      <c r="DM6" s="50"/>
      <c r="DN6" s="50"/>
      <c r="DO6" s="50"/>
      <c r="DP6" s="52"/>
      <c r="DQ6" s="50"/>
      <c r="DR6" s="50"/>
      <c r="DS6" s="50"/>
      <c r="DT6" s="1401"/>
      <c r="DU6" s="50"/>
      <c r="DV6" s="50"/>
      <c r="DW6" s="50"/>
      <c r="DY6" s="50"/>
      <c r="DZ6" s="50"/>
      <c r="EA6" s="50"/>
      <c r="EC6" s="50"/>
      <c r="ED6" s="50"/>
      <c r="EE6" s="50"/>
      <c r="EF6" s="42">
        <f>$EI$2</f>
        <v>169.56</v>
      </c>
      <c r="EG6" s="53"/>
      <c r="EH6" s="2" t="s">
        <v>12</v>
      </c>
      <c r="EI6" s="1512">
        <f>INDEX(MODEL!$1114:$1114,MATCH(DL5,MODEL!$7:$7,0))</f>
        <v>1674.519391</v>
      </c>
      <c r="EJ6" s="41"/>
    </row>
    <row r="7" spans="1:179" x14ac:dyDescent="0.2">
      <c r="C7" s="54" t="s">
        <v>13</v>
      </c>
      <c r="D7" s="55">
        <v>2.1216607869499745E-2</v>
      </c>
      <c r="E7" s="55">
        <v>2.0575969140647007E-2</v>
      </c>
      <c r="F7" s="55">
        <v>2.0894574271262612E-2</v>
      </c>
      <c r="G7" s="55"/>
      <c r="H7" s="55">
        <f>MODEL!BH567</f>
        <v>2.0961264756399648E-2</v>
      </c>
      <c r="I7" s="55">
        <f>MODEL!BI567</f>
        <v>2.1705843163806443E-2</v>
      </c>
      <c r="J7" s="55">
        <f>MODEL!BJ567</f>
        <v>2.1332941678638143E-2</v>
      </c>
      <c r="K7" s="55"/>
      <c r="L7" s="55">
        <f>MODEL!BL567</f>
        <v>2.1397626501990435E-2</v>
      </c>
      <c r="M7" s="55">
        <f>MODEL!BM567</f>
        <v>2.1391290276802102E-2</v>
      </c>
      <c r="N7" s="55">
        <f>MODEL!BN567</f>
        <v>2.1394415137565907E-2</v>
      </c>
      <c r="O7" s="55"/>
      <c r="P7" s="55">
        <f>MODEL!BP567</f>
        <v>2.1200829123551396E-2</v>
      </c>
      <c r="Q7" s="55">
        <f>MODEL!BQ567</f>
        <v>2.0683833344866894E-2</v>
      </c>
      <c r="R7" s="55">
        <f>MODEL!BR567</f>
        <v>2.0937553122740732E-2</v>
      </c>
      <c r="S7" s="55"/>
      <c r="T7" s="55">
        <f>MODEL!BT567</f>
        <v>2.1464914087229111E-2</v>
      </c>
      <c r="U7" s="55">
        <f>MODEL!BU567</f>
        <v>2.1376740900866345E-2</v>
      </c>
      <c r="V7" s="55">
        <f>MODEL!BV567</f>
        <v>2.1419085562511857E-2</v>
      </c>
      <c r="W7" s="55"/>
      <c r="X7" s="55">
        <f>MODEL!BX567</f>
        <v>2.0992432040554596E-2</v>
      </c>
      <c r="Y7" s="55">
        <f>MODEL!BY567</f>
        <v>2.103945613660587E-2</v>
      </c>
      <c r="Z7" s="55">
        <f>MODEL!BZ567</f>
        <v>2.1016099604547998E-2</v>
      </c>
      <c r="AA7" s="55"/>
      <c r="AB7" s="55">
        <f>MODEL!CB567</f>
        <v>2.1564998499362217E-2</v>
      </c>
      <c r="AC7" s="55">
        <f>MODEL!CC567</f>
        <v>2.1376325897552347E-2</v>
      </c>
      <c r="AD7" s="55">
        <f>MODEL!CD567</f>
        <v>2.1471114315949169E-2</v>
      </c>
      <c r="AE7" s="55"/>
      <c r="AF7" s="55">
        <f>MODEL!CF567</f>
        <v>2.1103340711403872E-2</v>
      </c>
      <c r="AG7" s="55">
        <f>MODEL!CG567</f>
        <v>2.0922628182641994E-2</v>
      </c>
      <c r="AH7" s="56">
        <f>MODEL!CH567</f>
        <v>2.0913040584426761E-2</v>
      </c>
      <c r="AI7" s="55"/>
      <c r="AJ7" s="55">
        <f>MODEL!CJ567</f>
        <v>2.109017357284957E-2</v>
      </c>
      <c r="AK7" s="55">
        <f>MODEL!CK567</f>
        <v>2.0393125517317999E-2</v>
      </c>
      <c r="AL7" s="56">
        <f>MODEL!CL567</f>
        <v>2.0737478674717993E-2</v>
      </c>
      <c r="AM7" s="55"/>
      <c r="AN7" s="55">
        <f>MODEL!CN567</f>
        <v>2.0633853124276284E-2</v>
      </c>
      <c r="AO7" s="55">
        <f>MODEL!CO567</f>
        <v>2.0882870785182629E-2</v>
      </c>
      <c r="AP7" s="56">
        <f>MODEL!CP567</f>
        <v>2.0758276101634034E-2</v>
      </c>
      <c r="AQ7" s="55"/>
      <c r="AR7" s="55">
        <f>MODEL!CR567</f>
        <v>1.9182264344134142E-2</v>
      </c>
      <c r="AS7" s="55">
        <f>MODEL!CS567</f>
        <v>1.8747634313552992E-2</v>
      </c>
      <c r="AT7" s="56">
        <f>MODEL!CT567</f>
        <v>1.8962713382867046E-2</v>
      </c>
      <c r="AU7" s="55"/>
      <c r="AV7" s="55">
        <f>MODEL!CV567</f>
        <v>2.0985181549496357E-2</v>
      </c>
      <c r="AW7" s="55">
        <f>MODEL!CW567</f>
        <v>2.0511215875562538E-2</v>
      </c>
      <c r="AX7" s="56">
        <f>MODEL!CX567</f>
        <v>2.0747731841685161E-2</v>
      </c>
      <c r="AY7" s="55"/>
      <c r="AZ7" s="55">
        <f>MODEL!CZ567</f>
        <v>1.9886195039560045E-2</v>
      </c>
      <c r="BA7" s="55">
        <f>MODEL!DA567</f>
        <v>2.0003705815099276E-2</v>
      </c>
      <c r="BB7" s="56">
        <f>MODEL!DB567</f>
        <v>1.9944824910408204E-2</v>
      </c>
      <c r="BC7" s="55"/>
      <c r="BD7" s="55">
        <f>MODEL!DD567</f>
        <v>2.0841868500441937E-2</v>
      </c>
      <c r="BE7" s="55">
        <f>MODEL!DE567</f>
        <v>2.0804136328042795E-2</v>
      </c>
      <c r="BF7" s="1436">
        <f>MODEL!DF567</f>
        <v>2.0822859639207963E-2</v>
      </c>
      <c r="BG7" s="55"/>
      <c r="BH7" s="55">
        <f>MODEL!DH567</f>
        <v>2.0435352580687113E-2</v>
      </c>
      <c r="BI7" s="55">
        <f>MODEL!DI567</f>
        <v>2.0535352580687113E-2</v>
      </c>
      <c r="BJ7" s="55">
        <f>MODEL!DJ567</f>
        <v>2.0482977480335639E-2</v>
      </c>
      <c r="BK7" s="55"/>
      <c r="BL7" s="55">
        <f>MODEL!DL567</f>
        <v>2.0535352580687113E-2</v>
      </c>
      <c r="BM7" s="55">
        <f>MODEL!DM567</f>
        <v>2.0435352580687113E-2</v>
      </c>
      <c r="BN7" s="57">
        <f>MODEL!DN567</f>
        <v>2.0482511452447994E-2</v>
      </c>
      <c r="BO7" s="55"/>
      <c r="BP7" s="55">
        <f>MODEL!DP567</f>
        <v>2.0335352580687114E-2</v>
      </c>
      <c r="BQ7" s="55">
        <f>MODEL!DQ567</f>
        <v>2.0235352580687115E-2</v>
      </c>
      <c r="BR7" s="57">
        <f>MODEL!DR567</f>
        <v>2.0283697634822805E-2</v>
      </c>
      <c r="BS7" s="48"/>
      <c r="BT7" s="58" t="s">
        <v>14</v>
      </c>
      <c r="BU7" s="59"/>
      <c r="BV7" s="59">
        <f>$EI$5/MODEL!BH1144*100/2</f>
        <v>37.443657463784994</v>
      </c>
      <c r="BW7" s="59">
        <f>$EI$5/MODEL!BI1144*100/2</f>
        <v>35.170960256797869</v>
      </c>
      <c r="BX7" s="59">
        <f>$EI$5/MODEL!BJ1144*100</f>
        <v>36.205422594807821</v>
      </c>
      <c r="BY7" s="59"/>
      <c r="BZ7" s="59">
        <f>$EI$5/MODEL!BL1144*100</f>
        <v>65.942081874644629</v>
      </c>
      <c r="CA7" s="59">
        <f>$EI$5/MODEL!BM1144*100</f>
        <v>63.826179473011926</v>
      </c>
      <c r="CB7" s="59">
        <f>$EI$5/MODEL!BN1144*100</f>
        <v>32.370171255674293</v>
      </c>
      <c r="CC7" s="59"/>
      <c r="CD7" s="59">
        <f>$EI$5/MODEL!BP1144*100</f>
        <v>61.318253093565779</v>
      </c>
      <c r="CE7" s="59">
        <f>$EI$5/MODEL!BQ1144*100</f>
        <v>62.871623523611042</v>
      </c>
      <c r="CF7" s="59">
        <f>$EI$5/MODEL!BR1144*100</f>
        <v>31.676030332424382</v>
      </c>
      <c r="CG7" s="59">
        <f>$EI$5/MODEL!BS1144*100</f>
        <v>773760.41712385311</v>
      </c>
      <c r="CH7" s="59">
        <f>$EI$5/MODEL!BT1144*100</f>
        <v>60.717771883289117</v>
      </c>
      <c r="CI7" s="59">
        <f>$EI$5/MODEL!BU1144*100</f>
        <v>64.0814433424773</v>
      </c>
      <c r="CJ7" s="59">
        <f>$EI$5/MODEL!BV1144*100</f>
        <v>31.168082987551866</v>
      </c>
      <c r="CK7" s="59"/>
      <c r="CL7" s="59">
        <f>$EI$5/MODEL!BX1144*100</f>
        <v>61.195222510476945</v>
      </c>
      <c r="CM7" s="59">
        <f>$EI$5/MODEL!BY1144*100</f>
        <v>60.569044811320758</v>
      </c>
      <c r="CN7" s="59">
        <f>$EI$5/MODEL!BZ1144*100</f>
        <v>30.507032379443512</v>
      </c>
      <c r="CO7" s="59"/>
      <c r="CP7" s="59">
        <f>$EI$5/MODEL!CB1144*100</f>
        <v>62.520372223334007</v>
      </c>
      <c r="CQ7" s="59">
        <f>$EI$5/MODEL!CC1144*100</f>
        <v>67.61395130286202</v>
      </c>
      <c r="CR7" s="59">
        <f>$EI$5/MODEL!CD1144*100</f>
        <v>32.461481558012188</v>
      </c>
      <c r="CS7" s="59"/>
      <c r="CT7" s="59">
        <f>$EI$5/MODEL!CF1144*100</f>
        <v>64.683495379670546</v>
      </c>
      <c r="CU7" s="59">
        <f>$EI$5/MODEL!CG1144*100</f>
        <v>79.568886694643297</v>
      </c>
      <c r="CV7" s="59">
        <f>$EI$5/MODEL!CH1144*100</f>
        <v>35.643468822682465</v>
      </c>
      <c r="CW7" s="59"/>
      <c r="CX7" s="59">
        <f>$EI$5/MODEL!CJ1144*100</f>
        <v>69.352097053726169</v>
      </c>
      <c r="CY7" s="59">
        <f>$EI$5/MODEL!CK1144*100</f>
        <v>104.89495618305745</v>
      </c>
      <c r="CZ7" s="59">
        <f>$EI$5/MODEL!CL1144*100</f>
        <v>41.7676705209822</v>
      </c>
      <c r="DA7" s="59"/>
      <c r="DB7" s="59">
        <f>$EI$5/MODEL!CN1144*100</f>
        <v>79.914725274725271</v>
      </c>
      <c r="DC7" s="59">
        <f>$EI$5/MODEL!CO1144*100</f>
        <v>65.283672976238435</v>
      </c>
      <c r="DD7" s="59">
        <f>$EI$5/MODEL!CP1144*100</f>
        <v>36.191263657432962</v>
      </c>
      <c r="DE7" s="59"/>
      <c r="DF7" s="59">
        <f>$EI$5/MODEL!CR1144*100</f>
        <v>63.163399638336351</v>
      </c>
      <c r="DG7" s="59">
        <f>$EI$5/MODEL!CS1144*100</f>
        <v>61.726237206502113</v>
      </c>
      <c r="DH7" s="59">
        <f>$EI$5/MODEL!CT1144*100</f>
        <v>31.205168674698797</v>
      </c>
      <c r="DI7" s="59"/>
      <c r="DJ7" s="59">
        <f>$EI$5/MODEL!CV1144*100</f>
        <v>57.04498606724875</v>
      </c>
      <c r="DK7" s="59">
        <f>$EI$5/MODEL!CW1144*100</f>
        <v>58.824913170731705</v>
      </c>
      <c r="DL7" s="60">
        <f>$EI$5/MODEL!CX1144*100</f>
        <v>29.045298819946709</v>
      </c>
      <c r="DM7" s="59"/>
      <c r="DN7" s="59">
        <f>$EI$5/MODEL!CZ1144*100</f>
        <v>57.084029372999431</v>
      </c>
      <c r="DO7" s="59">
        <f>$EI$5/MODEL!DA1144*100</f>
        <v>58.938323846908737</v>
      </c>
      <c r="DP7" s="60">
        <f>$EI$5/MODEL!DB1144*100</f>
        <v>29.069290793772822</v>
      </c>
      <c r="DQ7" s="59"/>
      <c r="DR7" s="59">
        <f>$EI$5/MODEL!DD1144*100</f>
        <v>55.297767387492705</v>
      </c>
      <c r="DS7" s="59">
        <f>$EI$5/MODEL!DE1144*100</f>
        <v>55.471289062499999</v>
      </c>
      <c r="DT7" s="1402">
        <f>$EI$5/MODEL!DF1144*100</f>
        <v>27.700477908904713</v>
      </c>
      <c r="DU7" s="59"/>
      <c r="DV7" s="59">
        <f>$EI$5/MODEL!DH1144*100</f>
        <v>52.129190082644627</v>
      </c>
      <c r="DW7" s="59">
        <f>$EI$5/MODEL!DI1144*100</f>
        <v>50.468409789886813</v>
      </c>
      <c r="DX7" s="59">
        <f>$EI$5/MODEL!DJ1144*100</f>
        <v>25.64266161778523</v>
      </c>
      <c r="DY7" s="59"/>
      <c r="DZ7" s="59">
        <f ca="1">$EI$5/MODEL!DL1144*100</f>
        <v>47.904013287875067</v>
      </c>
      <c r="EA7" s="59">
        <f ca="1">$EI$5/MODEL!DM1144*100</f>
        <v>48.313268239322156</v>
      </c>
      <c r="EB7" s="59">
        <f ca="1">$EI$5/MODEL!DN1144*100</f>
        <v>24.053885195903835</v>
      </c>
      <c r="EC7" s="59"/>
      <c r="ED7" s="59">
        <f ca="1">$EI$5/MODEL!DP1144*100</f>
        <v>46.247491202570465</v>
      </c>
      <c r="EE7" s="59">
        <f ca="1">$EI$5/MODEL!DQ1144*100</f>
        <v>46.37822616486946</v>
      </c>
      <c r="EF7" s="59">
        <f ca="1">$EI$5/MODEL!DR1144*100</f>
        <v>23.156383210961206</v>
      </c>
      <c r="EG7" s="50"/>
      <c r="EH7" s="3" t="s">
        <v>15</v>
      </c>
      <c r="EI7" s="61">
        <f>+EI6*EI2</f>
        <v>283931.50793796004</v>
      </c>
      <c r="EJ7" s="62"/>
    </row>
    <row r="8" spans="1:179" x14ac:dyDescent="0.2">
      <c r="C8" s="63" t="s">
        <v>16</v>
      </c>
      <c r="D8" s="64">
        <v>1470</v>
      </c>
      <c r="E8" s="64">
        <v>1524</v>
      </c>
      <c r="F8" s="64">
        <v>2994</v>
      </c>
      <c r="G8" s="64"/>
      <c r="H8" s="64">
        <f>MODEL!BH15</f>
        <v>1502</v>
      </c>
      <c r="I8" s="64">
        <f>MODEL!BI15</f>
        <v>1541</v>
      </c>
      <c r="J8" s="64">
        <f>MODEL!BJ15</f>
        <v>3043</v>
      </c>
      <c r="K8" s="64"/>
      <c r="L8" s="64">
        <f>MODEL!BL15</f>
        <v>1618</v>
      </c>
      <c r="M8" s="64">
        <f>MODEL!BM15</f>
        <v>1595</v>
      </c>
      <c r="N8" s="64">
        <f>MODEL!BN15</f>
        <v>3213</v>
      </c>
      <c r="O8" s="64"/>
      <c r="P8" s="64">
        <f>MODEL!BP15</f>
        <v>1625</v>
      </c>
      <c r="Q8" s="64">
        <f>MODEL!BQ15</f>
        <v>1589</v>
      </c>
      <c r="R8" s="64">
        <f>MODEL!BR15</f>
        <v>3214</v>
      </c>
      <c r="S8" s="64"/>
      <c r="T8" s="64">
        <f>MODEL!BT15</f>
        <v>1658</v>
      </c>
      <c r="U8" s="64">
        <f>MODEL!BU15</f>
        <v>1567</v>
      </c>
      <c r="V8" s="64">
        <f>MODEL!BV15</f>
        <v>3225</v>
      </c>
      <c r="W8" s="64"/>
      <c r="X8" s="64">
        <f>MODEL!BX15</f>
        <v>1819</v>
      </c>
      <c r="Y8" s="64">
        <f>MODEL!BY15</f>
        <v>1820</v>
      </c>
      <c r="Z8" s="64">
        <f>MODEL!BZ15</f>
        <v>3639</v>
      </c>
      <c r="AA8" s="64"/>
      <c r="AB8" s="64">
        <f>MODEL!CB15</f>
        <v>1861</v>
      </c>
      <c r="AC8" s="64">
        <f>MODEL!CC15</f>
        <v>1816</v>
      </c>
      <c r="AD8" s="64">
        <f>MODEL!CD15</f>
        <v>3677</v>
      </c>
      <c r="AE8" s="64"/>
      <c r="AF8" s="64">
        <f>MODEL!CF15</f>
        <v>1869</v>
      </c>
      <c r="AG8" s="64">
        <f>MODEL!CG15</f>
        <v>1800</v>
      </c>
      <c r="AH8" s="65">
        <f>MODEL!CH15</f>
        <v>3669</v>
      </c>
      <c r="AI8" s="64"/>
      <c r="AJ8" s="64">
        <f>MODEL!CJ15</f>
        <v>1804</v>
      </c>
      <c r="AK8" s="64">
        <f>MODEL!CK15</f>
        <v>1739</v>
      </c>
      <c r="AL8" s="65">
        <f>MODEL!CL15</f>
        <v>3543</v>
      </c>
      <c r="AM8" s="64"/>
      <c r="AN8" s="64">
        <f>MODEL!CN15</f>
        <v>1595</v>
      </c>
      <c r="AO8" s="64">
        <f>MODEL!CO15</f>
        <v>1634</v>
      </c>
      <c r="AP8" s="65">
        <f>MODEL!CP15</f>
        <v>3229</v>
      </c>
      <c r="AQ8" s="64"/>
      <c r="AR8" s="64">
        <f>MODEL!CR15</f>
        <v>1444</v>
      </c>
      <c r="AS8" s="64">
        <f>MODEL!CS15</f>
        <v>1370</v>
      </c>
      <c r="AT8" s="65">
        <f>MODEL!CT15</f>
        <v>2814</v>
      </c>
      <c r="AU8" s="64"/>
      <c r="AV8" s="64">
        <f>MODEL!CV15</f>
        <v>1370</v>
      </c>
      <c r="AW8" s="64">
        <f>MODEL!CW15</f>
        <v>1363</v>
      </c>
      <c r="AX8" s="65">
        <f>MODEL!CX15</f>
        <v>2733</v>
      </c>
      <c r="AY8" s="64"/>
      <c r="AZ8" s="64">
        <f>MODEL!CZ15</f>
        <v>1451</v>
      </c>
      <c r="BA8" s="64">
        <f>MODEL!DA15</f>
        <v>1486</v>
      </c>
      <c r="BB8" s="65">
        <f>MODEL!DB15</f>
        <v>2937</v>
      </c>
      <c r="BC8" s="64"/>
      <c r="BD8" s="64">
        <f>MODEL!DD15</f>
        <v>1534</v>
      </c>
      <c r="BE8" s="64">
        <f>MODEL!DE15</f>
        <v>1477</v>
      </c>
      <c r="BF8" s="1408">
        <f>MODEL!DF15</f>
        <v>3011</v>
      </c>
      <c r="BG8" s="64"/>
      <c r="BH8" s="64">
        <f>MODEL!DH15</f>
        <v>1611</v>
      </c>
      <c r="BI8" s="64">
        <f>MODEL!DI15</f>
        <v>1544.73</v>
      </c>
      <c r="BJ8" s="64">
        <f>MODEL!DJ15</f>
        <v>3155.73</v>
      </c>
      <c r="BK8" s="64"/>
      <c r="BL8" s="64">
        <f>MODEL!DL15</f>
        <v>1628.9136000000001</v>
      </c>
      <c r="BM8" s="64">
        <f>MODEL!DM15</f>
        <v>1586.55024</v>
      </c>
      <c r="BN8" s="66">
        <f>MODEL!DN15</f>
        <v>3215.4638400000003</v>
      </c>
      <c r="BO8" s="64"/>
      <c r="BP8" s="64">
        <f>MODEL!DP15</f>
        <v>1672.4495133</v>
      </c>
      <c r="BQ8" s="64">
        <f>MODEL!DQ15</f>
        <v>1641.4789324860001</v>
      </c>
      <c r="BR8" s="66">
        <f>MODEL!DR15</f>
        <v>3313.9284457860003</v>
      </c>
      <c r="BS8" s="67"/>
      <c r="BT8" s="68" t="s">
        <v>17</v>
      </c>
      <c r="BU8" s="69"/>
      <c r="BV8" s="69">
        <f>$EI$5/MODEL!BH1141*100/2</f>
        <v>36.472792293520804</v>
      </c>
      <c r="BW8" s="69">
        <f>$EI$5/MODEL!BI1141*100/2</f>
        <v>34.309753943012481</v>
      </c>
      <c r="BX8" s="69">
        <f>$EI$5/MODEL!BJ1141*100</f>
        <v>35.354848897338393</v>
      </c>
      <c r="BY8" s="69"/>
      <c r="BZ8" s="69">
        <f>$EI$5/MODEL!BL1141*100</f>
        <v>64.617968963936832</v>
      </c>
      <c r="CA8" s="69">
        <f>$EI$5/MODEL!BM1141*100</f>
        <v>62.677831715193399</v>
      </c>
      <c r="CB8" s="69">
        <f>$EI$5/MODEL!BN1141*100</f>
        <v>31.809882520224463</v>
      </c>
      <c r="CC8" s="69"/>
      <c r="CD8" s="69">
        <f>$EI$5/MODEL!BP1141*100</f>
        <v>60.067047705655327</v>
      </c>
      <c r="CE8" s="69">
        <f>$EI$5/MODEL!BQ1141*100</f>
        <v>61.56665605710019</v>
      </c>
      <c r="CF8" s="69">
        <f>$EI$5/MODEL!BR1141*100</f>
        <v>30.399401739465446</v>
      </c>
      <c r="CG8" s="69">
        <f>$EI$5/MODEL!BS1141*100</f>
        <v>365444.36686120473</v>
      </c>
      <c r="CH8" s="69">
        <f>$EI$5/MODEL!BT1141*100</f>
        <v>59.573216080402005</v>
      </c>
      <c r="CI8" s="69">
        <f>$EI$5/MODEL!BU1141*100</f>
        <v>62.736098722667244</v>
      </c>
      <c r="CJ8" s="69">
        <f>$EI$5/MODEL!BV1141*100</f>
        <v>30.55509100585418</v>
      </c>
      <c r="CK8" s="69"/>
      <c r="CL8" s="69"/>
      <c r="CM8" s="69"/>
      <c r="CN8" s="69">
        <f>$EI$5/MODEL!BZ1141*100</f>
        <v>30.096200495049509</v>
      </c>
      <c r="CO8" s="69"/>
      <c r="CP8" s="69"/>
      <c r="CQ8" s="69"/>
      <c r="CR8" s="69">
        <f>$EI$5/MODEL!CD1141*100</f>
        <v>33.227293325855292</v>
      </c>
      <c r="CS8" s="69"/>
      <c r="CT8" s="69"/>
      <c r="CU8" s="69"/>
      <c r="CV8" s="69">
        <f>$EI$5/MODEL!CH1141*100</f>
        <v>36.428065439944476</v>
      </c>
      <c r="CW8" s="69"/>
      <c r="CX8" s="69"/>
      <c r="CY8" s="69"/>
      <c r="CZ8" s="69">
        <f>$EI$5/MODEL!CL1141*100</f>
        <v>41.520880999203293</v>
      </c>
      <c r="DA8" s="69"/>
      <c r="DB8" s="69"/>
      <c r="DC8" s="69"/>
      <c r="DD8" s="69">
        <f>$EI$5/MODEL!CP1141*100</f>
        <v>34.707210589966195</v>
      </c>
      <c r="DE8" s="69"/>
      <c r="DF8" s="69"/>
      <c r="DG8" s="69"/>
      <c r="DH8" s="69">
        <f>$EI$5/MODEL!CT1141*100</f>
        <v>30.433405227920918</v>
      </c>
      <c r="DI8" s="69"/>
      <c r="DJ8" s="69"/>
      <c r="DK8" s="69"/>
      <c r="DL8" s="70">
        <f>$EI$5/MODEL!CX1141*100</f>
        <v>28.450794281175533</v>
      </c>
      <c r="DM8" s="69"/>
      <c r="DN8" s="69"/>
      <c r="DO8" s="69"/>
      <c r="DP8" s="70">
        <f>$EI$5/MODEL!DB1141*100</f>
        <v>28.840370069133797</v>
      </c>
      <c r="DQ8" s="69"/>
      <c r="DR8" s="69"/>
      <c r="DS8" s="69"/>
      <c r="DT8" s="1403">
        <f>$EI$5/MODEL!DF1141*100</f>
        <v>27.653562231759661</v>
      </c>
      <c r="DU8" s="69"/>
      <c r="DV8" s="69"/>
      <c r="DW8" s="69"/>
      <c r="DX8" s="69">
        <f>$EI$5/MODEL!DJ1141*100</f>
        <v>25.612026512238074</v>
      </c>
      <c r="DY8" s="69"/>
      <c r="DZ8" s="69"/>
      <c r="EA8" s="69"/>
      <c r="EB8" s="69">
        <f ca="1">$EI$5/MODEL!DN1141*100</f>
        <v>24.025149398594948</v>
      </c>
      <c r="EC8" s="69"/>
      <c r="ED8" s="69"/>
      <c r="EE8" s="69"/>
      <c r="EF8" s="69">
        <f ca="1">$EI$5/MODEL!DR1141*100</f>
        <v>23.128719607807799</v>
      </c>
      <c r="EG8" s="59"/>
      <c r="EH8" s="2" t="s">
        <v>18</v>
      </c>
      <c r="EI8" s="71">
        <v>0.65</v>
      </c>
      <c r="EJ8" s="72"/>
    </row>
    <row r="9" spans="1:179" x14ac:dyDescent="0.2">
      <c r="C9" s="22" t="s">
        <v>19</v>
      </c>
      <c r="D9" s="64">
        <v>241</v>
      </c>
      <c r="E9" s="64">
        <v>281</v>
      </c>
      <c r="F9" s="64">
        <v>522</v>
      </c>
      <c r="G9" s="64"/>
      <c r="H9" s="64">
        <f>MODEL!BH16</f>
        <v>443</v>
      </c>
      <c r="I9" s="64">
        <f>MODEL!BI16</f>
        <v>420</v>
      </c>
      <c r="J9" s="64">
        <f>MODEL!BJ16</f>
        <v>863</v>
      </c>
      <c r="K9" s="64"/>
      <c r="L9" s="64">
        <f>MODEL!BL16</f>
        <v>508</v>
      </c>
      <c r="M9" s="64">
        <f>MODEL!BM16</f>
        <v>414</v>
      </c>
      <c r="N9" s="64">
        <f>MODEL!BN16</f>
        <v>922</v>
      </c>
      <c r="O9" s="64"/>
      <c r="P9" s="64">
        <f>MODEL!BP16</f>
        <v>529</v>
      </c>
      <c r="Q9" s="64">
        <f>MODEL!BQ16</f>
        <v>510</v>
      </c>
      <c r="R9" s="64">
        <f>MODEL!BR16</f>
        <v>1039</v>
      </c>
      <c r="S9" s="64"/>
      <c r="T9" s="64">
        <f>MODEL!BT16</f>
        <v>496</v>
      </c>
      <c r="U9" s="64">
        <f>MODEL!BU16</f>
        <v>591</v>
      </c>
      <c r="V9" s="64">
        <f>MODEL!BV16</f>
        <v>1087</v>
      </c>
      <c r="W9" s="64"/>
      <c r="X9" s="64">
        <f>MODEL!BX16</f>
        <v>600</v>
      </c>
      <c r="Y9" s="64">
        <f>MODEL!BY16</f>
        <v>549</v>
      </c>
      <c r="Z9" s="64">
        <f>MODEL!BZ16</f>
        <v>1149</v>
      </c>
      <c r="AA9" s="64"/>
      <c r="AB9" s="64">
        <f>MODEL!CB16</f>
        <v>556</v>
      </c>
      <c r="AC9" s="64">
        <f>MODEL!CC16</f>
        <v>469</v>
      </c>
      <c r="AD9" s="64">
        <f>MODEL!CD16</f>
        <v>1025</v>
      </c>
      <c r="AE9" s="64"/>
      <c r="AF9" s="64">
        <f>MODEL!CF16</f>
        <v>432</v>
      </c>
      <c r="AG9" s="64">
        <f>MODEL!CG16</f>
        <v>421</v>
      </c>
      <c r="AH9" s="65">
        <f>MODEL!CH16</f>
        <v>853</v>
      </c>
      <c r="AI9" s="64"/>
      <c r="AJ9" s="64">
        <f>MODEL!CJ16</f>
        <v>508</v>
      </c>
      <c r="AK9" s="64">
        <f>MODEL!CK16</f>
        <v>432</v>
      </c>
      <c r="AL9" s="65">
        <f>MODEL!CL16</f>
        <v>940</v>
      </c>
      <c r="AM9" s="64"/>
      <c r="AN9" s="64">
        <f>MODEL!CN16</f>
        <v>535</v>
      </c>
      <c r="AO9" s="64">
        <f>MODEL!CO16</f>
        <v>317</v>
      </c>
      <c r="AP9" s="65">
        <f>MODEL!CP16</f>
        <v>852</v>
      </c>
      <c r="AQ9" s="64"/>
      <c r="AR9" s="64">
        <f>MODEL!CR16</f>
        <v>368</v>
      </c>
      <c r="AS9" s="64">
        <f>MODEL!CS16</f>
        <v>438</v>
      </c>
      <c r="AT9" s="65">
        <f>MODEL!CT16</f>
        <v>806</v>
      </c>
      <c r="AU9" s="64"/>
      <c r="AV9" s="64">
        <f>MODEL!CV16</f>
        <v>513</v>
      </c>
      <c r="AW9" s="64">
        <f>MODEL!CW16</f>
        <v>582</v>
      </c>
      <c r="AX9" s="65">
        <f>MODEL!CX16</f>
        <v>1095</v>
      </c>
      <c r="AY9" s="64"/>
      <c r="AZ9" s="64">
        <f>MODEL!CZ16</f>
        <v>639</v>
      </c>
      <c r="BA9" s="64">
        <f>MODEL!DA16</f>
        <v>538</v>
      </c>
      <c r="BB9" s="65">
        <f>MODEL!DB16</f>
        <v>1177</v>
      </c>
      <c r="BC9" s="64"/>
      <c r="BD9" s="64">
        <f>MODEL!DD16</f>
        <v>519</v>
      </c>
      <c r="BE9" s="64">
        <f>MODEL!DE16</f>
        <v>680</v>
      </c>
      <c r="BF9" s="1408">
        <f>MODEL!DF16</f>
        <v>1199</v>
      </c>
      <c r="BG9" s="64"/>
      <c r="BH9" s="64">
        <f>MODEL!DH16</f>
        <v>603</v>
      </c>
      <c r="BI9" s="64">
        <f>MODEL!DI16</f>
        <v>588.27199999999993</v>
      </c>
      <c r="BJ9" s="64">
        <f>MODEL!DJ16</f>
        <v>1191.2719999999999</v>
      </c>
      <c r="BK9" s="64"/>
      <c r="BL9" s="64">
        <f>MODEL!DL16</f>
        <v>615.68000000000006</v>
      </c>
      <c r="BM9" s="64">
        <f>MODEL!DM16</f>
        <v>603.97415999999998</v>
      </c>
      <c r="BN9" s="66">
        <f>MODEL!DN16</f>
        <v>1219.65416</v>
      </c>
      <c r="BO9" s="64"/>
      <c r="BP9" s="64">
        <f>MODEL!DP16</f>
        <v>631.7636</v>
      </c>
      <c r="BQ9" s="64">
        <f>MODEL!DQ16</f>
        <v>620.10846479999998</v>
      </c>
      <c r="BR9" s="66">
        <f>MODEL!DR16</f>
        <v>1251.8720647999999</v>
      </c>
      <c r="BS9" s="48"/>
      <c r="BT9" s="49" t="s">
        <v>20</v>
      </c>
      <c r="BU9" s="73"/>
      <c r="BV9" s="73">
        <f>$EI$5/MODEL!BH1151*100/2</f>
        <v>23.367144495848958</v>
      </c>
      <c r="BW9" s="73">
        <f>$EI$5/MODEL!BI1151*100/2</f>
        <v>22.857892508368639</v>
      </c>
      <c r="BX9" s="73">
        <f>$EI$5/MODEL!BJ1151*100</f>
        <v>23.108918253107475</v>
      </c>
      <c r="BY9" s="73"/>
      <c r="BZ9" s="73">
        <f>$EI$5/MODEL!BL1151*100</f>
        <v>42.879987220871016</v>
      </c>
      <c r="CA9" s="73">
        <f>$EI$5/MODEL!BM1151*100</f>
        <v>42.299105492651655</v>
      </c>
      <c r="CB9" s="73">
        <f>$EI$5/MODEL!BN1151*100</f>
        <v>21.289593517449873</v>
      </c>
      <c r="CC9" s="73"/>
      <c r="CD9" s="73">
        <f>$EI$5/MODEL!BP1151*100</f>
        <v>40.535773859228406</v>
      </c>
      <c r="CE9" s="73">
        <f>$EI$5/MODEL!BQ1151*100</f>
        <v>40.796087027210717</v>
      </c>
      <c r="CF9" s="73">
        <f>$EI$5/MODEL!BR1151*100</f>
        <v>20.329669841961255</v>
      </c>
      <c r="CG9" s="73" t="e">
        <f>$EI$5/MODEL!BS1151*100</f>
        <v>#DIV/0!</v>
      </c>
      <c r="CH9" s="73">
        <f>$EI$5/MODEL!BT1151*100</f>
        <v>39.46209153952843</v>
      </c>
      <c r="CI9" s="73">
        <f>$EI$5/MODEL!BU1151*100</f>
        <v>40.796570463184565</v>
      </c>
      <c r="CJ9" s="73">
        <f>$EI$5/MODEL!BV1151*100</f>
        <v>20.056248166002934</v>
      </c>
      <c r="CK9" s="73"/>
      <c r="CL9" s="73">
        <f>$EI$5/MODEL!BX1151*100</f>
        <v>39.562464339084372</v>
      </c>
      <c r="CM9" s="73">
        <f>$EI$5/MODEL!BY1151*100</f>
        <v>40.072114567630528</v>
      </c>
      <c r="CN9" s="73">
        <f>$EI$5/MODEL!BZ1151*100</f>
        <v>19.908088415882112</v>
      </c>
      <c r="CO9" s="73"/>
      <c r="CP9" s="73">
        <f>$EI$5/MODEL!CB1151*100</f>
        <v>41.005091060753514</v>
      </c>
      <c r="CQ9" s="73">
        <f>$EI$5/MODEL!CC1151*100</f>
        <v>44.165167805167805</v>
      </c>
      <c r="CR9" s="73">
        <f>$EI$5/MODEL!CD1151*100</f>
        <v>21.269571336253325</v>
      </c>
      <c r="CS9" s="73"/>
      <c r="CT9" s="73">
        <f>$EI$5/MODEL!CF1151*100</f>
        <v>43.173639514731363</v>
      </c>
      <c r="CU9" s="73">
        <f>$EI$5/MODEL!CG1151*100</f>
        <v>51.440857485851474</v>
      </c>
      <c r="CV9" s="73">
        <f>$EI$5/MODEL!CH1151*100</f>
        <v>23.476515876127007</v>
      </c>
      <c r="CW9" s="73"/>
      <c r="CX9" s="73">
        <f>$EI$5/MODEL!CJ1151*100</f>
        <v>44.332196275495122</v>
      </c>
      <c r="CY9" s="73">
        <f>$EI$5/MODEL!CK1151*100</f>
        <v>50.000273378896487</v>
      </c>
      <c r="CZ9" s="73">
        <f>$EI$5/MODEL!CL1151*100</f>
        <v>23.497974148061104</v>
      </c>
      <c r="DA9" s="73"/>
      <c r="DB9" s="73">
        <f>$EI$5/MODEL!CN1151*100</f>
        <v>47.114788069073782</v>
      </c>
      <c r="DC9" s="73">
        <f>$EI$5/MODEL!CO1151*100</f>
        <v>46.749699704372183</v>
      </c>
      <c r="DD9" s="73">
        <f>$EI$5/MODEL!CP1151*100</f>
        <v>23.465715402047355</v>
      </c>
      <c r="DE9" s="73"/>
      <c r="DF9" s="73">
        <f>$EI$5/MODEL!CR1151*100</f>
        <v>44.587335650596948</v>
      </c>
      <c r="DG9" s="73">
        <f>$EI$5/MODEL!CS1151*100</f>
        <v>43.48739313666465</v>
      </c>
      <c r="DH9" s="73">
        <f>$EI$5/MODEL!CT1151*100</f>
        <v>22.018122313551014</v>
      </c>
      <c r="DI9" s="73"/>
      <c r="DJ9" s="73">
        <f>$EI$5/MODEL!CV1151*100</f>
        <v>36.612000000000002</v>
      </c>
      <c r="DK9" s="73">
        <f>$EI$5/MODEL!CW1151*100</f>
        <v>38.468910731116196</v>
      </c>
      <c r="DL9" s="74">
        <f>$EI$5/MODEL!CX1151*100</f>
        <v>18.757373829940434</v>
      </c>
      <c r="DM9" s="73"/>
      <c r="DN9" s="73">
        <f>$EI$5/MODEL!CZ1151*100</f>
        <v>37.162010997643364</v>
      </c>
      <c r="DO9" s="73">
        <f>$EI$5/MODEL!DA1151*100</f>
        <v>38.763853511888492</v>
      </c>
      <c r="DP9" s="74">
        <f>$EI$5/MODEL!DB1151*100</f>
        <v>18.967229205669966</v>
      </c>
      <c r="DQ9" s="73"/>
      <c r="DR9" s="73">
        <f>$EI$5/MODEL!DD1151*100</f>
        <v>36.69958834951457</v>
      </c>
      <c r="DS9" s="73">
        <f>$EI$5/MODEL!DE1151*100</f>
        <v>36.609545454545447</v>
      </c>
      <c r="DT9" s="1404">
        <f>$EI$5/MODEL!DF1151*100</f>
        <v>18.327255801926434</v>
      </c>
      <c r="DU9" s="73"/>
      <c r="DV9" s="73">
        <f>$EI$5/MODEL!DH1151*100</f>
        <v>34.867091378674218</v>
      </c>
      <c r="DW9" s="73">
        <f>$EI$5/MODEL!DI1151*100</f>
        <v>33.626911783886953</v>
      </c>
      <c r="DX9" s="73">
        <f>$EI$5/MODEL!DJ1151*100</f>
        <v>17.117873945996958</v>
      </c>
      <c r="DY9" s="73"/>
      <c r="DZ9" s="73">
        <f ca="1">$EI$5/MODEL!DL1151*100</f>
        <v>31.600297790956937</v>
      </c>
      <c r="EA9" s="73">
        <f ca="1">$EI$5/MODEL!DM1151*100</f>
        <v>31.626117418515935</v>
      </c>
      <c r="EB9" s="73">
        <f ca="1">$EI$5/MODEL!DN1151*100</f>
        <v>15.806601166392554</v>
      </c>
      <c r="EC9" s="73"/>
      <c r="ED9" s="73">
        <f ca="1">$EI$5/MODEL!DP1151*100</f>
        <v>30.287073293467117</v>
      </c>
      <c r="EE9" s="73">
        <f ca="1">$EI$5/MODEL!DQ1151*100</f>
        <v>30.340328628112555</v>
      </c>
      <c r="EF9" s="73">
        <f ca="1">$EI$5/MODEL!DR1151*100</f>
        <v>15.156838785474068</v>
      </c>
      <c r="EG9" s="73"/>
      <c r="EH9" s="3" t="s">
        <v>21</v>
      </c>
      <c r="EI9" s="61">
        <f>+EI7*EI8</f>
        <v>184555.48015967404</v>
      </c>
      <c r="EJ9" s="75"/>
      <c r="EU9" s="76"/>
      <c r="FC9" s="77" t="str">
        <f>AH5</f>
        <v>FY19</v>
      </c>
      <c r="FE9" s="76"/>
      <c r="FF9" s="78" t="s">
        <v>22</v>
      </c>
      <c r="FG9" s="79" t="str">
        <f>AL5</f>
        <v>FY20</v>
      </c>
      <c r="FH9" s="80"/>
      <c r="FI9" s="80"/>
      <c r="FJ9" s="80"/>
      <c r="FK9" s="81" t="str">
        <f>AP5</f>
        <v>FY21</v>
      </c>
      <c r="FL9" s="80"/>
      <c r="FM9" s="80"/>
      <c r="FN9" s="80"/>
      <c r="FO9" s="79" t="str">
        <f>AT5</f>
        <v>FY22</v>
      </c>
      <c r="FP9" s="80"/>
      <c r="FQ9" s="80"/>
      <c r="FR9" s="80"/>
      <c r="FS9" s="79" t="str">
        <f>AX5</f>
        <v>FY23</v>
      </c>
      <c r="FW9" s="79" t="str">
        <f>BB5</f>
        <v>FY24</v>
      </c>
    </row>
    <row r="10" spans="1:179" x14ac:dyDescent="0.2">
      <c r="C10" s="63" t="s">
        <v>23</v>
      </c>
      <c r="D10" s="64">
        <v>216</v>
      </c>
      <c r="E10" s="64">
        <v>195</v>
      </c>
      <c r="F10" s="64">
        <v>411</v>
      </c>
      <c r="G10" s="64"/>
      <c r="H10" s="64">
        <f>MODEL!BH17</f>
        <v>160</v>
      </c>
      <c r="I10" s="64">
        <f>MODEL!BI17</f>
        <v>90</v>
      </c>
      <c r="J10" s="64">
        <f>MODEL!BJ17</f>
        <v>250</v>
      </c>
      <c r="K10" s="64"/>
      <c r="L10" s="64">
        <f>MODEL!BL17</f>
        <v>108</v>
      </c>
      <c r="M10" s="64">
        <f>MODEL!BM17</f>
        <v>80</v>
      </c>
      <c r="N10" s="64">
        <f>MODEL!BN17</f>
        <v>188</v>
      </c>
      <c r="O10" s="64"/>
      <c r="P10" s="64">
        <f>MODEL!BP17</f>
        <v>202</v>
      </c>
      <c r="Q10" s="64">
        <f>MODEL!BQ17</f>
        <v>356</v>
      </c>
      <c r="R10" s="64">
        <f>MODEL!BR17</f>
        <v>558</v>
      </c>
      <c r="S10" s="64"/>
      <c r="T10" s="64">
        <f>MODEL!BT17</f>
        <v>262</v>
      </c>
      <c r="U10" s="64">
        <f>MODEL!BU17</f>
        <v>286</v>
      </c>
      <c r="V10" s="64">
        <f>MODEL!BV17</f>
        <v>548</v>
      </c>
      <c r="W10" s="64"/>
      <c r="X10" s="64">
        <f>MODEL!BX17</f>
        <v>599</v>
      </c>
      <c r="Y10" s="64">
        <f>MODEL!BY17</f>
        <v>191</v>
      </c>
      <c r="Z10" s="64">
        <f>MODEL!BZ17</f>
        <v>790</v>
      </c>
      <c r="AA10" s="64"/>
      <c r="AB10" s="64">
        <f>MODEL!CB17</f>
        <v>289</v>
      </c>
      <c r="AC10" s="64">
        <f>MODEL!CC17</f>
        <v>224</v>
      </c>
      <c r="AD10" s="64">
        <f>MODEL!CD17</f>
        <v>513</v>
      </c>
      <c r="AE10" s="64"/>
      <c r="AF10" s="64">
        <f>MODEL!CF17</f>
        <v>275</v>
      </c>
      <c r="AG10" s="64">
        <f>MODEL!CG17</f>
        <v>154</v>
      </c>
      <c r="AH10" s="65">
        <f>MODEL!CH17</f>
        <v>429</v>
      </c>
      <c r="AI10" s="64"/>
      <c r="AJ10" s="64">
        <f>MODEL!CJ17</f>
        <v>231</v>
      </c>
      <c r="AK10" s="64">
        <f>MODEL!CK17</f>
        <v>123</v>
      </c>
      <c r="AL10" s="65">
        <f>MODEL!CL17</f>
        <v>354</v>
      </c>
      <c r="AM10" s="64"/>
      <c r="AN10" s="64">
        <f>MODEL!CN17</f>
        <v>60</v>
      </c>
      <c r="AO10" s="64">
        <f>MODEL!CO17</f>
        <v>403</v>
      </c>
      <c r="AP10" s="65">
        <f>MODEL!CP17</f>
        <v>463</v>
      </c>
      <c r="AQ10" s="64"/>
      <c r="AR10" s="64">
        <f>MODEL!CR17</f>
        <v>449</v>
      </c>
      <c r="AS10" s="64">
        <f>MODEL!CS17</f>
        <v>939</v>
      </c>
      <c r="AT10" s="65">
        <f>MODEL!CT17</f>
        <v>1388</v>
      </c>
      <c r="AU10" s="64"/>
      <c r="AV10" s="64">
        <f>MODEL!CV17</f>
        <v>75</v>
      </c>
      <c r="AW10" s="64">
        <f>MODEL!CW17</f>
        <v>94</v>
      </c>
      <c r="AX10" s="65">
        <f>MODEL!CX17</f>
        <v>169</v>
      </c>
      <c r="AY10" s="64"/>
      <c r="AZ10" s="64">
        <f>MODEL!CZ17</f>
        <v>100</v>
      </c>
      <c r="BA10" s="64">
        <f>MODEL!DA17</f>
        <v>25</v>
      </c>
      <c r="BB10" s="65">
        <f>MODEL!DB17</f>
        <v>125</v>
      </c>
      <c r="BC10" s="64"/>
      <c r="BD10" s="64">
        <f>MODEL!DD17</f>
        <v>50</v>
      </c>
      <c r="BE10" s="64">
        <f>MODEL!DE17</f>
        <v>60</v>
      </c>
      <c r="BF10" s="1408">
        <f>MODEL!DF17</f>
        <v>110</v>
      </c>
      <c r="BG10" s="64"/>
      <c r="BH10" s="64">
        <f>MODEL!DH17</f>
        <v>45</v>
      </c>
      <c r="BI10" s="64">
        <f>MODEL!DI17</f>
        <v>47.840000000000011</v>
      </c>
      <c r="BJ10" s="64">
        <f>MODEL!DJ17</f>
        <v>92.84</v>
      </c>
      <c r="BK10" s="64"/>
      <c r="BL10" s="64">
        <f>MODEL!DL17</f>
        <v>48.796800000000005</v>
      </c>
      <c r="BM10" s="64">
        <f>MODEL!DM17</f>
        <v>49.772736000000009</v>
      </c>
      <c r="BN10" s="66">
        <f>MODEL!DN17</f>
        <v>98.569536000000014</v>
      </c>
      <c r="BO10" s="64"/>
      <c r="BP10" s="64">
        <f>MODEL!DP17</f>
        <v>50.768190720000007</v>
      </c>
      <c r="BQ10" s="64">
        <f>MODEL!DQ17</f>
        <v>51.783554534400011</v>
      </c>
      <c r="BR10" s="66">
        <f>MODEL!DR17</f>
        <v>102.55174525440002</v>
      </c>
      <c r="BS10" s="48"/>
      <c r="BT10" s="58" t="s">
        <v>24</v>
      </c>
      <c r="BU10" s="82"/>
      <c r="BV10" s="82">
        <f>MODEL!BH1013</f>
        <v>19.582012908143987</v>
      </c>
      <c r="BW10" s="82">
        <f>MODEL!BI1013</f>
        <v>20.868166912053429</v>
      </c>
      <c r="BX10" s="82">
        <f>MODEL!BJ1013</f>
        <v>20.868166912053429</v>
      </c>
      <c r="BY10" s="82"/>
      <c r="BZ10" s="82">
        <f>MODEL!BL1013</f>
        <v>22.097749729690921</v>
      </c>
      <c r="CA10" s="82">
        <f>MODEL!BM1013</f>
        <v>23.487046931241107</v>
      </c>
      <c r="CB10" s="82">
        <f>MODEL!BN1013</f>
        <v>23.487046931241103</v>
      </c>
      <c r="CC10" s="82"/>
      <c r="CD10" s="82">
        <f>MODEL!BP1013</f>
        <v>24.458478100272217</v>
      </c>
      <c r="CE10" s="82">
        <f>MODEL!BQ1013</f>
        <v>25.511296326380148</v>
      </c>
      <c r="CF10" s="82">
        <f>MODEL!BR1013</f>
        <v>25.511296326380148</v>
      </c>
      <c r="CG10" s="82">
        <f>MODEL!BS1013</f>
        <v>0</v>
      </c>
      <c r="CH10" s="82">
        <f>MODEL!BT1013</f>
        <v>28.20014000523561</v>
      </c>
      <c r="CI10" s="82">
        <f>MODEL!BU1013</f>
        <v>28.936376625527995</v>
      </c>
      <c r="CJ10" s="82">
        <f>MODEL!BV1013</f>
        <v>28.936376625527991</v>
      </c>
      <c r="CK10" s="82"/>
      <c r="CL10" s="82">
        <f>MODEL!BX1013</f>
        <v>30.547038350975626</v>
      </c>
      <c r="CM10" s="82">
        <f>MODEL!BY1013</f>
        <v>31.52032116047484</v>
      </c>
      <c r="CN10" s="82">
        <f>MODEL!BZ1013</f>
        <v>31.520321160474843</v>
      </c>
      <c r="CO10" s="82"/>
      <c r="CP10" s="82">
        <f>MODEL!CB1013</f>
        <v>32.201798353220767</v>
      </c>
      <c r="CQ10" s="82">
        <f>MODEL!CC1013</f>
        <v>33.105795413230432</v>
      </c>
      <c r="CR10" s="82">
        <f>MODEL!CD1013</f>
        <v>33.105795413230432</v>
      </c>
      <c r="CS10" s="82"/>
      <c r="CT10" s="82">
        <f>MODEL!CF1013</f>
        <v>33.841183502634372</v>
      </c>
      <c r="CU10" s="82">
        <f>MODEL!CG1013</f>
        <v>34.682312623361874</v>
      </c>
      <c r="CV10" s="82">
        <f>MODEL!CH1013</f>
        <v>34.838223729688799</v>
      </c>
      <c r="CW10" s="82"/>
      <c r="CX10" s="82">
        <f>MODEL!CJ1013</f>
        <v>35.799110656725389</v>
      </c>
      <c r="CY10" s="82">
        <f>MODEL!CK1013</f>
        <v>36.349318691371856</v>
      </c>
      <c r="CZ10" s="82">
        <f>MODEL!CL1013</f>
        <v>36.741920933753065</v>
      </c>
      <c r="DA10" s="82"/>
      <c r="DB10" s="82">
        <f>MODEL!CN1013</f>
        <v>38.349099641095599</v>
      </c>
      <c r="DC10" s="82">
        <f>MODEL!CO1013</f>
        <v>40.488780426538369</v>
      </c>
      <c r="DD10" s="82">
        <f>MODEL!CP1013</f>
        <v>40.454960393048758</v>
      </c>
      <c r="DE10" s="82"/>
      <c r="DF10" s="82">
        <f>MODEL!CR1013</f>
        <v>39.606969397399219</v>
      </c>
      <c r="DG10" s="82">
        <f>MODEL!CS1013</f>
        <v>38.749639601141041</v>
      </c>
      <c r="DH10" s="82">
        <f>MODEL!CT1013</f>
        <v>38.749639601141034</v>
      </c>
      <c r="DI10" s="82"/>
      <c r="DJ10" s="82">
        <f>MODEL!CV1013</f>
        <v>38.604272101438404</v>
      </c>
      <c r="DK10" s="82">
        <f>MODEL!CW1013</f>
        <v>38.322500690655168</v>
      </c>
      <c r="DL10" s="83">
        <f>MODEL!CX1013</f>
        <v>38.322500690655168</v>
      </c>
      <c r="DM10" s="82"/>
      <c r="DN10" s="82">
        <f>MODEL!CZ1013</f>
        <v>39.007508768684822</v>
      </c>
      <c r="DO10" s="82">
        <f>MODEL!DA1013</f>
        <v>39.130478370492447</v>
      </c>
      <c r="DP10" s="83">
        <f>MODEL!DB1013</f>
        <v>39.130478370492447</v>
      </c>
      <c r="DQ10" s="82"/>
      <c r="DR10" s="82">
        <f>MODEL!DD1013</f>
        <v>40.324181585206588</v>
      </c>
      <c r="DS10" s="82">
        <f>MODEL!DE1013</f>
        <v>42.244153065078983</v>
      </c>
      <c r="DT10" s="1405">
        <f>MODEL!DF1013</f>
        <v>42.244153065078983</v>
      </c>
      <c r="DU10" s="82"/>
      <c r="DV10" s="82">
        <f>MODEL!DH1013</f>
        <v>41.193636457044228</v>
      </c>
      <c r="DW10" s="82">
        <f>MODEL!DI1013</f>
        <v>42.083684534744343</v>
      </c>
      <c r="DX10" s="82">
        <f>MODEL!DJ1013</f>
        <v>42.083684534744343</v>
      </c>
      <c r="DY10" s="82"/>
      <c r="DZ10" s="82">
        <f ca="1">MODEL!DL1013</f>
        <v>42.722580936041659</v>
      </c>
      <c r="EA10" s="82">
        <f ca="1">MODEL!DM1013</f>
        <v>43.537325519144503</v>
      </c>
      <c r="EB10" s="82">
        <f ca="1">MODEL!DN1013</f>
        <v>43.537325519144503</v>
      </c>
      <c r="EC10" s="82"/>
      <c r="ED10" s="82">
        <f ca="1">MODEL!DP1013</f>
        <v>44.145468768036842</v>
      </c>
      <c r="EE10" s="82">
        <f ca="1">MODEL!DQ1013</f>
        <v>45.049606412309977</v>
      </c>
      <c r="EF10" s="82">
        <f ca="1">MODEL!DR1013</f>
        <v>45.049606412309977</v>
      </c>
      <c r="EG10" s="59"/>
      <c r="EI10" s="4"/>
      <c r="EJ10" s="84"/>
      <c r="FC10" s="85">
        <f>AH37</f>
        <v>13445</v>
      </c>
      <c r="FF10" s="2" t="s">
        <v>25</v>
      </c>
      <c r="FG10" s="85">
        <f>AL37</f>
        <v>13226</v>
      </c>
      <c r="FK10" s="86">
        <f>AP37</f>
        <v>13372</v>
      </c>
      <c r="FO10" s="85">
        <f>AT37</f>
        <v>13385</v>
      </c>
      <c r="FS10" s="85">
        <f>AX37</f>
        <v>15489</v>
      </c>
      <c r="FW10" s="85">
        <f>BB37</f>
        <v>15045</v>
      </c>
    </row>
    <row r="11" spans="1:179" x14ac:dyDescent="0.2">
      <c r="C11" s="53" t="s">
        <v>26</v>
      </c>
      <c r="D11" s="44">
        <v>1927</v>
      </c>
      <c r="E11" s="44">
        <v>2000</v>
      </c>
      <c r="F11" s="44">
        <v>3927</v>
      </c>
      <c r="G11" s="87"/>
      <c r="H11" s="44">
        <f>MODEL!BH18</f>
        <v>2105</v>
      </c>
      <c r="I11" s="44">
        <f>MODEL!BI18</f>
        <v>2051</v>
      </c>
      <c r="J11" s="44">
        <f>MODEL!BJ18</f>
        <v>4156</v>
      </c>
      <c r="K11" s="44"/>
      <c r="L11" s="44">
        <f>MODEL!BL18</f>
        <v>2234</v>
      </c>
      <c r="M11" s="44">
        <f>MODEL!BM18</f>
        <v>2089</v>
      </c>
      <c r="N11" s="44">
        <f>MODEL!BN18</f>
        <v>4323</v>
      </c>
      <c r="O11" s="44"/>
      <c r="P11" s="44">
        <f>MODEL!BP18</f>
        <v>2356</v>
      </c>
      <c r="Q11" s="44">
        <f>MODEL!BQ18</f>
        <v>2455</v>
      </c>
      <c r="R11" s="44">
        <f>MODEL!BR18</f>
        <v>4811</v>
      </c>
      <c r="S11" s="44"/>
      <c r="T11" s="44">
        <f>MODEL!BT18</f>
        <v>2416</v>
      </c>
      <c r="U11" s="44">
        <f>MODEL!BU18</f>
        <v>2444</v>
      </c>
      <c r="V11" s="44">
        <f>MODEL!BV18</f>
        <v>4860</v>
      </c>
      <c r="W11" s="44"/>
      <c r="X11" s="44">
        <f>MODEL!BX18</f>
        <v>3018</v>
      </c>
      <c r="Y11" s="44">
        <f>MODEL!BY18</f>
        <v>2560</v>
      </c>
      <c r="Z11" s="44">
        <f>MODEL!BZ18</f>
        <v>5578</v>
      </c>
      <c r="AA11" s="44"/>
      <c r="AB11" s="44">
        <f>MODEL!CB18</f>
        <v>2706</v>
      </c>
      <c r="AC11" s="44">
        <f>MODEL!CC18</f>
        <v>2509</v>
      </c>
      <c r="AD11" s="44">
        <f>MODEL!CD18</f>
        <v>5215</v>
      </c>
      <c r="AE11" s="44"/>
      <c r="AF11" s="44">
        <f>MODEL!CF18</f>
        <v>2576</v>
      </c>
      <c r="AG11" s="44">
        <f>MODEL!CG18</f>
        <v>2375</v>
      </c>
      <c r="AH11" s="46">
        <f>MODEL!CH18</f>
        <v>4951</v>
      </c>
      <c r="AI11" s="44"/>
      <c r="AJ11" s="44">
        <f>MODEL!CJ18</f>
        <v>2543</v>
      </c>
      <c r="AK11" s="44">
        <f>MODEL!CK18</f>
        <v>2294</v>
      </c>
      <c r="AL11" s="46">
        <f>MODEL!CL18</f>
        <v>4837</v>
      </c>
      <c r="AM11" s="44"/>
      <c r="AN11" s="44">
        <f>MODEL!CN18</f>
        <v>2190</v>
      </c>
      <c r="AO11" s="44">
        <f>MODEL!CO18</f>
        <v>2354</v>
      </c>
      <c r="AP11" s="46">
        <f>MODEL!CP18</f>
        <v>4544</v>
      </c>
      <c r="AQ11" s="44"/>
      <c r="AR11" s="44">
        <f>MODEL!CR18</f>
        <v>2261</v>
      </c>
      <c r="AS11" s="44">
        <f>MODEL!CS18</f>
        <v>2747</v>
      </c>
      <c r="AT11" s="46">
        <f>MODEL!CT18</f>
        <v>5008</v>
      </c>
      <c r="AU11" s="44"/>
      <c r="AV11" s="44">
        <f>MODEL!CV18</f>
        <v>1958</v>
      </c>
      <c r="AW11" s="44">
        <f>MODEL!CW18</f>
        <v>2039</v>
      </c>
      <c r="AX11" s="46">
        <f>MODEL!CX18</f>
        <v>3997</v>
      </c>
      <c r="AY11" s="44"/>
      <c r="AZ11" s="44">
        <f>MODEL!CZ18</f>
        <v>2190</v>
      </c>
      <c r="BA11" s="44">
        <f>MODEL!DA18</f>
        <v>2049</v>
      </c>
      <c r="BB11" s="46">
        <f>MODEL!DB18</f>
        <v>4239</v>
      </c>
      <c r="BC11" s="44"/>
      <c r="BD11" s="44">
        <f>MODEL!DD18</f>
        <v>2103</v>
      </c>
      <c r="BE11" s="44">
        <f>MODEL!DE18</f>
        <v>2217</v>
      </c>
      <c r="BF11" s="1435">
        <f>MODEL!DF18</f>
        <v>4320</v>
      </c>
      <c r="BG11" s="44"/>
      <c r="BH11" s="44">
        <f>MODEL!DH18</f>
        <v>2259</v>
      </c>
      <c r="BI11" s="44">
        <f>MODEL!DI18</f>
        <v>2180.8420000000001</v>
      </c>
      <c r="BJ11" s="44">
        <f>MODEL!DJ18</f>
        <v>4439.8420000000006</v>
      </c>
      <c r="BK11" s="44"/>
      <c r="BL11" s="44">
        <f>MODEL!DL18</f>
        <v>2293.3904000000002</v>
      </c>
      <c r="BM11" s="44">
        <f>MODEL!DM18</f>
        <v>2240.2971360000001</v>
      </c>
      <c r="BN11" s="47">
        <f>MODEL!DN18</f>
        <v>4533.6875360000004</v>
      </c>
      <c r="BO11" s="44"/>
      <c r="BP11" s="44">
        <f>MODEL!DP18</f>
        <v>2354.9813040200002</v>
      </c>
      <c r="BQ11" s="44">
        <f>MODEL!DQ18</f>
        <v>2313.3709518204</v>
      </c>
      <c r="BR11" s="47">
        <f>MODEL!DR18</f>
        <v>4668.3522558404002</v>
      </c>
      <c r="BS11" s="48"/>
      <c r="BT11" s="58" t="s">
        <v>27</v>
      </c>
      <c r="BU11" s="82"/>
      <c r="BV11" s="82">
        <f>MODEL!BH1012</f>
        <v>26.023799770059529</v>
      </c>
      <c r="BW11" s="82">
        <f>MODEL!BI1012</f>
        <v>27.334333263332724</v>
      </c>
      <c r="BX11" s="82">
        <f>MODEL!BJ1012</f>
        <v>27.334333263332724</v>
      </c>
      <c r="BY11" s="82"/>
      <c r="BZ11" s="82">
        <f>MODEL!BL1012</f>
        <v>28.265515810897746</v>
      </c>
      <c r="CA11" s="82">
        <f>MODEL!BM1012</f>
        <v>29.526573284988817</v>
      </c>
      <c r="CB11" s="82">
        <f>MODEL!BN1012</f>
        <v>29.526573284988814</v>
      </c>
      <c r="CC11" s="82"/>
      <c r="CD11" s="82">
        <f>MODEL!BP1012</f>
        <v>30.552898024841369</v>
      </c>
      <c r="CE11" s="82">
        <f>MODEL!BQ1012</f>
        <v>31.636907433118989</v>
      </c>
      <c r="CF11" s="82">
        <f>MODEL!BR1012</f>
        <v>31.636907433118989</v>
      </c>
      <c r="CG11" s="82">
        <f>MODEL!BS1012</f>
        <v>0</v>
      </c>
      <c r="CH11" s="82">
        <f>MODEL!BT1012</f>
        <v>34.067043470698827</v>
      </c>
      <c r="CI11" s="82">
        <f>MODEL!BU1012</f>
        <v>34.990685206617712</v>
      </c>
      <c r="CJ11" s="82">
        <f>MODEL!BV1012</f>
        <v>34.990685206617712</v>
      </c>
      <c r="CK11" s="82"/>
      <c r="CL11" s="82">
        <f>MODEL!BX1012</f>
        <v>35.518664886041705</v>
      </c>
      <c r="CM11" s="82">
        <f>MODEL!BY1012</f>
        <v>36.484861345453709</v>
      </c>
      <c r="CN11" s="82">
        <f>MODEL!BZ1012</f>
        <v>36.484861345453716</v>
      </c>
      <c r="CO11" s="82"/>
      <c r="CP11" s="82">
        <f>MODEL!CB1012</f>
        <v>37.416525890798731</v>
      </c>
      <c r="CQ11" s="82">
        <f>MODEL!CC1012</f>
        <v>38.271029108262518</v>
      </c>
      <c r="CR11" s="82">
        <f>MODEL!CD1012</f>
        <v>38.271029108262518</v>
      </c>
      <c r="CS11" s="82"/>
      <c r="CT11" s="82">
        <f>MODEL!CF1012</f>
        <v>38.45129415022145</v>
      </c>
      <c r="CU11" s="82">
        <f>MODEL!CG1012</f>
        <v>39.337614895971249</v>
      </c>
      <c r="CV11" s="82">
        <f>MODEL!CH1012</f>
        <v>39.337614895971249</v>
      </c>
      <c r="CW11" s="82"/>
      <c r="CX11" s="82">
        <f>MODEL!CJ1012</f>
        <v>40.165186529192063</v>
      </c>
      <c r="CY11" s="82">
        <f>MODEL!CK1012</f>
        <v>40.634614534111172</v>
      </c>
      <c r="CZ11" s="82">
        <f>MODEL!CL1012</f>
        <v>40.634614534111172</v>
      </c>
      <c r="DA11" s="82"/>
      <c r="DB11" s="82">
        <f>MODEL!CN1012</f>
        <v>42.227130147904418</v>
      </c>
      <c r="DC11" s="82">
        <f>MODEL!CO1012</f>
        <v>44.367938267796845</v>
      </c>
      <c r="DD11" s="82">
        <f>MODEL!CP1012</f>
        <v>44.367938267796845</v>
      </c>
      <c r="DE11" s="82"/>
      <c r="DF11" s="82">
        <f>MODEL!CR1012</f>
        <v>43.751973385677751</v>
      </c>
      <c r="DG11" s="82">
        <f>MODEL!CS1012</f>
        <v>42.804205737099302</v>
      </c>
      <c r="DH11" s="82">
        <f>MODEL!CT1012</f>
        <v>42.804205737099295</v>
      </c>
      <c r="DI11" s="82"/>
      <c r="DJ11" s="82">
        <f>MODEL!CV1012</f>
        <v>42.830723247738867</v>
      </c>
      <c r="DK11" s="82">
        <f>MODEL!CW1012</f>
        <v>42.73315294574995</v>
      </c>
      <c r="DL11" s="83">
        <f>MODEL!CX1012</f>
        <v>42.73315294574995</v>
      </c>
      <c r="DM11" s="82"/>
      <c r="DN11" s="82">
        <f>MODEL!CZ1012</f>
        <v>43.49202274291823</v>
      </c>
      <c r="DO11" s="82">
        <f>MODEL!DA1012</f>
        <v>43.671640653899217</v>
      </c>
      <c r="DP11" s="83">
        <f>MODEL!DB1012</f>
        <v>43.671640653899217</v>
      </c>
      <c r="DQ11" s="82"/>
      <c r="DR11" s="82">
        <f>MODEL!DD1012</f>
        <v>44.975018195180702</v>
      </c>
      <c r="DS11" s="82">
        <f>MODEL!DE1012</f>
        <v>47.073661157307015</v>
      </c>
      <c r="DT11" s="1405">
        <f>MODEL!DF1012</f>
        <v>47.073661157307015</v>
      </c>
      <c r="DU11" s="82"/>
      <c r="DV11" s="82">
        <f>MODEL!DH1012</f>
        <v>46.15102313523326</v>
      </c>
      <c r="DW11" s="82">
        <f>MODEL!DI1012</f>
        <v>47.162110621898258</v>
      </c>
      <c r="DX11" s="82">
        <f>MODEL!DJ1012</f>
        <v>47.162110621898258</v>
      </c>
      <c r="DY11" s="82"/>
      <c r="DZ11" s="82">
        <f ca="1">MODEL!DL1012</f>
        <v>47.906698975196754</v>
      </c>
      <c r="EA11" s="82">
        <f ca="1">MODEL!DM1012</f>
        <v>48.818613042967712</v>
      </c>
      <c r="EB11" s="82">
        <f ca="1">MODEL!DN1012</f>
        <v>48.818613042967712</v>
      </c>
      <c r="EC11" s="82"/>
      <c r="ED11" s="82">
        <f ca="1">MODEL!DP1012</f>
        <v>49.488051320551079</v>
      </c>
      <c r="EE11" s="82">
        <f ca="1">MODEL!DQ1012</f>
        <v>50.449691636936883</v>
      </c>
      <c r="EF11" s="82">
        <f ca="1">MODEL!DR1012</f>
        <v>50.449691636936883</v>
      </c>
      <c r="EG11" s="82"/>
      <c r="EH11" s="88"/>
      <c r="EI11" s="4"/>
      <c r="EJ11" s="89"/>
      <c r="FF11" s="90" t="s">
        <v>28</v>
      </c>
      <c r="FG11" s="91">
        <f>FG10/FC10-1</f>
        <v>-1.6288583116400135E-2</v>
      </c>
      <c r="FH11" s="90"/>
      <c r="FI11" s="90"/>
      <c r="FJ11" s="90"/>
      <c r="FK11" s="92">
        <f>FK10/FG10-1</f>
        <v>1.1038862845909492E-2</v>
      </c>
      <c r="FL11" s="90"/>
      <c r="FM11" s="90"/>
      <c r="FN11" s="90"/>
      <c r="FO11" s="91">
        <f>FO10/FK10-1</f>
        <v>9.7218067603943581E-4</v>
      </c>
      <c r="FP11" s="90"/>
      <c r="FQ11" s="90"/>
      <c r="FR11" s="90"/>
      <c r="FS11" s="91">
        <f>FS10/FO10-1</f>
        <v>0.1571908853193873</v>
      </c>
      <c r="FW11" s="91">
        <f>FW10/FS10-1</f>
        <v>-2.8665504551617316E-2</v>
      </c>
    </row>
    <row r="12" spans="1:179" x14ac:dyDescent="0.2">
      <c r="C12" s="53" t="s">
        <v>29</v>
      </c>
      <c r="D12" s="44">
        <v>8571</v>
      </c>
      <c r="E12" s="44">
        <v>8513</v>
      </c>
      <c r="F12" s="44">
        <v>17084</v>
      </c>
      <c r="G12" s="87"/>
      <c r="H12" s="44">
        <f>MODEL!BH19</f>
        <v>8967</v>
      </c>
      <c r="I12" s="44">
        <f>MODEL!BI19</f>
        <v>9133</v>
      </c>
      <c r="J12" s="44">
        <f>MODEL!BJ19</f>
        <v>18100</v>
      </c>
      <c r="K12" s="44"/>
      <c r="L12" s="44">
        <f>MODEL!BL19</f>
        <v>9678</v>
      </c>
      <c r="M12" s="44">
        <f>MODEL!BM19</f>
        <v>9736</v>
      </c>
      <c r="N12" s="44">
        <f>MODEL!BN19</f>
        <v>19414</v>
      </c>
      <c r="O12" s="44"/>
      <c r="P12" s="44">
        <f>MODEL!BP19</f>
        <v>10257</v>
      </c>
      <c r="Q12" s="44">
        <f>MODEL!BQ19</f>
        <v>10381</v>
      </c>
      <c r="R12" s="44">
        <f>MODEL!BR19</f>
        <v>20638</v>
      </c>
      <c r="S12" s="44"/>
      <c r="T12" s="44">
        <f>MODEL!BT19</f>
        <v>10843</v>
      </c>
      <c r="U12" s="44">
        <f>MODEL!BU19</f>
        <v>10952</v>
      </c>
      <c r="V12" s="44">
        <f>MODEL!BV19</f>
        <v>21795</v>
      </c>
      <c r="W12" s="44"/>
      <c r="X12" s="44">
        <f>MODEL!BX19</f>
        <v>11728</v>
      </c>
      <c r="Y12" s="44">
        <f>MODEL!BY19</f>
        <v>11393</v>
      </c>
      <c r="Z12" s="44">
        <f>MODEL!BZ19</f>
        <v>23121</v>
      </c>
      <c r="AA12" s="44"/>
      <c r="AB12" s="44">
        <f>MODEL!CB19</f>
        <v>11963</v>
      </c>
      <c r="AC12" s="44">
        <f>MODEL!CC19</f>
        <v>11594</v>
      </c>
      <c r="AD12" s="44">
        <f>MODEL!CD19</f>
        <v>23557</v>
      </c>
      <c r="AE12" s="44"/>
      <c r="AF12" s="44">
        <f>MODEL!CF19</f>
        <v>11764</v>
      </c>
      <c r="AG12" s="44">
        <f>MODEL!CG19</f>
        <v>11411</v>
      </c>
      <c r="AH12" s="46">
        <f>MODEL!CH19</f>
        <v>23175</v>
      </c>
      <c r="AI12" s="44"/>
      <c r="AJ12" s="44">
        <f>MODEL!CJ19</f>
        <v>11893</v>
      </c>
      <c r="AK12" s="44">
        <f>MODEL!CK19</f>
        <v>11554</v>
      </c>
      <c r="AL12" s="46">
        <f>MODEL!CL19</f>
        <v>23447</v>
      </c>
      <c r="AM12" s="44"/>
      <c r="AN12" s="44">
        <f>MODEL!CN19</f>
        <v>11790</v>
      </c>
      <c r="AO12" s="44">
        <f>MODEL!CO19</f>
        <v>12056</v>
      </c>
      <c r="AP12" s="46">
        <f>MODEL!CP19</f>
        <v>23846</v>
      </c>
      <c r="AQ12" s="44"/>
      <c r="AR12" s="44">
        <f>MODEL!CR19</f>
        <v>12009</v>
      </c>
      <c r="AS12" s="44">
        <f>MODEL!CS19</f>
        <v>12472</v>
      </c>
      <c r="AT12" s="46">
        <f>MODEL!CT19</f>
        <v>24481</v>
      </c>
      <c r="AU12" s="44"/>
      <c r="AV12" s="44">
        <f>MODEL!CV19</f>
        <v>13595</v>
      </c>
      <c r="AW12" s="44">
        <f>MODEL!CW19</f>
        <v>13458</v>
      </c>
      <c r="AX12" s="46">
        <f>MODEL!CX19</f>
        <v>27053</v>
      </c>
      <c r="AY12" s="44"/>
      <c r="AZ12" s="44">
        <f>MODEL!CZ19</f>
        <v>13594</v>
      </c>
      <c r="BA12" s="44">
        <f>MODEL!DA19</f>
        <v>13469</v>
      </c>
      <c r="BB12" s="46">
        <f>MODEL!DB19</f>
        <v>27063</v>
      </c>
      <c r="BC12" s="44"/>
      <c r="BD12" s="44">
        <f>MODEL!DD19</f>
        <v>14037</v>
      </c>
      <c r="BE12" s="44">
        <f>MODEL!DE19</f>
        <v>14306</v>
      </c>
      <c r="BF12" s="1435">
        <f>MODEL!DF19</f>
        <v>28343</v>
      </c>
      <c r="BG12" s="44"/>
      <c r="BH12" s="44">
        <f>MODEL!DH19</f>
        <v>14954</v>
      </c>
      <c r="BI12" s="44">
        <f>MODEL!DI19</f>
        <v>15153.446412194529</v>
      </c>
      <c r="BJ12" s="44">
        <f>MODEL!DJ19</f>
        <v>30107.446412194531</v>
      </c>
      <c r="BK12" s="44"/>
      <c r="BL12" s="44">
        <f>MODEL!DL19</f>
        <v>15903.718330904467</v>
      </c>
      <c r="BM12" s="44">
        <f>MODEL!DM19</f>
        <v>15966.348317626671</v>
      </c>
      <c r="BN12" s="47">
        <f>MODEL!DN19</f>
        <v>31870.066648531141</v>
      </c>
      <c r="BO12" s="44"/>
      <c r="BP12" s="44">
        <f>MODEL!DP19</f>
        <v>16578.844681252674</v>
      </c>
      <c r="BQ12" s="44">
        <f>MODEL!DQ19</f>
        <v>16653.163881177614</v>
      </c>
      <c r="BR12" s="47">
        <f>MODEL!DR19</f>
        <v>33232.008562430288</v>
      </c>
      <c r="BS12" s="48"/>
      <c r="BT12" s="21" t="s">
        <v>30</v>
      </c>
      <c r="BU12" s="93"/>
      <c r="BV12" s="93">
        <f t="shared" ref="BV12:BX13" si="0">$EI$5/BV10</f>
        <v>8.6589668179353243</v>
      </c>
      <c r="BW12" s="93">
        <f t="shared" si="0"/>
        <v>8.125294412038766</v>
      </c>
      <c r="BX12" s="93">
        <f t="shared" si="0"/>
        <v>8.125294412038766</v>
      </c>
      <c r="BY12" s="93"/>
      <c r="BZ12" s="93">
        <f t="shared" ref="BZ12:CB13" si="1">$EI$5/BZ10</f>
        <v>7.6731794899539585</v>
      </c>
      <c r="CA12" s="93">
        <f t="shared" si="1"/>
        <v>7.2192983858886546</v>
      </c>
      <c r="CB12" s="93">
        <f t="shared" si="1"/>
        <v>7.2192983858886555</v>
      </c>
      <c r="CC12" s="93"/>
      <c r="CD12" s="93">
        <f t="shared" ref="CD12:CJ13" si="2">$EI$5/CD10</f>
        <v>6.9325654402884878</v>
      </c>
      <c r="CE12" s="93">
        <f t="shared" si="2"/>
        <v>6.6464674248899387</v>
      </c>
      <c r="CF12" s="93">
        <f t="shared" si="2"/>
        <v>6.6464674248899387</v>
      </c>
      <c r="CG12" s="93" t="e">
        <f t="shared" si="2"/>
        <v>#DIV/0!</v>
      </c>
      <c r="CH12" s="93">
        <f t="shared" si="2"/>
        <v>6.012736105867547</v>
      </c>
      <c r="CI12" s="93">
        <f t="shared" si="2"/>
        <v>5.8597523177940767</v>
      </c>
      <c r="CJ12" s="93">
        <f t="shared" si="2"/>
        <v>5.8597523177940767</v>
      </c>
      <c r="CK12" s="93"/>
      <c r="CL12" s="93">
        <f t="shared" ref="CL12:CN13" si="3">$EI$5/CL10</f>
        <v>5.5507836161335922</v>
      </c>
      <c r="CM12" s="93">
        <f t="shared" si="3"/>
        <v>5.3793868132479918</v>
      </c>
      <c r="CN12" s="93">
        <f t="shared" si="3"/>
        <v>5.3793868132479918</v>
      </c>
      <c r="CO12" s="93"/>
      <c r="CP12" s="93">
        <f t="shared" ref="CP12:CR13" si="4">$EI$5/CP10</f>
        <v>5.2655444314041207</v>
      </c>
      <c r="CQ12" s="93">
        <f t="shared" si="4"/>
        <v>5.121761851166303</v>
      </c>
      <c r="CR12" s="93">
        <f t="shared" si="4"/>
        <v>5.121761851166303</v>
      </c>
      <c r="CS12" s="93"/>
      <c r="CT12" s="93">
        <f t="shared" ref="CT12:CV13" si="5">$EI$5/CT10</f>
        <v>5.0104630645320247</v>
      </c>
      <c r="CU12" s="93">
        <f t="shared" si="5"/>
        <v>4.8889473387015441</v>
      </c>
      <c r="CV12" s="93">
        <f t="shared" si="5"/>
        <v>4.8670678882948497</v>
      </c>
      <c r="CW12" s="93"/>
      <c r="CX12" s="93">
        <f t="shared" ref="CX12:CZ13" si="6">$EI$5/CX10</f>
        <v>4.7364305115257288</v>
      </c>
      <c r="CY12" s="93">
        <f t="shared" si="6"/>
        <v>4.6647366746999861</v>
      </c>
      <c r="CZ12" s="93">
        <f t="shared" si="6"/>
        <v>4.6148920821456905</v>
      </c>
      <c r="DA12" s="93"/>
      <c r="DB12" s="93">
        <f t="shared" ref="DB12:DD13" si="7">$EI$5/DB10</f>
        <v>4.4214858128845451</v>
      </c>
      <c r="DC12" s="93">
        <f t="shared" si="7"/>
        <v>4.1878268056911372</v>
      </c>
      <c r="DD12" s="93">
        <f t="shared" si="7"/>
        <v>4.1913277964581805</v>
      </c>
      <c r="DE12" s="93"/>
      <c r="DF12" s="93">
        <f t="shared" ref="DF12:DH13" si="8">$EI$5/DF10</f>
        <v>4.2810647363272922</v>
      </c>
      <c r="DG12" s="93">
        <f t="shared" si="8"/>
        <v>4.375782632956593</v>
      </c>
      <c r="DH12" s="93">
        <f t="shared" si="8"/>
        <v>4.3757826329565939</v>
      </c>
      <c r="DI12" s="93"/>
      <c r="DJ12" s="93">
        <f t="shared" ref="DJ12:DL13" si="9">$EI$5/DJ10</f>
        <v>4.3922599953304688</v>
      </c>
      <c r="DK12" s="93">
        <f t="shared" si="9"/>
        <v>4.4245546857370588</v>
      </c>
      <c r="DL12" s="94">
        <f t="shared" si="9"/>
        <v>4.4245546857370588</v>
      </c>
      <c r="DM12" s="93"/>
      <c r="DN12" s="93">
        <f t="shared" ref="DN12:DP13" si="10">$EI$5/DN10</f>
        <v>4.3468553966235994</v>
      </c>
      <c r="DO12" s="93">
        <f t="shared" si="10"/>
        <v>4.3331951731993641</v>
      </c>
      <c r="DP12" s="94">
        <f t="shared" si="10"/>
        <v>4.3331951731993641</v>
      </c>
      <c r="DQ12" s="93"/>
      <c r="DR12" s="93">
        <f t="shared" ref="DR12:DR13" si="11">$EI$5/DR10</f>
        <v>4.2049210507028647</v>
      </c>
      <c r="DS12" s="93">
        <f>$EI$5/DS10</f>
        <v>4.0138099049775082</v>
      </c>
      <c r="DT12" s="1406">
        <f>$EI$5/DT10</f>
        <v>4.0138099049775082</v>
      </c>
      <c r="DU12" s="93"/>
      <c r="DV12" s="93">
        <f t="shared" ref="DV12:DX13" si="12">$EI$5/DV10</f>
        <v>4.1161697432760826</v>
      </c>
      <c r="DW12" s="93">
        <f t="shared" si="12"/>
        <v>4.0291148903564054</v>
      </c>
      <c r="DX12" s="93">
        <f t="shared" si="12"/>
        <v>4.0291148903564054</v>
      </c>
      <c r="DY12" s="93"/>
      <c r="DZ12" s="93">
        <f t="shared" ref="DZ12:EB13" ca="1" si="13">$EI$5/DZ10</f>
        <v>3.9688613441646186</v>
      </c>
      <c r="EA12" s="93">
        <f t="shared" ca="1" si="13"/>
        <v>3.8945892513640974</v>
      </c>
      <c r="EB12" s="93">
        <f t="shared" ca="1" si="13"/>
        <v>3.8945892513640974</v>
      </c>
      <c r="EC12" s="93"/>
      <c r="ED12" s="93">
        <f t="shared" ref="ED12:EF13" ca="1" si="14">$EI$5/ED10</f>
        <v>3.8409378070251345</v>
      </c>
      <c r="EE12" s="93">
        <f t="shared" ca="1" si="14"/>
        <v>3.763850863604151</v>
      </c>
      <c r="EF12" s="93">
        <f t="shared" ca="1" si="14"/>
        <v>3.763850863604151</v>
      </c>
      <c r="EG12" s="82"/>
      <c r="EH12" s="162"/>
      <c r="EI12" s="1359"/>
      <c r="EJ12" s="95"/>
      <c r="FC12" s="85">
        <f>AH40</f>
        <v>8704</v>
      </c>
      <c r="FF12" s="2" t="s">
        <v>31</v>
      </c>
      <c r="FG12" s="85">
        <f>AL40</f>
        <v>7547.7</v>
      </c>
      <c r="FK12" s="86">
        <f>AP40</f>
        <v>9055.5</v>
      </c>
      <c r="FO12" s="85">
        <f>AT40</f>
        <v>9681.7999999999993</v>
      </c>
      <c r="FS12" s="85">
        <f>AX40</f>
        <v>10179.299999999999</v>
      </c>
      <c r="FW12" s="85">
        <f>BB40</f>
        <v>9898.2999999999993</v>
      </c>
    </row>
    <row r="13" spans="1:179" x14ac:dyDescent="0.2">
      <c r="C13" s="96" t="s">
        <v>32</v>
      </c>
      <c r="D13" s="97">
        <v>1534</v>
      </c>
      <c r="E13" s="97">
        <v>1532</v>
      </c>
      <c r="F13" s="97">
        <v>3066</v>
      </c>
      <c r="G13" s="64"/>
      <c r="H13" s="97">
        <f>MODEL!BH23</f>
        <v>1322</v>
      </c>
      <c r="I13" s="97">
        <f>MODEL!BI23</f>
        <v>1399</v>
      </c>
      <c r="J13" s="97">
        <f>MODEL!BJ23</f>
        <v>2721</v>
      </c>
      <c r="K13" s="97"/>
      <c r="L13" s="97">
        <f>MODEL!BL23</f>
        <v>1470</v>
      </c>
      <c r="M13" s="97">
        <f>MODEL!BM23</f>
        <v>1517</v>
      </c>
      <c r="N13" s="97">
        <f>MODEL!BN23</f>
        <v>2987</v>
      </c>
      <c r="O13" s="97"/>
      <c r="P13" s="97">
        <f>MODEL!BP23</f>
        <v>1466</v>
      </c>
      <c r="Q13" s="97">
        <f>MODEL!BQ23</f>
        <v>1474</v>
      </c>
      <c r="R13" s="97">
        <f>MODEL!BR23</f>
        <v>2940</v>
      </c>
      <c r="S13" s="97"/>
      <c r="T13" s="97">
        <f>MODEL!BT23</f>
        <v>1577</v>
      </c>
      <c r="U13" s="97">
        <f>MODEL!BU23</f>
        <v>1375</v>
      </c>
      <c r="V13" s="97">
        <f>MODEL!BV23</f>
        <v>2952</v>
      </c>
      <c r="W13" s="97"/>
      <c r="X13" s="97">
        <f>MODEL!BX23</f>
        <v>1107</v>
      </c>
      <c r="Y13" s="97">
        <f>MODEL!BY23</f>
        <v>1052</v>
      </c>
      <c r="Z13" s="97">
        <f>MODEL!BZ23</f>
        <v>2159</v>
      </c>
      <c r="AA13" s="97"/>
      <c r="AB13" s="97">
        <f>MODEL!CB23</f>
        <v>686</v>
      </c>
      <c r="AC13" s="97">
        <f>MODEL!CC23</f>
        <v>679</v>
      </c>
      <c r="AD13" s="97">
        <f>MODEL!CD23</f>
        <v>1365</v>
      </c>
      <c r="AE13" s="97"/>
      <c r="AF13" s="97">
        <f>MODEL!CF23</f>
        <v>226</v>
      </c>
      <c r="AG13" s="97">
        <f>MODEL!CG23</f>
        <v>178</v>
      </c>
      <c r="AH13" s="98">
        <f>MODEL!CH23</f>
        <v>404</v>
      </c>
      <c r="AI13" s="97"/>
      <c r="AJ13" s="97">
        <f>MODEL!CJ23</f>
        <v>130</v>
      </c>
      <c r="AK13" s="97">
        <f>MODEL!CK23</f>
        <v>184</v>
      </c>
      <c r="AL13" s="98">
        <f>MODEL!CL23</f>
        <v>314</v>
      </c>
      <c r="AM13" s="97"/>
      <c r="AN13" s="97">
        <f>MODEL!CN23</f>
        <v>171</v>
      </c>
      <c r="AO13" s="97">
        <f>MODEL!CO23</f>
        <v>139</v>
      </c>
      <c r="AP13" s="98">
        <f>MODEL!CP23</f>
        <v>310</v>
      </c>
      <c r="AQ13" s="97"/>
      <c r="AR13" s="97">
        <f>MODEL!CR23</f>
        <v>98</v>
      </c>
      <c r="AS13" s="97">
        <f>MODEL!CS23</f>
        <v>110</v>
      </c>
      <c r="AT13" s="98">
        <f>MODEL!CT23</f>
        <v>208</v>
      </c>
      <c r="AU13" s="97"/>
      <c r="AV13" s="97">
        <f>MODEL!CV23</f>
        <v>28</v>
      </c>
      <c r="AW13" s="97">
        <f>MODEL!CW23</f>
        <v>54</v>
      </c>
      <c r="AX13" s="98">
        <f>MODEL!CX23</f>
        <v>82</v>
      </c>
      <c r="AY13" s="97"/>
      <c r="AZ13" s="97">
        <f>MODEL!CZ23</f>
        <v>55</v>
      </c>
      <c r="BA13" s="97">
        <f>MODEL!DA23</f>
        <v>56</v>
      </c>
      <c r="BB13" s="98">
        <f>MODEL!DB23</f>
        <v>111</v>
      </c>
      <c r="BC13" s="97"/>
      <c r="BD13" s="97">
        <f>MODEL!DD23</f>
        <v>60</v>
      </c>
      <c r="BE13" s="97">
        <f>MODEL!DE23</f>
        <v>62</v>
      </c>
      <c r="BF13" s="1429">
        <f>MODEL!DF23</f>
        <v>122</v>
      </c>
      <c r="BG13" s="97"/>
      <c r="BH13" s="97">
        <f>MODEL!DH23</f>
        <v>67</v>
      </c>
      <c r="BI13" s="97">
        <f>MODEL!DI23</f>
        <v>68.34</v>
      </c>
      <c r="BJ13" s="97">
        <f>MODEL!DJ23</f>
        <v>135.34</v>
      </c>
      <c r="BK13" s="97"/>
      <c r="BL13" s="97">
        <f>MODEL!DL23</f>
        <v>69.706800000000001</v>
      </c>
      <c r="BM13" s="97">
        <f>MODEL!DM23</f>
        <v>71.100936000000004</v>
      </c>
      <c r="BN13" s="99">
        <f>MODEL!DN23</f>
        <v>140.80773600000001</v>
      </c>
      <c r="BO13" s="97"/>
      <c r="BP13" s="97">
        <f>MODEL!DP23</f>
        <v>72.522954720000001</v>
      </c>
      <c r="BQ13" s="97">
        <f>MODEL!DQ23</f>
        <v>73.973413814400004</v>
      </c>
      <c r="BR13" s="99">
        <f>MODEL!DR23</f>
        <v>146.49636853440001</v>
      </c>
      <c r="BS13" s="48"/>
      <c r="BT13" s="100" t="s">
        <v>33</v>
      </c>
      <c r="BU13" s="101"/>
      <c r="BV13" s="101">
        <f t="shared" si="0"/>
        <v>6.5155742627208255</v>
      </c>
      <c r="BW13" s="101">
        <f t="shared" si="0"/>
        <v>6.2031877041410777</v>
      </c>
      <c r="BX13" s="101">
        <f t="shared" si="0"/>
        <v>6.2031877041410777</v>
      </c>
      <c r="BY13" s="101"/>
      <c r="BZ13" s="101">
        <f t="shared" si="1"/>
        <v>5.9988291434124932</v>
      </c>
      <c r="CA13" s="101">
        <f t="shared" si="1"/>
        <v>5.7426237160477944</v>
      </c>
      <c r="CB13" s="101">
        <f t="shared" si="1"/>
        <v>5.7426237160477944</v>
      </c>
      <c r="CC13" s="101"/>
      <c r="CD13" s="101">
        <f t="shared" si="2"/>
        <v>5.5497190434156973</v>
      </c>
      <c r="CE13" s="101">
        <f t="shared" si="2"/>
        <v>5.3595630470030295</v>
      </c>
      <c r="CF13" s="101">
        <f t="shared" si="2"/>
        <v>5.3595630470030295</v>
      </c>
      <c r="CG13" s="101" t="e">
        <f t="shared" si="2"/>
        <v>#DIV/0!</v>
      </c>
      <c r="CH13" s="101">
        <f t="shared" si="2"/>
        <v>4.9772443606924419</v>
      </c>
      <c r="CI13" s="101">
        <f t="shared" si="2"/>
        <v>4.8458610912807014</v>
      </c>
      <c r="CJ13" s="101">
        <f t="shared" si="2"/>
        <v>4.8458610912807014</v>
      </c>
      <c r="CK13" s="101"/>
      <c r="CL13" s="101">
        <f t="shared" si="3"/>
        <v>4.773828085712605</v>
      </c>
      <c r="CM13" s="101">
        <f t="shared" si="3"/>
        <v>4.6474069997014933</v>
      </c>
      <c r="CN13" s="101">
        <f t="shared" si="3"/>
        <v>4.6474069997014924</v>
      </c>
      <c r="CO13" s="101"/>
      <c r="CP13" s="101">
        <f t="shared" si="4"/>
        <v>4.5316874285674205</v>
      </c>
      <c r="CQ13" s="101">
        <f t="shared" si="4"/>
        <v>4.4305053705334743</v>
      </c>
      <c r="CR13" s="101">
        <f t="shared" si="4"/>
        <v>4.4305053705334743</v>
      </c>
      <c r="CS13" s="101"/>
      <c r="CT13" s="101">
        <f t="shared" si="5"/>
        <v>4.4097345420303222</v>
      </c>
      <c r="CU13" s="101">
        <f t="shared" si="5"/>
        <v>4.3103782587836923</v>
      </c>
      <c r="CV13" s="101">
        <f t="shared" si="5"/>
        <v>4.3103782587836923</v>
      </c>
      <c r="CW13" s="101"/>
      <c r="CX13" s="101">
        <f t="shared" si="6"/>
        <v>4.221566352661247</v>
      </c>
      <c r="CY13" s="101">
        <f t="shared" si="6"/>
        <v>4.172797058469965</v>
      </c>
      <c r="CZ13" s="101">
        <f t="shared" si="6"/>
        <v>4.172797058469965</v>
      </c>
      <c r="DA13" s="101"/>
      <c r="DB13" s="101">
        <f t="shared" si="7"/>
        <v>4.0154279821077221</v>
      </c>
      <c r="DC13" s="101">
        <f t="shared" si="7"/>
        <v>3.8216785953984731</v>
      </c>
      <c r="DD13" s="101">
        <f t="shared" si="7"/>
        <v>3.8216785953984731</v>
      </c>
      <c r="DE13" s="101"/>
      <c r="DF13" s="101">
        <f t="shared" si="8"/>
        <v>3.8754823355123365</v>
      </c>
      <c r="DG13" s="101">
        <f t="shared" si="8"/>
        <v>3.9612929869888651</v>
      </c>
      <c r="DH13" s="101">
        <f t="shared" si="8"/>
        <v>3.9612929869888656</v>
      </c>
      <c r="DI13" s="101"/>
      <c r="DJ13" s="101">
        <f t="shared" si="9"/>
        <v>3.9588404570999502</v>
      </c>
      <c r="DK13" s="101">
        <f t="shared" si="9"/>
        <v>3.9678794638733459</v>
      </c>
      <c r="DL13" s="102">
        <f t="shared" si="9"/>
        <v>3.9678794638733459</v>
      </c>
      <c r="DM13" s="101"/>
      <c r="DN13" s="101">
        <f t="shared" si="10"/>
        <v>3.8986459885361233</v>
      </c>
      <c r="DO13" s="101">
        <f t="shared" si="10"/>
        <v>3.8826111742348948</v>
      </c>
      <c r="DP13" s="102">
        <f t="shared" si="10"/>
        <v>3.8826111742348948</v>
      </c>
      <c r="DQ13" s="101"/>
      <c r="DR13" s="101">
        <f t="shared" si="11"/>
        <v>3.7700929717059948</v>
      </c>
      <c r="DS13" s="101">
        <f>$EI$5/DS11</f>
        <v>3.6020142863623437</v>
      </c>
      <c r="DT13" s="1407">
        <f>$EI$5/DT11</f>
        <v>3.6020142863623437</v>
      </c>
      <c r="DU13" s="101"/>
      <c r="DV13" s="101">
        <f t="shared" si="12"/>
        <v>3.6740247232038534</v>
      </c>
      <c r="DW13" s="101">
        <f t="shared" si="12"/>
        <v>3.5952589433363928</v>
      </c>
      <c r="DX13" s="101">
        <f t="shared" si="12"/>
        <v>3.5952589433363928</v>
      </c>
      <c r="DY13" s="101"/>
      <c r="DZ13" s="101">
        <f t="shared" ca="1" si="13"/>
        <v>3.5393797449452342</v>
      </c>
      <c r="EA13" s="101">
        <f t="shared" ca="1" si="13"/>
        <v>3.4732654090512924</v>
      </c>
      <c r="EB13" s="101">
        <f t="shared" ca="1" si="13"/>
        <v>3.4732654090512924</v>
      </c>
      <c r="EC13" s="101"/>
      <c r="ED13" s="101">
        <f t="shared" ca="1" si="14"/>
        <v>3.4262816068812598</v>
      </c>
      <c r="EE13" s="101">
        <f t="shared" ca="1" si="14"/>
        <v>3.3609719801707603</v>
      </c>
      <c r="EF13" s="101">
        <f t="shared" ca="1" si="14"/>
        <v>3.3609719801707603</v>
      </c>
      <c r="EG13" s="93"/>
      <c r="EI13" s="103"/>
      <c r="EJ13" s="104"/>
      <c r="FF13" s="90" t="s">
        <v>28</v>
      </c>
      <c r="FG13" s="91">
        <f>FG12/FC12-1</f>
        <v>-0.13284696691176467</v>
      </c>
      <c r="FH13" s="90"/>
      <c r="FI13" s="90"/>
      <c r="FJ13" s="90"/>
      <c r="FK13" s="92">
        <f>FK12/FG12-1</f>
        <v>0.1997694661949998</v>
      </c>
      <c r="FL13" s="90"/>
      <c r="FM13" s="90"/>
      <c r="FN13" s="90"/>
      <c r="FO13" s="91">
        <f>FO12/FK12-1</f>
        <v>6.9162387499309697E-2</v>
      </c>
      <c r="FP13" s="90"/>
      <c r="FQ13" s="90"/>
      <c r="FR13" s="90"/>
      <c r="FS13" s="91">
        <f>FS12/FO12-1</f>
        <v>5.1385073023611394E-2</v>
      </c>
      <c r="FW13" s="91">
        <f>FW12/FS12-1</f>
        <v>-2.7605041604039537E-2</v>
      </c>
    </row>
    <row r="14" spans="1:179" x14ac:dyDescent="0.2">
      <c r="C14" s="105" t="s">
        <v>34</v>
      </c>
      <c r="D14" s="44">
        <v>10105</v>
      </c>
      <c r="E14" s="44">
        <v>10045</v>
      </c>
      <c r="F14" s="44">
        <v>20150</v>
      </c>
      <c r="G14" s="87"/>
      <c r="H14" s="44">
        <f>MODEL!BH25</f>
        <v>10289</v>
      </c>
      <c r="I14" s="44">
        <f>MODEL!BI25</f>
        <v>10532</v>
      </c>
      <c r="J14" s="44">
        <f>MODEL!BJ25</f>
        <v>20821</v>
      </c>
      <c r="K14" s="44"/>
      <c r="L14" s="44">
        <f>MODEL!BL25</f>
        <v>11148</v>
      </c>
      <c r="M14" s="44">
        <f>MODEL!BM25</f>
        <v>11253</v>
      </c>
      <c r="N14" s="44">
        <f>MODEL!BN25</f>
        <v>22401</v>
      </c>
      <c r="O14" s="44"/>
      <c r="P14" s="44">
        <f>MODEL!BP25</f>
        <v>11723</v>
      </c>
      <c r="Q14" s="44">
        <f>MODEL!BQ25</f>
        <v>11855</v>
      </c>
      <c r="R14" s="44">
        <f>MODEL!BR25</f>
        <v>23578</v>
      </c>
      <c r="S14" s="44"/>
      <c r="T14" s="44">
        <f>MODEL!BT25</f>
        <v>12420</v>
      </c>
      <c r="U14" s="44">
        <f>MODEL!BU25</f>
        <v>12327</v>
      </c>
      <c r="V14" s="44">
        <f>MODEL!BV25</f>
        <v>24747</v>
      </c>
      <c r="W14" s="44"/>
      <c r="X14" s="44">
        <f>MODEL!BX25</f>
        <v>12835</v>
      </c>
      <c r="Y14" s="44">
        <f>MODEL!BY25</f>
        <v>12445</v>
      </c>
      <c r="Z14" s="44">
        <f>MODEL!BZ25</f>
        <v>25280</v>
      </c>
      <c r="AA14" s="44"/>
      <c r="AB14" s="44">
        <f>MODEL!CB25</f>
        <v>12649</v>
      </c>
      <c r="AC14" s="44">
        <f>MODEL!CC25</f>
        <v>12273</v>
      </c>
      <c r="AD14" s="44">
        <f>MODEL!CD25</f>
        <v>24922</v>
      </c>
      <c r="AE14" s="44"/>
      <c r="AF14" s="44">
        <f>MODEL!CF25</f>
        <v>11990</v>
      </c>
      <c r="AG14" s="44">
        <f>MODEL!CG25</f>
        <v>11589</v>
      </c>
      <c r="AH14" s="46">
        <f>MODEL!CH25</f>
        <v>23579</v>
      </c>
      <c r="AI14" s="44"/>
      <c r="AJ14" s="44">
        <f>MODEL!CJ25</f>
        <v>12023</v>
      </c>
      <c r="AK14" s="44">
        <f>MODEL!CK25</f>
        <v>11738</v>
      </c>
      <c r="AL14" s="46">
        <f>MODEL!CL25</f>
        <v>23761</v>
      </c>
      <c r="AM14" s="44"/>
      <c r="AN14" s="44">
        <f>MODEL!CN25</f>
        <v>11961</v>
      </c>
      <c r="AO14" s="44">
        <f>MODEL!CO25</f>
        <v>12195</v>
      </c>
      <c r="AP14" s="46">
        <f>MODEL!CP25</f>
        <v>24156</v>
      </c>
      <c r="AQ14" s="44"/>
      <c r="AR14" s="44">
        <f>MODEL!CR25</f>
        <v>12107</v>
      </c>
      <c r="AS14" s="44">
        <f>MODEL!CS25</f>
        <v>12582</v>
      </c>
      <c r="AT14" s="46">
        <f>MODEL!CT25</f>
        <v>24689</v>
      </c>
      <c r="AU14" s="44"/>
      <c r="AV14" s="44">
        <f>MODEL!CV25</f>
        <v>13623</v>
      </c>
      <c r="AW14" s="44">
        <f>MODEL!CW25</f>
        <v>13512</v>
      </c>
      <c r="AX14" s="46">
        <f>MODEL!CX25</f>
        <v>27135</v>
      </c>
      <c r="AY14" s="44"/>
      <c r="AZ14" s="44">
        <f>MODEL!CZ25</f>
        <v>13649</v>
      </c>
      <c r="BA14" s="44">
        <f>MODEL!DA25</f>
        <v>13525</v>
      </c>
      <c r="BB14" s="46">
        <f>MODEL!DB25</f>
        <v>27174</v>
      </c>
      <c r="BC14" s="44"/>
      <c r="BD14" s="44">
        <f>MODEL!DD25</f>
        <v>14097</v>
      </c>
      <c r="BE14" s="44">
        <f>MODEL!DE25</f>
        <v>14368</v>
      </c>
      <c r="BF14" s="1435">
        <f>MODEL!DF25</f>
        <v>28465</v>
      </c>
      <c r="BG14" s="44"/>
      <c r="BH14" s="44">
        <f>MODEL!DH25</f>
        <v>15021</v>
      </c>
      <c r="BI14" s="44">
        <f>MODEL!DI25</f>
        <v>15221.786412194529</v>
      </c>
      <c r="BJ14" s="44">
        <f>MODEL!DJ25</f>
        <v>30242.786412194531</v>
      </c>
      <c r="BK14" s="44"/>
      <c r="BL14" s="44">
        <f>MODEL!DL25</f>
        <v>15973.425130904467</v>
      </c>
      <c r="BM14" s="44">
        <f>MODEL!DM25</f>
        <v>16037.449253626672</v>
      </c>
      <c r="BN14" s="47">
        <f>MODEL!DN25</f>
        <v>32010.87438453114</v>
      </c>
      <c r="BO14" s="44"/>
      <c r="BP14" s="44">
        <f>MODEL!DP25</f>
        <v>16651.367635972674</v>
      </c>
      <c r="BQ14" s="44">
        <f>MODEL!DQ25</f>
        <v>16727.137294992015</v>
      </c>
      <c r="BR14" s="47">
        <f>MODEL!DR25</f>
        <v>33378.504930964686</v>
      </c>
      <c r="BS14" s="48"/>
      <c r="BT14" s="106" t="s">
        <v>35</v>
      </c>
      <c r="BU14" s="64"/>
      <c r="BV14" s="64">
        <f>MODEL!BH1031</f>
        <v>164</v>
      </c>
      <c r="BW14" s="64">
        <f>MODEL!BI1031</f>
        <v>200</v>
      </c>
      <c r="BX14" s="64">
        <f>MODEL!BJ1031</f>
        <v>364</v>
      </c>
      <c r="BY14" s="64"/>
      <c r="BZ14" s="64">
        <f>MODEL!BL1031</f>
        <v>183</v>
      </c>
      <c r="CA14" s="64">
        <f>MODEL!BM1031</f>
        <v>218</v>
      </c>
      <c r="CB14" s="64">
        <f>MODEL!BN1031</f>
        <v>401</v>
      </c>
      <c r="CC14" s="64"/>
      <c r="CD14" s="64">
        <f>MODEL!BP1031</f>
        <v>198</v>
      </c>
      <c r="CE14" s="64">
        <f>MODEL!BQ1031</f>
        <v>222</v>
      </c>
      <c r="CF14" s="64">
        <f>MODEL!BR1031</f>
        <v>420</v>
      </c>
      <c r="CG14" s="64">
        <f>MODEL!BS1031</f>
        <v>0</v>
      </c>
      <c r="CH14" s="64">
        <f>MODEL!BT1031</f>
        <v>198</v>
      </c>
      <c r="CI14" s="64">
        <f>MODEL!BU1031</f>
        <v>222</v>
      </c>
      <c r="CJ14" s="64">
        <f>MODEL!BV1031</f>
        <v>420</v>
      </c>
      <c r="CK14" s="64"/>
      <c r="CL14" s="64">
        <f>MODEL!BX1031</f>
        <v>199</v>
      </c>
      <c r="CM14" s="64">
        <f>MODEL!BY1031</f>
        <v>230</v>
      </c>
      <c r="CN14" s="64">
        <f>MODEL!BZ1031</f>
        <v>429</v>
      </c>
      <c r="CO14" s="64"/>
      <c r="CP14" s="64">
        <f>MODEL!CB1031</f>
        <v>200</v>
      </c>
      <c r="CQ14" s="64">
        <f>MODEL!CC1031</f>
        <v>231</v>
      </c>
      <c r="CR14" s="64">
        <f>MODEL!CD1031</f>
        <v>431</v>
      </c>
      <c r="CS14" s="64"/>
      <c r="CT14" s="64">
        <f>MODEL!CF1031</f>
        <v>200</v>
      </c>
      <c r="CU14" s="64">
        <f>MODEL!CG1031</f>
        <v>231</v>
      </c>
      <c r="CV14" s="64">
        <f>MODEL!CH1031</f>
        <v>431</v>
      </c>
      <c r="CW14" s="64"/>
      <c r="CX14" s="64">
        <f>MODEL!CJ1031</f>
        <v>200</v>
      </c>
      <c r="CY14" s="64">
        <f>MODEL!CK1031</f>
        <v>98</v>
      </c>
      <c r="CZ14" s="64">
        <f>MODEL!CL1031</f>
        <v>298</v>
      </c>
      <c r="DA14" s="64"/>
      <c r="DB14" s="64">
        <f>MODEL!CN1031</f>
        <v>150</v>
      </c>
      <c r="DC14" s="64">
        <f>MODEL!CO1031</f>
        <v>200</v>
      </c>
      <c r="DD14" s="64">
        <f>MODEL!CP1031</f>
        <v>350</v>
      </c>
      <c r="DE14" s="64"/>
      <c r="DF14" s="64">
        <f>MODEL!CR1031</f>
        <v>175</v>
      </c>
      <c r="DG14" s="64">
        <f>MODEL!CS1031</f>
        <v>210</v>
      </c>
      <c r="DH14" s="64">
        <f>MODEL!CT1031</f>
        <v>385</v>
      </c>
      <c r="DI14" s="64"/>
      <c r="DJ14" s="64">
        <f>MODEL!CV1031</f>
        <v>210</v>
      </c>
      <c r="DK14" s="64">
        <f>MODEL!CW1031</f>
        <v>240</v>
      </c>
      <c r="DL14" s="65">
        <f>MODEL!CX1031</f>
        <v>450</v>
      </c>
      <c r="DM14" s="64"/>
      <c r="DN14" s="64">
        <f>MODEL!CZ1031</f>
        <v>215</v>
      </c>
      <c r="DO14" s="64">
        <f>MODEL!DA1031</f>
        <v>250</v>
      </c>
      <c r="DP14" s="65">
        <f>MODEL!DB1031</f>
        <v>465</v>
      </c>
      <c r="DQ14" s="64"/>
      <c r="DR14" s="64">
        <f>MODEL!DD1031</f>
        <v>225</v>
      </c>
      <c r="DS14" s="64">
        <f>MODEL!DE1031</f>
        <v>260</v>
      </c>
      <c r="DT14" s="1408">
        <f>MODEL!DF1031</f>
        <v>485</v>
      </c>
      <c r="DU14" s="64"/>
      <c r="DV14" s="64">
        <f>MODEL!DH1031</f>
        <v>235</v>
      </c>
      <c r="DW14" s="64">
        <f>MODEL!DI1031</f>
        <v>280</v>
      </c>
      <c r="DX14" s="64">
        <f>MODEL!DJ1031</f>
        <v>515</v>
      </c>
      <c r="DY14" s="64"/>
      <c r="DZ14" s="64">
        <f ca="1">MODEL!DL1031</f>
        <v>260</v>
      </c>
      <c r="EA14" s="64">
        <f ca="1">MODEL!DM1031</f>
        <v>300</v>
      </c>
      <c r="EB14" s="64">
        <f ca="1">MODEL!DN1031</f>
        <v>560</v>
      </c>
      <c r="EC14" s="64"/>
      <c r="ED14" s="64">
        <f ca="1">MODEL!DP1031</f>
        <v>270</v>
      </c>
      <c r="EE14" s="64">
        <f ca="1">MODEL!DQ1031</f>
        <v>315</v>
      </c>
      <c r="EF14" s="64">
        <f ca="1">MODEL!DR1031</f>
        <v>585</v>
      </c>
      <c r="EG14" s="64"/>
      <c r="EH14" s="162"/>
      <c r="EI14" s="1359"/>
      <c r="FC14" s="85"/>
      <c r="FF14" s="17"/>
      <c r="FG14" s="108"/>
      <c r="FH14" s="17"/>
      <c r="FI14" s="17"/>
      <c r="FJ14" s="17"/>
      <c r="FK14" s="109"/>
      <c r="FL14" s="17"/>
      <c r="FM14" s="17"/>
      <c r="FN14" s="17"/>
      <c r="FO14" s="108"/>
      <c r="FP14" s="17"/>
      <c r="FQ14" s="17"/>
      <c r="FR14" s="17"/>
      <c r="FS14" s="108"/>
      <c r="FW14" s="108"/>
    </row>
    <row r="15" spans="1:179" x14ac:dyDescent="0.2">
      <c r="C15" s="53" t="s">
        <v>36</v>
      </c>
      <c r="D15" s="44">
        <v>-4602</v>
      </c>
      <c r="E15" s="44">
        <v>-4594</v>
      </c>
      <c r="F15" s="44">
        <v>-9196</v>
      </c>
      <c r="G15" s="110"/>
      <c r="H15" s="44">
        <f>MODEL!BH30</f>
        <v>-4467</v>
      </c>
      <c r="I15" s="44">
        <f>MODEL!BI30</f>
        <v>-4543</v>
      </c>
      <c r="J15" s="44">
        <f>MODEL!BJ30</f>
        <v>-9010</v>
      </c>
      <c r="K15" s="44"/>
      <c r="L15" s="44">
        <f>MODEL!BL30</f>
        <v>-4751</v>
      </c>
      <c r="M15" s="44">
        <f>MODEL!BM30</f>
        <v>-4748</v>
      </c>
      <c r="N15" s="44">
        <f>MODEL!BN30</f>
        <v>-9499</v>
      </c>
      <c r="O15" s="44"/>
      <c r="P15" s="44">
        <f>MODEL!BP30</f>
        <v>-4914</v>
      </c>
      <c r="Q15" s="44">
        <f>MODEL!BQ30</f>
        <v>-5079</v>
      </c>
      <c r="R15" s="44">
        <f>MODEL!BR30</f>
        <v>-9993</v>
      </c>
      <c r="S15" s="44"/>
      <c r="T15" s="44">
        <f>MODEL!BT30</f>
        <v>-5210</v>
      </c>
      <c r="U15" s="44">
        <f>MODEL!BU30</f>
        <v>-5224</v>
      </c>
      <c r="V15" s="44">
        <f>MODEL!BV30</f>
        <v>-10434</v>
      </c>
      <c r="W15" s="44"/>
      <c r="X15" s="44">
        <f>MODEL!BX30</f>
        <v>-5474</v>
      </c>
      <c r="Y15" s="44">
        <f>MODEL!BY30</f>
        <v>-5148</v>
      </c>
      <c r="Z15" s="44">
        <f>MODEL!BZ30</f>
        <v>-10622</v>
      </c>
      <c r="AA15" s="44"/>
      <c r="AB15" s="44">
        <f>MODEL!CB30</f>
        <v>-5456</v>
      </c>
      <c r="AC15" s="44">
        <f>MODEL!CC30</f>
        <v>-5539</v>
      </c>
      <c r="AD15" s="44">
        <f>MODEL!CD30</f>
        <v>-10995</v>
      </c>
      <c r="AE15" s="44"/>
      <c r="AF15" s="44">
        <f>MODEL!CF30</f>
        <v>-5066</v>
      </c>
      <c r="AG15" s="44">
        <f>MODEL!CG30</f>
        <v>-5758</v>
      </c>
      <c r="AH15" s="46">
        <f>MODEL!CH30</f>
        <v>-10824</v>
      </c>
      <c r="AI15" s="44"/>
      <c r="AJ15" s="44">
        <f>MODEL!CJ30</f>
        <v>-5257</v>
      </c>
      <c r="AK15" s="44">
        <f>MODEL!CK30</f>
        <v>-5739</v>
      </c>
      <c r="AL15" s="46">
        <f>MODEL!CL30</f>
        <v>-10996</v>
      </c>
      <c r="AM15" s="44"/>
      <c r="AN15" s="44">
        <f>MODEL!CN30</f>
        <v>-5591</v>
      </c>
      <c r="AO15" s="44">
        <f>MODEL!CO30</f>
        <v>-5768</v>
      </c>
      <c r="AP15" s="46">
        <f>MODEL!CP30</f>
        <v>-11359</v>
      </c>
      <c r="AQ15" s="44"/>
      <c r="AR15" s="44">
        <f>MODEL!CR30</f>
        <v>-5490</v>
      </c>
      <c r="AS15" s="44">
        <f>MODEL!CS30</f>
        <v>-5938</v>
      </c>
      <c r="AT15" s="46">
        <f>MODEL!CT30</f>
        <v>-11428</v>
      </c>
      <c r="AU15" s="44"/>
      <c r="AV15" s="44">
        <f>MODEL!CV30</f>
        <v>-5773</v>
      </c>
      <c r="AW15" s="44">
        <f>MODEL!CW30</f>
        <v>-6085</v>
      </c>
      <c r="AX15" s="46">
        <f>MODEL!CX30</f>
        <v>-11858</v>
      </c>
      <c r="AY15" s="44"/>
      <c r="AZ15" s="44">
        <f>MODEL!CZ30</f>
        <v>-6011</v>
      </c>
      <c r="BA15" s="44">
        <f>MODEL!DA30</f>
        <v>-6207</v>
      </c>
      <c r="BB15" s="46">
        <f>MODEL!DB30</f>
        <v>-12218</v>
      </c>
      <c r="BC15" s="44"/>
      <c r="BD15" s="44">
        <f>MODEL!DD30</f>
        <v>-6372</v>
      </c>
      <c r="BE15" s="44">
        <f>MODEL!DE30</f>
        <v>-6624</v>
      </c>
      <c r="BF15" s="1435">
        <f>MODEL!DF30</f>
        <v>-12996</v>
      </c>
      <c r="BG15" s="44"/>
      <c r="BH15" s="44">
        <f>MODEL!DH30</f>
        <v>-6890</v>
      </c>
      <c r="BI15" s="44">
        <f>MODEL!DI30</f>
        <v>-6790.2006014272984</v>
      </c>
      <c r="BJ15" s="44">
        <f>MODEL!DJ30</f>
        <v>-13680.200601427299</v>
      </c>
      <c r="BK15" s="44"/>
      <c r="BL15" s="44">
        <f>MODEL!DL30</f>
        <v>-7001.0985366253462</v>
      </c>
      <c r="BM15" s="44">
        <f>MODEL!DM30</f>
        <v>-7072.4476853043052</v>
      </c>
      <c r="BN15" s="47">
        <f>MODEL!DN30</f>
        <v>-14073.546221929651</v>
      </c>
      <c r="BO15" s="44"/>
      <c r="BP15" s="44">
        <f>MODEL!DP30</f>
        <v>-7290.0077743019428</v>
      </c>
      <c r="BQ15" s="44">
        <f>MODEL!DQ30</f>
        <v>-7382.2091061050687</v>
      </c>
      <c r="BR15" s="47">
        <f>MODEL!DR30</f>
        <v>-14672.21688040701</v>
      </c>
      <c r="BS15" s="48"/>
      <c r="BT15" s="106" t="s">
        <v>37</v>
      </c>
      <c r="BU15" s="64"/>
      <c r="BV15" s="64">
        <f>MODEL!BH1047*100</f>
        <v>100</v>
      </c>
      <c r="BW15" s="64">
        <f>MODEL!BI1047*100</f>
        <v>100</v>
      </c>
      <c r="BX15" s="64">
        <f>MODEL!BJ1047*100</f>
        <v>100</v>
      </c>
      <c r="BY15" s="64"/>
      <c r="BZ15" s="64">
        <f>MODEL!BL1047*100</f>
        <v>100</v>
      </c>
      <c r="CA15" s="64">
        <f>MODEL!BM1047*100</f>
        <v>100</v>
      </c>
      <c r="CB15" s="64">
        <f>MODEL!BN1047*100</f>
        <v>100</v>
      </c>
      <c r="CC15" s="64"/>
      <c r="CD15" s="64">
        <f>MODEL!BP1047*100</f>
        <v>100</v>
      </c>
      <c r="CE15" s="64">
        <f>MODEL!BQ1047*100</f>
        <v>100</v>
      </c>
      <c r="CF15" s="64">
        <f>MODEL!BR1047*100</f>
        <v>100</v>
      </c>
      <c r="CG15" s="64">
        <f>MODEL!BS1047*100</f>
        <v>0</v>
      </c>
      <c r="CH15" s="64">
        <f>MODEL!BT1047*100</f>
        <v>100</v>
      </c>
      <c r="CI15" s="64">
        <f>MODEL!BU1047*100</f>
        <v>100</v>
      </c>
      <c r="CJ15" s="64">
        <f>MODEL!BV1047*100</f>
        <v>100</v>
      </c>
      <c r="CK15" s="64"/>
      <c r="CL15" s="64">
        <f>MODEL!BX1047*100</f>
        <v>100</v>
      </c>
      <c r="CM15" s="64">
        <f>MODEL!BY1047*100</f>
        <v>100</v>
      </c>
      <c r="CN15" s="64">
        <f>MODEL!BZ1047*100</f>
        <v>100</v>
      </c>
      <c r="CO15" s="64"/>
      <c r="CP15" s="64">
        <f>MODEL!CB1047*100</f>
        <v>100</v>
      </c>
      <c r="CQ15" s="64">
        <f>MODEL!CC1047*100</f>
        <v>100</v>
      </c>
      <c r="CR15" s="64">
        <f>MODEL!CD1047*100</f>
        <v>100</v>
      </c>
      <c r="CS15" s="64"/>
      <c r="CT15" s="64">
        <f>MODEL!CF1047*100</f>
        <v>100</v>
      </c>
      <c r="CU15" s="64">
        <f>MODEL!CG1047*100</f>
        <v>100</v>
      </c>
      <c r="CV15" s="64">
        <f>MODEL!CH1047*100</f>
        <v>100</v>
      </c>
      <c r="CW15" s="64"/>
      <c r="CX15" s="64">
        <f>MODEL!CJ1047*100</f>
        <v>100</v>
      </c>
      <c r="CY15" s="64">
        <f>MODEL!CK1047*100</f>
        <v>100</v>
      </c>
      <c r="CZ15" s="64">
        <f>MODEL!CL1047*100</f>
        <v>100</v>
      </c>
      <c r="DA15" s="64"/>
      <c r="DB15" s="64">
        <f>MODEL!CN1047*100</f>
        <v>100</v>
      </c>
      <c r="DC15" s="64">
        <f>MODEL!CO1047*100</f>
        <v>100</v>
      </c>
      <c r="DD15" s="64">
        <f>MODEL!CP1047*100</f>
        <v>100</v>
      </c>
      <c r="DE15" s="64"/>
      <c r="DF15" s="64">
        <f>MODEL!CR1047*100</f>
        <v>100</v>
      </c>
      <c r="DG15" s="64">
        <f>MODEL!CS1047*100</f>
        <v>100</v>
      </c>
      <c r="DH15" s="64">
        <f>MODEL!CT1047*100</f>
        <v>100</v>
      </c>
      <c r="DI15" s="64"/>
      <c r="DJ15" s="64">
        <f>MODEL!CV1047*100</f>
        <v>100</v>
      </c>
      <c r="DK15" s="64">
        <f>MODEL!CW1047*100</f>
        <v>100</v>
      </c>
      <c r="DL15" s="65">
        <f>MODEL!CX1047*100</f>
        <v>100</v>
      </c>
      <c r="DM15" s="64"/>
      <c r="DN15" s="64">
        <f>MODEL!CZ1047*100</f>
        <v>100</v>
      </c>
      <c r="DO15" s="64">
        <f>MODEL!DA1047*100</f>
        <v>100</v>
      </c>
      <c r="DP15" s="65">
        <f>MODEL!DB1047*100</f>
        <v>100</v>
      </c>
      <c r="DQ15" s="64"/>
      <c r="DR15" s="64">
        <f>MODEL!DD1047*100</f>
        <v>100</v>
      </c>
      <c r="DS15" s="64">
        <f>MODEL!DE1047*100</f>
        <v>100</v>
      </c>
      <c r="DT15" s="1408">
        <f>MODEL!DF1047*100</f>
        <v>100</v>
      </c>
      <c r="DU15" s="64"/>
      <c r="DV15" s="64">
        <f>MODEL!DH1047*100</f>
        <v>100</v>
      </c>
      <c r="DW15" s="64">
        <f>MODEL!DI1047*100</f>
        <v>100</v>
      </c>
      <c r="DX15" s="64">
        <f>MODEL!DJ1047*100</f>
        <v>100</v>
      </c>
      <c r="DY15" s="64"/>
      <c r="DZ15" s="64">
        <f>MODEL!DL1047*100</f>
        <v>100</v>
      </c>
      <c r="EA15" s="64">
        <f>MODEL!DM1047*100</f>
        <v>100</v>
      </c>
      <c r="EB15" s="64">
        <f ca="1">MODEL!DN1047*100</f>
        <v>100</v>
      </c>
      <c r="EC15" s="64"/>
      <c r="ED15" s="64">
        <f>MODEL!DP1047*100</f>
        <v>100</v>
      </c>
      <c r="EE15" s="64">
        <f>MODEL!DQ1047*100</f>
        <v>100</v>
      </c>
      <c r="EF15" s="64">
        <f ca="1">MODEL!DR1047*100</f>
        <v>100</v>
      </c>
      <c r="EG15" s="64"/>
      <c r="EH15" s="1359"/>
      <c r="EI15" s="1359"/>
      <c r="FC15" s="111">
        <f>AH31</f>
        <v>492.9784824462061</v>
      </c>
      <c r="FF15" s="2" t="s">
        <v>38</v>
      </c>
      <c r="FG15" s="111">
        <f>AL31</f>
        <v>418.71113623516106</v>
      </c>
      <c r="FK15" s="112">
        <f>AP31</f>
        <v>496.95087521174474</v>
      </c>
      <c r="FO15" s="111">
        <f>AT31</f>
        <v>563.76306620209061</v>
      </c>
      <c r="FS15" s="111">
        <f>AX31</f>
        <v>597.04142011834313</v>
      </c>
      <c r="FW15" s="111">
        <f>BB31</f>
        <v>588.58338314405262</v>
      </c>
    </row>
    <row r="16" spans="1:179" x14ac:dyDescent="0.2">
      <c r="C16" s="105" t="s">
        <v>39</v>
      </c>
      <c r="D16" s="44">
        <v>5503</v>
      </c>
      <c r="E16" s="44">
        <v>5451</v>
      </c>
      <c r="F16" s="44">
        <v>10954</v>
      </c>
      <c r="G16" s="110"/>
      <c r="H16" s="44">
        <f>MODEL!BH31</f>
        <v>5822</v>
      </c>
      <c r="I16" s="44">
        <f>MODEL!BI31</f>
        <v>5989</v>
      </c>
      <c r="J16" s="44">
        <f>MODEL!BJ31</f>
        <v>11811</v>
      </c>
      <c r="K16" s="44"/>
      <c r="L16" s="44">
        <f>MODEL!BL31</f>
        <v>6397</v>
      </c>
      <c r="M16" s="44">
        <f>MODEL!BM31</f>
        <v>6505</v>
      </c>
      <c r="N16" s="44">
        <f>MODEL!BN31</f>
        <v>12902</v>
      </c>
      <c r="O16" s="44"/>
      <c r="P16" s="44">
        <f>MODEL!BP31</f>
        <v>6809</v>
      </c>
      <c r="Q16" s="44">
        <f>MODEL!BQ31</f>
        <v>6776</v>
      </c>
      <c r="R16" s="44">
        <f>MODEL!BR31</f>
        <v>13585</v>
      </c>
      <c r="S16" s="44"/>
      <c r="T16" s="44">
        <f>MODEL!BT31</f>
        <v>7210</v>
      </c>
      <c r="U16" s="44">
        <f>MODEL!BU31</f>
        <v>7103</v>
      </c>
      <c r="V16" s="44">
        <f>MODEL!BV31</f>
        <v>14313</v>
      </c>
      <c r="W16" s="44"/>
      <c r="X16" s="44">
        <f>MODEL!BX31</f>
        <v>7361</v>
      </c>
      <c r="Y16" s="44">
        <f>MODEL!BY31</f>
        <v>7297</v>
      </c>
      <c r="Z16" s="44">
        <f>MODEL!BZ31</f>
        <v>14658</v>
      </c>
      <c r="AA16" s="44"/>
      <c r="AB16" s="44">
        <f>MODEL!CB31</f>
        <v>7193</v>
      </c>
      <c r="AC16" s="44">
        <f>MODEL!CC31</f>
        <v>6734</v>
      </c>
      <c r="AD16" s="44">
        <f>MODEL!CD31</f>
        <v>13927</v>
      </c>
      <c r="AE16" s="44"/>
      <c r="AF16" s="44">
        <f>MODEL!CF31</f>
        <v>6924</v>
      </c>
      <c r="AG16" s="44">
        <f>MODEL!CG31</f>
        <v>5831</v>
      </c>
      <c r="AH16" s="46">
        <f>MODEL!CH31</f>
        <v>12755</v>
      </c>
      <c r="AI16" s="44"/>
      <c r="AJ16" s="44">
        <f>MODEL!CJ31</f>
        <v>6766</v>
      </c>
      <c r="AK16" s="44">
        <f>MODEL!CK31</f>
        <v>5999</v>
      </c>
      <c r="AL16" s="46">
        <f>MODEL!CL31</f>
        <v>12765</v>
      </c>
      <c r="AM16" s="44"/>
      <c r="AN16" s="44">
        <f>MODEL!CN31</f>
        <v>6370</v>
      </c>
      <c r="AO16" s="44">
        <f>MODEL!CO31</f>
        <v>6427</v>
      </c>
      <c r="AP16" s="46">
        <f>MODEL!CP31</f>
        <v>12797</v>
      </c>
      <c r="AQ16" s="44"/>
      <c r="AR16" s="44">
        <f>MODEL!CR31</f>
        <v>6617</v>
      </c>
      <c r="AS16" s="44">
        <f>MODEL!CS31</f>
        <v>6644</v>
      </c>
      <c r="AT16" s="46">
        <f>MODEL!CT31</f>
        <v>13261</v>
      </c>
      <c r="AU16" s="44"/>
      <c r="AV16" s="44">
        <f>MODEL!CV31</f>
        <v>7850</v>
      </c>
      <c r="AW16" s="44">
        <f>MODEL!CW31</f>
        <v>7427</v>
      </c>
      <c r="AX16" s="46">
        <f>MODEL!CX31</f>
        <v>15277</v>
      </c>
      <c r="AY16" s="44"/>
      <c r="AZ16" s="44">
        <f>MODEL!CZ31</f>
        <v>7638</v>
      </c>
      <c r="BA16" s="44">
        <f>MODEL!DA31</f>
        <v>7318</v>
      </c>
      <c r="BB16" s="46">
        <f>MODEL!DB31</f>
        <v>14956</v>
      </c>
      <c r="BC16" s="44"/>
      <c r="BD16" s="44">
        <f>MODEL!DD31</f>
        <v>7725</v>
      </c>
      <c r="BE16" s="44">
        <f>MODEL!DE31</f>
        <v>7744</v>
      </c>
      <c r="BF16" s="1435">
        <f>MODEL!DF31</f>
        <v>15469</v>
      </c>
      <c r="BG16" s="44"/>
      <c r="BH16" s="44">
        <f>MODEL!DH31</f>
        <v>8131</v>
      </c>
      <c r="BI16" s="44">
        <f>MODEL!DI31</f>
        <v>8431.585810767232</v>
      </c>
      <c r="BJ16" s="44">
        <f>MODEL!DJ31</f>
        <v>16562.585810767232</v>
      </c>
      <c r="BK16" s="44"/>
      <c r="BL16" s="44">
        <f>MODEL!DL31</f>
        <v>8972.3265942791204</v>
      </c>
      <c r="BM16" s="44">
        <f>MODEL!DM31</f>
        <v>8965.0015683223664</v>
      </c>
      <c r="BN16" s="47">
        <f>MODEL!DN31</f>
        <v>17937.328162601487</v>
      </c>
      <c r="BO16" s="44"/>
      <c r="BP16" s="44">
        <f>MODEL!DP31</f>
        <v>9361.3598616707313</v>
      </c>
      <c r="BQ16" s="44">
        <f>MODEL!DQ31</f>
        <v>9344.9281888869464</v>
      </c>
      <c r="BR16" s="47">
        <f>MODEL!DR31</f>
        <v>18706.288050557676</v>
      </c>
      <c r="BS16" s="48"/>
      <c r="BT16" s="113" t="s">
        <v>40</v>
      </c>
      <c r="BU16" s="114"/>
      <c r="BV16" s="114">
        <f>MODEL!BH1041*100</f>
        <v>70.752187110991954</v>
      </c>
      <c r="BW16" s="114">
        <f>MODEL!BI1041*100</f>
        <v>80.798437894736836</v>
      </c>
      <c r="BX16" s="114">
        <f>MODEL!BJ1041*100</f>
        <v>75.944485119689105</v>
      </c>
      <c r="BY16" s="114"/>
      <c r="BZ16" s="114">
        <f>MODEL!BL1041*100</f>
        <v>69.489511657950516</v>
      </c>
      <c r="CA16" s="114">
        <f>MODEL!BM1041*100</f>
        <v>80.511978198633244</v>
      </c>
      <c r="CB16" s="114">
        <f>MODEL!BN1041*100</f>
        <v>75.09329024667052</v>
      </c>
      <c r="CC16" s="114"/>
      <c r="CD16" s="114">
        <f>MODEL!BP1041*100</f>
        <v>69.863155693579984</v>
      </c>
      <c r="CE16" s="114">
        <f>MODEL!BQ1041*100</f>
        <v>80.473403627171493</v>
      </c>
      <c r="CF16" s="114">
        <f>MODEL!BR1041*100</f>
        <v>75.106965624435901</v>
      </c>
      <c r="CG16" s="114">
        <f>MODEL!BS1041*100</f>
        <v>0</v>
      </c>
      <c r="CH16" s="114">
        <f>MODEL!BT1041*100</f>
        <v>70.790170304020123</v>
      </c>
      <c r="CI16" s="114">
        <f>MODEL!BU1041*100</f>
        <v>82.433765597315428</v>
      </c>
      <c r="CJ16" s="114">
        <f>MODEL!BV1041*100</f>
        <v>76.51467979414582</v>
      </c>
      <c r="CK16" s="114"/>
      <c r="CL16" s="114">
        <f>MODEL!BX1041*100</f>
        <v>69.88231573079274</v>
      </c>
      <c r="CM16" s="114">
        <f>MODEL!BY1041*100</f>
        <v>79.98988279654202</v>
      </c>
      <c r="CN16" s="114">
        <f>MODEL!BZ1041*100</f>
        <v>74.970367404210108</v>
      </c>
      <c r="CO16" s="114"/>
      <c r="CP16" s="114">
        <f>MODEL!CB1041*100</f>
        <v>71.965846766577698</v>
      </c>
      <c r="CQ16" s="114">
        <f>MODEL!CC1041*100</f>
        <v>89.522950193789924</v>
      </c>
      <c r="CR16" s="114">
        <f>MODEL!CD1041*100</f>
        <v>80.436608205482358</v>
      </c>
      <c r="CS16" s="114"/>
      <c r="CT16" s="114">
        <f>MODEL!CF1041*100</f>
        <v>73.591332654333812</v>
      </c>
      <c r="CU16" s="114">
        <f>MODEL!CG1041*100</f>
        <v>104.98724675661104</v>
      </c>
      <c r="CV16" s="114">
        <f>MODEL!CH1041*100</f>
        <v>87.637632381920511</v>
      </c>
      <c r="CW16" s="114"/>
      <c r="CX16" s="114">
        <f>MODEL!CJ1041*100</f>
        <v>79.16992428443649</v>
      </c>
      <c r="CY16" s="114">
        <f>MODEL!CK1041*100</f>
        <v>59.108508240545142</v>
      </c>
      <c r="CZ16" s="114">
        <f>MODEL!CL1041*100</f>
        <v>71.220652502497643</v>
      </c>
      <c r="DA16" s="114"/>
      <c r="DB16" s="114">
        <f>MODEL!CN1041*100</f>
        <v>67.082042223342569</v>
      </c>
      <c r="DC16" s="114">
        <f>MODEL!CO1041*100</f>
        <v>73.400761688043033</v>
      </c>
      <c r="DD16" s="114">
        <f>MODEL!CP1041*100</f>
        <v>70.552635325531199</v>
      </c>
      <c r="DE16" s="114"/>
      <c r="DF16" s="114">
        <f>MODEL!CR1041*100</f>
        <v>61.621653017952951</v>
      </c>
      <c r="DG16" s="114">
        <f>MODEL!CS1041*100</f>
        <v>73.493020415466887</v>
      </c>
      <c r="DH16" s="114">
        <f>MODEL!CT1041*100</f>
        <v>67.567119466934486</v>
      </c>
      <c r="DI16" s="114"/>
      <c r="DJ16" s="114">
        <f>MODEL!CV1041*100</f>
        <v>68.317336317919072</v>
      </c>
      <c r="DK16" s="114">
        <f>MODEL!CW1041*100</f>
        <v>82.098089240816321</v>
      </c>
      <c r="DL16" s="115">
        <f>MODEL!CX1041*100</f>
        <v>75.009674209117932</v>
      </c>
      <c r="DM16" s="114"/>
      <c r="DN16" s="114">
        <f>MODEL!CZ1041*100</f>
        <v>71.651774290547266</v>
      </c>
      <c r="DO16" s="114">
        <f>MODEL!DA1041*100</f>
        <v>86.767957175445872</v>
      </c>
      <c r="DP16" s="115">
        <f>MODEL!DB1041*100</f>
        <v>79.054052534782173</v>
      </c>
      <c r="DQ16" s="114"/>
      <c r="DR16" s="114">
        <f>MODEL!DD1041*100</f>
        <v>73.354574430157811</v>
      </c>
      <c r="DS16" s="114">
        <f>MODEL!DE1041*100</f>
        <v>84.980510367187506</v>
      </c>
      <c r="DT16" s="1409">
        <f>MODEL!DF1041*100</f>
        <v>79.160172011118703</v>
      </c>
      <c r="DU16" s="114"/>
      <c r="DV16" s="114">
        <f>MODEL!DH1041*100</f>
        <v>72.224729867768588</v>
      </c>
      <c r="DW16" s="114">
        <f>MODEL!DI1041*100</f>
        <v>83.2</v>
      </c>
      <c r="DX16" s="114">
        <f>MODEL!DJ1041*100</f>
        <v>77.801425739378445</v>
      </c>
      <c r="DY16" s="114"/>
      <c r="DZ16" s="114">
        <f>MODEL!DL1041*100</f>
        <v>73.400000000000006</v>
      </c>
      <c r="EA16" s="114">
        <f>MODEL!DM1041*100</f>
        <v>85.399999999999991</v>
      </c>
      <c r="EB16" s="114">
        <f>MODEL!DN1041*100</f>
        <v>79.374479327728793</v>
      </c>
      <c r="EC16" s="114"/>
      <c r="ED16" s="114">
        <f>MODEL!DP1041*100</f>
        <v>73.5</v>
      </c>
      <c r="EE16" s="114">
        <f>MODEL!DQ1041*100</f>
        <v>86.199999999999989</v>
      </c>
      <c r="EF16" s="114">
        <f>MODEL!DR1041*100</f>
        <v>79.841037402632935</v>
      </c>
      <c r="EG16" s="162"/>
      <c r="EH16" s="162"/>
      <c r="EI16" s="1359"/>
      <c r="FC16" s="111">
        <f>AH33</f>
        <v>431</v>
      </c>
      <c r="FF16" s="2" t="s">
        <v>41</v>
      </c>
      <c r="FG16" s="111">
        <f>AL33</f>
        <v>298</v>
      </c>
      <c r="FK16" s="112">
        <f>AP33</f>
        <v>350</v>
      </c>
      <c r="FO16" s="111">
        <f>AT33</f>
        <v>385</v>
      </c>
      <c r="FS16" s="111">
        <f>AX33</f>
        <v>450</v>
      </c>
      <c r="FW16" s="111">
        <f>BB33</f>
        <v>465</v>
      </c>
    </row>
    <row r="17" spans="1:179" x14ac:dyDescent="0.2">
      <c r="C17" s="4" t="s">
        <v>42</v>
      </c>
      <c r="D17" s="64">
        <v>-545</v>
      </c>
      <c r="E17" s="64">
        <v>-544</v>
      </c>
      <c r="F17" s="64">
        <v>-1089</v>
      </c>
      <c r="G17" s="64"/>
      <c r="H17" s="64">
        <f>MODEL!BH32</f>
        <v>-616</v>
      </c>
      <c r="I17" s="64">
        <f>MODEL!BI32</f>
        <v>-466</v>
      </c>
      <c r="J17" s="64">
        <f>MODEL!BJ32</f>
        <v>-1082</v>
      </c>
      <c r="K17" s="64"/>
      <c r="L17" s="64">
        <f>MODEL!BL32</f>
        <v>-457</v>
      </c>
      <c r="M17" s="64">
        <f>MODEL!BM32</f>
        <v>-496</v>
      </c>
      <c r="N17" s="64">
        <f>MODEL!BN32</f>
        <v>-953</v>
      </c>
      <c r="O17" s="64"/>
      <c r="P17" s="64">
        <f>MODEL!BP32</f>
        <v>-440</v>
      </c>
      <c r="Q17" s="64">
        <f>MODEL!BQ32</f>
        <v>-548</v>
      </c>
      <c r="R17" s="64">
        <f>MODEL!BR32</f>
        <v>-988</v>
      </c>
      <c r="S17" s="64"/>
      <c r="T17" s="64">
        <f>MODEL!BT32</f>
        <v>-564</v>
      </c>
      <c r="U17" s="64">
        <f>MODEL!BU32</f>
        <v>-692</v>
      </c>
      <c r="V17" s="64">
        <f>MODEL!BV32</f>
        <v>-1256</v>
      </c>
      <c r="W17" s="64"/>
      <c r="X17" s="64">
        <f>MODEL!BX32</f>
        <v>-599</v>
      </c>
      <c r="Y17" s="64">
        <f>MODEL!BY32</f>
        <v>-496</v>
      </c>
      <c r="Z17" s="64">
        <f>MODEL!BZ32</f>
        <v>-1095</v>
      </c>
      <c r="AA17" s="64"/>
      <c r="AB17" s="64">
        <f>MODEL!CB32</f>
        <v>-596</v>
      </c>
      <c r="AC17" s="64">
        <f>MODEL!CC32</f>
        <v>-483</v>
      </c>
      <c r="AD17" s="64">
        <f>MODEL!CD32</f>
        <v>-1079</v>
      </c>
      <c r="AE17" s="64"/>
      <c r="AF17" s="64">
        <f>MODEL!CF32</f>
        <v>-577</v>
      </c>
      <c r="AG17" s="64">
        <f>MODEL!CG32</f>
        <v>-624</v>
      </c>
      <c r="AH17" s="65">
        <f>MODEL!CH32</f>
        <v>-1201</v>
      </c>
      <c r="AI17" s="64"/>
      <c r="AJ17" s="64">
        <f>MODEL!CJ32</f>
        <v>-649</v>
      </c>
      <c r="AK17" s="64">
        <f>MODEL!CK32</f>
        <v>-1869</v>
      </c>
      <c r="AL17" s="65">
        <f>MODEL!CL32</f>
        <v>-2518</v>
      </c>
      <c r="AM17" s="64"/>
      <c r="AN17" s="64">
        <f>MODEL!CN32</f>
        <v>-882</v>
      </c>
      <c r="AO17" s="64">
        <f>MODEL!CO32</f>
        <v>328</v>
      </c>
      <c r="AP17" s="65">
        <f>MODEL!CP32</f>
        <v>-554</v>
      </c>
      <c r="AQ17" s="64"/>
      <c r="AR17" s="64">
        <f>MODEL!CR32</f>
        <v>75</v>
      </c>
      <c r="AS17" s="64">
        <f>MODEL!CS32</f>
        <v>282</v>
      </c>
      <c r="AT17" s="65">
        <f>MODEL!CT32</f>
        <v>357</v>
      </c>
      <c r="AU17" s="64"/>
      <c r="AV17" s="64">
        <f>MODEL!CV32</f>
        <v>-511</v>
      </c>
      <c r="AW17" s="64">
        <f>MODEL!CW32</f>
        <v>-597</v>
      </c>
      <c r="AX17" s="65">
        <f>MODEL!CX32</f>
        <v>-1108</v>
      </c>
      <c r="AY17" s="64"/>
      <c r="AZ17" s="64">
        <f>MODEL!CZ32</f>
        <v>-415</v>
      </c>
      <c r="BA17" s="64">
        <f>MODEL!DA32</f>
        <v>-387</v>
      </c>
      <c r="BB17" s="65">
        <f>MODEL!DB32</f>
        <v>-802</v>
      </c>
      <c r="BC17" s="64"/>
      <c r="BD17" s="64">
        <f>MODEL!DD32</f>
        <v>-320</v>
      </c>
      <c r="BE17" s="64">
        <f>MODEL!DE32</f>
        <v>-406</v>
      </c>
      <c r="BF17" s="1408">
        <f>MODEL!DF32</f>
        <v>-726</v>
      </c>
      <c r="BG17" s="64"/>
      <c r="BH17" s="64">
        <f>MODEL!DH32</f>
        <v>-319</v>
      </c>
      <c r="BI17" s="64">
        <f>MODEL!DI32</f>
        <v>-430.65637850734686</v>
      </c>
      <c r="BJ17" s="64">
        <f>MODEL!DJ32</f>
        <v>-749.65637850734686</v>
      </c>
      <c r="BK17" s="64"/>
      <c r="BL17" s="64">
        <f>MODEL!DL32</f>
        <v>-506.96630476295451</v>
      </c>
      <c r="BM17" s="64">
        <f>MODEL!DM32</f>
        <v>-571.35016418125986</v>
      </c>
      <c r="BN17" s="66">
        <f>MODEL!DN32</f>
        <v>-1078.3164689442144</v>
      </c>
      <c r="BO17" s="64"/>
      <c r="BP17" s="64">
        <f>MODEL!DP32</f>
        <v>-592.78190747690508</v>
      </c>
      <c r="BQ17" s="64">
        <f>MODEL!DQ32</f>
        <v>-601.06786197326039</v>
      </c>
      <c r="BR17" s="66">
        <f>MODEL!DR32</f>
        <v>-1193.8497694501655</v>
      </c>
      <c r="BS17" s="48"/>
      <c r="BT17" s="116" t="s">
        <v>43</v>
      </c>
      <c r="BU17" s="114"/>
      <c r="BV17" s="114">
        <f>BV14/$EI$5*2</f>
        <v>1.934418494928049</v>
      </c>
      <c r="BW17" s="114">
        <f>BW14/$EI$5*2</f>
        <v>2.3590469450342062</v>
      </c>
      <c r="BX17" s="114">
        <f>BX14/$EI$5</f>
        <v>2.1467327199811277</v>
      </c>
      <c r="BY17" s="114"/>
      <c r="BZ17" s="114">
        <f>BZ14/$EI$5</f>
        <v>1.0792639773531494</v>
      </c>
      <c r="CA17" s="114">
        <f>CA14/$EI$5</f>
        <v>1.2856805850436424</v>
      </c>
      <c r="CB17" s="114">
        <f>CB14/$EI$5</f>
        <v>2.3649445623967917</v>
      </c>
      <c r="CC17" s="114"/>
      <c r="CD17" s="114">
        <f t="shared" ref="CD17:CJ17" si="15">CD14/$EI$5</f>
        <v>1.167728237791932</v>
      </c>
      <c r="CE17" s="114">
        <f t="shared" si="15"/>
        <v>1.3092710544939845</v>
      </c>
      <c r="CF17" s="114">
        <f t="shared" si="15"/>
        <v>2.4769992922859165</v>
      </c>
      <c r="CG17" s="114">
        <f t="shared" si="15"/>
        <v>0</v>
      </c>
      <c r="CH17" s="114">
        <f t="shared" si="15"/>
        <v>1.167728237791932</v>
      </c>
      <c r="CI17" s="114">
        <f t="shared" si="15"/>
        <v>1.3092710544939845</v>
      </c>
      <c r="CJ17" s="114">
        <f t="shared" si="15"/>
        <v>2.4769992922859165</v>
      </c>
      <c r="CK17" s="114"/>
      <c r="CL17" s="114">
        <f>CL14/$EI$5</f>
        <v>1.1736258551545176</v>
      </c>
      <c r="CM17" s="114">
        <f>CM14/$EI$5</f>
        <v>1.3564519933946686</v>
      </c>
      <c r="CN17" s="114">
        <f>CN14/$EI$5</f>
        <v>2.5300778485491859</v>
      </c>
      <c r="CO17" s="114"/>
      <c r="CP17" s="114">
        <f>CP14/$EI$5</f>
        <v>1.1795234725171031</v>
      </c>
      <c r="CQ17" s="114">
        <f>CQ14/$EI$5</f>
        <v>1.3623496107572541</v>
      </c>
      <c r="CR17" s="114">
        <f>CR14/$EI$5</f>
        <v>2.541873083274357</v>
      </c>
      <c r="CS17" s="114"/>
      <c r="CT17" s="114">
        <f>CT14/$EI$5</f>
        <v>1.1795234725171031</v>
      </c>
      <c r="CU17" s="114">
        <f>CU14/$EI$5</f>
        <v>1.3623496107572541</v>
      </c>
      <c r="CV17" s="114">
        <f>CV14/$EI$5</f>
        <v>2.541873083274357</v>
      </c>
      <c r="CW17" s="114"/>
      <c r="CX17" s="114">
        <f>CX14/$EI$5</f>
        <v>1.1795234725171031</v>
      </c>
      <c r="CY17" s="114">
        <f>CY14/$EI$5</f>
        <v>0.57796650153338047</v>
      </c>
      <c r="CZ17" s="114">
        <f>CZ14/$EI$5</f>
        <v>1.7574899740504837</v>
      </c>
      <c r="DA17" s="114"/>
      <c r="DB17" s="114">
        <f>DB14/$EI$5</f>
        <v>0.88464260438782727</v>
      </c>
      <c r="DC17" s="114">
        <f>DC14/$EI$5</f>
        <v>1.1795234725171031</v>
      </c>
      <c r="DD17" s="114">
        <f>DD14/$EI$5</f>
        <v>2.0641660769049306</v>
      </c>
      <c r="DE17" s="114"/>
      <c r="DF17" s="114">
        <f>DF14/$EI$5</f>
        <v>1.0320830384524653</v>
      </c>
      <c r="DG17" s="114">
        <f>DG14/$EI$5</f>
        <v>1.2384996461429583</v>
      </c>
      <c r="DH17" s="114">
        <f>DH14/$EI$5</f>
        <v>2.2705826845954236</v>
      </c>
      <c r="DI17" s="114"/>
      <c r="DJ17" s="114">
        <f>DJ14/$EI$5</f>
        <v>1.2384996461429583</v>
      </c>
      <c r="DK17" s="114">
        <f>DK14/$EI$5</f>
        <v>1.4154281670205238</v>
      </c>
      <c r="DL17" s="115">
        <f>DL14/$EI$5</f>
        <v>2.6539278131634818</v>
      </c>
      <c r="DM17" s="114"/>
      <c r="DN17" s="114">
        <f>DN14/$EI$5</f>
        <v>1.2679877329558857</v>
      </c>
      <c r="DO17" s="114">
        <f>DO14/$EI$5</f>
        <v>1.4744043406463789</v>
      </c>
      <c r="DP17" s="115">
        <f>DP14/$EI$5</f>
        <v>2.7423920736022644</v>
      </c>
      <c r="DQ17" s="114"/>
      <c r="DR17" s="114">
        <f>DR14/$EI$5</f>
        <v>1.3269639065817409</v>
      </c>
      <c r="DS17" s="114">
        <f>DS14/$EI$5</f>
        <v>1.5333805142722341</v>
      </c>
      <c r="DT17" s="1409">
        <f>DT14/$EI$5</f>
        <v>2.8603444208539748</v>
      </c>
      <c r="DU17" s="114"/>
      <c r="DV17" s="114">
        <f>DV14/$EI$5</f>
        <v>1.3859400802075961</v>
      </c>
      <c r="DW17" s="114">
        <f>DW14/$EI$5</f>
        <v>1.6513328615239442</v>
      </c>
      <c r="DX17" s="114">
        <f>DX14/$EI$5</f>
        <v>3.0372729417315405</v>
      </c>
      <c r="DY17" s="114"/>
      <c r="DZ17" s="114">
        <f ca="1">DZ14/$EI$5</f>
        <v>1.5333805142722341</v>
      </c>
      <c r="EA17" s="114">
        <f ca="1">EA14/$EI$5</f>
        <v>1.7692852087756545</v>
      </c>
      <c r="EB17" s="114">
        <f ca="1">EB14/$EI$5</f>
        <v>3.3026657230478884</v>
      </c>
      <c r="EC17" s="114"/>
      <c r="ED17" s="114">
        <f ca="1">ED14/$EI$5</f>
        <v>1.592356687898089</v>
      </c>
      <c r="EE17" s="114">
        <f ca="1">EE14/$EI$5</f>
        <v>1.8577494692144374</v>
      </c>
      <c r="EF17" s="114">
        <f ca="1">EF14/$EI$5</f>
        <v>3.4501061571125264</v>
      </c>
      <c r="EG17" s="64"/>
      <c r="FC17" s="118">
        <f>CV29/100</f>
        <v>0.12076386338597135</v>
      </c>
      <c r="FF17" s="119" t="s">
        <v>44</v>
      </c>
      <c r="FG17" s="120">
        <f>CZ29/100</f>
        <v>0.10407138793059985</v>
      </c>
      <c r="FH17" s="119"/>
      <c r="FI17" s="119"/>
      <c r="FJ17" s="119"/>
      <c r="FK17" s="121">
        <f>DD29/100</f>
        <v>0.11508638461436153</v>
      </c>
      <c r="FL17" s="119"/>
      <c r="FM17" s="119"/>
      <c r="FN17" s="119"/>
      <c r="FO17" s="120">
        <f>DH29/100</f>
        <v>0.12726983326922311</v>
      </c>
      <c r="FP17" s="119"/>
      <c r="FQ17" s="119"/>
      <c r="FR17" s="119"/>
      <c r="FS17" s="120">
        <f>DL29/100</f>
        <v>0.13948592953689343</v>
      </c>
      <c r="FW17" s="120">
        <f>DP29/100</f>
        <v>0.13563716094157233</v>
      </c>
    </row>
    <row r="18" spans="1:179" x14ac:dyDescent="0.2">
      <c r="C18" s="53" t="s">
        <v>45</v>
      </c>
      <c r="D18" s="44">
        <v>4958</v>
      </c>
      <c r="E18" s="44">
        <v>4907</v>
      </c>
      <c r="F18" s="44">
        <v>9865</v>
      </c>
      <c r="G18" s="110"/>
      <c r="H18" s="44">
        <f>MODEL!BH33</f>
        <v>5206</v>
      </c>
      <c r="I18" s="44">
        <f>MODEL!BI33</f>
        <v>5523</v>
      </c>
      <c r="J18" s="44">
        <f>MODEL!BJ33</f>
        <v>10729</v>
      </c>
      <c r="K18" s="44"/>
      <c r="L18" s="44">
        <f>MODEL!BL33</f>
        <v>5940</v>
      </c>
      <c r="M18" s="44">
        <f>MODEL!BM33</f>
        <v>6009</v>
      </c>
      <c r="N18" s="44">
        <f>MODEL!BN33</f>
        <v>11949</v>
      </c>
      <c r="O18" s="44"/>
      <c r="P18" s="44">
        <f>MODEL!BP33</f>
        <v>6369</v>
      </c>
      <c r="Q18" s="44">
        <f>MODEL!BQ33</f>
        <v>6228</v>
      </c>
      <c r="R18" s="44">
        <f>MODEL!BR33</f>
        <v>12597</v>
      </c>
      <c r="S18" s="44"/>
      <c r="T18" s="44">
        <f>MODEL!BT33</f>
        <v>6646</v>
      </c>
      <c r="U18" s="44">
        <f>MODEL!BU33</f>
        <v>6411</v>
      </c>
      <c r="V18" s="44">
        <f>MODEL!BV33</f>
        <v>13057</v>
      </c>
      <c r="W18" s="44"/>
      <c r="X18" s="44">
        <f>MODEL!BX33</f>
        <v>6762</v>
      </c>
      <c r="Y18" s="44">
        <f>MODEL!BY33</f>
        <v>6801</v>
      </c>
      <c r="Z18" s="44">
        <f>MODEL!BZ33</f>
        <v>13563</v>
      </c>
      <c r="AA18" s="44"/>
      <c r="AB18" s="44">
        <f>MODEL!CB33</f>
        <v>6597</v>
      </c>
      <c r="AC18" s="44">
        <f>MODEL!CC33</f>
        <v>6251</v>
      </c>
      <c r="AD18" s="44">
        <f>MODEL!CD33</f>
        <v>12848</v>
      </c>
      <c r="AE18" s="44"/>
      <c r="AF18" s="44">
        <f>MODEL!CF33</f>
        <v>6347</v>
      </c>
      <c r="AG18" s="44">
        <f>MODEL!CG33</f>
        <v>5207</v>
      </c>
      <c r="AH18" s="46">
        <f>MODEL!CH33</f>
        <v>11554</v>
      </c>
      <c r="AI18" s="44"/>
      <c r="AJ18" s="44">
        <f>MODEL!CJ33</f>
        <v>6117</v>
      </c>
      <c r="AK18" s="44">
        <f>MODEL!CK33</f>
        <v>4130</v>
      </c>
      <c r="AL18" s="46">
        <f>MODEL!CL33</f>
        <v>10247</v>
      </c>
      <c r="AM18" s="44"/>
      <c r="AN18" s="44">
        <f>MODEL!CN33</f>
        <v>5488</v>
      </c>
      <c r="AO18" s="44">
        <f>MODEL!CO33</f>
        <v>6755</v>
      </c>
      <c r="AP18" s="46">
        <f>MODEL!CP33</f>
        <v>12243</v>
      </c>
      <c r="AQ18" s="44"/>
      <c r="AR18" s="44">
        <f>MODEL!CR33</f>
        <v>6692</v>
      </c>
      <c r="AS18" s="44">
        <f>MODEL!CS33</f>
        <v>6926</v>
      </c>
      <c r="AT18" s="46">
        <f>MODEL!CT33</f>
        <v>13618</v>
      </c>
      <c r="AU18" s="44"/>
      <c r="AV18" s="44">
        <f>MODEL!CV33</f>
        <v>7339</v>
      </c>
      <c r="AW18" s="44">
        <f>MODEL!CW33</f>
        <v>6830</v>
      </c>
      <c r="AX18" s="46">
        <f>MODEL!CX33</f>
        <v>14169</v>
      </c>
      <c r="AY18" s="44"/>
      <c r="AZ18" s="44">
        <f>MODEL!CZ33</f>
        <v>7223</v>
      </c>
      <c r="BA18" s="44">
        <f>MODEL!DA33</f>
        <v>6931</v>
      </c>
      <c r="BB18" s="46">
        <f>MODEL!DB33</f>
        <v>14154</v>
      </c>
      <c r="BC18" s="44"/>
      <c r="BD18" s="44">
        <f>MODEL!DD33</f>
        <v>7405</v>
      </c>
      <c r="BE18" s="44">
        <f>MODEL!DE33</f>
        <v>7338</v>
      </c>
      <c r="BF18" s="1435">
        <f>MODEL!DF33</f>
        <v>14743</v>
      </c>
      <c r="BG18" s="44"/>
      <c r="BH18" s="44">
        <f>MODEL!DH33</f>
        <v>7812</v>
      </c>
      <c r="BI18" s="44">
        <f>MODEL!DI33</f>
        <v>8000.9294322598853</v>
      </c>
      <c r="BJ18" s="44">
        <f>MODEL!DJ33</f>
        <v>15812.929432259885</v>
      </c>
      <c r="BK18" s="44"/>
      <c r="BL18" s="44">
        <f>MODEL!DL33</f>
        <v>8465.3602895161657</v>
      </c>
      <c r="BM18" s="44">
        <f>MODEL!DM33</f>
        <v>8393.6514041411065</v>
      </c>
      <c r="BN18" s="47">
        <f>MODEL!DN33</f>
        <v>16859.011693657274</v>
      </c>
      <c r="BO18" s="44"/>
      <c r="BP18" s="44">
        <f>MODEL!DP33</f>
        <v>8768.5779541938264</v>
      </c>
      <c r="BQ18" s="44">
        <f>MODEL!DQ33</f>
        <v>8743.8603269136856</v>
      </c>
      <c r="BR18" s="47">
        <f>MODEL!DR33</f>
        <v>17512.438281107512</v>
      </c>
      <c r="BS18" s="48"/>
      <c r="BT18" s="122" t="s">
        <v>46</v>
      </c>
      <c r="BU18" s="123"/>
      <c r="BV18" s="123">
        <f>MODEL!BH999</f>
        <v>1609.1808410000001</v>
      </c>
      <c r="BW18" s="123">
        <f>MODEL!BI999</f>
        <v>1611.928836</v>
      </c>
      <c r="BX18" s="123">
        <f>MODEL!BJ999</f>
        <v>1611.928836</v>
      </c>
      <c r="BY18" s="123"/>
      <c r="BZ18" s="123">
        <f>MODEL!BL999</f>
        <v>1611.928836</v>
      </c>
      <c r="CA18" s="123">
        <f>MODEL!BM999</f>
        <v>1621.3191939999999</v>
      </c>
      <c r="CB18" s="123">
        <f>MODEL!BN999</f>
        <v>1621.3191940000002</v>
      </c>
      <c r="CC18" s="123"/>
      <c r="CD18" s="123">
        <f>MODEL!BP999</f>
        <v>1621.3191939999999</v>
      </c>
      <c r="CE18" s="123">
        <f>MODEL!BQ999</f>
        <v>1627.592713</v>
      </c>
      <c r="CF18" s="123">
        <f>MODEL!BR999</f>
        <v>1627.592713</v>
      </c>
      <c r="CG18" s="123">
        <f>MODEL!BS999</f>
        <v>3.8693916800689454E-3</v>
      </c>
      <c r="CH18" s="123">
        <f>MODEL!BT999</f>
        <v>1707.5447140000001</v>
      </c>
      <c r="CI18" s="123">
        <f>MODEL!BU999</f>
        <v>1715.1421769999999</v>
      </c>
      <c r="CJ18" s="123">
        <f>MODEL!BV999</f>
        <v>1715.1421770000002</v>
      </c>
      <c r="CK18" s="123"/>
      <c r="CL18" s="123">
        <f>MODEL!BX999</f>
        <v>1723.1785090000001</v>
      </c>
      <c r="CM18" s="123">
        <f>MODEL!BY999</f>
        <v>1729.8681610000001</v>
      </c>
      <c r="CN18" s="123">
        <f>MODEL!BZ999</f>
        <v>1729.8681609999999</v>
      </c>
      <c r="CO18" s="123"/>
      <c r="CP18" s="123">
        <f>MODEL!CB999</f>
        <v>1752.728198</v>
      </c>
      <c r="CQ18" s="123">
        <f>MODEL!CC999</f>
        <v>1759.84293</v>
      </c>
      <c r="CR18" s="123">
        <f>MODEL!CD999</f>
        <v>1759.84293</v>
      </c>
      <c r="CS18" s="123"/>
      <c r="CT18" s="123">
        <f>MODEL!CF999</f>
        <v>1770.239507</v>
      </c>
      <c r="CU18" s="123">
        <f>MODEL!CG999</f>
        <v>1770.239507</v>
      </c>
      <c r="CV18" s="123">
        <f>MODEL!CH999</f>
        <v>1770.239507</v>
      </c>
      <c r="CW18" s="123"/>
      <c r="CX18" s="123">
        <f>MODEL!CJ999</f>
        <v>1770.239507</v>
      </c>
      <c r="CY18" s="123">
        <f>MODEL!CK999</f>
        <v>1770.239507</v>
      </c>
      <c r="CZ18" s="123">
        <f>MODEL!CL999</f>
        <v>1770.239507</v>
      </c>
      <c r="DA18" s="123"/>
      <c r="DB18" s="123">
        <f>MODEL!CN999</f>
        <v>1774.0964100000001</v>
      </c>
      <c r="DC18" s="123">
        <f>MODEL!CO999</f>
        <v>1774.0964100000001</v>
      </c>
      <c r="DD18" s="123">
        <f>MODEL!CP999</f>
        <v>1774.0964100000001</v>
      </c>
      <c r="DE18" s="123"/>
      <c r="DF18" s="123">
        <f>MODEL!CR999</f>
        <v>1706.391603</v>
      </c>
      <c r="DG18" s="123">
        <f>MODEL!CS999</f>
        <v>1701.5384059999999</v>
      </c>
      <c r="DH18" s="123">
        <f>MODEL!CT999</f>
        <v>1701.5384060000001</v>
      </c>
      <c r="DI18" s="123"/>
      <c r="DJ18" s="123">
        <f>MODEL!CV999</f>
        <v>1688.4141689999999</v>
      </c>
      <c r="DK18" s="123">
        <f>MODEL!CW999</f>
        <v>1676.169322</v>
      </c>
      <c r="DL18" s="124">
        <f>MODEL!CX999</f>
        <v>1676.169322</v>
      </c>
      <c r="DM18" s="123"/>
      <c r="DN18" s="123">
        <f>MODEL!CZ999</f>
        <v>1674.651934</v>
      </c>
      <c r="DO18" s="123">
        <f>MODEL!DA999</f>
        <v>1673.5803579999999</v>
      </c>
      <c r="DP18" s="124">
        <f>MODEL!DB999</f>
        <v>1673.5803579999999</v>
      </c>
      <c r="DQ18" s="123"/>
      <c r="DR18" s="123">
        <f>MODEL!DD999</f>
        <v>1673.462358</v>
      </c>
      <c r="DS18" s="123">
        <f>MODEL!DE999</f>
        <v>1673.462358</v>
      </c>
      <c r="DT18" s="1410">
        <f>MODEL!DF999</f>
        <v>1673.462358</v>
      </c>
      <c r="DU18" s="123"/>
      <c r="DV18" s="123">
        <f>MODEL!DH999</f>
        <v>1673.462358</v>
      </c>
      <c r="DW18" s="123">
        <f>MODEL!DI999</f>
        <v>1673.462358</v>
      </c>
      <c r="DX18" s="123">
        <f>MODEL!DJ999</f>
        <v>1673.462358</v>
      </c>
      <c r="DY18" s="123"/>
      <c r="DZ18" s="123">
        <f ca="1">MODEL!DL999</f>
        <v>1673.462358</v>
      </c>
      <c r="EA18" s="123">
        <f ca="1">MODEL!DM999</f>
        <v>1673.462358</v>
      </c>
      <c r="EB18" s="123">
        <f ca="1">MODEL!DN999</f>
        <v>1673.462358</v>
      </c>
      <c r="EC18" s="123"/>
      <c r="ED18" s="123">
        <f ca="1">MODEL!DP999</f>
        <v>1673.462358</v>
      </c>
      <c r="EE18" s="123">
        <f ca="1">MODEL!DQ999</f>
        <v>1673.462358</v>
      </c>
      <c r="EF18" s="123">
        <f ca="1">MODEL!DR999</f>
        <v>1673.462358</v>
      </c>
      <c r="EG18" s="64"/>
      <c r="EN18" s="6"/>
      <c r="EO18" s="6"/>
      <c r="EP18" s="6"/>
      <c r="EQ18" s="6"/>
      <c r="ER18" s="6"/>
      <c r="EU18" s="4"/>
      <c r="EV18" s="6"/>
      <c r="FC18" s="125">
        <f>CV8</f>
        <v>36.428065439944476</v>
      </c>
      <c r="FF18" s="2" t="s">
        <v>47</v>
      </c>
      <c r="FG18" s="125">
        <f>CZ8</f>
        <v>41.520880999203293</v>
      </c>
      <c r="FK18" s="126">
        <f>DD8</f>
        <v>34.707210589966195</v>
      </c>
      <c r="FO18" s="125">
        <f>DH8</f>
        <v>30.433405227920918</v>
      </c>
      <c r="FS18" s="125">
        <f>DL8</f>
        <v>28.450794281175533</v>
      </c>
      <c r="FW18" s="125">
        <f>DP8</f>
        <v>28.840370069133797</v>
      </c>
    </row>
    <row r="19" spans="1:179" x14ac:dyDescent="0.2">
      <c r="C19" s="127" t="s">
        <v>48</v>
      </c>
      <c r="D19" s="64">
        <v>-1373</v>
      </c>
      <c r="E19" s="64">
        <v>-1363</v>
      </c>
      <c r="F19" s="64">
        <v>-2736</v>
      </c>
      <c r="G19" s="64"/>
      <c r="H19" s="64">
        <f>MODEL!BH34</f>
        <v>-1448</v>
      </c>
      <c r="I19" s="64">
        <f>MODEL!BI34</f>
        <v>-1505</v>
      </c>
      <c r="J19" s="64">
        <f>MODEL!BJ34</f>
        <v>-2953</v>
      </c>
      <c r="K19" s="64"/>
      <c r="L19" s="64">
        <f>MODEL!BL34</f>
        <v>-1662</v>
      </c>
      <c r="M19" s="64">
        <f>MODEL!BM34</f>
        <v>-1588</v>
      </c>
      <c r="N19" s="64">
        <f>MODEL!BN34</f>
        <v>-3250</v>
      </c>
      <c r="O19" s="64"/>
      <c r="P19" s="64">
        <f>MODEL!BP34</f>
        <v>-1740</v>
      </c>
      <c r="Q19" s="64">
        <f>MODEL!BQ34</f>
        <v>-1699</v>
      </c>
      <c r="R19" s="64">
        <f>MODEL!BR34</f>
        <v>-3439</v>
      </c>
      <c r="S19" s="64"/>
      <c r="T19" s="64">
        <f>MODEL!BT34</f>
        <v>-1827</v>
      </c>
      <c r="U19" s="64">
        <f>MODEL!BU34</f>
        <v>-1765</v>
      </c>
      <c r="V19" s="64">
        <f>MODEL!BV34</f>
        <v>-3592</v>
      </c>
      <c r="W19" s="64"/>
      <c r="X19" s="64">
        <f>MODEL!BX34</f>
        <v>-1925</v>
      </c>
      <c r="Y19" s="64">
        <f>MODEL!BY34</f>
        <v>-1922</v>
      </c>
      <c r="Z19" s="64">
        <f>MODEL!BZ34</f>
        <v>-3847</v>
      </c>
      <c r="AA19" s="64"/>
      <c r="AB19" s="64">
        <f>MODEL!CB34</f>
        <v>-1993</v>
      </c>
      <c r="AC19" s="64">
        <f>MODEL!CC34</f>
        <v>-1927</v>
      </c>
      <c r="AD19" s="64">
        <f>MODEL!CD34</f>
        <v>-3920</v>
      </c>
      <c r="AE19" s="64"/>
      <c r="AF19" s="64">
        <f>MODEL!CF34</f>
        <v>-1791</v>
      </c>
      <c r="AG19" s="64">
        <f>MODEL!CG34</f>
        <v>-1530</v>
      </c>
      <c r="AH19" s="65">
        <f>MODEL!CH34</f>
        <v>-3321</v>
      </c>
      <c r="AI19" s="64"/>
      <c r="AJ19" s="64">
        <f>MODEL!CJ34</f>
        <v>-1797</v>
      </c>
      <c r="AK19" s="64">
        <f>MODEL!CK34</f>
        <v>-1225</v>
      </c>
      <c r="AL19" s="65">
        <f>MODEL!CL34</f>
        <v>-3022</v>
      </c>
      <c r="AM19" s="64"/>
      <c r="AN19" s="64">
        <f>MODEL!CN34</f>
        <v>-1620</v>
      </c>
      <c r="AO19" s="64">
        <f>MODEL!CO34</f>
        <v>-1970</v>
      </c>
      <c r="AP19" s="65">
        <f>MODEL!CP34</f>
        <v>-3590</v>
      </c>
      <c r="AQ19" s="64"/>
      <c r="AR19" s="64">
        <f>MODEL!CR34</f>
        <v>-1946</v>
      </c>
      <c r="AS19" s="64">
        <f>MODEL!CS34</f>
        <v>-2077</v>
      </c>
      <c r="AT19" s="65">
        <f>MODEL!CT34</f>
        <v>-4023</v>
      </c>
      <c r="AU19" s="64"/>
      <c r="AV19" s="64">
        <f>MODEL!CV34</f>
        <v>-2159</v>
      </c>
      <c r="AW19" s="64">
        <f>MODEL!CW34</f>
        <v>-1938</v>
      </c>
      <c r="AX19" s="65">
        <f>MODEL!CX34</f>
        <v>-4097</v>
      </c>
      <c r="AY19" s="64"/>
      <c r="AZ19" s="64">
        <f>MODEL!CZ34</f>
        <v>-2204</v>
      </c>
      <c r="BA19" s="64">
        <f>MODEL!DA34</f>
        <v>-2114</v>
      </c>
      <c r="BB19" s="65">
        <f>MODEL!DB34</f>
        <v>-4318</v>
      </c>
      <c r="BC19" s="64"/>
      <c r="BD19" s="64">
        <f>MODEL!DD34</f>
        <v>-2273</v>
      </c>
      <c r="BE19" s="64">
        <f>MODEL!DE34</f>
        <v>-2218</v>
      </c>
      <c r="BF19" s="1408">
        <f>MODEL!DF34</f>
        <v>-4491</v>
      </c>
      <c r="BG19" s="64"/>
      <c r="BH19" s="64">
        <f>MODEL!DH34</f>
        <v>-2367</v>
      </c>
      <c r="BI19" s="64">
        <f>MODEL!DI34</f>
        <v>-2376.2760413811857</v>
      </c>
      <c r="BJ19" s="64">
        <f>MODEL!DJ34</f>
        <v>-4743.2760413811857</v>
      </c>
      <c r="BK19" s="64"/>
      <c r="BL19" s="64">
        <f>MODEL!DL34</f>
        <v>-2539.6080868548497</v>
      </c>
      <c r="BM19" s="64">
        <f>MODEL!DM34</f>
        <v>-2518.0954212423317</v>
      </c>
      <c r="BN19" s="66">
        <f>MODEL!DN34</f>
        <v>-5057.7035080971818</v>
      </c>
      <c r="BO19" s="64"/>
      <c r="BP19" s="64">
        <f>MODEL!DP34</f>
        <v>-2630.5733862581478</v>
      </c>
      <c r="BQ19" s="64">
        <f>MODEL!DQ34</f>
        <v>-2623.1580980741055</v>
      </c>
      <c r="BR19" s="66">
        <f>MODEL!DR34</f>
        <v>-5253.7314843322529</v>
      </c>
      <c r="BS19" s="48"/>
      <c r="BT19" s="128" t="s">
        <v>49</v>
      </c>
      <c r="BU19" s="123"/>
      <c r="BV19" s="123">
        <f>MODEL!BH1117</f>
        <v>1596</v>
      </c>
      <c r="BW19" s="123">
        <f>MODEL!BI1117</f>
        <v>1606</v>
      </c>
      <c r="BX19" s="123">
        <f>MODEL!BJ1117</f>
        <v>1601</v>
      </c>
      <c r="BY19" s="123"/>
      <c r="BZ19" s="123">
        <f>MODEL!BL1117</f>
        <v>1609</v>
      </c>
      <c r="CA19" s="123">
        <f>MODEL!BM1117</f>
        <v>1614</v>
      </c>
      <c r="CB19" s="123">
        <f>MODEL!BN1117</f>
        <v>1611.2</v>
      </c>
      <c r="CC19" s="123"/>
      <c r="CD19" s="123">
        <f>MODEL!BP1117</f>
        <v>1619</v>
      </c>
      <c r="CE19" s="123">
        <f>MODEL!BQ1117</f>
        <v>1621.5</v>
      </c>
      <c r="CF19" s="123">
        <f>MODEL!BR1117</f>
        <v>1620</v>
      </c>
      <c r="CG19" s="123">
        <f>MODEL!BS1117</f>
        <v>0</v>
      </c>
      <c r="CH19" s="123">
        <f>MODEL!BT1117</f>
        <v>1678</v>
      </c>
      <c r="CI19" s="123">
        <f>MODEL!BU1117</f>
        <v>1709</v>
      </c>
      <c r="CJ19" s="123">
        <f>MODEL!BV1117</f>
        <v>1693</v>
      </c>
      <c r="CK19" s="123"/>
      <c r="CL19" s="123">
        <f>MODEL!BX1117</f>
        <v>1717.5</v>
      </c>
      <c r="CM19" s="123">
        <f>MODEL!BY1117</f>
        <v>1724.5</v>
      </c>
      <c r="CN19" s="123">
        <f>MODEL!BZ1117</f>
        <v>1721</v>
      </c>
      <c r="CO19" s="123"/>
      <c r="CP19" s="123">
        <f>MODEL!CB1117</f>
        <v>1739.5</v>
      </c>
      <c r="CQ19" s="123">
        <f>MODEL!CC1117</f>
        <v>1754</v>
      </c>
      <c r="CR19" s="123">
        <f>MODEL!CD1117</f>
        <v>1747</v>
      </c>
      <c r="CS19" s="123"/>
      <c r="CT19" s="123">
        <f>MODEL!CF1117</f>
        <v>1763</v>
      </c>
      <c r="CU19" s="123">
        <f>MODEL!CG1117</f>
        <v>1769</v>
      </c>
      <c r="CV19" s="123">
        <f>MODEL!CH1117</f>
        <v>1766</v>
      </c>
      <c r="CW19" s="123"/>
      <c r="CX19" s="123">
        <f>MODEL!CJ1117</f>
        <v>1769</v>
      </c>
      <c r="CY19" s="123">
        <f>MODEL!CK1117</f>
        <v>1769</v>
      </c>
      <c r="CZ19" s="123">
        <f>MODEL!CL1117</f>
        <v>1769</v>
      </c>
      <c r="DA19" s="123"/>
      <c r="DB19" s="123">
        <f>MODEL!CN1117</f>
        <v>1770</v>
      </c>
      <c r="DC19" s="123">
        <f>MODEL!CO1117</f>
        <v>1772</v>
      </c>
      <c r="DD19" s="123">
        <f>MODEL!CP1117</f>
        <v>1771</v>
      </c>
      <c r="DE19" s="123"/>
      <c r="DF19" s="123">
        <f>MODEL!CR1117</f>
        <v>1740</v>
      </c>
      <c r="DG19" s="123">
        <f>MODEL!CS1117</f>
        <v>1704</v>
      </c>
      <c r="DH19" s="123">
        <f>MODEL!CT1117</f>
        <v>1722</v>
      </c>
      <c r="DI19" s="123"/>
      <c r="DJ19" s="123">
        <f>MODEL!CV1117</f>
        <v>1695</v>
      </c>
      <c r="DK19" s="123">
        <f>MODEL!CW1117</f>
        <v>1685</v>
      </c>
      <c r="DL19" s="124">
        <f>MODEL!CX1117</f>
        <v>1690</v>
      </c>
      <c r="DM19" s="123"/>
      <c r="DN19" s="123">
        <f>MODEL!CZ1117</f>
        <v>1674</v>
      </c>
      <c r="DO19" s="123">
        <f>MODEL!DA1117</f>
        <v>1673</v>
      </c>
      <c r="DP19" s="124">
        <f>MODEL!DB1117</f>
        <v>1673</v>
      </c>
      <c r="DQ19" s="123"/>
      <c r="DR19" s="123">
        <f>MODEL!DD1117</f>
        <v>1672</v>
      </c>
      <c r="DS19" s="123">
        <f>MODEL!DE1117</f>
        <v>1672</v>
      </c>
      <c r="DT19" s="1410">
        <f>MODEL!DF1117</f>
        <v>1672</v>
      </c>
      <c r="DU19" s="123"/>
      <c r="DV19" s="123">
        <f>MODEL!DH1117</f>
        <v>1672</v>
      </c>
      <c r="DW19" s="123">
        <f>MODEL!DI1117</f>
        <v>1672.1407894370291</v>
      </c>
      <c r="DX19" s="123">
        <f>MODEL!DJ1117</f>
        <v>1672.0703947185145</v>
      </c>
      <c r="DY19" s="123"/>
      <c r="DZ19" s="123">
        <f ca="1">MODEL!DL1117</f>
        <v>1672.1407894370291</v>
      </c>
      <c r="EA19" s="123">
        <f ca="1">MODEL!DM1117</f>
        <v>1672.1407894370291</v>
      </c>
      <c r="EB19" s="123">
        <f ca="1">MODEL!DN1117</f>
        <v>1672.1407894370291</v>
      </c>
      <c r="EC19" s="123"/>
      <c r="ED19" s="123">
        <f ca="1">MODEL!DP1117</f>
        <v>1672.1407894370291</v>
      </c>
      <c r="EE19" s="123">
        <f ca="1">MODEL!DQ1117</f>
        <v>1672.1407894370291</v>
      </c>
      <c r="EF19" s="123">
        <f ca="1">MODEL!DR1117</f>
        <v>1672.1407894370291</v>
      </c>
      <c r="EG19" s="64"/>
      <c r="EN19" s="6"/>
      <c r="EO19" s="6"/>
      <c r="EP19" s="6"/>
      <c r="EQ19" s="6"/>
      <c r="ER19" s="6"/>
      <c r="EU19" s="4"/>
      <c r="EV19" s="6"/>
      <c r="FC19" s="125">
        <f>CV13</f>
        <v>4.3103782587836923</v>
      </c>
      <c r="FF19" s="2" t="s">
        <v>50</v>
      </c>
      <c r="FG19" s="125">
        <f>CZ13</f>
        <v>4.172797058469965</v>
      </c>
      <c r="FK19" s="126">
        <f>DD13</f>
        <v>3.8216785953984731</v>
      </c>
      <c r="FO19" s="125">
        <f>DH13</f>
        <v>3.9612929869888656</v>
      </c>
      <c r="FS19" s="125">
        <f>DL13</f>
        <v>3.9678794638733459</v>
      </c>
      <c r="FW19" s="125">
        <f>DP13</f>
        <v>3.8826111742348948</v>
      </c>
    </row>
    <row r="20" spans="1:179" x14ac:dyDescent="0.2">
      <c r="C20" s="63" t="s">
        <v>51</v>
      </c>
      <c r="D20" s="64">
        <v>-9</v>
      </c>
      <c r="E20" s="64">
        <v>-7</v>
      </c>
      <c r="F20" s="64">
        <v>-16</v>
      </c>
      <c r="G20" s="64"/>
      <c r="H20" s="64">
        <f>MODEL!BH35</f>
        <v>-8</v>
      </c>
      <c r="I20" s="64">
        <f>MODEL!BI35</f>
        <v>-8</v>
      </c>
      <c r="J20" s="64">
        <f>MODEL!BJ35</f>
        <v>-16</v>
      </c>
      <c r="K20" s="64"/>
      <c r="L20" s="64">
        <f>MODEL!BL35</f>
        <v>-10</v>
      </c>
      <c r="M20" s="64">
        <f>MODEL!BM35</f>
        <v>-9</v>
      </c>
      <c r="N20" s="64">
        <f>MODEL!BN35</f>
        <v>-19</v>
      </c>
      <c r="O20" s="64"/>
      <c r="P20" s="64">
        <f>MODEL!BP35</f>
        <v>-10</v>
      </c>
      <c r="Q20" s="64">
        <f>MODEL!BQ35</f>
        <v>-11</v>
      </c>
      <c r="R20" s="64">
        <f>MODEL!BR35</f>
        <v>-21</v>
      </c>
      <c r="S20" s="64"/>
      <c r="T20" s="64">
        <f>MODEL!BT35</f>
        <v>-11</v>
      </c>
      <c r="U20" s="64">
        <f>MODEL!BU35</f>
        <v>-9</v>
      </c>
      <c r="V20" s="64">
        <f>MODEL!BV35</f>
        <v>-20</v>
      </c>
      <c r="W20" s="64"/>
      <c r="X20" s="64">
        <f>MODEL!BX35</f>
        <v>-9</v>
      </c>
      <c r="Y20" s="64">
        <f>MODEL!BY35</f>
        <v>-11</v>
      </c>
      <c r="Z20" s="64">
        <f>MODEL!BZ35</f>
        <v>-20</v>
      </c>
      <c r="AA20" s="64"/>
      <c r="AB20" s="64">
        <f>MODEL!CB35</f>
        <v>-6</v>
      </c>
      <c r="AC20" s="64">
        <f>MODEL!CC35</f>
        <v>-7</v>
      </c>
      <c r="AD20" s="64">
        <f>MODEL!CD35</f>
        <v>-13</v>
      </c>
      <c r="AE20" s="64"/>
      <c r="AF20" s="64">
        <f>MODEL!CF35</f>
        <v>-6</v>
      </c>
      <c r="AG20" s="64">
        <f>MODEL!CG35</f>
        <v>-6</v>
      </c>
      <c r="AH20" s="65">
        <f>MODEL!CH35</f>
        <v>-12</v>
      </c>
      <c r="AI20" s="64"/>
      <c r="AJ20" s="64">
        <f>MODEL!CJ35</f>
        <v>0</v>
      </c>
      <c r="AK20" s="64">
        <f>MODEL!CK35</f>
        <v>0</v>
      </c>
      <c r="AL20" s="65">
        <f>MODEL!CL35</f>
        <v>0</v>
      </c>
      <c r="AM20" s="64"/>
      <c r="AN20" s="64">
        <f>MODEL!CN35</f>
        <v>0</v>
      </c>
      <c r="AO20" s="64">
        <f>MODEL!CO35</f>
        <v>0</v>
      </c>
      <c r="AP20" s="65">
        <f>MODEL!CP35</f>
        <v>0</v>
      </c>
      <c r="AQ20" s="64"/>
      <c r="AR20" s="64">
        <f>MODEL!CR35</f>
        <v>0</v>
      </c>
      <c r="AS20" s="64">
        <f>MODEL!CS35</f>
        <v>0</v>
      </c>
      <c r="AT20" s="65">
        <f>MODEL!CT35</f>
        <v>0</v>
      </c>
      <c r="AU20" s="64"/>
      <c r="AV20" s="64">
        <f>MODEL!CV35</f>
        <v>0</v>
      </c>
      <c r="AW20" s="64">
        <f>MODEL!CW35</f>
        <v>0</v>
      </c>
      <c r="AX20" s="65">
        <f>MODEL!CX35</f>
        <v>0</v>
      </c>
      <c r="AY20" s="64"/>
      <c r="AZ20" s="64">
        <f>MODEL!CZ35</f>
        <v>0</v>
      </c>
      <c r="BA20" s="64">
        <f>MODEL!DA35</f>
        <v>0</v>
      </c>
      <c r="BB20" s="65">
        <f>MODEL!DB35</f>
        <v>0</v>
      </c>
      <c r="BC20" s="64"/>
      <c r="BD20" s="64">
        <f>MODEL!DD35</f>
        <v>0</v>
      </c>
      <c r="BE20" s="64">
        <f>MODEL!DE35</f>
        <v>0</v>
      </c>
      <c r="BF20" s="1408">
        <f>MODEL!DF35</f>
        <v>0</v>
      </c>
      <c r="BG20" s="64"/>
      <c r="BH20" s="64">
        <f>MODEL!DH35</f>
        <v>0</v>
      </c>
      <c r="BI20" s="64">
        <f>MODEL!DI35</f>
        <v>0</v>
      </c>
      <c r="BJ20" s="64">
        <f>MODEL!DJ35</f>
        <v>0</v>
      </c>
      <c r="BK20" s="64"/>
      <c r="BL20" s="64">
        <f>MODEL!DL35</f>
        <v>0</v>
      </c>
      <c r="BM20" s="64">
        <f>MODEL!DM35</f>
        <v>0</v>
      </c>
      <c r="BN20" s="66">
        <f>MODEL!DN35</f>
        <v>0</v>
      </c>
      <c r="BO20" s="64"/>
      <c r="BP20" s="64">
        <f>MODEL!DP35</f>
        <v>0</v>
      </c>
      <c r="BQ20" s="64">
        <f>MODEL!DQ35</f>
        <v>0</v>
      </c>
      <c r="BR20" s="66">
        <f>MODEL!DR35</f>
        <v>0</v>
      </c>
      <c r="BS20" s="130"/>
      <c r="DL20" s="51"/>
      <c r="DP20" s="51"/>
      <c r="DT20" s="1401"/>
      <c r="EG20" s="64"/>
      <c r="EI20" s="162"/>
      <c r="EK20" s="162"/>
      <c r="EN20" s="6"/>
      <c r="EO20" s="6"/>
      <c r="EP20" s="6"/>
      <c r="EQ20" s="6"/>
      <c r="ER20" s="6"/>
      <c r="EU20" s="4"/>
      <c r="EV20" s="6"/>
      <c r="FC20" s="131">
        <f>CV17/100</f>
        <v>2.5418730832743569E-2</v>
      </c>
      <c r="FF20" s="119" t="s">
        <v>52</v>
      </c>
      <c r="FG20" s="120">
        <f>CZ17/100</f>
        <v>1.7574899740504836E-2</v>
      </c>
      <c r="FH20" s="119"/>
      <c r="FI20" s="119"/>
      <c r="FJ20" s="119"/>
      <c r="FK20" s="121">
        <f>DD17/100</f>
        <v>2.0641660769049306E-2</v>
      </c>
      <c r="FL20" s="119"/>
      <c r="FM20" s="119"/>
      <c r="FN20" s="119"/>
      <c r="FO20" s="120">
        <f>DH17/100</f>
        <v>2.2705826845954236E-2</v>
      </c>
      <c r="FP20" s="119"/>
      <c r="FQ20" s="119"/>
      <c r="FR20" s="119"/>
      <c r="FS20" s="120">
        <f>DL17/100</f>
        <v>2.6539278131634817E-2</v>
      </c>
      <c r="FT20" s="119"/>
      <c r="FU20" s="119"/>
      <c r="FV20" s="119"/>
      <c r="FW20" s="120">
        <f>DP17/100</f>
        <v>2.7423920736022643E-2</v>
      </c>
    </row>
    <row r="21" spans="1:179" x14ac:dyDescent="0.2">
      <c r="C21" s="132" t="s">
        <v>53</v>
      </c>
      <c r="D21" s="133">
        <v>3576</v>
      </c>
      <c r="E21" s="133">
        <v>3537</v>
      </c>
      <c r="F21" s="133">
        <v>7113</v>
      </c>
      <c r="G21" s="134"/>
      <c r="H21" s="133">
        <f>MODEL!BH36</f>
        <v>3750</v>
      </c>
      <c r="I21" s="133">
        <f>MODEL!BI36</f>
        <v>4010</v>
      </c>
      <c r="J21" s="133">
        <f>MODEL!BJ36</f>
        <v>7760</v>
      </c>
      <c r="K21" s="133"/>
      <c r="L21" s="133">
        <f>MODEL!BL36</f>
        <v>4268</v>
      </c>
      <c r="M21" s="133">
        <f>MODEL!BM36</f>
        <v>4412</v>
      </c>
      <c r="N21" s="133">
        <f>MODEL!BN36</f>
        <v>8680</v>
      </c>
      <c r="O21" s="133"/>
      <c r="P21" s="133">
        <f>MODEL!BP36</f>
        <v>4619</v>
      </c>
      <c r="Q21" s="133">
        <f>MODEL!BQ36</f>
        <v>4518</v>
      </c>
      <c r="R21" s="133">
        <f>MODEL!BR36</f>
        <v>9137</v>
      </c>
      <c r="S21" s="133"/>
      <c r="T21" s="133">
        <f>MODEL!BT36</f>
        <v>4808</v>
      </c>
      <c r="U21" s="133">
        <f>MODEL!BU36</f>
        <v>4637</v>
      </c>
      <c r="V21" s="133">
        <f>MODEL!BV36</f>
        <v>9445</v>
      </c>
      <c r="W21" s="133"/>
      <c r="X21" s="133">
        <f>MODEL!BX36</f>
        <v>4828</v>
      </c>
      <c r="Y21" s="133">
        <f>MODEL!BY36</f>
        <v>4868</v>
      </c>
      <c r="Z21" s="133">
        <f>MODEL!BZ36</f>
        <v>9696</v>
      </c>
      <c r="AA21" s="133"/>
      <c r="AB21" s="133">
        <f>MODEL!CB36</f>
        <v>4598</v>
      </c>
      <c r="AC21" s="133">
        <f>MODEL!CC36</f>
        <v>4317</v>
      </c>
      <c r="AD21" s="133">
        <f>MODEL!CD36</f>
        <v>8915</v>
      </c>
      <c r="AE21" s="133"/>
      <c r="AF21" s="133">
        <f>MODEL!CF36</f>
        <v>4550</v>
      </c>
      <c r="AG21" s="133">
        <f>MODEL!CG36</f>
        <v>3671</v>
      </c>
      <c r="AH21" s="135">
        <f>MODEL!CH36</f>
        <v>8221</v>
      </c>
      <c r="AI21" s="133"/>
      <c r="AJ21" s="133">
        <f>MODEL!CJ36</f>
        <v>4320</v>
      </c>
      <c r="AK21" s="133">
        <f>MODEL!CK36</f>
        <v>2905</v>
      </c>
      <c r="AL21" s="135">
        <f>MODEL!CL36</f>
        <v>7225</v>
      </c>
      <c r="AM21" s="133"/>
      <c r="AN21" s="133">
        <f>MODEL!CN36</f>
        <v>3868</v>
      </c>
      <c r="AO21" s="133">
        <f>MODEL!CO36</f>
        <v>4785</v>
      </c>
      <c r="AP21" s="135">
        <f>MODEL!CP36</f>
        <v>8653</v>
      </c>
      <c r="AQ21" s="133"/>
      <c r="AR21" s="133">
        <f>MODEL!CR36</f>
        <v>4746</v>
      </c>
      <c r="AS21" s="133">
        <f>MODEL!CS36</f>
        <v>4849</v>
      </c>
      <c r="AT21" s="135">
        <f>MODEL!CT36</f>
        <v>9595</v>
      </c>
      <c r="AU21" s="133"/>
      <c r="AV21" s="133">
        <f>MODEL!CV36</f>
        <v>5180</v>
      </c>
      <c r="AW21" s="133">
        <f>MODEL!CW36</f>
        <v>4892</v>
      </c>
      <c r="AX21" s="135">
        <f>MODEL!CX36</f>
        <v>10072</v>
      </c>
      <c r="AY21" s="133"/>
      <c r="AZ21" s="133">
        <f>MODEL!CZ36</f>
        <v>5019</v>
      </c>
      <c r="BA21" s="133">
        <f>MODEL!DA36</f>
        <v>4817</v>
      </c>
      <c r="BB21" s="135">
        <f>MODEL!DB36</f>
        <v>9836</v>
      </c>
      <c r="BC21" s="133"/>
      <c r="BD21" s="133">
        <f>MODEL!DD36</f>
        <v>5132</v>
      </c>
      <c r="BE21" s="133">
        <f>MODEL!DE36</f>
        <v>5120</v>
      </c>
      <c r="BF21" s="1437">
        <f>MODEL!DF36</f>
        <v>10252</v>
      </c>
      <c r="BG21" s="133"/>
      <c r="BH21" s="133">
        <f>MODEL!DH36</f>
        <v>5445</v>
      </c>
      <c r="BI21" s="133">
        <f>MODEL!DI36</f>
        <v>5624.6533908786996</v>
      </c>
      <c r="BJ21" s="133">
        <f>MODEL!DJ36</f>
        <v>11069.653390878699</v>
      </c>
      <c r="BK21" s="133"/>
      <c r="BL21" s="133">
        <f>MODEL!DL36</f>
        <v>5925.752202661316</v>
      </c>
      <c r="BM21" s="133">
        <f>MODEL!DM36</f>
        <v>5875.5559828987753</v>
      </c>
      <c r="BN21" s="136">
        <f>MODEL!DN36</f>
        <v>11801.308185560092</v>
      </c>
      <c r="BO21" s="133"/>
      <c r="BP21" s="133">
        <f>MODEL!DP36</f>
        <v>6138.004567935679</v>
      </c>
      <c r="BQ21" s="133">
        <f>MODEL!DQ36</f>
        <v>6120.7022288395801</v>
      </c>
      <c r="BR21" s="136">
        <f>MODEL!DR36</f>
        <v>12258.706796775259</v>
      </c>
      <c r="BS21" s="130"/>
      <c r="BT21" s="137" t="s">
        <v>54</v>
      </c>
      <c r="BU21" s="138"/>
      <c r="BV21" s="138"/>
      <c r="BW21" s="138"/>
      <c r="BX21" s="138"/>
      <c r="BY21" s="138"/>
      <c r="BZ21" s="138"/>
      <c r="CA21" s="138"/>
      <c r="CB21" s="138"/>
      <c r="CC21" s="138"/>
      <c r="CD21" s="138"/>
      <c r="CE21" s="138"/>
      <c r="CF21" s="138"/>
      <c r="CG21" s="138"/>
      <c r="CH21" s="138"/>
      <c r="CI21" s="138"/>
      <c r="CJ21" s="32"/>
      <c r="CK21" s="138"/>
      <c r="CL21" s="138"/>
      <c r="CM21" s="138"/>
      <c r="CN21" s="32"/>
      <c r="CO21" s="32"/>
      <c r="CP21" s="138"/>
      <c r="CQ21" s="138"/>
      <c r="CR21" s="32"/>
      <c r="CS21" s="32"/>
      <c r="CT21" s="138"/>
      <c r="CU21" s="138"/>
      <c r="CV21" s="32"/>
      <c r="CW21" s="32"/>
      <c r="CX21" s="138"/>
      <c r="CY21" s="138"/>
      <c r="CZ21" s="32"/>
      <c r="DA21" s="32"/>
      <c r="DB21" s="138"/>
      <c r="DC21" s="138"/>
      <c r="DD21" s="32"/>
      <c r="DE21" s="32"/>
      <c r="DF21" s="138"/>
      <c r="DG21" s="138"/>
      <c r="DH21" s="32"/>
      <c r="DI21" s="32"/>
      <c r="DJ21" s="138"/>
      <c r="DK21" s="138"/>
      <c r="DL21" s="139"/>
      <c r="DM21" s="32"/>
      <c r="DN21" s="138"/>
      <c r="DO21" s="138"/>
      <c r="DP21" s="139"/>
      <c r="DQ21" s="32"/>
      <c r="DR21" s="138"/>
      <c r="DS21" s="138"/>
      <c r="DT21" s="1400"/>
      <c r="DU21" s="32"/>
      <c r="DV21" s="138"/>
      <c r="DW21" s="138"/>
      <c r="DX21" s="32"/>
      <c r="DY21" s="32"/>
      <c r="DZ21" s="138"/>
      <c r="EA21" s="138"/>
      <c r="EB21" s="32"/>
      <c r="EC21" s="32"/>
      <c r="ED21" s="138"/>
      <c r="EE21" s="138"/>
      <c r="EF21" s="32"/>
      <c r="EG21" s="64"/>
      <c r="EH21" s="1359"/>
      <c r="EI21" s="1359"/>
      <c r="EJ21" s="1359"/>
      <c r="EK21" s="1359"/>
      <c r="EN21" s="6"/>
      <c r="EO21" s="6"/>
      <c r="EP21" s="6"/>
      <c r="EQ21" s="6"/>
      <c r="ER21" s="6"/>
      <c r="EU21" s="4"/>
      <c r="EV21" s="6"/>
    </row>
    <row r="22" spans="1:179" x14ac:dyDescent="0.2">
      <c r="C22" s="127" t="s">
        <v>55</v>
      </c>
      <c r="D22" s="141"/>
      <c r="E22" s="141"/>
      <c r="F22" s="141"/>
      <c r="G22" s="64"/>
      <c r="H22" s="141"/>
      <c r="I22" s="141"/>
      <c r="J22" s="141"/>
      <c r="K22" s="141"/>
      <c r="L22" s="141"/>
      <c r="M22" s="141"/>
      <c r="N22" s="141"/>
      <c r="O22" s="141"/>
      <c r="P22" s="141"/>
      <c r="Q22" s="141"/>
      <c r="R22" s="141"/>
      <c r="S22" s="141"/>
      <c r="T22" s="141"/>
      <c r="U22" s="141"/>
      <c r="V22" s="141"/>
      <c r="W22" s="141"/>
      <c r="X22" s="141">
        <f>MODEL!BX37</f>
        <v>79</v>
      </c>
      <c r="Y22" s="141">
        <f>MODEL!BY37</f>
        <v>106</v>
      </c>
      <c r="Z22" s="141">
        <f>MODEL!BZ37</f>
        <v>185</v>
      </c>
      <c r="AA22" s="141"/>
      <c r="AB22" s="141">
        <f>MODEL!CB37</f>
        <v>273</v>
      </c>
      <c r="AC22" s="141">
        <f>MODEL!CC37</f>
        <v>224</v>
      </c>
      <c r="AD22" s="141">
        <f>MODEL!CD37</f>
        <v>497</v>
      </c>
      <c r="AE22" s="141"/>
      <c r="AF22" s="141">
        <f>MODEL!CF37</f>
        <v>261</v>
      </c>
      <c r="AG22" s="141">
        <f>MODEL!CG37</f>
        <v>224</v>
      </c>
      <c r="AH22" s="142">
        <f>MODEL!CH37</f>
        <v>485</v>
      </c>
      <c r="AI22" s="141"/>
      <c r="AJ22" s="141">
        <f>MODEL!CJ37</f>
        <v>152</v>
      </c>
      <c r="AK22" s="141">
        <f>MODEL!CK37</f>
        <v>30</v>
      </c>
      <c r="AL22" s="142">
        <f>MODEL!CL37</f>
        <v>182</v>
      </c>
      <c r="AM22" s="141"/>
      <c r="AN22" s="141">
        <f>MODEL!CN37</f>
        <v>99</v>
      </c>
      <c r="AO22" s="141">
        <f>MODEL!CO37</f>
        <v>49</v>
      </c>
      <c r="AP22" s="142">
        <f>MODEL!CP37</f>
        <v>148</v>
      </c>
      <c r="AQ22" s="141"/>
      <c r="AR22" s="141">
        <f>MODEL!CR37</f>
        <v>100</v>
      </c>
      <c r="AS22" s="141">
        <f>MODEL!CS37</f>
        <v>13</v>
      </c>
      <c r="AT22" s="142">
        <f>MODEL!CT37</f>
        <v>113</v>
      </c>
      <c r="AU22" s="141"/>
      <c r="AV22" s="141">
        <f>MODEL!CV37</f>
        <v>10</v>
      </c>
      <c r="AW22" s="141">
        <f>MODEL!CW37</f>
        <v>8</v>
      </c>
      <c r="AX22" s="142">
        <f>MODEL!CX37</f>
        <v>18</v>
      </c>
      <c r="AY22" s="141"/>
      <c r="AZ22" s="141">
        <f>MODEL!CZ37</f>
        <v>6</v>
      </c>
      <c r="BA22" s="141">
        <f>MODEL!DA37</f>
        <v>5</v>
      </c>
      <c r="BB22" s="142">
        <f>MODEL!DB37</f>
        <v>11</v>
      </c>
      <c r="BC22" s="141"/>
      <c r="BD22" s="141">
        <f>MODEL!DD37</f>
        <v>1</v>
      </c>
      <c r="BE22" s="141">
        <f>MODEL!DE37</f>
        <v>0</v>
      </c>
      <c r="BF22" s="1438">
        <f>MODEL!DF37</f>
        <v>1</v>
      </c>
      <c r="BG22" s="141"/>
      <c r="BH22" s="141">
        <f>MODEL!DH37</f>
        <v>0</v>
      </c>
      <c r="BI22" s="141">
        <f>MODEL!DI37</f>
        <v>0</v>
      </c>
      <c r="BJ22" s="141">
        <f>MODEL!DJ37</f>
        <v>0</v>
      </c>
      <c r="BK22" s="141"/>
      <c r="BL22" s="141">
        <f>MODEL!DL37</f>
        <v>0</v>
      </c>
      <c r="BM22" s="141">
        <f>MODEL!DM37</f>
        <v>0</v>
      </c>
      <c r="BN22" s="143">
        <f>MODEL!DN37</f>
        <v>0</v>
      </c>
      <c r="BO22" s="141"/>
      <c r="BP22" s="141">
        <f>MODEL!DP37</f>
        <v>0</v>
      </c>
      <c r="BQ22" s="141">
        <f>MODEL!DQ37</f>
        <v>0</v>
      </c>
      <c r="BR22" s="143">
        <f>MODEL!DR37</f>
        <v>0</v>
      </c>
      <c r="BS22" s="130"/>
      <c r="BT22" s="144"/>
      <c r="BU22" s="4"/>
      <c r="BV22" s="4"/>
      <c r="BW22" s="4"/>
      <c r="BX22" s="4"/>
      <c r="BY22" s="4"/>
      <c r="BZ22" s="4"/>
      <c r="CA22" s="4"/>
      <c r="CB22" s="4"/>
      <c r="CC22" s="4"/>
      <c r="CD22" s="4"/>
      <c r="CE22" s="4"/>
      <c r="CF22" s="4"/>
      <c r="CG22" s="4"/>
      <c r="CH22" s="4"/>
      <c r="CI22" s="4"/>
      <c r="CJ22" s="82"/>
      <c r="CK22" s="4"/>
      <c r="CL22" s="4"/>
      <c r="CM22" s="4"/>
      <c r="CN22" s="82"/>
      <c r="CO22" s="82"/>
      <c r="CP22" s="4"/>
      <c r="CQ22" s="4"/>
      <c r="CR22" s="82"/>
      <c r="CS22" s="82"/>
      <c r="CT22" s="4"/>
      <c r="CU22" s="4"/>
      <c r="CV22" s="82"/>
      <c r="CW22" s="82"/>
      <c r="CX22" s="4"/>
      <c r="CY22" s="4"/>
      <c r="CZ22" s="82"/>
      <c r="DA22" s="82"/>
      <c r="DB22" s="4"/>
      <c r="DC22" s="4"/>
      <c r="DD22" s="82"/>
      <c r="DE22" s="82"/>
      <c r="DF22" s="4"/>
      <c r="DG22" s="4"/>
      <c r="DH22" s="82"/>
      <c r="DI22" s="82"/>
      <c r="DJ22" s="4"/>
      <c r="DK22" s="4"/>
      <c r="DL22" s="83"/>
      <c r="DM22" s="82"/>
      <c r="DN22" s="4"/>
      <c r="DO22" s="4"/>
      <c r="DP22" s="83"/>
      <c r="DQ22" s="82"/>
      <c r="DR22" s="4"/>
      <c r="DS22" s="4"/>
      <c r="DT22" s="1405"/>
      <c r="DU22" s="82"/>
      <c r="DV22" s="4"/>
      <c r="DW22" s="4"/>
      <c r="DX22" s="82"/>
      <c r="DY22" s="82"/>
      <c r="DZ22" s="4"/>
      <c r="EA22" s="4"/>
      <c r="EB22" s="82"/>
      <c r="EC22" s="82"/>
      <c r="ED22" s="4"/>
      <c r="EE22" s="4"/>
      <c r="EF22" s="82"/>
      <c r="EG22" s="64"/>
      <c r="EN22" s="6"/>
      <c r="EO22" s="6"/>
      <c r="EP22" s="6"/>
      <c r="EQ22" s="6"/>
      <c r="ER22" s="6"/>
      <c r="EU22" s="4"/>
      <c r="EV22" s="6"/>
    </row>
    <row r="23" spans="1:179" x14ac:dyDescent="0.2">
      <c r="C23" s="145" t="s">
        <v>56</v>
      </c>
      <c r="D23" s="45"/>
      <c r="E23" s="45"/>
      <c r="F23" s="45"/>
      <c r="G23" s="87"/>
      <c r="H23" s="45"/>
      <c r="I23" s="45"/>
      <c r="J23" s="45"/>
      <c r="K23" s="45"/>
      <c r="L23" s="45"/>
      <c r="M23" s="45"/>
      <c r="N23" s="45"/>
      <c r="O23" s="45"/>
      <c r="P23" s="45"/>
      <c r="Q23" s="45"/>
      <c r="R23" s="45"/>
      <c r="S23" s="45"/>
      <c r="T23" s="45"/>
      <c r="U23" s="45"/>
      <c r="V23" s="45"/>
      <c r="W23" s="45"/>
      <c r="X23" s="45">
        <f>MODEL!BX38</f>
        <v>4907</v>
      </c>
      <c r="Y23" s="45">
        <f>MODEL!BY38</f>
        <v>4974</v>
      </c>
      <c r="Z23" s="45">
        <f>MODEL!BZ38</f>
        <v>9881</v>
      </c>
      <c r="AA23" s="45"/>
      <c r="AB23" s="45">
        <f>MODEL!CB38</f>
        <v>4871</v>
      </c>
      <c r="AC23" s="45">
        <f>MODEL!CC38</f>
        <v>4541</v>
      </c>
      <c r="AD23" s="45">
        <f>MODEL!CD38</f>
        <v>9412</v>
      </c>
      <c r="AE23" s="45"/>
      <c r="AF23" s="45">
        <f>MODEL!CF38</f>
        <v>4811</v>
      </c>
      <c r="AG23" s="45">
        <f>MODEL!CG38</f>
        <v>3895</v>
      </c>
      <c r="AH23" s="146">
        <f>MODEL!CH38</f>
        <v>8706</v>
      </c>
      <c r="AI23" s="45"/>
      <c r="AJ23" s="45">
        <f>MODEL!CJ38</f>
        <v>4472</v>
      </c>
      <c r="AK23" s="45">
        <f>MODEL!CK38</f>
        <v>2935</v>
      </c>
      <c r="AL23" s="146">
        <f>MODEL!CL38</f>
        <v>7407</v>
      </c>
      <c r="AM23" s="45"/>
      <c r="AN23" s="45">
        <f>MODEL!CN38</f>
        <v>3967</v>
      </c>
      <c r="AO23" s="45">
        <f>MODEL!CO38</f>
        <v>4834</v>
      </c>
      <c r="AP23" s="146">
        <f>MODEL!CP38</f>
        <v>8801</v>
      </c>
      <c r="AQ23" s="45"/>
      <c r="AR23" s="45">
        <f>MODEL!CR38</f>
        <v>4846</v>
      </c>
      <c r="AS23" s="45">
        <f>MODEL!CS38</f>
        <v>4862</v>
      </c>
      <c r="AT23" s="146">
        <f>MODEL!CT38</f>
        <v>9708</v>
      </c>
      <c r="AU23" s="45"/>
      <c r="AV23" s="45">
        <f>MODEL!CV38</f>
        <v>5190</v>
      </c>
      <c r="AW23" s="45">
        <f>MODEL!CW38</f>
        <v>4900</v>
      </c>
      <c r="AX23" s="146">
        <f>MODEL!CX38</f>
        <v>10090</v>
      </c>
      <c r="AY23" s="45"/>
      <c r="AZ23" s="45">
        <f>MODEL!CZ38</f>
        <v>5025</v>
      </c>
      <c r="BA23" s="45">
        <f>MODEL!DA38</f>
        <v>4822</v>
      </c>
      <c r="BB23" s="146">
        <f>MODEL!DB38</f>
        <v>9847</v>
      </c>
      <c r="BC23" s="45"/>
      <c r="BD23" s="45">
        <f>MODEL!DD38</f>
        <v>5133</v>
      </c>
      <c r="BE23" s="45">
        <f>MODEL!DE38</f>
        <v>5120</v>
      </c>
      <c r="BF23" s="1439">
        <f>MODEL!DF38</f>
        <v>10253</v>
      </c>
      <c r="BG23" s="45"/>
      <c r="BH23" s="45">
        <f>MODEL!DH38</f>
        <v>5445</v>
      </c>
      <c r="BI23" s="45">
        <f>MODEL!DI38</f>
        <v>5624.6533908786996</v>
      </c>
      <c r="BJ23" s="45">
        <f>MODEL!DJ38</f>
        <v>11069.653390878699</v>
      </c>
      <c r="BK23" s="45"/>
      <c r="BL23" s="45">
        <f>MODEL!DL38</f>
        <v>5925.752202661316</v>
      </c>
      <c r="BM23" s="45">
        <f>MODEL!DM38</f>
        <v>5875.5559828987753</v>
      </c>
      <c r="BN23" s="147">
        <f>MODEL!DN38</f>
        <v>11801.308185560092</v>
      </c>
      <c r="BO23" s="45"/>
      <c r="BP23" s="45">
        <f>MODEL!DP38</f>
        <v>6138.004567935679</v>
      </c>
      <c r="BQ23" s="45">
        <f>MODEL!DQ38</f>
        <v>6120.7022288395801</v>
      </c>
      <c r="BR23" s="147">
        <f>MODEL!DR38</f>
        <v>12258.706796775259</v>
      </c>
      <c r="BS23" s="48"/>
      <c r="BT23" s="148" t="s">
        <v>57</v>
      </c>
      <c r="BU23" s="149"/>
      <c r="BV23" s="149"/>
      <c r="BW23" s="149"/>
      <c r="BX23" s="149"/>
      <c r="BY23" s="149"/>
      <c r="BZ23" s="149"/>
      <c r="CA23" s="149"/>
      <c r="CB23" s="149"/>
      <c r="CC23" s="149"/>
      <c r="CD23" s="149"/>
      <c r="CE23" s="149"/>
      <c r="CF23" s="149"/>
      <c r="CG23" s="149"/>
      <c r="CH23" s="149"/>
      <c r="CI23" s="149"/>
      <c r="CJ23" s="82"/>
      <c r="CK23" s="149"/>
      <c r="CL23" s="149"/>
      <c r="CM23" s="149"/>
      <c r="CN23" s="82"/>
      <c r="CO23" s="82"/>
      <c r="CP23" s="149"/>
      <c r="CQ23" s="149"/>
      <c r="CR23" s="82"/>
      <c r="CS23" s="82"/>
      <c r="CT23" s="149"/>
      <c r="CU23" s="149"/>
      <c r="CV23" s="82"/>
      <c r="CW23" s="82"/>
      <c r="CX23" s="149"/>
      <c r="CY23" s="149"/>
      <c r="CZ23" s="82"/>
      <c r="DA23" s="82"/>
      <c r="DB23" s="149"/>
      <c r="DC23" s="149"/>
      <c r="DD23" s="82"/>
      <c r="DE23" s="82"/>
      <c r="DF23" s="149"/>
      <c r="DG23" s="149"/>
      <c r="DH23" s="82"/>
      <c r="DI23" s="82"/>
      <c r="DJ23" s="149"/>
      <c r="DK23" s="149"/>
      <c r="DL23" s="83"/>
      <c r="DM23" s="82"/>
      <c r="DN23" s="149"/>
      <c r="DO23" s="149"/>
      <c r="DP23" s="83"/>
      <c r="DQ23" s="82"/>
      <c r="DR23" s="149"/>
      <c r="DS23" s="149"/>
      <c r="DT23" s="1405"/>
      <c r="DU23" s="82"/>
      <c r="DV23" s="149"/>
      <c r="DW23" s="149"/>
      <c r="DX23" s="82"/>
      <c r="DY23" s="82"/>
      <c r="DZ23" s="149"/>
      <c r="EA23" s="149"/>
      <c r="EB23" s="82"/>
      <c r="EC23" s="82"/>
      <c r="ED23" s="149"/>
      <c r="EE23" s="149"/>
      <c r="EF23" s="82"/>
      <c r="EG23" s="107"/>
      <c r="EH23" s="1359"/>
      <c r="EJ23" s="1359"/>
      <c r="EN23" s="6"/>
      <c r="EO23" s="6"/>
      <c r="EP23" s="6"/>
      <c r="EQ23" s="6"/>
      <c r="ER23" s="6"/>
      <c r="EU23" s="4"/>
      <c r="EV23" s="6"/>
    </row>
    <row r="24" spans="1:179" x14ac:dyDescent="0.2">
      <c r="C24" s="127" t="s">
        <v>58</v>
      </c>
      <c r="D24" s="64">
        <v>-20</v>
      </c>
      <c r="E24" s="64">
        <v>-22</v>
      </c>
      <c r="F24" s="64">
        <v>-42</v>
      </c>
      <c r="G24" s="64"/>
      <c r="H24" s="64">
        <f>MODEL!BH39</f>
        <v>-119</v>
      </c>
      <c r="I24" s="64">
        <f>MODEL!BI39</f>
        <v>-23</v>
      </c>
      <c r="J24" s="64">
        <f>MODEL!BJ39</f>
        <v>-142</v>
      </c>
      <c r="K24" s="64"/>
      <c r="L24" s="64">
        <f>MODEL!BL39</f>
        <v>-61</v>
      </c>
      <c r="M24" s="64">
        <f>MODEL!BM39</f>
        <v>12</v>
      </c>
      <c r="N24" s="64">
        <f>MODEL!BN39</f>
        <v>-49</v>
      </c>
      <c r="O24" s="64"/>
      <c r="P24" s="64">
        <f>MODEL!BP39</f>
        <v>-88</v>
      </c>
      <c r="Q24" s="64">
        <f>MODEL!BQ39</f>
        <v>14</v>
      </c>
      <c r="R24" s="64">
        <f>MODEL!BR39</f>
        <v>-74</v>
      </c>
      <c r="S24" s="64"/>
      <c r="T24" s="64">
        <f>MODEL!BT39</f>
        <v>-185</v>
      </c>
      <c r="U24" s="64">
        <f>MODEL!BU39</f>
        <v>-37</v>
      </c>
      <c r="V24" s="64">
        <f>MODEL!BV39</f>
        <v>-222</v>
      </c>
      <c r="W24" s="64"/>
      <c r="X24" s="64">
        <f>MODEL!BX39</f>
        <v>-12</v>
      </c>
      <c r="Y24" s="64">
        <f>MODEL!BY39</f>
        <v>59</v>
      </c>
      <c r="Z24" s="64">
        <f>MODEL!BZ39</f>
        <v>47</v>
      </c>
      <c r="AA24" s="64"/>
      <c r="AB24" s="64">
        <f>MODEL!CB39</f>
        <v>35</v>
      </c>
      <c r="AC24" s="64">
        <f>MODEL!CC39</f>
        <v>-118</v>
      </c>
      <c r="AD24" s="64">
        <f>MODEL!CD39</f>
        <v>-83</v>
      </c>
      <c r="AE24" s="64"/>
      <c r="AF24" s="64">
        <f>MODEL!CF39</f>
        <v>-169</v>
      </c>
      <c r="AG24" s="64">
        <f>MODEL!CG39</f>
        <v>34</v>
      </c>
      <c r="AH24" s="65">
        <f>MODEL!CH39</f>
        <v>-135</v>
      </c>
      <c r="AI24" s="64"/>
      <c r="AJ24" s="64">
        <f>MODEL!CJ39</f>
        <v>1667</v>
      </c>
      <c r="AK24" s="64">
        <f>MODEL!CK39</f>
        <v>518</v>
      </c>
      <c r="AL24" s="65">
        <f>MODEL!CL39</f>
        <v>2185</v>
      </c>
      <c r="AM24" s="64"/>
      <c r="AN24" s="64">
        <f>MODEL!CN39</f>
        <v>902</v>
      </c>
      <c r="AO24" s="64">
        <f>MODEL!CO39</f>
        <v>478</v>
      </c>
      <c r="AP24" s="65">
        <f>MODEL!CP39</f>
        <v>1380</v>
      </c>
      <c r="AQ24" s="64"/>
      <c r="AR24" s="64">
        <f>MODEL!CR39</f>
        <v>1024</v>
      </c>
      <c r="AS24" s="64">
        <f>MODEL!CS39</f>
        <v>39</v>
      </c>
      <c r="AT24" s="65">
        <f>MODEL!CT39</f>
        <v>1063</v>
      </c>
      <c r="AU24" s="64"/>
      <c r="AV24" s="64">
        <f>MODEL!CV39</f>
        <v>-18</v>
      </c>
      <c r="AW24" s="64">
        <f>MODEL!CW39</f>
        <v>-74</v>
      </c>
      <c r="AX24" s="65">
        <f>MODEL!CX39</f>
        <v>-92</v>
      </c>
      <c r="AY24" s="64"/>
      <c r="AZ24" s="64">
        <f>MODEL!CZ39</f>
        <v>-266</v>
      </c>
      <c r="BA24" s="64">
        <f>MODEL!DA39</f>
        <v>-187</v>
      </c>
      <c r="BB24" s="65">
        <f>MODEL!DB39</f>
        <v>-453</v>
      </c>
      <c r="BC24" s="64"/>
      <c r="BD24" s="64">
        <f>MODEL!DD39</f>
        <v>1</v>
      </c>
      <c r="BE24" s="64">
        <f>MODEL!DE39</f>
        <v>-138</v>
      </c>
      <c r="BF24" s="1408">
        <f>MODEL!DF39</f>
        <v>-137</v>
      </c>
      <c r="BG24" s="64"/>
      <c r="BH24" s="64">
        <f>MODEL!DH39</f>
        <v>-78</v>
      </c>
      <c r="BI24" s="64">
        <f>MODEL!DI39</f>
        <v>0</v>
      </c>
      <c r="BJ24" s="64">
        <f>MODEL!DJ39</f>
        <v>-78</v>
      </c>
      <c r="BK24" s="64"/>
      <c r="BL24" s="64">
        <f>MODEL!DL39</f>
        <v>0</v>
      </c>
      <c r="BM24" s="64">
        <f>MODEL!DM39</f>
        <v>0</v>
      </c>
      <c r="BN24" s="66">
        <f>MODEL!DN39</f>
        <v>0</v>
      </c>
      <c r="BO24" s="64"/>
      <c r="BP24" s="64">
        <f>MODEL!DP39</f>
        <v>0</v>
      </c>
      <c r="BQ24" s="64">
        <f>MODEL!DQ39</f>
        <v>0</v>
      </c>
      <c r="BR24" s="66">
        <f>MODEL!DR39</f>
        <v>0</v>
      </c>
      <c r="BS24" s="48"/>
      <c r="BT24" s="150" t="s">
        <v>59</v>
      </c>
      <c r="BU24" s="151"/>
      <c r="BV24" s="151">
        <f>MODEL!BH1414*100</f>
        <v>2.8293882114235203</v>
      </c>
      <c r="BW24" s="151">
        <f>MODEL!BI1414*100</f>
        <v>2.8894904052514465</v>
      </c>
      <c r="BX24" s="151">
        <f>MODEL!BJ1414*100</f>
        <v>2.8594775729942046</v>
      </c>
      <c r="BY24" s="151"/>
      <c r="BZ24" s="151">
        <f>MODEL!BL1414*100</f>
        <v>2.8921792899543544</v>
      </c>
      <c r="CA24" s="151">
        <f>MODEL!BM1414*100</f>
        <v>2.8474843289207481</v>
      </c>
      <c r="CB24" s="151">
        <f>MODEL!BN1414*100</f>
        <v>2.8695538555346611</v>
      </c>
      <c r="CC24" s="151"/>
      <c r="CD24" s="151">
        <f>MODEL!BP1414*100</f>
        <v>2.8489600261724584</v>
      </c>
      <c r="CE24" s="151">
        <f>MODEL!BQ1414*100</f>
        <v>2.7448690298325489</v>
      </c>
      <c r="CF24" s="151">
        <f>MODEL!BR1414*100</f>
        <v>2.7952247157710044</v>
      </c>
      <c r="CG24" s="151">
        <f>MODEL!BS1414*100</f>
        <v>0</v>
      </c>
      <c r="CH24" s="151">
        <f>MODEL!BT1414*100</f>
        <v>2.7169878552127562</v>
      </c>
      <c r="CI24" s="151">
        <f>MODEL!BU1414*100</f>
        <v>2.6844691088171988</v>
      </c>
      <c r="CJ24" s="151">
        <f>MODEL!BV1414*100</f>
        <v>2.7005776662979977</v>
      </c>
      <c r="CK24" s="151"/>
      <c r="CL24" s="151">
        <f>MODEL!BX1414*100</f>
        <v>2.6601290632825187</v>
      </c>
      <c r="CM24" s="151">
        <f>MODEL!BY1414*100</f>
        <v>2.5406329564233956</v>
      </c>
      <c r="CN24" s="151">
        <f>MODEL!BZ1414*100</f>
        <v>2.599932327710774</v>
      </c>
      <c r="CO24" s="151"/>
      <c r="CP24" s="151">
        <f>MODEL!CB1414*100</f>
        <v>2.5829907573063258</v>
      </c>
      <c r="CQ24" s="151">
        <f>MODEL!CC1414*100</f>
        <v>2.5222852837258096</v>
      </c>
      <c r="CR24" s="151">
        <f>MODEL!CD1414*100</f>
        <v>2.5527329565998524</v>
      </c>
      <c r="CS24" s="151"/>
      <c r="CT24" s="151">
        <f>MODEL!CF1414*100</f>
        <v>2.4324266339641869</v>
      </c>
      <c r="CU24" s="151">
        <f>MODEL!CG1414*100</f>
        <v>2.4012563008791403</v>
      </c>
      <c r="CV24" s="151">
        <f>MODEL!CH1414*100</f>
        <v>2.4170054513062431</v>
      </c>
      <c r="CW24" s="151"/>
      <c r="CX24" s="151">
        <f>MODEL!CJ1414*100</f>
        <v>2.4319282824387201</v>
      </c>
      <c r="CY24" s="151">
        <f>MODEL!CK1414*100</f>
        <v>2.3225393184777019</v>
      </c>
      <c r="CZ24" s="151">
        <f>MODEL!CL1414*100</f>
        <v>2.3766299884874327</v>
      </c>
      <c r="DA24" s="151"/>
      <c r="DB24" s="151">
        <f>MODEL!CN1414*100</f>
        <v>2.3011152755727018</v>
      </c>
      <c r="DC24" s="151">
        <f>MODEL!CO1414*100</f>
        <v>2.349114412879485</v>
      </c>
      <c r="DD24" s="151">
        <f>MODEL!CP1414*100</f>
        <v>2.3219577652838672</v>
      </c>
      <c r="DE24" s="151"/>
      <c r="DF24" s="151">
        <f>MODEL!CR1414*100</f>
        <v>2.1345264725711499</v>
      </c>
      <c r="DG24" s="151">
        <f>MODEL!CS1414*100</f>
        <v>2.1634361710814209</v>
      </c>
      <c r="DH24" s="151">
        <f>MODEL!CT1414*100</f>
        <v>2.1491514033595669</v>
      </c>
      <c r="DI24" s="151"/>
      <c r="DJ24" s="151">
        <f>MODEL!CV1414*100</f>
        <v>2.2012677763929012</v>
      </c>
      <c r="DK24" s="151">
        <f>MODEL!CW1414*100</f>
        <v>2.1976745488666389</v>
      </c>
      <c r="DL24" s="152">
        <f>MODEL!CX1414*100</f>
        <v>2.1994776696479379</v>
      </c>
      <c r="DM24" s="151"/>
      <c r="DN24" s="151">
        <f>MODEL!CZ1414*100</f>
        <v>2.1505143325434406</v>
      </c>
      <c r="DO24" s="151">
        <f>MODEL!DA1414*100</f>
        <v>2.1398482183783201</v>
      </c>
      <c r="DP24" s="152">
        <f>MODEL!DB1414*100</f>
        <v>2.1451915941708637</v>
      </c>
      <c r="DQ24" s="151"/>
      <c r="DR24" s="151">
        <f>MODEL!DD1414*100</f>
        <v>2.2074381506925365</v>
      </c>
      <c r="DS24" s="151">
        <f>MODEL!DE1414*100</f>
        <v>2.1990858550320396</v>
      </c>
      <c r="DT24" s="1411">
        <f>MODEL!DF1414*100</f>
        <v>2.2032143011944494</v>
      </c>
      <c r="DU24" s="151"/>
      <c r="DV24" s="151">
        <f>MODEL!DH1414*100</f>
        <v>2.1684127773677373</v>
      </c>
      <c r="DW24" s="151">
        <f ca="1">MODEL!DI1414*100</f>
        <v>2.1527010275629745</v>
      </c>
      <c r="DX24" s="151">
        <f ca="1">MODEL!DJ1414*100</f>
        <v>2.1601478051322971</v>
      </c>
      <c r="DY24" s="151"/>
      <c r="DZ24" s="151">
        <f ca="1">MODEL!DL1414*100</f>
        <v>2.1530685532082159</v>
      </c>
      <c r="EA24" s="151">
        <f ca="1">MODEL!DM1414*100</f>
        <v>2.132992607979769</v>
      </c>
      <c r="EB24" s="151">
        <f ca="1">MODEL!DN1414*100</f>
        <v>2.1427010050469004</v>
      </c>
      <c r="EC24" s="151"/>
      <c r="ED24" s="151">
        <f ca="1">MODEL!DP1414*100</f>
        <v>2.126756797329989</v>
      </c>
      <c r="EE24" s="151">
        <f ca="1">MODEL!DQ1414*100</f>
        <v>2.1089246709864375</v>
      </c>
      <c r="EF24" s="151">
        <f ca="1">MODEL!DR1414*100</f>
        <v>2.1176447358882844</v>
      </c>
      <c r="EG24" s="151"/>
      <c r="EH24" s="1359"/>
      <c r="EI24" s="4"/>
      <c r="EJ24" s="6"/>
      <c r="EK24" s="162"/>
      <c r="EM24" s="6"/>
      <c r="EN24" s="6"/>
      <c r="EO24" s="6"/>
      <c r="EP24" s="6"/>
      <c r="EQ24" s="6"/>
      <c r="ER24" s="6"/>
      <c r="EU24" s="4"/>
      <c r="EV24" s="6"/>
    </row>
    <row r="25" spans="1:179" x14ac:dyDescent="0.2">
      <c r="A25" s="153"/>
      <c r="C25" s="154" t="s">
        <v>60</v>
      </c>
      <c r="D25" s="155">
        <v>3556</v>
      </c>
      <c r="E25" s="155">
        <v>3515</v>
      </c>
      <c r="F25" s="155">
        <v>7071</v>
      </c>
      <c r="G25" s="156"/>
      <c r="H25" s="155">
        <f>MODEL!BH40</f>
        <v>3631</v>
      </c>
      <c r="I25" s="155">
        <f>MODEL!BI40</f>
        <v>3987</v>
      </c>
      <c r="J25" s="155">
        <f>MODEL!BJ40</f>
        <v>7618</v>
      </c>
      <c r="K25" s="155"/>
      <c r="L25" s="155">
        <f>MODEL!BL40</f>
        <v>4207</v>
      </c>
      <c r="M25" s="155">
        <f>MODEL!BM40</f>
        <v>4424</v>
      </c>
      <c r="N25" s="155">
        <f>MODEL!BN40</f>
        <v>8631</v>
      </c>
      <c r="O25" s="155"/>
      <c r="P25" s="155">
        <f>MODEL!BP40</f>
        <v>4531</v>
      </c>
      <c r="Q25" s="155">
        <f>MODEL!BQ40</f>
        <v>4532</v>
      </c>
      <c r="R25" s="155">
        <f>MODEL!BR40</f>
        <v>9063</v>
      </c>
      <c r="S25" s="155"/>
      <c r="T25" s="155">
        <f>MODEL!BT40</f>
        <v>4623</v>
      </c>
      <c r="U25" s="155">
        <f>MODEL!BU40</f>
        <v>4600</v>
      </c>
      <c r="V25" s="155">
        <f>MODEL!BV40</f>
        <v>9223</v>
      </c>
      <c r="W25" s="155"/>
      <c r="X25" s="155">
        <f>MODEL!BX40</f>
        <v>4895</v>
      </c>
      <c r="Y25" s="155">
        <f>MODEL!BY40</f>
        <v>5033</v>
      </c>
      <c r="Z25" s="155">
        <f>MODEL!BZ40</f>
        <v>9928</v>
      </c>
      <c r="AA25" s="155"/>
      <c r="AB25" s="155">
        <f>MODEL!CB40</f>
        <v>4906</v>
      </c>
      <c r="AC25" s="155">
        <f>MODEL!CC40</f>
        <v>4423</v>
      </c>
      <c r="AD25" s="155">
        <f>MODEL!CD40</f>
        <v>9329</v>
      </c>
      <c r="AE25" s="155"/>
      <c r="AF25" s="155">
        <f>MODEL!CF40</f>
        <v>4642</v>
      </c>
      <c r="AG25" s="155">
        <f>MODEL!CG40</f>
        <v>3929</v>
      </c>
      <c r="AH25" s="157">
        <f>MODEL!CH40</f>
        <v>8571</v>
      </c>
      <c r="AI25" s="155"/>
      <c r="AJ25" s="155">
        <f>MODEL!CJ40</f>
        <v>6139</v>
      </c>
      <c r="AK25" s="155">
        <f>MODEL!CK40</f>
        <v>3453</v>
      </c>
      <c r="AL25" s="157">
        <f>MODEL!CL40</f>
        <v>9592</v>
      </c>
      <c r="AM25" s="155"/>
      <c r="AN25" s="155">
        <f>MODEL!CN40</f>
        <v>4869</v>
      </c>
      <c r="AO25" s="155">
        <f>MODEL!CO40</f>
        <v>5312</v>
      </c>
      <c r="AP25" s="157">
        <f>MODEL!CP40</f>
        <v>10181</v>
      </c>
      <c r="AQ25" s="155"/>
      <c r="AR25" s="155">
        <f>MODEL!CR40</f>
        <v>5870</v>
      </c>
      <c r="AS25" s="155">
        <f>MODEL!CS40</f>
        <v>4901</v>
      </c>
      <c r="AT25" s="157">
        <f>MODEL!CT40</f>
        <v>10771</v>
      </c>
      <c r="AU25" s="155"/>
      <c r="AV25" s="155">
        <f>MODEL!CV40</f>
        <v>5172</v>
      </c>
      <c r="AW25" s="155">
        <f>MODEL!CW40</f>
        <v>4826</v>
      </c>
      <c r="AX25" s="157">
        <f>MODEL!CX40</f>
        <v>9998</v>
      </c>
      <c r="AY25" s="155"/>
      <c r="AZ25" s="155">
        <f>MODEL!CZ40</f>
        <v>4759</v>
      </c>
      <c r="BA25" s="155">
        <f>MODEL!DA40</f>
        <v>4635</v>
      </c>
      <c r="BB25" s="157">
        <f>MODEL!DB40</f>
        <v>9394</v>
      </c>
      <c r="BC25" s="155"/>
      <c r="BD25" s="155">
        <f>MODEL!DD40</f>
        <v>5134</v>
      </c>
      <c r="BE25" s="155">
        <f>MODEL!DE40</f>
        <v>4982</v>
      </c>
      <c r="BF25" s="1440">
        <f>MODEL!DF40</f>
        <v>10116</v>
      </c>
      <c r="BG25" s="155"/>
      <c r="BH25" s="155">
        <f>MODEL!DH40</f>
        <v>5367</v>
      </c>
      <c r="BI25" s="1462">
        <f>MODEL!DI40</f>
        <v>5624.6533908786996</v>
      </c>
      <c r="BJ25" s="1462">
        <f>MODEL!DJ40</f>
        <v>10991.653390878699</v>
      </c>
      <c r="BK25" s="155"/>
      <c r="BL25" s="155">
        <f>MODEL!DL40</f>
        <v>5925.752202661316</v>
      </c>
      <c r="BM25" s="155">
        <f>MODEL!DM40</f>
        <v>5875.5559828987753</v>
      </c>
      <c r="BN25" s="158">
        <f>MODEL!DN40</f>
        <v>11801.308185560092</v>
      </c>
      <c r="BO25" s="155"/>
      <c r="BP25" s="155">
        <f>MODEL!DP40</f>
        <v>6138.004567935679</v>
      </c>
      <c r="BQ25" s="155">
        <f>MODEL!DQ40</f>
        <v>6120.7022288395801</v>
      </c>
      <c r="BR25" s="158">
        <f>MODEL!DR40</f>
        <v>12258.706796775259</v>
      </c>
      <c r="BS25" s="48"/>
      <c r="BT25" s="150" t="s">
        <v>61</v>
      </c>
      <c r="BU25" s="151"/>
      <c r="BV25" s="151">
        <f>MODEL!BH1415*100</f>
        <v>-1.2283873204809861</v>
      </c>
      <c r="BW25" s="151">
        <f>MODEL!BI1415*100</f>
        <v>-1.2463876672101522</v>
      </c>
      <c r="BX25" s="151">
        <f>MODEL!BJ1415*100</f>
        <v>-1.2373994012140521</v>
      </c>
      <c r="BY25" s="151"/>
      <c r="BZ25" s="151">
        <f>MODEL!BL1415*100</f>
        <v>-1.2325747942745908</v>
      </c>
      <c r="CA25" s="151">
        <f>MODEL!BM1415*100</f>
        <v>-1.2014445564485661</v>
      </c>
      <c r="CB25" s="151">
        <f>MODEL!BN1415*100</f>
        <v>-1.2168158597260723</v>
      </c>
      <c r="CC25" s="151"/>
      <c r="CD25" s="151">
        <f>MODEL!BP1415*100</f>
        <v>-1.1942156076611325</v>
      </c>
      <c r="CE25" s="151">
        <f>MODEL!BQ1415*100</f>
        <v>-1.1759755210897946</v>
      </c>
      <c r="CF25" s="151">
        <f>MODEL!BR1415*100</f>
        <v>-1.1846925347654444</v>
      </c>
      <c r="CG25" s="151">
        <f>MODEL!BS1415*100</f>
        <v>0</v>
      </c>
      <c r="CH25" s="151">
        <f>MODEL!BT1415*100</f>
        <v>-1.139734841035303</v>
      </c>
      <c r="CI25" s="151">
        <f>MODEL!BU1415*100</f>
        <v>-1.1376382432433718</v>
      </c>
      <c r="CJ25" s="151">
        <f>MODEL!BV1415*100</f>
        <v>-1.138636092057757</v>
      </c>
      <c r="CK25" s="151"/>
      <c r="CL25" s="151">
        <f>MODEL!BX1415*100</f>
        <v>-1.1345186203668489</v>
      </c>
      <c r="CM25" s="151">
        <f>MODEL!BY1415*100</f>
        <v>-1.0509584941476608</v>
      </c>
      <c r="CN25" s="151">
        <f>MODEL!BZ1415*100</f>
        <v>-1.09242409750569</v>
      </c>
      <c r="CO25" s="151"/>
      <c r="CP25" s="151">
        <f>MODEL!CB1415*100</f>
        <v>-1.1141432185835491</v>
      </c>
      <c r="CQ25" s="151">
        <f>MODEL!CC1415*100</f>
        <v>-1.1383474445170099</v>
      </c>
      <c r="CR25" s="151">
        <f>MODEL!CD1415*100</f>
        <v>-1.1262057161469936</v>
      </c>
      <c r="CS25" s="151"/>
      <c r="CT25" s="151">
        <f>MODEL!CF1415*100</f>
        <v>-1.0277458988876207</v>
      </c>
      <c r="CU25" s="151">
        <f>MODEL!CG1415*100</f>
        <v>-1.1930653016189567</v>
      </c>
      <c r="CV25" s="151">
        <f>MODEL!CH1415*100</f>
        <v>-1.1095325079493945</v>
      </c>
      <c r="CW25" s="151"/>
      <c r="CX25" s="151">
        <f>MODEL!CJ1415*100</f>
        <v>-1.063349162503564</v>
      </c>
      <c r="CY25" s="151">
        <f>MODEL!CK1415*100</f>
        <v>-1.1355472098094672</v>
      </c>
      <c r="CZ25" s="151">
        <f>MODEL!CL1415*100</f>
        <v>-1.0998452654942052</v>
      </c>
      <c r="DA25" s="151"/>
      <c r="DB25" s="151">
        <f>MODEL!CN1415*100</f>
        <v>-1.0756237359524266</v>
      </c>
      <c r="DC25" s="151">
        <f>MODEL!CO1415*100</f>
        <v>-1.1110858494045812</v>
      </c>
      <c r="DD25" s="151">
        <f>MODEL!CP1415*100</f>
        <v>-1.0918661308105415</v>
      </c>
      <c r="DE25" s="151"/>
      <c r="DF25" s="151">
        <f>MODEL!CR1415*100</f>
        <v>-0.96791528325890897</v>
      </c>
      <c r="DG25" s="151">
        <f>MODEL!CS1415*100</f>
        <v>-1.021020822117428</v>
      </c>
      <c r="DH25" s="151">
        <f>MODEL!CT1415*100</f>
        <v>-0.99479534357783339</v>
      </c>
      <c r="DI25" s="151"/>
      <c r="DJ25" s="151">
        <f>MODEL!CV1415*100</f>
        <v>-0.93282822235309548</v>
      </c>
      <c r="DK25" s="151">
        <f>MODEL!CW1415*100</f>
        <v>-0.98970171920170924</v>
      </c>
      <c r="DL25" s="152">
        <f>MODEL!CX1415*100</f>
        <v>-0.96117214692040698</v>
      </c>
      <c r="DM25" s="151"/>
      <c r="DN25" s="151">
        <f>MODEL!CZ1415*100</f>
        <v>-0.94708342390787748</v>
      </c>
      <c r="DO25" s="151">
        <f>MODEL!DA1415*100</f>
        <v>-0.98203607330678255</v>
      </c>
      <c r="DP25" s="152">
        <f>MODEL!DB1415*100</f>
        <v>-0.96452310655698892</v>
      </c>
      <c r="DQ25" s="151"/>
      <c r="DR25" s="151">
        <f>MODEL!DD1415*100</f>
        <v>-0.99778647203042059</v>
      </c>
      <c r="DS25" s="151">
        <f>MODEL!DE1415*100</f>
        <v>-1.0138324543243478</v>
      </c>
      <c r="DT25" s="1411">
        <f>MODEL!DF1415*100</f>
        <v>-1.0059010384093823</v>
      </c>
      <c r="DU25" s="151"/>
      <c r="DV25" s="151">
        <f>MODEL!DH1415*100</f>
        <v>-0.99463178457251267</v>
      </c>
      <c r="DW25" s="151">
        <f ca="1">MODEL!DI1415*100</f>
        <v>-0.96028622503473282</v>
      </c>
      <c r="DX25" s="151">
        <f ca="1">MODEL!DJ1415*100</f>
        <v>-0.97713401470927375</v>
      </c>
      <c r="DY25" s="151"/>
      <c r="DZ25" s="151">
        <f ca="1">MODEL!DL1415*100</f>
        <v>-0.94368270884846606</v>
      </c>
      <c r="EA25" s="151">
        <f ca="1">MODEL!DM1415*100</f>
        <v>-0.94064077114172706</v>
      </c>
      <c r="EB25" s="151">
        <f ca="1">MODEL!DN1415*100</f>
        <v>-0.94203617408448237</v>
      </c>
      <c r="EC25" s="151"/>
      <c r="ED25" s="151">
        <f ca="1">MODEL!DP1415*100</f>
        <v>-0.93109911002691426</v>
      </c>
      <c r="EE25" s="151">
        <f ca="1">MODEL!DQ1415*100</f>
        <v>-0.93073444879936618</v>
      </c>
      <c r="EF25" s="151">
        <f ca="1">MODEL!DR1415*100</f>
        <v>-0.93085483921065326</v>
      </c>
      <c r="EG25" s="151"/>
      <c r="EI25" s="4"/>
      <c r="EK25" s="1359"/>
      <c r="EM25" s="6"/>
      <c r="EN25" s="6"/>
      <c r="EO25" s="6"/>
      <c r="EP25" s="6"/>
      <c r="EQ25" s="6"/>
      <c r="ER25" s="6"/>
      <c r="EU25" s="4"/>
      <c r="EV25" s="6"/>
    </row>
    <row r="26" spans="1:179" x14ac:dyDescent="0.2">
      <c r="C26" s="2" t="s">
        <v>62</v>
      </c>
      <c r="AL26" s="159">
        <f>MODEL!CL77</f>
        <v>0</v>
      </c>
      <c r="AN26" s="64">
        <f>MODEL!CN77</f>
        <v>0</v>
      </c>
      <c r="AO26" s="64">
        <f>MODEL!CO77</f>
        <v>0</v>
      </c>
      <c r="AP26" s="65">
        <f>MODEL!CP77</f>
        <v>0</v>
      </c>
      <c r="AQ26" s="64">
        <f>MODEL!CQ77</f>
        <v>0</v>
      </c>
      <c r="AR26" s="64">
        <f>MODEL!CR77</f>
        <v>0</v>
      </c>
      <c r="AS26" s="64">
        <f>MODEL!CS77</f>
        <v>516</v>
      </c>
      <c r="AT26" s="65">
        <f>MODEL!CT77</f>
        <v>516</v>
      </c>
      <c r="AU26" s="64"/>
      <c r="AV26" s="64">
        <f>MODEL!CV77</f>
        <v>0</v>
      </c>
      <c r="AW26" s="64">
        <f>MODEL!CW77</f>
        <v>0</v>
      </c>
      <c r="AX26" s="65">
        <f>MODEL!CX77</f>
        <v>0</v>
      </c>
      <c r="AY26" s="64"/>
      <c r="AZ26" s="64">
        <f>MODEL!CZ77</f>
        <v>0</v>
      </c>
      <c r="BA26" s="64">
        <f>MODEL!DA77</f>
        <v>0</v>
      </c>
      <c r="BB26" s="65">
        <f>MODEL!DB77</f>
        <v>0</v>
      </c>
      <c r="BC26" s="64"/>
      <c r="BD26" s="64">
        <f>MODEL!DD77</f>
        <v>0</v>
      </c>
      <c r="BE26" s="64">
        <f>MODEL!DE77</f>
        <v>0</v>
      </c>
      <c r="BF26" s="1441">
        <f>MODEL!DF77</f>
        <v>0</v>
      </c>
      <c r="BG26" s="64"/>
      <c r="BH26" s="64">
        <f>MODEL!DH77</f>
        <v>0</v>
      </c>
      <c r="BI26" s="64">
        <f>MODEL!DI77</f>
        <v>0</v>
      </c>
      <c r="BJ26" s="1463">
        <f>MODEL!DJ77</f>
        <v>0</v>
      </c>
      <c r="BK26" s="64"/>
      <c r="BL26" s="64">
        <f>MODEL!DL77</f>
        <v>0</v>
      </c>
      <c r="BM26" s="64">
        <f>MODEL!DM77</f>
        <v>0</v>
      </c>
      <c r="BN26" s="160">
        <f>MODEL!DN77</f>
        <v>0</v>
      </c>
      <c r="BO26" s="64"/>
      <c r="BP26" s="64">
        <f>MODEL!DP77</f>
        <v>0</v>
      </c>
      <c r="BQ26" s="64">
        <f>MODEL!DQ77</f>
        <v>0</v>
      </c>
      <c r="BR26" s="160">
        <f>MODEL!DR77</f>
        <v>0</v>
      </c>
      <c r="BS26" s="130"/>
      <c r="BT26" s="161" t="s">
        <v>63</v>
      </c>
      <c r="BU26" s="151"/>
      <c r="BV26" s="151">
        <f>MODEL!BH1416*100</f>
        <v>1.6010008909425344</v>
      </c>
      <c r="BW26" s="151">
        <f>MODEL!BI1416*100</f>
        <v>1.6431027380412946</v>
      </c>
      <c r="BX26" s="151">
        <f>MODEL!BJ1416*100</f>
        <v>1.6220781717801522</v>
      </c>
      <c r="BY26" s="151"/>
      <c r="BZ26" s="151">
        <f>MODEL!BL1416*100</f>
        <v>1.6596044956797635</v>
      </c>
      <c r="CA26" s="151">
        <f>MODEL!BM1416*100</f>
        <v>1.6460397724721822</v>
      </c>
      <c r="CB26" s="151">
        <f>MODEL!BN1416*100</f>
        <v>1.6527379958085886</v>
      </c>
      <c r="CC26" s="151"/>
      <c r="CD26" s="151">
        <f>MODEL!BP1416*100</f>
        <v>1.6547444185113251</v>
      </c>
      <c r="CE26" s="151">
        <f>MODEL!BQ1416*100</f>
        <v>1.5688935087427542</v>
      </c>
      <c r="CF26" s="151">
        <f>MODEL!BR1416*100</f>
        <v>1.6105321810055602</v>
      </c>
      <c r="CG26" s="151">
        <f>MODEL!BS1416*100</f>
        <v>0</v>
      </c>
      <c r="CH26" s="151">
        <f>MODEL!BT1416*100</f>
        <v>1.5772530141774537</v>
      </c>
      <c r="CI26" s="151">
        <f>MODEL!BU1416*100</f>
        <v>1.5468308655738265</v>
      </c>
      <c r="CJ26" s="151">
        <f>MODEL!BV1416*100</f>
        <v>1.5619415742402407</v>
      </c>
      <c r="CK26" s="151"/>
      <c r="CL26" s="151">
        <f>MODEL!BX1416*100</f>
        <v>1.5256104429156696</v>
      </c>
      <c r="CM26" s="151">
        <f>MODEL!BY1416*100</f>
        <v>1.4896744622757345</v>
      </c>
      <c r="CN26" s="151">
        <f>MODEL!BZ1416*100</f>
        <v>1.5075082302050842</v>
      </c>
      <c r="CO26" s="151"/>
      <c r="CP26" s="151">
        <f>MODEL!CB1416*100</f>
        <v>1.4688475387227764</v>
      </c>
      <c r="CQ26" s="151">
        <f>MODEL!CC1416*100</f>
        <v>1.3839378392088</v>
      </c>
      <c r="CR26" s="151">
        <f>MODEL!CD1416*100</f>
        <v>1.4265272404528586</v>
      </c>
      <c r="CS26" s="151"/>
      <c r="CT26" s="151">
        <f>MODEL!CF1416*100</f>
        <v>1.4046807350765664</v>
      </c>
      <c r="CU26" s="151">
        <f>MODEL!CG1416*100</f>
        <v>1.2081909992601834</v>
      </c>
      <c r="CV26" s="151">
        <f>MODEL!CH1416*100</f>
        <v>1.3074729433568484</v>
      </c>
      <c r="CW26" s="151"/>
      <c r="CX26" s="151">
        <f>MODEL!CJ1416*100</f>
        <v>1.3685791199351558</v>
      </c>
      <c r="CY26" s="151">
        <f>MODEL!CK1416*100</f>
        <v>1.186992108668234</v>
      </c>
      <c r="CZ26" s="151">
        <f>MODEL!CL1416*100</f>
        <v>1.2767847229932274</v>
      </c>
      <c r="DA26" s="151"/>
      <c r="DB26" s="151">
        <f>MODEL!CN1416*100</f>
        <v>1.225491539620275</v>
      </c>
      <c r="DC26" s="151">
        <f>MODEL!CO1416*100</f>
        <v>1.2380285634749035</v>
      </c>
      <c r="DD26" s="151">
        <f>MODEL!CP1416*100</f>
        <v>1.2300916344733253</v>
      </c>
      <c r="DE26" s="151"/>
      <c r="DF26" s="151">
        <f>MODEL!CR1416*100</f>
        <v>1.1666111893122406</v>
      </c>
      <c r="DG26" s="151">
        <f>MODEL!CS1416*100</f>
        <v>1.1424153489639932</v>
      </c>
      <c r="DH26" s="151">
        <f>MODEL!CT1416*100</f>
        <v>1.1543560597817335</v>
      </c>
      <c r="DI26" s="151"/>
      <c r="DJ26" s="151">
        <f>MODEL!CV1416*100</f>
        <v>1.2684395540398059</v>
      </c>
      <c r="DK26" s="151">
        <f>MODEL!CW1416*100</f>
        <v>1.2079728296649292</v>
      </c>
      <c r="DL26" s="152">
        <f>MODEL!CX1416*100</f>
        <v>1.2383055227275306</v>
      </c>
      <c r="DM26" s="151"/>
      <c r="DN26" s="151">
        <f>MODEL!CZ1416*100</f>
        <v>1.203430908635563</v>
      </c>
      <c r="DO26" s="151">
        <f>MODEL!DA1416*100</f>
        <v>1.1578121450715377</v>
      </c>
      <c r="DP26" s="152">
        <f>MODEL!DB1416*100</f>
        <v>1.1806684876138749</v>
      </c>
      <c r="DQ26" s="151"/>
      <c r="DR26" s="151">
        <f>MODEL!DD1416*100</f>
        <v>1.2096516786621154</v>
      </c>
      <c r="DS26" s="151">
        <f>MODEL!DE1416*100</f>
        <v>1.1852534007076916</v>
      </c>
      <c r="DT26" s="1411">
        <f>MODEL!DF1416*100</f>
        <v>1.1973132627850671</v>
      </c>
      <c r="DU26" s="151"/>
      <c r="DV26" s="151">
        <f>MODEL!DH1416*100</f>
        <v>1.173780992795225</v>
      </c>
      <c r="DW26" s="151">
        <f ca="1">MODEL!DI1416*100</f>
        <v>1.1924148025282422</v>
      </c>
      <c r="DX26" s="151">
        <f ca="1">MODEL!DJ1416*100</f>
        <v>1.1830137904230236</v>
      </c>
      <c r="DY26" s="151"/>
      <c r="DZ26" s="151">
        <f ca="1">MODEL!DL1416*100</f>
        <v>1.2093858443597496</v>
      </c>
      <c r="EA26" s="151">
        <f ca="1">MODEL!DM1416*100</f>
        <v>1.1923518368380417</v>
      </c>
      <c r="EB26" s="151">
        <f ca="1">MODEL!DN1416*100</f>
        <v>1.2006648309624179</v>
      </c>
      <c r="EC26" s="151"/>
      <c r="ED26" s="151">
        <f ca="1">MODEL!DP1416*100</f>
        <v>1.1956576873030744</v>
      </c>
      <c r="EE26" s="151">
        <f ca="1">MODEL!DQ1416*100</f>
        <v>1.178190222187071</v>
      </c>
      <c r="EF26" s="151">
        <f ca="1">MODEL!DR1416*100</f>
        <v>1.1867898966776311</v>
      </c>
      <c r="EG26" s="151"/>
      <c r="EH26" s="153"/>
      <c r="EI26" s="4"/>
      <c r="EJ26" s="6"/>
      <c r="EK26" s="162"/>
      <c r="EM26" s="6"/>
      <c r="EN26" s="6"/>
      <c r="EO26" s="6"/>
      <c r="EP26" s="6"/>
      <c r="EQ26" s="6"/>
      <c r="ER26" s="6"/>
      <c r="EU26" s="4"/>
      <c r="EV26" s="6"/>
    </row>
    <row r="27" spans="1:179" x14ac:dyDescent="0.2">
      <c r="C27" s="4" t="s">
        <v>64</v>
      </c>
      <c r="D27" s="44"/>
      <c r="E27" s="44"/>
      <c r="F27" s="44"/>
      <c r="G27" s="87"/>
      <c r="H27" s="44"/>
      <c r="I27" s="44"/>
      <c r="J27" s="44"/>
      <c r="K27" s="44"/>
      <c r="L27" s="44"/>
      <c r="M27" s="44"/>
      <c r="N27" s="44"/>
      <c r="O27" s="44"/>
      <c r="P27" s="44"/>
      <c r="Q27" s="44"/>
      <c r="R27" s="44"/>
      <c r="S27" s="44"/>
      <c r="T27" s="44"/>
      <c r="U27" s="44"/>
      <c r="V27" s="44"/>
      <c r="W27" s="44"/>
      <c r="X27" s="44"/>
      <c r="Y27" s="44"/>
      <c r="Z27" s="44"/>
      <c r="AA27" s="44"/>
      <c r="AB27" s="44"/>
      <c r="AC27" s="44"/>
      <c r="AD27" s="44"/>
      <c r="AE27" s="44"/>
      <c r="AF27" s="44">
        <f>MODEL!CF89</f>
        <v>-91</v>
      </c>
      <c r="AG27" s="44">
        <f>MODEL!CG89</f>
        <v>-599</v>
      </c>
      <c r="AH27" s="46">
        <f>MODEL!CH89</f>
        <v>-690</v>
      </c>
      <c r="AI27" s="44">
        <f>MODEL!CI89</f>
        <v>0</v>
      </c>
      <c r="AJ27" s="44">
        <f>MODEL!CJ89</f>
        <v>0</v>
      </c>
      <c r="AK27" s="44">
        <f>MODEL!CK89</f>
        <v>-461</v>
      </c>
      <c r="AL27" s="98">
        <f>MODEL!CL89</f>
        <v>-461</v>
      </c>
      <c r="AM27" s="44">
        <f>MODEL!CM89</f>
        <v>0</v>
      </c>
      <c r="AN27" s="162">
        <f>MODEL!CN89</f>
        <v>-242</v>
      </c>
      <c r="AO27" s="162">
        <f>MODEL!CO89</f>
        <v>-333</v>
      </c>
      <c r="AP27" s="163">
        <f>MODEL!CP89</f>
        <v>-575</v>
      </c>
      <c r="AQ27" s="2">
        <f>MODEL!CQ89</f>
        <v>0</v>
      </c>
      <c r="AR27" s="162">
        <f>MODEL!CR89</f>
        <v>-93</v>
      </c>
      <c r="AS27" s="162">
        <f>MODEL!CS89</f>
        <v>-547</v>
      </c>
      <c r="AT27" s="163">
        <f>MODEL!CT89</f>
        <v>-640</v>
      </c>
      <c r="AU27" s="97"/>
      <c r="AV27" s="97">
        <f>MODEL!CV89</f>
        <v>-137</v>
      </c>
      <c r="AW27" s="97">
        <f>MODEL!CW89</f>
        <v>-212</v>
      </c>
      <c r="AX27" s="98">
        <f>MODEL!CX89</f>
        <v>-212</v>
      </c>
      <c r="AY27" s="97"/>
      <c r="AZ27" s="97">
        <f>MODEL!CZ89</f>
        <v>0</v>
      </c>
      <c r="BA27" s="97">
        <f>MODEL!DA89</f>
        <v>-89</v>
      </c>
      <c r="BB27" s="98">
        <f>MODEL!DB89</f>
        <v>-89</v>
      </c>
      <c r="BC27" s="97"/>
      <c r="BD27" s="97">
        <f>MODEL!DD89</f>
        <v>0</v>
      </c>
      <c r="BE27" s="97">
        <f>MODEL!DE89</f>
        <v>-130</v>
      </c>
      <c r="BF27" s="1429">
        <f>MODEL!DF89</f>
        <v>-130</v>
      </c>
      <c r="BG27" s="97"/>
      <c r="BH27" s="97">
        <f>MODEL!DH89</f>
        <v>-170</v>
      </c>
      <c r="BI27" s="97">
        <f>MODEL!DI89</f>
        <v>-50</v>
      </c>
      <c r="BJ27" s="97">
        <f>MODEL!DJ89</f>
        <v>-220</v>
      </c>
      <c r="BK27" s="97"/>
      <c r="BL27" s="97">
        <f>MODEL!DL89</f>
        <v>0</v>
      </c>
      <c r="BM27" s="97">
        <f>MODEL!DM89</f>
        <v>-50</v>
      </c>
      <c r="BN27" s="99">
        <f>MODEL!DN89</f>
        <v>-50</v>
      </c>
      <c r="BO27" s="97"/>
      <c r="BP27" s="97">
        <f>MODEL!DP89</f>
        <v>0</v>
      </c>
      <c r="BQ27" s="97">
        <f>MODEL!DQ89</f>
        <v>-50</v>
      </c>
      <c r="BR27" s="99">
        <f>MODEL!DR89</f>
        <v>-50</v>
      </c>
      <c r="BS27" s="130"/>
      <c r="BT27" s="164" t="s">
        <v>65</v>
      </c>
      <c r="BU27" s="165"/>
      <c r="BV27" s="165">
        <f>MODEL!BH1422*100</f>
        <v>1.0257185371376938</v>
      </c>
      <c r="BW27" s="165">
        <f>MODEL!BI1422*100</f>
        <v>1.0946702161938162</v>
      </c>
      <c r="BX27" s="165">
        <f>MODEL!BJ1422*100</f>
        <v>1.0602356689647594</v>
      </c>
      <c r="BY27" s="165"/>
      <c r="BZ27" s="165">
        <f>MODEL!BL1422*100</f>
        <v>1.1013007791403153</v>
      </c>
      <c r="CA27" s="165">
        <f>MODEL!BM1422*100</f>
        <v>1.1108554344585519</v>
      </c>
      <c r="CB27" s="165">
        <f>MODEL!BN1422*100</f>
        <v>1.1061380091309228</v>
      </c>
      <c r="CC27" s="165"/>
      <c r="CD27" s="165">
        <f>MODEL!BP1422*100</f>
        <v>1.1166912326420237</v>
      </c>
      <c r="CE27" s="165">
        <f>MODEL!BQ1422*100</f>
        <v>1.039600332682256</v>
      </c>
      <c r="CF27" s="165">
        <f>MODEL!BR1422*100</f>
        <v>1.0770471008049696</v>
      </c>
      <c r="CG27" s="165">
        <f>MODEL!BS1422*100</f>
        <v>0</v>
      </c>
      <c r="CH27" s="165">
        <f>MODEL!BT1422*100</f>
        <v>1.044793397463456</v>
      </c>
      <c r="CI27" s="165">
        <f>MODEL!BU1422*100</f>
        <v>1.0058864941694363</v>
      </c>
      <c r="CJ27" s="165">
        <f>MODEL!BV1422*100</f>
        <v>1.0252526437495328</v>
      </c>
      <c r="CK27" s="165"/>
      <c r="CL27" s="165">
        <f>MODEL!BX1422*100</f>
        <v>1.0006313297645502</v>
      </c>
      <c r="CM27" s="165">
        <f>MODEL!BY1422*100</f>
        <v>0.99379680448928009</v>
      </c>
      <c r="CN27" s="165">
        <f>MODEL!BZ1422*100</f>
        <v>0.99718923455236019</v>
      </c>
      <c r="CO27" s="165"/>
      <c r="CP27" s="165">
        <f>MODEL!CB1422*100</f>
        <v>0.93893521243532974</v>
      </c>
      <c r="CQ27" s="165">
        <f>MODEL!CC1422*100</f>
        <v>0.88720814551000748</v>
      </c>
      <c r="CR27" s="165">
        <f>MODEL!CD1422*100</f>
        <v>0.91315361159167341</v>
      </c>
      <c r="CS27" s="165"/>
      <c r="CT27" s="165">
        <f>MODEL!CF1422*100</f>
        <v>0.92306431897723529</v>
      </c>
      <c r="CU27" s="165">
        <f>MODEL!CG1422*100</f>
        <v>0.76063611014991139</v>
      </c>
      <c r="CV27" s="165">
        <f>MODEL!CH1422*100</f>
        <v>0.8427075709397609</v>
      </c>
      <c r="CW27" s="165"/>
      <c r="CX27" s="165">
        <f>MODEL!CJ1422*100</f>
        <v>0.87381936123557113</v>
      </c>
      <c r="CY27" s="165">
        <f>MODEL!CK1422*100</f>
        <v>0.57479781224891147</v>
      </c>
      <c r="CZ27" s="165">
        <f>MODEL!CL1422*100</f>
        <v>0.72266115343721649</v>
      </c>
      <c r="DA27" s="165"/>
      <c r="DB27" s="165">
        <f>MODEL!CN1422*100</f>
        <v>0.74414462719799435</v>
      </c>
      <c r="DC27" s="165">
        <f>MODEL!CO1422*100</f>
        <v>0.92173123949391833</v>
      </c>
      <c r="DD27" s="165">
        <f>MODEL!CP1422*100</f>
        <v>0.83175610792355115</v>
      </c>
      <c r="DE27" s="165"/>
      <c r="DF27" s="165">
        <f>MODEL!CR1422*100</f>
        <v>0.83674425033639033</v>
      </c>
      <c r="DG27" s="165">
        <f>MODEL!CS1422*100</f>
        <v>0.83377062419121051</v>
      </c>
      <c r="DH27" s="165">
        <f>MODEL!CT1422*100</f>
        <v>0.8352346273739335</v>
      </c>
      <c r="DI27" s="165"/>
      <c r="DJ27" s="165">
        <f>MODEL!CV1422*100</f>
        <v>0.83700852100970646</v>
      </c>
      <c r="DK27" s="165">
        <f>MODEL!CW1422*100</f>
        <v>0.79566488255295997</v>
      </c>
      <c r="DL27" s="166">
        <f>MODEL!CX1422*100</f>
        <v>0.81640460986526719</v>
      </c>
      <c r="DM27" s="165"/>
      <c r="DN27" s="165">
        <f>MODEL!CZ1422*100</f>
        <v>0.79078551066272451</v>
      </c>
      <c r="DO27" s="165">
        <f>MODEL!DA1422*100</f>
        <v>0.7621182157433174</v>
      </c>
      <c r="DP27" s="166">
        <f>MODEL!DB1422*100</f>
        <v>0.77648136160538073</v>
      </c>
      <c r="DQ27" s="165"/>
      <c r="DR27" s="165">
        <f>MODEL!DD1422*100</f>
        <v>0.80361584658821716</v>
      </c>
      <c r="DS27" s="165">
        <f>MODEL!DE1422*100</f>
        <v>0.78363861203814333</v>
      </c>
      <c r="DT27" s="1412">
        <f>MODEL!DF1422*100</f>
        <v>0.79351319219552063</v>
      </c>
      <c r="DU27" s="165"/>
      <c r="DV27" s="165">
        <f>MODEL!DH1422*100</f>
        <v>0.78603339143647755</v>
      </c>
      <c r="DW27" s="165">
        <f ca="1">MODEL!DI1422*100</f>
        <v>0.79545178248789439</v>
      </c>
      <c r="DX27" s="165">
        <f ca="1">MODEL!DJ1422*100</f>
        <v>0.7906707784782705</v>
      </c>
      <c r="DY27" s="165"/>
      <c r="DZ27" s="165">
        <f ca="1">MODEL!DL1422*100</f>
        <v>0.79873606425023302</v>
      </c>
      <c r="EA27" s="165">
        <f ca="1">MODEL!DM1422*100</f>
        <v>0.78145328980294781</v>
      </c>
      <c r="EB27" s="165">
        <f ca="1">MODEL!DN1422*100</f>
        <v>0.78994014991003481</v>
      </c>
      <c r="EC27" s="165"/>
      <c r="ED27" s="165">
        <f ca="1">MODEL!DP1422*100</f>
        <v>0.78396220792690385</v>
      </c>
      <c r="EE27" s="165">
        <f ca="1">MODEL!DQ1422*100</f>
        <v>0.77168613532131758</v>
      </c>
      <c r="EF27" s="165">
        <f ca="1">MODEL!DR1422*100</f>
        <v>0.77773363338711987</v>
      </c>
      <c r="EG27" s="167"/>
      <c r="EI27" s="4"/>
      <c r="EJ27" s="1359"/>
      <c r="EK27" s="1359"/>
      <c r="EM27" s="6"/>
      <c r="EN27" s="6"/>
      <c r="EO27" s="6"/>
      <c r="EP27" s="6"/>
      <c r="EQ27" s="6"/>
      <c r="ER27" s="6"/>
      <c r="EU27" s="4"/>
      <c r="EV27" s="6"/>
    </row>
    <row r="28" spans="1:179" x14ac:dyDescent="0.2">
      <c r="C28" s="119" t="s">
        <v>66</v>
      </c>
      <c r="D28" s="119"/>
      <c r="E28" s="119"/>
      <c r="F28" s="119"/>
      <c r="G28" s="119"/>
      <c r="H28" s="119"/>
      <c r="I28" s="119"/>
      <c r="J28" s="119"/>
      <c r="K28" s="119"/>
      <c r="L28" s="119"/>
      <c r="M28" s="119"/>
      <c r="N28" s="119"/>
      <c r="O28" s="119"/>
      <c r="P28" s="119"/>
      <c r="Q28" s="119"/>
      <c r="R28" s="119"/>
      <c r="S28" s="119"/>
      <c r="T28" s="119"/>
      <c r="U28" s="119"/>
      <c r="V28" s="119"/>
      <c r="W28" s="119"/>
      <c r="X28" s="119"/>
      <c r="Y28" s="119"/>
      <c r="Z28" s="119"/>
      <c r="AA28" s="119"/>
      <c r="AB28" s="119"/>
      <c r="AC28" s="119"/>
      <c r="AD28" s="119"/>
      <c r="AE28" s="119"/>
      <c r="AF28" s="119"/>
      <c r="AG28" s="119"/>
      <c r="AH28" s="168">
        <f>MODEL!CH100</f>
        <v>-483</v>
      </c>
      <c r="AI28" s="119">
        <f>MODEL!CI100</f>
        <v>0</v>
      </c>
      <c r="AJ28" s="168">
        <f>MODEL!CJ100</f>
        <v>0</v>
      </c>
      <c r="AK28" s="168">
        <f>MODEL!CK100</f>
        <v>-322.70000000000005</v>
      </c>
      <c r="AL28" s="169">
        <f>MODEL!CL100</f>
        <v>-322.70000000000005</v>
      </c>
      <c r="AM28" s="119">
        <f>MODEL!CM100</f>
        <v>0</v>
      </c>
      <c r="AN28" s="168">
        <f>MODEL!CN100</f>
        <v>-169.4</v>
      </c>
      <c r="AO28" s="168">
        <f>MODEL!CO100</f>
        <v>-233.10000000000002</v>
      </c>
      <c r="AP28" s="169">
        <f>MODEL!CP100</f>
        <v>-402.5</v>
      </c>
      <c r="AQ28" s="119">
        <f>MODEL!CQ100</f>
        <v>0</v>
      </c>
      <c r="AR28" s="168">
        <f>MODEL!CR100</f>
        <v>-65.099999999999994</v>
      </c>
      <c r="AS28" s="168">
        <f>MODEL!CS100</f>
        <v>-21.699999999999989</v>
      </c>
      <c r="AT28" s="169">
        <f>MODEL!CT100</f>
        <v>-86.799999999999983</v>
      </c>
      <c r="AU28" s="119"/>
      <c r="AV28" s="168">
        <f>MODEL!CV100</f>
        <v>-95.9</v>
      </c>
      <c r="AW28" s="168">
        <f>MODEL!CW100</f>
        <v>-148.4</v>
      </c>
      <c r="AX28" s="169">
        <f>MODEL!CX100</f>
        <v>-107.30000000000001</v>
      </c>
      <c r="AY28" s="119"/>
      <c r="AZ28" s="168">
        <f>MODEL!CZ100</f>
        <v>0</v>
      </c>
      <c r="BA28" s="168">
        <f>MODEL!DA100</f>
        <v>-62.3</v>
      </c>
      <c r="BB28" s="169">
        <f>MODEL!DB100</f>
        <v>-62.3</v>
      </c>
      <c r="BC28" s="119"/>
      <c r="BD28" s="168">
        <f>MODEL!DD100</f>
        <v>0</v>
      </c>
      <c r="BE28" s="168">
        <f>MODEL!DE100</f>
        <v>-91</v>
      </c>
      <c r="BF28" s="1442">
        <f>MODEL!DF100</f>
        <v>-91</v>
      </c>
      <c r="BG28" s="119"/>
      <c r="BH28" s="168">
        <f>MODEL!DH100</f>
        <v>-119</v>
      </c>
      <c r="BI28" s="1464">
        <f>MODEL!DI100</f>
        <v>-35</v>
      </c>
      <c r="BJ28" s="1464">
        <f>MODEL!DJ100</f>
        <v>-154</v>
      </c>
      <c r="BK28" s="119"/>
      <c r="BL28" s="168">
        <f>MODEL!DL100</f>
        <v>0</v>
      </c>
      <c r="BM28" s="168">
        <f>MODEL!DM100</f>
        <v>-35</v>
      </c>
      <c r="BN28" s="170">
        <f>MODEL!DN100</f>
        <v>-35</v>
      </c>
      <c r="BO28" s="119"/>
      <c r="BP28" s="168">
        <f>MODEL!DP100</f>
        <v>0</v>
      </c>
      <c r="BQ28" s="168">
        <f>MODEL!DQ100</f>
        <v>-35</v>
      </c>
      <c r="BR28" s="170">
        <f>MODEL!DR100</f>
        <v>-35</v>
      </c>
      <c r="BS28" s="130"/>
      <c r="BT28" s="171" t="s">
        <v>67</v>
      </c>
      <c r="BU28" s="117"/>
      <c r="BV28" s="117">
        <f>MODEL!BH1423</f>
        <v>17.476221624633574</v>
      </c>
      <c r="BW28" s="117">
        <f>MODEL!BI1423</f>
        <v>16.969755737175046</v>
      </c>
      <c r="BX28" s="117">
        <f>MODEL!BJ1423</f>
        <v>17.214932501123013</v>
      </c>
      <c r="BY28" s="117"/>
      <c r="BZ28" s="117">
        <f>MODEL!BL1423</f>
        <v>16.95129359079522</v>
      </c>
      <c r="CA28" s="117">
        <f>MODEL!BM1423</f>
        <v>16.898114967875998</v>
      </c>
      <c r="CB28" s="117">
        <f>MODEL!BN1423</f>
        <v>16.924898100771834</v>
      </c>
      <c r="CC28" s="117"/>
      <c r="CD28" s="117">
        <f>MODEL!BP1423</f>
        <v>16.664448164631906</v>
      </c>
      <c r="CE28" s="117">
        <f>MODEL!BQ1423</f>
        <v>17.14674961609639</v>
      </c>
      <c r="CF28" s="117">
        <f>MODEL!BR1423</f>
        <v>16.900282502855081</v>
      </c>
      <c r="CG28" s="117">
        <f>MODEL!BS1423</f>
        <v>0</v>
      </c>
      <c r="CH28" s="117">
        <f>MODEL!BT1423</f>
        <v>16.520030522701258</v>
      </c>
      <c r="CI28" s="117">
        <f>MODEL!BU1423</f>
        <v>15.806915439917836</v>
      </c>
      <c r="CJ28" s="117">
        <f>MODEL!BV1423</f>
        <v>16.132663750077022</v>
      </c>
      <c r="CK28" s="117"/>
      <c r="CL28" s="117">
        <f>MODEL!BX1423</f>
        <v>15.729235825801151</v>
      </c>
      <c r="CM28" s="117">
        <f>MODEL!BY1423</f>
        <v>15.789578005115089</v>
      </c>
      <c r="CN28" s="117">
        <f>MODEL!BZ1423</f>
        <v>15.758149861839279</v>
      </c>
      <c r="CO28" s="117"/>
      <c r="CP28" s="117">
        <f>MODEL!CB1423</f>
        <v>15.026110225989573</v>
      </c>
      <c r="CQ28" s="117">
        <f>MODEL!CC1423</f>
        <v>14.826460766685301</v>
      </c>
      <c r="CR28" s="117">
        <f>MODEL!CD1423</f>
        <v>14.925881759390908</v>
      </c>
      <c r="CS28" s="117"/>
      <c r="CT28" s="117">
        <f>MODEL!CF1423</f>
        <v>14.535170650493518</v>
      </c>
      <c r="CU28" s="117">
        <f>MODEL!CG1423</f>
        <v>14.126482328180565</v>
      </c>
      <c r="CV28" s="117">
        <f>MODEL!CH1423</f>
        <v>14.330459052515607</v>
      </c>
      <c r="CW28" s="117"/>
      <c r="CX28" s="117">
        <f>MODEL!CJ1423</f>
        <v>13.984882960266217</v>
      </c>
      <c r="CY28" s="117">
        <f>MODEL!CK1423</f>
        <v>14.203675494374956</v>
      </c>
      <c r="CZ28" s="117">
        <f>MODEL!CL1423</f>
        <v>14.401132181465929</v>
      </c>
      <c r="DA28" s="117"/>
      <c r="DB28" s="117">
        <f>MODEL!CN1423</f>
        <v>14.043201133144477</v>
      </c>
      <c r="DC28" s="117">
        <f>MODEL!CO1423</f>
        <v>13.628609368083945</v>
      </c>
      <c r="DD28" s="117">
        <f>MODEL!CP1423</f>
        <v>13.83655419154907</v>
      </c>
      <c r="DE28" s="117"/>
      <c r="DF28" s="117">
        <f>MODEL!CR1423</f>
        <v>14.675218468762226</v>
      </c>
      <c r="DG28" s="117">
        <f>MODEL!CS1423</f>
        <v>15.903301918774156</v>
      </c>
      <c r="DH28" s="117">
        <f>MODEL!CT1423</f>
        <v>15.237614569378309</v>
      </c>
      <c r="DI28" s="117"/>
      <c r="DJ28" s="117">
        <f>MODEL!CV1423</f>
        <v>16.933584374741368</v>
      </c>
      <c r="DK28" s="117">
        <f>MODEL!CW1423</f>
        <v>17.226893792030232</v>
      </c>
      <c r="DL28" s="172">
        <f>MODEL!CX1423</f>
        <v>17.085392200310217</v>
      </c>
      <c r="DM28" s="117"/>
      <c r="DN28" s="117">
        <f>MODEL!CZ1423</f>
        <v>17.478257257964035</v>
      </c>
      <c r="DO28" s="117">
        <f>MODEL!DA1423</f>
        <v>17.421244517543862</v>
      </c>
      <c r="DP28" s="172">
        <f>MODEL!DB1423</f>
        <v>17.468179875063779</v>
      </c>
      <c r="DQ28" s="117"/>
      <c r="DR28" s="117">
        <f>MODEL!DD1423</f>
        <v>17.078502480586714</v>
      </c>
      <c r="DS28" s="117">
        <f>MODEL!DE1423</f>
        <v>17.106647623993769</v>
      </c>
      <c r="DT28" s="1413">
        <f>MODEL!DF1423</f>
        <v>17.064799894333643</v>
      </c>
      <c r="DU28" s="117"/>
      <c r="DV28" s="117">
        <f>MODEL!DH1423</f>
        <v>17.6163145479719</v>
      </c>
      <c r="DW28" s="117">
        <f ca="1">MODEL!DI1423</f>
        <v>18.259143361260733</v>
      </c>
      <c r="DX28" s="117">
        <f ca="1">MODEL!DJ1423</f>
        <v>17.937913577102172</v>
      </c>
      <c r="DY28" s="117"/>
      <c r="DZ28" s="117">
        <f ca="1">MODEL!DL1423</f>
        <v>18.495756660451779</v>
      </c>
      <c r="EA28" s="117">
        <f ca="1">MODEL!DM1423</f>
        <v>18.72766370074056</v>
      </c>
      <c r="EB28" s="117">
        <f ca="1">MODEL!DN1423</f>
        <v>18.612715850859171</v>
      </c>
      <c r="EC28" s="117"/>
      <c r="ED28" s="117">
        <f ca="1">MODEL!DP1423</f>
        <v>18.925574639323063</v>
      </c>
      <c r="EE28" s="117">
        <f ca="1">MODEL!DQ1423</f>
        <v>19.065947297239102</v>
      </c>
      <c r="EF28" s="117">
        <f ca="1">MODEL!DR1423</f>
        <v>18.996339971111727</v>
      </c>
      <c r="EG28" s="173"/>
      <c r="EH28" s="153"/>
      <c r="EI28" s="4"/>
      <c r="EJ28" s="6"/>
      <c r="EM28" s="6"/>
      <c r="EN28" s="6"/>
      <c r="EO28" s="6"/>
      <c r="EP28" s="6"/>
      <c r="EQ28" s="6"/>
      <c r="ER28" s="6"/>
      <c r="EU28" s="4"/>
      <c r="EV28" s="6"/>
    </row>
    <row r="29" spans="1:179" x14ac:dyDescent="0.2">
      <c r="C29" s="174" t="s">
        <v>68</v>
      </c>
      <c r="D29" s="175">
        <f>MODEL!BD1150</f>
        <v>0</v>
      </c>
      <c r="E29" s="175">
        <f>MODEL!BE1150</f>
        <v>0</v>
      </c>
      <c r="F29" s="175">
        <f>MODEL!BF1150</f>
        <v>0</v>
      </c>
      <c r="G29" s="175"/>
      <c r="H29" s="175">
        <f>MODEL!BH1150</f>
        <v>0</v>
      </c>
      <c r="I29" s="175">
        <f>MODEL!BI1150</f>
        <v>0</v>
      </c>
      <c r="J29" s="175">
        <f>MODEL!BJ1150</f>
        <v>0</v>
      </c>
      <c r="K29" s="175"/>
      <c r="L29" s="175">
        <f>MODEL!BL1150</f>
        <v>0</v>
      </c>
      <c r="M29" s="175">
        <f>MODEL!BM1150</f>
        <v>0</v>
      </c>
      <c r="N29" s="175">
        <f>MODEL!BN1150</f>
        <v>0</v>
      </c>
      <c r="O29" s="175"/>
      <c r="P29" s="175">
        <f>MODEL!BP1150</f>
        <v>0</v>
      </c>
      <c r="Q29" s="175">
        <f>MODEL!BQ1150</f>
        <v>0</v>
      </c>
      <c r="R29" s="175">
        <f>MODEL!BR1150</f>
        <v>0</v>
      </c>
      <c r="S29" s="175"/>
      <c r="T29" s="175">
        <f>MODEL!BT1150</f>
        <v>286.53158522050057</v>
      </c>
      <c r="U29" s="175">
        <f>MODEL!BU1150</f>
        <v>271.32826214160326</v>
      </c>
      <c r="V29" s="175">
        <f>MODEL!BV1150</f>
        <v>557.88541051388063</v>
      </c>
      <c r="W29" s="175"/>
      <c r="X29" s="175">
        <f>MODEL!BX1150</f>
        <v>285.70596797671033</v>
      </c>
      <c r="Y29" s="175">
        <f>MODEL!BY1150</f>
        <v>288.43142939982602</v>
      </c>
      <c r="Z29" s="175">
        <f>MODEL!BZ1150</f>
        <v>574.14294015107487</v>
      </c>
      <c r="AA29" s="175"/>
      <c r="AB29" s="175">
        <f>MODEL!CB1150</f>
        <v>280.02299511353834</v>
      </c>
      <c r="AC29" s="175">
        <f>MODEL!CC1150</f>
        <v>258.8939566704675</v>
      </c>
      <c r="AD29" s="175">
        <f>MODEL!CD1150</f>
        <v>538.75214653692046</v>
      </c>
      <c r="AE29" s="175"/>
      <c r="AF29" s="175">
        <f>MODEL!CF1150</f>
        <v>272.88712422007939</v>
      </c>
      <c r="AG29" s="175">
        <f>MODEL!CG1150</f>
        <v>220.18089315997739</v>
      </c>
      <c r="AH29" s="176">
        <f>MODEL!CH1150</f>
        <v>492.9784824462061</v>
      </c>
      <c r="AI29" s="175"/>
      <c r="AJ29" s="175">
        <f>MODEL!CJ1150</f>
        <v>252.79819106840026</v>
      </c>
      <c r="AK29" s="175">
        <f>MODEL!CK1150</f>
        <v>165.91294516676086</v>
      </c>
      <c r="AL29" s="176">
        <f>MODEL!CL1150</f>
        <v>418.71113623516106</v>
      </c>
      <c r="AM29" s="175"/>
      <c r="AN29" s="175">
        <f>MODEL!CN1150</f>
        <v>224.12429378531073</v>
      </c>
      <c r="AO29" s="175">
        <f>MODEL!CO1150</f>
        <v>272.79909706546277</v>
      </c>
      <c r="AP29" s="176">
        <f>MODEL!CP1150</f>
        <v>496.95087521174474</v>
      </c>
      <c r="AQ29" s="175"/>
      <c r="AR29" s="175">
        <f>MODEL!CR1150</f>
        <v>278.50574712643675</v>
      </c>
      <c r="AS29" s="175">
        <f>MODEL!CS1150</f>
        <v>285.32863849765261</v>
      </c>
      <c r="AT29" s="176">
        <f>MODEL!CT1150</f>
        <v>563.76306620209061</v>
      </c>
      <c r="AU29" s="175"/>
      <c r="AV29" s="175">
        <f>MODEL!CV1150</f>
        <v>306.19469026548671</v>
      </c>
      <c r="AW29" s="175">
        <f>MODEL!CW1150</f>
        <v>290.80118694362017</v>
      </c>
      <c r="AX29" s="176">
        <f>MODEL!CX1150</f>
        <v>597.04142011834313</v>
      </c>
      <c r="AY29" s="175"/>
      <c r="AZ29" s="175">
        <f>MODEL!CZ1150</f>
        <v>300.17921146953404</v>
      </c>
      <c r="BA29" s="175">
        <f>MODEL!DA1150</f>
        <v>288.22474596533169</v>
      </c>
      <c r="BB29" s="176">
        <f>MODEL!DB1150</f>
        <v>588.58338314405262</v>
      </c>
      <c r="BC29" s="175"/>
      <c r="BD29" s="175">
        <f>MODEL!DD1150</f>
        <v>306.99760765550241</v>
      </c>
      <c r="BE29" s="175">
        <f>MODEL!DE1150</f>
        <v>306.22009569377991</v>
      </c>
      <c r="BF29" s="1443">
        <f>MODEL!DF1150</f>
        <v>613.21770334928237</v>
      </c>
      <c r="BG29" s="175"/>
      <c r="BH29" s="175">
        <f>MODEL!DH1150</f>
        <v>325.65789473684214</v>
      </c>
      <c r="BI29" s="175">
        <f>MODEL!DI1150</f>
        <v>336.3743906260662</v>
      </c>
      <c r="BJ29" s="175">
        <f>MODEL!DJ1150</f>
        <v>662.03273653094163</v>
      </c>
      <c r="BK29" s="175"/>
      <c r="BL29" s="175">
        <f ca="1">MODEL!DL1150</f>
        <v>354.38117651901661</v>
      </c>
      <c r="BM29" s="175">
        <f ca="1">MODEL!DM1150</f>
        <v>351.37926303902549</v>
      </c>
      <c r="BN29" s="177">
        <f ca="1">MODEL!DN1150</f>
        <v>705.76043955804209</v>
      </c>
      <c r="BO29" s="175"/>
      <c r="BP29" s="175">
        <f ca="1">MODEL!DP1150</f>
        <v>367.07462713125983</v>
      </c>
      <c r="BQ29" s="175">
        <f ca="1">MODEL!DQ1150</f>
        <v>366.03988536756395</v>
      </c>
      <c r="BR29" s="177">
        <f ca="1">MODEL!DR1150</f>
        <v>733.11451249882373</v>
      </c>
      <c r="BS29" s="178"/>
      <c r="BT29" s="179" t="s">
        <v>69</v>
      </c>
      <c r="BU29" s="180"/>
      <c r="BV29" s="180">
        <f>MODEL!BH1403*100</f>
        <v>17.925684479513279</v>
      </c>
      <c r="BW29" s="180">
        <f>MODEL!BI1403*100</f>
        <v>18.57628618156966</v>
      </c>
      <c r="BX29" s="180">
        <f>MODEL!BJ1403*100</f>
        <v>18.251885476511337</v>
      </c>
      <c r="BY29" s="180"/>
      <c r="BZ29" s="180">
        <f>MODEL!BL1403*100</f>
        <v>18.668472838979007</v>
      </c>
      <c r="CA29" s="180">
        <f>MODEL!BM1403*100</f>
        <v>18.771362844170454</v>
      </c>
      <c r="CB29" s="180">
        <f>MODEL!BN1403*100</f>
        <v>18.72127308993149</v>
      </c>
      <c r="CC29" s="180"/>
      <c r="CD29" s="180">
        <f>MODEL!BP1403*100</f>
        <v>18.609043162261912</v>
      </c>
      <c r="CE29" s="180">
        <f>MODEL!BQ1403*100</f>
        <v>17.825766605313152</v>
      </c>
      <c r="CF29" s="180">
        <f>MODEL!BR1403*100</f>
        <v>18.202400272485022</v>
      </c>
      <c r="CG29" s="180">
        <f>MODEL!BS1403*100</f>
        <v>0</v>
      </c>
      <c r="CH29" s="180">
        <f>MODEL!BT1403*100</f>
        <v>17.260018816013041</v>
      </c>
      <c r="CI29" s="180">
        <f>MODEL!BU1403*100</f>
        <v>15.899962755491684</v>
      </c>
      <c r="CJ29" s="180">
        <f>MODEL!BV1403*100</f>
        <v>16.540056160488721</v>
      </c>
      <c r="CK29" s="180"/>
      <c r="CL29" s="180">
        <f>MODEL!BX1403*100</f>
        <v>15.739166160551607</v>
      </c>
      <c r="CM29" s="180">
        <f>MODEL!BY1403*100</f>
        <v>15.691632165717598</v>
      </c>
      <c r="CN29" s="180">
        <f>MODEL!BZ1403*100</f>
        <v>15.713857398688891</v>
      </c>
      <c r="CO29" s="180"/>
      <c r="CP29" s="180">
        <f>MODEL!CB1403*100</f>
        <v>14.108543997116199</v>
      </c>
      <c r="CQ29" s="180">
        <f>MODEL!CC1403*100</f>
        <v>13.15415676128775</v>
      </c>
      <c r="CR29" s="180">
        <f>MODEL!CD1403*100</f>
        <v>13.629622834778088</v>
      </c>
      <c r="CS29" s="180"/>
      <c r="CT29" s="180">
        <f>MODEL!CF1403*100</f>
        <v>13.416897397715696</v>
      </c>
      <c r="CU29" s="180">
        <f>MODEL!CG1403*100</f>
        <v>10.745112568208729</v>
      </c>
      <c r="CV29" s="180">
        <f>MODEL!CH1403*100</f>
        <v>12.076386338597136</v>
      </c>
      <c r="CW29" s="180"/>
      <c r="CX29" s="180">
        <f>MODEL!CJ1403*100</f>
        <v>12.22026149529405</v>
      </c>
      <c r="CY29" s="180">
        <f>MODEL!CK1403*100</f>
        <v>8.1642416000602012</v>
      </c>
      <c r="CZ29" s="180">
        <f>MODEL!CL1403*100</f>
        <v>10.407138793059985</v>
      </c>
      <c r="DA29" s="180"/>
      <c r="DB29" s="180">
        <f>MODEL!CN1403*100</f>
        <v>10.450172671890249</v>
      </c>
      <c r="DC29" s="180">
        <f>MODEL!CO1403*100</f>
        <v>12.561915005422442</v>
      </c>
      <c r="DD29" s="180">
        <f>MODEL!CP1403*100</f>
        <v>11.508638461436153</v>
      </c>
      <c r="DE29" s="180"/>
      <c r="DF29" s="180">
        <f>MODEL!CR1403*100</f>
        <v>12.2794046761672</v>
      </c>
      <c r="DG29" s="180">
        <f>MODEL!CS1403*100</f>
        <v>13.259705967517604</v>
      </c>
      <c r="DH29" s="180">
        <f>MODEL!CT1403*100</f>
        <v>12.726983326922312</v>
      </c>
      <c r="DI29" s="180"/>
      <c r="DJ29" s="180">
        <f>MODEL!CV1403*100</f>
        <v>14.173554412895347</v>
      </c>
      <c r="DK29" s="180">
        <f>MODEL!CW1403*100</f>
        <v>13.706834425788051</v>
      </c>
      <c r="DL29" s="181">
        <f>MODEL!CX1403*100</f>
        <v>13.948592953689342</v>
      </c>
      <c r="DM29" s="180"/>
      <c r="DN29" s="180">
        <f>MODEL!CZ1403*100</f>
        <v>13.82155259123356</v>
      </c>
      <c r="DO29" s="180">
        <f>MODEL!DA1403*100</f>
        <v>13.277047787738578</v>
      </c>
      <c r="DP29" s="181">
        <f>MODEL!DB1403*100</f>
        <v>13.563716094157233</v>
      </c>
      <c r="DQ29" s="180"/>
      <c r="DR29" s="180">
        <f>MODEL!DD1403*100</f>
        <v>13.724555229395657</v>
      </c>
      <c r="DS29" s="180">
        <f>MODEL!DE1403*100</f>
        <v>13.405429600692079</v>
      </c>
      <c r="DT29" s="1414">
        <f>MODEL!DF1403*100</f>
        <v>13.541143838330472</v>
      </c>
      <c r="DU29" s="180"/>
      <c r="DV29" s="180">
        <f>MODEL!DH1403*100</f>
        <v>13.847011468754111</v>
      </c>
      <c r="DW29" s="180">
        <f ca="1">MODEL!DI1403*100</f>
        <v>14.524268133416854</v>
      </c>
      <c r="DX29" s="180">
        <f ca="1">MODEL!DJ1403*100</f>
        <v>14.182984092283313</v>
      </c>
      <c r="DY29" s="180"/>
      <c r="DZ29" s="180">
        <f ca="1">MODEL!DL1403*100</f>
        <v>14.773227880299286</v>
      </c>
      <c r="EA29" s="180">
        <f ca="1">MODEL!DM1403*100</f>
        <v>14.634794409266959</v>
      </c>
      <c r="EB29" s="180">
        <f ca="1">MODEL!DN1403*100</f>
        <v>14.702931549460574</v>
      </c>
      <c r="EC29" s="180"/>
      <c r="ED29" s="180">
        <f ca="1">MODEL!DP1403*100</f>
        <v>14.836935280529126</v>
      </c>
      <c r="EE29" s="180">
        <f ca="1">MODEL!DQ1403*100</f>
        <v>14.712927186046363</v>
      </c>
      <c r="EF29" s="180">
        <f ca="1">MODEL!DR1403*100</f>
        <v>14.7740925067897</v>
      </c>
      <c r="EG29" s="173"/>
      <c r="EH29" s="153"/>
      <c r="EI29" s="4"/>
      <c r="EJ29" s="6"/>
      <c r="EM29" s="6"/>
      <c r="EN29" s="6"/>
      <c r="EO29" s="6"/>
      <c r="EP29" s="6"/>
      <c r="EQ29" s="6"/>
      <c r="ER29" s="6"/>
      <c r="EU29" s="4"/>
      <c r="EV29" s="6"/>
    </row>
    <row r="30" spans="1:179" x14ac:dyDescent="0.2">
      <c r="C30" s="182" t="s">
        <v>70</v>
      </c>
      <c r="D30" s="180">
        <f>MODEL!BD1141</f>
        <v>227.36572890025576</v>
      </c>
      <c r="E30" s="180">
        <f>MODEL!BE1141</f>
        <v>222.04674668351231</v>
      </c>
      <c r="F30" s="180">
        <f>MODEL!BF1141</f>
        <v>449.52320406865863</v>
      </c>
      <c r="G30" s="180"/>
      <c r="H30" s="180">
        <f>MODEL!BH1141</f>
        <v>232.44724263971614</v>
      </c>
      <c r="I30" s="180">
        <f>MODEL!BI1141</f>
        <v>247.10174296445601</v>
      </c>
      <c r="J30" s="180">
        <f>MODEL!BJ1141</f>
        <v>479.59475231349364</v>
      </c>
      <c r="K30" s="180"/>
      <c r="L30" s="180">
        <f>MODEL!BL1141</f>
        <v>262.40379064626916</v>
      </c>
      <c r="M30" s="180">
        <f>MODEL!BM1141</f>
        <v>270.52626959157851</v>
      </c>
      <c r="N30" s="180">
        <f>MODEL!BN1141</f>
        <v>533.04189316699023</v>
      </c>
      <c r="O30" s="180"/>
      <c r="P30" s="180">
        <f>MODEL!BP1141</f>
        <v>282.28455780095862</v>
      </c>
      <c r="Q30" s="180">
        <f>MODEL!BQ1141</f>
        <v>275.40881844019765</v>
      </c>
      <c r="R30" s="180">
        <f>MODEL!BR1141</f>
        <v>557.77413467934116</v>
      </c>
      <c r="S30" s="180"/>
      <c r="T30" s="180">
        <f>MODEL!BT1141</f>
        <v>284.62455303933257</v>
      </c>
      <c r="U30" s="180">
        <f>MODEL!BU1141</f>
        <v>270.2750146284377</v>
      </c>
      <c r="V30" s="180">
        <f>MODEL!BV1141</f>
        <v>554.93207324276432</v>
      </c>
      <c r="W30" s="180"/>
      <c r="X30" s="180">
        <f>MODEL!BX1141</f>
        <v>281.10625909752548</v>
      </c>
      <c r="Y30" s="180">
        <f>MODEL!BY1141</f>
        <v>282.28472020875614</v>
      </c>
      <c r="Z30" s="180">
        <f>MODEL!BZ1141</f>
        <v>563.39337594421841</v>
      </c>
      <c r="AA30" s="180"/>
      <c r="AB30" s="180">
        <f>MODEL!CB1141</f>
        <v>264.32883012359872</v>
      </c>
      <c r="AC30" s="180">
        <f>MODEL!CC1141</f>
        <v>246.12314709236034</v>
      </c>
      <c r="AD30" s="180">
        <f>MODEL!CD1141</f>
        <v>510.3033772180882</v>
      </c>
      <c r="AE30" s="180"/>
      <c r="AF30" s="180">
        <f>MODEL!CF1141</f>
        <v>258.08281338627341</v>
      </c>
      <c r="AG30" s="180">
        <f>MODEL!CG1141</f>
        <v>207.51837196156023</v>
      </c>
      <c r="AH30" s="181">
        <f>MODEL!CH1141</f>
        <v>465.46528878822193</v>
      </c>
      <c r="AI30" s="180"/>
      <c r="AJ30" s="180">
        <f>MODEL!CJ1141</f>
        <v>244.2057659694743</v>
      </c>
      <c r="AK30" s="180">
        <f>MODEL!CK1141</f>
        <v>164.21707179197287</v>
      </c>
      <c r="AL30" s="181">
        <f>MODEL!CL1141</f>
        <v>408.37283776144716</v>
      </c>
      <c r="AM30" s="180"/>
      <c r="AN30" s="180">
        <f>MODEL!CN1141</f>
        <v>218.53107344632767</v>
      </c>
      <c r="AO30" s="180">
        <f>MODEL!CO1141</f>
        <v>270.0338600451467</v>
      </c>
      <c r="AP30" s="181">
        <f>MODEL!CP1141</f>
        <v>488.54401468097115</v>
      </c>
      <c r="AQ30" s="180"/>
      <c r="AR30" s="180">
        <f>MODEL!CR1141</f>
        <v>272.75862068965517</v>
      </c>
      <c r="AS30" s="180">
        <f>MODEL!CS1141</f>
        <v>284.5657276995305</v>
      </c>
      <c r="AT30" s="181">
        <f>MODEL!CT1141</f>
        <v>557.15092915214871</v>
      </c>
      <c r="AU30" s="180"/>
      <c r="AV30" s="180">
        <f>MODEL!CV1141</f>
        <v>305.6047197640118</v>
      </c>
      <c r="AW30" s="180">
        <f>MODEL!CW1141</f>
        <v>290.326409495549</v>
      </c>
      <c r="AX30" s="181">
        <f>MODEL!CX1141</f>
        <v>595.9763313609468</v>
      </c>
      <c r="AY30" s="180"/>
      <c r="AZ30" s="180">
        <f>MODEL!CZ1141</f>
        <v>299.82078853046596</v>
      </c>
      <c r="BA30" s="180">
        <f>MODEL!DA1141</f>
        <v>287.92588164973102</v>
      </c>
      <c r="BB30" s="181">
        <f>MODEL!DB1141</f>
        <v>587.92588164973097</v>
      </c>
      <c r="BC30" s="180"/>
      <c r="BD30" s="180">
        <f>MODEL!DD1141</f>
        <v>306.93779904306223</v>
      </c>
      <c r="BE30" s="180">
        <f>MODEL!DE1141</f>
        <v>306.22009569377991</v>
      </c>
      <c r="BF30" s="1414">
        <f>MODEL!DF1141</f>
        <v>613.15789473684208</v>
      </c>
      <c r="BG30" s="180"/>
      <c r="BH30" s="180">
        <f>MODEL!DH1141</f>
        <v>325.65789473684214</v>
      </c>
      <c r="BI30" s="180">
        <f>MODEL!DI1141</f>
        <v>336.3743906260662</v>
      </c>
      <c r="BJ30" s="180">
        <f>MODEL!DJ1141</f>
        <v>662.03273653094163</v>
      </c>
      <c r="BK30" s="180"/>
      <c r="BL30" s="180">
        <f ca="1">MODEL!DL1141</f>
        <v>354.38117651901661</v>
      </c>
      <c r="BM30" s="180">
        <f ca="1">MODEL!DM1141</f>
        <v>351.37926303902549</v>
      </c>
      <c r="BN30" s="183">
        <f ca="1">MODEL!DN1141</f>
        <v>705.76043955804209</v>
      </c>
      <c r="BO30" s="180"/>
      <c r="BP30" s="180">
        <f ca="1">MODEL!DP1141</f>
        <v>367.07462713125983</v>
      </c>
      <c r="BQ30" s="180">
        <f ca="1">MODEL!DQ1141</f>
        <v>366.03988536756395</v>
      </c>
      <c r="BR30" s="183">
        <f ca="1">MODEL!DR1141</f>
        <v>733.11451249882373</v>
      </c>
      <c r="BS30" s="178"/>
      <c r="BT30" s="179" t="s">
        <v>71</v>
      </c>
      <c r="BU30" s="180"/>
      <c r="BV30" s="180">
        <f>MODEL!BH1404*100</f>
        <v>23.904194299864944</v>
      </c>
      <c r="BW30" s="180">
        <f>MODEL!BI1404*100</f>
        <v>24.441843274305754</v>
      </c>
      <c r="BX30" s="180">
        <f>MODEL!BJ1404*100</f>
        <v>24.171832926294694</v>
      </c>
      <c r="BY30" s="180"/>
      <c r="BZ30" s="180">
        <f>MODEL!BL1404*100</f>
        <v>24.111406157506227</v>
      </c>
      <c r="CA30" s="180">
        <f>MODEL!BM1404*100</f>
        <v>23.73776594342046</v>
      </c>
      <c r="CB30" s="180">
        <f>MODEL!BN1404*100</f>
        <v>23.92016454635484</v>
      </c>
      <c r="CC30" s="180"/>
      <c r="CD30" s="180">
        <f>MODEL!BP1404*100</f>
        <v>23.285132446230421</v>
      </c>
      <c r="CE30" s="180">
        <f>MODEL!BQ1404*100</f>
        <v>22.155009088913864</v>
      </c>
      <c r="CF30" s="180">
        <f>MODEL!BR1404*100</f>
        <v>22.695478391206596</v>
      </c>
      <c r="CG30" s="180">
        <f>MODEL!BS1404*100</f>
        <v>0</v>
      </c>
      <c r="CH30" s="180">
        <f>MODEL!BT1404*100</f>
        <v>21.089277768823091</v>
      </c>
      <c r="CI30" s="180">
        <f>MODEL!BU1404*100</f>
        <v>19.263689088861739</v>
      </c>
      <c r="CJ30" s="180">
        <f>MODEL!BV1404*100</f>
        <v>20.116050017129155</v>
      </c>
      <c r="CK30" s="180"/>
      <c r="CL30" s="180">
        <f>MODEL!BX1404*100</f>
        <v>18.642094051904451</v>
      </c>
      <c r="CM30" s="180">
        <f>MODEL!BY1404*100</f>
        <v>18.18493971726565</v>
      </c>
      <c r="CN30" s="180">
        <f>MODEL!BZ1404*100</f>
        <v>18.406515177401904</v>
      </c>
      <c r="CO30" s="180"/>
      <c r="CP30" s="180">
        <f>MODEL!CB1404*100</f>
        <v>16.350331825214042</v>
      </c>
      <c r="CQ30" s="180">
        <f>MODEL!CC1404*100</f>
        <v>15.255235142094847</v>
      </c>
      <c r="CR30" s="180">
        <f>MODEL!CD1404*100</f>
        <v>15.801274382084207</v>
      </c>
      <c r="CS30" s="180"/>
      <c r="CT30" s="180">
        <f>MODEL!CF1404*100</f>
        <v>15.390202684544352</v>
      </c>
      <c r="CU30" s="180">
        <f>MODEL!CG1404*100</f>
        <v>12.169327498466931</v>
      </c>
      <c r="CV30" s="180">
        <f>MODEL!CH1404*100</f>
        <v>13.763430059056683</v>
      </c>
      <c r="CW30" s="180"/>
      <c r="CX30" s="180">
        <f>MODEL!CJ1404*100</f>
        <v>13.755252002146387</v>
      </c>
      <c r="CY30" s="180">
        <f>MODEL!CK1404*100</f>
        <v>9.0931949208857912</v>
      </c>
      <c r="CZ30" s="180">
        <f>MODEL!CL1404*100</f>
        <v>11.682431886167031</v>
      </c>
      <c r="DA30" s="180"/>
      <c r="DB30" s="180">
        <f>MODEL!CN1404*100</f>
        <v>11.531571620353173</v>
      </c>
      <c r="DC30" s="180">
        <f>MODEL!CO1404*100</f>
        <v>13.803855903559494</v>
      </c>
      <c r="DD30" s="180">
        <f>MODEL!CP1404*100</f>
        <v>12.671194010726511</v>
      </c>
      <c r="DE30" s="180"/>
      <c r="DF30" s="180">
        <f>MODEL!CR1404*100</f>
        <v>13.51461627879762</v>
      </c>
      <c r="DG30" s="180">
        <f>MODEL!CS1404*100</f>
        <v>14.647268781356606</v>
      </c>
      <c r="DH30" s="180">
        <f>MODEL!CT1404*100</f>
        <v>14.028957112622772</v>
      </c>
      <c r="DI30" s="180"/>
      <c r="DJ30" s="180">
        <f>MODEL!CV1404*100</f>
        <v>15.692524458824947</v>
      </c>
      <c r="DK30" s="180">
        <f>MODEL!CW1404*100</f>
        <v>15.245656025851989</v>
      </c>
      <c r="DL30" s="181">
        <f>MODEL!CX1404*100</f>
        <v>15.479428896368358</v>
      </c>
      <c r="DM30" s="180"/>
      <c r="DN30" s="180">
        <f>MODEL!CZ1404*100</f>
        <v>15.411427461116423</v>
      </c>
      <c r="DO30" s="180">
        <f>MODEL!DA1404*100</f>
        <v>14.810693472875261</v>
      </c>
      <c r="DP30" s="181">
        <f>MODEL!DB1404*100</f>
        <v>15.129107304224107</v>
      </c>
      <c r="DQ30" s="180"/>
      <c r="DR30" s="180">
        <f>MODEL!DD1404*100</f>
        <v>15.312330072357499</v>
      </c>
      <c r="DS30" s="180">
        <f>MODEL!DE1404*100</f>
        <v>14.944616433440258</v>
      </c>
      <c r="DT30" s="1414">
        <f>MODEL!DF1404*100</f>
        <v>15.099119267135999</v>
      </c>
      <c r="DU30" s="180"/>
      <c r="DV30" s="180">
        <f>MODEL!DH1404*100</f>
        <v>15.471206511619219</v>
      </c>
      <c r="DW30" s="180">
        <f ca="1">MODEL!DI1404*100</f>
        <v>16.274205485332814</v>
      </c>
      <c r="DX30" s="180">
        <f ca="1">MODEL!DJ1404*100</f>
        <v>15.869175562762045</v>
      </c>
      <c r="DY30" s="180"/>
      <c r="DZ30" s="180">
        <f ca="1">MODEL!DL1404*100</f>
        <v>16.560410612221244</v>
      </c>
      <c r="EA30" s="180">
        <f ca="1">MODEL!DM1404*100</f>
        <v>16.409657690382634</v>
      </c>
      <c r="EB30" s="180">
        <f ca="1">MODEL!DN1404*100</f>
        <v>16.483853248426502</v>
      </c>
      <c r="EC30" s="180"/>
      <c r="ED30" s="180">
        <f ca="1">MODEL!DP1404*100</f>
        <v>16.633793179349603</v>
      </c>
      <c r="EE30" s="180">
        <f ca="1">MODEL!DQ1404*100</f>
        <v>16.484056762209697</v>
      </c>
      <c r="EF30" s="180">
        <f ca="1">MODEL!DR1404*100</f>
        <v>16.557916300126461</v>
      </c>
      <c r="EG30" s="129"/>
      <c r="EH30" s="153"/>
      <c r="EI30" s="4"/>
      <c r="EJ30" s="6"/>
      <c r="EK30" s="162"/>
      <c r="EM30" s="6"/>
      <c r="EN30" s="6"/>
      <c r="EO30" s="6"/>
      <c r="EP30" s="6"/>
      <c r="EQ30" s="6"/>
      <c r="ER30" s="6"/>
      <c r="EU30" s="4"/>
      <c r="EV30" s="6"/>
    </row>
    <row r="31" spans="1:179" x14ac:dyDescent="0.2">
      <c r="C31" s="3" t="s">
        <v>72</v>
      </c>
      <c r="D31" s="184">
        <f>MODEL!BD1150</f>
        <v>0</v>
      </c>
      <c r="E31" s="184">
        <f>MODEL!BE1150</f>
        <v>0</v>
      </c>
      <c r="F31" s="184">
        <f>MODEL!BF1150</f>
        <v>0</v>
      </c>
      <c r="G31" s="3"/>
      <c r="H31" s="184">
        <f>MODEL!BH1150</f>
        <v>0</v>
      </c>
      <c r="I31" s="184">
        <f>MODEL!BI1150</f>
        <v>0</v>
      </c>
      <c r="J31" s="184">
        <f>MODEL!BJ1150</f>
        <v>0</v>
      </c>
      <c r="K31" s="3"/>
      <c r="L31" s="184">
        <f>MODEL!BL1150</f>
        <v>0</v>
      </c>
      <c r="M31" s="184">
        <f>MODEL!BM1150</f>
        <v>0</v>
      </c>
      <c r="N31" s="184">
        <f>MODEL!BN1150</f>
        <v>0</v>
      </c>
      <c r="O31" s="3"/>
      <c r="P31" s="184">
        <f>MODEL!BP1150</f>
        <v>0</v>
      </c>
      <c r="Q31" s="184">
        <f>MODEL!BQ1150</f>
        <v>0</v>
      </c>
      <c r="R31" s="184">
        <f>MODEL!BR1150</f>
        <v>0</v>
      </c>
      <c r="S31" s="3"/>
      <c r="T31" s="184">
        <f>MODEL!BT1150</f>
        <v>286.53158522050057</v>
      </c>
      <c r="U31" s="184">
        <f>MODEL!BU1150</f>
        <v>271.32826214160326</v>
      </c>
      <c r="V31" s="184">
        <f>MODEL!BV1150</f>
        <v>557.88541051388063</v>
      </c>
      <c r="W31" s="3"/>
      <c r="X31" s="184">
        <f>MODEL!BX1150</f>
        <v>285.70596797671033</v>
      </c>
      <c r="Y31" s="184">
        <f>MODEL!BY1150</f>
        <v>288.43142939982602</v>
      </c>
      <c r="Z31" s="184">
        <f>MODEL!BZ1150</f>
        <v>574.14294015107487</v>
      </c>
      <c r="AA31" s="3"/>
      <c r="AB31" s="184">
        <f>MODEL!CB1150</f>
        <v>280.02299511353834</v>
      </c>
      <c r="AC31" s="184">
        <f>MODEL!CC1150</f>
        <v>258.8939566704675</v>
      </c>
      <c r="AD31" s="184">
        <f>MODEL!CD1150</f>
        <v>538.75214653692046</v>
      </c>
      <c r="AE31" s="184">
        <f>MODEL!CE1150</f>
        <v>0</v>
      </c>
      <c r="AF31" s="184">
        <f>MODEL!CF1150</f>
        <v>272.88712422007939</v>
      </c>
      <c r="AG31" s="184">
        <f>MODEL!CG1150</f>
        <v>220.18089315997739</v>
      </c>
      <c r="AH31" s="185">
        <f>MODEL!CH1150</f>
        <v>492.9784824462061</v>
      </c>
      <c r="AI31" s="184">
        <f>MODEL!CI1150</f>
        <v>0</v>
      </c>
      <c r="AJ31" s="184">
        <f>MODEL!CJ1150</f>
        <v>252.79819106840026</v>
      </c>
      <c r="AK31" s="184">
        <f>MODEL!CK1150</f>
        <v>165.91294516676086</v>
      </c>
      <c r="AL31" s="185">
        <f>MODEL!CL1150</f>
        <v>418.71113623516106</v>
      </c>
      <c r="AM31" s="184"/>
      <c r="AN31" s="184">
        <f>MODEL!CN1150</f>
        <v>224.12429378531073</v>
      </c>
      <c r="AO31" s="184">
        <f>MODEL!CO1150</f>
        <v>272.79909706546277</v>
      </c>
      <c r="AP31" s="185">
        <f>MODEL!CP1150</f>
        <v>496.95087521174474</v>
      </c>
      <c r="AQ31" s="184"/>
      <c r="AR31" s="184">
        <f>MODEL!CR1150</f>
        <v>278.50574712643675</v>
      </c>
      <c r="AS31" s="184">
        <f>MODEL!CS1150</f>
        <v>285.32863849765261</v>
      </c>
      <c r="AT31" s="185">
        <f>MODEL!CT1150</f>
        <v>563.76306620209061</v>
      </c>
      <c r="AU31" s="184"/>
      <c r="AV31" s="184">
        <f>MODEL!CV1150</f>
        <v>306.19469026548671</v>
      </c>
      <c r="AW31" s="184">
        <f>MODEL!CW1150</f>
        <v>290.80118694362017</v>
      </c>
      <c r="AX31" s="185">
        <f>MODEL!CX1150</f>
        <v>597.04142011834313</v>
      </c>
      <c r="AY31" s="184"/>
      <c r="AZ31" s="184">
        <f>MODEL!CZ1150</f>
        <v>300.17921146953404</v>
      </c>
      <c r="BA31" s="184">
        <f>MODEL!DA1150</f>
        <v>288.22474596533169</v>
      </c>
      <c r="BB31" s="185">
        <f>MODEL!DB1150</f>
        <v>588.58338314405262</v>
      </c>
      <c r="BC31" s="184"/>
      <c r="BD31" s="184">
        <f>MODEL!DD1150</f>
        <v>306.99760765550241</v>
      </c>
      <c r="BE31" s="184">
        <f>MODEL!DE1150</f>
        <v>306.22009569377991</v>
      </c>
      <c r="BF31" s="1444">
        <f>MODEL!DF1150</f>
        <v>613.21770334928237</v>
      </c>
      <c r="BG31" s="184"/>
      <c r="BH31" s="184">
        <f>MODEL!DH1150</f>
        <v>325.65789473684214</v>
      </c>
      <c r="BI31" s="184">
        <f>MODEL!DI1150</f>
        <v>336.3743906260662</v>
      </c>
      <c r="BJ31" s="184">
        <f>MODEL!DJ1150</f>
        <v>662.03273653094163</v>
      </c>
      <c r="BK31" s="184"/>
      <c r="BL31" s="184">
        <f ca="1">MODEL!DL1150</f>
        <v>354.38117651901661</v>
      </c>
      <c r="BM31" s="184">
        <f ca="1">MODEL!DM1150</f>
        <v>351.37926303902549</v>
      </c>
      <c r="BN31" s="186">
        <f ca="1">MODEL!DN1150</f>
        <v>705.76043955804209</v>
      </c>
      <c r="BO31" s="184"/>
      <c r="BP31" s="184">
        <f ca="1">MODEL!DP1150</f>
        <v>367.07462713125983</v>
      </c>
      <c r="BQ31" s="184">
        <f ca="1">MODEL!DQ1150</f>
        <v>366.03988536756395</v>
      </c>
      <c r="BR31" s="186">
        <f ca="1">MODEL!DR1150</f>
        <v>733.11451249882373</v>
      </c>
      <c r="BS31" s="178"/>
      <c r="BT31" s="187" t="s">
        <v>73</v>
      </c>
      <c r="BU31" s="188"/>
      <c r="BV31" s="188">
        <f>MODEL!BH580*100</f>
        <v>2.0961264756399647</v>
      </c>
      <c r="BW31" s="188">
        <f>MODEL!BI580*100</f>
        <v>2.1705843163806442</v>
      </c>
      <c r="BX31" s="188">
        <f>MODEL!BJ580*100</f>
        <v>2.1332941678638142</v>
      </c>
      <c r="BY31" s="188"/>
      <c r="BZ31" s="188">
        <f>MODEL!BL580*100</f>
        <v>2.1397626501990437</v>
      </c>
      <c r="CA31" s="188">
        <f>MODEL!BM580*100</f>
        <v>2.1391290276802102</v>
      </c>
      <c r="CB31" s="188">
        <f>MODEL!BN580*100</f>
        <v>2.1394415137565908</v>
      </c>
      <c r="CC31" s="188"/>
      <c r="CD31" s="188">
        <f>MODEL!BP580*100</f>
        <v>2.1200829123551395</v>
      </c>
      <c r="CE31" s="188">
        <f>MODEL!BQ580*100</f>
        <v>2.0683833344866893</v>
      </c>
      <c r="CF31" s="188">
        <f>MODEL!BR580*100</f>
        <v>2.0937553122740731</v>
      </c>
      <c r="CG31" s="188">
        <f>MODEL!BS580*100</f>
        <v>0</v>
      </c>
      <c r="CH31" s="188">
        <f>MODEL!BT580*100</f>
        <v>2.1464914087229112</v>
      </c>
      <c r="CI31" s="188">
        <f>MODEL!BU580*100</f>
        <v>2.1376740900866347</v>
      </c>
      <c r="CJ31" s="188">
        <f>MODEL!BV580*100</f>
        <v>2.1419085562511859</v>
      </c>
      <c r="CK31" s="188"/>
      <c r="CL31" s="188">
        <f>MODEL!BX580*100</f>
        <v>2.0992432040554596</v>
      </c>
      <c r="CM31" s="188">
        <f>MODEL!BY580*100</f>
        <v>2.1039456136605872</v>
      </c>
      <c r="CN31" s="188">
        <f>MODEL!BZ580*100</f>
        <v>2.1016099604548</v>
      </c>
      <c r="CO31" s="188"/>
      <c r="CP31" s="188">
        <f>MODEL!CB580*100</f>
        <v>2.1564998499362216</v>
      </c>
      <c r="CQ31" s="188">
        <f>MODEL!CC580*100</f>
        <v>2.1376325897552348</v>
      </c>
      <c r="CR31" s="188">
        <f>MODEL!CD580*100</f>
        <v>2.1471114315949169</v>
      </c>
      <c r="CS31" s="188"/>
      <c r="CT31" s="188">
        <f>MODEL!CF580*100</f>
        <v>2.1103340711403873</v>
      </c>
      <c r="CU31" s="188">
        <f>MODEL!CG580*100</f>
        <v>2.0922628182641994</v>
      </c>
      <c r="CV31" s="188">
        <f>MODEL!CH580*100</f>
        <v>2.0913040584426761</v>
      </c>
      <c r="CW31" s="188"/>
      <c r="CX31" s="188">
        <f>MODEL!CJ580*100</f>
        <v>2.1090173572849569</v>
      </c>
      <c r="CY31" s="188">
        <f>MODEL!CK580*100</f>
        <v>2.0393125517318</v>
      </c>
      <c r="CZ31" s="188">
        <f>MODEL!CL580*100</f>
        <v>2.0737478674717993</v>
      </c>
      <c r="DA31" s="188"/>
      <c r="DB31" s="188">
        <f>MODEL!CN580*100</f>
        <v>2.0633853124276285</v>
      </c>
      <c r="DC31" s="188">
        <f>MODEL!CO580*100</f>
        <v>2.0882870785182628</v>
      </c>
      <c r="DD31" s="188">
        <f>MODEL!CP580*100</f>
        <v>2.0758276101634032</v>
      </c>
      <c r="DE31" s="188"/>
      <c r="DF31" s="188">
        <f>MODEL!CR580*100</f>
        <v>1.9182264344134143</v>
      </c>
      <c r="DG31" s="188">
        <f>MODEL!CS580*100</f>
        <v>1.8747634313552992</v>
      </c>
      <c r="DH31" s="188">
        <f>MODEL!CT580*100</f>
        <v>1.8962713382867047</v>
      </c>
      <c r="DI31" s="188"/>
      <c r="DJ31" s="188">
        <f>MODEL!CV580*100</f>
        <v>2.0985181549496357</v>
      </c>
      <c r="DK31" s="188">
        <f>MODEL!CW580*100</f>
        <v>2.0511215875562536</v>
      </c>
      <c r="DL31" s="189">
        <f>MODEL!CX580*100</f>
        <v>2.074773184168516</v>
      </c>
      <c r="DM31" s="188"/>
      <c r="DN31" s="188">
        <f>MODEL!CZ580*100</f>
        <v>1.9886195039560044</v>
      </c>
      <c r="DO31" s="188">
        <f>MODEL!DA580*100</f>
        <v>2.0003705815099275</v>
      </c>
      <c r="DP31" s="189">
        <f>MODEL!DB580*100</f>
        <v>1.9944824910408203</v>
      </c>
      <c r="DQ31" s="188"/>
      <c r="DR31" s="188">
        <f>MODEL!DD580*100</f>
        <v>2.0841868500441936</v>
      </c>
      <c r="DS31" s="188">
        <f>MODEL!DE580*100</f>
        <v>2.0804136328042797</v>
      </c>
      <c r="DT31" s="1415">
        <f>MODEL!DF580*100</f>
        <v>2.0822859639207962</v>
      </c>
      <c r="DU31" s="188"/>
      <c r="DV31" s="188">
        <f>MODEL!DH580*100</f>
        <v>2.0435352580687112</v>
      </c>
      <c r="DW31" s="188">
        <f>MODEL!DI580*100</f>
        <v>2.0535352580687114</v>
      </c>
      <c r="DX31" s="188">
        <f>MODEL!DJ580*100</f>
        <v>2.0482977480335638</v>
      </c>
      <c r="DY31" s="188"/>
      <c r="DZ31" s="188">
        <f>MODEL!DL580*100</f>
        <v>2.0535352580687114</v>
      </c>
      <c r="EA31" s="188">
        <f>MODEL!DM580*100</f>
        <v>2.0435352580687112</v>
      </c>
      <c r="EB31" s="188">
        <f>MODEL!DN580*100</f>
        <v>2.0482511452447993</v>
      </c>
      <c r="EC31" s="188"/>
      <c r="ED31" s="188">
        <f>MODEL!DP580*100</f>
        <v>2.0335352580687114</v>
      </c>
      <c r="EE31" s="188">
        <f>MODEL!DQ580*100</f>
        <v>2.0235352580687116</v>
      </c>
      <c r="EF31" s="188">
        <f>MODEL!DR580*100</f>
        <v>2.0283697634822806</v>
      </c>
      <c r="EG31" s="4"/>
      <c r="EI31" s="4"/>
      <c r="EJ31" s="6"/>
      <c r="EK31" s="1359"/>
      <c r="EM31" s="6"/>
      <c r="EN31" s="6"/>
      <c r="EO31" s="6"/>
      <c r="EP31" s="6"/>
      <c r="EQ31" s="6"/>
      <c r="ER31" s="6"/>
      <c r="EU31" s="4"/>
      <c r="EV31" s="6"/>
    </row>
    <row r="32" spans="1:179" x14ac:dyDescent="0.2">
      <c r="C32" s="190" t="s">
        <v>74</v>
      </c>
      <c r="D32" s="191">
        <f>MODEL!BD1146</f>
        <v>0</v>
      </c>
      <c r="E32" s="191">
        <f>MODEL!BE1146</f>
        <v>0</v>
      </c>
      <c r="F32" s="191">
        <f>MODEL!BF1146</f>
        <v>0</v>
      </c>
      <c r="G32" s="191"/>
      <c r="H32" s="191">
        <f>MODEL!BH1146</f>
        <v>225.4551533438916</v>
      </c>
      <c r="I32" s="191">
        <f>MODEL!BI1146</f>
        <v>246.13712988491741</v>
      </c>
      <c r="J32" s="191">
        <f>MODEL!BJ1146</f>
        <v>471.65699529558316</v>
      </c>
      <c r="K32" s="191"/>
      <c r="L32" s="191">
        <f>MODEL!BL1146</f>
        <v>259.11621367500851</v>
      </c>
      <c r="M32" s="191">
        <f>MODEL!BM1146</f>
        <v>271.80464310802364</v>
      </c>
      <c r="N32" s="191">
        <f>MODEL!BN1146</f>
        <v>530.9397900276474</v>
      </c>
      <c r="O32" s="191"/>
      <c r="P32" s="191">
        <f>MODEL!BP1146</f>
        <v>277.39246231273262</v>
      </c>
      <c r="Q32" s="191">
        <f>MODEL!BQ1146</f>
        <v>276.60873053286616</v>
      </c>
      <c r="R32" s="191">
        <f>MODEL!BR1146</f>
        <v>553.98322301604196</v>
      </c>
      <c r="S32" s="191"/>
      <c r="T32" s="191">
        <f>MODEL!BT1146</f>
        <v>273.92601431980904</v>
      </c>
      <c r="U32" s="191">
        <f>MODEL!BU1146</f>
        <v>268.42413591095487</v>
      </c>
      <c r="V32" s="191">
        <f>MODEL!BV1146</f>
        <v>542.13947990543727</v>
      </c>
      <c r="W32" s="191"/>
      <c r="X32" s="191">
        <f>MODEL!BX1146</f>
        <v>285.18993241668608</v>
      </c>
      <c r="Y32" s="191">
        <f>MODEL!BY1146</f>
        <v>292.0220481578184</v>
      </c>
      <c r="Z32" s="191">
        <f>MODEL!BZ1146</f>
        <v>577.20930232558146</v>
      </c>
      <c r="AA32" s="191"/>
      <c r="AB32" s="191">
        <f>MODEL!CB1146</f>
        <v>282.19729651998853</v>
      </c>
      <c r="AC32" s="191">
        <f>MODEL!CC1146</f>
        <v>252.31032515687394</v>
      </c>
      <c r="AD32" s="191">
        <f>MODEL!CD1146</f>
        <v>534.30698739977083</v>
      </c>
      <c r="AE32" s="191"/>
      <c r="AF32" s="191">
        <f>MODEL!CF1146</f>
        <v>263.4506242905789</v>
      </c>
      <c r="AG32" s="191">
        <f>MODEL!CG1146</f>
        <v>222.22850678733033</v>
      </c>
      <c r="AH32" s="192">
        <f>MODEL!CH1146</f>
        <v>485.60906515580734</v>
      </c>
      <c r="AI32" s="191"/>
      <c r="AJ32" s="191">
        <f>MODEL!CJ1146</f>
        <v>347.11070903539525</v>
      </c>
      <c r="AK32" s="191">
        <f>MODEL!CK1146</f>
        <v>195.1950254381006</v>
      </c>
      <c r="AL32" s="192">
        <f>MODEL!CL1146</f>
        <v>542.53393665158376</v>
      </c>
      <c r="AM32" s="191"/>
      <c r="AN32" s="191">
        <f>MODEL!CN1146</f>
        <v>275.08474576271186</v>
      </c>
      <c r="AO32" s="191">
        <f>MODEL!CO1146</f>
        <v>299.77426636568845</v>
      </c>
      <c r="AP32" s="192">
        <f>MODEL!CP1146</f>
        <v>574.87295313382265</v>
      </c>
      <c r="AQ32" s="191"/>
      <c r="AR32" s="191">
        <f>MODEL!CR1146</f>
        <v>337.35632183908046</v>
      </c>
      <c r="AS32" s="191">
        <f>MODEL!CS1146</f>
        <v>287.61737089201881</v>
      </c>
      <c r="AT32" s="192">
        <f>MODEL!CT1146</f>
        <v>625.49361207897789</v>
      </c>
      <c r="AU32" s="191"/>
      <c r="AV32" s="191">
        <f>MODEL!CV1146</f>
        <v>305.13274336283189</v>
      </c>
      <c r="AW32" s="191">
        <f>MODEL!CW1146</f>
        <v>286.40949554896144</v>
      </c>
      <c r="AX32" s="192">
        <f>MODEL!CX1146</f>
        <v>591.5976331360946</v>
      </c>
      <c r="AY32" s="191"/>
      <c r="AZ32" s="191">
        <f>MODEL!CZ1146</f>
        <v>284.28912783751497</v>
      </c>
      <c r="BA32" s="191">
        <f>MODEL!DA1146</f>
        <v>277.04722056186489</v>
      </c>
      <c r="BB32" s="192">
        <f>MODEL!DB1146</f>
        <v>561.50627615062763</v>
      </c>
      <c r="BC32" s="191"/>
      <c r="BD32" s="191">
        <f>MODEL!DD1146</f>
        <v>307.05741626794259</v>
      </c>
      <c r="BE32" s="191">
        <f>MODEL!DE1146</f>
        <v>297.96650717703346</v>
      </c>
      <c r="BF32" s="1417">
        <f>MODEL!DF1146</f>
        <v>605.02392344497605</v>
      </c>
      <c r="BG32" s="191"/>
      <c r="BH32" s="191">
        <f>MODEL!DH1146</f>
        <v>320.99282296650722</v>
      </c>
      <c r="BI32" s="191">
        <f>MODEL!DI1146</f>
        <v>336.3743906260662</v>
      </c>
      <c r="BJ32" s="191">
        <f>MODEL!DJ1146</f>
        <v>657.36786116167639</v>
      </c>
      <c r="BK32" s="191"/>
      <c r="BL32" s="191">
        <f ca="1">MODEL!DL1146</f>
        <v>354.38117651901661</v>
      </c>
      <c r="BM32" s="191">
        <f ca="1">MODEL!DM1146</f>
        <v>351.37926303902549</v>
      </c>
      <c r="BN32" s="193">
        <f ca="1">MODEL!DN1146</f>
        <v>705.76043955804209</v>
      </c>
      <c r="BO32" s="191"/>
      <c r="BP32" s="191">
        <f ca="1">MODEL!DP1146</f>
        <v>367.07462713125983</v>
      </c>
      <c r="BQ32" s="191">
        <f ca="1">MODEL!DQ1146</f>
        <v>366.03988536756395</v>
      </c>
      <c r="BR32" s="193">
        <f ca="1">MODEL!DR1146</f>
        <v>733.11451249882373</v>
      </c>
      <c r="BS32" s="67"/>
      <c r="BT32" s="194" t="s">
        <v>75</v>
      </c>
      <c r="BU32" s="195"/>
      <c r="BV32" s="195">
        <f>(MODEL!BH18+MODEL!BH23)/MODEL!BH25*100</f>
        <v>33.307415686655652</v>
      </c>
      <c r="BW32" s="195">
        <f>(MODEL!BI18+MODEL!BI23)/MODEL!BI25*100</f>
        <v>32.757311052031902</v>
      </c>
      <c r="BX32" s="195">
        <f>(MODEL!BJ18+MODEL!BJ23)/MODEL!BJ25*100</f>
        <v>33.029153258729167</v>
      </c>
      <c r="BY32" s="195"/>
      <c r="BZ32" s="195">
        <f>(MODEL!BL18+MODEL!BL23)/MODEL!BL25*100</f>
        <v>33.225690706853243</v>
      </c>
      <c r="CA32" s="195">
        <f>(MODEL!BM18+MODEL!BM23)/MODEL!BM25*100</f>
        <v>32.044788056518264</v>
      </c>
      <c r="CB32" s="195">
        <f>(MODEL!BN18+MODEL!BN23)/MODEL!BN25*100</f>
        <v>32.632471764653367</v>
      </c>
      <c r="CC32" s="195"/>
      <c r="CD32" s="195">
        <f>(MODEL!BP18+MODEL!BP23)/MODEL!BP25*100</f>
        <v>32.602576132389324</v>
      </c>
      <c r="CE32" s="195">
        <f>(MODEL!BQ18+MODEL!BQ23)/MODEL!BQ25*100</f>
        <v>33.142134120624213</v>
      </c>
      <c r="CF32" s="195">
        <f>(MODEL!BR18+MODEL!BR23)/MODEL!BR25*100</f>
        <v>32.873865467808976</v>
      </c>
      <c r="CG32" s="195">
        <f>(MODEL!BS18+MODEL!BS23)/MODEL!BS25*100</f>
        <v>0</v>
      </c>
      <c r="CH32" s="195">
        <f>(MODEL!BT18+MODEL!BT23)/MODEL!BT25*100</f>
        <v>32.149758454106284</v>
      </c>
      <c r="CI32" s="195">
        <f>(MODEL!BU18+MODEL!BU23)/MODEL!BU25*100</f>
        <v>30.980773910927233</v>
      </c>
      <c r="CJ32" s="195">
        <f>(MODEL!BV18+MODEL!BV23)/MODEL!BV25*100</f>
        <v>31.567462722754275</v>
      </c>
      <c r="CK32" s="195"/>
      <c r="CL32" s="195">
        <f>(MODEL!BX18+MODEL!BX23)/MODEL!BX25*100</f>
        <v>32.138683287884689</v>
      </c>
      <c r="CM32" s="195">
        <f>(MODEL!BY18+MODEL!BY23)/MODEL!BY25*100</f>
        <v>29.023704298915227</v>
      </c>
      <c r="CN32" s="195">
        <f>(MODEL!BZ18+MODEL!BZ23)/MODEL!BZ25*100</f>
        <v>30.605221518987342</v>
      </c>
      <c r="CO32" s="195"/>
      <c r="CP32" s="195">
        <f>(MODEL!CB18+MODEL!CB23)/MODEL!CB25*100</f>
        <v>26.816349118507393</v>
      </c>
      <c r="CQ32" s="195">
        <f>(MODEL!CC18+MODEL!CC23)/MODEL!CC25*100</f>
        <v>25.975719058095002</v>
      </c>
      <c r="CR32" s="195">
        <f>(MODEL!CD18+MODEL!CD23)/MODEL!CD25*100</f>
        <v>26.402375411283202</v>
      </c>
      <c r="CS32" s="195"/>
      <c r="CT32" s="195">
        <f>(MODEL!CF18+MODEL!CF23)/MODEL!CF25*100</f>
        <v>23.36947456213511</v>
      </c>
      <c r="CU32" s="195">
        <f>(MODEL!CG18+MODEL!CG23)/MODEL!CG25*100</f>
        <v>22.029510742945895</v>
      </c>
      <c r="CV32" s="195">
        <f>(MODEL!CH18+MODEL!CH23)/MODEL!CH25*100</f>
        <v>22.710886806056234</v>
      </c>
      <c r="CW32" s="195"/>
      <c r="CX32" s="195">
        <f>(MODEL!CJ18+MODEL!CJ23)/MODEL!CJ25*100</f>
        <v>22.2323879231473</v>
      </c>
      <c r="CY32" s="195">
        <f>(MODEL!CK18+MODEL!CK23)/MODEL!CK25*100</f>
        <v>21.110921792468904</v>
      </c>
      <c r="CZ32" s="195">
        <f>(MODEL!CL18+MODEL!CL23)/MODEL!CL25*100</f>
        <v>21.678380539539582</v>
      </c>
      <c r="DA32" s="195"/>
      <c r="DB32" s="195">
        <f>(MODEL!CN18+MODEL!CN23)/MODEL!CN25*100</f>
        <v>19.739152244795584</v>
      </c>
      <c r="DC32" s="195">
        <f>(MODEL!CO18+MODEL!CO23)/MODEL!CO25*100</f>
        <v>20.44280442804428</v>
      </c>
      <c r="DD32" s="195">
        <f>(MODEL!CP18+MODEL!CP23)/MODEL!CP25*100</f>
        <v>20.094386487829112</v>
      </c>
      <c r="DE32" s="195"/>
      <c r="DF32" s="195">
        <f>(MODEL!CR18+MODEL!CR23)/MODEL!CR25*100</f>
        <v>19.484595688444699</v>
      </c>
      <c r="DG32" s="195">
        <f>(MODEL!CS18+MODEL!CS23)/MODEL!CS25*100</f>
        <v>22.707041805754251</v>
      </c>
      <c r="DH32" s="195">
        <f>(MODEL!CT18+MODEL!CT23)/MODEL!CT25*100</f>
        <v>21.126817611081858</v>
      </c>
      <c r="DI32" s="195"/>
      <c r="DJ32" s="195">
        <f>(MODEL!CV18+MODEL!CV23)/MODEL!CV25*100</f>
        <v>14.578286720986567</v>
      </c>
      <c r="DK32" s="195">
        <f>(MODEL!CW18+MODEL!CW23)/MODEL!CW25*100</f>
        <v>15.489934872705744</v>
      </c>
      <c r="DL32" s="196">
        <f>(MODEL!CX18+MODEL!CX23)/MODEL!CX25*100</f>
        <v>15.032246176524783</v>
      </c>
      <c r="DM32" s="195"/>
      <c r="DN32" s="195">
        <f>(MODEL!CZ18+MODEL!CZ23)/MODEL!CZ25*100</f>
        <v>16.448091435269983</v>
      </c>
      <c r="DO32" s="195">
        <f>(MODEL!DA18+MODEL!DA23)/MODEL!DA25*100</f>
        <v>15.5637707948244</v>
      </c>
      <c r="DP32" s="196">
        <f>(MODEL!DB18+MODEL!DB23)/MODEL!DB25*100</f>
        <v>16.007948774563921</v>
      </c>
      <c r="DQ32" s="195"/>
      <c r="DR32" s="195">
        <f>(MODEL!DD18+MODEL!DD23)/MODEL!DD25*100</f>
        <v>15.343690146839753</v>
      </c>
      <c r="DS32" s="195">
        <f>(MODEL!DE18+MODEL!DE23)/MODEL!DE25*100</f>
        <v>15.861636971046773</v>
      </c>
      <c r="DT32" s="1416">
        <f>(MODEL!DF18+MODEL!DF23)/MODEL!DF25*100</f>
        <v>15.605129105919548</v>
      </c>
      <c r="DU32" s="195"/>
      <c r="DV32" s="195">
        <f>(MODEL!DH18+MODEL!DH23)/MODEL!DH25*100</f>
        <v>15.484987683909193</v>
      </c>
      <c r="DW32" s="195">
        <f>(MODEL!DI18+MODEL!DI23)/MODEL!DI25*100</f>
        <v>14.776071211971074</v>
      </c>
      <c r="DX32" s="195">
        <f>(MODEL!DJ18+MODEL!DJ23)/MODEL!DJ25*100</f>
        <v>15.128176146346062</v>
      </c>
      <c r="DY32" s="195"/>
      <c r="DZ32" s="195">
        <f>(MODEL!DL18+MODEL!DL23)/MODEL!DL25*100</f>
        <v>14.793929170694989</v>
      </c>
      <c r="EA32" s="195">
        <f>(MODEL!DM18+MODEL!DM23)/MODEL!DM25*100</f>
        <v>14.412504354314985</v>
      </c>
      <c r="EB32" s="195">
        <f>(MODEL!DN18+MODEL!DN23)/MODEL!DN25*100</f>
        <v>14.602835323545216</v>
      </c>
      <c r="EC32" s="195"/>
      <c r="ED32" s="195">
        <f>(MODEL!DP18+MODEL!DP23)/MODEL!DP25*100</f>
        <v>14.578407682836559</v>
      </c>
      <c r="EE32" s="195">
        <f>(MODEL!DQ18+MODEL!DQ23)/MODEL!DQ25*100</f>
        <v>14.272282958719742</v>
      </c>
      <c r="EF32" s="195">
        <f>(MODEL!DR18+MODEL!DR23)/MODEL!DR25*100</f>
        <v>14.424997867139774</v>
      </c>
      <c r="EG32" s="82"/>
      <c r="EI32" s="4"/>
      <c r="EJ32" s="6"/>
      <c r="EK32" s="4"/>
      <c r="EL32" s="4"/>
      <c r="EM32" s="6"/>
      <c r="EN32" s="6"/>
      <c r="EO32" s="6"/>
      <c r="EP32" s="6"/>
      <c r="EQ32" s="6"/>
      <c r="ER32" s="6"/>
      <c r="EU32" s="4"/>
      <c r="EV32" s="6"/>
    </row>
    <row r="33" spans="3:152" x14ac:dyDescent="0.2">
      <c r="C33" s="197" t="s">
        <v>76</v>
      </c>
      <c r="D33" s="198">
        <f>MODEL!BD1046</f>
        <v>137</v>
      </c>
      <c r="E33" s="198">
        <f>MODEL!BE1046</f>
        <v>197</v>
      </c>
      <c r="F33" s="198">
        <f>MODEL!BF1046</f>
        <v>334</v>
      </c>
      <c r="G33" s="198"/>
      <c r="H33" s="198">
        <f>MODEL!BH1046</f>
        <v>164</v>
      </c>
      <c r="I33" s="198">
        <f>MODEL!BI1046</f>
        <v>200</v>
      </c>
      <c r="J33" s="198">
        <f>MODEL!BJ1046</f>
        <v>364</v>
      </c>
      <c r="K33" s="198"/>
      <c r="L33" s="198">
        <f>MODEL!BL1046</f>
        <v>183</v>
      </c>
      <c r="M33" s="198">
        <f>MODEL!BM1046</f>
        <v>218</v>
      </c>
      <c r="N33" s="198">
        <f>MODEL!BN1046</f>
        <v>401</v>
      </c>
      <c r="O33" s="198"/>
      <c r="P33" s="198">
        <f>MODEL!BP1046</f>
        <v>198</v>
      </c>
      <c r="Q33" s="198">
        <f>MODEL!BQ1046</f>
        <v>222</v>
      </c>
      <c r="R33" s="198">
        <f>MODEL!BR1046</f>
        <v>420</v>
      </c>
      <c r="S33" s="198"/>
      <c r="T33" s="198">
        <f>MODEL!BT1046</f>
        <v>198</v>
      </c>
      <c r="U33" s="198">
        <f>MODEL!BU1046</f>
        <v>222</v>
      </c>
      <c r="V33" s="198">
        <f>MODEL!BV1046</f>
        <v>420</v>
      </c>
      <c r="W33" s="198"/>
      <c r="X33" s="198">
        <f>MODEL!BX1046</f>
        <v>199</v>
      </c>
      <c r="Y33" s="198">
        <f>MODEL!BY1046</f>
        <v>230</v>
      </c>
      <c r="Z33" s="198">
        <f>MODEL!BZ1046</f>
        <v>429</v>
      </c>
      <c r="AA33" s="198"/>
      <c r="AB33" s="198">
        <f>MODEL!CB1046</f>
        <v>200</v>
      </c>
      <c r="AC33" s="199">
        <f>MODEL!CC1046</f>
        <v>231</v>
      </c>
      <c r="AD33" s="199">
        <f>MODEL!CD1046</f>
        <v>431</v>
      </c>
      <c r="AE33" s="199"/>
      <c r="AF33" s="199">
        <f>MODEL!CF1046</f>
        <v>200</v>
      </c>
      <c r="AG33" s="199">
        <f>MODEL!CG1046</f>
        <v>231</v>
      </c>
      <c r="AH33" s="200">
        <f>MODEL!CH1046</f>
        <v>431</v>
      </c>
      <c r="AI33" s="199"/>
      <c r="AJ33" s="199">
        <f>MODEL!CJ1046</f>
        <v>200</v>
      </c>
      <c r="AK33" s="199">
        <f>MODEL!CK1046</f>
        <v>98</v>
      </c>
      <c r="AL33" s="200">
        <f>MODEL!CL1046</f>
        <v>298</v>
      </c>
      <c r="AM33" s="199"/>
      <c r="AN33" s="199">
        <f>MODEL!CN1046</f>
        <v>150</v>
      </c>
      <c r="AO33" s="199">
        <f>MODEL!CO1046</f>
        <v>200</v>
      </c>
      <c r="AP33" s="200">
        <f>MODEL!CP1046</f>
        <v>350</v>
      </c>
      <c r="AQ33" s="199"/>
      <c r="AR33" s="199">
        <f>MODEL!CR1046</f>
        <v>175</v>
      </c>
      <c r="AS33" s="199">
        <f>MODEL!CS1046</f>
        <v>210</v>
      </c>
      <c r="AT33" s="200">
        <f>MODEL!CT1046</f>
        <v>385</v>
      </c>
      <c r="AU33" s="199"/>
      <c r="AV33" s="199">
        <f>MODEL!CV1046</f>
        <v>210</v>
      </c>
      <c r="AW33" s="199">
        <f>MODEL!CW1046</f>
        <v>240</v>
      </c>
      <c r="AX33" s="200">
        <f>MODEL!CX1046</f>
        <v>450</v>
      </c>
      <c r="AY33" s="199"/>
      <c r="AZ33" s="199">
        <f>MODEL!CZ1046</f>
        <v>215</v>
      </c>
      <c r="BA33" s="199">
        <f>MODEL!DA1046</f>
        <v>250</v>
      </c>
      <c r="BB33" s="200">
        <f>MODEL!DB1046</f>
        <v>465</v>
      </c>
      <c r="BC33" s="199"/>
      <c r="BD33" s="199">
        <f>MODEL!DD1046</f>
        <v>225</v>
      </c>
      <c r="BE33" s="199">
        <f>MODEL!DE1046</f>
        <v>260</v>
      </c>
      <c r="BF33" s="1445">
        <f>MODEL!DF1046</f>
        <v>485</v>
      </c>
      <c r="BG33" s="199"/>
      <c r="BH33" s="199">
        <f>MODEL!DH1046</f>
        <v>235</v>
      </c>
      <c r="BI33" s="1465">
        <f>MODEL!DI1046</f>
        <v>280</v>
      </c>
      <c r="BJ33" s="1465">
        <f>MODEL!DJ1046</f>
        <v>515</v>
      </c>
      <c r="BK33" s="199"/>
      <c r="BL33" s="199">
        <f ca="1">MODEL!DL1046</f>
        <v>260</v>
      </c>
      <c r="BM33" s="199">
        <f ca="1">MODEL!DM1046</f>
        <v>300</v>
      </c>
      <c r="BN33" s="201">
        <f ca="1">MODEL!DN1046</f>
        <v>560</v>
      </c>
      <c r="BO33" s="199"/>
      <c r="BP33" s="199">
        <f ca="1">MODEL!DP1046</f>
        <v>270</v>
      </c>
      <c r="BQ33" s="199">
        <f ca="1">MODEL!DQ1046</f>
        <v>315</v>
      </c>
      <c r="BR33" s="201">
        <f ca="1">MODEL!DR1046</f>
        <v>585</v>
      </c>
      <c r="BS33" s="67"/>
      <c r="BT33" s="202" t="s">
        <v>77</v>
      </c>
      <c r="BU33" s="69"/>
      <c r="BV33" s="69">
        <f>-MODEL!BH30/MODEL!BH25*100</f>
        <v>43.415297890951507</v>
      </c>
      <c r="BW33" s="69">
        <f>-MODEL!BI30/MODEL!BI25*100</f>
        <v>43.135206988226358</v>
      </c>
      <c r="BX33" s="69">
        <f>-MODEL!BJ30/MODEL!BJ25*100</f>
        <v>43.273617981845256</v>
      </c>
      <c r="BY33" s="69"/>
      <c r="BZ33" s="69">
        <f>-MODEL!BL30/MODEL!BL25*100</f>
        <v>42.617509867240763</v>
      </c>
      <c r="CA33" s="69">
        <f>-MODEL!BM30/MODEL!BM25*100</f>
        <v>42.193192926330759</v>
      </c>
      <c r="CB33" s="69">
        <f>-MODEL!BN30/MODEL!BN25*100</f>
        <v>42.404356948350518</v>
      </c>
      <c r="CC33" s="69"/>
      <c r="CD33" s="69">
        <f>-MODEL!BP30/MODEL!BP25*100</f>
        <v>41.917597884500559</v>
      </c>
      <c r="CE33" s="69">
        <f>-MODEL!BQ30/MODEL!BQ25*100</f>
        <v>42.842682412484187</v>
      </c>
      <c r="CF33" s="69">
        <f>-MODEL!BR30/MODEL!BR25*100</f>
        <v>42.382729663245399</v>
      </c>
      <c r="CG33" s="69">
        <f>-MODEL!BS30/MODEL!BS25*100</f>
        <v>-98.978303220756629</v>
      </c>
      <c r="CH33" s="69">
        <f>-MODEL!BT30/MODEL!BT25*100</f>
        <v>41.948470209339774</v>
      </c>
      <c r="CI33" s="69">
        <f>-MODEL!BU30/MODEL!BU25*100</f>
        <v>42.378518698791275</v>
      </c>
      <c r="CJ33" s="69">
        <f>-MODEL!BV30/MODEL!BV25*100</f>
        <v>42.162686386228629</v>
      </c>
      <c r="CK33" s="69"/>
      <c r="CL33" s="69">
        <f>-MODEL!BX30/MODEL!BX25*100</f>
        <v>42.649006622516552</v>
      </c>
      <c r="CM33" s="69">
        <f>-MODEL!BY30/MODEL!BY25*100</f>
        <v>41.366010445962232</v>
      </c>
      <c r="CN33" s="69">
        <f>-MODEL!BZ30/MODEL!BZ25*100</f>
        <v>42.017405063291143</v>
      </c>
      <c r="CO33" s="69"/>
      <c r="CP33" s="69">
        <f>-MODEL!CB30/MODEL!CB25*100</f>
        <v>43.133844572693491</v>
      </c>
      <c r="CQ33" s="69">
        <f>-MODEL!CC30/MODEL!CC25*100</f>
        <v>45.131589668377742</v>
      </c>
      <c r="CR33" s="69">
        <f>-MODEL!CD30/MODEL!CD25*100</f>
        <v>44.117647058823529</v>
      </c>
      <c r="CS33" s="69"/>
      <c r="CT33" s="69">
        <f>-MODEL!CF30/MODEL!CF25*100</f>
        <v>42.251876563803172</v>
      </c>
      <c r="CU33" s="69">
        <f>-MODEL!CG30/MODEL!CG25*100</f>
        <v>49.685046164466307</v>
      </c>
      <c r="CV33" s="69">
        <f>-MODEL!CH30/MODEL!CH25*100</f>
        <v>45.905254675770813</v>
      </c>
      <c r="CW33" s="69"/>
      <c r="CX33" s="69">
        <f>-MODEL!CJ30/MODEL!CJ25*100</f>
        <v>43.724527988022956</v>
      </c>
      <c r="CY33" s="69">
        <f>-MODEL!CK30/MODEL!CK25*100</f>
        <v>48.892485943090819</v>
      </c>
      <c r="CZ33" s="69">
        <f>-MODEL!CL30/MODEL!CL25*100</f>
        <v>46.277513572661086</v>
      </c>
      <c r="DA33" s="69"/>
      <c r="DB33" s="69">
        <f>-MODEL!CN30/MODEL!CN25*100</f>
        <v>46.743583312432065</v>
      </c>
      <c r="DC33" s="69">
        <f>-MODEL!CO30/MODEL!CO25*100</f>
        <v>47.298072980729806</v>
      </c>
      <c r="DD33" s="69">
        <f>-MODEL!CP30/MODEL!CP25*100</f>
        <v>47.023513826792517</v>
      </c>
      <c r="DE33" s="69"/>
      <c r="DF33" s="69">
        <f>-MODEL!CR30/MODEL!CR25*100</f>
        <v>45.345667795490215</v>
      </c>
      <c r="DG33" s="69">
        <f>-MODEL!CS30/MODEL!CS25*100</f>
        <v>47.194404705134318</v>
      </c>
      <c r="DH33" s="69">
        <f>-MODEL!CT30/MODEL!CT25*100</f>
        <v>46.287820486856496</v>
      </c>
      <c r="DI33" s="69"/>
      <c r="DJ33" s="69">
        <f>-MODEL!CV30/MODEL!CV25*100</f>
        <v>42.376862658738894</v>
      </c>
      <c r="DK33" s="69">
        <f>-MODEL!CW30/MODEL!CW25*100</f>
        <v>45.034043812907044</v>
      </c>
      <c r="DL33" s="70">
        <f>-MODEL!CX30/MODEL!CX25*100</f>
        <v>43.700018426386585</v>
      </c>
      <c r="DM33" s="69"/>
      <c r="DN33" s="69">
        <f>-MODEL!CZ30/MODEL!CZ25*100</f>
        <v>44.039856399736244</v>
      </c>
      <c r="DO33" s="69">
        <f>-MODEL!DA30/MODEL!DA25*100</f>
        <v>45.892791127541585</v>
      </c>
      <c r="DP33" s="70">
        <f>-MODEL!DB30/MODEL!DB25*100</f>
        <v>44.962096121292412</v>
      </c>
      <c r="DQ33" s="69"/>
      <c r="DR33" s="69">
        <f>-MODEL!DD30/MODEL!DD25*100</f>
        <v>45.201106618429456</v>
      </c>
      <c r="DS33" s="69">
        <f>-MODEL!DE30/MODEL!DE25*100</f>
        <v>46.102449888641431</v>
      </c>
      <c r="DT33" s="1403">
        <f>-MODEL!DF30/MODEL!DF25*100</f>
        <v>45.656068856490428</v>
      </c>
      <c r="DU33" s="69"/>
      <c r="DV33" s="69">
        <f>-MODEL!DH30/MODEL!DH25*100</f>
        <v>45.869116570135141</v>
      </c>
      <c r="DW33" s="69">
        <f>-MODEL!DI30/MODEL!DI25*100</f>
        <v>44.608434368698738</v>
      </c>
      <c r="DX33" s="69">
        <f>-MODEL!DJ30/MODEL!DJ25*100</f>
        <v>45.234590539948236</v>
      </c>
      <c r="DY33" s="69"/>
      <c r="DZ33" s="69">
        <f>-MODEL!DL30/MODEL!DL25*100</f>
        <v>43.829663827578358</v>
      </c>
      <c r="EA33" s="69">
        <f>-MODEL!DM30/MODEL!DM25*100</f>
        <v>44.099579512028434</v>
      </c>
      <c r="EB33" s="69">
        <f>-MODEL!DN30/MODEL!DN25*100</f>
        <v>43.964891595496432</v>
      </c>
      <c r="EC33" s="69"/>
      <c r="ED33" s="69">
        <f>-MODEL!DP30/MODEL!DP25*100</f>
        <v>43.780234354762683</v>
      </c>
      <c r="EE33" s="69">
        <f>-MODEL!DQ30/MODEL!DQ25*100</f>
        <v>44.133129153637363</v>
      </c>
      <c r="EF33" s="69">
        <f>-MODEL!DR30/MODEL!DR25*100</f>
        <v>43.957082292190499</v>
      </c>
      <c r="EG33" s="173"/>
      <c r="EH33" s="203"/>
      <c r="EI33" s="41"/>
      <c r="EJ33" s="41"/>
      <c r="EK33" s="204"/>
      <c r="EL33" s="204"/>
      <c r="EM33" s="41"/>
      <c r="EN33" s="41"/>
      <c r="EO33" s="41"/>
      <c r="EP33" s="41"/>
      <c r="EQ33" s="41"/>
      <c r="ER33" s="205"/>
      <c r="EU33" s="4"/>
      <c r="EV33" s="41"/>
    </row>
    <row r="34" spans="3:152" x14ac:dyDescent="0.2">
      <c r="C34" s="29" t="s">
        <v>78</v>
      </c>
      <c r="D34" s="30"/>
      <c r="E34" s="30"/>
      <c r="F34" s="30"/>
      <c r="G34" s="30"/>
      <c r="H34" s="30"/>
      <c r="I34" s="30"/>
      <c r="J34" s="30"/>
      <c r="K34" s="30"/>
      <c r="L34" s="30"/>
      <c r="M34" s="30"/>
      <c r="N34" s="30"/>
      <c r="O34" s="30"/>
      <c r="P34" s="30"/>
      <c r="Q34" s="30"/>
      <c r="R34" s="30"/>
      <c r="S34" s="30"/>
      <c r="T34" s="30"/>
      <c r="U34" s="30"/>
      <c r="V34" s="30"/>
      <c r="W34" s="30"/>
      <c r="X34" s="30"/>
      <c r="Y34" s="30"/>
      <c r="Z34" s="30"/>
      <c r="AA34" s="30"/>
      <c r="AB34" s="30"/>
      <c r="AC34" s="30"/>
      <c r="AD34" s="30"/>
      <c r="AE34" s="30"/>
      <c r="AF34" s="30"/>
      <c r="AG34" s="30"/>
      <c r="AH34" s="30"/>
      <c r="AI34" s="30"/>
      <c r="AJ34" s="30"/>
      <c r="AK34" s="30"/>
      <c r="AL34" s="30"/>
      <c r="AM34" s="30"/>
      <c r="AN34" s="30"/>
      <c r="AO34" s="30"/>
      <c r="AP34" s="30"/>
      <c r="AQ34" s="30"/>
      <c r="AR34" s="30"/>
      <c r="AS34" s="30"/>
      <c r="AT34" s="30"/>
      <c r="AU34" s="30"/>
      <c r="AV34" s="30"/>
      <c r="AW34" s="30"/>
      <c r="AX34" s="30"/>
      <c r="AY34" s="30"/>
      <c r="AZ34" s="30"/>
      <c r="BA34" s="30"/>
      <c r="BB34" s="206"/>
      <c r="BC34" s="30"/>
      <c r="BD34" s="30"/>
      <c r="BE34" s="30"/>
      <c r="BF34" s="1446"/>
      <c r="BG34" s="30"/>
      <c r="BH34" s="30"/>
      <c r="BI34" s="30"/>
      <c r="BJ34" s="30"/>
      <c r="BK34" s="30"/>
      <c r="BL34" s="30"/>
      <c r="BM34" s="30"/>
      <c r="BN34" s="30"/>
      <c r="BO34" s="30"/>
      <c r="BP34" s="30"/>
      <c r="BQ34" s="30"/>
      <c r="BR34" s="30"/>
      <c r="BS34" s="130"/>
      <c r="BT34" s="150" t="s">
        <v>79</v>
      </c>
      <c r="BU34" s="191"/>
      <c r="BV34" s="191">
        <f>MODEL!BH885*100</f>
        <v>27.814060699193238</v>
      </c>
      <c r="BW34" s="191">
        <f>MODEL!BI885*100</f>
        <v>27.249683143219265</v>
      </c>
      <c r="BX34" s="191">
        <f>MODEL!BJ885*100</f>
        <v>27.523534346164602</v>
      </c>
      <c r="BY34" s="191"/>
      <c r="BZ34" s="191">
        <f>MODEL!BL885*100</f>
        <v>27.979797979797983</v>
      </c>
      <c r="CA34" s="191">
        <f>MODEL!BM885*100</f>
        <v>26.427026127475457</v>
      </c>
      <c r="CB34" s="191">
        <f>MODEL!BN885*100</f>
        <v>27.198928780651098</v>
      </c>
      <c r="CC34" s="191"/>
      <c r="CD34" s="191">
        <f>MODEL!BP885*100</f>
        <v>27.319830428638721</v>
      </c>
      <c r="CE34" s="191">
        <f>MODEL!BQ885*100</f>
        <v>27.280025690430314</v>
      </c>
      <c r="CF34" s="191">
        <f>MODEL!BR885*100</f>
        <v>27.300150829562593</v>
      </c>
      <c r="CG34" s="191">
        <f>MODEL!BS885*100</f>
        <v>0</v>
      </c>
      <c r="CH34" s="191">
        <f>MODEL!BT885*100</f>
        <v>27.490219681011137</v>
      </c>
      <c r="CI34" s="191">
        <f>MODEL!BU885*100</f>
        <v>27.530806426454529</v>
      </c>
      <c r="CJ34" s="191">
        <f>MODEL!BV885*100</f>
        <v>27.510147813433406</v>
      </c>
      <c r="CK34" s="191"/>
      <c r="CL34" s="191">
        <f>MODEL!BX885*100</f>
        <v>28.467908902691512</v>
      </c>
      <c r="CM34" s="191">
        <f>MODEL!BY885*100</f>
        <v>28.260549919129542</v>
      </c>
      <c r="CN34" s="191">
        <f>MODEL!BZ885*100</f>
        <v>28.363931283639314</v>
      </c>
      <c r="CO34" s="191"/>
      <c r="CP34" s="191">
        <f>MODEL!CB885*100</f>
        <v>30.210701834167047</v>
      </c>
      <c r="CQ34" s="191">
        <f>MODEL!CC885*100</f>
        <v>30.82706766917293</v>
      </c>
      <c r="CR34" s="191">
        <f>MODEL!CD885*100</f>
        <v>30.510585305105852</v>
      </c>
      <c r="CS34" s="191"/>
      <c r="CT34" s="191">
        <f>MODEL!CF885*100</f>
        <v>28.218055774381597</v>
      </c>
      <c r="CU34" s="191">
        <f>MODEL!CG885*100</f>
        <v>29.383522181678511</v>
      </c>
      <c r="CV34" s="191">
        <f>MODEL!CH885*100</f>
        <v>28.743292366280077</v>
      </c>
      <c r="CW34" s="191"/>
      <c r="CX34" s="191">
        <f>MODEL!CJ885*100</f>
        <v>29.377145659637076</v>
      </c>
      <c r="CY34" s="191">
        <f>MODEL!CK885*100</f>
        <v>29.66101694915254</v>
      </c>
      <c r="CZ34" s="191">
        <f>MODEL!CL885*100</f>
        <v>29.491558504928271</v>
      </c>
      <c r="DA34" s="191"/>
      <c r="DB34" s="191">
        <f>MODEL!CN885*100</f>
        <v>29.518950437317788</v>
      </c>
      <c r="DC34" s="191">
        <f>MODEL!CO885*100</f>
        <v>29.163582531458175</v>
      </c>
      <c r="DD34" s="191">
        <f>MODEL!CP885*100</f>
        <v>29.322878379482155</v>
      </c>
      <c r="DE34" s="191"/>
      <c r="DF34" s="191">
        <f>MODEL!CR885*100</f>
        <v>29.079497907949794</v>
      </c>
      <c r="DG34" s="191">
        <f>MODEL!CS885*100</f>
        <v>29.988449321397631</v>
      </c>
      <c r="DH34" s="191">
        <f>MODEL!CT885*100</f>
        <v>29.541782934351595</v>
      </c>
      <c r="DI34" s="191"/>
      <c r="DJ34" s="191">
        <f>MODEL!CV885*100</f>
        <v>29.418176863332878</v>
      </c>
      <c r="DK34" s="191">
        <f>MODEL!CW885*100</f>
        <v>28.374816983894586</v>
      </c>
      <c r="DL34" s="192">
        <f>MODEL!CX885*100</f>
        <v>28.915237490295713</v>
      </c>
      <c r="DM34" s="191"/>
      <c r="DN34" s="191">
        <f>MODEL!CZ885*100</f>
        <v>30.513636992939219</v>
      </c>
      <c r="DO34" s="191">
        <f>MODEL!DA885*100</f>
        <v>30.500649256961477</v>
      </c>
      <c r="DP34" s="192">
        <f>MODEL!DB885*100</f>
        <v>30.507277094814189</v>
      </c>
      <c r="DQ34" s="191"/>
      <c r="DR34" s="191">
        <f>MODEL!DD885*100</f>
        <v>30.695476029709656</v>
      </c>
      <c r="DS34" s="191">
        <f>MODEL!DE885*100</f>
        <v>30.226219678386478</v>
      </c>
      <c r="DT34" s="1417">
        <f>MODEL!DF885*100</f>
        <v>30.461914128739064</v>
      </c>
      <c r="DU34" s="191"/>
      <c r="DV34" s="191">
        <f>MODEL!DH885*100</f>
        <v>30.299539170506911</v>
      </c>
      <c r="DW34" s="191">
        <f>MODEL!DI885*100</f>
        <v>29.7</v>
      </c>
      <c r="DX34" s="191">
        <f>MODEL!DJ885*100</f>
        <v>29.996188003624741</v>
      </c>
      <c r="DY34" s="191"/>
      <c r="DZ34" s="191">
        <f>MODEL!DL885*100</f>
        <v>30</v>
      </c>
      <c r="EA34" s="191">
        <f>MODEL!DM885*100</f>
        <v>30</v>
      </c>
      <c r="EB34" s="191">
        <f>MODEL!DN885*100</f>
        <v>30</v>
      </c>
      <c r="EC34" s="191"/>
      <c r="ED34" s="191">
        <f>MODEL!DP885*100</f>
        <v>30</v>
      </c>
      <c r="EE34" s="191">
        <f>MODEL!DQ885*100</f>
        <v>30</v>
      </c>
      <c r="EF34" s="191">
        <f>MODEL!DR885*100</f>
        <v>29.999999999999993</v>
      </c>
      <c r="EG34" s="173"/>
      <c r="EI34" s="4"/>
      <c r="EJ34" s="6"/>
      <c r="EK34" s="207"/>
      <c r="EL34" s="207"/>
      <c r="EM34" s="6"/>
      <c r="EN34" s="6"/>
      <c r="EO34" s="6"/>
      <c r="EP34" s="6"/>
      <c r="EQ34" s="6"/>
      <c r="ER34" s="6"/>
      <c r="EU34" s="4"/>
      <c r="EV34" s="6"/>
    </row>
    <row r="35" spans="3:152" x14ac:dyDescent="0.2">
      <c r="C35" s="63" t="s">
        <v>34</v>
      </c>
      <c r="D35" s="64"/>
      <c r="E35" s="64"/>
      <c r="F35" s="64"/>
      <c r="G35" s="64"/>
      <c r="H35" s="64"/>
      <c r="I35" s="64"/>
      <c r="J35" s="64"/>
      <c r="K35" s="64"/>
      <c r="L35" s="64"/>
      <c r="M35" s="64"/>
      <c r="N35" s="64"/>
      <c r="O35" s="64"/>
      <c r="P35" s="64"/>
      <c r="Q35" s="64"/>
      <c r="R35" s="64"/>
      <c r="S35" s="64"/>
      <c r="T35" s="64"/>
      <c r="U35" s="64"/>
      <c r="V35" s="64"/>
      <c r="W35" s="64"/>
      <c r="X35" s="64"/>
      <c r="Y35" s="64"/>
      <c r="Z35" s="64"/>
      <c r="AA35" s="64"/>
      <c r="AB35" s="64"/>
      <c r="AC35" s="64"/>
      <c r="AD35" s="64"/>
      <c r="AE35" s="64"/>
      <c r="AF35" s="64">
        <f>MODEL!CF78</f>
        <v>11990</v>
      </c>
      <c r="AG35" s="64">
        <f>MODEL!CG78</f>
        <v>11589</v>
      </c>
      <c r="AH35" s="65">
        <f>MODEL!CH78</f>
        <v>23579</v>
      </c>
      <c r="AI35" s="64">
        <f>MODEL!CI78</f>
        <v>0</v>
      </c>
      <c r="AJ35" s="64">
        <f>MODEL!CJ78</f>
        <v>12023</v>
      </c>
      <c r="AK35" s="64">
        <f>MODEL!CK78</f>
        <v>11738</v>
      </c>
      <c r="AL35" s="65">
        <f>MODEL!CL78</f>
        <v>23761</v>
      </c>
      <c r="AM35" s="64">
        <f>MODEL!CM78</f>
        <v>0</v>
      </c>
      <c r="AN35" s="64">
        <f>MODEL!CN78</f>
        <v>11961</v>
      </c>
      <c r="AO35" s="64">
        <f>MODEL!CO78</f>
        <v>12195</v>
      </c>
      <c r="AP35" s="65">
        <f>MODEL!CP78</f>
        <v>24156</v>
      </c>
      <c r="AQ35" s="64">
        <f>MODEL!CQ78</f>
        <v>0</v>
      </c>
      <c r="AR35" s="64">
        <f>MODEL!CR78</f>
        <v>12107</v>
      </c>
      <c r="AS35" s="64">
        <f>MODEL!CS78</f>
        <v>12066</v>
      </c>
      <c r="AT35" s="65">
        <f>MODEL!CT78</f>
        <v>24173</v>
      </c>
      <c r="AU35" s="64"/>
      <c r="AV35" s="64">
        <f>MODEL!CV78</f>
        <v>13623</v>
      </c>
      <c r="AW35" s="64">
        <f>MODEL!CW78</f>
        <v>13512</v>
      </c>
      <c r="AX35" s="65">
        <f>MODEL!CX78</f>
        <v>27135</v>
      </c>
      <c r="AY35" s="64"/>
      <c r="AZ35" s="64">
        <f>MODEL!CZ78</f>
        <v>13649</v>
      </c>
      <c r="BA35" s="64">
        <f>MODEL!DA78</f>
        <v>13525</v>
      </c>
      <c r="BB35" s="65">
        <f>MODEL!DB78</f>
        <v>27174</v>
      </c>
      <c r="BC35" s="64"/>
      <c r="BD35" s="64">
        <f>MODEL!DD78</f>
        <v>14097</v>
      </c>
      <c r="BE35" s="64">
        <f>MODEL!DE78</f>
        <v>14368</v>
      </c>
      <c r="BF35" s="1408">
        <f>MODEL!DF78</f>
        <v>28465</v>
      </c>
      <c r="BG35" s="64"/>
      <c r="BH35" s="64">
        <f>MODEL!DH78</f>
        <v>15021</v>
      </c>
      <c r="BI35" s="64">
        <f>MODEL!DI78</f>
        <v>15221.786412194529</v>
      </c>
      <c r="BJ35" s="64">
        <f>MODEL!DJ78</f>
        <v>30242.786412194531</v>
      </c>
      <c r="BK35" s="64"/>
      <c r="BL35" s="64">
        <f>MODEL!DL78</f>
        <v>15973.425130904467</v>
      </c>
      <c r="BM35" s="64">
        <f>MODEL!DM78</f>
        <v>16037.449253626672</v>
      </c>
      <c r="BN35" s="66">
        <f>MODEL!DN78</f>
        <v>32010.87438453114</v>
      </c>
      <c r="BO35" s="64"/>
      <c r="BP35" s="64">
        <f>MODEL!DP78</f>
        <v>16651.367635972674</v>
      </c>
      <c r="BQ35" s="64">
        <f>MODEL!DQ78</f>
        <v>16727.137294992015</v>
      </c>
      <c r="BR35" s="66">
        <f>MODEL!DR78</f>
        <v>33378.504930964686</v>
      </c>
      <c r="BS35" s="48"/>
      <c r="BT35" s="208"/>
      <c r="BU35" s="191"/>
      <c r="BV35" s="191"/>
      <c r="BW35" s="191"/>
      <c r="BX35" s="191"/>
      <c r="BY35" s="191"/>
      <c r="BZ35" s="191"/>
      <c r="CA35" s="191"/>
      <c r="CB35" s="191"/>
      <c r="CC35" s="191"/>
      <c r="CD35" s="191"/>
      <c r="CE35" s="191"/>
      <c r="CF35" s="191"/>
      <c r="CG35" s="191"/>
      <c r="CH35" s="191"/>
      <c r="CI35" s="191"/>
      <c r="CJ35" s="191"/>
      <c r="CK35" s="191"/>
      <c r="CL35" s="191"/>
      <c r="CM35" s="191"/>
      <c r="CN35" s="191"/>
      <c r="CO35" s="191"/>
      <c r="CP35" s="191"/>
      <c r="CQ35" s="191"/>
      <c r="CR35" s="191"/>
      <c r="CS35" s="191"/>
      <c r="CT35" s="191"/>
      <c r="CU35" s="191"/>
      <c r="CV35" s="191"/>
      <c r="CW35" s="191"/>
      <c r="CX35" s="191"/>
      <c r="CY35" s="191"/>
      <c r="CZ35" s="191"/>
      <c r="DA35" s="191"/>
      <c r="DB35" s="191"/>
      <c r="DC35" s="191"/>
      <c r="DD35" s="191"/>
      <c r="DE35" s="191"/>
      <c r="DF35" s="191"/>
      <c r="DG35" s="191"/>
      <c r="DH35" s="191"/>
      <c r="DI35" s="191"/>
      <c r="DJ35" s="191"/>
      <c r="DK35" s="191"/>
      <c r="DL35" s="192"/>
      <c r="DM35" s="191"/>
      <c r="DN35" s="191"/>
      <c r="DO35" s="191"/>
      <c r="DP35" s="192"/>
      <c r="DQ35" s="191"/>
      <c r="DR35" s="191"/>
      <c r="DS35" s="191"/>
      <c r="DT35" s="1417"/>
      <c r="DU35" s="191"/>
      <c r="DV35" s="191"/>
      <c r="DW35" s="191"/>
      <c r="DX35" s="191"/>
      <c r="DY35" s="191"/>
      <c r="DZ35" s="191"/>
      <c r="EA35" s="191"/>
      <c r="EB35" s="191"/>
      <c r="EC35" s="191"/>
      <c r="ED35" s="191"/>
      <c r="EE35" s="191"/>
      <c r="EF35" s="191"/>
      <c r="EG35" s="107"/>
      <c r="EI35" s="4"/>
      <c r="EJ35" s="84"/>
      <c r="EK35" s="174"/>
      <c r="EL35" s="174"/>
      <c r="EM35" s="84"/>
      <c r="EN35" s="84"/>
      <c r="EO35" s="84"/>
      <c r="EP35" s="84"/>
      <c r="EQ35" s="84"/>
      <c r="ER35" s="84"/>
      <c r="EU35" s="4"/>
      <c r="EV35" s="84"/>
    </row>
    <row r="36" spans="3:152" x14ac:dyDescent="0.2">
      <c r="C36" s="63" t="s">
        <v>36</v>
      </c>
      <c r="D36" s="64"/>
      <c r="E36" s="64"/>
      <c r="F36" s="64"/>
      <c r="G36" s="64"/>
      <c r="H36" s="64"/>
      <c r="I36" s="64"/>
      <c r="J36" s="64"/>
      <c r="K36" s="64"/>
      <c r="L36" s="64"/>
      <c r="M36" s="64"/>
      <c r="N36" s="64"/>
      <c r="O36" s="64"/>
      <c r="P36" s="64"/>
      <c r="Q36" s="64"/>
      <c r="R36" s="64"/>
      <c r="S36" s="64"/>
      <c r="T36" s="64"/>
      <c r="U36" s="64"/>
      <c r="V36" s="64"/>
      <c r="W36" s="64"/>
      <c r="X36" s="64"/>
      <c r="Y36" s="64"/>
      <c r="Z36" s="64"/>
      <c r="AA36" s="64"/>
      <c r="AB36" s="64"/>
      <c r="AC36" s="64"/>
      <c r="AD36" s="64"/>
      <c r="AE36" s="64"/>
      <c r="AF36" s="64">
        <f>MODEL!CF90</f>
        <v>-4975</v>
      </c>
      <c r="AG36" s="64">
        <f>MODEL!CG90</f>
        <v>-5159</v>
      </c>
      <c r="AH36" s="65">
        <f>MODEL!CH90</f>
        <v>-10134</v>
      </c>
      <c r="AI36" s="64">
        <f>MODEL!CI90</f>
        <v>0</v>
      </c>
      <c r="AJ36" s="64">
        <f>MODEL!CJ90</f>
        <v>-5257</v>
      </c>
      <c r="AK36" s="64">
        <f>MODEL!CK90</f>
        <v>-5278</v>
      </c>
      <c r="AL36" s="65">
        <f>MODEL!CL90</f>
        <v>-10535</v>
      </c>
      <c r="AM36" s="64">
        <f>MODEL!CM90</f>
        <v>0</v>
      </c>
      <c r="AN36" s="64">
        <f>MODEL!CN90</f>
        <v>-5349</v>
      </c>
      <c r="AO36" s="64">
        <f>MODEL!CO90</f>
        <v>-5435</v>
      </c>
      <c r="AP36" s="65">
        <f>MODEL!CP90</f>
        <v>-10784</v>
      </c>
      <c r="AQ36" s="64">
        <f>MODEL!CQ90</f>
        <v>0</v>
      </c>
      <c r="AR36" s="64">
        <f>MODEL!CR90</f>
        <v>-5397</v>
      </c>
      <c r="AS36" s="64">
        <f>MODEL!CS90</f>
        <v>-5391</v>
      </c>
      <c r="AT36" s="65">
        <f>MODEL!CT90</f>
        <v>-10788</v>
      </c>
      <c r="AU36" s="64"/>
      <c r="AV36" s="64">
        <f>MODEL!CV90</f>
        <v>-5636</v>
      </c>
      <c r="AW36" s="64">
        <f>MODEL!CW90</f>
        <v>-5873</v>
      </c>
      <c r="AX36" s="65">
        <f>MODEL!CX90</f>
        <v>-11646</v>
      </c>
      <c r="AY36" s="64"/>
      <c r="AZ36" s="64">
        <f>MODEL!CZ90</f>
        <v>-6011</v>
      </c>
      <c r="BA36" s="64">
        <f>MODEL!DA90</f>
        <v>-6118</v>
      </c>
      <c r="BB36" s="65">
        <f>MODEL!DB90</f>
        <v>-12129</v>
      </c>
      <c r="BC36" s="64"/>
      <c r="BD36" s="64">
        <f>MODEL!DD90</f>
        <v>-6372</v>
      </c>
      <c r="BE36" s="64">
        <f>MODEL!DE90</f>
        <v>-6494</v>
      </c>
      <c r="BF36" s="1408">
        <f>MODEL!DF90</f>
        <v>-12866</v>
      </c>
      <c r="BG36" s="64"/>
      <c r="BH36" s="64">
        <f>MODEL!DH90</f>
        <v>-6720</v>
      </c>
      <c r="BI36" s="64">
        <f>MODEL!DI90</f>
        <v>-6740.2006014272984</v>
      </c>
      <c r="BJ36" s="64">
        <f>MODEL!DJ90</f>
        <v>-13460.200601427299</v>
      </c>
      <c r="BK36" s="64"/>
      <c r="BL36" s="64">
        <f>MODEL!DL90</f>
        <v>-7001.0985366253462</v>
      </c>
      <c r="BM36" s="64">
        <f>MODEL!DM90</f>
        <v>-7022.4476853043052</v>
      </c>
      <c r="BN36" s="66">
        <f>MODEL!DN90</f>
        <v>-14023.546221929651</v>
      </c>
      <c r="BO36" s="64"/>
      <c r="BP36" s="64">
        <f>MODEL!DP90</f>
        <v>-7290.0077743019428</v>
      </c>
      <c r="BQ36" s="64">
        <f>MODEL!DQ90</f>
        <v>-7332.2091061050687</v>
      </c>
      <c r="BR36" s="66">
        <f>MODEL!DR90</f>
        <v>-14622.21688040701</v>
      </c>
      <c r="BS36" s="48"/>
      <c r="BT36" s="137" t="s">
        <v>80</v>
      </c>
      <c r="BU36" s="138"/>
      <c r="BV36" s="138"/>
      <c r="BW36" s="138"/>
      <c r="BX36" s="138"/>
      <c r="BY36" s="138"/>
      <c r="BZ36" s="138"/>
      <c r="CA36" s="138"/>
      <c r="CB36" s="138"/>
      <c r="CC36" s="138"/>
      <c r="CD36" s="138"/>
      <c r="CE36" s="138"/>
      <c r="CF36" s="138"/>
      <c r="CG36" s="138"/>
      <c r="CH36" s="138"/>
      <c r="CI36" s="138"/>
      <c r="CJ36" s="138"/>
      <c r="CK36" s="138"/>
      <c r="CL36" s="138"/>
      <c r="CM36" s="138"/>
      <c r="CN36" s="138"/>
      <c r="CO36" s="138"/>
      <c r="CP36" s="138"/>
      <c r="CQ36" s="138"/>
      <c r="CR36" s="138"/>
      <c r="CS36" s="138"/>
      <c r="CT36" s="138"/>
      <c r="CU36" s="138"/>
      <c r="CV36" s="138"/>
      <c r="CW36" s="138"/>
      <c r="CX36" s="138"/>
      <c r="CY36" s="138"/>
      <c r="CZ36" s="138"/>
      <c r="DA36" s="138"/>
      <c r="DB36" s="138"/>
      <c r="DC36" s="138"/>
      <c r="DD36" s="138"/>
      <c r="DE36" s="138"/>
      <c r="DF36" s="138"/>
      <c r="DG36" s="138"/>
      <c r="DH36" s="138"/>
      <c r="DI36" s="138"/>
      <c r="DJ36" s="138"/>
      <c r="DK36" s="138"/>
      <c r="DL36" s="209"/>
      <c r="DM36" s="138"/>
      <c r="DN36" s="138"/>
      <c r="DO36" s="138"/>
      <c r="DP36" s="209"/>
      <c r="DQ36" s="138"/>
      <c r="DR36" s="138"/>
      <c r="DS36" s="138"/>
      <c r="DT36" s="1418"/>
      <c r="DU36" s="138"/>
      <c r="DV36" s="138"/>
      <c r="DW36" s="138"/>
      <c r="DX36" s="138"/>
      <c r="DY36" s="138"/>
      <c r="DZ36" s="138"/>
      <c r="EA36" s="138"/>
      <c r="EB36" s="138"/>
      <c r="EC36" s="138"/>
      <c r="ED36" s="138"/>
      <c r="EE36" s="138"/>
      <c r="EF36" s="138"/>
      <c r="EG36" s="107"/>
      <c r="EH36" s="1359"/>
      <c r="EI36" s="4"/>
      <c r="EJ36" s="84"/>
      <c r="EK36" s="105"/>
      <c r="EL36" s="105"/>
      <c r="EM36" s="84"/>
      <c r="EN36" s="84"/>
      <c r="EO36" s="84"/>
      <c r="EP36" s="84"/>
      <c r="EQ36" s="84"/>
      <c r="ER36" s="84"/>
      <c r="EU36" s="4"/>
      <c r="EV36" s="84"/>
    </row>
    <row r="37" spans="3:152" x14ac:dyDescent="0.2">
      <c r="C37" s="43" t="s">
        <v>39</v>
      </c>
      <c r="D37" s="87"/>
      <c r="E37" s="87"/>
      <c r="F37" s="87"/>
      <c r="G37" s="87"/>
      <c r="H37" s="87"/>
      <c r="I37" s="87"/>
      <c r="J37" s="87"/>
      <c r="K37" s="87"/>
      <c r="L37" s="87"/>
      <c r="M37" s="87"/>
      <c r="N37" s="87"/>
      <c r="O37" s="87"/>
      <c r="P37" s="87"/>
      <c r="Q37" s="87"/>
      <c r="R37" s="87"/>
      <c r="S37" s="87"/>
      <c r="T37" s="87"/>
      <c r="U37" s="87"/>
      <c r="V37" s="87"/>
      <c r="W37" s="87"/>
      <c r="X37" s="87"/>
      <c r="Y37" s="87"/>
      <c r="Z37" s="87"/>
      <c r="AA37" s="87"/>
      <c r="AB37" s="87"/>
      <c r="AC37" s="87"/>
      <c r="AD37" s="87"/>
      <c r="AE37" s="87"/>
      <c r="AF37" s="87">
        <f>+AF35+AF36</f>
        <v>7015</v>
      </c>
      <c r="AG37" s="87">
        <f>+AG35+AG36</f>
        <v>6430</v>
      </c>
      <c r="AH37" s="210">
        <f>+AH35+AH36</f>
        <v>13445</v>
      </c>
      <c r="AI37" s="87"/>
      <c r="AJ37" s="87">
        <f>+AJ35+AJ36</f>
        <v>6766</v>
      </c>
      <c r="AK37" s="87">
        <f>+AK35+AK36</f>
        <v>6460</v>
      </c>
      <c r="AL37" s="210">
        <f>+AL35+AL36</f>
        <v>13226</v>
      </c>
      <c r="AM37" s="87"/>
      <c r="AN37" s="87">
        <f>+AN35+AN36</f>
        <v>6612</v>
      </c>
      <c r="AO37" s="87">
        <f>+AO35+AO36</f>
        <v>6760</v>
      </c>
      <c r="AP37" s="210">
        <f>+AP35+AP36</f>
        <v>13372</v>
      </c>
      <c r="AQ37" s="87"/>
      <c r="AR37" s="87">
        <f>+AR35+AR36</f>
        <v>6710</v>
      </c>
      <c r="AS37" s="87">
        <f>+AS35+AS36</f>
        <v>6675</v>
      </c>
      <c r="AT37" s="210">
        <f>+AT35+AT36</f>
        <v>13385</v>
      </c>
      <c r="AU37" s="87"/>
      <c r="AV37" s="87">
        <f>+AV35+AV36</f>
        <v>7987</v>
      </c>
      <c r="AW37" s="87">
        <f>+AW35+AW36</f>
        <v>7639</v>
      </c>
      <c r="AX37" s="210">
        <f>+AX35+AX36</f>
        <v>15489</v>
      </c>
      <c r="AY37" s="87"/>
      <c r="AZ37" s="87">
        <f t="shared" ref="AZ37:BA37" si="16">+AZ35+AZ36</f>
        <v>7638</v>
      </c>
      <c r="BA37" s="87">
        <f t="shared" si="16"/>
        <v>7407</v>
      </c>
      <c r="BB37" s="210">
        <f>+BB35+BB36</f>
        <v>15045</v>
      </c>
      <c r="BC37" s="87"/>
      <c r="BD37" s="87">
        <f t="shared" ref="BD37:BE37" si="17">+BD35+BD36</f>
        <v>7725</v>
      </c>
      <c r="BE37" s="87">
        <f t="shared" si="17"/>
        <v>7874</v>
      </c>
      <c r="BF37" s="1447">
        <f>+BF35+BF36</f>
        <v>15599</v>
      </c>
      <c r="BG37" s="87"/>
      <c r="BH37" s="87">
        <f t="shared" ref="BH37:BI37" si="18">+BH35+BH36</f>
        <v>8301</v>
      </c>
      <c r="BI37" s="87">
        <f t="shared" si="18"/>
        <v>8481.585810767232</v>
      </c>
      <c r="BJ37" s="87">
        <f>+BJ35+BJ36</f>
        <v>16782.585810767232</v>
      </c>
      <c r="BK37" s="87"/>
      <c r="BL37" s="87">
        <f t="shared" ref="BL37:BM37" si="19">+BL35+BL36</f>
        <v>8972.3265942791204</v>
      </c>
      <c r="BM37" s="87">
        <f t="shared" si="19"/>
        <v>9015.0015683223664</v>
      </c>
      <c r="BN37" s="211">
        <f>+BN35+BN36</f>
        <v>17987.328162601487</v>
      </c>
      <c r="BO37" s="87"/>
      <c r="BP37" s="87">
        <f t="shared" ref="BP37:BQ37" si="20">+BP35+BP36</f>
        <v>9361.3598616707313</v>
      </c>
      <c r="BQ37" s="87">
        <f t="shared" si="20"/>
        <v>9394.9281888869464</v>
      </c>
      <c r="BR37" s="211">
        <f>+BR35+BR36</f>
        <v>18756.288050557676</v>
      </c>
      <c r="BS37" s="178"/>
      <c r="BT37" s="144"/>
      <c r="BU37" s="212"/>
      <c r="BV37" s="212"/>
      <c r="BW37" s="212"/>
      <c r="BX37" s="212"/>
      <c r="BY37" s="212"/>
      <c r="BZ37" s="212"/>
      <c r="CA37" s="212"/>
      <c r="CB37" s="212"/>
      <c r="CC37" s="212"/>
      <c r="CD37" s="212"/>
      <c r="CE37" s="212"/>
      <c r="CF37" s="212"/>
      <c r="CG37" s="212"/>
      <c r="CH37" s="212"/>
      <c r="CI37" s="212"/>
      <c r="CJ37" s="212"/>
      <c r="CK37" s="212"/>
      <c r="CL37" s="212"/>
      <c r="CM37" s="212"/>
      <c r="CN37" s="212"/>
      <c r="CO37" s="212"/>
      <c r="CP37" s="212"/>
      <c r="CQ37" s="212"/>
      <c r="CR37" s="212"/>
      <c r="CS37" s="212"/>
      <c r="CT37" s="212"/>
      <c r="CU37" s="212"/>
      <c r="CV37" s="212"/>
      <c r="CW37" s="212"/>
      <c r="CX37" s="212"/>
      <c r="CY37" s="212"/>
      <c r="CZ37" s="212"/>
      <c r="DA37" s="212"/>
      <c r="DB37" s="212"/>
      <c r="DC37" s="212"/>
      <c r="DD37" s="212"/>
      <c r="DE37" s="212"/>
      <c r="DF37" s="212"/>
      <c r="DG37" s="212"/>
      <c r="DH37" s="212"/>
      <c r="DI37" s="212"/>
      <c r="DJ37" s="212"/>
      <c r="DK37" s="212"/>
      <c r="DL37" s="213"/>
      <c r="DM37" s="212"/>
      <c r="DN37" s="212"/>
      <c r="DO37" s="212"/>
      <c r="DP37" s="213"/>
      <c r="DQ37" s="212"/>
      <c r="DR37" s="212"/>
      <c r="DS37" s="212"/>
      <c r="DT37" s="1419"/>
      <c r="DU37" s="212"/>
      <c r="DV37" s="212"/>
      <c r="DW37" s="212"/>
      <c r="DX37" s="212"/>
      <c r="DY37" s="212"/>
      <c r="DZ37" s="212"/>
      <c r="EA37" s="212"/>
      <c r="EB37" s="212"/>
      <c r="EC37" s="212"/>
      <c r="ED37" s="212"/>
      <c r="EE37" s="212"/>
      <c r="EF37" s="212"/>
      <c r="EG37" s="107"/>
      <c r="EH37" s="1359"/>
      <c r="EI37" s="4"/>
      <c r="EJ37" s="215"/>
      <c r="EK37" s="58"/>
      <c r="EL37" s="58"/>
      <c r="EM37" s="215"/>
      <c r="EN37" s="215"/>
      <c r="EO37" s="215"/>
      <c r="EP37" s="215"/>
      <c r="EQ37" s="215"/>
      <c r="ER37" s="215"/>
      <c r="EU37" s="4"/>
      <c r="EV37" s="215"/>
    </row>
    <row r="38" spans="3:152" x14ac:dyDescent="0.2">
      <c r="C38" s="4" t="s">
        <v>42</v>
      </c>
      <c r="D38" s="64">
        <v>-545</v>
      </c>
      <c r="E38" s="64">
        <v>-544</v>
      </c>
      <c r="F38" s="64"/>
      <c r="G38" s="64"/>
      <c r="H38" s="64"/>
      <c r="I38" s="64"/>
      <c r="J38" s="64"/>
      <c r="K38" s="64"/>
      <c r="L38" s="64"/>
      <c r="M38" s="64"/>
      <c r="N38" s="64"/>
      <c r="O38" s="64"/>
      <c r="P38" s="64"/>
      <c r="Q38" s="64"/>
      <c r="R38" s="64"/>
      <c r="S38" s="64"/>
      <c r="T38" s="64"/>
      <c r="U38" s="64"/>
      <c r="V38" s="64"/>
      <c r="W38" s="64"/>
      <c r="X38" s="64"/>
      <c r="Y38" s="64"/>
      <c r="Z38" s="64"/>
      <c r="AA38" s="64"/>
      <c r="AB38" s="64"/>
      <c r="AC38" s="64"/>
      <c r="AD38" s="64"/>
      <c r="AE38" s="64"/>
      <c r="AF38" s="64">
        <f>MODEL!CF32</f>
        <v>-577</v>
      </c>
      <c r="AG38" s="64">
        <f>MODEL!CG32</f>
        <v>-624</v>
      </c>
      <c r="AH38" s="65">
        <f>MODEL!CH32</f>
        <v>-1201</v>
      </c>
      <c r="AI38" s="64"/>
      <c r="AJ38" s="64">
        <f>MODEL!CJ32</f>
        <v>-649</v>
      </c>
      <c r="AK38" s="64">
        <f>MODEL!CK32</f>
        <v>-1869</v>
      </c>
      <c r="AL38" s="65">
        <f>MODEL!CL32</f>
        <v>-2518</v>
      </c>
      <c r="AM38" s="64"/>
      <c r="AN38" s="64">
        <f>MODEL!CN32</f>
        <v>-882</v>
      </c>
      <c r="AO38" s="64">
        <f>MODEL!CO32</f>
        <v>328</v>
      </c>
      <c r="AP38" s="65">
        <f>MODEL!CP32</f>
        <v>-554</v>
      </c>
      <c r="AQ38" s="64"/>
      <c r="AR38" s="64">
        <f>MODEL!CR32</f>
        <v>75</v>
      </c>
      <c r="AS38" s="64">
        <f>MODEL!CS32</f>
        <v>282</v>
      </c>
      <c r="AT38" s="65">
        <f>MODEL!CT32</f>
        <v>357</v>
      </c>
      <c r="AU38" s="64"/>
      <c r="AV38" s="64">
        <f>MODEL!CV32</f>
        <v>-511</v>
      </c>
      <c r="AW38" s="64">
        <f>MODEL!CW32</f>
        <v>-597</v>
      </c>
      <c r="AX38" s="65">
        <f>MODEL!CX32</f>
        <v>-1108</v>
      </c>
      <c r="AY38" s="64"/>
      <c r="AZ38" s="64">
        <f>MODEL!CZ32</f>
        <v>-415</v>
      </c>
      <c r="BA38" s="64">
        <f>MODEL!DA32</f>
        <v>-387</v>
      </c>
      <c r="BB38" s="65">
        <f>MODEL!DB32</f>
        <v>-802</v>
      </c>
      <c r="BC38" s="64"/>
      <c r="BD38" s="64">
        <f>MODEL!DD32</f>
        <v>-320</v>
      </c>
      <c r="BE38" s="64">
        <f>MODEL!DE32</f>
        <v>-406</v>
      </c>
      <c r="BF38" s="1408">
        <f>MODEL!DF32</f>
        <v>-726</v>
      </c>
      <c r="BG38" s="64"/>
      <c r="BH38" s="64">
        <f>MODEL!DH32</f>
        <v>-319</v>
      </c>
      <c r="BI38" s="64">
        <f>MODEL!DI32</f>
        <v>-430.65637850734686</v>
      </c>
      <c r="BJ38" s="64">
        <f>MODEL!DJ32</f>
        <v>-749.65637850734686</v>
      </c>
      <c r="BK38" s="64"/>
      <c r="BL38" s="64">
        <f>MODEL!DL32</f>
        <v>-506.96630476295451</v>
      </c>
      <c r="BM38" s="64">
        <f>MODEL!DM32</f>
        <v>-571.35016418125986</v>
      </c>
      <c r="BN38" s="66">
        <f>MODEL!DN32</f>
        <v>-1078.3164689442144</v>
      </c>
      <c r="BO38" s="64"/>
      <c r="BP38" s="64">
        <f>MODEL!DP32</f>
        <v>-592.78190747690508</v>
      </c>
      <c r="BQ38" s="64">
        <f>MODEL!DQ32</f>
        <v>-601.06786197326039</v>
      </c>
      <c r="BR38" s="66">
        <f>MODEL!DR32</f>
        <v>-1193.8497694501655</v>
      </c>
      <c r="BS38" s="178"/>
      <c r="BT38" s="144" t="s">
        <v>81</v>
      </c>
      <c r="BU38" s="64"/>
      <c r="BV38" s="117"/>
      <c r="BW38" s="117">
        <f>MODEL!BI1305/1000</f>
        <v>279.67399999999998</v>
      </c>
      <c r="BX38" s="117">
        <f>MODEL!BJ1305/1000</f>
        <v>279.67399999999998</v>
      </c>
      <c r="BY38" s="117"/>
      <c r="BZ38" s="117">
        <f>MODEL!BL1305/1000</f>
        <v>282.20400000000001</v>
      </c>
      <c r="CA38" s="117">
        <f>MODEL!BM1305/1000</f>
        <v>289.13799999999998</v>
      </c>
      <c r="CB38" s="117">
        <f>MODEL!BN1305/1000</f>
        <v>289.13799999999998</v>
      </c>
      <c r="CC38" s="117"/>
      <c r="CD38" s="117">
        <f>MODEL!BP1305/1000</f>
        <v>311.524</v>
      </c>
      <c r="CE38" s="117">
        <f>MODEL!BQ1305/1000</f>
        <v>319.17399999999998</v>
      </c>
      <c r="CF38" s="117">
        <f>MODEL!BR1305/1000</f>
        <v>319.17399999999998</v>
      </c>
      <c r="CG38" s="117">
        <f>MODEL!BS1305/1000</f>
        <v>1.0388119168009746E-4</v>
      </c>
      <c r="CH38" s="117">
        <f>MODEL!BT1305/1000</f>
        <v>334.95699999999999</v>
      </c>
      <c r="CI38" s="117">
        <f>MODEL!BU1305/1000</f>
        <v>344.03</v>
      </c>
      <c r="CJ38" s="117">
        <f>MODEL!BV1305/1000</f>
        <v>344.03</v>
      </c>
      <c r="CK38" s="117"/>
      <c r="CL38" s="117">
        <f>MODEL!BX1305/1000</f>
        <v>373.52600000000001</v>
      </c>
      <c r="CM38" s="117">
        <f>MODEL!BY1305/1000</f>
        <v>377.25900000000001</v>
      </c>
      <c r="CN38" s="117">
        <f>MODEL!BZ1305/1000</f>
        <v>377.25900000000001</v>
      </c>
      <c r="CO38" s="117"/>
      <c r="CP38" s="117">
        <f>MODEL!CB1305/1000</f>
        <v>366.98500000000001</v>
      </c>
      <c r="CQ38" s="117">
        <f>MODEL!CC1305/1000</f>
        <v>369.52800000000002</v>
      </c>
      <c r="CR38" s="117">
        <f>MODEL!CD1305/1000</f>
        <v>369.52800000000002</v>
      </c>
      <c r="CS38" s="117"/>
      <c r="CT38" s="117">
        <f>MODEL!CF1305/1000</f>
        <v>369.35599999999999</v>
      </c>
      <c r="CU38" s="117">
        <f>MODEL!CG1305/1000</f>
        <v>372.57400000000001</v>
      </c>
      <c r="CV38" s="117">
        <f>MODEL!CH1305/1000</f>
        <v>372.57400000000001</v>
      </c>
      <c r="CW38" s="117"/>
      <c r="CX38" s="117">
        <f>MODEL!CJ1305/1000</f>
        <v>375.21699999999998</v>
      </c>
      <c r="CY38" s="117">
        <f>MODEL!CK1305/1000</f>
        <v>374.19400000000002</v>
      </c>
      <c r="CZ38" s="117">
        <f>MODEL!CL1305/1000</f>
        <v>374.19400000000002</v>
      </c>
      <c r="DA38" s="117"/>
      <c r="DB38" s="117">
        <f>MODEL!CN1305/1000</f>
        <v>376.9</v>
      </c>
      <c r="DC38" s="117">
        <f>MODEL!CO1305/1000</f>
        <v>381.55</v>
      </c>
      <c r="DD38" s="117">
        <f>MODEL!CP1305/1000</f>
        <v>381.55</v>
      </c>
      <c r="DE38" s="117"/>
      <c r="DF38" s="117">
        <f>MODEL!CR1305/1000</f>
        <v>390.68700000000001</v>
      </c>
      <c r="DG38" s="117">
        <f>MODEL!CS1305/1000</f>
        <v>393.64699999999999</v>
      </c>
      <c r="DH38" s="117">
        <f>MODEL!CT1305/1000</f>
        <v>393.64699999999999</v>
      </c>
      <c r="DI38" s="117"/>
      <c r="DJ38" s="117">
        <f>MODEL!CV1305/1000</f>
        <v>402.017</v>
      </c>
      <c r="DK38" s="117">
        <f>MODEL!CW1305/1000</f>
        <v>362.86900000000003</v>
      </c>
      <c r="DL38" s="172">
        <f>MODEL!CX1305/1000</f>
        <v>362.86900000000003</v>
      </c>
      <c r="DM38" s="117"/>
      <c r="DN38" s="117">
        <f>MODEL!CZ1305/1000</f>
        <v>368.73500000000001</v>
      </c>
      <c r="DO38" s="117">
        <f>MODEL!DA1305/1000</f>
        <v>370.44400000000002</v>
      </c>
      <c r="DP38" s="172">
        <f>MODEL!DB1305/1000</f>
        <v>370.44400000000002</v>
      </c>
      <c r="DQ38" s="117"/>
      <c r="DR38" s="117">
        <f>MODEL!DD1305/1000</f>
        <v>385.11700000000002</v>
      </c>
      <c r="DS38" s="117">
        <f>MODEL!DE1305/1000</f>
        <v>398.928</v>
      </c>
      <c r="DT38" s="1413">
        <f>MODEL!DF1305/1000</f>
        <v>398.928</v>
      </c>
      <c r="DU38" s="117"/>
      <c r="DV38" s="117">
        <f>MODEL!DH1305/1000</f>
        <v>409.11900000000003</v>
      </c>
      <c r="DW38" s="117">
        <f ca="1">MODEL!DI1305/1000</f>
        <v>423.03570217825165</v>
      </c>
      <c r="DX38" s="117">
        <f ca="1">MODEL!DJ1305/1000</f>
        <v>423.03570217825165</v>
      </c>
      <c r="DY38" s="117"/>
      <c r="DZ38" s="117">
        <f ca="1">MODEL!DL1305/1000</f>
        <v>434.60543783604459</v>
      </c>
      <c r="EA38" s="117">
        <f ca="1">MODEL!DM1305/1000</f>
        <v>448.84679899896122</v>
      </c>
      <c r="EB38" s="117">
        <f ca="1">MODEL!DN1305/1000</f>
        <v>448.84679899896122</v>
      </c>
      <c r="EC38" s="117"/>
      <c r="ED38" s="117">
        <f ca="1">MODEL!DP1305/1000</f>
        <v>459.0775513190506</v>
      </c>
      <c r="EE38" s="117">
        <f ca="1">MODEL!DQ1305/1000</f>
        <v>471.04984316655208</v>
      </c>
      <c r="EF38" s="117">
        <f ca="1">MODEL!DR1305/1000</f>
        <v>471.04984316655208</v>
      </c>
      <c r="EG38" s="117"/>
      <c r="EH38" s="117"/>
      <c r="EI38" s="61"/>
      <c r="EJ38" s="216"/>
      <c r="EK38" s="21"/>
      <c r="EL38" s="21"/>
      <c r="EM38" s="216"/>
      <c r="EN38" s="216"/>
      <c r="EO38" s="216"/>
      <c r="EP38" s="216"/>
      <c r="EQ38" s="216"/>
      <c r="ER38" s="216"/>
      <c r="EU38" s="4"/>
      <c r="EV38" s="216"/>
    </row>
    <row r="39" spans="3:152" x14ac:dyDescent="0.2">
      <c r="C39" s="53" t="s">
        <v>45</v>
      </c>
      <c r="D39" s="44">
        <f t="shared" ref="D39:AX39" si="21">D37+D38</f>
        <v>-545</v>
      </c>
      <c r="E39" s="44">
        <f t="shared" si="21"/>
        <v>-544</v>
      </c>
      <c r="F39" s="44">
        <f t="shared" si="21"/>
        <v>0</v>
      </c>
      <c r="G39" s="110">
        <f t="shared" si="21"/>
        <v>0</v>
      </c>
      <c r="H39" s="44">
        <f t="shared" si="21"/>
        <v>0</v>
      </c>
      <c r="I39" s="44">
        <f t="shared" si="21"/>
        <v>0</v>
      </c>
      <c r="J39" s="44">
        <f t="shared" si="21"/>
        <v>0</v>
      </c>
      <c r="K39" s="44">
        <f t="shared" si="21"/>
        <v>0</v>
      </c>
      <c r="L39" s="44">
        <f t="shared" si="21"/>
        <v>0</v>
      </c>
      <c r="M39" s="44">
        <f t="shared" si="21"/>
        <v>0</v>
      </c>
      <c r="N39" s="44">
        <f t="shared" si="21"/>
        <v>0</v>
      </c>
      <c r="O39" s="44">
        <f t="shared" si="21"/>
        <v>0</v>
      </c>
      <c r="P39" s="44">
        <f t="shared" si="21"/>
        <v>0</v>
      </c>
      <c r="Q39" s="44">
        <f t="shared" si="21"/>
        <v>0</v>
      </c>
      <c r="R39" s="44">
        <f t="shared" si="21"/>
        <v>0</v>
      </c>
      <c r="S39" s="44">
        <f t="shared" si="21"/>
        <v>0</v>
      </c>
      <c r="T39" s="44">
        <f t="shared" si="21"/>
        <v>0</v>
      </c>
      <c r="U39" s="44">
        <f t="shared" si="21"/>
        <v>0</v>
      </c>
      <c r="V39" s="44">
        <f t="shared" si="21"/>
        <v>0</v>
      </c>
      <c r="W39" s="44">
        <f t="shared" si="21"/>
        <v>0</v>
      </c>
      <c r="X39" s="44">
        <f t="shared" si="21"/>
        <v>0</v>
      </c>
      <c r="Y39" s="44">
        <f t="shared" si="21"/>
        <v>0</v>
      </c>
      <c r="Z39" s="44">
        <f t="shared" si="21"/>
        <v>0</v>
      </c>
      <c r="AA39" s="44">
        <f t="shared" si="21"/>
        <v>0</v>
      </c>
      <c r="AB39" s="44">
        <f t="shared" si="21"/>
        <v>0</v>
      </c>
      <c r="AC39" s="44">
        <f t="shared" si="21"/>
        <v>0</v>
      </c>
      <c r="AD39" s="44">
        <f t="shared" si="21"/>
        <v>0</v>
      </c>
      <c r="AE39" s="44">
        <f t="shared" si="21"/>
        <v>0</v>
      </c>
      <c r="AF39" s="44">
        <f t="shared" si="21"/>
        <v>6438</v>
      </c>
      <c r="AG39" s="44">
        <f t="shared" si="21"/>
        <v>5806</v>
      </c>
      <c r="AH39" s="46">
        <f t="shared" si="21"/>
        <v>12244</v>
      </c>
      <c r="AI39" s="44">
        <f t="shared" si="21"/>
        <v>0</v>
      </c>
      <c r="AJ39" s="44">
        <f t="shared" si="21"/>
        <v>6117</v>
      </c>
      <c r="AK39" s="44">
        <f t="shared" si="21"/>
        <v>4591</v>
      </c>
      <c r="AL39" s="46">
        <f t="shared" si="21"/>
        <v>10708</v>
      </c>
      <c r="AM39" s="44">
        <f t="shared" si="21"/>
        <v>0</v>
      </c>
      <c r="AN39" s="44">
        <f t="shared" si="21"/>
        <v>5730</v>
      </c>
      <c r="AO39" s="44">
        <f t="shared" si="21"/>
        <v>7088</v>
      </c>
      <c r="AP39" s="46">
        <f t="shared" si="21"/>
        <v>12818</v>
      </c>
      <c r="AQ39" s="44">
        <f t="shared" si="21"/>
        <v>0</v>
      </c>
      <c r="AR39" s="44">
        <f t="shared" si="21"/>
        <v>6785</v>
      </c>
      <c r="AS39" s="44">
        <f t="shared" si="21"/>
        <v>6957</v>
      </c>
      <c r="AT39" s="46">
        <f t="shared" si="21"/>
        <v>13742</v>
      </c>
      <c r="AU39" s="44"/>
      <c r="AV39" s="44">
        <f t="shared" si="21"/>
        <v>7476</v>
      </c>
      <c r="AW39" s="44">
        <f t="shared" si="21"/>
        <v>7042</v>
      </c>
      <c r="AX39" s="46">
        <f t="shared" si="21"/>
        <v>14381</v>
      </c>
      <c r="AY39" s="44"/>
      <c r="AZ39" s="44">
        <f t="shared" ref="AZ39:BA39" si="22">AZ37+AZ38</f>
        <v>7223</v>
      </c>
      <c r="BA39" s="44">
        <f t="shared" si="22"/>
        <v>7020</v>
      </c>
      <c r="BB39" s="46">
        <f>BB37+BB38</f>
        <v>14243</v>
      </c>
      <c r="BC39" s="44"/>
      <c r="BD39" s="44">
        <f t="shared" ref="BD39:BE39" si="23">BD37+BD38</f>
        <v>7405</v>
      </c>
      <c r="BE39" s="44">
        <f t="shared" si="23"/>
        <v>7468</v>
      </c>
      <c r="BF39" s="1435">
        <f>BF37+BF38</f>
        <v>14873</v>
      </c>
      <c r="BG39" s="44"/>
      <c r="BH39" s="44">
        <f t="shared" ref="BH39:BI39" si="24">BH37+BH38</f>
        <v>7982</v>
      </c>
      <c r="BI39" s="44">
        <f t="shared" si="24"/>
        <v>8050.9294322598853</v>
      </c>
      <c r="BJ39" s="44">
        <f>BJ37+BJ38</f>
        <v>16032.929432259885</v>
      </c>
      <c r="BK39" s="44"/>
      <c r="BL39" s="44">
        <f t="shared" ref="BL39:BM39" si="25">BL37+BL38</f>
        <v>8465.3602895161657</v>
      </c>
      <c r="BM39" s="44">
        <f t="shared" si="25"/>
        <v>8443.6514041411065</v>
      </c>
      <c r="BN39" s="47">
        <f>BN37+BN38</f>
        <v>16909.011693657274</v>
      </c>
      <c r="BO39" s="44"/>
      <c r="BP39" s="44">
        <f t="shared" ref="BP39:BQ39" si="26">BP37+BP38</f>
        <v>8768.5779541938264</v>
      </c>
      <c r="BQ39" s="44">
        <f t="shared" si="26"/>
        <v>8793.8603269136856</v>
      </c>
      <c r="BR39" s="47">
        <f>BR37+BR38</f>
        <v>17562.438281107512</v>
      </c>
      <c r="BS39" s="178"/>
      <c r="BT39" s="144" t="s">
        <v>82</v>
      </c>
      <c r="BU39" s="217"/>
      <c r="BV39" s="117"/>
      <c r="BW39" s="117">
        <f>MODEL!BI1310/1000</f>
        <v>329.15800000000002</v>
      </c>
      <c r="BX39" s="117">
        <f>MODEL!BJ1310/1000</f>
        <v>329.15800000000002</v>
      </c>
      <c r="BY39" s="117"/>
      <c r="BZ39" s="117">
        <f>MODEL!BL1310/1000</f>
        <v>334.197</v>
      </c>
      <c r="CA39" s="117">
        <f>MODEL!BM1310/1000</f>
        <v>337.71499999999997</v>
      </c>
      <c r="CB39" s="117">
        <f>MODEL!BN1310/1000</f>
        <v>337.71499999999997</v>
      </c>
      <c r="CC39" s="117"/>
      <c r="CD39" s="117">
        <f>MODEL!BP1310/1000</f>
        <v>353.048</v>
      </c>
      <c r="CE39" s="117">
        <f>MODEL!BQ1310/1000</f>
        <v>368.721</v>
      </c>
      <c r="CF39" s="117">
        <f>MODEL!BR1310/1000</f>
        <v>368.721</v>
      </c>
      <c r="CG39" s="117">
        <f>MODEL!BS1310/1000</f>
        <v>9.1811142531424521E-5</v>
      </c>
      <c r="CH39" s="117">
        <f>MODEL!BT1310/1000</f>
        <v>392.66199999999998</v>
      </c>
      <c r="CI39" s="117">
        <f>MODEL!BU1310/1000</f>
        <v>394.66699999999997</v>
      </c>
      <c r="CJ39" s="117">
        <f>MODEL!BV1310/1000</f>
        <v>394.66699999999997</v>
      </c>
      <c r="CK39" s="117"/>
      <c r="CL39" s="117">
        <f>MODEL!BX1310/1000</f>
        <v>436.48099999999999</v>
      </c>
      <c r="CM39" s="117">
        <f>MODEL!BY1310/1000</f>
        <v>437.06299999999999</v>
      </c>
      <c r="CN39" s="117">
        <f>MODEL!BZ1310/1000</f>
        <v>437.06299999999999</v>
      </c>
      <c r="CO39" s="117"/>
      <c r="CP39" s="117">
        <f>MODEL!CB1310/1000</f>
        <v>440.83600000000001</v>
      </c>
      <c r="CQ39" s="117">
        <f>MODEL!CC1310/1000</f>
        <v>458.61200000000002</v>
      </c>
      <c r="CR39" s="117">
        <f>MODEL!CD1310/1000</f>
        <v>458.61200000000002</v>
      </c>
      <c r="CS39" s="117"/>
      <c r="CT39" s="117">
        <f>MODEL!CF1310/1000</f>
        <v>445.14400000000001</v>
      </c>
      <c r="CU39" s="117">
        <f>MODEL!CG1310/1000</f>
        <v>452.762</v>
      </c>
      <c r="CV39" s="117">
        <f>MODEL!CH1310/1000</f>
        <v>452.762</v>
      </c>
      <c r="CW39" s="117"/>
      <c r="CX39" s="117">
        <f>MODEL!CJ1310/1000</f>
        <v>449.154</v>
      </c>
      <c r="CY39" s="117">
        <f>MODEL!CK1310/1000</f>
        <v>454.94799999999998</v>
      </c>
      <c r="CZ39" s="117">
        <f>MODEL!CL1310/1000</f>
        <v>454.94799999999998</v>
      </c>
      <c r="DA39" s="117"/>
      <c r="DB39" s="117">
        <f>MODEL!CN1310/1000</f>
        <v>453.61599999999999</v>
      </c>
      <c r="DC39" s="117">
        <f>MODEL!CO1310/1000</f>
        <v>450.68</v>
      </c>
      <c r="DD39" s="117">
        <f>MODEL!CP1310/1000</f>
        <v>450.68</v>
      </c>
      <c r="DE39" s="117"/>
      <c r="DF39" s="117">
        <f>MODEL!CR1310/1000</f>
        <v>471.92700000000002</v>
      </c>
      <c r="DG39" s="117">
        <f>MODEL!CS1310/1000</f>
        <v>497.892</v>
      </c>
      <c r="DH39" s="117">
        <f>MODEL!CT1310/1000</f>
        <v>497.892</v>
      </c>
      <c r="DI39" s="117"/>
      <c r="DJ39" s="117">
        <f>MODEL!CV1310/1000</f>
        <v>504.38</v>
      </c>
      <c r="DK39" s="117">
        <f>MODEL!CW1310/1000</f>
        <v>467.99200000000002</v>
      </c>
      <c r="DL39" s="172">
        <f>MODEL!CX1310/1000</f>
        <v>467.99200000000002</v>
      </c>
      <c r="DM39" s="117"/>
      <c r="DN39" s="117">
        <f>MODEL!CZ1310/1000</f>
        <v>463.64400000000001</v>
      </c>
      <c r="DO39" s="117">
        <f>MODEL!DA1310/1000</f>
        <v>467.55099999999999</v>
      </c>
      <c r="DP39" s="172">
        <f>MODEL!DB1310/1000</f>
        <v>467.55099999999999</v>
      </c>
      <c r="DQ39" s="117"/>
      <c r="DR39" s="117">
        <f>MODEL!DD1310/1000</f>
        <v>482.36900000000003</v>
      </c>
      <c r="DS39" s="117">
        <f>MODEL!DE1310/1000</f>
        <v>496.14499999999998</v>
      </c>
      <c r="DT39" s="1413">
        <f>MODEL!DF1310/1000</f>
        <v>496.14499999999998</v>
      </c>
      <c r="DU39" s="117"/>
      <c r="DV39" s="117">
        <f>MODEL!DH1310/1000</f>
        <v>505.31</v>
      </c>
      <c r="DW39" s="117">
        <f ca="1">MODEL!DI1310/1000</f>
        <v>521.74134049958025</v>
      </c>
      <c r="DX39" s="117">
        <f ca="1">MODEL!DJ1310/1000</f>
        <v>521.74134049958025</v>
      </c>
      <c r="DY39" s="117"/>
      <c r="DZ39" s="117">
        <f ca="1">MODEL!DL1310/1000</f>
        <v>536.21095051395218</v>
      </c>
      <c r="EA39" s="117">
        <f ca="1">MODEL!DM1310/1000</f>
        <v>553.6129792081548</v>
      </c>
      <c r="EB39" s="117">
        <f ca="1">MODEL!DN1310/1000</f>
        <v>553.6129792081548</v>
      </c>
      <c r="EC39" s="117"/>
      <c r="ED39" s="117">
        <f ca="1">MODEL!DP1310/1000</f>
        <v>566.28665944311024</v>
      </c>
      <c r="EE39" s="117">
        <f ca="1">MODEL!DQ1310/1000</f>
        <v>580.94089526119285</v>
      </c>
      <c r="EF39" s="117">
        <f ca="1">MODEL!DR1310/1000</f>
        <v>580.94089526119285</v>
      </c>
      <c r="EG39" s="1486"/>
      <c r="EH39" s="117"/>
      <c r="EI39" s="61"/>
      <c r="EJ39" s="75"/>
      <c r="EK39" s="22"/>
      <c r="EL39" s="22"/>
      <c r="EM39" s="75"/>
      <c r="EN39" s="75"/>
      <c r="EO39" s="75"/>
      <c r="EP39" s="75"/>
      <c r="EQ39" s="75"/>
      <c r="ER39" s="75"/>
      <c r="EU39" s="4"/>
      <c r="EV39" s="75"/>
    </row>
    <row r="40" spans="3:152" x14ac:dyDescent="0.2">
      <c r="C40" s="218" t="s">
        <v>53</v>
      </c>
      <c r="D40" s="219"/>
      <c r="E40" s="219"/>
      <c r="F40" s="219"/>
      <c r="G40" s="219"/>
      <c r="H40" s="219"/>
      <c r="I40" s="219"/>
      <c r="J40" s="219"/>
      <c r="K40" s="219"/>
      <c r="L40" s="219"/>
      <c r="M40" s="219"/>
      <c r="N40" s="219"/>
      <c r="O40" s="219"/>
      <c r="P40" s="219"/>
      <c r="Q40" s="219"/>
      <c r="R40" s="219"/>
      <c r="S40" s="219"/>
      <c r="T40" s="219"/>
      <c r="U40" s="219"/>
      <c r="V40" s="219"/>
      <c r="W40" s="219"/>
      <c r="X40" s="219"/>
      <c r="Y40" s="219"/>
      <c r="Z40" s="219"/>
      <c r="AA40" s="219"/>
      <c r="AB40" s="219"/>
      <c r="AC40" s="219"/>
      <c r="AD40" s="219"/>
      <c r="AE40" s="219"/>
      <c r="AF40" s="219"/>
      <c r="AG40" s="219"/>
      <c r="AH40" s="220">
        <f>MODEL!CH102</f>
        <v>8704</v>
      </c>
      <c r="AI40" s="219">
        <f>MODEL!CI102</f>
        <v>0</v>
      </c>
      <c r="AJ40" s="219">
        <f>MODEL!CJ102</f>
        <v>4320</v>
      </c>
      <c r="AK40" s="219">
        <f>MODEL!CK102</f>
        <v>3227.7</v>
      </c>
      <c r="AL40" s="220">
        <f>MODEL!CL102</f>
        <v>7547.7</v>
      </c>
      <c r="AM40" s="219">
        <f>MODEL!CM102</f>
        <v>0</v>
      </c>
      <c r="AN40" s="219">
        <f>MODEL!CN102</f>
        <v>4037.4</v>
      </c>
      <c r="AO40" s="219">
        <f>MODEL!CO102</f>
        <v>5018.1000000000004</v>
      </c>
      <c r="AP40" s="220">
        <f>MODEL!CP102</f>
        <v>9055.5</v>
      </c>
      <c r="AQ40" s="219">
        <f>MODEL!CQ102</f>
        <v>0</v>
      </c>
      <c r="AR40" s="219">
        <f>MODEL!CR102</f>
        <v>4811.1000000000004</v>
      </c>
      <c r="AS40" s="219">
        <f>MODEL!CS102</f>
        <v>4870.7</v>
      </c>
      <c r="AT40" s="220">
        <f>MODEL!CT102</f>
        <v>9681.7999999999993</v>
      </c>
      <c r="AU40" s="219"/>
      <c r="AV40" s="219">
        <f>MODEL!CV102</f>
        <v>5275.9</v>
      </c>
      <c r="AW40" s="219">
        <f>MODEL!CW102</f>
        <v>5040.3999999999996</v>
      </c>
      <c r="AX40" s="220">
        <f>MODEL!CX102</f>
        <v>10179.299999999999</v>
      </c>
      <c r="AY40" s="219"/>
      <c r="AZ40" s="219">
        <f>MODEL!CZ102</f>
        <v>5019</v>
      </c>
      <c r="BA40" s="219">
        <f>MODEL!DA102</f>
        <v>4879.3</v>
      </c>
      <c r="BB40" s="220">
        <f>MODEL!DB102</f>
        <v>9898.2999999999993</v>
      </c>
      <c r="BC40" s="219"/>
      <c r="BD40" s="219">
        <f>MODEL!DD102</f>
        <v>5132</v>
      </c>
      <c r="BE40" s="219">
        <f>MODEL!DE102</f>
        <v>5211</v>
      </c>
      <c r="BF40" s="1448">
        <f>MODEL!DF102</f>
        <v>10343</v>
      </c>
      <c r="BG40" s="219"/>
      <c r="BH40" s="219">
        <f>MODEL!DH102</f>
        <v>5564</v>
      </c>
      <c r="BI40" s="219">
        <f>MODEL!DI102</f>
        <v>5659.6533908786996</v>
      </c>
      <c r="BJ40" s="219">
        <f>MODEL!DJ102</f>
        <v>11223.653390878699</v>
      </c>
      <c r="BK40" s="219"/>
      <c r="BL40" s="219">
        <f>MODEL!DL102</f>
        <v>5925.752202661316</v>
      </c>
      <c r="BM40" s="219">
        <f>MODEL!DM102</f>
        <v>5910.5559828987753</v>
      </c>
      <c r="BN40" s="221">
        <f>MODEL!DN102</f>
        <v>11836.308185560092</v>
      </c>
      <c r="BO40" s="219"/>
      <c r="BP40" s="219">
        <f>MODEL!DP102</f>
        <v>6138.004567935679</v>
      </c>
      <c r="BQ40" s="219">
        <f>MODEL!DQ102</f>
        <v>6155.7022288395801</v>
      </c>
      <c r="BR40" s="221">
        <f>MODEL!DR102</f>
        <v>12293.706796775259</v>
      </c>
      <c r="BS40" s="48"/>
      <c r="BT40" s="144" t="s">
        <v>83</v>
      </c>
      <c r="CJ40" s="117">
        <f>MODEL!BV1345*100</f>
        <v>17.07433531877922</v>
      </c>
      <c r="CK40" s="117"/>
      <c r="CL40" s="117"/>
      <c r="CM40" s="117"/>
      <c r="CN40" s="117">
        <f>MODEL!BZ1345*100</f>
        <v>25.086152671673645</v>
      </c>
      <c r="CO40" s="117"/>
      <c r="CP40" s="117"/>
      <c r="CQ40" s="117"/>
      <c r="CR40" s="117">
        <f>MODEL!CD1345*100</f>
        <v>25.310460771669341</v>
      </c>
      <c r="CS40" s="117"/>
      <c r="CT40" s="117"/>
      <c r="CU40" s="117"/>
      <c r="CV40" s="117">
        <f>MODEL!CH1345*100</f>
        <v>26.100234700988239</v>
      </c>
      <c r="CW40" s="117"/>
      <c r="CX40" s="117"/>
      <c r="CY40" s="117"/>
      <c r="CZ40" s="117">
        <f>MODEL!CL1345*100</f>
        <v>25.207487614197504</v>
      </c>
      <c r="DA40" s="117"/>
      <c r="DB40" s="117"/>
      <c r="DC40" s="117"/>
      <c r="DD40" s="117">
        <f>MODEL!CP1345*100</f>
        <v>25.081641549477418</v>
      </c>
      <c r="DE40" s="117"/>
      <c r="DF40" s="117"/>
      <c r="DG40" s="117"/>
      <c r="DH40" s="117">
        <f>MODEL!CT1345*100</f>
        <v>25.419552097475272</v>
      </c>
      <c r="DI40" s="117"/>
      <c r="DJ40" s="117"/>
      <c r="DK40" s="117"/>
      <c r="DL40" s="172">
        <f>MODEL!CX1345*100</f>
        <v>23.723004241451566</v>
      </c>
      <c r="DM40" s="117"/>
      <c r="DN40" s="117"/>
      <c r="DO40" s="117"/>
      <c r="DP40" s="172">
        <f>MODEL!DB1345*100</f>
        <v>22.825200081592492</v>
      </c>
      <c r="DQ40" s="117"/>
      <c r="DR40" s="117"/>
      <c r="DS40" s="117"/>
      <c r="DT40" s="1413">
        <f>MODEL!DF1345*100</f>
        <v>22.071935549807229</v>
      </c>
      <c r="DU40" s="117"/>
      <c r="DV40" s="117"/>
      <c r="DW40" s="117"/>
      <c r="DX40" s="117">
        <f>MODEL!DJ1345*100</f>
        <v>21.987062611923029</v>
      </c>
      <c r="DY40" s="117"/>
      <c r="DZ40" s="117"/>
      <c r="EA40" s="117"/>
      <c r="EB40" s="117">
        <f>MODEL!DN1345*100</f>
        <v>21.987062611923026</v>
      </c>
      <c r="EC40" s="117"/>
      <c r="ED40" s="117"/>
      <c r="EE40" s="117"/>
      <c r="EF40" s="117">
        <f>MODEL!DR1345*100</f>
        <v>21.987062611923026</v>
      </c>
      <c r="EG40" s="107"/>
      <c r="EH40" s="1359"/>
      <c r="EI40" s="162"/>
      <c r="EJ40" s="222"/>
      <c r="EK40" s="106"/>
      <c r="EL40" s="106"/>
      <c r="EM40" s="223"/>
      <c r="EN40" s="223"/>
      <c r="EO40" s="223"/>
      <c r="EP40" s="223"/>
      <c r="EQ40" s="223"/>
      <c r="ER40" s="223"/>
      <c r="EU40" s="4"/>
      <c r="EV40" s="223"/>
    </row>
    <row r="41" spans="3:152" x14ac:dyDescent="0.2">
      <c r="C41" s="224" t="s">
        <v>84</v>
      </c>
      <c r="D41" s="225">
        <v>0.45541810984661057</v>
      </c>
      <c r="E41" s="225">
        <v>0.45734196119471598</v>
      </c>
      <c r="F41" s="225">
        <v>0.456377191215881</v>
      </c>
      <c r="G41" s="225"/>
      <c r="H41" s="225" t="e">
        <f>-H36/H35</f>
        <v>#DIV/0!</v>
      </c>
      <c r="I41" s="225" t="e">
        <f>-I36/I35</f>
        <v>#DIV/0!</v>
      </c>
      <c r="J41" s="225" t="e">
        <f>-J36/J35</f>
        <v>#DIV/0!</v>
      </c>
      <c r="K41" s="225"/>
      <c r="L41" s="225" t="e">
        <f>-L36/L35</f>
        <v>#DIV/0!</v>
      </c>
      <c r="M41" s="225" t="e">
        <f>-M36/M35</f>
        <v>#DIV/0!</v>
      </c>
      <c r="N41" s="225" t="e">
        <f>-N36/N35</f>
        <v>#DIV/0!</v>
      </c>
      <c r="O41" s="225"/>
      <c r="P41" s="225" t="e">
        <f>-P36/P35</f>
        <v>#DIV/0!</v>
      </c>
      <c r="Q41" s="225" t="e">
        <f>-Q36/Q35</f>
        <v>#DIV/0!</v>
      </c>
      <c r="R41" s="225" t="e">
        <f>-R36/R35</f>
        <v>#DIV/0!</v>
      </c>
      <c r="S41" s="225"/>
      <c r="T41" s="225" t="e">
        <f>-T36/T35</f>
        <v>#DIV/0!</v>
      </c>
      <c r="U41" s="225" t="e">
        <f>-U36/U35</f>
        <v>#DIV/0!</v>
      </c>
      <c r="V41" s="225" t="e">
        <f>-V36/V35</f>
        <v>#DIV/0!</v>
      </c>
      <c r="W41" s="225"/>
      <c r="X41" s="225" t="e">
        <f>-X36/X35</f>
        <v>#DIV/0!</v>
      </c>
      <c r="Y41" s="225" t="e">
        <f>-Y36/Y35</f>
        <v>#DIV/0!</v>
      </c>
      <c r="Z41" s="225" t="e">
        <f>-Z36/Z35</f>
        <v>#DIV/0!</v>
      </c>
      <c r="AA41" s="225"/>
      <c r="AB41" s="225" t="e">
        <f>-AB36/AB35</f>
        <v>#DIV/0!</v>
      </c>
      <c r="AC41" s="225" t="e">
        <f>-AC36/AC35</f>
        <v>#DIV/0!</v>
      </c>
      <c r="AD41" s="225" t="e">
        <f>-AD36/AD35</f>
        <v>#DIV/0!</v>
      </c>
      <c r="AE41" s="225"/>
      <c r="AF41" s="225">
        <f>-AF36/AF35</f>
        <v>0.41492910758965806</v>
      </c>
      <c r="AG41" s="225">
        <f>-AG36/AG35</f>
        <v>0.44516351712831131</v>
      </c>
      <c r="AH41" s="226">
        <f>-AH36/AH35</f>
        <v>0.42978921922049279</v>
      </c>
      <c r="AI41" s="225"/>
      <c r="AJ41" s="225">
        <f>-AJ36/AJ35</f>
        <v>0.43724527988022954</v>
      </c>
      <c r="AK41" s="225">
        <f>-AK36/AK35</f>
        <v>0.44965070710512867</v>
      </c>
      <c r="AL41" s="226">
        <f>-AL36/AL35</f>
        <v>0.44337359538739951</v>
      </c>
      <c r="AM41" s="225"/>
      <c r="AN41" s="225">
        <f>-AN36/AN35</f>
        <v>0.44720341108602962</v>
      </c>
      <c r="AO41" s="225">
        <f>-AO36/AO35</f>
        <v>0.44567445674456746</v>
      </c>
      <c r="AP41" s="226">
        <f>-AP36/AP35</f>
        <v>0.44643152839874151</v>
      </c>
      <c r="AQ41" s="225"/>
      <c r="AR41" s="225">
        <f>-AR36/AR35</f>
        <v>0.44577517138845296</v>
      </c>
      <c r="AS41" s="225">
        <f>-AS36/AS35</f>
        <v>0.44679264047737444</v>
      </c>
      <c r="AT41" s="226">
        <f>-AT36/AT35</f>
        <v>0.44628304306457617</v>
      </c>
      <c r="AU41" s="225"/>
      <c r="AV41" s="225">
        <f>-AV36/AV35</f>
        <v>0.41371210452910517</v>
      </c>
      <c r="AW41" s="225">
        <f>-AW36/AW35</f>
        <v>0.43465068087625813</v>
      </c>
      <c r="AX41" s="226">
        <f>-AX36/AX35</f>
        <v>0.42918739635157543</v>
      </c>
      <c r="AY41" s="227"/>
      <c r="AZ41" s="225">
        <f>-AZ36/AZ35</f>
        <v>0.44039856399736244</v>
      </c>
      <c r="BA41" s="225">
        <f>-BA36/BA35</f>
        <v>0.45234750462107209</v>
      </c>
      <c r="BB41" s="226">
        <f>-BB36/BB35</f>
        <v>0.44634577169353057</v>
      </c>
      <c r="BC41" s="227"/>
      <c r="BD41" s="227">
        <f>-BD36/BD35</f>
        <v>0.45201106618429454</v>
      </c>
      <c r="BE41" s="227">
        <f>-BE36/BE35</f>
        <v>0.45197661469933187</v>
      </c>
      <c r="BF41" s="1449">
        <f>-BF36/BF35</f>
        <v>0.45199367644475674</v>
      </c>
      <c r="BG41" s="227"/>
      <c r="BH41" s="227">
        <f>-BH36/BH35</f>
        <v>0.44737367685240664</v>
      </c>
      <c r="BI41" s="227">
        <f>-BI36/BI35</f>
        <v>0.44279957811177573</v>
      </c>
      <c r="BJ41" s="1466">
        <f>-BJ36/BJ35</f>
        <v>0.44507144341699484</v>
      </c>
      <c r="BK41" s="227"/>
      <c r="BL41" s="227">
        <f>-BL36/BL35</f>
        <v>0.43829663827578358</v>
      </c>
      <c r="BM41" s="227">
        <f>-BM36/BM35</f>
        <v>0.43787809234790037</v>
      </c>
      <c r="BN41" s="228">
        <f>-BN36/BN35</f>
        <v>0.43808694675039422</v>
      </c>
      <c r="BO41" s="227"/>
      <c r="BP41" s="227">
        <f>-BP36/BP35</f>
        <v>0.43780234354762682</v>
      </c>
      <c r="BQ41" s="227">
        <f>-BQ36/BQ35</f>
        <v>0.4383421368999153</v>
      </c>
      <c r="BR41" s="228">
        <f>-BR36/BR35</f>
        <v>0.43807285289288739</v>
      </c>
      <c r="BS41" s="48"/>
      <c r="BT41" s="229" t="str">
        <f>MODEL!A1361</f>
        <v>Credit RWA / EAD</v>
      </c>
      <c r="BU41" s="230"/>
      <c r="BV41" s="230"/>
      <c r="BW41" s="230">
        <f>MODEL!BI1360*100</f>
        <v>49.167312739860172</v>
      </c>
      <c r="BX41" s="230">
        <f>MODEL!BJ1360*100</f>
        <v>49.167312739860172</v>
      </c>
      <c r="BY41" s="230"/>
      <c r="BZ41" s="230">
        <f>MODEL!BL1360*100</f>
        <v>47.687719150014786</v>
      </c>
      <c r="CA41" s="230">
        <f>MODEL!BM1360*100</f>
        <v>47.545660692585592</v>
      </c>
      <c r="CB41" s="230">
        <f>MODEL!BN1360*100</f>
        <v>47.545660692585592</v>
      </c>
      <c r="CC41" s="230"/>
      <c r="CD41" s="230">
        <f>MODEL!BP1360*100</f>
        <v>49.629598947264448</v>
      </c>
      <c r="CE41" s="230">
        <f>MODEL!BQ1360*100</f>
        <v>49.39458843775342</v>
      </c>
      <c r="CF41" s="230">
        <f>MODEL!BR1360*100</f>
        <v>49.39458843775342</v>
      </c>
      <c r="CG41" s="230">
        <f>MODEL!BS1360*100</f>
        <v>0</v>
      </c>
      <c r="CH41" s="230">
        <f>MODEL!BT1360*100</f>
        <v>49.569797314895936</v>
      </c>
      <c r="CI41" s="230">
        <f>MODEL!BU1360*100</f>
        <v>49.025978652758184</v>
      </c>
      <c r="CJ41" s="230">
        <f>MODEL!BV1360*100</f>
        <v>49.025978652758184</v>
      </c>
      <c r="CK41" s="230"/>
      <c r="CL41" s="230">
        <f>MODEL!BX1360*100</f>
        <v>51.93270768161279</v>
      </c>
      <c r="CM41" s="230">
        <f>MODEL!BY1360*100</f>
        <v>51.188327847142887</v>
      </c>
      <c r="CN41" s="230">
        <f>MODEL!BZ1360*100</f>
        <v>51.188327847142887</v>
      </c>
      <c r="CO41" s="230"/>
      <c r="CP41" s="230">
        <f>MODEL!CB1360*100</f>
        <v>49.504396224022621</v>
      </c>
      <c r="CQ41" s="230">
        <f>MODEL!CC1360*100</f>
        <v>49.375207106284272</v>
      </c>
      <c r="CR41" s="230">
        <f>MODEL!CD1360*100</f>
        <v>49.375207106284272</v>
      </c>
      <c r="CS41" s="230"/>
      <c r="CT41" s="230">
        <f>MODEL!CF1360*100</f>
        <v>48.633837329797501</v>
      </c>
      <c r="CU41" s="230">
        <f>MODEL!CG1360*100</f>
        <v>48.957639357014926</v>
      </c>
      <c r="CV41" s="230">
        <f>MODEL!CH1361*100</f>
        <v>35.990567997071096</v>
      </c>
      <c r="CW41" s="230">
        <f>MODEL!CI1361*100</f>
        <v>0</v>
      </c>
      <c r="CX41" s="230">
        <f>MODEL!CJ1361*100</f>
        <v>35.786382524981143</v>
      </c>
      <c r="CY41" s="230">
        <f>MODEL!CK1361*100</f>
        <v>34.79696177294386</v>
      </c>
      <c r="CZ41" s="230">
        <f>MODEL!CL1361*100</f>
        <v>34.79696177294386</v>
      </c>
      <c r="DA41" s="230">
        <f>MODEL!CM1361*100</f>
        <v>0</v>
      </c>
      <c r="DB41" s="230">
        <f>MODEL!CN1361*100</f>
        <v>33.012174827012352</v>
      </c>
      <c r="DC41" s="230">
        <f>MODEL!CO1361*100</f>
        <v>31.567756294108403</v>
      </c>
      <c r="DD41" s="230">
        <f>MODEL!CP1361*100</f>
        <v>31.567756294108403</v>
      </c>
      <c r="DE41" s="230">
        <f>MODEL!CQ1361*100</f>
        <v>0</v>
      </c>
      <c r="DF41" s="230">
        <f>MODEL!CR1361*100</f>
        <v>30.845480082804748</v>
      </c>
      <c r="DG41" s="230">
        <f>MODEL!CS1361*100</f>
        <v>30.493405891124581</v>
      </c>
      <c r="DH41" s="230">
        <f>MODEL!CT1361*100</f>
        <v>30.493405891124581</v>
      </c>
      <c r="DI41" s="230">
        <f>MODEL!CU1361*100</f>
        <v>0</v>
      </c>
      <c r="DJ41" s="230">
        <f>MODEL!CV1361*100</f>
        <v>30.591827913786439</v>
      </c>
      <c r="DK41" s="230">
        <f>MODEL!CW1361*100</f>
        <v>28.05328801955007</v>
      </c>
      <c r="DL41" s="231">
        <f>MODEL!CX1361*100</f>
        <v>28.05328801955007</v>
      </c>
      <c r="DM41" s="230"/>
      <c r="DN41" s="230">
        <f>MODEL!CZ1361*100</f>
        <v>28.439968593284576</v>
      </c>
      <c r="DO41" s="230">
        <f>MODEL!DA1361*100</f>
        <v>29.405078282515586</v>
      </c>
      <c r="DP41" s="231">
        <f>MODEL!DB1361*100</f>
        <v>29.405078282515586</v>
      </c>
      <c r="DQ41" s="230"/>
      <c r="DR41" s="230">
        <f>MODEL!DD1361*100</f>
        <v>29.328661465774331</v>
      </c>
      <c r="DS41" s="230">
        <f>MODEL!DE1361*100</f>
        <v>29.952472838940736</v>
      </c>
      <c r="DT41" s="1420">
        <f>MODEL!DF1361*100</f>
        <v>29.952472838940736</v>
      </c>
      <c r="DU41" s="230"/>
      <c r="DV41" s="230">
        <f>MODEL!DH1361*100</f>
        <v>29.650666003767224</v>
      </c>
      <c r="DW41" s="230">
        <f ca="1">MODEL!DI1361*100</f>
        <v>29.64059467274021</v>
      </c>
      <c r="DX41" s="230">
        <f ca="1">MODEL!DJ1361*100</f>
        <v>29.64059467274021</v>
      </c>
      <c r="DY41" s="230"/>
      <c r="DZ41" s="230">
        <f ca="1">MODEL!DL1361*100</f>
        <v>29.616936100128548</v>
      </c>
      <c r="EA41" s="230">
        <f ca="1">MODEL!DM1361*100</f>
        <v>29.636655232211496</v>
      </c>
      <c r="EB41" s="230">
        <f ca="1">MODEL!DN1361*100</f>
        <v>29.636655232211496</v>
      </c>
      <c r="EC41" s="230"/>
      <c r="ED41" s="230">
        <f ca="1">MODEL!DP1361*100</f>
        <v>29.629444875737594</v>
      </c>
      <c r="EE41" s="230">
        <f ca="1">MODEL!DQ1361*100</f>
        <v>29.640845729609673</v>
      </c>
      <c r="EF41" s="230">
        <f ca="1">MODEL!DR1361*100</f>
        <v>29.640845729609673</v>
      </c>
      <c r="EG41" s="232"/>
      <c r="EH41" s="1359"/>
      <c r="EI41" s="4"/>
      <c r="EJ41" s="75"/>
      <c r="EK41" s="233"/>
      <c r="EL41" s="233"/>
      <c r="EM41" s="75"/>
      <c r="EN41" s="75"/>
      <c r="EO41" s="75"/>
      <c r="EP41" s="75"/>
      <c r="EQ41" s="75"/>
      <c r="ER41" s="234"/>
      <c r="EU41" s="4"/>
      <c r="EV41" s="75"/>
    </row>
    <row r="42" spans="3:152" x14ac:dyDescent="0.2">
      <c r="C42" s="29" t="s">
        <v>85</v>
      </c>
      <c r="D42" s="235"/>
      <c r="E42" s="235"/>
      <c r="F42" s="235"/>
      <c r="G42" s="235"/>
      <c r="H42" s="235"/>
      <c r="I42" s="235"/>
      <c r="J42" s="235"/>
      <c r="K42" s="235"/>
      <c r="L42" s="235"/>
      <c r="M42" s="235"/>
      <c r="N42" s="235"/>
      <c r="O42" s="235"/>
      <c r="P42" s="235"/>
      <c r="Q42" s="235"/>
      <c r="R42" s="235"/>
      <c r="S42" s="235"/>
      <c r="T42" s="235"/>
      <c r="U42" s="235"/>
      <c r="V42" s="236"/>
      <c r="W42" s="235"/>
      <c r="X42" s="235"/>
      <c r="Y42" s="235"/>
      <c r="Z42" s="237"/>
      <c r="AA42" s="235"/>
      <c r="AB42" s="235"/>
      <c r="AC42" s="235"/>
      <c r="AD42" s="235"/>
      <c r="AE42" s="235"/>
      <c r="AF42" s="235"/>
      <c r="AG42" s="235"/>
      <c r="AH42" s="238"/>
      <c r="AI42" s="235"/>
      <c r="AJ42" s="235"/>
      <c r="AK42" s="235"/>
      <c r="AL42" s="238"/>
      <c r="AM42" s="235"/>
      <c r="AN42" s="235"/>
      <c r="AO42" s="235"/>
      <c r="AP42" s="238"/>
      <c r="AQ42" s="235"/>
      <c r="AR42" s="235"/>
      <c r="AS42" s="235"/>
      <c r="AT42" s="238"/>
      <c r="AU42" s="235"/>
      <c r="AV42" s="235"/>
      <c r="AW42" s="235"/>
      <c r="AX42" s="238"/>
      <c r="AY42" s="235"/>
      <c r="AZ42" s="235"/>
      <c r="BA42" s="235"/>
      <c r="BB42" s="238"/>
      <c r="BC42" s="235"/>
      <c r="BD42" s="235"/>
      <c r="BE42" s="235"/>
      <c r="BF42" s="1450"/>
      <c r="BG42" s="235"/>
      <c r="BH42" s="235"/>
      <c r="BI42" s="235"/>
      <c r="BJ42" s="235"/>
      <c r="BK42" s="235"/>
      <c r="BL42" s="235"/>
      <c r="BM42" s="235"/>
      <c r="BN42" s="239"/>
      <c r="BO42" s="235"/>
      <c r="BP42" s="235"/>
      <c r="BQ42" s="235"/>
      <c r="BR42" s="239"/>
      <c r="BS42" s="130"/>
      <c r="BT42" s="144" t="s">
        <v>86</v>
      </c>
      <c r="CJ42" s="117">
        <f>MODEL!BV1370*100</f>
        <v>42.297321338623348</v>
      </c>
      <c r="CK42" s="117"/>
      <c r="CL42" s="117"/>
      <c r="CM42" s="117"/>
      <c r="CN42" s="117">
        <f>MODEL!BZ1370*100</f>
        <v>44.76645928887924</v>
      </c>
      <c r="CO42" s="117"/>
      <c r="CP42" s="117"/>
      <c r="CQ42" s="117"/>
      <c r="CR42" s="117">
        <f>MODEL!CD1370*100</f>
        <v>47.029169422610536</v>
      </c>
      <c r="CS42" s="117"/>
      <c r="CT42" s="117"/>
      <c r="CU42" s="117"/>
      <c r="CV42" s="117">
        <f>MODEL!CH1370*100</f>
        <v>46.36570124792371</v>
      </c>
      <c r="CW42" s="117"/>
      <c r="CX42" s="117"/>
      <c r="CY42" s="117"/>
      <c r="CZ42" s="117">
        <f>MODEL!CL1370*100</f>
        <v>44.801673312187148</v>
      </c>
      <c r="DA42" s="117"/>
      <c r="DB42" s="117"/>
      <c r="DC42" s="117"/>
      <c r="DD42" s="117">
        <f>MODEL!CP1370*100</f>
        <v>41.27249849353732</v>
      </c>
      <c r="DE42" s="117"/>
      <c r="DF42" s="117"/>
      <c r="DG42" s="117"/>
      <c r="DH42" s="117">
        <f>MODEL!CT1370*100</f>
        <v>40.9699981896878</v>
      </c>
      <c r="DI42" s="117"/>
      <c r="DJ42" s="117"/>
      <c r="DK42" s="117"/>
      <c r="DL42" s="172">
        <f>MODEL!CX1370*100</f>
        <v>37.36692794686779</v>
      </c>
      <c r="DM42" s="117"/>
      <c r="DN42" s="117"/>
      <c r="DO42" s="117"/>
      <c r="DP42" s="172">
        <f>MODEL!DB1370*100</f>
        <v>37.282509194020143</v>
      </c>
      <c r="DQ42" s="117"/>
      <c r="DR42" s="117"/>
      <c r="DS42" s="117"/>
      <c r="DT42" s="1413">
        <f>MODEL!DF1370*100</f>
        <v>36.648350309019285</v>
      </c>
      <c r="DU42" s="117"/>
      <c r="DV42" s="117"/>
      <c r="DW42" s="117"/>
      <c r="DX42" s="117">
        <f ca="1">MODEL!DJ1370*100</f>
        <v>35.787270763206934</v>
      </c>
      <c r="DY42" s="117"/>
      <c r="DZ42" s="117"/>
      <c r="EA42" s="117"/>
      <c r="EB42" s="117">
        <f ca="1">MODEL!DN1370*100</f>
        <v>35.776713612808464</v>
      </c>
      <c r="EC42" s="117"/>
      <c r="ED42" s="117"/>
      <c r="EE42" s="117"/>
      <c r="EF42" s="117">
        <f ca="1">MODEL!DR1370*100</f>
        <v>35.791912842693648</v>
      </c>
      <c r="EG42" s="240"/>
      <c r="EI42" s="4"/>
      <c r="EJ42" s="4"/>
      <c r="EU42" s="4"/>
      <c r="EV42" s="4"/>
    </row>
    <row r="43" spans="3:152" x14ac:dyDescent="0.2">
      <c r="C43" s="241" t="s">
        <v>87</v>
      </c>
      <c r="D43" s="242">
        <v>701.98599999999999</v>
      </c>
      <c r="E43" s="242">
        <v>718.85900000000004</v>
      </c>
      <c r="F43" s="242">
        <v>718.85900000000004</v>
      </c>
      <c r="G43" s="97"/>
      <c r="H43" s="242">
        <f>+MODEL!BH387/1000</f>
        <v>722.18299999999999</v>
      </c>
      <c r="I43" s="242">
        <f>+MODEL!BI387/1000</f>
        <v>753.85699999999997</v>
      </c>
      <c r="J43" s="242">
        <f>+MODEL!BJ387/1000</f>
        <v>753.85699999999997</v>
      </c>
      <c r="K43" s="242"/>
      <c r="L43" s="242">
        <f>+MODEL!BL387/1000</f>
        <v>782.30100000000004</v>
      </c>
      <c r="M43" s="242">
        <f>+MODEL!BM387/1000</f>
        <v>791.45100000000002</v>
      </c>
      <c r="N43" s="242">
        <f>+MODEL!BN387/1000</f>
        <v>791.45100000000002</v>
      </c>
      <c r="O43" s="242"/>
      <c r="P43" s="242">
        <f>+MODEL!BP387/1000</f>
        <v>850.71400000000006</v>
      </c>
      <c r="Q43" s="242">
        <f>+MODEL!BQ387/1000</f>
        <v>873.44600000000003</v>
      </c>
      <c r="R43" s="242">
        <f>+MODEL!BR387/1000</f>
        <v>873.44600000000003</v>
      </c>
      <c r="S43" s="242"/>
      <c r="T43" s="242">
        <f>+MODEL!BT387/1000</f>
        <v>903.07500000000005</v>
      </c>
      <c r="U43" s="242">
        <f>+MODEL!BU387/1000</f>
        <v>933.07799999999997</v>
      </c>
      <c r="V43" s="242">
        <f>+MODEL!BV387/1000</f>
        <v>933.07799999999997</v>
      </c>
      <c r="W43" s="242"/>
      <c r="X43" s="242">
        <f>+MODEL!BX387/1000</f>
        <v>971.66300000000001</v>
      </c>
      <c r="Y43" s="242">
        <f>+MODEL!BY387/1000</f>
        <v>976.31799999999998</v>
      </c>
      <c r="Z43" s="242">
        <f>+MODEL!BZ387/1000</f>
        <v>976.31799999999998</v>
      </c>
      <c r="AA43" s="242"/>
      <c r="AB43" s="242">
        <f>+MODEL!CB387/1000</f>
        <v>961.93</v>
      </c>
      <c r="AC43" s="242">
        <f>+MODEL!CC387/1000</f>
        <v>975.16499999999996</v>
      </c>
      <c r="AD43" s="242">
        <f>+MODEL!CD387/1000</f>
        <v>975.16499999999996</v>
      </c>
      <c r="AE43" s="242"/>
      <c r="AF43" s="242">
        <f>+MODEL!CF387/1000</f>
        <v>980.43</v>
      </c>
      <c r="AG43" s="242">
        <f>+MODEL!CG387/1000</f>
        <v>976.50199999999995</v>
      </c>
      <c r="AH43" s="243">
        <f>+MODEL!CH387/1000</f>
        <v>976.50199999999995</v>
      </c>
      <c r="AI43" s="242"/>
      <c r="AJ43" s="242">
        <f>+MODEL!CJ387/1000</f>
        <v>979.86800000000005</v>
      </c>
      <c r="AK43" s="242">
        <f>+MODEL!CK387/1000</f>
        <v>1015.471</v>
      </c>
      <c r="AL43" s="243">
        <f>+MODEL!CL387/1000</f>
        <v>1015.471</v>
      </c>
      <c r="AM43" s="242"/>
      <c r="AN43" s="242">
        <f>+MODEL!CN387/1000</f>
        <v>1059.22</v>
      </c>
      <c r="AO43" s="242">
        <f>+MODEL!CO387/1000</f>
        <v>1091.962</v>
      </c>
      <c r="AP43" s="243">
        <f>+MODEL!CP387/1000</f>
        <v>1091.962</v>
      </c>
      <c r="AQ43" s="242"/>
      <c r="AR43" s="242">
        <f>+MODEL!CR387/1000</f>
        <v>1149.8130000000001</v>
      </c>
      <c r="AS43" s="242">
        <f>+MODEL!CS387/1000</f>
        <v>1215.26</v>
      </c>
      <c r="AT43" s="243">
        <f>+MODEL!CT387/1000</f>
        <v>1215.26</v>
      </c>
      <c r="AU43" s="242"/>
      <c r="AV43" s="242">
        <f>+MODEL!CV387/1000</f>
        <v>1232.181</v>
      </c>
      <c r="AW43" s="242">
        <f>+MODEL!CW387/1000</f>
        <v>1252.423</v>
      </c>
      <c r="AX43" s="243">
        <f>+MODEL!CX387/1000</f>
        <v>1252.423</v>
      </c>
      <c r="AY43" s="242"/>
      <c r="AZ43" s="242">
        <f>+MODEL!CZ387/1000</f>
        <v>1275.9690000000001</v>
      </c>
      <c r="BA43" s="242">
        <f>+MODEL!DA387/1000</f>
        <v>1254.076</v>
      </c>
      <c r="BB43" s="243">
        <f>+MODEL!DB387/1000</f>
        <v>1254.076</v>
      </c>
      <c r="BC43" s="242"/>
      <c r="BD43" s="242">
        <f>+MODEL!DD387/1000</f>
        <v>1308.566</v>
      </c>
      <c r="BE43" s="242">
        <f>+MODEL!DE387/1000</f>
        <v>1353.799</v>
      </c>
      <c r="BF43" s="1451">
        <f>+MODEL!DF387/1000</f>
        <v>1353.799</v>
      </c>
      <c r="BG43" s="242"/>
      <c r="BH43" s="242">
        <f>+MODEL!DH387/1000</f>
        <v>1408.7280000000001</v>
      </c>
      <c r="BI43" s="242">
        <f ca="1">+MODEL!DI387/1000</f>
        <v>1457.896423428816</v>
      </c>
      <c r="BJ43" s="242">
        <f ca="1">+MODEL!DJ387/1000</f>
        <v>1457.896423428816</v>
      </c>
      <c r="BK43" s="242"/>
      <c r="BL43" s="242">
        <f ca="1">+MODEL!DL387/1000</f>
        <v>1500.7279832540648</v>
      </c>
      <c r="BM43" s="242">
        <f ca="1">+MODEL!DM387/1000</f>
        <v>1547.41149564379</v>
      </c>
      <c r="BN43" s="244">
        <f ca="1">+MODEL!DN387/1000</f>
        <v>1547.41149564379</v>
      </c>
      <c r="BO43" s="242"/>
      <c r="BP43" s="242">
        <f ca="1">+MODEL!DP387/1000</f>
        <v>1583.4938910403243</v>
      </c>
      <c r="BQ43" s="242">
        <f ca="1">+MODEL!DQ387/1000</f>
        <v>1623.1065878329625</v>
      </c>
      <c r="BR43" s="244">
        <f ca="1">+MODEL!DR387/1000</f>
        <v>1623.1065878329625</v>
      </c>
      <c r="BS43" s="130"/>
      <c r="BT43" s="144" t="s">
        <v>88</v>
      </c>
      <c r="BU43" s="217"/>
      <c r="BV43" s="117"/>
      <c r="BW43" s="117">
        <f>MODEL!BI1196/1000</f>
        <v>27.03</v>
      </c>
      <c r="BX43" s="117">
        <f>MODEL!BJ1196/1000</f>
        <v>27.03</v>
      </c>
      <c r="BY43" s="117"/>
      <c r="BZ43" s="117">
        <f>MODEL!BL1196/1000</f>
        <v>28.538</v>
      </c>
      <c r="CA43" s="117">
        <f>MODEL!BM1196/1000</f>
        <v>31.411999999999999</v>
      </c>
      <c r="CB43" s="117">
        <f>MODEL!BN1196/1000</f>
        <v>31.411999999999999</v>
      </c>
      <c r="CC43" s="117"/>
      <c r="CD43" s="117">
        <f>MODEL!BP1196/1000</f>
        <v>32.585000000000001</v>
      </c>
      <c r="CE43" s="117">
        <f>MODEL!BQ1196/1000</f>
        <v>33.398000000000003</v>
      </c>
      <c r="CF43" s="117">
        <f>MODEL!BR1196/1000</f>
        <v>33.398000000000003</v>
      </c>
      <c r="CG43" s="117">
        <f>MODEL!BS1196/1000</f>
        <v>0</v>
      </c>
      <c r="CH43" s="117">
        <f>MODEL!BT1196/1000</f>
        <v>40.216000000000001</v>
      </c>
      <c r="CI43" s="117">
        <f>MODEL!BU1196/1000</f>
        <v>41.662999999999997</v>
      </c>
      <c r="CJ43" s="117">
        <f>MODEL!BV1196/1000</f>
        <v>41.662999999999997</v>
      </c>
      <c r="CK43" s="117"/>
      <c r="CL43" s="117">
        <f>MODEL!BX1196/1000</f>
        <v>43.325000000000003</v>
      </c>
      <c r="CM43" s="117">
        <f>MODEL!BY1196/1000</f>
        <v>44.158999999999999</v>
      </c>
      <c r="CN43" s="117">
        <f>MODEL!BZ1196/1000</f>
        <v>44.158999999999999</v>
      </c>
      <c r="CO43" s="117"/>
      <c r="CP43" s="117">
        <f>MODEL!CB1196/1000</f>
        <v>45.942</v>
      </c>
      <c r="CQ43" s="117">
        <f>MODEL!CC1196/1000</f>
        <v>46.47</v>
      </c>
      <c r="CR43" s="117">
        <f>MODEL!CD1196/1000</f>
        <v>46.47</v>
      </c>
      <c r="CS43" s="117"/>
      <c r="CT43" s="117">
        <f>MODEL!CF1196/1000</f>
        <v>48.026000000000003</v>
      </c>
      <c r="CU43" s="117">
        <f>MODEL!CG1196/1000</f>
        <v>48.366999999999997</v>
      </c>
      <c r="CV43" s="117">
        <f>MODEL!CH1196/1000</f>
        <v>48.366999999999997</v>
      </c>
      <c r="CW43" s="117"/>
      <c r="CX43" s="117">
        <f>MODEL!CJ1196/1000</f>
        <v>52.38</v>
      </c>
      <c r="CY43" s="117">
        <f>MODEL!CK1196/1000</f>
        <v>52.551000000000002</v>
      </c>
      <c r="CZ43" s="117">
        <f>MODEL!CL1196/1000</f>
        <v>52.551000000000002</v>
      </c>
      <c r="DA43" s="117"/>
      <c r="DB43" s="117">
        <f>MODEL!CN1196/1000</f>
        <v>57.075000000000003</v>
      </c>
      <c r="DC43" s="117">
        <f>MODEL!CO1196/1000</f>
        <v>58.835999999999999</v>
      </c>
      <c r="DD43" s="117">
        <f>MODEL!CP1196/1000</f>
        <v>58.835999999999999</v>
      </c>
      <c r="DE43" s="117"/>
      <c r="DF43" s="117">
        <f>MODEL!CR1196/1000</f>
        <v>55.463999999999999</v>
      </c>
      <c r="DG43" s="117">
        <f>MODEL!CS1196/1000</f>
        <v>57.023000000000003</v>
      </c>
      <c r="DH43" s="117">
        <f>MODEL!CT1196/1000</f>
        <v>57.023000000000003</v>
      </c>
      <c r="DI43" s="117"/>
      <c r="DJ43" s="117">
        <f>MODEL!CV1196/1000</f>
        <v>57.552</v>
      </c>
      <c r="DK43" s="117">
        <f>MODEL!CW1196/1000</f>
        <v>56.908999999999999</v>
      </c>
      <c r="DL43" s="172">
        <f>MODEL!CX1196/1000</f>
        <v>56.908999999999999</v>
      </c>
      <c r="DM43" s="117"/>
      <c r="DN43" s="117">
        <f>MODEL!CZ1196/1000</f>
        <v>57.231000000000002</v>
      </c>
      <c r="DO43" s="117">
        <f>MODEL!DA1196/1000</f>
        <v>57.691000000000003</v>
      </c>
      <c r="DP43" s="172">
        <f>MODEL!DB1196/1000</f>
        <v>57.691000000000003</v>
      </c>
      <c r="DQ43" s="117"/>
      <c r="DR43" s="117">
        <f>MODEL!DD1196/1000</f>
        <v>58.871000000000002</v>
      </c>
      <c r="DS43" s="117">
        <f>MODEL!DE1196/1000</f>
        <v>60.966999999999999</v>
      </c>
      <c r="DT43" s="1413">
        <f>MODEL!DF1196/1000</f>
        <v>60.966999999999999</v>
      </c>
      <c r="DU43" s="117"/>
      <c r="DV43" s="117">
        <f>MODEL!DH1196/1000</f>
        <v>61.921999999999997</v>
      </c>
      <c r="DW43" s="117">
        <f ca="1">MODEL!DI1196/1000</f>
        <v>63.326351952569283</v>
      </c>
      <c r="DX43" s="117">
        <f ca="1">MODEL!DJ1196/1000</f>
        <v>63.326351952569283</v>
      </c>
      <c r="DY43" s="117"/>
      <c r="DZ43" s="117">
        <f ca="1">MODEL!DL1196/1000</f>
        <v>64.309829527800233</v>
      </c>
      <c r="EA43" s="117">
        <f ca="1">MODEL!DM1196/1000</f>
        <v>65.587383695239026</v>
      </c>
      <c r="EB43" s="117">
        <f ca="1">MODEL!DN1196/1000</f>
        <v>65.587383695239026</v>
      </c>
      <c r="EC43" s="117"/>
      <c r="ED43" s="117">
        <f ca="1">MODEL!DP1196/1000</f>
        <v>66.520232832290304</v>
      </c>
      <c r="EE43" s="117">
        <f ca="1">MODEL!DQ1196/1000</f>
        <v>67.947675340228216</v>
      </c>
      <c r="EF43" s="117">
        <f ca="1">MODEL!DR1196/1000</f>
        <v>67.947675340228216</v>
      </c>
      <c r="EG43" s="217"/>
      <c r="EI43" s="4"/>
      <c r="EJ43" s="4"/>
      <c r="EU43" s="4"/>
      <c r="EV43" s="4"/>
    </row>
    <row r="44" spans="3:152" x14ac:dyDescent="0.2">
      <c r="C44" s="245" t="s">
        <v>89</v>
      </c>
      <c r="D44" s="242">
        <v>345.62200000000001</v>
      </c>
      <c r="E44" s="242">
        <v>352.98099999999999</v>
      </c>
      <c r="F44" s="242">
        <v>352.98099999999999</v>
      </c>
      <c r="G44" s="97"/>
      <c r="H44" s="242">
        <f>MODEL!BH183/1000</f>
        <v>359.05799999999999</v>
      </c>
      <c r="I44" s="242">
        <f>MODEL!BI183/1000</f>
        <v>372.84</v>
      </c>
      <c r="J44" s="242">
        <f>MODEL!BJ183/1000</f>
        <v>372.84</v>
      </c>
      <c r="K44" s="242"/>
      <c r="L44" s="242">
        <f>MODEL!BL183/1000</f>
        <v>387.02100000000002</v>
      </c>
      <c r="M44" s="242">
        <f>MODEL!BM183/1000</f>
        <v>399.685</v>
      </c>
      <c r="N44" s="242">
        <f>MODEL!BN183/1000</f>
        <v>399.685</v>
      </c>
      <c r="O44" s="242"/>
      <c r="P44" s="242">
        <f>MODEL!BP183/1000</f>
        <v>411.30500000000001</v>
      </c>
      <c r="Q44" s="242">
        <f>MODEL!BQ183/1000</f>
        <v>422.851</v>
      </c>
      <c r="R44" s="242">
        <f>MODEL!BR183/1000</f>
        <v>422.851</v>
      </c>
      <c r="S44" s="242"/>
      <c r="T44" s="242">
        <f>MODEL!BT183/1000</f>
        <v>437.17599999999999</v>
      </c>
      <c r="U44" s="242">
        <f>MODEL!BU183/1000</f>
        <v>456.07400000000001</v>
      </c>
      <c r="V44" s="242">
        <f>MODEL!BV183/1000</f>
        <v>456.07400000000001</v>
      </c>
      <c r="W44" s="242"/>
      <c r="X44" s="242">
        <f>MODEL!BX183/1000</f>
        <v>472.53199999999998</v>
      </c>
      <c r="Y44" s="242">
        <f>MODEL!BY183/1000</f>
        <v>485.85700000000003</v>
      </c>
      <c r="Z44" s="242">
        <f>MODEL!BZ183/1000</f>
        <v>485.85700000000003</v>
      </c>
      <c r="AA44" s="242"/>
      <c r="AB44" s="242">
        <f>MODEL!CB183/1000</f>
        <v>492.68799999999999</v>
      </c>
      <c r="AC44" s="242">
        <f>MODEL!CC183/1000</f>
        <v>501.66500000000002</v>
      </c>
      <c r="AD44" s="242">
        <f>MODEL!CD183/1000</f>
        <v>501.66500000000002</v>
      </c>
      <c r="AE44" s="242"/>
      <c r="AF44" s="242">
        <f>MODEL!CF183/1000</f>
        <v>512.505</v>
      </c>
      <c r="AG44" s="242">
        <f>MODEL!CG183/1000</f>
        <v>522.94200000000001</v>
      </c>
      <c r="AH44" s="243">
        <f>MODEL!CH183/1000</f>
        <v>522.94200000000001</v>
      </c>
      <c r="AI44" s="242"/>
      <c r="AJ44" s="242">
        <f>MODEL!CJ183/1000</f>
        <v>535.09</v>
      </c>
      <c r="AK44" s="242">
        <f>MODEL!CK183/1000</f>
        <v>542.88</v>
      </c>
      <c r="AL44" s="243">
        <f>MODEL!CL183/1000</f>
        <v>542.88</v>
      </c>
      <c r="AM44" s="242"/>
      <c r="AN44" s="242">
        <f>MODEL!CN183/1000</f>
        <v>559.31799999999998</v>
      </c>
      <c r="AO44" s="242">
        <f>MODEL!CO183/1000</f>
        <v>579.75599999999997</v>
      </c>
      <c r="AP44" s="243">
        <f>MODEL!CP183/1000</f>
        <v>579.75599999999997</v>
      </c>
      <c r="AQ44" s="242"/>
      <c r="AR44" s="242">
        <f>MODEL!CR183/1000</f>
        <v>605.91</v>
      </c>
      <c r="AS44" s="242">
        <f>MODEL!CS183/1000</f>
        <v>621.99300000000005</v>
      </c>
      <c r="AT44" s="243">
        <f>MODEL!CT183/1000</f>
        <v>621.99300000000005</v>
      </c>
      <c r="AU44" s="242"/>
      <c r="AV44" s="242">
        <f>MODEL!CV183/1000</f>
        <v>639.32600000000002</v>
      </c>
      <c r="AW44" s="242">
        <f>MODEL!CW183/1000</f>
        <v>652.21799999999996</v>
      </c>
      <c r="AX44" s="243">
        <f>MODEL!CX183/1000</f>
        <v>652.21799999999996</v>
      </c>
      <c r="AY44" s="242"/>
      <c r="AZ44" s="242">
        <f>MODEL!CZ183/1000</f>
        <v>650.46</v>
      </c>
      <c r="BA44" s="242">
        <f>MODEL!DA183/1000</f>
        <v>664.70100000000002</v>
      </c>
      <c r="BB44" s="243">
        <f>MODEL!DB183/1000</f>
        <v>664.70100000000002</v>
      </c>
      <c r="BC44" s="242"/>
      <c r="BD44" s="242">
        <f>MODEL!DD183/1000</f>
        <v>685.26900000000001</v>
      </c>
      <c r="BE44" s="242">
        <f>MODEL!DE183/1000</f>
        <v>707.86199999999997</v>
      </c>
      <c r="BF44" s="1451">
        <f>MODEL!DF183/1000</f>
        <v>707.86199999999997</v>
      </c>
      <c r="BG44" s="242"/>
      <c r="BH44" s="242">
        <f>MODEL!DH183/1000</f>
        <v>730.18799999999999</v>
      </c>
      <c r="BI44" s="242">
        <f>MODEL!DI183/1000</f>
        <v>756.3379190370772</v>
      </c>
      <c r="BJ44" s="242">
        <f>MODEL!DJ183/1000</f>
        <v>756.3379190370772</v>
      </c>
      <c r="BK44" s="242"/>
      <c r="BL44" s="242">
        <f>MODEL!DL183/1000</f>
        <v>780.18809167618622</v>
      </c>
      <c r="BM44" s="242">
        <f>MODEL!DM183/1000</f>
        <v>803.03296385639703</v>
      </c>
      <c r="BN44" s="244">
        <f>MODEL!DN183/1000</f>
        <v>803.03296385639703</v>
      </c>
      <c r="BO44" s="242"/>
      <c r="BP44" s="242">
        <f>MODEL!DP183/1000</f>
        <v>822.34516367701224</v>
      </c>
      <c r="BQ44" s="242">
        <f>MODEL!DQ183/1000</f>
        <v>842.12877139679426</v>
      </c>
      <c r="BR44" s="244">
        <f>MODEL!DR183/1000</f>
        <v>842.12877139679426</v>
      </c>
      <c r="BS44" s="130"/>
      <c r="BT44" s="144" t="s">
        <v>90</v>
      </c>
      <c r="BU44" s="103"/>
      <c r="BV44" s="117"/>
      <c r="BW44" s="117">
        <f>MODEL!BI1199/1000</f>
        <v>6.72</v>
      </c>
      <c r="BX44" s="117">
        <f>MODEL!BJ1199/1000</f>
        <v>6.72</v>
      </c>
      <c r="BY44" s="117"/>
      <c r="BZ44" s="117">
        <f>MODEL!BL1199/1000</f>
        <v>6.72</v>
      </c>
      <c r="CA44" s="117">
        <f>MODEL!BM1199/1000</f>
        <v>6.1959999999999997</v>
      </c>
      <c r="CB44" s="117">
        <f>MODEL!BN1199/1000</f>
        <v>6.1959999999999997</v>
      </c>
      <c r="CC44" s="117"/>
      <c r="CD44" s="117">
        <f>MODEL!BP1199/1000</f>
        <v>8.4130000000000003</v>
      </c>
      <c r="CE44" s="117">
        <f>MODEL!BQ1199/1000</f>
        <v>7.7489999999999997</v>
      </c>
      <c r="CF44" s="117">
        <f>MODEL!BR1199/1000</f>
        <v>7.7489999999999997</v>
      </c>
      <c r="CG44" s="117">
        <f>MODEL!BS1199/1000</f>
        <v>0</v>
      </c>
      <c r="CH44" s="117">
        <f>MODEL!BT1199/1000</f>
        <v>7.7560000000000002</v>
      </c>
      <c r="CI44" s="117">
        <f>MODEL!BU1199/1000</f>
        <v>6.89</v>
      </c>
      <c r="CJ44" s="117">
        <f>MODEL!BV1199/1000</f>
        <v>6.89</v>
      </c>
      <c r="CK44" s="117"/>
      <c r="CL44" s="117">
        <f>MODEL!BX1199/1000</f>
        <v>6.8929999999999998</v>
      </c>
      <c r="CM44" s="117">
        <f>MODEL!BY1199/1000</f>
        <v>8.5250000000000004</v>
      </c>
      <c r="CN44" s="117">
        <f>MODEL!BZ1199/1000</f>
        <v>8.5250000000000004</v>
      </c>
      <c r="CO44" s="117"/>
      <c r="CP44" s="117">
        <f>MODEL!CB1199/1000</f>
        <v>8.5229999999999997</v>
      </c>
      <c r="CQ44" s="117">
        <f>MODEL!CC1199/1000</f>
        <v>9.8949999999999996</v>
      </c>
      <c r="CR44" s="117">
        <f>MODEL!CD1199/1000</f>
        <v>9.8949999999999996</v>
      </c>
      <c r="CS44" s="117"/>
      <c r="CT44" s="117">
        <f>MODEL!CF1199/1000</f>
        <v>9.4920000000000009</v>
      </c>
      <c r="CU44" s="117">
        <f>MODEL!CG1199/1000</f>
        <v>8.9879999999999995</v>
      </c>
      <c r="CV44" s="117">
        <f>MODEL!CH1199/1000</f>
        <v>8.9879999999999995</v>
      </c>
      <c r="CW44" s="117"/>
      <c r="CX44" s="117">
        <f>MODEL!CJ1199/1000</f>
        <v>10.837999999999999</v>
      </c>
      <c r="CY44" s="117">
        <f>MODEL!CK1199/1000</f>
        <v>10.840999999999999</v>
      </c>
      <c r="CZ44" s="117">
        <f>MODEL!CL1199/1000</f>
        <v>10.840999999999999</v>
      </c>
      <c r="DA44" s="117"/>
      <c r="DB44" s="117">
        <f>MODEL!CN1199/1000</f>
        <v>10.824999999999999</v>
      </c>
      <c r="DC44" s="117">
        <f>MODEL!CO1199/1000</f>
        <v>12.007999999999999</v>
      </c>
      <c r="DD44" s="117">
        <f>MODEL!CP1199/1000</f>
        <v>12.007999999999999</v>
      </c>
      <c r="DE44" s="117"/>
      <c r="DF44" s="117">
        <f>MODEL!CR1199/1000</f>
        <v>10.563000000000001</v>
      </c>
      <c r="DG44" s="117">
        <f>MODEL!CS1199/1000</f>
        <v>10.535</v>
      </c>
      <c r="DH44" s="117">
        <f>MODEL!CT1199/1000</f>
        <v>10.535</v>
      </c>
      <c r="DI44" s="117"/>
      <c r="DJ44" s="117">
        <f>MODEL!CV1199/1000</f>
        <v>9.3119999999999994</v>
      </c>
      <c r="DK44" s="117">
        <f>MODEL!CW1199/1000</f>
        <v>10.862</v>
      </c>
      <c r="DL44" s="172">
        <f>MODEL!CX1199/1000</f>
        <v>10.862</v>
      </c>
      <c r="DM44" s="117"/>
      <c r="DN44" s="117">
        <f>MODEL!CZ1199/1000</f>
        <v>10.862</v>
      </c>
      <c r="DO44" s="117">
        <f>MODEL!DA1199/1000</f>
        <v>9.2720000000000002</v>
      </c>
      <c r="DP44" s="172">
        <f>MODEL!DB1199/1000</f>
        <v>9.2720000000000002</v>
      </c>
      <c r="DQ44" s="117"/>
      <c r="DR44" s="117">
        <f>MODEL!DD1199/1000</f>
        <v>9.2720000000000002</v>
      </c>
      <c r="DS44" s="117">
        <f>MODEL!DE1199/1000</f>
        <v>7.907</v>
      </c>
      <c r="DT44" s="1413">
        <f>MODEL!DF1199/1000</f>
        <v>7.907</v>
      </c>
      <c r="DU44" s="117"/>
      <c r="DV44" s="117">
        <f>MODEL!DH1199/1000</f>
        <v>7.907</v>
      </c>
      <c r="DW44" s="117">
        <f>MODEL!DI1199/1000</f>
        <v>7.907</v>
      </c>
      <c r="DX44" s="117">
        <f>MODEL!DJ1199/1000</f>
        <v>7.907</v>
      </c>
      <c r="DY44" s="117"/>
      <c r="DZ44" s="117">
        <f>MODEL!DL1199/1000</f>
        <v>7.907</v>
      </c>
      <c r="EA44" s="117">
        <f>MODEL!DM1199/1000</f>
        <v>7.907</v>
      </c>
      <c r="EB44" s="117">
        <f>MODEL!DN1199/1000</f>
        <v>7.907</v>
      </c>
      <c r="EC44" s="117"/>
      <c r="ED44" s="117">
        <f>MODEL!DP1199/1000</f>
        <v>7.907</v>
      </c>
      <c r="EE44" s="117">
        <f>MODEL!DQ1199/1000</f>
        <v>7.907</v>
      </c>
      <c r="EF44" s="117">
        <f>MODEL!DR1199/1000</f>
        <v>7.907</v>
      </c>
      <c r="EG44" s="217"/>
      <c r="EI44" s="4"/>
      <c r="EJ44" s="4"/>
      <c r="EU44" s="4"/>
      <c r="EV44" s="4"/>
    </row>
    <row r="45" spans="3:152" x14ac:dyDescent="0.2">
      <c r="C45" s="245" t="s">
        <v>91</v>
      </c>
      <c r="D45" s="242">
        <v>185.27699999999999</v>
      </c>
      <c r="E45" s="242">
        <v>189.11600000000001</v>
      </c>
      <c r="F45" s="242">
        <v>189.11600000000001</v>
      </c>
      <c r="G45" s="97"/>
      <c r="H45" s="242">
        <f>+H46-H44</f>
        <v>190.15800000000002</v>
      </c>
      <c r="I45" s="242">
        <f>+I46-I44</f>
        <v>195.98100000000005</v>
      </c>
      <c r="J45" s="242">
        <f>+J46-J44</f>
        <v>195.98100000000005</v>
      </c>
      <c r="K45" s="242"/>
      <c r="L45" s="242">
        <f>+L46-L44</f>
        <v>204.75399999999996</v>
      </c>
      <c r="M45" s="242">
        <f>+M46-M44</f>
        <v>208.44199999999995</v>
      </c>
      <c r="N45" s="242">
        <f>+N46-N44</f>
        <v>208.44199999999995</v>
      </c>
      <c r="O45" s="242"/>
      <c r="P45" s="242">
        <f>+P46-P44</f>
        <v>216.39299999999997</v>
      </c>
      <c r="Q45" s="242">
        <f>+Q46-Q44</f>
        <v>223.32100000000003</v>
      </c>
      <c r="R45" s="242">
        <f>+R46-R44</f>
        <v>223.32100000000003</v>
      </c>
      <c r="S45" s="242"/>
      <c r="T45" s="242">
        <f>+T46-T44</f>
        <v>238.55199999999996</v>
      </c>
      <c r="U45" s="242">
        <f>+U46-U44</f>
        <v>245.65600000000001</v>
      </c>
      <c r="V45" s="242">
        <f>+V46-V44</f>
        <v>245.65600000000001</v>
      </c>
      <c r="W45" s="242"/>
      <c r="X45" s="242">
        <f>+X46-X44</f>
        <v>246.71800000000002</v>
      </c>
      <c r="Y45" s="242">
        <f>+Y46-Y44</f>
        <v>251.14499999999992</v>
      </c>
      <c r="Z45" s="242">
        <f>+Z46-Z44</f>
        <v>251.14499999999992</v>
      </c>
      <c r="AA45" s="242"/>
      <c r="AB45" s="242">
        <f>+AB46-AB44</f>
        <v>248.63</v>
      </c>
      <c r="AC45" s="242">
        <f>+AC46-AC44</f>
        <v>246.74299999999999</v>
      </c>
      <c r="AD45" s="242">
        <f>+AD46-AD44</f>
        <v>246.74299999999999</v>
      </c>
      <c r="AE45" s="242"/>
      <c r="AF45" s="242">
        <f>+AF46-AF44</f>
        <v>246.95799999999997</v>
      </c>
      <c r="AG45" s="242">
        <f>+AG46-AG44</f>
        <v>238.07100000000003</v>
      </c>
      <c r="AH45" s="243">
        <f>+AH46-AH44</f>
        <v>238.07100000000003</v>
      </c>
      <c r="AI45" s="242"/>
      <c r="AJ45" s="242">
        <f>+AJ46-AJ44</f>
        <v>236.29300000000001</v>
      </c>
      <c r="AK45" s="242">
        <f>+AK46-AK44</f>
        <v>237.22799999999995</v>
      </c>
      <c r="AL45" s="243">
        <f>+AL46-AL44</f>
        <v>237.22799999999995</v>
      </c>
      <c r="AM45" s="242"/>
      <c r="AN45" s="242">
        <f>+AN46-AN44</f>
        <v>235.15499999999997</v>
      </c>
      <c r="AO45" s="242">
        <f>+AO46-AO44</f>
        <v>238.51</v>
      </c>
      <c r="AP45" s="243">
        <f>+AP46-AP44</f>
        <v>238.51</v>
      </c>
      <c r="AQ45" s="242"/>
      <c r="AR45" s="242">
        <f>+AR46-AR44</f>
        <v>244.59900000000005</v>
      </c>
      <c r="AS45" s="242">
        <f>+AS46-AS44</f>
        <v>262.96999999999991</v>
      </c>
      <c r="AT45" s="243">
        <f>+AT46-AT44</f>
        <v>262.96999999999991</v>
      </c>
      <c r="AU45" s="242"/>
      <c r="AV45" s="242">
        <f>+AV46-AV44</f>
        <v>273.50900000000001</v>
      </c>
      <c r="AW45" s="242">
        <f>+AW46-AW44</f>
        <v>281.03300000000002</v>
      </c>
      <c r="AX45" s="243">
        <f>+AX46-AX44</f>
        <v>281.03300000000002</v>
      </c>
      <c r="AY45" s="242"/>
      <c r="AZ45" s="242">
        <f t="shared" ref="AZ45:BA45" si="27">+AZ46-AZ44</f>
        <v>278.34699999999998</v>
      </c>
      <c r="BA45" s="242">
        <f t="shared" si="27"/>
        <v>285.24699999999996</v>
      </c>
      <c r="BB45" s="243">
        <f>+BB46-BB44</f>
        <v>285.24699999999996</v>
      </c>
      <c r="BC45" s="242"/>
      <c r="BD45" s="242">
        <f t="shared" ref="BD45:BE45" si="28">+BD46-BD44</f>
        <v>292.11500000000001</v>
      </c>
      <c r="BE45" s="242">
        <f t="shared" si="28"/>
        <v>308.02100000000007</v>
      </c>
      <c r="BF45" s="1451">
        <f>+BF46-BF44</f>
        <v>308.02100000000007</v>
      </c>
      <c r="BG45" s="242"/>
      <c r="BH45" s="242">
        <f t="shared" ref="BH45:BI45" si="29">+BH46-BH44</f>
        <v>318.80000000000007</v>
      </c>
      <c r="BI45" s="242">
        <f t="shared" si="29"/>
        <v>329.22546601251952</v>
      </c>
      <c r="BJ45" s="242">
        <f>+BJ46-BJ44</f>
        <v>329.22546601251952</v>
      </c>
      <c r="BK45" s="242"/>
      <c r="BL45" s="242">
        <f t="shared" ref="BL45:BM45" si="30">+BL46-BL44</f>
        <v>337.21952449820003</v>
      </c>
      <c r="BM45" s="242">
        <f t="shared" si="30"/>
        <v>349.13725673012129</v>
      </c>
      <c r="BN45" s="244">
        <f>+BN46-BN44</f>
        <v>349.13725673012129</v>
      </c>
      <c r="BO45" s="242"/>
      <c r="BP45" s="242">
        <f t="shared" ref="BP45:BQ45" si="31">+BP46-BP44</f>
        <v>356.77536967378785</v>
      </c>
      <c r="BQ45" s="242">
        <f t="shared" si="31"/>
        <v>366.61209389009196</v>
      </c>
      <c r="BR45" s="244">
        <f>+BR46-BR44</f>
        <v>366.61209389009196</v>
      </c>
      <c r="BS45" s="130"/>
      <c r="BT45" s="144" t="s">
        <v>92</v>
      </c>
      <c r="BU45" s="217"/>
      <c r="BV45" s="117"/>
      <c r="BW45" s="117">
        <f>MODEL!BI1200/1000</f>
        <v>33.75</v>
      </c>
      <c r="BX45" s="117">
        <f>MODEL!BJ1200/1000</f>
        <v>33.75</v>
      </c>
      <c r="BY45" s="117"/>
      <c r="BZ45" s="117">
        <f>MODEL!BL1200/1000</f>
        <v>35.258000000000003</v>
      </c>
      <c r="CA45" s="117">
        <f>MODEL!BM1200/1000</f>
        <v>37.607999999999997</v>
      </c>
      <c r="CB45" s="117">
        <f>MODEL!BN1200/1000</f>
        <v>37.607999999999997</v>
      </c>
      <c r="CC45" s="117"/>
      <c r="CD45" s="117">
        <f>MODEL!BP1200/1000</f>
        <v>40.997999999999998</v>
      </c>
      <c r="CE45" s="117">
        <f>MODEL!BQ1200/1000</f>
        <v>41.146999999999998</v>
      </c>
      <c r="CF45" s="117">
        <f>MODEL!BR1200/1000</f>
        <v>41.146999999999998</v>
      </c>
      <c r="CG45" s="117">
        <f>MODEL!BS1200/1000</f>
        <v>0</v>
      </c>
      <c r="CH45" s="117">
        <f>MODEL!BT1200/1000</f>
        <v>47.972000000000001</v>
      </c>
      <c r="CI45" s="117">
        <f>MODEL!BU1200/1000</f>
        <v>48.552999999999997</v>
      </c>
      <c r="CJ45" s="117">
        <f>MODEL!BV1200/1000</f>
        <v>48.552999999999997</v>
      </c>
      <c r="CK45" s="117"/>
      <c r="CL45" s="117">
        <f>MODEL!BX1200/1000</f>
        <v>50.218000000000004</v>
      </c>
      <c r="CM45" s="117">
        <f>MODEL!BY1200/1000</f>
        <v>52.683999999999997</v>
      </c>
      <c r="CN45" s="117">
        <f>MODEL!BZ1200/1000</f>
        <v>52.683999999999997</v>
      </c>
      <c r="CO45" s="117"/>
      <c r="CP45" s="117">
        <f>MODEL!CB1200/1000</f>
        <v>54.465000000000003</v>
      </c>
      <c r="CQ45" s="117">
        <f>MODEL!CC1200/1000</f>
        <v>56.365000000000002</v>
      </c>
      <c r="CR45" s="117">
        <f>MODEL!CD1200/1000</f>
        <v>56.365000000000002</v>
      </c>
      <c r="CS45" s="117"/>
      <c r="CT45" s="117">
        <f>MODEL!CF1200/1000</f>
        <v>57.518000000000001</v>
      </c>
      <c r="CU45" s="117">
        <f>MODEL!CG1200/1000</f>
        <v>57.354999999999997</v>
      </c>
      <c r="CV45" s="117">
        <f>MODEL!CH1200/1000</f>
        <v>57.354999999999997</v>
      </c>
      <c r="CW45" s="117"/>
      <c r="CX45" s="117">
        <f>MODEL!CJ1200/1000</f>
        <v>63.218000000000004</v>
      </c>
      <c r="CY45" s="117">
        <f>MODEL!CK1200/1000</f>
        <v>63.392000000000003</v>
      </c>
      <c r="CZ45" s="117">
        <f>MODEL!CL1200/1000</f>
        <v>63.392000000000003</v>
      </c>
      <c r="DA45" s="117"/>
      <c r="DB45" s="117">
        <f>MODEL!CN1200/1000</f>
        <v>67.900000000000006</v>
      </c>
      <c r="DC45" s="117">
        <f>MODEL!CO1200/1000</f>
        <v>70.843999999999994</v>
      </c>
      <c r="DD45" s="117">
        <f>MODEL!CP1200/1000</f>
        <v>70.843999999999994</v>
      </c>
      <c r="DE45" s="117"/>
      <c r="DF45" s="117">
        <f>MODEL!CR1200/1000</f>
        <v>66.027000000000001</v>
      </c>
      <c r="DG45" s="117">
        <f>MODEL!CS1200/1000</f>
        <v>67.558000000000007</v>
      </c>
      <c r="DH45" s="117">
        <f>MODEL!CT1200/1000</f>
        <v>67.558000000000007</v>
      </c>
      <c r="DI45" s="117"/>
      <c r="DJ45" s="117">
        <f>MODEL!CV1200/1000</f>
        <v>66.864000000000004</v>
      </c>
      <c r="DK45" s="117">
        <f>MODEL!CW1200/1000</f>
        <v>67.771000000000001</v>
      </c>
      <c r="DL45" s="172">
        <f>MODEL!CX1200/1000</f>
        <v>67.771000000000001</v>
      </c>
      <c r="DM45" s="117"/>
      <c r="DN45" s="117">
        <f>MODEL!CZ1200/1000</f>
        <v>68.093000000000004</v>
      </c>
      <c r="DO45" s="117">
        <f>MODEL!DA1200/1000</f>
        <v>66.962999999999994</v>
      </c>
      <c r="DP45" s="172">
        <f>MODEL!DB1200/1000</f>
        <v>66.962999999999994</v>
      </c>
      <c r="DQ45" s="117"/>
      <c r="DR45" s="117">
        <f>MODEL!DD1200/1000</f>
        <v>68.143000000000001</v>
      </c>
      <c r="DS45" s="117">
        <f>MODEL!DE1200/1000</f>
        <v>68.873999999999995</v>
      </c>
      <c r="DT45" s="1413">
        <f>MODEL!DF1200/1000</f>
        <v>68.873999999999995</v>
      </c>
      <c r="DU45" s="117"/>
      <c r="DV45" s="117">
        <f>MODEL!DH1200/1000</f>
        <v>69.828999999999994</v>
      </c>
      <c r="DW45" s="117">
        <f ca="1">MODEL!DI1200/1000</f>
        <v>71.233351952569279</v>
      </c>
      <c r="DX45" s="117">
        <f ca="1">MODEL!DJ1200/1000</f>
        <v>71.233351952569279</v>
      </c>
      <c r="DY45" s="117"/>
      <c r="DZ45" s="117">
        <f ca="1">MODEL!DL1200/1000</f>
        <v>72.216829527800229</v>
      </c>
      <c r="EA45" s="117">
        <f ca="1">MODEL!DM1200/1000</f>
        <v>73.494383695239023</v>
      </c>
      <c r="EB45" s="117">
        <f ca="1">MODEL!DN1200/1000</f>
        <v>73.494383695239023</v>
      </c>
      <c r="EC45" s="117"/>
      <c r="ED45" s="117">
        <f ca="1">MODEL!DP1200/1000</f>
        <v>74.427232832290301</v>
      </c>
      <c r="EE45" s="117">
        <f ca="1">MODEL!DQ1200/1000</f>
        <v>75.854675340228226</v>
      </c>
      <c r="EF45" s="117">
        <f ca="1">MODEL!DR1200/1000</f>
        <v>75.854675340228226</v>
      </c>
      <c r="EG45" s="217"/>
      <c r="EU45" s="4"/>
      <c r="EV45" s="4"/>
    </row>
    <row r="46" spans="3:152" x14ac:dyDescent="0.2">
      <c r="C46" s="245" t="s">
        <v>93</v>
      </c>
      <c r="D46" s="242">
        <v>530.899</v>
      </c>
      <c r="E46" s="242">
        <v>542.09699999999998</v>
      </c>
      <c r="F46" s="242">
        <v>542.09699999999998</v>
      </c>
      <c r="G46" s="97"/>
      <c r="H46" s="242">
        <f>MODEL!BH187/1000</f>
        <v>549.21600000000001</v>
      </c>
      <c r="I46" s="242">
        <f>MODEL!BI187/1000</f>
        <v>568.82100000000003</v>
      </c>
      <c r="J46" s="242">
        <f>MODEL!BJ187/1000</f>
        <v>568.82100000000003</v>
      </c>
      <c r="K46" s="242"/>
      <c r="L46" s="242">
        <f>MODEL!BL187/1000</f>
        <v>591.77499999999998</v>
      </c>
      <c r="M46" s="242">
        <f>MODEL!BM187/1000</f>
        <v>608.12699999999995</v>
      </c>
      <c r="N46" s="242">
        <f>MODEL!BN187/1000</f>
        <v>608.12699999999995</v>
      </c>
      <c r="O46" s="242"/>
      <c r="P46" s="242">
        <f>MODEL!BP187/1000</f>
        <v>627.69799999999998</v>
      </c>
      <c r="Q46" s="242">
        <f>MODEL!BQ187/1000</f>
        <v>646.17200000000003</v>
      </c>
      <c r="R46" s="242">
        <f>MODEL!BR187/1000</f>
        <v>646.17200000000003</v>
      </c>
      <c r="S46" s="242"/>
      <c r="T46" s="242">
        <f>MODEL!BT187/1000</f>
        <v>675.72799999999995</v>
      </c>
      <c r="U46" s="242">
        <f>MODEL!BU187/1000</f>
        <v>701.73</v>
      </c>
      <c r="V46" s="242">
        <f>MODEL!BV187/1000</f>
        <v>701.73</v>
      </c>
      <c r="W46" s="242"/>
      <c r="X46" s="242">
        <f>MODEL!BX187/1000</f>
        <v>719.25</v>
      </c>
      <c r="Y46" s="242">
        <f>MODEL!BY187/1000</f>
        <v>737.00199999999995</v>
      </c>
      <c r="Z46" s="242">
        <f>MODEL!BZ187/1000</f>
        <v>737.00199999999995</v>
      </c>
      <c r="AA46" s="242"/>
      <c r="AB46" s="242">
        <f>MODEL!CB187/1000</f>
        <v>741.31799999999998</v>
      </c>
      <c r="AC46" s="242">
        <f>MODEL!CC187/1000</f>
        <v>748.40800000000002</v>
      </c>
      <c r="AD46" s="242">
        <f>MODEL!CD187/1000</f>
        <v>748.40800000000002</v>
      </c>
      <c r="AE46" s="242"/>
      <c r="AF46" s="242">
        <f>MODEL!CF187/1000</f>
        <v>759.46299999999997</v>
      </c>
      <c r="AG46" s="242">
        <f>MODEL!CG187/1000</f>
        <v>761.01300000000003</v>
      </c>
      <c r="AH46" s="243">
        <f>MODEL!CH187/1000</f>
        <v>761.01300000000003</v>
      </c>
      <c r="AI46" s="242"/>
      <c r="AJ46" s="242">
        <f>MODEL!CJ187/1000</f>
        <v>771.38300000000004</v>
      </c>
      <c r="AK46" s="242">
        <f>MODEL!CK187/1000</f>
        <v>780.10799999999995</v>
      </c>
      <c r="AL46" s="243">
        <f>MODEL!CL187/1000</f>
        <v>780.10799999999995</v>
      </c>
      <c r="AM46" s="242"/>
      <c r="AN46" s="242">
        <f>MODEL!CN187/1000</f>
        <v>794.47299999999996</v>
      </c>
      <c r="AO46" s="242">
        <f>MODEL!CO187/1000</f>
        <v>818.26599999999996</v>
      </c>
      <c r="AP46" s="243">
        <f>MODEL!CP187/1000</f>
        <v>818.26599999999996</v>
      </c>
      <c r="AQ46" s="242"/>
      <c r="AR46" s="242">
        <f>MODEL!CR187/1000</f>
        <v>850.50900000000001</v>
      </c>
      <c r="AS46" s="242">
        <f>MODEL!CS187/1000</f>
        <v>884.96299999999997</v>
      </c>
      <c r="AT46" s="243">
        <f>MODEL!CT187/1000</f>
        <v>884.96299999999997</v>
      </c>
      <c r="AU46" s="242"/>
      <c r="AV46" s="242">
        <f>MODEL!CV187/1000</f>
        <v>912.83500000000004</v>
      </c>
      <c r="AW46" s="242">
        <f>MODEL!CW187/1000</f>
        <v>933.25099999999998</v>
      </c>
      <c r="AX46" s="243">
        <f>MODEL!CX187/1000</f>
        <v>933.25099999999998</v>
      </c>
      <c r="AY46" s="242"/>
      <c r="AZ46" s="242">
        <f>MODEL!CZ187/1000</f>
        <v>928.80700000000002</v>
      </c>
      <c r="BA46" s="242">
        <f>MODEL!DA187/1000</f>
        <v>949.94799999999998</v>
      </c>
      <c r="BB46" s="243">
        <f>MODEL!DB187/1000</f>
        <v>949.94799999999998</v>
      </c>
      <c r="BC46" s="242"/>
      <c r="BD46" s="242">
        <f>MODEL!DD187/1000</f>
        <v>977.38400000000001</v>
      </c>
      <c r="BE46" s="242">
        <f>MODEL!DE187/1000</f>
        <v>1015.883</v>
      </c>
      <c r="BF46" s="1451">
        <f>MODEL!DF187/1000</f>
        <v>1015.883</v>
      </c>
      <c r="BG46" s="242"/>
      <c r="BH46" s="242">
        <f>MODEL!DH187/1000</f>
        <v>1048.9880000000001</v>
      </c>
      <c r="BI46" s="242">
        <f>MODEL!DI187/1000</f>
        <v>1085.5633850495967</v>
      </c>
      <c r="BJ46" s="242">
        <f>MODEL!DJ187/1000</f>
        <v>1085.5633850495967</v>
      </c>
      <c r="BK46" s="242"/>
      <c r="BL46" s="242">
        <f>MODEL!DL187/1000</f>
        <v>1117.4076161743862</v>
      </c>
      <c r="BM46" s="242">
        <f>MODEL!DM187/1000</f>
        <v>1152.1702205865183</v>
      </c>
      <c r="BN46" s="244">
        <f>MODEL!DN187/1000</f>
        <v>1152.1702205865183</v>
      </c>
      <c r="BO46" s="242"/>
      <c r="BP46" s="242">
        <f>MODEL!DP187/1000</f>
        <v>1179.1205333508001</v>
      </c>
      <c r="BQ46" s="242">
        <f>MODEL!DQ187/1000</f>
        <v>1208.7408652868862</v>
      </c>
      <c r="BR46" s="244">
        <f>MODEL!DR187/1000</f>
        <v>1208.7408652868862</v>
      </c>
      <c r="BS46" s="130"/>
      <c r="BT46" s="179" t="s">
        <v>94</v>
      </c>
      <c r="BU46" s="246"/>
      <c r="BV46" s="246"/>
      <c r="BW46" s="246">
        <f>MODEL!BI1157*100</f>
        <v>8.2118617806646039</v>
      </c>
      <c r="BX46" s="246">
        <f>MODEL!BJ1157*100</f>
        <v>8.2118617806646039</v>
      </c>
      <c r="BY46" s="246"/>
      <c r="BZ46" s="246">
        <f>MODEL!BL1157*100</f>
        <v>8.5392747391508586</v>
      </c>
      <c r="CA46" s="246">
        <f>MODEL!BM1157*100</f>
        <v>9.3013339650296842</v>
      </c>
      <c r="CB46" s="246">
        <f>MODEL!BN1157*100</f>
        <v>9.3013339650296842</v>
      </c>
      <c r="CC46" s="246"/>
      <c r="CD46" s="246">
        <f>MODEL!BP1157*100</f>
        <v>9.229623167388004</v>
      </c>
      <c r="CE46" s="246">
        <f>MODEL!BQ1157*100</f>
        <v>9.0577970877709699</v>
      </c>
      <c r="CF46" s="246">
        <f>MODEL!BR1157*100</f>
        <v>9.0577970877709699</v>
      </c>
      <c r="CG46" s="246">
        <f>MODEL!BS1157*100</f>
        <v>0</v>
      </c>
      <c r="CH46" s="246">
        <f>MODEL!BT1157*100</f>
        <v>10.241887424808105</v>
      </c>
      <c r="CI46" s="246">
        <f>MODEL!BU1157*100</f>
        <v>10.556494462420217</v>
      </c>
      <c r="CJ46" s="246">
        <f>MODEL!BV1157*100</f>
        <v>10.556494462420217</v>
      </c>
      <c r="CK46" s="246"/>
      <c r="CL46" s="246">
        <f>MODEL!BX1157*100</f>
        <v>9.9259761593288136</v>
      </c>
      <c r="CM46" s="246">
        <f>MODEL!BY1157*100</f>
        <v>10.103577745084804</v>
      </c>
      <c r="CN46" s="246">
        <f>MODEL!BZ1157*100</f>
        <v>10.103577745084804</v>
      </c>
      <c r="CO46" s="246"/>
      <c r="CP46" s="246">
        <f>MODEL!CB1157*100</f>
        <v>10.421562667295776</v>
      </c>
      <c r="CQ46" s="246">
        <f>MODEL!CC1157*100</f>
        <v>10.132748379894116</v>
      </c>
      <c r="CR46" s="246">
        <f>MODEL!CD1157*100</f>
        <v>10.132748379894116</v>
      </c>
      <c r="CS46" s="246"/>
      <c r="CT46" s="246">
        <f>MODEL!CF1157*100</f>
        <v>10.788868321262333</v>
      </c>
      <c r="CU46" s="246">
        <f>MODEL!CG1157*100</f>
        <v>10.682654463051227</v>
      </c>
      <c r="CV46" s="246">
        <f>MODEL!CH1157*100</f>
        <v>10.682654463051227</v>
      </c>
      <c r="CW46" s="246"/>
      <c r="CX46" s="246">
        <f>MODEL!CJ1157*100</f>
        <v>11.661924417905663</v>
      </c>
      <c r="CY46" s="246">
        <f>MODEL!CK1157*100</f>
        <v>11.5509904428638</v>
      </c>
      <c r="CZ46" s="246">
        <f>MODEL!CL1157*100</f>
        <v>11.5509904428638</v>
      </c>
      <c r="DA46" s="246"/>
      <c r="DB46" s="246">
        <f>MODEL!CN1157*100</f>
        <v>12.582228140100879</v>
      </c>
      <c r="DC46" s="246">
        <f>MODEL!CO1157*100</f>
        <v>13.05493920298216</v>
      </c>
      <c r="DD46" s="246">
        <f>MODEL!CP1157*100</f>
        <v>13.05493920298216</v>
      </c>
      <c r="DE46" s="246"/>
      <c r="DF46" s="246">
        <f>MODEL!CR1157*100</f>
        <v>11.752665136769034</v>
      </c>
      <c r="DG46" s="246">
        <f>MODEL!CS1157*100</f>
        <v>11.452885364697565</v>
      </c>
      <c r="DH46" s="246">
        <f>MODEL!CT1157*100</f>
        <v>11.452885364697565</v>
      </c>
      <c r="DI46" s="246"/>
      <c r="DJ46" s="246">
        <f>MODEL!CV1157*100</f>
        <v>11.410444506126332</v>
      </c>
      <c r="DK46" s="246">
        <f>MODEL!CW1157*100</f>
        <v>12.160250602574402</v>
      </c>
      <c r="DL46" s="247">
        <f>MODEL!CX1157*100</f>
        <v>12.160250602574402</v>
      </c>
      <c r="DM46" s="246"/>
      <c r="DN46" s="246">
        <f>MODEL!CZ1157*100</f>
        <v>12.343737867846883</v>
      </c>
      <c r="DO46" s="246">
        <f>MODEL!DA1157*100</f>
        <v>12.338974785638358</v>
      </c>
      <c r="DP46" s="247">
        <f>MODEL!DB1157*100</f>
        <v>12.338974785638358</v>
      </c>
      <c r="DQ46" s="246"/>
      <c r="DR46" s="246">
        <f>MODEL!DD1157*100</f>
        <v>12.204557092184613</v>
      </c>
      <c r="DS46" s="246">
        <f>MODEL!DE1157*100</f>
        <v>12.288141571516391</v>
      </c>
      <c r="DT46" s="1421">
        <f>MODEL!DF1157*100</f>
        <v>12.288141571516391</v>
      </c>
      <c r="DU46" s="246"/>
      <c r="DV46" s="246">
        <f>MODEL!DH1157*100</f>
        <v>12.254259761334627</v>
      </c>
      <c r="DW46" s="246">
        <f ca="1">MODEL!DI1157*100</f>
        <v>12.137499376977246</v>
      </c>
      <c r="DX46" s="246">
        <f ca="1">MODEL!DJ1157*100</f>
        <v>12.137499376977246</v>
      </c>
      <c r="DY46" s="246"/>
      <c r="DZ46" s="246">
        <f ca="1">MODEL!DL1157*100</f>
        <v>11.993382355612093</v>
      </c>
      <c r="EA46" s="246">
        <f ca="1">MODEL!DM1157*100</f>
        <v>11.84715426814056</v>
      </c>
      <c r="EB46" s="246">
        <f ca="1">MODEL!DN1157*100</f>
        <v>11.84715426814056</v>
      </c>
      <c r="EC46" s="246"/>
      <c r="ED46" s="246">
        <f ca="1">MODEL!DP1157*100</f>
        <v>11.746741994188369</v>
      </c>
      <c r="EE46" s="246">
        <f ca="1">MODEL!DQ1157*100</f>
        <v>11.696142567081413</v>
      </c>
      <c r="EF46" s="246">
        <f ca="1">MODEL!DR1157*100</f>
        <v>11.696142567081413</v>
      </c>
      <c r="EG46" s="248"/>
      <c r="EJ46" s="214"/>
      <c r="EU46" s="4"/>
      <c r="EV46" s="4"/>
    </row>
    <row r="47" spans="3:152" x14ac:dyDescent="0.2">
      <c r="C47" s="249" t="s">
        <v>95</v>
      </c>
      <c r="D47" s="242">
        <v>37.408000000000001</v>
      </c>
      <c r="E47" s="242">
        <v>40.101999999999997</v>
      </c>
      <c r="F47" s="242">
        <v>40.101999999999997</v>
      </c>
      <c r="G47" s="250"/>
      <c r="H47" s="242">
        <f>MODEL!BH944/1000</f>
        <v>41.877000000000002</v>
      </c>
      <c r="I47" s="242">
        <f>MODEL!BI944/1000</f>
        <v>44.061</v>
      </c>
      <c r="J47" s="242">
        <f>MODEL!BJ944/1000</f>
        <v>44.061</v>
      </c>
      <c r="K47" s="242"/>
      <c r="L47" s="242">
        <f>MODEL!BL944/1000</f>
        <v>45.561999999999998</v>
      </c>
      <c r="M47" s="242">
        <f>MODEL!BM944/1000</f>
        <v>47.872</v>
      </c>
      <c r="N47" s="242">
        <f>MODEL!BN944/1000</f>
        <v>47.872</v>
      </c>
      <c r="O47" s="242"/>
      <c r="P47" s="242">
        <f>MODEL!BP944/1000</f>
        <v>49.536000000000001</v>
      </c>
      <c r="Q47" s="242">
        <f>MODEL!BQ944/1000</f>
        <v>51.491999999999997</v>
      </c>
      <c r="R47" s="242">
        <f>MODEL!BR944/1000</f>
        <v>51.491999999999997</v>
      </c>
      <c r="S47" s="242"/>
      <c r="T47" s="242">
        <f>MODEL!BT944/1000</f>
        <v>58.170999999999999</v>
      </c>
      <c r="U47" s="242">
        <f>MODEL!BU944/1000</f>
        <v>60.014000000000003</v>
      </c>
      <c r="V47" s="242">
        <f>MODEL!BV944/1000</f>
        <v>60.014000000000003</v>
      </c>
      <c r="W47" s="242"/>
      <c r="X47" s="242">
        <f>MODEL!BX944/1000</f>
        <v>61.204999999999998</v>
      </c>
      <c r="Y47" s="242">
        <f>MODEL!BY944/1000</f>
        <v>63.113999999999997</v>
      </c>
      <c r="Z47" s="242">
        <f>MODEL!BZ944/1000</f>
        <v>63.113999999999997</v>
      </c>
      <c r="AA47" s="242"/>
      <c r="AB47" s="242">
        <f>MODEL!CB944/1000</f>
        <v>65.537000000000006</v>
      </c>
      <c r="AC47" s="242">
        <f>MODEL!CC944/1000</f>
        <v>67.305999999999997</v>
      </c>
      <c r="AD47" s="242">
        <f>MODEL!CD944/1000</f>
        <v>67.305999999999997</v>
      </c>
      <c r="AE47" s="242"/>
      <c r="AF47" s="242">
        <f>MODEL!CF944/1000</f>
        <v>68.025000000000006</v>
      </c>
      <c r="AG47" s="242">
        <f>MODEL!CG944/1000</f>
        <v>69.593999999999994</v>
      </c>
      <c r="AH47" s="243">
        <f>MODEL!CH944/1000</f>
        <v>69.593999999999994</v>
      </c>
      <c r="AI47" s="242"/>
      <c r="AJ47" s="242">
        <f>MODEL!CJ944/1000</f>
        <v>71.102000000000004</v>
      </c>
      <c r="AK47" s="242">
        <f>MODEL!CK944/1000</f>
        <v>71.933000000000007</v>
      </c>
      <c r="AL47" s="243">
        <f>MODEL!CL944/1000</f>
        <v>71.933000000000007</v>
      </c>
      <c r="AM47" s="242"/>
      <c r="AN47" s="242">
        <f>MODEL!CN944/1000</f>
        <v>74.915000000000006</v>
      </c>
      <c r="AO47" s="242">
        <f>MODEL!CO944/1000</f>
        <v>78.712999999999994</v>
      </c>
      <c r="AP47" s="243">
        <f>MODEL!CP944/1000</f>
        <v>78.712999999999994</v>
      </c>
      <c r="AQ47" s="242"/>
      <c r="AR47" s="242">
        <f>MODEL!CR944/1000</f>
        <v>74.658000000000001</v>
      </c>
      <c r="AS47" s="242">
        <f>MODEL!CS944/1000</f>
        <v>72.832999999999998</v>
      </c>
      <c r="AT47" s="243">
        <f>MODEL!CT944/1000</f>
        <v>72.832999999999998</v>
      </c>
      <c r="AU47" s="242"/>
      <c r="AV47" s="242">
        <f>MODEL!CV944/1000</f>
        <v>72.316000000000003</v>
      </c>
      <c r="AW47" s="242">
        <f>MODEL!CW944/1000</f>
        <v>71.628</v>
      </c>
      <c r="AX47" s="243">
        <f>MODEL!CX944/1000</f>
        <v>71.628</v>
      </c>
      <c r="AY47" s="242"/>
      <c r="AZ47" s="242">
        <f>MODEL!CZ944/1000</f>
        <v>72.834000000000003</v>
      </c>
      <c r="BA47" s="242">
        <f>MODEL!DA944/1000</f>
        <v>73.087999999999994</v>
      </c>
      <c r="BB47" s="243">
        <f>MODEL!DB944/1000</f>
        <v>73.087999999999994</v>
      </c>
      <c r="BC47" s="242"/>
      <c r="BD47" s="242">
        <f>MODEL!DD944/1000</f>
        <v>75.263999999999996</v>
      </c>
      <c r="BE47" s="242">
        <f>MODEL!DE944/1000</f>
        <v>78.775999999999996</v>
      </c>
      <c r="BF47" s="1451">
        <f>MODEL!DF944/1000</f>
        <v>78.775999999999996</v>
      </c>
      <c r="BG47" s="242"/>
      <c r="BH47" s="242">
        <f>MODEL!DH944/1000</f>
        <v>77.231999999999999</v>
      </c>
      <c r="BI47" s="242">
        <f>MODEL!DI944/1000</f>
        <v>78.924016849578706</v>
      </c>
      <c r="BJ47" s="242">
        <f>MODEL!DJ944/1000</f>
        <v>78.924016849578706</v>
      </c>
      <c r="BK47" s="242"/>
      <c r="BL47" s="242">
        <f ca="1">MODEL!DL944/1000</f>
        <v>80.170057431028937</v>
      </c>
      <c r="BM47" s="242">
        <f ca="1">MODEL!DM944/1000</f>
        <v>81.696111297174298</v>
      </c>
      <c r="BN47" s="244">
        <f ca="1">MODEL!DN944/1000</f>
        <v>81.696111297174298</v>
      </c>
      <c r="BO47" s="242"/>
      <c r="BP47" s="242">
        <f ca="1">MODEL!DP944/1000</f>
        <v>82.816391055714433</v>
      </c>
      <c r="BQ47" s="242">
        <f ca="1">MODEL!DQ944/1000</f>
        <v>84.425659927121274</v>
      </c>
      <c r="BR47" s="244">
        <f ca="1">MODEL!DR944/1000</f>
        <v>84.425659927121274</v>
      </c>
      <c r="BS47" s="130"/>
      <c r="BT47" s="179" t="s">
        <v>96</v>
      </c>
      <c r="BU47" s="246"/>
      <c r="BV47" s="246"/>
      <c r="BW47" s="246"/>
      <c r="BX47" s="246"/>
      <c r="BY47" s="246"/>
      <c r="BZ47" s="246"/>
      <c r="CA47" s="246"/>
      <c r="CB47" s="246"/>
      <c r="CC47" s="246"/>
      <c r="CD47" s="246"/>
      <c r="CE47" s="246"/>
      <c r="CF47" s="246">
        <f>MODEL!BR1177*100</f>
        <v>12.657797087770973</v>
      </c>
      <c r="CG47" s="246"/>
      <c r="CH47" s="246"/>
      <c r="CI47" s="246"/>
      <c r="CJ47" s="246">
        <f>MODEL!BV1177*100</f>
        <v>14.356494462420216</v>
      </c>
      <c r="CK47" s="246"/>
      <c r="CL47" s="246"/>
      <c r="CM47" s="246"/>
      <c r="CN47" s="246">
        <f>MODEL!BZ1177*100</f>
        <v>15.603577745084806</v>
      </c>
      <c r="CO47" s="246"/>
      <c r="CP47" s="246"/>
      <c r="CQ47" s="246"/>
      <c r="CR47" s="246">
        <f>MODEL!CD1177*100</f>
        <v>15.532748379894118</v>
      </c>
      <c r="CS47" s="246"/>
      <c r="CT47" s="246"/>
      <c r="CU47" s="246"/>
      <c r="CV47" s="246">
        <f>MODEL!CH1177*100</f>
        <v>16.182654463051229</v>
      </c>
      <c r="CW47" s="246"/>
      <c r="CX47" s="246"/>
      <c r="CY47" s="246"/>
      <c r="CZ47" s="246">
        <f ca="1">MODEL!CL1177*100</f>
        <v>17.0509904428638</v>
      </c>
      <c r="DA47" s="246"/>
      <c r="DB47" s="246"/>
      <c r="DC47" s="246"/>
      <c r="DD47" s="246">
        <f>MODEL!CP1177*100</f>
        <v>19.400000000000002</v>
      </c>
      <c r="DE47" s="246"/>
      <c r="DF47" s="246"/>
      <c r="DG47" s="246"/>
      <c r="DH47" s="246">
        <f>MODEL!CT1177*100</f>
        <v>18.600000000000001</v>
      </c>
      <c r="DI47" s="246"/>
      <c r="DJ47" s="246"/>
      <c r="DK47" s="246"/>
      <c r="DL47" s="247">
        <f>MODEL!CX1177*100</f>
        <v>19.100000000000001</v>
      </c>
      <c r="DM47" s="246"/>
      <c r="DN47" s="246"/>
      <c r="DO47" s="246"/>
      <c r="DP47" s="247">
        <f>MODEL!DB1177*100</f>
        <v>19.100000000000001</v>
      </c>
      <c r="DQ47" s="246"/>
      <c r="DR47" s="246"/>
      <c r="DS47" s="246"/>
      <c r="DT47" s="1421">
        <f>MODEL!DF1177*100</f>
        <v>18.7</v>
      </c>
      <c r="DU47" s="246"/>
      <c r="DV47" s="246"/>
      <c r="DW47" s="246"/>
      <c r="DX47" s="246">
        <f ca="1">MODEL!DJ1177*100</f>
        <v>18.221632595530647</v>
      </c>
      <c r="DY47" s="246"/>
      <c r="DZ47" s="246"/>
      <c r="EA47" s="246"/>
      <c r="EB47" s="246">
        <f ca="1">MODEL!DN1177*100</f>
        <v>18.001184996672087</v>
      </c>
      <c r="EC47" s="246"/>
      <c r="ED47" s="246"/>
      <c r="EE47" s="246"/>
      <c r="EF47" s="246">
        <f ca="1">MODEL!DR1177*100</f>
        <v>17.909279525778089</v>
      </c>
      <c r="EG47" s="217"/>
      <c r="EU47" s="4"/>
      <c r="EV47" s="4"/>
    </row>
    <row r="48" spans="3:152" x14ac:dyDescent="0.2">
      <c r="C48" s="251" t="s">
        <v>97</v>
      </c>
      <c r="D48" s="252">
        <v>370.36399999999998</v>
      </c>
      <c r="E48" s="252">
        <v>379.315</v>
      </c>
      <c r="F48" s="252">
        <v>379.315</v>
      </c>
      <c r="G48" s="253"/>
      <c r="H48" s="252">
        <f>MODEL!BH369/1000</f>
        <v>385.899</v>
      </c>
      <c r="I48" s="252">
        <f>MODEL!BI369/1000</f>
        <v>405.27300000000002</v>
      </c>
      <c r="J48" s="252">
        <f>MODEL!BJ369/1000</f>
        <v>405.27300000000002</v>
      </c>
      <c r="K48" s="252">
        <f>MODEL!BK369/1000</f>
        <v>0</v>
      </c>
      <c r="L48" s="252">
        <f>MODEL!BL369/1000</f>
        <v>426.41699999999997</v>
      </c>
      <c r="M48" s="252">
        <f>MODEL!BM369/1000</f>
        <v>438.19299999999998</v>
      </c>
      <c r="N48" s="252">
        <f>MODEL!BN369/1000</f>
        <v>438.19299999999998</v>
      </c>
      <c r="O48" s="252">
        <f>MODEL!BO369/1000</f>
        <v>0</v>
      </c>
      <c r="P48" s="252">
        <f>MODEL!BP369/1000</f>
        <v>457.39</v>
      </c>
      <c r="Q48" s="252">
        <f>MODEL!BQ369/1000</f>
        <v>477.11200000000002</v>
      </c>
      <c r="R48" s="252">
        <f>MODEL!BR369/1000</f>
        <v>477.11200000000002</v>
      </c>
      <c r="S48" s="252">
        <f>MODEL!BS369/1000</f>
        <v>0</v>
      </c>
      <c r="T48" s="252">
        <f>MODEL!BT369/1000</f>
        <v>500.58699999999999</v>
      </c>
      <c r="U48" s="252">
        <f>MODEL!BU369/1000</f>
        <v>518.06100000000004</v>
      </c>
      <c r="V48" s="252">
        <f>MODEL!BV369/1000</f>
        <v>518.06100000000004</v>
      </c>
      <c r="W48" s="242"/>
      <c r="X48" s="252">
        <f>MODEL!BX369/1000</f>
        <v>540.19399999999996</v>
      </c>
      <c r="Y48" s="252">
        <f>MODEL!BY369/1000</f>
        <v>558.13</v>
      </c>
      <c r="Z48" s="252">
        <f>MODEL!BZ369/1000</f>
        <v>558.13</v>
      </c>
      <c r="AA48" s="242"/>
      <c r="AB48" s="252">
        <f>MODEL!CB461/1000</f>
        <v>568.29999999999995</v>
      </c>
      <c r="AC48" s="252">
        <f>MODEL!CC461/1000</f>
        <v>569.846</v>
      </c>
      <c r="AD48" s="252">
        <f>MODEL!CD461/1000</f>
        <v>569.846</v>
      </c>
      <c r="AE48" s="252">
        <f>MODEL!CE461/1000</f>
        <v>0</v>
      </c>
      <c r="AF48" s="252">
        <f>MODEL!CF461/1000</f>
        <v>578.74599999999998</v>
      </c>
      <c r="AG48" s="252">
        <f>MODEL!CG461/1000</f>
        <v>578.78599999999994</v>
      </c>
      <c r="AH48" s="254">
        <f>MODEL!CH461/1000</f>
        <v>578.78599999999994</v>
      </c>
      <c r="AI48" s="252">
        <f>MODEL!CI461/1000</f>
        <v>0</v>
      </c>
      <c r="AJ48" s="252">
        <f>MODEL!CJ461/1000</f>
        <v>599.28099999999995</v>
      </c>
      <c r="AK48" s="252">
        <f>MODEL!CK461/1000</f>
        <v>641.327</v>
      </c>
      <c r="AL48" s="254">
        <f>MODEL!CL461/1000</f>
        <v>641.327</v>
      </c>
      <c r="AM48" s="252"/>
      <c r="AN48" s="252">
        <f>MODEL!CN461/1000</f>
        <v>682.07</v>
      </c>
      <c r="AO48" s="252">
        <f>MODEL!CO461/1000</f>
        <v>702.64099999999996</v>
      </c>
      <c r="AP48" s="254">
        <f>MODEL!CP461/1000</f>
        <v>702.64099999999996</v>
      </c>
      <c r="AQ48" s="242"/>
      <c r="AR48" s="252">
        <f>MODEL!CR461/1000</f>
        <v>741.62400000000002</v>
      </c>
      <c r="AS48" s="252">
        <f>MODEL!CS461/1000</f>
        <v>778.80499999999995</v>
      </c>
      <c r="AT48" s="255">
        <f>MODEL!CT369/1000</f>
        <v>778.80499999999995</v>
      </c>
      <c r="AU48" s="256"/>
      <c r="AV48" s="256">
        <f>MODEL!CV461/1000</f>
        <v>800.43600000000004</v>
      </c>
      <c r="AW48" s="256">
        <f>MODEL!CW461/1000</f>
        <v>819.70100000000002</v>
      </c>
      <c r="AX48" s="255">
        <f>MODEL!CX369/1000</f>
        <v>819.70100000000002</v>
      </c>
      <c r="AY48" s="256"/>
      <c r="AZ48" s="256">
        <f>MODEL!CZ369/1000</f>
        <v>825.71199999999999</v>
      </c>
      <c r="BA48" s="256">
        <f>MODEL!DA369/1000</f>
        <v>833.72500000000002</v>
      </c>
      <c r="BB48" s="255">
        <f>MODEL!DB369/1000</f>
        <v>833.72500000000002</v>
      </c>
      <c r="BC48" s="256"/>
      <c r="BD48" s="256">
        <f>MODEL!DD369/1000</f>
        <v>856.77200000000005</v>
      </c>
      <c r="BE48" s="256">
        <f>MODEL!DE369/1000</f>
        <v>889.31700000000001</v>
      </c>
      <c r="BF48" s="1452">
        <f>MODEL!DF369/1000</f>
        <v>889.31700000000001</v>
      </c>
      <c r="BG48" s="256"/>
      <c r="BH48" s="256">
        <f>MODEL!DH369/1000</f>
        <v>930.12599999999998</v>
      </c>
      <c r="BI48" s="1467">
        <f>MODEL!DI369/1000</f>
        <v>951.9577195641026</v>
      </c>
      <c r="BJ48" s="1467">
        <f>MODEL!DJ369/1000</f>
        <v>951.9577195641026</v>
      </c>
      <c r="BK48" s="256"/>
      <c r="BL48" s="256">
        <f>MODEL!DL369/1000</f>
        <v>975.36026834320523</v>
      </c>
      <c r="BM48" s="256">
        <f>MODEL!DM369/1000</f>
        <v>999.54977875658517</v>
      </c>
      <c r="BN48" s="257">
        <f>MODEL!DN369/1000</f>
        <v>999.54977875658517</v>
      </c>
      <c r="BO48" s="256"/>
      <c r="BP48" s="256">
        <f>MODEL!DP369/1000</f>
        <v>1024.0320355099161</v>
      </c>
      <c r="BQ48" s="256">
        <f>MODEL!DQ369/1000</f>
        <v>1049.5096596863409</v>
      </c>
      <c r="BR48" s="257">
        <f>MODEL!DR369/1000</f>
        <v>1049.5096596863409</v>
      </c>
      <c r="BS48" s="48"/>
      <c r="BT48" s="258" t="s">
        <v>98</v>
      </c>
      <c r="BU48" s="240"/>
      <c r="BV48" s="240"/>
      <c r="BW48" s="240">
        <f>MODEL!BI1159*100</f>
        <v>10.253434520807636</v>
      </c>
      <c r="BX48" s="240">
        <f>MODEL!BJ1159*100</f>
        <v>10.253434520807636</v>
      </c>
      <c r="BY48" s="240"/>
      <c r="BZ48" s="240">
        <f>MODEL!BL1159*100</f>
        <v>10.550064782149452</v>
      </c>
      <c r="CA48" s="240">
        <f>MODEL!BM1159*100</f>
        <v>11.136017055801489</v>
      </c>
      <c r="CB48" s="240">
        <f>MODEL!BN1159*100</f>
        <v>11.136017055801489</v>
      </c>
      <c r="CC48" s="240"/>
      <c r="CD48" s="240">
        <f>MODEL!BP1159*100</f>
        <v>11.612585257528721</v>
      </c>
      <c r="CE48" s="240">
        <f>MODEL!BQ1159*100</f>
        <v>11.159386094092824</v>
      </c>
      <c r="CF48" s="240">
        <f>MODEL!BR1159*100</f>
        <v>11.159386094092824</v>
      </c>
      <c r="CG48" s="240">
        <f>MODEL!BS1159*100</f>
        <v>0</v>
      </c>
      <c r="CH48" s="240">
        <f>MODEL!BT1159*100</f>
        <v>12.217123123704358</v>
      </c>
      <c r="CI48" s="240">
        <f>MODEL!BU1159*100</f>
        <v>12.302270014974649</v>
      </c>
      <c r="CJ48" s="240">
        <f>MODEL!BV1159*100</f>
        <v>12.302270014974649</v>
      </c>
      <c r="CK48" s="240"/>
      <c r="CL48" s="240">
        <f>MODEL!BX1159*100</f>
        <v>11.505197247990177</v>
      </c>
      <c r="CM48" s="240">
        <f>MODEL!BY1159*100</f>
        <v>12.054097464209965</v>
      </c>
      <c r="CN48" s="240">
        <f>MODEL!BZ1159*100</f>
        <v>12.054097464209965</v>
      </c>
      <c r="CO48" s="240"/>
      <c r="CP48" s="240">
        <f>MODEL!CB1159*100</f>
        <v>12.354934714950684</v>
      </c>
      <c r="CQ48" s="240">
        <f>MODEL!CC1159*100</f>
        <v>12.290345651661971</v>
      </c>
      <c r="CR48" s="240">
        <f>MODEL!CD1159*100</f>
        <v>12.290345651661971</v>
      </c>
      <c r="CS48" s="240"/>
      <c r="CT48" s="240">
        <f>MODEL!CF1159*100</f>
        <v>12.921212012292651</v>
      </c>
      <c r="CU48" s="240">
        <f>MODEL!CG1159*100</f>
        <v>12.667803393394323</v>
      </c>
      <c r="CV48" s="240">
        <f>MODEL!CH1159*100</f>
        <v>12.667803393394323</v>
      </c>
      <c r="CW48" s="240"/>
      <c r="CX48" s="240">
        <f>MODEL!CJ1159*100</f>
        <v>14.074905266345173</v>
      </c>
      <c r="CY48" s="240">
        <f>MODEL!CK1159*100</f>
        <v>13.933900138037753</v>
      </c>
      <c r="CZ48" s="240">
        <f>MODEL!CL1159*100</f>
        <v>13.933900138037753</v>
      </c>
      <c r="DA48" s="240"/>
      <c r="DB48" s="240">
        <f>MODEL!CN1159*100</f>
        <v>14.968607809248352</v>
      </c>
      <c r="DC48" s="240">
        <f>MODEL!CO1159*100</f>
        <v>15.719357415461079</v>
      </c>
      <c r="DD48" s="240">
        <f>MODEL!CP1159*100</f>
        <v>15.719357415461079</v>
      </c>
      <c r="DE48" s="240"/>
      <c r="DF48" s="240">
        <f>MODEL!CR1159*100</f>
        <v>13.99093503868183</v>
      </c>
      <c r="DG48" s="240">
        <f>MODEL!CS1159*100</f>
        <v>13.568806086460516</v>
      </c>
      <c r="DH48" s="240">
        <f>MODEL!CT1159*100</f>
        <v>13.568806086460516</v>
      </c>
      <c r="DI48" s="240"/>
      <c r="DJ48" s="240">
        <f>MODEL!CV1159*100</f>
        <v>13.256671557159287</v>
      </c>
      <c r="DK48" s="240">
        <f>MODEL!CW1159*100</f>
        <v>14.481230448383734</v>
      </c>
      <c r="DL48" s="259">
        <f>MODEL!CX1159*100</f>
        <v>14.481230448383734</v>
      </c>
      <c r="DM48" s="240"/>
      <c r="DN48" s="240">
        <f>MODEL!CZ1159*100</f>
        <v>14.68648359517216</v>
      </c>
      <c r="DO48" s="240">
        <f>MODEL!DA1159*100</f>
        <v>14.322073955568484</v>
      </c>
      <c r="DP48" s="259">
        <f>MODEL!DB1159*100</f>
        <v>14.322073955568484</v>
      </c>
      <c r="DQ48" s="240"/>
      <c r="DR48" s="240">
        <f>MODEL!DD1159*100</f>
        <v>14.126737000097437</v>
      </c>
      <c r="DS48" s="240">
        <f>MODEL!DE1159*100</f>
        <v>13.881828900825363</v>
      </c>
      <c r="DT48" s="1422">
        <f>MODEL!DF1159*100</f>
        <v>13.881828900825363</v>
      </c>
      <c r="DU48" s="240"/>
      <c r="DV48" s="240">
        <f>MODEL!DH1159*100</f>
        <v>13.81904177633532</v>
      </c>
      <c r="DW48" s="240">
        <f ca="1">MODEL!DI1159*100</f>
        <v>13.653001290708838</v>
      </c>
      <c r="DX48" s="240">
        <f ca="1">MODEL!DJ1159*100</f>
        <v>13.653001290708838</v>
      </c>
      <c r="DY48" s="240"/>
      <c r="DZ48" s="240">
        <f ca="1">MODEL!DL1159*100</f>
        <v>13.467988570278397</v>
      </c>
      <c r="EA48" s="240">
        <f ca="1">MODEL!DM1159*100</f>
        <v>13.275408354832956</v>
      </c>
      <c r="EB48" s="240">
        <f ca="1">MODEL!DN1159*100</f>
        <v>13.275408354832956</v>
      </c>
      <c r="EC48" s="240"/>
      <c r="ED48" s="240">
        <f ca="1">MODEL!DP1159*100</f>
        <v>13.143031288337696</v>
      </c>
      <c r="EE48" s="240">
        <f ca="1">MODEL!DQ1159*100</f>
        <v>13.057210459615471</v>
      </c>
      <c r="EF48" s="240">
        <f ca="1">MODEL!DR1159*100</f>
        <v>13.057210459615471</v>
      </c>
      <c r="EG48" s="240"/>
      <c r="EI48" s="214"/>
      <c r="EJ48" s="260"/>
      <c r="EU48" s="4"/>
      <c r="EV48" s="4"/>
    </row>
    <row r="49" spans="3:152" x14ac:dyDescent="0.2">
      <c r="C49" s="245" t="s">
        <v>99</v>
      </c>
      <c r="D49" s="242">
        <v>534.17700000000002</v>
      </c>
      <c r="E49" s="242">
        <v>544.48749999999995</v>
      </c>
      <c r="F49" s="242">
        <v>539.30174999999997</v>
      </c>
      <c r="G49" s="250"/>
      <c r="H49" s="242">
        <f>MODEL!BH519/1000</f>
        <v>554.37199999999996</v>
      </c>
      <c r="I49" s="242">
        <f>MODEL!BI519/1000</f>
        <v>561.76900000000001</v>
      </c>
      <c r="J49" s="242">
        <f>MODEL!BJ519/1000</f>
        <v>557.9</v>
      </c>
      <c r="K49" s="242">
        <f>MODEL!BK519/1000</f>
        <v>0</v>
      </c>
      <c r="L49" s="242">
        <f>MODEL!BL519/1000</f>
        <v>581.17999999999995</v>
      </c>
      <c r="M49" s="242">
        <f>MODEL!BM519/1000</f>
        <v>601.15599999999995</v>
      </c>
      <c r="N49" s="242">
        <f>MODEL!BN519/1000</f>
        <v>591.45299999999997</v>
      </c>
      <c r="O49" s="242">
        <f>MODEL!BO519/1000</f>
        <v>0</v>
      </c>
      <c r="P49" s="242">
        <f>MODEL!BP519/1000</f>
        <v>616.36350000000004</v>
      </c>
      <c r="Q49" s="242">
        <f>MODEL!BQ519/1000</f>
        <v>637.98599999999999</v>
      </c>
      <c r="R49" s="242">
        <f>MODEL!BR519/1000</f>
        <v>627.80949999999996</v>
      </c>
      <c r="S49" s="242">
        <f>MODEL!BS519/1000</f>
        <v>0</v>
      </c>
      <c r="T49" s="242">
        <f>MODEL!BT519/1000</f>
        <v>637.77</v>
      </c>
      <c r="U49" s="242">
        <f>MODEL!BU519/1000</f>
        <v>655.14949999999999</v>
      </c>
      <c r="V49" s="242">
        <f>MODEL!BV519/1000</f>
        <v>646.48350000000005</v>
      </c>
      <c r="W49" s="242"/>
      <c r="X49" s="242">
        <f>MODEL!BX519/1000</f>
        <v>675.82249999999999</v>
      </c>
      <c r="Y49" s="242">
        <f>MODEL!BY519/1000</f>
        <v>686.96849999999995</v>
      </c>
      <c r="Z49" s="242">
        <f>MODEL!BZ519/1000</f>
        <v>681.101</v>
      </c>
      <c r="AA49" s="242"/>
      <c r="AB49" s="242">
        <f>MODEL!CB519/1000</f>
        <v>697.90049999999997</v>
      </c>
      <c r="AC49" s="242">
        <f>MODEL!CC519/1000</f>
        <v>702.59749999999997</v>
      </c>
      <c r="AD49" s="242">
        <f>MODEL!CD519/1000</f>
        <v>700.33</v>
      </c>
      <c r="AE49" s="242"/>
      <c r="AF49" s="242">
        <f>MODEL!CF519/1000</f>
        <v>707.19100000000003</v>
      </c>
      <c r="AG49" s="242">
        <f>MODEL!CG519/1000</f>
        <v>712.16150000000005</v>
      </c>
      <c r="AH49" s="243">
        <f>MODEL!CH519/1000</f>
        <v>709.72349999999994</v>
      </c>
      <c r="AI49" s="242"/>
      <c r="AJ49" s="242">
        <f>MODEL!CJ519/1000</f>
        <v>717.27599999999995</v>
      </c>
      <c r="AK49" s="242">
        <f>MODEL!CK519/1000</f>
        <v>728.80899999999997</v>
      </c>
      <c r="AL49" s="243">
        <f>MODEL!CL519/1000</f>
        <v>723.01099999999997</v>
      </c>
      <c r="AM49" s="242"/>
      <c r="AN49" s="242">
        <f>MODEL!CN519/1000</f>
        <v>728.46500000000003</v>
      </c>
      <c r="AO49" s="242">
        <f>MODEL!CO519/1000</f>
        <v>742.30499999999995</v>
      </c>
      <c r="AP49" s="243">
        <f>MODEL!CP519/1000</f>
        <v>735.32799999999997</v>
      </c>
      <c r="AQ49" s="242"/>
      <c r="AR49" s="242">
        <f>MODEL!CR519/1000</f>
        <v>772.00400000000002</v>
      </c>
      <c r="AS49" s="242">
        <f>MODEL!CS519/1000</f>
        <v>797.28599999999994</v>
      </c>
      <c r="AT49" s="243">
        <f>MODEL!CT519/1000</f>
        <v>784.54200000000003</v>
      </c>
      <c r="AU49" s="242"/>
      <c r="AV49" s="242">
        <f>MODEL!CV519/1000</f>
        <v>825.88</v>
      </c>
      <c r="AW49" s="242">
        <f>MODEL!CW519/1000</f>
        <v>847.5</v>
      </c>
      <c r="AX49" s="243">
        <f>MODEL!CX519/1000</f>
        <v>836.601</v>
      </c>
      <c r="AY49" s="242"/>
      <c r="AZ49" s="242">
        <f>MODEL!CZ519/1000</f>
        <v>850.24900000000002</v>
      </c>
      <c r="BA49" s="242">
        <f>MODEL!DA519/1000</f>
        <v>855.23400000000004</v>
      </c>
      <c r="BB49" s="243">
        <f>MODEL!DB519/1000</f>
        <v>852.72799999999995</v>
      </c>
      <c r="BC49" s="242"/>
      <c r="BD49" s="242">
        <f>MODEL!DD519/1000</f>
        <v>871.58900000000006</v>
      </c>
      <c r="BE49" s="242">
        <f>MODEL!DE519/1000</f>
        <v>901.39800000000002</v>
      </c>
      <c r="BF49" s="1451">
        <f>MODEL!DF519/1000</f>
        <v>886.37099999999998</v>
      </c>
      <c r="BG49" s="242"/>
      <c r="BH49" s="242">
        <f>MODEL!DH519/1000</f>
        <v>932.34299999999996</v>
      </c>
      <c r="BI49" s="242">
        <f>MODEL!DI519/1000</f>
        <v>963.80550745847847</v>
      </c>
      <c r="BJ49" s="242">
        <f>MODEL!DJ519/1000</f>
        <v>948.07425372923922</v>
      </c>
      <c r="BK49" s="242"/>
      <c r="BL49" s="242">
        <f>MODEL!DL519/1000</f>
        <v>994.69874495509509</v>
      </c>
      <c r="BM49" s="242">
        <f>MODEL!DM519/1000</f>
        <v>1024.7734648116866</v>
      </c>
      <c r="BN49" s="244">
        <f>MODEL!DN519/1000</f>
        <v>1009.7361048833908</v>
      </c>
      <c r="BO49" s="242"/>
      <c r="BP49" s="242">
        <f>MODEL!DP519/1000</f>
        <v>1052.6384531518827</v>
      </c>
      <c r="BQ49" s="242">
        <f>MODEL!DQ519/1000</f>
        <v>1078.1815716284727</v>
      </c>
      <c r="BR49" s="244">
        <f>MODEL!DR519/1000</f>
        <v>1065.4100123901776</v>
      </c>
      <c r="BS49" s="48"/>
      <c r="BT49" s="258" t="s">
        <v>100</v>
      </c>
      <c r="BU49" s="261"/>
      <c r="BV49" s="261"/>
      <c r="BW49" s="261">
        <f>I47/I43*100</f>
        <v>5.8447424378894146</v>
      </c>
      <c r="BX49" s="261">
        <f>J47/J43*100</f>
        <v>5.8447424378894146</v>
      </c>
      <c r="BY49" s="261"/>
      <c r="BZ49" s="261">
        <f>L47/L43*100</f>
        <v>5.8241009534693164</v>
      </c>
      <c r="CA49" s="261">
        <f>M47/M43*100</f>
        <v>6.048637249810791</v>
      </c>
      <c r="CB49" s="261">
        <f>N47/N43*100</f>
        <v>6.048637249810791</v>
      </c>
      <c r="CC49" s="261"/>
      <c r="CD49" s="261">
        <f t="shared" ref="CD49:CJ49" si="32">P47/P43*100</f>
        <v>5.8228734921489478</v>
      </c>
      <c r="CE49" s="261">
        <f t="shared" si="32"/>
        <v>5.8952699995191455</v>
      </c>
      <c r="CF49" s="261">
        <f t="shared" si="32"/>
        <v>5.8952699995191455</v>
      </c>
      <c r="CG49" s="261" t="e">
        <f t="shared" si="32"/>
        <v>#DIV/0!</v>
      </c>
      <c r="CH49" s="261">
        <f t="shared" si="32"/>
        <v>6.4414362040805031</v>
      </c>
      <c r="CI49" s="261">
        <f t="shared" si="32"/>
        <v>6.4318309937647227</v>
      </c>
      <c r="CJ49" s="261">
        <f t="shared" si="32"/>
        <v>6.4318309937647227</v>
      </c>
      <c r="CK49" s="261"/>
      <c r="CL49" s="261">
        <f>X47/X43*100</f>
        <v>6.2989946102712562</v>
      </c>
      <c r="CM49" s="261">
        <f>Y47/Y43*100</f>
        <v>6.4644921019585828</v>
      </c>
      <c r="CN49" s="261">
        <f>Z47/Z43*100</f>
        <v>6.4644921019585828</v>
      </c>
      <c r="CO49" s="261"/>
      <c r="CP49" s="261">
        <f>AB47/AB43*100</f>
        <v>6.8130737163826893</v>
      </c>
      <c r="CQ49" s="261">
        <f>AC47/AC43*100</f>
        <v>6.9020114544718068</v>
      </c>
      <c r="CR49" s="261">
        <f>AD47/AD43*100</f>
        <v>6.9020114544718068</v>
      </c>
      <c r="CS49" s="261"/>
      <c r="CT49" s="261">
        <f>AF47/AF43*100</f>
        <v>6.9382821823077645</v>
      </c>
      <c r="CU49" s="261">
        <f>AG47/AG43*100</f>
        <v>7.1268671236720458</v>
      </c>
      <c r="CV49" s="261">
        <f>AH47/AH43*100</f>
        <v>7.1268671236720458</v>
      </c>
      <c r="CW49" s="261"/>
      <c r="CX49" s="261">
        <f>AJ47/AJ43*100</f>
        <v>7.2562834994101255</v>
      </c>
      <c r="CY49" s="261">
        <f>AK47/AK43*100</f>
        <v>7.0837079542399541</v>
      </c>
      <c r="CZ49" s="261">
        <f>AL47/AL43*100</f>
        <v>7.0837079542399541</v>
      </c>
      <c r="DA49" s="261"/>
      <c r="DB49" s="261">
        <f>AN47/AN43*100</f>
        <v>7.0726572383451982</v>
      </c>
      <c r="DC49" s="261">
        <f>AO47/AO43*100</f>
        <v>7.2084010249440915</v>
      </c>
      <c r="DD49" s="261">
        <f>AP47/AP43*100</f>
        <v>7.2084010249440915</v>
      </c>
      <c r="DE49" s="261"/>
      <c r="DF49" s="261">
        <f>AR47/AR43*100</f>
        <v>6.4930558273388801</v>
      </c>
      <c r="DG49" s="261">
        <f>AS47/AS43*100</f>
        <v>5.9932031005710718</v>
      </c>
      <c r="DH49" s="261">
        <f>AT47/AT43*100</f>
        <v>5.9932031005710718</v>
      </c>
      <c r="DI49" s="261"/>
      <c r="DJ49" s="261" t="e">
        <f>BT48/BT44*100</f>
        <v>#VALUE!</v>
      </c>
      <c r="DK49" s="261" t="e">
        <f>BU48/BU44*100</f>
        <v>#DIV/0!</v>
      </c>
      <c r="DL49" s="262">
        <f>AX47/AX43*100</f>
        <v>5.7191539919020968</v>
      </c>
      <c r="DM49" s="261"/>
      <c r="DN49" s="261">
        <f>BX48/BX44*100</f>
        <v>152.58087084535171</v>
      </c>
      <c r="DO49" s="261" t="e">
        <f>BY48/BY44*100</f>
        <v>#DIV/0!</v>
      </c>
      <c r="DP49" s="262">
        <f>BB47/BB43*100</f>
        <v>5.8280359404055249</v>
      </c>
      <c r="DQ49" s="261"/>
      <c r="DR49" s="261">
        <f>CB48/CB44*100</f>
        <v>179.72913259847465</v>
      </c>
      <c r="DS49" s="261" t="e">
        <f>CC48/CC44*100</f>
        <v>#DIV/0!</v>
      </c>
      <c r="DT49" s="1423">
        <f>BF47/BF43*100</f>
        <v>5.8188844872835626</v>
      </c>
      <c r="DU49" s="261"/>
      <c r="DV49" s="261">
        <f>CF48/CF44*100</f>
        <v>144.01066065418539</v>
      </c>
      <c r="DW49" s="261" t="e">
        <f>CG48/CG44*100</f>
        <v>#DIV/0!</v>
      </c>
      <c r="DX49" s="261">
        <f ca="1">BJ47/BJ43*100</f>
        <v>5.4135544597851393</v>
      </c>
      <c r="DY49" s="261"/>
      <c r="DZ49" s="261">
        <f>CJ48/CJ44*100</f>
        <v>178.55254013025618</v>
      </c>
      <c r="EA49" s="261" t="e">
        <f>CK48/CK44*100</f>
        <v>#DIV/0!</v>
      </c>
      <c r="EB49" s="261">
        <f ca="1">BN47/BN43*100</f>
        <v>5.279533693989082</v>
      </c>
      <c r="EC49" s="261"/>
      <c r="ED49" s="261">
        <f>CN48/CN44*100</f>
        <v>141.39703770334268</v>
      </c>
      <c r="EE49" s="261" t="e">
        <f>CO48/CO44*100</f>
        <v>#DIV/0!</v>
      </c>
      <c r="EF49" s="261">
        <f ca="1">BR47/BR43*100</f>
        <v>5.2014858765276424</v>
      </c>
      <c r="EG49" s="240"/>
      <c r="EU49" s="4"/>
      <c r="EV49" s="4"/>
    </row>
    <row r="50" spans="3:152" x14ac:dyDescent="0.2">
      <c r="C50" s="58" t="s">
        <v>101</v>
      </c>
      <c r="D50" s="242">
        <v>622.89800000000002</v>
      </c>
      <c r="E50" s="242">
        <v>636.54700000000003</v>
      </c>
      <c r="F50" s="242">
        <v>629.68499999999995</v>
      </c>
      <c r="G50" s="250"/>
      <c r="H50" s="242">
        <f>MODEL!BH488/1000</f>
        <v>649.39400000000001</v>
      </c>
      <c r="I50" s="242">
        <f>MODEL!BI488/1000</f>
        <v>657.95100000000002</v>
      </c>
      <c r="J50" s="242">
        <f>MODEL!BJ488/1000</f>
        <v>653.63699999999994</v>
      </c>
      <c r="K50" s="242"/>
      <c r="L50" s="242">
        <f>MODEL!BL488/1000</f>
        <v>690.10599999999999</v>
      </c>
      <c r="M50" s="242">
        <f>MODEL!BM488/1000</f>
        <v>720.88900000000001</v>
      </c>
      <c r="N50" s="242">
        <f>MODEL!BN488/1000</f>
        <v>705.37099999999998</v>
      </c>
      <c r="O50" s="242"/>
      <c r="P50" s="242">
        <f>MODEL!BP488/1000</f>
        <v>739.27200000000005</v>
      </c>
      <c r="Q50" s="242">
        <f>MODEL!BQ488/1000</f>
        <v>772.74699999999996</v>
      </c>
      <c r="R50" s="242">
        <f>MODEL!BR488/1000</f>
        <v>755.91449999999998</v>
      </c>
      <c r="S50" s="242"/>
      <c r="T50" s="242">
        <f>MODEL!BT488/1000</f>
        <v>780.92100000000005</v>
      </c>
      <c r="U50" s="242">
        <f>MODEL!BU488/1000</f>
        <v>800.37900000000002</v>
      </c>
      <c r="V50" s="242">
        <f>MODEL!BV488/1000</f>
        <v>790.65</v>
      </c>
      <c r="W50" s="242"/>
      <c r="X50" s="242">
        <f>MODEL!BX488/1000</f>
        <v>823.05799999999999</v>
      </c>
      <c r="Y50" s="242">
        <f>MODEL!BY488/1000</f>
        <v>846.61900000000003</v>
      </c>
      <c r="Z50" s="242">
        <f>MODEL!BZ488/1000</f>
        <v>834.74099999999999</v>
      </c>
      <c r="AA50" s="242"/>
      <c r="AB50" s="242">
        <f>MODEL!CB488/1000</f>
        <v>851.52200000000005</v>
      </c>
      <c r="AC50" s="242">
        <f>MODEL!CC488/1000</f>
        <v>857.05</v>
      </c>
      <c r="AD50" s="242">
        <f>MODEL!CD488/1000</f>
        <v>854.26400000000001</v>
      </c>
      <c r="AE50" s="242"/>
      <c r="AF50" s="242">
        <f>MODEL!CF488/1000</f>
        <v>863.66399999999999</v>
      </c>
      <c r="AG50" s="242">
        <f>MODEL!CG488/1000</f>
        <v>870.91200000000003</v>
      </c>
      <c r="AH50" s="243">
        <f>MODEL!CH488/1000</f>
        <v>871.41800000000001</v>
      </c>
      <c r="AI50" s="242"/>
      <c r="AJ50" s="242">
        <f>MODEL!CJ488/1000</f>
        <v>881.85</v>
      </c>
      <c r="AK50" s="242">
        <f>MODEL!CK488/1000</f>
        <v>913.13900000000001</v>
      </c>
      <c r="AL50" s="243">
        <f>MODEL!CL488/1000</f>
        <v>897.40899999999999</v>
      </c>
      <c r="AM50" s="242"/>
      <c r="AN50" s="242">
        <f>MODEL!CN488/1000</f>
        <v>922.92399999999998</v>
      </c>
      <c r="AO50" s="242">
        <f>MODEL!CO488/1000</f>
        <v>936.88300000000004</v>
      </c>
      <c r="AP50" s="243">
        <f>MODEL!CP488/1000</f>
        <v>929.846</v>
      </c>
      <c r="AQ50" s="242"/>
      <c r="AR50" s="242">
        <f>MODEL!CR488/1000</f>
        <v>1008.07</v>
      </c>
      <c r="AS50" s="242">
        <f>MODEL!CS488/1000</f>
        <v>1046.0619999999999</v>
      </c>
      <c r="AT50" s="243">
        <f>MODEL!CT488/1000</f>
        <v>1026.9100000000001</v>
      </c>
      <c r="AU50" s="242"/>
      <c r="AV50" s="242">
        <f>MODEL!CV488/1000</f>
        <v>1100.027</v>
      </c>
      <c r="AW50" s="242">
        <f>MODEL!CW488/1000</f>
        <v>1122.6669999999999</v>
      </c>
      <c r="AX50" s="243">
        <f>MODEL!CX488/1000</f>
        <v>1111.2539999999999</v>
      </c>
      <c r="AY50" s="242"/>
      <c r="AZ50" s="242">
        <f>MODEL!CZ488/1000</f>
        <v>1140.693</v>
      </c>
      <c r="BA50" s="242">
        <f>MODEL!DA488/1000</f>
        <v>1148.0619999999999</v>
      </c>
      <c r="BB50" s="243">
        <f>MODEL!DB488/1000</f>
        <v>1144.357</v>
      </c>
      <c r="BC50" s="242"/>
      <c r="BD50" s="242">
        <f>MODEL!DD488/1000</f>
        <v>1135.8589999999999</v>
      </c>
      <c r="BE50" s="242">
        <f>MODEL!DE488/1000</f>
        <v>1171.8040000000001</v>
      </c>
      <c r="BF50" s="1451">
        <f>MODEL!DF488/1000</f>
        <v>1153.684</v>
      </c>
      <c r="BG50" s="242"/>
      <c r="BH50" s="242">
        <f>MODEL!DH488/1000</f>
        <v>1232.326</v>
      </c>
      <c r="BI50" s="242">
        <f>MODEL!DI488/1000</f>
        <v>1273.9116245676505</v>
      </c>
      <c r="BJ50" s="242">
        <f>MODEL!DJ488/1000</f>
        <v>1253.118812283825</v>
      </c>
      <c r="BK50" s="242"/>
      <c r="BL50" s="242">
        <f>MODEL!DL488/1000</f>
        <v>1314.7448155620116</v>
      </c>
      <c r="BM50" s="242">
        <f>MODEL!DM488/1000</f>
        <v>1354.4961294261086</v>
      </c>
      <c r="BN50" s="244">
        <f>MODEL!DN488/1000</f>
        <v>1334.6204724940601</v>
      </c>
      <c r="BO50" s="242"/>
      <c r="BP50" s="242">
        <f>MODEL!DP488/1000</f>
        <v>1391.3267267720644</v>
      </c>
      <c r="BQ50" s="242">
        <f>MODEL!DQ488/1000</f>
        <v>1425.0883885422311</v>
      </c>
      <c r="BR50" s="244">
        <f>MODEL!DR488/1000</f>
        <v>1408.2075576571478</v>
      </c>
      <c r="BS50" s="48"/>
      <c r="BT50" s="2" t="s">
        <v>102</v>
      </c>
      <c r="CJ50" s="261">
        <f>(MODEL!BV1078+MODEL!BV953)/1000</f>
        <v>1.1382820809800001</v>
      </c>
      <c r="CK50" s="261"/>
      <c r="CL50" s="261"/>
      <c r="CM50" s="261"/>
      <c r="CN50" s="261">
        <f>(MODEL!BZ1078+MODEL!BZ953)/1000</f>
        <v>2.1297422940100001</v>
      </c>
      <c r="CO50" s="261"/>
      <c r="CP50" s="261"/>
      <c r="CQ50" s="261"/>
      <c r="CR50" s="261">
        <f>(MODEL!CD952+MODEL!CD953)/1000</f>
        <v>2.1060963510900002</v>
      </c>
      <c r="CS50" s="261"/>
      <c r="CT50" s="261"/>
      <c r="CU50" s="261"/>
      <c r="CV50" s="261">
        <f>(MODEL!CH952+MODEL!CH953)/1000</f>
        <v>0.7493200000000001</v>
      </c>
      <c r="CW50" s="261"/>
      <c r="CX50" s="261"/>
      <c r="CY50" s="261"/>
      <c r="CZ50" s="261">
        <f>(MODEL!CL952+MODEL!CL953)/1000</f>
        <v>-2.0334961499997918E-3</v>
      </c>
      <c r="DA50" s="261">
        <f>(MODEL!CM952+MODEL!CM953)/1000</f>
        <v>0</v>
      </c>
      <c r="DB50" s="261">
        <f>(MODEL!CN952+MODEL!CN953)/1000</f>
        <v>0.26431356259</v>
      </c>
      <c r="DC50" s="261">
        <f>(MODEL!CO952+MODEL!CO953)/1000</f>
        <v>0</v>
      </c>
      <c r="DD50" s="261">
        <f>(MODEL!CP952+MODEL!CP953)/1000</f>
        <v>0.26431356259000005</v>
      </c>
      <c r="DE50" s="261">
        <f>(MODEL!CQ952+MODEL!CQ953)/1000</f>
        <v>0</v>
      </c>
      <c r="DF50" s="261">
        <f>(MODEL!CR952+MODEL!CR953)/1000</f>
        <v>0</v>
      </c>
      <c r="DG50" s="261">
        <f>(MODEL!CS952+MODEL!CS953)/1000</f>
        <v>0</v>
      </c>
      <c r="DH50" s="261">
        <f>(MODEL!CT952+MODEL!CT953)/1000</f>
        <v>0</v>
      </c>
      <c r="DI50" s="261">
        <f>(MODEL!CU952+MODEL!CU953)/1000</f>
        <v>0</v>
      </c>
      <c r="DJ50" s="261">
        <f>(MODEL!CV952+MODEL!CV953)/1000</f>
        <v>0</v>
      </c>
      <c r="DK50" s="261">
        <f>(MODEL!CW952+MODEL!CW953)/1000</f>
        <v>0</v>
      </c>
      <c r="DL50" s="262">
        <f>(MODEL!CX952+MODEL!CX953)/1000</f>
        <v>0</v>
      </c>
      <c r="DM50" s="261"/>
      <c r="DN50" s="261">
        <f>(MODEL!CZ952+MODEL!CZ953)/1000</f>
        <v>0</v>
      </c>
      <c r="DO50" s="261">
        <f>(MODEL!DA952+MODEL!DA953)/1000</f>
        <v>0</v>
      </c>
      <c r="DP50" s="262">
        <f>(MODEL!DB952+MODEL!DB953)/1000</f>
        <v>0</v>
      </c>
      <c r="DQ50" s="261"/>
      <c r="DR50" s="261">
        <f>(MODEL!DD952+MODEL!DD953)/1000</f>
        <v>0</v>
      </c>
      <c r="DS50" s="261">
        <f>(MODEL!DE952+MODEL!DE953)/1000</f>
        <v>0</v>
      </c>
      <c r="DT50" s="1423">
        <f>(MODEL!DF952+MODEL!DF953)/1000</f>
        <v>0</v>
      </c>
      <c r="DU50" s="261"/>
      <c r="DV50" s="261">
        <f>(MODEL!DH952+MODEL!DH953)/1000</f>
        <v>0</v>
      </c>
      <c r="DW50" s="261">
        <f>(MODEL!DI952+MODEL!DI953)/1000</f>
        <v>0</v>
      </c>
      <c r="DX50" s="261">
        <f>(MODEL!DJ952+MODEL!DJ953)/1000</f>
        <v>0</v>
      </c>
      <c r="DY50" s="261"/>
      <c r="DZ50" s="261">
        <f>(MODEL!DL952+MODEL!DL953)/1000</f>
        <v>0</v>
      </c>
      <c r="EA50" s="261">
        <f>(MODEL!DM952+MODEL!DM953)/1000</f>
        <v>0</v>
      </c>
      <c r="EB50" s="261">
        <f>(MODEL!DN952+MODEL!DN953)/1000</f>
        <v>0</v>
      </c>
      <c r="EC50" s="261"/>
      <c r="ED50" s="261">
        <f>(MODEL!DP952+MODEL!DP953)/1000</f>
        <v>0</v>
      </c>
      <c r="EE50" s="261">
        <f>(MODEL!DQ952+MODEL!DQ953)/1000</f>
        <v>0</v>
      </c>
      <c r="EF50" s="261">
        <f>(MODEL!DR952+MODEL!DR953)/1000</f>
        <v>0</v>
      </c>
      <c r="EG50" s="240"/>
      <c r="EI50" s="263"/>
      <c r="EU50" s="4"/>
      <c r="EV50" s="4"/>
    </row>
    <row r="51" spans="3:152" x14ac:dyDescent="0.2">
      <c r="C51" s="249" t="s">
        <v>103</v>
      </c>
      <c r="D51" s="242">
        <v>699.51</v>
      </c>
      <c r="E51" s="242">
        <v>714.06100000000004</v>
      </c>
      <c r="F51" s="242">
        <v>706.74599999999998</v>
      </c>
      <c r="G51" s="250"/>
      <c r="H51" s="242">
        <f>MODEL!BH490/1000</f>
        <v>721.36599999999999</v>
      </c>
      <c r="I51" s="242">
        <f>MODEL!BI490/1000</f>
        <v>735.02800000000002</v>
      </c>
      <c r="J51" s="242">
        <f>MODEL!BJ490/1000</f>
        <v>728.14</v>
      </c>
      <c r="K51" s="242"/>
      <c r="L51" s="242">
        <f>MODEL!BL490/1000</f>
        <v>764.62199999999996</v>
      </c>
      <c r="M51" s="242">
        <f>MODEL!BM490/1000</f>
        <v>796.93200000000002</v>
      </c>
      <c r="N51" s="242">
        <f>MODEL!BN490/1000</f>
        <v>780.64400000000001</v>
      </c>
      <c r="O51" s="242"/>
      <c r="P51" s="242">
        <f>MODEL!BP490/1000</f>
        <v>816.25800000000004</v>
      </c>
      <c r="Q51" s="242">
        <f>MODEL!BQ490/1000</f>
        <v>870.952</v>
      </c>
      <c r="R51" s="242">
        <f>MODEL!BR490/1000</f>
        <v>843.51</v>
      </c>
      <c r="S51" s="242"/>
      <c r="T51" s="242">
        <f>MODEL!BT490/1000</f>
        <v>909.279</v>
      </c>
      <c r="U51" s="242">
        <f>MODEL!BU490/1000</f>
        <v>923.44</v>
      </c>
      <c r="V51" s="242">
        <f>MODEL!BV490/1000</f>
        <v>916.35950000000003</v>
      </c>
      <c r="W51" s="242"/>
      <c r="X51" s="242">
        <f>MODEL!BX490/1000</f>
        <v>957.12400000000002</v>
      </c>
      <c r="Y51" s="242">
        <f>MODEL!BY490/1000</f>
        <v>987.79600000000005</v>
      </c>
      <c r="Z51" s="242">
        <f>MODEL!BZ490/1000</f>
        <v>972.33299999999997</v>
      </c>
      <c r="AA51" s="242"/>
      <c r="AB51" s="242">
        <f>MODEL!CB490/1000</f>
        <v>971.423</v>
      </c>
      <c r="AC51" s="242">
        <f>MODEL!CC490/1000</f>
        <v>981.23</v>
      </c>
      <c r="AD51" s="242">
        <f>MODEL!CD490/1000</f>
        <v>976.28700000000003</v>
      </c>
      <c r="AE51" s="242"/>
      <c r="AF51" s="242">
        <f>MODEL!CF490/1000</f>
        <v>977.81</v>
      </c>
      <c r="AG51" s="242">
        <f>MODEL!CG490/1000</f>
        <v>973.24400000000003</v>
      </c>
      <c r="AH51" s="243">
        <f>MODEL!CH490/1000</f>
        <v>975.54600000000005</v>
      </c>
      <c r="AI51" s="242"/>
      <c r="AJ51" s="242">
        <f>MODEL!CJ490/1000</f>
        <v>983.38900000000001</v>
      </c>
      <c r="AK51" s="242">
        <f>MODEL!CK490/1000</f>
        <v>1016.3440000000001</v>
      </c>
      <c r="AL51" s="243">
        <f>MODEL!CL490/1000</f>
        <v>999.77700000000004</v>
      </c>
      <c r="AM51" s="242"/>
      <c r="AN51" s="242">
        <f>MODEL!CN490/1000</f>
        <v>1031.1079999999999</v>
      </c>
      <c r="AO51" s="242">
        <f>MODEL!CO490/1000</f>
        <v>1046.8679999999999</v>
      </c>
      <c r="AP51" s="243">
        <f>MODEL!CP490/1000</f>
        <v>1040.329</v>
      </c>
      <c r="AQ51" s="242"/>
      <c r="AR51" s="242">
        <f>MODEL!CR490/1000</f>
        <v>1125.1489999999999</v>
      </c>
      <c r="AS51" s="242">
        <f>MODEL!CS490/1000</f>
        <v>1172.789</v>
      </c>
      <c r="AT51" s="243">
        <f>MODEL!CT490/1000</f>
        <v>1148.779</v>
      </c>
      <c r="AU51" s="242"/>
      <c r="AV51" s="242">
        <f>MODEL!CV490/1000</f>
        <v>1227.6510000000001</v>
      </c>
      <c r="AW51" s="242">
        <f>MODEL!CW490/1000</f>
        <v>1239.854</v>
      </c>
      <c r="AX51" s="243">
        <f>MODEL!CX490/1000</f>
        <v>1233.702</v>
      </c>
      <c r="AY51" s="242"/>
      <c r="AZ51" s="242">
        <f>MODEL!CZ490/1000</f>
        <v>1262.472</v>
      </c>
      <c r="BA51" s="242">
        <f>MODEL!DA490/1000</f>
        <v>1271.0540000000001</v>
      </c>
      <c r="BB51" s="243">
        <f>MODEL!DB490/1000</f>
        <v>1266.74</v>
      </c>
      <c r="BC51" s="242"/>
      <c r="BD51" s="242">
        <f>MODEL!DD490/1000</f>
        <v>1266.8150000000001</v>
      </c>
      <c r="BE51" s="242">
        <f>MODEL!DE490/1000</f>
        <v>1317.5540000000001</v>
      </c>
      <c r="BF51" s="1451">
        <f>MODEL!DF490/1000</f>
        <v>1291.9760000000001</v>
      </c>
      <c r="BG51" s="242"/>
      <c r="BH51" s="242">
        <f>MODEL!DH490/1000</f>
        <v>1374.143</v>
      </c>
      <c r="BI51" s="242">
        <f ca="1">MODEL!DI490/1000</f>
        <v>1425.9233973400958</v>
      </c>
      <c r="BJ51" s="242">
        <f ca="1">MODEL!DJ490/1000</f>
        <v>1400.0331986700478</v>
      </c>
      <c r="BK51" s="242"/>
      <c r="BL51" s="242">
        <f ca="1">MODEL!DL490/1000</f>
        <v>1471.6862561243504</v>
      </c>
      <c r="BM51" s="242">
        <f ca="1">MODEL!DM490/1000</f>
        <v>1516.2130643252117</v>
      </c>
      <c r="BN51" s="244">
        <f ca="1">MODEL!DN490/1000</f>
        <v>1493.9496602247812</v>
      </c>
      <c r="BO51" s="242"/>
      <c r="BP51" s="242">
        <f ca="1">MODEL!DP490/1000</f>
        <v>1557.382686494745</v>
      </c>
      <c r="BQ51" s="242">
        <f ca="1">MODEL!DQ490/1000</f>
        <v>1595.0351261147403</v>
      </c>
      <c r="BR51" s="244">
        <f ca="1">MODEL!DR490/1000</f>
        <v>1576.2089063047426</v>
      </c>
      <c r="BS51" s="48"/>
      <c r="BT51" s="3" t="s">
        <v>104</v>
      </c>
      <c r="BU51" s="3"/>
      <c r="BV51" s="3"/>
      <c r="BW51" s="3"/>
      <c r="BX51" s="3"/>
      <c r="BY51" s="3"/>
      <c r="BZ51" s="3"/>
      <c r="CA51" s="3"/>
      <c r="CB51" s="3"/>
      <c r="CC51" s="3"/>
      <c r="CD51" s="3"/>
      <c r="CE51" s="3"/>
      <c r="CF51" s="3"/>
      <c r="CG51" s="3"/>
      <c r="CH51" s="3"/>
      <c r="CI51" s="3"/>
      <c r="CJ51" s="264">
        <f>(MODEL!BV951+MODEL!BV954)/1000</f>
        <v>5.0220000000000002</v>
      </c>
      <c r="CK51" s="264"/>
      <c r="CL51" s="264"/>
      <c r="CM51" s="264"/>
      <c r="CN51" s="264">
        <f>(MODEL!BZ951+MODEL!BZ954)/1000</f>
        <v>0</v>
      </c>
      <c r="CO51" s="264"/>
      <c r="CP51" s="264"/>
      <c r="CQ51" s="264"/>
      <c r="CR51" s="264">
        <f>(MODEL!CD951+MODEL!CD954)/1000</f>
        <v>0</v>
      </c>
      <c r="CS51" s="264"/>
      <c r="CT51" s="264"/>
      <c r="CU51" s="264"/>
      <c r="CV51" s="264">
        <f>(MODEL!CH951+MODEL!CH954)/1000</f>
        <v>0</v>
      </c>
      <c r="CW51" s="264"/>
      <c r="CX51" s="264"/>
      <c r="CY51" s="264"/>
      <c r="CZ51" s="264">
        <f>(MODEL!CL951+MODEL!CL954)/1000</f>
        <v>0</v>
      </c>
      <c r="DA51" s="264"/>
      <c r="DB51" s="264"/>
      <c r="DC51" s="264"/>
      <c r="DD51" s="264">
        <f>(MODEL!CP951+MODEL!CP954)/1000</f>
        <v>0</v>
      </c>
      <c r="DE51" s="264"/>
      <c r="DF51" s="264"/>
      <c r="DG51" s="264"/>
      <c r="DH51" s="264">
        <f>(MODEL!CT951+MODEL!CT954+MODEL!CR969)/1000</f>
        <v>-6.4710000000000001</v>
      </c>
      <c r="DI51" s="264"/>
      <c r="DJ51" s="264"/>
      <c r="DK51" s="264"/>
      <c r="DL51" s="265">
        <f>(MODEL!CX951+MODEL!CX954)/1000</f>
        <v>-2.5329999999999999</v>
      </c>
      <c r="DM51" s="264"/>
      <c r="DN51" s="264"/>
      <c r="DO51" s="264"/>
      <c r="DP51" s="265">
        <f>(MODEL!DB951+MODEL!DB954)/1000</f>
        <v>-0.28199999999999997</v>
      </c>
      <c r="DQ51" s="264"/>
      <c r="DR51" s="264"/>
      <c r="DS51" s="264"/>
      <c r="DT51" s="1424">
        <f>(MODEL!DF951+MODEL!DF954)/1000</f>
        <v>-1.7999999999999999E-2</v>
      </c>
      <c r="DU51" s="264"/>
      <c r="DV51" s="264"/>
      <c r="DW51" s="264"/>
      <c r="DX51" s="264">
        <f>(MODEL!DJ951+MODEL!DJ954)/1000</f>
        <v>0</v>
      </c>
      <c r="DY51" s="264"/>
      <c r="DZ51" s="264"/>
      <c r="EA51" s="264"/>
      <c r="EB51" s="264">
        <f ca="1">(MODEL!DN951+MODEL!DN954)/1000</f>
        <v>0</v>
      </c>
      <c r="EC51" s="264"/>
      <c r="ED51" s="264"/>
      <c r="EE51" s="264"/>
      <c r="EF51" s="264">
        <f ca="1">(MODEL!DR951+MODEL!DR954)/1000</f>
        <v>0</v>
      </c>
      <c r="EG51" s="4"/>
      <c r="EH51" s="153"/>
      <c r="EI51" s="266"/>
      <c r="EU51" s="4"/>
      <c r="EV51" s="4"/>
    </row>
    <row r="52" spans="3:152" x14ac:dyDescent="0.2">
      <c r="C52" s="245" t="s">
        <v>105</v>
      </c>
      <c r="D52" s="242">
        <v>36.613</v>
      </c>
      <c r="E52" s="242">
        <v>38.961500000000001</v>
      </c>
      <c r="F52" s="242">
        <v>37.78125</v>
      </c>
      <c r="G52" s="250"/>
      <c r="H52" s="242">
        <f>MODEL!BH503/1000</f>
        <v>40.965000000000003</v>
      </c>
      <c r="I52" s="242">
        <f>MODEL!BI503/1000</f>
        <v>43.015000000000001</v>
      </c>
      <c r="J52" s="242">
        <f>MODEL!BJ503/1000</f>
        <v>41.99</v>
      </c>
      <c r="K52" s="242">
        <f>MODEL!BK503/1000</f>
        <v>0</v>
      </c>
      <c r="L52" s="242">
        <f>MODEL!BL503/1000</f>
        <v>44.811999999999998</v>
      </c>
      <c r="M52" s="242">
        <f>MODEL!BM503/1000</f>
        <v>46.869</v>
      </c>
      <c r="N52" s="242">
        <f>MODEL!BN503/1000</f>
        <v>45.831000000000003</v>
      </c>
      <c r="O52" s="242">
        <f>MODEL!BO503/1000</f>
        <v>0</v>
      </c>
      <c r="P52" s="242">
        <f>MODEL!BP503/1000</f>
        <v>48.694000000000003</v>
      </c>
      <c r="Q52" s="242">
        <f>MODEL!BQ503/1000</f>
        <v>50.511000000000003</v>
      </c>
      <c r="R52" s="242">
        <f>MODEL!BR503/1000</f>
        <v>49.625999999999998</v>
      </c>
      <c r="S52" s="242">
        <f>MODEL!BS503/1000</f>
        <v>0</v>
      </c>
      <c r="T52" s="242">
        <f>MODEL!BT503/1000</f>
        <v>54.738999999999997</v>
      </c>
      <c r="U52" s="242">
        <f>MODEL!BU503/1000</f>
        <v>58.116</v>
      </c>
      <c r="V52" s="242">
        <f>MODEL!BV503/1000</f>
        <v>56.505499999999998</v>
      </c>
      <c r="W52" s="242"/>
      <c r="X52" s="242">
        <f>MODEL!BX503/1000</f>
        <v>60.581000000000003</v>
      </c>
      <c r="Y52" s="242">
        <f>MODEL!BY503/1000</f>
        <v>62.286000000000001</v>
      </c>
      <c r="Z52" s="242">
        <f>MODEL!BZ503/1000</f>
        <v>61.426499999999997</v>
      </c>
      <c r="AA52" s="242"/>
      <c r="AB52" s="242">
        <f>MODEL!CB503/1000</f>
        <v>64.555000000000007</v>
      </c>
      <c r="AC52" s="242">
        <f>MODEL!CC503/1000</f>
        <v>66.093000000000004</v>
      </c>
      <c r="AD52" s="242">
        <f>MODEL!CD503/1000</f>
        <v>65.317999999999998</v>
      </c>
      <c r="AE52" s="242"/>
      <c r="AF52" s="242">
        <f>MODEL!CF503/1000</f>
        <v>67.186000000000007</v>
      </c>
      <c r="AG52" s="242">
        <f>MODEL!CG503/1000</f>
        <v>68.808999999999997</v>
      </c>
      <c r="AH52" s="243">
        <f>MODEL!CH503/1000</f>
        <v>67.989000000000004</v>
      </c>
      <c r="AI52" s="242"/>
      <c r="AJ52" s="242">
        <f>MODEL!CJ503/1000</f>
        <v>70.275000000000006</v>
      </c>
      <c r="AK52" s="242">
        <f>MODEL!CK503/1000</f>
        <v>71.555000000000007</v>
      </c>
      <c r="AL52" s="243">
        <f>MODEL!CL503/1000</f>
        <v>69.402000000000001</v>
      </c>
      <c r="AM52" s="242"/>
      <c r="AN52" s="242">
        <f>MODEL!CN503/1000</f>
        <v>73.424000000000007</v>
      </c>
      <c r="AO52" s="242">
        <f>MODEL!CO503/1000</f>
        <v>76.813999999999993</v>
      </c>
      <c r="AP52" s="243">
        <f>MODEL!CP503/1000</f>
        <v>75.186999999999998</v>
      </c>
      <c r="AQ52" s="242"/>
      <c r="AR52" s="242">
        <f>MODEL!CR503/1000</f>
        <v>76.67</v>
      </c>
      <c r="AS52" s="242">
        <f>MODEL!CS503/1000</f>
        <v>73.745000000000005</v>
      </c>
      <c r="AT52" s="243">
        <f>MODEL!CT503/1000</f>
        <v>75.391000000000005</v>
      </c>
      <c r="AU52" s="242"/>
      <c r="AV52" s="242">
        <f>MODEL!CV503/1000</f>
        <v>72.498000000000005</v>
      </c>
      <c r="AW52" s="242">
        <f>MODEL!CW503/1000</f>
        <v>71.971999999999994</v>
      </c>
      <c r="AX52" s="243">
        <f>MODEL!CX503/1000</f>
        <v>72.207999999999998</v>
      </c>
      <c r="AY52" s="242"/>
      <c r="AZ52" s="242">
        <f>MODEL!CZ503/1000</f>
        <v>72.230999999999995</v>
      </c>
      <c r="BA52" s="242">
        <f>MODEL!DA503/1000</f>
        <v>72.959999999999994</v>
      </c>
      <c r="BB52" s="243">
        <f>MODEL!DB503/1000</f>
        <v>72.516999999999996</v>
      </c>
      <c r="BC52" s="242"/>
      <c r="BD52" s="242">
        <f>MODEL!DD503/1000</f>
        <v>74.176000000000002</v>
      </c>
      <c r="BE52" s="242">
        <f>MODEL!DE503/1000</f>
        <v>77.02</v>
      </c>
      <c r="BF52" s="1451">
        <f>MODEL!DF503/1000</f>
        <v>75.709999999999994</v>
      </c>
      <c r="BG52" s="242"/>
      <c r="BH52" s="242">
        <f>MODEL!DH503/1000</f>
        <v>78.004000000000005</v>
      </c>
      <c r="BI52" s="242">
        <f ca="1">MODEL!DI503/1000</f>
        <v>78.09366349384095</v>
      </c>
      <c r="BJ52" s="242">
        <f ca="1">MODEL!DJ503/1000</f>
        <v>78.048831746920484</v>
      </c>
      <c r="BK52" s="242"/>
      <c r="BL52" s="242">
        <f ca="1">MODEL!DL503/1000</f>
        <v>79.568859124923364</v>
      </c>
      <c r="BM52" s="242">
        <f ca="1">MODEL!DM503/1000</f>
        <v>80.961143288004209</v>
      </c>
      <c r="BN52" s="244">
        <f ca="1">MODEL!DN503/1000</f>
        <v>80.265001206463907</v>
      </c>
      <c r="BO52" s="242"/>
      <c r="BP52" s="242">
        <f ca="1">MODEL!DP503/1000</f>
        <v>82.28984937973064</v>
      </c>
      <c r="BQ52" s="242">
        <f ca="1">MODEL!DQ503/1000</f>
        <v>83.658844811016223</v>
      </c>
      <c r="BR52" s="244">
        <f ca="1">MODEL!DR503/1000</f>
        <v>82.974347095373545</v>
      </c>
      <c r="BS52" s="48"/>
      <c r="DL52" s="51"/>
      <c r="DP52" s="51"/>
      <c r="DT52" s="1401"/>
      <c r="EG52" s="267"/>
      <c r="EU52" s="4"/>
      <c r="EV52" s="4"/>
    </row>
    <row r="53" spans="3:152" x14ac:dyDescent="0.2">
      <c r="C53" s="29" t="s">
        <v>106</v>
      </c>
      <c r="D53" s="268"/>
      <c r="E53" s="268"/>
      <c r="F53" s="268"/>
      <c r="G53" s="268"/>
      <c r="H53" s="268"/>
      <c r="I53" s="268"/>
      <c r="J53" s="268"/>
      <c r="K53" s="268"/>
      <c r="L53" s="268"/>
      <c r="M53" s="268"/>
      <c r="N53" s="138"/>
      <c r="O53" s="138"/>
      <c r="P53" s="138"/>
      <c r="Q53" s="138"/>
      <c r="R53" s="138"/>
      <c r="S53" s="138"/>
      <c r="T53" s="138"/>
      <c r="U53" s="138"/>
      <c r="V53" s="138"/>
      <c r="W53" s="138"/>
      <c r="X53" s="138"/>
      <c r="Y53" s="138"/>
      <c r="Z53" s="138"/>
      <c r="AA53" s="138"/>
      <c r="AB53" s="138"/>
      <c r="AC53" s="138"/>
      <c r="AD53" s="138"/>
      <c r="AE53" s="138"/>
      <c r="AF53" s="138"/>
      <c r="AG53" s="138"/>
      <c r="AH53" s="209"/>
      <c r="AI53" s="138"/>
      <c r="AJ53" s="138"/>
      <c r="AK53" s="138"/>
      <c r="AL53" s="209"/>
      <c r="AM53" s="138"/>
      <c r="AN53" s="138"/>
      <c r="AO53" s="138"/>
      <c r="AP53" s="209"/>
      <c r="AQ53" s="138"/>
      <c r="AR53" s="138"/>
      <c r="AS53" s="138"/>
      <c r="AT53" s="209"/>
      <c r="AU53" s="138"/>
      <c r="AV53" s="138"/>
      <c r="AW53" s="138"/>
      <c r="AX53" s="209"/>
      <c r="AY53" s="138"/>
      <c r="AZ53" s="138"/>
      <c r="BA53" s="138"/>
      <c r="BB53" s="209"/>
      <c r="BC53" s="138"/>
      <c r="BD53" s="138"/>
      <c r="BE53" s="138"/>
      <c r="BF53" s="1418"/>
      <c r="BG53" s="138"/>
      <c r="BH53" s="138"/>
      <c r="BI53" s="138"/>
      <c r="BJ53" s="138"/>
      <c r="BK53" s="138"/>
      <c r="BL53" s="138"/>
      <c r="BM53" s="138"/>
      <c r="BN53" s="269"/>
      <c r="BO53" s="138"/>
      <c r="BP53" s="138"/>
      <c r="BQ53" s="138"/>
      <c r="BR53" s="269"/>
      <c r="BS53" s="48"/>
      <c r="BT53" s="270" t="s">
        <v>107</v>
      </c>
      <c r="BU53" s="271"/>
      <c r="BV53" s="271"/>
      <c r="BW53" s="271"/>
      <c r="BX53" s="271"/>
      <c r="BY53" s="271"/>
      <c r="BZ53" s="271"/>
      <c r="CA53" s="271"/>
      <c r="CB53" s="271"/>
      <c r="CC53" s="271"/>
      <c r="CD53" s="271"/>
      <c r="CE53" s="271"/>
      <c r="CF53" s="271"/>
      <c r="CG53" s="271"/>
      <c r="CH53" s="271"/>
      <c r="CI53" s="271"/>
      <c r="CJ53" s="271"/>
      <c r="CK53" s="271"/>
      <c r="CL53" s="271"/>
      <c r="CM53" s="271"/>
      <c r="CN53" s="271"/>
      <c r="CO53" s="271"/>
      <c r="CP53" s="271"/>
      <c r="CQ53" s="271"/>
      <c r="CR53" s="271"/>
      <c r="CS53" s="271"/>
      <c r="CT53" s="271"/>
      <c r="CU53" s="271"/>
      <c r="CV53" s="271"/>
      <c r="CW53" s="271"/>
      <c r="CX53" s="271"/>
      <c r="CY53" s="271"/>
      <c r="CZ53" s="271"/>
      <c r="DA53" s="271"/>
      <c r="DB53" s="271"/>
      <c r="DC53" s="271"/>
      <c r="DD53" s="271"/>
      <c r="DE53" s="271"/>
      <c r="DF53" s="271"/>
      <c r="DG53" s="271"/>
      <c r="DH53" s="271"/>
      <c r="DI53" s="271"/>
      <c r="DJ53" s="271"/>
      <c r="DK53" s="271"/>
      <c r="DL53" s="272"/>
      <c r="DM53" s="271"/>
      <c r="DN53" s="271"/>
      <c r="DO53" s="271"/>
      <c r="DP53" s="272"/>
      <c r="DQ53" s="271"/>
      <c r="DR53" s="271"/>
      <c r="DS53" s="271"/>
      <c r="DT53" s="1425"/>
      <c r="DU53" s="271"/>
      <c r="DV53" s="271"/>
      <c r="DW53" s="271"/>
      <c r="DX53" s="271"/>
      <c r="DY53" s="271"/>
      <c r="DZ53" s="271"/>
      <c r="EA53" s="271"/>
      <c r="EB53" s="271"/>
      <c r="EC53" s="271"/>
      <c r="ED53" s="271"/>
      <c r="EE53" s="271"/>
      <c r="EF53" s="271"/>
      <c r="EG53" s="273"/>
      <c r="EU53" s="4"/>
      <c r="EV53" s="4"/>
    </row>
    <row r="54" spans="3:152" x14ac:dyDescent="0.2">
      <c r="C54" s="274" t="s">
        <v>108</v>
      </c>
      <c r="D54" s="275">
        <v>6.4210024571531354</v>
      </c>
      <c r="E54" s="275">
        <v>-0.47561612032781531</v>
      </c>
      <c r="F54" s="275">
        <v>3.0732678791606016</v>
      </c>
      <c r="G54" s="275"/>
      <c r="H54" s="275" t="e">
        <f>(H29/D29-1)*100</f>
        <v>#DIV/0!</v>
      </c>
      <c r="I54" s="275" t="e">
        <f>(I29/E29-1)*100</f>
        <v>#DIV/0!</v>
      </c>
      <c r="J54" s="275" t="e">
        <f>(J29/F29-1)*100</f>
        <v>#DIV/0!</v>
      </c>
      <c r="K54" s="275"/>
      <c r="L54" s="275" t="e">
        <f>(L29/H29-1)*100</f>
        <v>#DIV/0!</v>
      </c>
      <c r="M54" s="275" t="e">
        <f>(M29/I29-1)*100</f>
        <v>#DIV/0!</v>
      </c>
      <c r="N54" s="275" t="e">
        <f>(N29/J29-1)*100</f>
        <v>#DIV/0!</v>
      </c>
      <c r="O54" s="275"/>
      <c r="P54" s="275" t="e">
        <f>(P29/L29-1)*100</f>
        <v>#DIV/0!</v>
      </c>
      <c r="Q54" s="275" t="e">
        <f>(Q29/M29-1)*100</f>
        <v>#DIV/0!</v>
      </c>
      <c r="R54" s="275" t="e">
        <f>(R29/N29-1)*100</f>
        <v>#DIV/0!</v>
      </c>
      <c r="S54" s="275"/>
      <c r="T54" s="275" t="e">
        <f>(T29/P29-1)*100</f>
        <v>#DIV/0!</v>
      </c>
      <c r="U54" s="275" t="e">
        <f>(U29/Q29-1)*100</f>
        <v>#DIV/0!</v>
      </c>
      <c r="V54" s="275" t="e">
        <f>(V29/R29-1)*100</f>
        <v>#DIV/0!</v>
      </c>
      <c r="W54" s="275"/>
      <c r="X54" s="275">
        <f>(X29/T29-1)*100</f>
        <v>-0.28814179182197197</v>
      </c>
      <c r="Y54" s="275">
        <f>(Y29/U29-1)*100</f>
        <v>6.3034964080876943</v>
      </c>
      <c r="Z54" s="275">
        <f>(Z29/V29-1)*100</f>
        <v>2.9141342165981854</v>
      </c>
      <c r="AA54" s="275"/>
      <c r="AB54" s="275">
        <f>(AB29/X29-1)*100</f>
        <v>-1.9890984089052099</v>
      </c>
      <c r="AC54" s="275">
        <f>(AC29/Y29-1)*100</f>
        <v>-10.240726120180687</v>
      </c>
      <c r="AD54" s="275">
        <f>(AD29/Z29-1)*100</f>
        <v>-6.1641084718105148</v>
      </c>
      <c r="AE54" s="275"/>
      <c r="AF54" s="275">
        <f>(AF29/AB29-1)*100</f>
        <v>-2.5483160376045699</v>
      </c>
      <c r="AG54" s="275">
        <f>(AG29/AC29-1)*100</f>
        <v>-14.953251133538792</v>
      </c>
      <c r="AH54" s="276">
        <f>(AH29/AD29-1)*100</f>
        <v>-8.4962379054906449</v>
      </c>
      <c r="AI54" s="275"/>
      <c r="AJ54" s="275">
        <f>(AJ29/AF29-1)*100</f>
        <v>-7.3616273428414702</v>
      </c>
      <c r="AK54" s="275">
        <f>(AK29/AG29-1)*100</f>
        <v>-24.646983311938385</v>
      </c>
      <c r="AL54" s="276">
        <f>(AL29/AH29-1)*100</f>
        <v>-15.065027958730248</v>
      </c>
      <c r="AM54" s="275"/>
      <c r="AN54" s="275">
        <f>(AN29/AJ29-1)*100</f>
        <v>-11.342603822402808</v>
      </c>
      <c r="AO54" s="275">
        <f>(AO29/AK29-1)*100</f>
        <v>64.423033290904158</v>
      </c>
      <c r="AP54" s="276">
        <f>(AP29/AL29-1)*100</f>
        <v>18.685850985497044</v>
      </c>
      <c r="AQ54" s="275"/>
      <c r="AR54" s="275">
        <f>(AR29/AN29-1)*100</f>
        <v>24.263970863068572</v>
      </c>
      <c r="AS54" s="275">
        <f>(AS29/AO29-1)*100</f>
        <v>4.5929556098138979</v>
      </c>
      <c r="AT54" s="276">
        <f>(AT29/AP29-1)*100</f>
        <v>13.444425661163795</v>
      </c>
      <c r="AU54" s="275"/>
      <c r="AV54" s="275">
        <f>(AV29/AR29-1)*100</f>
        <v>9.9419647259486155</v>
      </c>
      <c r="AW54" s="275">
        <f>(AW29/AS29-1)*100</f>
        <v>1.9179807799112991</v>
      </c>
      <c r="AX54" s="276">
        <f>(AX29/AT29-1)*100</f>
        <v>5.90289714089276</v>
      </c>
      <c r="AY54" s="275"/>
      <c r="AZ54" s="275">
        <f>(AZ29/AV29-1)*100</f>
        <v>-1.9645927859614276</v>
      </c>
      <c r="BA54" s="275">
        <f>(BA29/AW29-1)*100</f>
        <v>-0.88598021396246729</v>
      </c>
      <c r="BB54" s="276">
        <f>(BB29/AX29-1)*100</f>
        <v>-1.4166583237414265</v>
      </c>
      <c r="BC54" s="275"/>
      <c r="BD54" s="275">
        <f>(BD29/AZ29-1)*100</f>
        <v>2.27144183389274</v>
      </c>
      <c r="BE54" s="275">
        <f>(BE29/BA29-1)*100</f>
        <v>6.2435130849634701</v>
      </c>
      <c r="BF54" s="1453">
        <f>(BF29/BB29-1)*100</f>
        <v>4.1853577438153211</v>
      </c>
      <c r="BG54" s="275"/>
      <c r="BH54" s="275">
        <f t="shared" ref="BH54:BJ56" si="33">(BH29/BD29-1)*100</f>
        <v>6.0783167738164945</v>
      </c>
      <c r="BI54" s="275">
        <f t="shared" si="33"/>
        <v>9.8472619388247473</v>
      </c>
      <c r="BJ54" s="275">
        <f t="shared" si="33"/>
        <v>7.9604735667350379</v>
      </c>
      <c r="BK54" s="275"/>
      <c r="BL54" s="275">
        <f t="shared" ref="BL54:BN56" ca="1" si="34">(BL29/BH29-1)*100</f>
        <v>8.8200784462434623</v>
      </c>
      <c r="BM54" s="275">
        <f t="shared" ca="1" si="34"/>
        <v>4.4607653944855663</v>
      </c>
      <c r="BN54" s="277">
        <f t="shared" ca="1" si="34"/>
        <v>6.6050665796731023</v>
      </c>
      <c r="BO54" s="275"/>
      <c r="BP54" s="275">
        <f t="shared" ref="BP54:BP56" ca="1" si="35">(BP29/BL29-1)*100</f>
        <v>3.5818636692070749</v>
      </c>
      <c r="BQ54" s="275">
        <f t="shared" ref="BQ54:BQ56" ca="1" si="36">(BQ29/BM29-1)*100</f>
        <v>4.1723072106592207</v>
      </c>
      <c r="BR54" s="277">
        <f t="shared" ref="BR54:BR56" ca="1" si="37">(BR29/BN29-1)*100</f>
        <v>3.8758297302567968</v>
      </c>
      <c r="BS54" s="48"/>
      <c r="BT54" s="144"/>
      <c r="BU54" s="4"/>
      <c r="BV54" s="4"/>
      <c r="BW54" s="4"/>
      <c r="BX54" s="4"/>
      <c r="BY54" s="4"/>
      <c r="BZ54" s="4"/>
      <c r="CA54" s="4"/>
      <c r="CB54" s="4"/>
      <c r="CC54" s="4"/>
      <c r="CD54" s="4"/>
      <c r="CE54" s="4"/>
      <c r="CF54" s="4"/>
      <c r="CG54" s="4"/>
      <c r="CH54" s="4"/>
      <c r="CI54" s="4"/>
      <c r="CJ54" s="4"/>
      <c r="CK54" s="4"/>
      <c r="CL54" s="4"/>
      <c r="CM54" s="4"/>
      <c r="CN54" s="4"/>
      <c r="CO54" s="4"/>
      <c r="CP54" s="4"/>
      <c r="CQ54" s="4"/>
      <c r="CR54" s="4"/>
      <c r="CS54" s="4"/>
      <c r="CT54" s="4"/>
      <c r="CU54" s="4"/>
      <c r="CV54" s="4"/>
      <c r="CW54" s="4"/>
      <c r="CX54" s="4"/>
      <c r="CY54" s="4"/>
      <c r="CZ54" s="4"/>
      <c r="DA54" s="4"/>
      <c r="DB54" s="4"/>
      <c r="DC54" s="4"/>
      <c r="DD54" s="4"/>
      <c r="DE54" s="4"/>
      <c r="DF54" s="4"/>
      <c r="DG54" s="4"/>
      <c r="DH54" s="4"/>
      <c r="DI54" s="4"/>
      <c r="DJ54" s="4"/>
      <c r="DK54" s="4"/>
      <c r="DL54" s="178"/>
      <c r="DM54" s="4"/>
      <c r="DN54" s="4"/>
      <c r="DO54" s="4"/>
      <c r="DP54" s="178"/>
      <c r="DQ54" s="4"/>
      <c r="DR54" s="4"/>
      <c r="DS54" s="4"/>
      <c r="DT54" s="1426"/>
      <c r="DU54" s="4"/>
      <c r="DV54" s="4"/>
      <c r="DW54" s="4"/>
      <c r="DX54" s="4"/>
      <c r="DY54" s="4"/>
      <c r="DZ54" s="4"/>
      <c r="EA54" s="4"/>
      <c r="EB54" s="4"/>
      <c r="EC54" s="4"/>
      <c r="ED54" s="4"/>
      <c r="EE54" s="4"/>
      <c r="EF54" s="4"/>
      <c r="EG54" s="103"/>
      <c r="EH54" s="278"/>
      <c r="EI54" s="266"/>
    </row>
    <row r="55" spans="3:152" x14ac:dyDescent="0.2">
      <c r="C55" s="279" t="s">
        <v>109</v>
      </c>
      <c r="D55" s="280">
        <v>6.0994315966783397</v>
      </c>
      <c r="E55" s="280">
        <v>-1.0360620384690766</v>
      </c>
      <c r="F55" s="280">
        <v>2.4380862502993539</v>
      </c>
      <c r="G55" s="280"/>
      <c r="H55" s="280">
        <f t="shared" ref="H55:J56" si="38">(H30/D30-1)*100</f>
        <v>2.2349514872092247</v>
      </c>
      <c r="I55" s="280">
        <f t="shared" si="38"/>
        <v>11.283658353551607</v>
      </c>
      <c r="J55" s="280">
        <f t="shared" si="38"/>
        <v>6.6896542764991462</v>
      </c>
      <c r="K55" s="280"/>
      <c r="L55" s="280">
        <f t="shared" ref="L55:N56" si="39">(L30/H30-1)*100</f>
        <v>12.887461114341736</v>
      </c>
      <c r="M55" s="280">
        <f t="shared" si="39"/>
        <v>9.4797091862245395</v>
      </c>
      <c r="N55" s="280">
        <f t="shared" si="39"/>
        <v>11.144229705532748</v>
      </c>
      <c r="O55" s="280"/>
      <c r="P55" s="280">
        <f t="shared" ref="P55:R56" si="40">(P30/L30-1)*100</f>
        <v>7.5764024238085481</v>
      </c>
      <c r="Q55" s="280">
        <f t="shared" si="40"/>
        <v>1.8048335401920301</v>
      </c>
      <c r="R55" s="280">
        <f t="shared" si="40"/>
        <v>4.6398307205101519</v>
      </c>
      <c r="S55" s="280"/>
      <c r="T55" s="280">
        <f t="shared" ref="T55:V56" si="41">(T30/P30-1)*100</f>
        <v>0.82894907769766046</v>
      </c>
      <c r="U55" s="280">
        <f t="shared" si="41"/>
        <v>-1.8640666049967836</v>
      </c>
      <c r="V55" s="280">
        <f t="shared" si="41"/>
        <v>-0.50953625488759924</v>
      </c>
      <c r="W55" s="280"/>
      <c r="X55" s="280">
        <f t="shared" ref="X55:Z56" si="42">(X30/T30-1)*100</f>
        <v>-1.2361175113802969</v>
      </c>
      <c r="Y55" s="280">
        <f t="shared" si="42"/>
        <v>4.4435130627330954</v>
      </c>
      <c r="Z55" s="280">
        <f t="shared" si="42"/>
        <v>1.5247456597724085</v>
      </c>
      <c r="AA55" s="280"/>
      <c r="AB55" s="280">
        <f t="shared" ref="AB55:AD56" si="43">(AB30/X30-1)*100</f>
        <v>-5.968358380844907</v>
      </c>
      <c r="AC55" s="280">
        <f t="shared" si="43"/>
        <v>-12.810318989158699</v>
      </c>
      <c r="AD55" s="280">
        <f t="shared" si="43"/>
        <v>-9.4232557557415557</v>
      </c>
      <c r="AE55" s="280"/>
      <c r="AF55" s="280">
        <f t="shared" ref="AF55:AH56" si="44">(AF30/AB30-1)*100</f>
        <v>-2.3629721867284403</v>
      </c>
      <c r="AG55" s="280">
        <f t="shared" si="44"/>
        <v>-15.68514606889585</v>
      </c>
      <c r="AH55" s="281">
        <f t="shared" si="44"/>
        <v>-8.7865552985952213</v>
      </c>
      <c r="AI55" s="280"/>
      <c r="AJ55" s="280">
        <f t="shared" ref="AJ55:AL56" si="45">(AJ30/AF30-1)*100</f>
        <v>-5.3769746364432658</v>
      </c>
      <c r="AK55" s="280">
        <f t="shared" si="45"/>
        <v>-20.866248978479984</v>
      </c>
      <c r="AL55" s="281">
        <f t="shared" si="45"/>
        <v>-12.265673166608726</v>
      </c>
      <c r="AM55" s="280"/>
      <c r="AN55" s="280">
        <f t="shared" ref="AN55:AP56" si="46">(AN30/AJ30-1)*100</f>
        <v>-10.513548859594069</v>
      </c>
      <c r="AO55" s="280">
        <f t="shared" si="46"/>
        <v>64.437142313206365</v>
      </c>
      <c r="AP55" s="281">
        <f t="shared" si="46"/>
        <v>19.631858318245033</v>
      </c>
      <c r="AQ55" s="280"/>
      <c r="AR55" s="280">
        <f t="shared" ref="AR55:AT56" si="47">(AR30/AN30-1)*100</f>
        <v>24.814570481046982</v>
      </c>
      <c r="AS55" s="280">
        <f t="shared" si="47"/>
        <v>5.3814983246746273</v>
      </c>
      <c r="AT55" s="281">
        <f t="shared" si="47"/>
        <v>14.04313887991837</v>
      </c>
      <c r="AU55" s="280"/>
      <c r="AV55" s="280">
        <f t="shared" ref="AV55:AX56" si="48">(AV30/AR30-1)*100</f>
        <v>12.042185501344393</v>
      </c>
      <c r="AW55" s="280">
        <f t="shared" si="48"/>
        <v>2.0243765272046854</v>
      </c>
      <c r="AX55" s="281">
        <f t="shared" si="48"/>
        <v>6.968560972855431</v>
      </c>
      <c r="AY55" s="280"/>
      <c r="AZ55" s="280">
        <f t="shared" ref="AZ55:BB56" si="49">(AZ30/AV30-1)*100</f>
        <v>-1.892618424876491</v>
      </c>
      <c r="BA55" s="280">
        <f t="shared" si="49"/>
        <v>-0.8268375756752433</v>
      </c>
      <c r="BB55" s="281">
        <f t="shared" si="49"/>
        <v>-1.3508002394712837</v>
      </c>
      <c r="BC55" s="280"/>
      <c r="BD55" s="280">
        <f t="shared" ref="BD55:BD56" si="50">(BD30/AZ30-1)*100</f>
        <v>2.3737548511827411</v>
      </c>
      <c r="BE55" s="280">
        <f>(BE30/BA30-1)*100</f>
        <v>6.3537928369719276</v>
      </c>
      <c r="BF55" s="1454">
        <f>(BF30/BB30-1)*100</f>
        <v>4.2916996639626781</v>
      </c>
      <c r="BG55" s="280"/>
      <c r="BH55" s="280">
        <f t="shared" si="33"/>
        <v>6.0989867498051353</v>
      </c>
      <c r="BI55" s="280">
        <f t="shared" si="33"/>
        <v>9.8472619388247473</v>
      </c>
      <c r="BJ55" s="280">
        <f t="shared" si="33"/>
        <v>7.9710042410977788</v>
      </c>
      <c r="BK55" s="280"/>
      <c r="BL55" s="280">
        <f t="shared" ca="1" si="34"/>
        <v>8.8200784462434623</v>
      </c>
      <c r="BM55" s="280">
        <f t="shared" ca="1" si="34"/>
        <v>4.4607653944855663</v>
      </c>
      <c r="BN55" s="282">
        <f t="shared" ca="1" si="34"/>
        <v>6.6050665796731023</v>
      </c>
      <c r="BO55" s="280"/>
      <c r="BP55" s="280">
        <f t="shared" ca="1" si="35"/>
        <v>3.5818636692070749</v>
      </c>
      <c r="BQ55" s="280">
        <f t="shared" ca="1" si="36"/>
        <v>4.1723072106592207</v>
      </c>
      <c r="BR55" s="282">
        <f t="shared" ca="1" si="37"/>
        <v>3.8758297302567968</v>
      </c>
      <c r="BS55" s="48"/>
      <c r="BT55" s="144" t="s">
        <v>110</v>
      </c>
      <c r="BU55" s="283"/>
      <c r="BV55" s="283">
        <f>MODEL!BH480*100</f>
        <v>58.445370324093219</v>
      </c>
      <c r="BW55" s="283">
        <f>MODEL!BI480*100</f>
        <v>58.783607375346655</v>
      </c>
      <c r="BX55" s="283">
        <f>MODEL!BJ480*100</f>
        <v>58.783607375346655</v>
      </c>
      <c r="BY55" s="283"/>
      <c r="BZ55" s="283">
        <f>MODEL!BL480*100</f>
        <v>58.630622554290291</v>
      </c>
      <c r="CA55" s="283">
        <f>MODEL!BM480*100</f>
        <v>59.224313983081203</v>
      </c>
      <c r="CB55" s="283">
        <f>MODEL!BN480*100</f>
        <v>59.224313983081203</v>
      </c>
      <c r="CC55" s="283"/>
      <c r="CD55" s="283">
        <f>MODEL!BP480*100</f>
        <v>58.363713156622076</v>
      </c>
      <c r="CE55" s="283">
        <f>MODEL!BQ480*100</f>
        <v>58.689549807981379</v>
      </c>
      <c r="CF55" s="283">
        <f>MODEL!BR480*100</f>
        <v>58.689549807981379</v>
      </c>
      <c r="CG55" s="283">
        <f>MODEL!BS480*100</f>
        <v>0</v>
      </c>
      <c r="CH55" s="283">
        <f>MODEL!BT480*100</f>
        <v>59.592910092844022</v>
      </c>
      <c r="CI55" s="283">
        <f>MODEL!BU480*100</f>
        <v>61.047177548596324</v>
      </c>
      <c r="CJ55" s="283">
        <f>MODEL!BV480*100</f>
        <v>61.047177548596324</v>
      </c>
      <c r="CK55" s="283"/>
      <c r="CL55" s="283">
        <f>MODEL!BX480*100</f>
        <v>60.7209939379497</v>
      </c>
      <c r="CM55" s="283">
        <f>MODEL!BY480*100</f>
        <v>62.187325208524143</v>
      </c>
      <c r="CN55" s="283">
        <f>MODEL!BZ480*100</f>
        <v>62.187325208524143</v>
      </c>
      <c r="CO55" s="283"/>
      <c r="CP55" s="283">
        <f>MODEL!CB480*100</f>
        <v>63.292337539829177</v>
      </c>
      <c r="CQ55" s="283">
        <f>MODEL!CC480*100</f>
        <v>63.233877661534088</v>
      </c>
      <c r="CR55" s="283">
        <f>MODEL!CD480*100</f>
        <v>63.233877661534088</v>
      </c>
      <c r="CS55" s="283"/>
      <c r="CT55" s="283">
        <f>MODEL!CF480*100</f>
        <v>63.820360020996084</v>
      </c>
      <c r="CU55" s="283">
        <f>MODEL!CG480*100</f>
        <v>63.774628146799785</v>
      </c>
      <c r="CV55" s="283">
        <f>MODEL!CH480*100</f>
        <v>63.774628146799785</v>
      </c>
      <c r="CW55" s="283"/>
      <c r="CX55" s="283">
        <f>MODEL!CJ480*100</f>
        <v>64.852969663258165</v>
      </c>
      <c r="CY55" s="283">
        <f>MODEL!CK480*100</f>
        <v>67.556390304227961</v>
      </c>
      <c r="CZ55" s="283">
        <f>MODEL!CL480*100</f>
        <v>67.556390304227961</v>
      </c>
      <c r="DA55" s="283"/>
      <c r="DB55" s="283">
        <f>MODEL!CN480*100</f>
        <v>70.473134100123573</v>
      </c>
      <c r="DC55" s="283">
        <f>MODEL!CO480*100</f>
        <v>70.813827744782756</v>
      </c>
      <c r="DD55" s="283">
        <f>MODEL!CP480*100</f>
        <v>70.813827744782756</v>
      </c>
      <c r="DE55" s="283"/>
      <c r="DF55" s="283">
        <f>MODEL!CR480*100</f>
        <v>71.633175827869579</v>
      </c>
      <c r="DG55" s="283">
        <f>MODEL!CS480*100</f>
        <v>72.773747795917103</v>
      </c>
      <c r="DH55" s="283">
        <f>MODEL!CT480*100</f>
        <v>72.773747795917103</v>
      </c>
      <c r="DI55" s="283"/>
      <c r="DJ55" s="283">
        <f>MODEL!CV480*100</f>
        <v>73.592482945037972</v>
      </c>
      <c r="DK55" s="283">
        <f>MODEL!CW480*100</f>
        <v>75.542630800933381</v>
      </c>
      <c r="DL55" s="284">
        <f>MODEL!CX480*100</f>
        <v>75.542630800933381</v>
      </c>
      <c r="DM55" s="283"/>
      <c r="DN55" s="283">
        <f>MODEL!CZ480*100</f>
        <v>74.874002767495881</v>
      </c>
      <c r="DO55" s="283">
        <f>MODEL!DA480*100</f>
        <v>73.946535162798128</v>
      </c>
      <c r="DP55" s="284">
        <f>MODEL!DB480*100</f>
        <v>73.946535162798128</v>
      </c>
      <c r="DQ55" s="283"/>
      <c r="DR55" s="283">
        <f>MODEL!DD480*100</f>
        <v>72.811421772754315</v>
      </c>
      <c r="DS55" s="283">
        <f>MODEL!DE480*100</f>
        <v>73.258546735719875</v>
      </c>
      <c r="DT55" s="1427">
        <f>MODEL!DF480*100</f>
        <v>73.258546735719875</v>
      </c>
      <c r="DU55" s="283"/>
      <c r="DV55" s="283">
        <f>MODEL!DH480*100</f>
        <v>75.364312782729812</v>
      </c>
      <c r="DW55" s="283">
        <f ca="1">MODEL!DI480*100</f>
        <v>74.465305905575534</v>
      </c>
      <c r="DX55" s="283">
        <f ca="1">MODEL!DJ480*100</f>
        <v>74.465305905575534</v>
      </c>
      <c r="DY55" s="283"/>
      <c r="DZ55" s="283">
        <f ca="1">MODEL!DL480*100</f>
        <v>74.077010138743461</v>
      </c>
      <c r="EA55" s="283">
        <f ca="1">MODEL!DM480*100</f>
        <v>73.576099253681861</v>
      </c>
      <c r="EB55" s="283">
        <f ca="1">MODEL!DN480*100</f>
        <v>73.576099253681861</v>
      </c>
      <c r="EC55" s="283"/>
      <c r="ED55" s="283">
        <f ca="1">MODEL!DP480*100</f>
        <v>73.646775933422674</v>
      </c>
      <c r="EE55" s="283">
        <f ca="1">MODEL!DQ480*100</f>
        <v>73.616155878527906</v>
      </c>
      <c r="EF55" s="283">
        <f ca="1">MODEL!DR480*100</f>
        <v>73.616155878527906</v>
      </c>
      <c r="EG55" s="285"/>
      <c r="EI55" s="214"/>
    </row>
    <row r="56" spans="3:152" x14ac:dyDescent="0.2">
      <c r="C56" s="279" t="s">
        <v>111</v>
      </c>
      <c r="D56" s="280">
        <v>6.0994315966783397</v>
      </c>
      <c r="E56" s="280">
        <v>-1.0360620384690766</v>
      </c>
      <c r="F56" s="280">
        <v>2.4380862502993539</v>
      </c>
      <c r="G56" s="280"/>
      <c r="H56" s="280" t="e">
        <f t="shared" si="38"/>
        <v>#DIV/0!</v>
      </c>
      <c r="I56" s="280" t="e">
        <f t="shared" si="38"/>
        <v>#DIV/0!</v>
      </c>
      <c r="J56" s="280" t="e">
        <f t="shared" si="38"/>
        <v>#DIV/0!</v>
      </c>
      <c r="K56" s="280"/>
      <c r="L56" s="280" t="e">
        <f t="shared" si="39"/>
        <v>#DIV/0!</v>
      </c>
      <c r="M56" s="280" t="e">
        <f t="shared" si="39"/>
        <v>#DIV/0!</v>
      </c>
      <c r="N56" s="280" t="e">
        <f t="shared" si="39"/>
        <v>#DIV/0!</v>
      </c>
      <c r="O56" s="280"/>
      <c r="P56" s="280" t="e">
        <f t="shared" si="40"/>
        <v>#DIV/0!</v>
      </c>
      <c r="Q56" s="280" t="e">
        <f t="shared" si="40"/>
        <v>#DIV/0!</v>
      </c>
      <c r="R56" s="280" t="e">
        <f t="shared" si="40"/>
        <v>#DIV/0!</v>
      </c>
      <c r="S56" s="280"/>
      <c r="T56" s="280" t="e">
        <f t="shared" si="41"/>
        <v>#DIV/0!</v>
      </c>
      <c r="U56" s="280" t="e">
        <f t="shared" si="41"/>
        <v>#DIV/0!</v>
      </c>
      <c r="V56" s="280" t="e">
        <f t="shared" si="41"/>
        <v>#DIV/0!</v>
      </c>
      <c r="W56" s="280"/>
      <c r="X56" s="280">
        <f t="shared" si="42"/>
        <v>-0.28814179182197197</v>
      </c>
      <c r="Y56" s="280">
        <f t="shared" si="42"/>
        <v>6.3034964080876943</v>
      </c>
      <c r="Z56" s="280">
        <f t="shared" si="42"/>
        <v>2.9141342165981854</v>
      </c>
      <c r="AA56" s="280"/>
      <c r="AB56" s="280">
        <f t="shared" si="43"/>
        <v>-1.9890984089052099</v>
      </c>
      <c r="AC56" s="280">
        <f t="shared" si="43"/>
        <v>-10.240726120180687</v>
      </c>
      <c r="AD56" s="280">
        <f t="shared" si="43"/>
        <v>-6.1641084718105148</v>
      </c>
      <c r="AE56" s="280"/>
      <c r="AF56" s="280">
        <f t="shared" si="44"/>
        <v>-2.5483160376045699</v>
      </c>
      <c r="AG56" s="280">
        <f t="shared" si="44"/>
        <v>-14.953251133538792</v>
      </c>
      <c r="AH56" s="281">
        <f t="shared" si="44"/>
        <v>-8.4962379054906449</v>
      </c>
      <c r="AI56" s="280"/>
      <c r="AJ56" s="280">
        <f t="shared" si="45"/>
        <v>-7.3616273428414702</v>
      </c>
      <c r="AK56" s="280">
        <f t="shared" si="45"/>
        <v>-24.646983311938385</v>
      </c>
      <c r="AL56" s="281">
        <f t="shared" si="45"/>
        <v>-15.065027958730248</v>
      </c>
      <c r="AM56" s="280"/>
      <c r="AN56" s="280">
        <f t="shared" si="46"/>
        <v>-11.342603822402808</v>
      </c>
      <c r="AO56" s="280">
        <f t="shared" si="46"/>
        <v>64.423033290904158</v>
      </c>
      <c r="AP56" s="281">
        <f t="shared" si="46"/>
        <v>18.685850985497044</v>
      </c>
      <c r="AQ56" s="280"/>
      <c r="AR56" s="280">
        <f t="shared" si="47"/>
        <v>24.263970863068572</v>
      </c>
      <c r="AS56" s="280">
        <f t="shared" si="47"/>
        <v>4.5929556098138979</v>
      </c>
      <c r="AT56" s="281">
        <f t="shared" si="47"/>
        <v>13.444425661163795</v>
      </c>
      <c r="AU56" s="280"/>
      <c r="AV56" s="280">
        <f t="shared" si="48"/>
        <v>9.9419647259486155</v>
      </c>
      <c r="AW56" s="280">
        <f t="shared" si="48"/>
        <v>1.9179807799112991</v>
      </c>
      <c r="AX56" s="281">
        <f t="shared" si="48"/>
        <v>5.90289714089276</v>
      </c>
      <c r="AY56" s="280"/>
      <c r="AZ56" s="280">
        <f t="shared" si="49"/>
        <v>-1.9645927859614276</v>
      </c>
      <c r="BA56" s="280">
        <f t="shared" si="49"/>
        <v>-0.88598021396246729</v>
      </c>
      <c r="BB56" s="281">
        <f t="shared" si="49"/>
        <v>-1.4166583237414265</v>
      </c>
      <c r="BC56" s="280"/>
      <c r="BD56" s="280">
        <f t="shared" si="50"/>
        <v>2.27144183389274</v>
      </c>
      <c r="BE56" s="280">
        <f>(BE31/BA31-1)*100</f>
        <v>6.2435130849634701</v>
      </c>
      <c r="BF56" s="1454">
        <f>(BF31/BB31-1)*100</f>
        <v>4.1853577438153211</v>
      </c>
      <c r="BG56" s="280"/>
      <c r="BH56" s="280">
        <f t="shared" si="33"/>
        <v>6.0783167738164945</v>
      </c>
      <c r="BI56" s="280">
        <f t="shared" si="33"/>
        <v>9.8472619388247473</v>
      </c>
      <c r="BJ56" s="280">
        <f t="shared" si="33"/>
        <v>7.9604735667350379</v>
      </c>
      <c r="BK56" s="280"/>
      <c r="BL56" s="280">
        <f t="shared" ca="1" si="34"/>
        <v>8.8200784462434623</v>
      </c>
      <c r="BM56" s="280">
        <f t="shared" ca="1" si="34"/>
        <v>4.4607653944855663</v>
      </c>
      <c r="BN56" s="282">
        <f t="shared" ca="1" si="34"/>
        <v>6.6050665796731023</v>
      </c>
      <c r="BO56" s="280"/>
      <c r="BP56" s="280">
        <f t="shared" ca="1" si="35"/>
        <v>3.5818636692070749</v>
      </c>
      <c r="BQ56" s="280">
        <f t="shared" ca="1" si="36"/>
        <v>4.1723072106592207</v>
      </c>
      <c r="BR56" s="282">
        <f t="shared" ca="1" si="37"/>
        <v>3.8758297302567968</v>
      </c>
      <c r="BS56" s="286"/>
      <c r="BT56" s="144" t="s">
        <v>112</v>
      </c>
      <c r="BU56" s="283"/>
      <c r="BV56" s="283">
        <f>MODEL!BH481*100</f>
        <v>67.211895685572486</v>
      </c>
      <c r="BW56" s="283">
        <f>MODEL!BI481*100</f>
        <v>65.830567771730927</v>
      </c>
      <c r="BX56" s="283">
        <f>MODEL!BJ481*100</f>
        <v>65.830567771730927</v>
      </c>
      <c r="BY56" s="283"/>
      <c r="BZ56" s="283">
        <f>MODEL!BL481*100</f>
        <v>65.290240260472373</v>
      </c>
      <c r="CA56" s="283">
        <f>MODEL!BM481*100</f>
        <v>66.008863515644961</v>
      </c>
      <c r="CB56" s="283">
        <f>MODEL!BN481*100</f>
        <v>66.008863515644961</v>
      </c>
      <c r="CC56" s="283"/>
      <c r="CD56" s="283">
        <f>MODEL!BP481*100</f>
        <v>65.522930652337848</v>
      </c>
      <c r="CE56" s="283">
        <f>MODEL!BQ481*100</f>
        <v>65.226670537381509</v>
      </c>
      <c r="CF56" s="283">
        <f>MODEL!BR481*100</f>
        <v>65.226670537381509</v>
      </c>
      <c r="CG56" s="283">
        <f>MODEL!BS481*100</f>
        <v>0</v>
      </c>
      <c r="CH56" s="283">
        <f>MODEL!BT481*100</f>
        <v>65.303787688494552</v>
      </c>
      <c r="CI56" s="283">
        <f>MODEL!BU481*100</f>
        <v>67.276084579271853</v>
      </c>
      <c r="CJ56" s="283">
        <f>MODEL!BV481*100</f>
        <v>67.276084579271853</v>
      </c>
      <c r="CK56" s="283"/>
      <c r="CL56" s="283">
        <f>MODEL!BX481*100</f>
        <v>66.665242858572014</v>
      </c>
      <c r="CM56" s="283">
        <f>MODEL!BY481*100</f>
        <v>68.020207287369999</v>
      </c>
      <c r="CN56" s="283">
        <f>MODEL!BZ481*100</f>
        <v>68.020207287369999</v>
      </c>
      <c r="CO56" s="283"/>
      <c r="CP56" s="283">
        <f>MODEL!CB481*100</f>
        <v>68.507969176865501</v>
      </c>
      <c r="CQ56" s="283">
        <f>MODEL!CC481*100</f>
        <v>67.662998850385947</v>
      </c>
      <c r="CR56" s="283">
        <f>MODEL!CD481*100</f>
        <v>67.662998850385947</v>
      </c>
      <c r="CS56" s="283"/>
      <c r="CT56" s="283">
        <f>MODEL!CF481*100</f>
        <v>68.633358181633724</v>
      </c>
      <c r="CU56" s="283">
        <f>MODEL!CG481*100</f>
        <v>68.52015703835275</v>
      </c>
      <c r="CV56" s="283">
        <f>MODEL!CH481*100</f>
        <v>68.52015703835275</v>
      </c>
      <c r="CW56" s="283"/>
      <c r="CX56" s="283">
        <f>MODEL!CJ481*100</f>
        <v>69.52766105267942</v>
      </c>
      <c r="CY56" s="283">
        <f>MODEL!CK481*100</f>
        <v>72.169687597767251</v>
      </c>
      <c r="CZ56" s="283">
        <f>MODEL!CL481*100</f>
        <v>72.169687597767251</v>
      </c>
      <c r="DA56" s="283"/>
      <c r="DB56" s="283">
        <f>MODEL!CN481*100</f>
        <v>74.531329429122877</v>
      </c>
      <c r="DC56" s="283">
        <f>MODEL!CO481*100</f>
        <v>75.290782343331287</v>
      </c>
      <c r="DD56" s="283">
        <f>MODEL!CP481*100</f>
        <v>75.290782343331287</v>
      </c>
      <c r="DE56" s="283"/>
      <c r="DF56" s="283">
        <f>MODEL!CR481*100</f>
        <v>76.399197147129158</v>
      </c>
      <c r="DG56" s="283">
        <f>MODEL!CS481*100</f>
        <v>77.036329640160986</v>
      </c>
      <c r="DH56" s="283">
        <f>MODEL!CT481*100</f>
        <v>77.036329640160986</v>
      </c>
      <c r="DI56" s="283"/>
      <c r="DJ56" s="283">
        <f>MODEL!CV481*100</f>
        <v>77.838019233951783</v>
      </c>
      <c r="DK56" s="283">
        <f>MODEL!CW481*100</f>
        <v>79.669868876510947</v>
      </c>
      <c r="DL56" s="284">
        <f>MODEL!CX481*100</f>
        <v>79.669868876510947</v>
      </c>
      <c r="DM56" s="283"/>
      <c r="DN56" s="283">
        <f>MODEL!CZ481*100</f>
        <v>78.918518464783332</v>
      </c>
      <c r="DO56" s="283">
        <f>MODEL!DA481*100</f>
        <v>77.974757643218879</v>
      </c>
      <c r="DP56" s="284">
        <f>MODEL!DB481*100</f>
        <v>77.974757643218879</v>
      </c>
      <c r="DQ56" s="283"/>
      <c r="DR56" s="283">
        <f>MODEL!DD481*100</f>
        <v>76.223931333389999</v>
      </c>
      <c r="DS56" s="283">
        <f>MODEL!DE481*100</f>
        <v>76.614717494972993</v>
      </c>
      <c r="DT56" s="1427">
        <f>MODEL!DF481*100</f>
        <v>76.614717494972993</v>
      </c>
      <c r="DU56" s="283"/>
      <c r="DV56" s="283">
        <f>MODEL!DH481*100</f>
        <v>78.662958920669951</v>
      </c>
      <c r="DW56" s="283">
        <f ca="1">MODEL!DI481*100</f>
        <v>77.678205393635935</v>
      </c>
      <c r="DX56" s="283">
        <f ca="1">MODEL!DJ481*100</f>
        <v>77.678205393635935</v>
      </c>
      <c r="DY56" s="283"/>
      <c r="DZ56" s="283">
        <f ca="1">MODEL!DL481*100</f>
        <v>77.22539147885324</v>
      </c>
      <c r="EA56" s="283">
        <f ca="1">MODEL!DM481*100</f>
        <v>76.655848687715505</v>
      </c>
      <c r="EB56" s="283">
        <f ca="1">MODEL!DN481*100</f>
        <v>76.655848687715505</v>
      </c>
      <c r="EC56" s="283"/>
      <c r="ED56" s="283">
        <f ca="1">MODEL!DP481*100</f>
        <v>76.683765002092713</v>
      </c>
      <c r="EE56" s="283">
        <f ca="1">MODEL!DQ481*100</f>
        <v>76.605772321660339</v>
      </c>
      <c r="EF56" s="283">
        <f ca="1">MODEL!DR481*100</f>
        <v>76.605772321660339</v>
      </c>
      <c r="EG56" s="287"/>
    </row>
    <row r="57" spans="3:152" x14ac:dyDescent="0.2">
      <c r="C57" s="279" t="s">
        <v>41</v>
      </c>
      <c r="D57" s="280">
        <v>3.7878787878787845</v>
      </c>
      <c r="E57" s="280">
        <v>4.7872340425531901</v>
      </c>
      <c r="F57" s="280">
        <v>4.375</v>
      </c>
      <c r="G57" s="280"/>
      <c r="H57" s="280">
        <f>+(H33/D33-1)*100</f>
        <v>19.7080291970803</v>
      </c>
      <c r="I57" s="280">
        <f>+(I33/E33-1)*100</f>
        <v>1.5228426395939021</v>
      </c>
      <c r="J57" s="280">
        <f>+(J33/F33-1)*100</f>
        <v>8.9820359281437057</v>
      </c>
      <c r="K57" s="280"/>
      <c r="L57" s="280">
        <f>+(L33/H33-1)*100</f>
        <v>11.585365853658548</v>
      </c>
      <c r="M57" s="280">
        <f>+(M33/I33-1)*100</f>
        <v>9.0000000000000071</v>
      </c>
      <c r="N57" s="280">
        <f>+(N33/J33-1)*100</f>
        <v>10.164835164835173</v>
      </c>
      <c r="O57" s="280"/>
      <c r="P57" s="280">
        <f>+(P33/L33-1)*100</f>
        <v>8.196721311475418</v>
      </c>
      <c r="Q57" s="280">
        <f>+(Q33/M33-1)*100</f>
        <v>1.8348623853210899</v>
      </c>
      <c r="R57" s="280">
        <f>+(R33/N33-1)*100</f>
        <v>4.7381546134663388</v>
      </c>
      <c r="S57" s="280"/>
      <c r="T57" s="280">
        <f>+(T33/P33-1)*100</f>
        <v>0</v>
      </c>
      <c r="U57" s="280">
        <f>+(U33/Q33-1)*100</f>
        <v>0</v>
      </c>
      <c r="V57" s="280">
        <f>+(V33/R33-1)*100</f>
        <v>0</v>
      </c>
      <c r="W57" s="280"/>
      <c r="X57" s="280">
        <f>+(X33/T33-1)*100</f>
        <v>0.5050505050504972</v>
      </c>
      <c r="Y57" s="280">
        <f>+(Y33/U33-1)*100</f>
        <v>3.6036036036036112</v>
      </c>
      <c r="Z57" s="280">
        <f>+(Z33/V33-1)*100</f>
        <v>2.1428571428571352</v>
      </c>
      <c r="AA57" s="280"/>
      <c r="AB57" s="280">
        <f>+(AB33/X33-1)*100</f>
        <v>0.50251256281406143</v>
      </c>
      <c r="AC57" s="280">
        <f>+(AC33/Y33-1)*100</f>
        <v>0.43478260869564966</v>
      </c>
      <c r="AD57" s="280">
        <f>+(AD33/Z33-1)*100</f>
        <v>0.46620046620047262</v>
      </c>
      <c r="AE57" s="280"/>
      <c r="AF57" s="280">
        <f>+(AF33/AB33-1)*100</f>
        <v>0</v>
      </c>
      <c r="AG57" s="280">
        <f>+(AG33/AC33-1)*100</f>
        <v>0</v>
      </c>
      <c r="AH57" s="281">
        <f>+(AH33/AD33-1)*100</f>
        <v>0</v>
      </c>
      <c r="AI57" s="280"/>
      <c r="AJ57" s="280">
        <f>+(AJ33/AF33-1)*100</f>
        <v>0</v>
      </c>
      <c r="AK57" s="280">
        <f>+(AK33/AG33-1)*100</f>
        <v>-57.575757575757571</v>
      </c>
      <c r="AL57" s="281">
        <f>+(AL33/AH33-1)*100</f>
        <v>-30.858468677494201</v>
      </c>
      <c r="AM57" s="280"/>
      <c r="AN57" s="280">
        <f>+(AN33/AJ33-1)*100</f>
        <v>-25</v>
      </c>
      <c r="AO57" s="280">
        <f>+(AO33/AK33-1)*100</f>
        <v>104.08163265306123</v>
      </c>
      <c r="AP57" s="281">
        <f>+(AP33/AL33-1)*100</f>
        <v>17.449664429530198</v>
      </c>
      <c r="AQ57" s="280"/>
      <c r="AR57" s="280">
        <f>+(AR33/AN33-1)*100</f>
        <v>16.666666666666675</v>
      </c>
      <c r="AS57" s="280">
        <f>+(AS33/AO33-1)*100</f>
        <v>5.0000000000000044</v>
      </c>
      <c r="AT57" s="281">
        <f>+(AT33/AP33-1)*100</f>
        <v>10.000000000000009</v>
      </c>
      <c r="AU57" s="280"/>
      <c r="AV57" s="280">
        <f>+(AV33/AR33-1)*100</f>
        <v>19.999999999999996</v>
      </c>
      <c r="AW57" s="280">
        <f>+(AW33/AS33-1)*100</f>
        <v>14.285714285714279</v>
      </c>
      <c r="AX57" s="281">
        <f>+(AX33/AT33-1)*100</f>
        <v>16.883116883116877</v>
      </c>
      <c r="AY57" s="280"/>
      <c r="AZ57" s="280">
        <f>+(AZ33/AV33-1)*100</f>
        <v>2.3809523809523725</v>
      </c>
      <c r="BA57" s="280">
        <f>+(BA33/AW33-1)*100</f>
        <v>4.1666666666666741</v>
      </c>
      <c r="BB57" s="281">
        <f>+(BB33/AX33-1)*100</f>
        <v>3.3333333333333437</v>
      </c>
      <c r="BC57" s="280"/>
      <c r="BD57" s="280">
        <f>+(BD33/AZ33-1)*100</f>
        <v>4.6511627906976827</v>
      </c>
      <c r="BE57" s="280">
        <f>+(BE33/BA33-1)*100</f>
        <v>4.0000000000000036</v>
      </c>
      <c r="BF57" s="1454">
        <f>+(BF33/BB33-1)*100</f>
        <v>4.3010752688172005</v>
      </c>
      <c r="BG57" s="280"/>
      <c r="BH57" s="280">
        <f>+(BH33/BD33-1)*100</f>
        <v>4.4444444444444509</v>
      </c>
      <c r="BI57" s="280">
        <f>+(BI33/BE33-1)*100</f>
        <v>7.6923076923076872</v>
      </c>
      <c r="BJ57" s="280">
        <f>+(BJ33/BF33-1)*100</f>
        <v>6.1855670103092786</v>
      </c>
      <c r="BK57" s="280"/>
      <c r="BL57" s="280">
        <f ca="1">+(BL33/BH33-1)*100</f>
        <v>10.638297872340431</v>
      </c>
      <c r="BM57" s="280">
        <f ca="1">+(BM33/BI33-1)*100</f>
        <v>7.1428571428571397</v>
      </c>
      <c r="BN57" s="282">
        <f ca="1">+(BN33/BJ33-1)*100</f>
        <v>8.737864077669899</v>
      </c>
      <c r="BO57" s="280"/>
      <c r="BP57" s="280">
        <f ca="1">+(BP33/BL33-1)*100</f>
        <v>3.8461538461538547</v>
      </c>
      <c r="BQ57" s="280">
        <f ca="1">+(BQ33/BM33-1)*100</f>
        <v>5.0000000000000044</v>
      </c>
      <c r="BR57" s="282">
        <f ca="1">+(BR33/BN33-1)*100</f>
        <v>4.4642857142857206</v>
      </c>
      <c r="BS57" s="286"/>
      <c r="BT57" s="144" t="s">
        <v>113</v>
      </c>
      <c r="BU57" s="283"/>
      <c r="BV57" s="283">
        <f>MODEL!BH482*100</f>
        <v>142.32117730286939</v>
      </c>
      <c r="BW57" s="283">
        <f>MODEL!BI482*100</f>
        <v>140.35501994951551</v>
      </c>
      <c r="BX57" s="283">
        <f>MODEL!BJ482*100</f>
        <v>140.35501994951551</v>
      </c>
      <c r="BY57" s="283"/>
      <c r="BZ57" s="283">
        <f>MODEL!BL482*100</f>
        <v>138.77847271567504</v>
      </c>
      <c r="CA57" s="283">
        <f>MODEL!BM482*100</f>
        <v>138.78062862711181</v>
      </c>
      <c r="CB57" s="283">
        <f>MODEL!BN482*100</f>
        <v>138.78062862711181</v>
      </c>
      <c r="CC57" s="283"/>
      <c r="CD57" s="283">
        <f>MODEL!BP482*100</f>
        <v>137.23474496600275</v>
      </c>
      <c r="CE57" s="283">
        <f>MODEL!BQ482*100</f>
        <v>135.4340280688811</v>
      </c>
      <c r="CF57" s="283">
        <f>MODEL!BR482*100</f>
        <v>135.4340280688811</v>
      </c>
      <c r="CG57" s="283">
        <f>MODEL!BS482*100</f>
        <v>0</v>
      </c>
      <c r="CH57" s="283">
        <f>MODEL!BT482*100</f>
        <v>134.98712511511485</v>
      </c>
      <c r="CI57" s="283">
        <f>MODEL!BU482*100</f>
        <v>135.45316092120424</v>
      </c>
      <c r="CJ57" s="283">
        <f>MODEL!BV482*100</f>
        <v>135.45316092120424</v>
      </c>
      <c r="CK57" s="283"/>
      <c r="CL57" s="283">
        <f>MODEL!BX482*100</f>
        <v>133.14661029185811</v>
      </c>
      <c r="CM57" s="283">
        <f>MODEL!BY482*100</f>
        <v>132.04844749431138</v>
      </c>
      <c r="CN57" s="283">
        <f>MODEL!BZ482*100</f>
        <v>132.04844749431138</v>
      </c>
      <c r="CO57" s="283"/>
      <c r="CP57" s="283">
        <f>MODEL!CB482*100</f>
        <v>130.44483547422138</v>
      </c>
      <c r="CQ57" s="283">
        <f>MODEL!CC482*100</f>
        <v>131.33513264987383</v>
      </c>
      <c r="CR57" s="283">
        <f>MODEL!CD482*100</f>
        <v>131.33513264987383</v>
      </c>
      <c r="CS57" s="283"/>
      <c r="CT57" s="283">
        <f>MODEL!CF482*100</f>
        <v>131.22561538222294</v>
      </c>
      <c r="CU57" s="283">
        <f>MODEL!CG482*100</f>
        <v>131.48434827380069</v>
      </c>
      <c r="CV57" s="283">
        <f>MODEL!CH482*100</f>
        <v>131.48434827380069</v>
      </c>
      <c r="CW57" s="283"/>
      <c r="CX57" s="283">
        <f>MODEL!CJ482*100</f>
        <v>128.7180804997989</v>
      </c>
      <c r="CY57" s="283">
        <f>MODEL!CK482*100</f>
        <v>121.63966276174246</v>
      </c>
      <c r="CZ57" s="283">
        <f>MODEL!CL482*100</f>
        <v>121.63966276174246</v>
      </c>
      <c r="DA57" s="283"/>
      <c r="DB57" s="283">
        <f>MODEL!CN482*100</f>
        <v>116.47968683566204</v>
      </c>
      <c r="DC57" s="283">
        <f>MODEL!CO482*100</f>
        <v>116.45577186642966</v>
      </c>
      <c r="DD57" s="283">
        <f>MODEL!CP482*100</f>
        <v>116.45577186642966</v>
      </c>
      <c r="DE57" s="283"/>
      <c r="DF57" s="283">
        <f>MODEL!CR482*100</f>
        <v>114.68196822109317</v>
      </c>
      <c r="DG57" s="283">
        <f>MODEL!CS482*100</f>
        <v>113.6308832121006</v>
      </c>
      <c r="DH57" s="283">
        <f>MODEL!CT482*100</f>
        <v>113.6308832121006</v>
      </c>
      <c r="DI57" s="283"/>
      <c r="DJ57" s="283">
        <f>MODEL!CV482*100</f>
        <v>114.04222198901599</v>
      </c>
      <c r="DK57" s="283">
        <f>MODEL!CW482*100</f>
        <v>113.85261211100146</v>
      </c>
      <c r="DL57" s="284">
        <f>MODEL!CX482*100</f>
        <v>113.85261211100146</v>
      </c>
      <c r="DM57" s="283"/>
      <c r="DN57" s="283">
        <f>MODEL!CZ482*100</f>
        <v>112.48558819539984</v>
      </c>
      <c r="DO57" s="283">
        <f>MODEL!DA482*100</f>
        <v>113.94020810219196</v>
      </c>
      <c r="DP57" s="284">
        <f>MODEL!DB482*100</f>
        <v>113.94020810219196</v>
      </c>
      <c r="DQ57" s="283"/>
      <c r="DR57" s="283">
        <f>MODEL!DD482*100</f>
        <v>114.07749086104589</v>
      </c>
      <c r="DS57" s="283">
        <f>MODEL!DE482*100</f>
        <v>114.23182059940382</v>
      </c>
      <c r="DT57" s="1427">
        <f>MODEL!DF482*100</f>
        <v>114.23182059940382</v>
      </c>
      <c r="DU57" s="283"/>
      <c r="DV57" s="283">
        <f>MODEL!DH482*100</f>
        <v>112.77912884920968</v>
      </c>
      <c r="DW57" s="283">
        <f>MODEL!DI482*100</f>
        <v>114.03483187747787</v>
      </c>
      <c r="DX57" s="283">
        <f>MODEL!DJ482*100</f>
        <v>114.03483187747787</v>
      </c>
      <c r="DY57" s="283"/>
      <c r="DZ57" s="283">
        <f>MODEL!DL482*100</f>
        <v>114.56357742277832</v>
      </c>
      <c r="EA57" s="283">
        <f>MODEL!DM482*100</f>
        <v>115.26891857449952</v>
      </c>
      <c r="EB57" s="283">
        <f>MODEL!DN482*100</f>
        <v>115.26891857449952</v>
      </c>
      <c r="EC57" s="283"/>
      <c r="ED57" s="283">
        <f>MODEL!DP482*100</f>
        <v>115.14488731435613</v>
      </c>
      <c r="EE57" s="283">
        <f>MODEL!DQ482*100</f>
        <v>115.17196189010146</v>
      </c>
      <c r="EF57" s="283">
        <f>MODEL!DR482*100</f>
        <v>115.17196189010146</v>
      </c>
      <c r="EG57" s="141"/>
    </row>
    <row r="58" spans="3:152" x14ac:dyDescent="0.2">
      <c r="C58" s="249" t="s">
        <v>10</v>
      </c>
      <c r="D58" s="242">
        <v>7.5603043548648108</v>
      </c>
      <c r="E58" s="242">
        <v>0.6957328385899908</v>
      </c>
      <c r="F58" s="242">
        <v>4.0490312376433302</v>
      </c>
      <c r="G58" s="242"/>
      <c r="H58" s="242">
        <f>(H6/D6-1)*100</f>
        <v>3.2811559301625604</v>
      </c>
      <c r="I58" s="242">
        <f>(I6/E6-1)*100</f>
        <v>8.7363734070320831</v>
      </c>
      <c r="J58" s="242">
        <f>(J6/F6-1)*100</f>
        <v>5.9816067492589386</v>
      </c>
      <c r="K58" s="242"/>
      <c r="L58" s="242">
        <f>(L6/H6-1)*100</f>
        <v>8.4814922763042802</v>
      </c>
      <c r="M58" s="242">
        <f>(M6/I6-1)*100</f>
        <v>7.9779723242022094</v>
      </c>
      <c r="N58" s="242">
        <f>(N6/J6-1)*100</f>
        <v>8.2257601835915128</v>
      </c>
      <c r="O58" s="242"/>
      <c r="P58" s="242">
        <f>(P6/L6-1)*100</f>
        <v>6.1391724879097165</v>
      </c>
      <c r="Q58" s="242">
        <f>(Q6/M6-1)*100</f>
        <v>3.6484896037661807</v>
      </c>
      <c r="R58" s="242">
        <f>(R6/N6-1)*100</f>
        <v>4.8770790537406405</v>
      </c>
      <c r="S58" s="242"/>
      <c r="T58" s="242">
        <f>(T6/P6-1)*100</f>
        <v>6.6573851411213747</v>
      </c>
      <c r="U58" s="242">
        <f>(U6/Q6-1)*100</f>
        <v>7.3429220287660968</v>
      </c>
      <c r="V58" s="242">
        <f>(V6/R6-1)*100</f>
        <v>7.0006950148480351</v>
      </c>
      <c r="W58" s="242"/>
      <c r="X58" s="242">
        <f>(X6/T6-1)*100</f>
        <v>3.3582532336537296</v>
      </c>
      <c r="Y58" s="242">
        <f>(Y6/U6-1)*100</f>
        <v>3.8199341795956743</v>
      </c>
      <c r="Z58" s="242">
        <f>(Z6/V6-1)*100</f>
        <v>3.5901978151756664</v>
      </c>
      <c r="AA58" s="242"/>
      <c r="AB58" s="242">
        <f>(AB6/X6-1)*100</f>
        <v>6.2801377726750873</v>
      </c>
      <c r="AC58" s="242">
        <f>(AC6/Y6-1)*100</f>
        <v>2.8529378467111899</v>
      </c>
      <c r="AD58" s="242">
        <f>(AD6/Z6-1)*100</f>
        <v>4.5545231716354051</v>
      </c>
      <c r="AE58" s="242"/>
      <c r="AF58" s="242">
        <f>(AF6/AB6-1)*100</f>
        <v>-0.7453818731770534</v>
      </c>
      <c r="AG58" s="242">
        <f>(AG6/AC6-1)*100</f>
        <v>-0.53935057787561913</v>
      </c>
      <c r="AH58" s="243">
        <f>(AH6/AD6-1)*100</f>
        <v>-0.64333224293969815</v>
      </c>
      <c r="AI58" s="242"/>
      <c r="AJ58" s="242">
        <f>(AJ6/AF6-1)*100</f>
        <v>1.7631693513278091</v>
      </c>
      <c r="AK58" s="242">
        <f>(AK6/AG6-1)*100</f>
        <v>2.4789729969012742</v>
      </c>
      <c r="AL58" s="243">
        <f>(AL6/AH6-1)*100</f>
        <v>2.1180860403863022</v>
      </c>
      <c r="AM58" s="242"/>
      <c r="AN58" s="242">
        <f>(AN6/AJ6-1)*100</f>
        <v>2.673796791443861</v>
      </c>
      <c r="AO58" s="242">
        <f>(AO6/AK6-1)*100</f>
        <v>4.7732181425485853</v>
      </c>
      <c r="AP58" s="243">
        <f>(AP6/AL6-1)*100</f>
        <v>3.718430951101559</v>
      </c>
      <c r="AQ58" s="242"/>
      <c r="AR58" s="242">
        <f>(AR6/AN6-1)*100</f>
        <v>1.5416666666666634</v>
      </c>
      <c r="AS58" s="242">
        <f>(AS6/AO6-1)*100</f>
        <v>0.23706452277880707</v>
      </c>
      <c r="AT58" s="243">
        <f>(AT6/AP6-1)*100</f>
        <v>0.885918557662424</v>
      </c>
      <c r="AU58" s="242"/>
      <c r="AV58" s="242">
        <f>(AV6/AR6-1)*100</f>
        <v>19.378334017234302</v>
      </c>
      <c r="AW58" s="242">
        <f>(AW6/AS6-1)*100</f>
        <v>17.419023136246793</v>
      </c>
      <c r="AX58" s="243">
        <f>(AX6/AT6-1)*100</f>
        <v>18.399835669901911</v>
      </c>
      <c r="AY58" s="242"/>
      <c r="AZ58" s="242">
        <f>(AZ6/AV6-1)*100</f>
        <v>-2.0022342528142945</v>
      </c>
      <c r="BA58" s="242">
        <f>(BA6/AW6-1)*100</f>
        <v>8.7573342674396315E-3</v>
      </c>
      <c r="BB58" s="243">
        <f>(BB6/AX6-1)*100</f>
        <v>-1.0062456627342176</v>
      </c>
      <c r="BC58" s="242"/>
      <c r="BD58" s="242">
        <f>(BD6/AZ6-1)*100</f>
        <v>4.6474921080322584</v>
      </c>
      <c r="BE58" s="242">
        <f>(BE6/BA6-1)*100</f>
        <v>5.8581436077057791</v>
      </c>
      <c r="BF58" s="1451">
        <f>(BF6/BB6-1)*100</f>
        <v>5.2532422011917213</v>
      </c>
      <c r="BG58" s="242"/>
      <c r="BH58" s="242">
        <f>(BH6/BD6-1)*100</f>
        <v>6.3767387296798983</v>
      </c>
      <c r="BI58" s="242">
        <f>(BI6/BE6-1)*100</f>
        <v>7.3091604946193156</v>
      </c>
      <c r="BJ58" s="242">
        <f>(BJ6/BF6-1)*100</f>
        <v>6.8459576747056161</v>
      </c>
      <c r="BK58" s="242"/>
      <c r="BL58" s="242">
        <f>(BL6/BH6-1)*100</f>
        <v>7.2101451823904483</v>
      </c>
      <c r="BM58" s="242">
        <f>(BM6/BI6-1)*100</f>
        <v>5.8079838519078386</v>
      </c>
      <c r="BN58" s="244">
        <f>(BN6/BJ6-1)*100</f>
        <v>6.5014820765423087</v>
      </c>
      <c r="BO58" s="242"/>
      <c r="BP58" s="242">
        <f>(BP6/BL6-1)*100</f>
        <v>4.5078667423954943</v>
      </c>
      <c r="BQ58" s="242">
        <f>(BQ6/BM6-1)*100</f>
        <v>4.4713642664547359</v>
      </c>
      <c r="BR58" s="244">
        <f>(BR6/BN6-1)*100</f>
        <v>4.4895382413545626</v>
      </c>
      <c r="BS58" s="286"/>
      <c r="BT58" s="144"/>
      <c r="BU58" s="4"/>
      <c r="BV58" s="4"/>
      <c r="BW58" s="4"/>
      <c r="BX58" s="4"/>
      <c r="BY58" s="4"/>
      <c r="BZ58" s="4"/>
      <c r="CA58" s="4"/>
      <c r="CB58" s="4"/>
      <c r="CC58" s="4"/>
      <c r="CD58" s="4"/>
      <c r="CE58" s="4"/>
      <c r="CF58" s="4"/>
      <c r="CG58" s="4"/>
      <c r="CH58" s="4"/>
      <c r="CI58" s="4"/>
      <c r="CJ58" s="4"/>
      <c r="CK58" s="4"/>
      <c r="CL58" s="4"/>
      <c r="CM58" s="4"/>
      <c r="CN58" s="4"/>
      <c r="CO58" s="4"/>
      <c r="CP58" s="4"/>
      <c r="CQ58" s="4"/>
      <c r="CR58" s="4"/>
      <c r="CS58" s="4"/>
      <c r="CT58" s="4"/>
      <c r="CU58" s="4"/>
      <c r="CV58" s="4"/>
      <c r="CW58" s="4"/>
      <c r="CX58" s="4"/>
      <c r="CY58" s="4"/>
      <c r="CZ58" s="4"/>
      <c r="DA58" s="4"/>
      <c r="DB58" s="4"/>
      <c r="DC58" s="4"/>
      <c r="DD58" s="4"/>
      <c r="DE58" s="4"/>
      <c r="DF58" s="4"/>
      <c r="DG58" s="4"/>
      <c r="DH58" s="4"/>
      <c r="DI58" s="4"/>
      <c r="DJ58" s="4"/>
      <c r="DK58" s="4"/>
      <c r="DL58" s="178"/>
      <c r="DM58" s="4"/>
      <c r="DN58" s="4"/>
      <c r="DO58" s="4"/>
      <c r="DP58" s="178"/>
      <c r="DQ58" s="4"/>
      <c r="DR58" s="4"/>
      <c r="DS58" s="4"/>
      <c r="DT58" s="1426"/>
      <c r="DU58" s="4"/>
      <c r="DV58" s="4"/>
      <c r="DW58" s="4"/>
      <c r="DX58" s="4"/>
      <c r="DY58" s="4"/>
      <c r="DZ58" s="4"/>
      <c r="EA58" s="4"/>
      <c r="EB58" s="4"/>
      <c r="EC58" s="4"/>
      <c r="ED58" s="4"/>
      <c r="EE58" s="4"/>
      <c r="EF58" s="4"/>
      <c r="EG58" s="287"/>
      <c r="EI58" s="266"/>
    </row>
    <row r="59" spans="3:152" x14ac:dyDescent="0.2">
      <c r="C59" s="249" t="s">
        <v>26</v>
      </c>
      <c r="D59" s="242">
        <v>-6.0916179337231924</v>
      </c>
      <c r="E59" s="242">
        <v>2.8806584362139898</v>
      </c>
      <c r="F59" s="242">
        <v>-1.7267267267267239</v>
      </c>
      <c r="G59" s="242"/>
      <c r="H59" s="242">
        <f>(H11/D11-1)*100</f>
        <v>9.2371562013492401</v>
      </c>
      <c r="I59" s="242">
        <f>(I11/E11-1)*100</f>
        <v>2.5500000000000078</v>
      </c>
      <c r="J59" s="242">
        <f>(J11/F11-1)*100</f>
        <v>5.8314234784823116</v>
      </c>
      <c r="K59" s="242"/>
      <c r="L59" s="242">
        <f>(L11/H11-1)*100</f>
        <v>6.1282660332541594</v>
      </c>
      <c r="M59" s="242">
        <f>(M11/I11-1)*100</f>
        <v>1.8527547537786404</v>
      </c>
      <c r="N59" s="242">
        <f>(N11/J11-1)*100</f>
        <v>4.0182868142444761</v>
      </c>
      <c r="O59" s="242"/>
      <c r="P59" s="242">
        <f>(P11/L11-1)*100</f>
        <v>5.4610564010743046</v>
      </c>
      <c r="Q59" s="242">
        <f>(Q11/M11-1)*100</f>
        <v>17.52034466251795</v>
      </c>
      <c r="R59" s="242">
        <f>(R11/N11-1)*100</f>
        <v>11.288457089983805</v>
      </c>
      <c r="S59" s="242"/>
      <c r="T59" s="242">
        <f>(T11/P11-1)*100</f>
        <v>2.5466893039049143</v>
      </c>
      <c r="U59" s="242">
        <f>(U11/Q11-1)*100</f>
        <v>-0.44806517311608562</v>
      </c>
      <c r="V59" s="242">
        <f>(V11/R11-1)*100</f>
        <v>1.0184992725005282</v>
      </c>
      <c r="W59" s="242"/>
      <c r="X59" s="242">
        <f>(X11/T11-1)*100</f>
        <v>24.91721854304636</v>
      </c>
      <c r="Y59" s="242">
        <f>(Y11/U11-1)*100</f>
        <v>4.7463175122749668</v>
      </c>
      <c r="Z59" s="242">
        <f>(Z11/V11-1)*100</f>
        <v>14.773662551440324</v>
      </c>
      <c r="AA59" s="242"/>
      <c r="AB59" s="242">
        <f>(AB11/X11-1)*100</f>
        <v>-10.337972166998011</v>
      </c>
      <c r="AC59" s="242">
        <f>(AC11/Y11-1)*100</f>
        <v>-1.9921874999999978</v>
      </c>
      <c r="AD59" s="242">
        <f>(AD11/Z11-1)*100</f>
        <v>-6.5077088562208729</v>
      </c>
      <c r="AE59" s="242"/>
      <c r="AF59" s="242">
        <f>(AF11/AB11-1)*100</f>
        <v>-4.8041389504804188</v>
      </c>
      <c r="AG59" s="242">
        <f>(AG11/AC11-1)*100</f>
        <v>-5.3407732164208799</v>
      </c>
      <c r="AH59" s="243">
        <f>(AH11/AD11-1)*100</f>
        <v>-5.0623202301054659</v>
      </c>
      <c r="AI59" s="242"/>
      <c r="AJ59" s="242">
        <f>(AJ11/AF11-1)*100</f>
        <v>-1.2810559006211197</v>
      </c>
      <c r="AK59" s="242">
        <f>(AK11/AG11-1)*100</f>
        <v>-3.410526315789475</v>
      </c>
      <c r="AL59" s="243">
        <f>(AL11/AH11-1)*100</f>
        <v>-2.3025651383558832</v>
      </c>
      <c r="AM59" s="242"/>
      <c r="AN59" s="242">
        <f>(AN11/AJ11-1)*100</f>
        <v>-13.881242626818713</v>
      </c>
      <c r="AO59" s="242">
        <f>(AO11/AK11-1)*100</f>
        <v>2.6155187445509931</v>
      </c>
      <c r="AP59" s="243">
        <f>(AP11/AL11-1)*100</f>
        <v>-6.0574736406863732</v>
      </c>
      <c r="AQ59" s="242"/>
      <c r="AR59" s="242">
        <f>(AR11/AN11-1)*100</f>
        <v>3.2420091324200984</v>
      </c>
      <c r="AS59" s="242">
        <f>(AS11/AO11-1)*100</f>
        <v>16.694987255734929</v>
      </c>
      <c r="AT59" s="243">
        <f>(AT11/AP11-1)*100</f>
        <v>10.2112676056338</v>
      </c>
      <c r="AU59" s="242"/>
      <c r="AV59" s="242">
        <f>(AV11/AR11-1)*100</f>
        <v>-13.401149933657674</v>
      </c>
      <c r="AW59" s="242">
        <f>(AW11/AS11-1)*100</f>
        <v>-25.773571168547505</v>
      </c>
      <c r="AX59" s="243">
        <f>(AX11/AT11-1)*100</f>
        <v>-20.187699680511184</v>
      </c>
      <c r="AY59" s="242"/>
      <c r="AZ59" s="242">
        <f>(AZ11/AV11-1)*100</f>
        <v>11.848825331971401</v>
      </c>
      <c r="BA59" s="242">
        <f>(BA11/AW11-1)*100</f>
        <v>0.49043648847473253</v>
      </c>
      <c r="BB59" s="243">
        <f>(BB11/AX11-1)*100</f>
        <v>6.054540905679251</v>
      </c>
      <c r="BC59" s="242"/>
      <c r="BD59" s="242">
        <f>(BD11/AZ11-1)*100</f>
        <v>-3.9726027397260277</v>
      </c>
      <c r="BE59" s="242">
        <f>(BE11/BA11-1)*100</f>
        <v>8.1991215226939964</v>
      </c>
      <c r="BF59" s="1451">
        <f>(BF11/BB11-1)*100</f>
        <v>1.9108280254777066</v>
      </c>
      <c r="BG59" s="242"/>
      <c r="BH59" s="242">
        <f>(BH11/BD11-1)*100</f>
        <v>7.41797432239657</v>
      </c>
      <c r="BI59" s="242">
        <f>(BI11/BE11-1)*100</f>
        <v>-1.6309427153811451</v>
      </c>
      <c r="BJ59" s="242">
        <f>(BJ11/BF11-1)*100</f>
        <v>2.7741203703703921</v>
      </c>
      <c r="BK59" s="242"/>
      <c r="BL59" s="242">
        <f>(BL11/BH11-1)*100</f>
        <v>1.5223727312970503</v>
      </c>
      <c r="BM59" s="242">
        <f>(BM11/BI11-1)*100</f>
        <v>2.7262468349380731</v>
      </c>
      <c r="BN59" s="244">
        <f>(BN11/BJ11-1)*100</f>
        <v>2.1137134159278537</v>
      </c>
      <c r="BO59" s="242"/>
      <c r="BP59" s="242">
        <f>(BP11/BL11-1)*100</f>
        <v>2.6855830572936945</v>
      </c>
      <c r="BQ59" s="242">
        <f>(BQ11/BM11-1)*100</f>
        <v>3.2617912439450558</v>
      </c>
      <c r="BR59" s="244">
        <f>(BR11/BN11-1)*100</f>
        <v>2.9703132112896435</v>
      </c>
      <c r="BS59" s="286"/>
      <c r="BT59" s="270" t="s">
        <v>114</v>
      </c>
      <c r="BU59" s="271"/>
      <c r="BV59" s="271"/>
      <c r="BW59" s="271"/>
      <c r="BX59" s="271"/>
      <c r="BY59" s="271"/>
      <c r="BZ59" s="271"/>
      <c r="CA59" s="271"/>
      <c r="CB59" s="271"/>
      <c r="CC59" s="271"/>
      <c r="CD59" s="271"/>
      <c r="CE59" s="271"/>
      <c r="CF59" s="271"/>
      <c r="CG59" s="271"/>
      <c r="CH59" s="271"/>
      <c r="CI59" s="271"/>
      <c r="CJ59" s="271"/>
      <c r="CK59" s="271"/>
      <c r="CL59" s="271"/>
      <c r="CM59" s="271"/>
      <c r="CN59" s="271"/>
      <c r="CO59" s="271"/>
      <c r="CP59" s="271"/>
      <c r="CQ59" s="271"/>
      <c r="CR59" s="271"/>
      <c r="CS59" s="271"/>
      <c r="CT59" s="271"/>
      <c r="CU59" s="271"/>
      <c r="CV59" s="271"/>
      <c r="CW59" s="271"/>
      <c r="CX59" s="271"/>
      <c r="CY59" s="271"/>
      <c r="CZ59" s="271"/>
      <c r="DA59" s="271"/>
      <c r="DB59" s="271"/>
      <c r="DC59" s="271"/>
      <c r="DD59" s="271"/>
      <c r="DE59" s="271"/>
      <c r="DF59" s="271"/>
      <c r="DG59" s="271"/>
      <c r="DH59" s="271"/>
      <c r="DI59" s="271"/>
      <c r="DJ59" s="271"/>
      <c r="DK59" s="271"/>
      <c r="DL59" s="272"/>
      <c r="DM59" s="271"/>
      <c r="DN59" s="271"/>
      <c r="DO59" s="271"/>
      <c r="DP59" s="272"/>
      <c r="DQ59" s="271"/>
      <c r="DR59" s="271"/>
      <c r="DS59" s="271"/>
      <c r="DT59" s="1425"/>
      <c r="DU59" s="271"/>
      <c r="DV59" s="271"/>
      <c r="DW59" s="271"/>
      <c r="DX59" s="271"/>
      <c r="DY59" s="271"/>
      <c r="DZ59" s="271"/>
      <c r="EA59" s="271"/>
      <c r="EB59" s="271"/>
      <c r="EC59" s="271"/>
      <c r="ED59" s="271"/>
      <c r="EE59" s="271"/>
      <c r="EF59" s="271"/>
      <c r="EG59" s="141"/>
      <c r="EI59" s="266"/>
    </row>
    <row r="60" spans="3:152" x14ac:dyDescent="0.2">
      <c r="C60" s="249" t="s">
        <v>32</v>
      </c>
      <c r="D60" s="242">
        <v>1.5894039735099286</v>
      </c>
      <c r="E60" s="242">
        <v>1.5915119363395291</v>
      </c>
      <c r="F60" s="242">
        <v>1.5904572564612307</v>
      </c>
      <c r="G60" s="242"/>
      <c r="H60" s="242">
        <f>(H13/D13-1)*100</f>
        <v>-13.820078226857891</v>
      </c>
      <c r="I60" s="242">
        <f>(I13/E13-1)*100</f>
        <v>-8.6814621409921688</v>
      </c>
      <c r="J60" s="242">
        <f>(J13/F13-1)*100</f>
        <v>-11.252446183953035</v>
      </c>
      <c r="K60" s="242"/>
      <c r="L60" s="242">
        <f>(L13/H13-1)*100</f>
        <v>11.195158850226928</v>
      </c>
      <c r="M60" s="242">
        <f>(M13/I13-1)*100</f>
        <v>8.4345961401000693</v>
      </c>
      <c r="N60" s="242">
        <f>(N13/J13-1)*100</f>
        <v>9.7758177140757176</v>
      </c>
      <c r="O60" s="242"/>
      <c r="P60" s="242">
        <f>(P13/L13-1)*100</f>
        <v>-0.27210884353741083</v>
      </c>
      <c r="Q60" s="242">
        <f>(Q13/M13-1)*100</f>
        <v>-2.8345418589321048</v>
      </c>
      <c r="R60" s="242">
        <f>(R13/N13-1)*100</f>
        <v>-1.5734851021091401</v>
      </c>
      <c r="S60" s="242"/>
      <c r="T60" s="242">
        <f>(T13/P13-1)*100</f>
        <v>7.5716234652114522</v>
      </c>
      <c r="U60" s="242">
        <f>(U13/Q13-1)*100</f>
        <v>-6.7164179104477579</v>
      </c>
      <c r="V60" s="242">
        <f>(V13/R13-1)*100</f>
        <v>0.40816326530612734</v>
      </c>
      <c r="W60" s="242"/>
      <c r="X60" s="242">
        <f>(X13/T13-1)*100</f>
        <v>-29.803424223208619</v>
      </c>
      <c r="Y60" s="242">
        <f>(Y13/U13-1)*100</f>
        <v>-23.490909090909096</v>
      </c>
      <c r="Z60" s="242">
        <f>(Z13/V13-1)*100</f>
        <v>-26.863143631436316</v>
      </c>
      <c r="AA60" s="242"/>
      <c r="AB60" s="242">
        <f>(AB13/X13-1)*100</f>
        <v>-38.030713640469735</v>
      </c>
      <c r="AC60" s="242">
        <f>(AC13/Y13-1)*100</f>
        <v>-35.456273764258547</v>
      </c>
      <c r="AD60" s="242">
        <f>(AD13/Z13-1)*100</f>
        <v>-36.776285317276511</v>
      </c>
      <c r="AE60" s="242"/>
      <c r="AF60" s="242">
        <f>(AF13/AB13-1)*100</f>
        <v>-67.055393586005835</v>
      </c>
      <c r="AG60" s="242">
        <f>(AG13/AC13-1)*100</f>
        <v>-73.784977908689257</v>
      </c>
      <c r="AH60" s="243">
        <f>(AH13/AD13-1)*100</f>
        <v>-70.402930402930394</v>
      </c>
      <c r="AI60" s="242"/>
      <c r="AJ60" s="242">
        <f>(AJ13/AF13-1)*100</f>
        <v>-42.477876106194692</v>
      </c>
      <c r="AK60" s="242">
        <f>(AK13/AG13-1)*100</f>
        <v>3.3707865168539408</v>
      </c>
      <c r="AL60" s="243">
        <f>(AL13/AH13-1)*100</f>
        <v>-22.277227722772274</v>
      </c>
      <c r="AM60" s="242"/>
      <c r="AN60" s="242">
        <f>(AN13/AJ13-1)*100</f>
        <v>31.538461538461537</v>
      </c>
      <c r="AO60" s="242">
        <f>(AO13/AK13-1)*100</f>
        <v>-24.456521739130434</v>
      </c>
      <c r="AP60" s="243">
        <f>(AP13/AL13-1)*100</f>
        <v>-1.2738853503184711</v>
      </c>
      <c r="AQ60" s="242"/>
      <c r="AR60" s="242">
        <f>(AR13/AN13-1)*100</f>
        <v>-42.690058479532169</v>
      </c>
      <c r="AS60" s="242">
        <f>(AS13/AO13-1)*100</f>
        <v>-20.863309352517987</v>
      </c>
      <c r="AT60" s="243">
        <f>(AT13/AP13-1)*100</f>
        <v>-32.903225806451609</v>
      </c>
      <c r="AU60" s="242"/>
      <c r="AV60" s="242">
        <f>(AV13/AR13-1)*100</f>
        <v>-71.428571428571431</v>
      </c>
      <c r="AW60" s="242">
        <f>(AW13/AS13-1)*100</f>
        <v>-50.909090909090907</v>
      </c>
      <c r="AX60" s="243">
        <f>(AX13/AT13-1)*100</f>
        <v>-60.57692307692308</v>
      </c>
      <c r="AY60" s="242"/>
      <c r="AZ60" s="242">
        <f>(AZ13/AV13-1)*100</f>
        <v>96.428571428571416</v>
      </c>
      <c r="BA60" s="242">
        <f>(BA13/AW13-1)*100</f>
        <v>3.7037037037036979</v>
      </c>
      <c r="BB60" s="243">
        <f>(BB13/AX13-1)*100</f>
        <v>35.365853658536594</v>
      </c>
      <c r="BC60" s="242"/>
      <c r="BD60" s="242">
        <f>(BD13/AZ13-1)*100</f>
        <v>9.0909090909090828</v>
      </c>
      <c r="BE60" s="242">
        <f>(BE13/BA13-1)*100</f>
        <v>10.714285714285721</v>
      </c>
      <c r="BF60" s="1451">
        <f>(BF13/BB13-1)*100</f>
        <v>9.9099099099099206</v>
      </c>
      <c r="BG60" s="242"/>
      <c r="BH60" s="242">
        <f>(BH13/BD13-1)*100</f>
        <v>11.66666666666667</v>
      </c>
      <c r="BI60" s="242">
        <f>(BI13/BE13-1)*100</f>
        <v>10.225806451612907</v>
      </c>
      <c r="BJ60" s="242">
        <f>(BJ13/BF13-1)*100</f>
        <v>10.934426229508198</v>
      </c>
      <c r="BK60" s="242"/>
      <c r="BL60" s="242">
        <f>(BL13/BH13-1)*100</f>
        <v>4.0399999999999991</v>
      </c>
      <c r="BM60" s="242">
        <f>(BM13/BI13-1)*100</f>
        <v>4.0399999999999991</v>
      </c>
      <c r="BN60" s="244">
        <f>(BN13/BJ13-1)*100</f>
        <v>4.0399999999999991</v>
      </c>
      <c r="BO60" s="242"/>
      <c r="BP60" s="242">
        <f>(BP13/BL13-1)*100</f>
        <v>4.0399999999999991</v>
      </c>
      <c r="BQ60" s="242">
        <f>(BQ13/BM13-1)*100</f>
        <v>4.0399999999999991</v>
      </c>
      <c r="BR60" s="244">
        <f>(BR13/BN13-1)*100</f>
        <v>4.0399999999999991</v>
      </c>
      <c r="BS60" s="286"/>
      <c r="BT60" s="322"/>
      <c r="DT60" s="1401"/>
      <c r="EG60" s="288"/>
      <c r="EI60" s="153"/>
    </row>
    <row r="61" spans="3:152" x14ac:dyDescent="0.2">
      <c r="C61" s="249" t="s">
        <v>115</v>
      </c>
      <c r="D61" s="242">
        <v>-2.835485682201011</v>
      </c>
      <c r="E61" s="242">
        <v>2.3174971031286296</v>
      </c>
      <c r="F61" s="242">
        <v>-0.29940119760478723</v>
      </c>
      <c r="G61" s="242"/>
      <c r="H61" s="242">
        <f>+((H11+H13)/(D11+D13)-1)*100</f>
        <v>-0.98237503611673382</v>
      </c>
      <c r="I61" s="242">
        <f>+((I11+I13)/(E11+E13)-1)*100</f>
        <v>-2.3216308040770128</v>
      </c>
      <c r="J61" s="242">
        <f>+((J11+J13)/(F11+F13)-1)*100</f>
        <v>-1.6588016588016563</v>
      </c>
      <c r="K61" s="242"/>
      <c r="L61" s="242">
        <f>+((L11+L13)/(H11+H13)-1)*100</f>
        <v>8.0828713160198351</v>
      </c>
      <c r="M61" s="242">
        <f>+((M11+M13)/(I11+I13)-1)*100</f>
        <v>4.5217391304347876</v>
      </c>
      <c r="N61" s="242">
        <f>+((N11+N13)/(J11+J13)-1)*100</f>
        <v>6.2963501526828614</v>
      </c>
      <c r="O61" s="242"/>
      <c r="P61" s="242">
        <f>+((P11+P13)/(L11+L13)-1)*100</f>
        <v>3.1857451403887627</v>
      </c>
      <c r="Q61" s="242">
        <f>+((Q11+Q13)/(M11+M13)-1)*100</f>
        <v>8.9572933998890658</v>
      </c>
      <c r="R61" s="242">
        <f>+((R11+R13)/(N11+N13)-1)*100</f>
        <v>6.0328317373461005</v>
      </c>
      <c r="S61" s="242"/>
      <c r="T61" s="242">
        <f>+((T11+T13)/(P11+P13)-1)*100</f>
        <v>4.4740973312401788</v>
      </c>
      <c r="U61" s="242">
        <f>+((U11+U13)/(Q11+Q13)-1)*100</f>
        <v>-2.7996945787732264</v>
      </c>
      <c r="V61" s="242">
        <f>+((V11+V13)/(R11+R13)-1)*100</f>
        <v>0.78699522642240449</v>
      </c>
      <c r="W61" s="242"/>
      <c r="X61" s="242">
        <f>+((X11+X13)/(T11+T13)-1)*100</f>
        <v>3.3057851239669311</v>
      </c>
      <c r="Y61" s="242">
        <f>+((Y11+Y13)/(U11+U13)-1)*100</f>
        <v>-5.4202670856245083</v>
      </c>
      <c r="Z61" s="242">
        <f>+((Z11+Z13)/(V11+V13)-1)*100</f>
        <v>-0.96006144393241399</v>
      </c>
      <c r="AA61" s="242"/>
      <c r="AB61" s="242">
        <f>+((AB11+AB13)/(X11+X13)-1)*100</f>
        <v>-17.76969696969697</v>
      </c>
      <c r="AC61" s="242">
        <f>+((AC11+AC13)/(Y11+Y13)-1)*100</f>
        <v>-11.738648947951269</v>
      </c>
      <c r="AD61" s="242">
        <f>+((AD11+AD13)/(Z11+Z13)-1)*100</f>
        <v>-14.954116582654775</v>
      </c>
      <c r="AE61" s="242"/>
      <c r="AF61" s="242">
        <f>+((AF11+AF13)/(AB11+AB13)-1)*100</f>
        <v>-17.393867924528305</v>
      </c>
      <c r="AG61" s="242">
        <f>+((AG11+AG13)/(AC11+AC13)-1)*100</f>
        <v>-19.918444165621075</v>
      </c>
      <c r="AH61" s="243">
        <f>+((AH11+AH13)/(AD11+AD13)-1)*100</f>
        <v>-18.617021276595747</v>
      </c>
      <c r="AI61" s="242"/>
      <c r="AJ61" s="242">
        <f>+((AJ11+AJ13)/(AF11+AF13)-1)*100</f>
        <v>-4.6038543897216293</v>
      </c>
      <c r="AK61" s="242">
        <f>+((AK11+AK13)/(AG11+AG13)-1)*100</f>
        <v>-2.9377203290246734</v>
      </c>
      <c r="AL61" s="243">
        <f>+((AL11+AL13)/(AH11+AH13)-1)*100</f>
        <v>-3.8095238095238071</v>
      </c>
      <c r="AM61" s="242"/>
      <c r="AN61" s="242">
        <f>+((AN11+AN13)/(AJ11+AJ13)-1)*100</f>
        <v>-11.672278338945008</v>
      </c>
      <c r="AO61" s="242">
        <f>+((AO11+AO13)/(AK11+AK13)-1)*100</f>
        <v>0.60532687651331241</v>
      </c>
      <c r="AP61" s="243">
        <f>+((AP11+AP13)/(AL11+AL13)-1)*100</f>
        <v>-5.7658707047175355</v>
      </c>
      <c r="AQ61" s="242"/>
      <c r="AR61" s="242">
        <f>+((AR11+AR13)/(AN11+AN13)-1)*100</f>
        <v>-8.4709868699706092E-2</v>
      </c>
      <c r="AS61" s="242">
        <f>+((AS11+AS13)/(AO11+AO13)-1)*100</f>
        <v>14.600882470918574</v>
      </c>
      <c r="AT61" s="243">
        <f>+((AT11+AT13)/(AP11+AP13)-1)*100</f>
        <v>7.4577667902760547</v>
      </c>
      <c r="AU61" s="242"/>
      <c r="AV61" s="242">
        <f>+((AV11+AV13)/(AR11+AR13)-1)*100</f>
        <v>-15.811784654514627</v>
      </c>
      <c r="AW61" s="242">
        <f>+((AW11+AW13)/(AS11+AS13)-1)*100</f>
        <v>-26.741337066853344</v>
      </c>
      <c r="AX61" s="243">
        <f>+((AX11+AX13)/(AT11+AT13)-1)*100</f>
        <v>-21.798312883435578</v>
      </c>
      <c r="AY61" s="242"/>
      <c r="AZ61" s="242">
        <f>+((AZ11+AZ13)/(AV11+AV13)-1)*100</f>
        <v>13.041289023162129</v>
      </c>
      <c r="BA61" s="242">
        <f>+((BA11+BA13)/(AW11+AW13)-1)*100</f>
        <v>0.57333970377448917</v>
      </c>
      <c r="BB61" s="243">
        <f>+((BB11+BB13)/(AX11+AX13)-1)*100</f>
        <v>6.6437852414807486</v>
      </c>
      <c r="BC61" s="242"/>
      <c r="BD61" s="242">
        <f>+((BD11+BD13)/(AZ11+AZ13)-1)*100</f>
        <v>-3.6525612472160351</v>
      </c>
      <c r="BE61" s="242">
        <f>+((BE11+BE13)/(BA11+BA13)-1)*100</f>
        <v>8.2660332541567794</v>
      </c>
      <c r="BF61" s="1451">
        <f>+((BF11+BF13)/(BB11+BB13)-1)*100</f>
        <v>2.1149425287356305</v>
      </c>
      <c r="BG61" s="242"/>
      <c r="BH61" s="242">
        <f>+((BH11+BH13)/(BD11+BD13)-1)*100</f>
        <v>7.5358298659269574</v>
      </c>
      <c r="BI61" s="242">
        <f>+((BI11+BI13)/(BE11+BE13)-1)*100</f>
        <v>-1.3083808688020948</v>
      </c>
      <c r="BJ61" s="242">
        <f>+((BJ11+BJ13)/(BF11+BF13)-1)*100</f>
        <v>2.9982440342188443</v>
      </c>
      <c r="BK61" s="242"/>
      <c r="BL61" s="242">
        <f>+((BL11+BL13)/(BH11+BH13)-1)*100</f>
        <v>1.5948925193465247</v>
      </c>
      <c r="BM61" s="242">
        <f>+((BM11+BM13)/(BI11+BI13)-1)*100</f>
        <v>2.7661644099943761</v>
      </c>
      <c r="BN61" s="244">
        <f>+((BN11+BN13)/(BJ11+BJ13)-1)*100</f>
        <v>2.1706955482863721</v>
      </c>
      <c r="BO61" s="242"/>
      <c r="BP61" s="242">
        <f>+((BP11+BP13)/(BL11+BL13)-1)*100</f>
        <v>2.7255357392831803</v>
      </c>
      <c r="BQ61" s="242">
        <f>+((BQ11+BQ13)/(BM11+BM13)-1)*100</f>
        <v>3.2857297301924993</v>
      </c>
      <c r="BR61" s="244">
        <f>+((BR11+BR13)/(BN11+BN13)-1)*100</f>
        <v>3.0025349092876352</v>
      </c>
      <c r="BS61" s="286"/>
      <c r="BT61" s="1472" t="s">
        <v>1128</v>
      </c>
      <c r="DP61" s="923">
        <f>MODEL!DB223</f>
        <v>9638</v>
      </c>
      <c r="DQ61" s="923">
        <f>MODEL!DC223</f>
        <v>0</v>
      </c>
      <c r="DR61" s="923">
        <f>MODEL!DD223</f>
        <v>10313</v>
      </c>
      <c r="DS61" s="923">
        <f>MODEL!DE223</f>
        <v>11002</v>
      </c>
      <c r="DT61" s="1475">
        <f>MODEL!DF223</f>
        <v>11002</v>
      </c>
      <c r="DU61" s="923"/>
      <c r="DV61" s="923">
        <f>MODEL!DH223</f>
        <v>10469</v>
      </c>
      <c r="DW61" s="923">
        <f>MODEL!DI223</f>
        <v>11220.457660815664</v>
      </c>
      <c r="DX61" s="923">
        <f>MODEL!DJ223</f>
        <v>11220.457660815664</v>
      </c>
      <c r="DY61" s="923"/>
      <c r="DZ61" s="923">
        <f>MODEL!DL223</f>
        <v>11551.598063668094</v>
      </c>
      <c r="EA61" s="923">
        <f>MODEL!DM223</f>
        <v>12136.20450576274</v>
      </c>
      <c r="EB61" s="923">
        <f>MODEL!DN223</f>
        <v>12136.20450576274</v>
      </c>
      <c r="EC61" s="923"/>
      <c r="ED61" s="923">
        <f>MODEL!DP223</f>
        <v>12599.631845083522</v>
      </c>
      <c r="EE61" s="923">
        <f>MODEL!DQ223</f>
        <v>13335.721517298365</v>
      </c>
      <c r="EF61" s="923">
        <f>MODEL!DR223</f>
        <v>13335.721517298365</v>
      </c>
      <c r="EG61" s="291"/>
    </row>
    <row r="62" spans="3:152" x14ac:dyDescent="0.2">
      <c r="C62" s="53" t="s">
        <v>34</v>
      </c>
      <c r="D62" s="292">
        <v>3.7580860457952614</v>
      </c>
      <c r="E62" s="292">
        <v>1.2600806451612989</v>
      </c>
      <c r="F62" s="292">
        <v>2.4975838038557407</v>
      </c>
      <c r="G62" s="292"/>
      <c r="H62" s="292">
        <f t="shared" ref="H62:J65" si="51">(H14/D14-1)*100</f>
        <v>1.8208807521029158</v>
      </c>
      <c r="I62" s="292">
        <f t="shared" si="51"/>
        <v>4.8481831757092975</v>
      </c>
      <c r="J62" s="292">
        <f t="shared" si="51"/>
        <v>3.3300248138957711</v>
      </c>
      <c r="K62" s="292"/>
      <c r="L62" s="292">
        <f t="shared" ref="L62:N65" si="52">(L14/H14-1)*100</f>
        <v>8.348721936048209</v>
      </c>
      <c r="M62" s="292">
        <f t="shared" si="52"/>
        <v>6.8458032662362278</v>
      </c>
      <c r="N62" s="292">
        <f t="shared" si="52"/>
        <v>7.5884923874933952</v>
      </c>
      <c r="O62" s="292"/>
      <c r="P62" s="292">
        <f t="shared" ref="P62:R65" si="53">(P14/L14-1)*100</f>
        <v>5.1578758521708012</v>
      </c>
      <c r="Q62" s="292">
        <f t="shared" si="53"/>
        <v>5.3496845285701644</v>
      </c>
      <c r="R62" s="292">
        <f t="shared" si="53"/>
        <v>5.2542297218874268</v>
      </c>
      <c r="S62" s="292"/>
      <c r="T62" s="292">
        <f t="shared" ref="T62:V65" si="54">(T14/P14-1)*100</f>
        <v>5.9455770707156796</v>
      </c>
      <c r="U62" s="292">
        <f t="shared" si="54"/>
        <v>3.9814424293546979</v>
      </c>
      <c r="V62" s="292">
        <f t="shared" si="54"/>
        <v>4.9580117058274586</v>
      </c>
      <c r="W62" s="292"/>
      <c r="X62" s="292">
        <f t="shared" ref="X62:Z65" si="55">(X14/T14-1)*100</f>
        <v>3.3413848631239862</v>
      </c>
      <c r="Y62" s="292">
        <f t="shared" si="55"/>
        <v>0.95724831670316313</v>
      </c>
      <c r="Z62" s="292">
        <f t="shared" si="55"/>
        <v>2.1537964197680504</v>
      </c>
      <c r="AA62" s="292"/>
      <c r="AB62" s="292">
        <f t="shared" ref="AB62:AD65" si="56">(AB14/X14-1)*100</f>
        <v>-1.4491624464355257</v>
      </c>
      <c r="AC62" s="292">
        <f t="shared" si="56"/>
        <v>-1.3820811570911973</v>
      </c>
      <c r="AD62" s="292">
        <f t="shared" si="56"/>
        <v>-1.4161392405063311</v>
      </c>
      <c r="AE62" s="292"/>
      <c r="AF62" s="292">
        <f t="shared" ref="AF62:AH65" si="57">(AF14/AB14-1)*100</f>
        <v>-5.2098980156534136</v>
      </c>
      <c r="AG62" s="292">
        <f t="shared" si="57"/>
        <v>-5.5732094842336881</v>
      </c>
      <c r="AH62" s="293">
        <f t="shared" si="57"/>
        <v>-5.3888130968622105</v>
      </c>
      <c r="AI62" s="292"/>
      <c r="AJ62" s="292">
        <f t="shared" ref="AJ62:AL65" si="58">(AJ14/AF14-1)*100</f>
        <v>0.27522935779815683</v>
      </c>
      <c r="AK62" s="292">
        <f t="shared" si="58"/>
        <v>1.2857019587539931</v>
      </c>
      <c r="AL62" s="293">
        <f t="shared" si="58"/>
        <v>0.77187327706857989</v>
      </c>
      <c r="AM62" s="292"/>
      <c r="AN62" s="292">
        <f t="shared" ref="AN62:AP65" si="59">(AN14/AJ14-1)*100</f>
        <v>-0.51567828329035503</v>
      </c>
      <c r="AO62" s="292">
        <f t="shared" si="59"/>
        <v>3.8933378769807403</v>
      </c>
      <c r="AP62" s="293">
        <f t="shared" si="59"/>
        <v>1.6623879466352465</v>
      </c>
      <c r="AQ62" s="292"/>
      <c r="AR62" s="292">
        <f t="shared" ref="AR62:AT65" si="60">(AR14/AN14-1)*100</f>
        <v>1.2206337262770761</v>
      </c>
      <c r="AS62" s="292">
        <f t="shared" si="60"/>
        <v>3.1734317343173446</v>
      </c>
      <c r="AT62" s="293">
        <f t="shared" si="60"/>
        <v>2.2064911409173771</v>
      </c>
      <c r="AU62" s="292"/>
      <c r="AV62" s="292">
        <f t="shared" ref="AV62:AX64" si="61">(AV14/AR14-1)*100</f>
        <v>12.521681671760131</v>
      </c>
      <c r="AW62" s="292">
        <f t="shared" si="61"/>
        <v>7.3915116833571659</v>
      </c>
      <c r="AX62" s="293">
        <f t="shared" si="61"/>
        <v>9.907246142006553</v>
      </c>
      <c r="AY62" s="292"/>
      <c r="AZ62" s="292">
        <f t="shared" ref="AZ62:BB65" si="62">(AZ14/AV14-1)*100</f>
        <v>0.19085370329590123</v>
      </c>
      <c r="BA62" s="292">
        <f t="shared" si="62"/>
        <v>9.6210775606864196E-2</v>
      </c>
      <c r="BB62" s="293">
        <f t="shared" si="62"/>
        <v>0.14372581536761242</v>
      </c>
      <c r="BC62" s="292"/>
      <c r="BD62" s="292">
        <f t="shared" ref="BD62:BF65" si="63">(BD14/AZ14-1)*100</f>
        <v>3.2822917429848442</v>
      </c>
      <c r="BE62" s="292">
        <f t="shared" si="63"/>
        <v>6.2329020332717144</v>
      </c>
      <c r="BF62" s="1455">
        <f t="shared" si="63"/>
        <v>4.7508647972326568</v>
      </c>
      <c r="BG62" s="292"/>
      <c r="BH62" s="292">
        <f t="shared" ref="BH62:BJ65" si="64">(BH14/BD14-1)*100</f>
        <v>6.5545860821451418</v>
      </c>
      <c r="BI62" s="292">
        <f t="shared" si="64"/>
        <v>5.942277367723614</v>
      </c>
      <c r="BJ62" s="292">
        <f t="shared" si="64"/>
        <v>6.2455169934815702</v>
      </c>
      <c r="BK62" s="292"/>
      <c r="BL62" s="292">
        <f t="shared" ref="BL62:BN65" si="65">(BL14/BH14-1)*100</f>
        <v>6.3406239990977165</v>
      </c>
      <c r="BM62" s="292">
        <f t="shared" si="65"/>
        <v>5.358522445031122</v>
      </c>
      <c r="BN62" s="294">
        <f t="shared" si="65"/>
        <v>5.846313062025521</v>
      </c>
      <c r="BO62" s="292"/>
      <c r="BP62" s="292">
        <f t="shared" ref="BP62:BP65" si="66">(BP14/BL14-1)*100</f>
        <v>4.2441899562077223</v>
      </c>
      <c r="BQ62" s="292">
        <f t="shared" ref="BQ62:BQ65" si="67">(BQ14/BM14-1)*100</f>
        <v>4.3004846372896699</v>
      </c>
      <c r="BR62" s="294">
        <f t="shared" ref="BR62:BR65" si="68">(BR14/BN14-1)*100</f>
        <v>4.2723935935171875</v>
      </c>
      <c r="BS62" s="286"/>
      <c r="BT62" s="322" t="s">
        <v>1129</v>
      </c>
      <c r="DP62" s="850">
        <f>MODEL!DB232</f>
        <v>7.9204335395200581E-3</v>
      </c>
      <c r="DQ62" s="850">
        <f>MODEL!DC232</f>
        <v>0</v>
      </c>
      <c r="DR62" s="850">
        <f>MODEL!DD232</f>
        <v>8.1554435104319277E-3</v>
      </c>
      <c r="DS62" s="850">
        <f>MODEL!DE232</f>
        <v>8.5600408708483167E-3</v>
      </c>
      <c r="DT62" s="1476">
        <f>MODEL!DF232</f>
        <v>8.5600408708483167E-3</v>
      </c>
      <c r="DU62" s="850"/>
      <c r="DV62" s="850">
        <f>MODEL!DH232</f>
        <v>7.8847422468131187E-3</v>
      </c>
      <c r="DW62" s="850">
        <f>MODEL!DI232</f>
        <v>8.180343199411735E-3</v>
      </c>
      <c r="DX62" s="850">
        <f>MODEL!DJ232</f>
        <v>8.180343199411735E-3</v>
      </c>
      <c r="DY62" s="850"/>
      <c r="DZ62" s="850">
        <f>MODEL!DL232</f>
        <v>8.1892756790791065E-3</v>
      </c>
      <c r="EA62" s="850">
        <f>MODEL!DM232</f>
        <v>8.5303325600703857E-3</v>
      </c>
      <c r="EB62" s="850">
        <f>MODEL!DN232</f>
        <v>8.5303325600703857E-3</v>
      </c>
      <c r="EC62" s="850"/>
      <c r="ED62" s="850">
        <f>MODEL!DP232</f>
        <v>8.6845348651850996E-3</v>
      </c>
      <c r="EE62" s="850">
        <f>MODEL!DQ232</f>
        <v>9.0285446792435411E-3</v>
      </c>
      <c r="EF62" s="850">
        <f>MODEL!DR232</f>
        <v>9.0285446792435411E-3</v>
      </c>
      <c r="EG62" s="287"/>
    </row>
    <row r="63" spans="3:152" x14ac:dyDescent="0.2">
      <c r="C63" s="249" t="s">
        <v>116</v>
      </c>
      <c r="D63" s="242">
        <v>4.4010889292195987</v>
      </c>
      <c r="E63" s="242">
        <v>2.4760205219718889</v>
      </c>
      <c r="F63" s="242">
        <v>3.4304352716229891</v>
      </c>
      <c r="G63" s="242"/>
      <c r="H63" s="242">
        <f t="shared" si="51"/>
        <v>-2.933507170795302</v>
      </c>
      <c r="I63" s="242">
        <f t="shared" si="51"/>
        <v>-1.1101436656508534</v>
      </c>
      <c r="J63" s="242">
        <f t="shared" si="51"/>
        <v>-2.0226185297955612</v>
      </c>
      <c r="K63" s="242"/>
      <c r="L63" s="242">
        <f t="shared" si="52"/>
        <v>6.3577344974255601</v>
      </c>
      <c r="M63" s="242">
        <f t="shared" si="52"/>
        <v>4.512436715826551</v>
      </c>
      <c r="N63" s="242">
        <f t="shared" si="52"/>
        <v>5.4273029966703579</v>
      </c>
      <c r="O63" s="242"/>
      <c r="P63" s="242">
        <f t="shared" si="53"/>
        <v>3.4308566617554215</v>
      </c>
      <c r="Q63" s="242">
        <f t="shared" si="53"/>
        <v>6.9713563605728668</v>
      </c>
      <c r="R63" s="242">
        <f t="shared" si="53"/>
        <v>5.2005474260448548</v>
      </c>
      <c r="S63" s="242"/>
      <c r="T63" s="242">
        <f t="shared" si="54"/>
        <v>6.0236060236060318</v>
      </c>
      <c r="U63" s="242">
        <f t="shared" si="54"/>
        <v>2.8548926954124809</v>
      </c>
      <c r="V63" s="242">
        <f t="shared" si="54"/>
        <v>4.413089162413697</v>
      </c>
      <c r="W63" s="242"/>
      <c r="X63" s="242">
        <f t="shared" si="55"/>
        <v>5.0671785028790772</v>
      </c>
      <c r="Y63" s="242">
        <f t="shared" si="55"/>
        <v>-1.4548238897396648</v>
      </c>
      <c r="Z63" s="242">
        <f t="shared" si="55"/>
        <v>1.8018018018018056</v>
      </c>
      <c r="AA63" s="242"/>
      <c r="AB63" s="242">
        <f t="shared" si="56"/>
        <v>-0.32882718304713121</v>
      </c>
      <c r="AC63" s="242">
        <f t="shared" si="56"/>
        <v>7.5951825951825924</v>
      </c>
      <c r="AD63" s="242">
        <f t="shared" si="56"/>
        <v>3.5115797401619187</v>
      </c>
      <c r="AE63" s="242"/>
      <c r="AF63" s="242">
        <f t="shared" si="57"/>
        <v>-7.1480938416422335</v>
      </c>
      <c r="AG63" s="242">
        <f t="shared" si="57"/>
        <v>3.9537822711680715</v>
      </c>
      <c r="AH63" s="243">
        <f t="shared" si="57"/>
        <v>-1.5552523874488355</v>
      </c>
      <c r="AI63" s="242"/>
      <c r="AJ63" s="242">
        <f t="shared" si="58"/>
        <v>3.7702329253849198</v>
      </c>
      <c r="AK63" s="242">
        <f t="shared" si="58"/>
        <v>-0.32997568600208194</v>
      </c>
      <c r="AL63" s="243">
        <f t="shared" si="58"/>
        <v>1.5890613451589042</v>
      </c>
      <c r="AM63" s="242"/>
      <c r="AN63" s="242">
        <f t="shared" si="59"/>
        <v>6.3534335172151346</v>
      </c>
      <c r="AO63" s="242">
        <f t="shared" si="59"/>
        <v>0.50531451472382027</v>
      </c>
      <c r="AP63" s="243">
        <f t="shared" si="59"/>
        <v>3.3012004365223779</v>
      </c>
      <c r="AQ63" s="242"/>
      <c r="AR63" s="242">
        <f t="shared" si="60"/>
        <v>-1.8064746914684293</v>
      </c>
      <c r="AS63" s="242">
        <f t="shared" si="60"/>
        <v>2.9472954230235882</v>
      </c>
      <c r="AT63" s="243">
        <f t="shared" si="60"/>
        <v>0.60744783871820029</v>
      </c>
      <c r="AU63" s="242"/>
      <c r="AV63" s="242">
        <f t="shared" si="61"/>
        <v>5.1548269581056516</v>
      </c>
      <c r="AW63" s="242">
        <f t="shared" si="61"/>
        <v>2.4755810037049519</v>
      </c>
      <c r="AX63" s="243">
        <f t="shared" si="61"/>
        <v>3.762688134406722</v>
      </c>
      <c r="AY63" s="242"/>
      <c r="AZ63" s="242">
        <f t="shared" si="62"/>
        <v>4.1226398752814752</v>
      </c>
      <c r="BA63" s="242">
        <f t="shared" si="62"/>
        <v>2.0049301561216204</v>
      </c>
      <c r="BB63" s="243">
        <f t="shared" si="62"/>
        <v>3.0359251138471821</v>
      </c>
      <c r="BC63" s="242"/>
      <c r="BD63" s="242">
        <f t="shared" si="63"/>
        <v>6.0056562967892191</v>
      </c>
      <c r="BE63" s="242">
        <f t="shared" si="63"/>
        <v>6.7182213629772836</v>
      </c>
      <c r="BF63" s="1451">
        <f t="shared" si="63"/>
        <v>6.3676542805696457</v>
      </c>
      <c r="BG63" s="242"/>
      <c r="BH63" s="242">
        <f t="shared" si="64"/>
        <v>8.1293157564344085</v>
      </c>
      <c r="BI63" s="242">
        <f t="shared" si="64"/>
        <v>2.5090670505328871</v>
      </c>
      <c r="BJ63" s="242">
        <f t="shared" si="64"/>
        <v>5.2647014575815554</v>
      </c>
      <c r="BK63" s="242"/>
      <c r="BL63" s="242">
        <f t="shared" si="65"/>
        <v>1.6124606186552537</v>
      </c>
      <c r="BM63" s="242">
        <f t="shared" si="65"/>
        <v>4.1566825554119724</v>
      </c>
      <c r="BN63" s="244">
        <f t="shared" si="65"/>
        <v>2.875291320372253</v>
      </c>
      <c r="BO63" s="242"/>
      <c r="BP63" s="242">
        <f t="shared" si="66"/>
        <v>4.1266272166461393</v>
      </c>
      <c r="BQ63" s="242">
        <f t="shared" si="67"/>
        <v>4.3798333276386048</v>
      </c>
      <c r="BR63" s="244">
        <f t="shared" si="68"/>
        <v>4.2538721160733317</v>
      </c>
      <c r="BS63" s="286"/>
      <c r="BT63" s="322" t="s">
        <v>1143</v>
      </c>
      <c r="DP63" s="850">
        <f>MODEL!DB235</f>
        <v>2.2253849684403778E-3</v>
      </c>
      <c r="DQ63" s="850">
        <f>MODEL!DC235</f>
        <v>0</v>
      </c>
      <c r="DR63" s="850">
        <f>MODEL!DD235</f>
        <v>2.3961922847110244E-3</v>
      </c>
      <c r="DS63" s="850">
        <f>MODEL!DE235</f>
        <v>2.2699464406826376E-3</v>
      </c>
      <c r="DT63" s="1476">
        <f>MODEL!DF235</f>
        <v>2.2699464406826376E-3</v>
      </c>
      <c r="DU63" s="850"/>
      <c r="DV63" s="850">
        <f>MODEL!DH235</f>
        <v>2.0953528543701167E-3</v>
      </c>
      <c r="DW63" s="850">
        <f>MODEL!DI235</f>
        <v>2.1557254404706134E-3</v>
      </c>
      <c r="DX63" s="850">
        <f>MODEL!DJ235</f>
        <v>2.1557254404706134E-3</v>
      </c>
      <c r="DY63" s="850"/>
      <c r="DZ63" s="850">
        <f>MODEL!DL235</f>
        <v>2.148579456736716E-3</v>
      </c>
      <c r="EA63" s="850">
        <f>MODEL!DM235</f>
        <v>2.0030107679534378E-3</v>
      </c>
      <c r="EB63" s="850">
        <f>MODEL!DN235</f>
        <v>2.0030107679534378E-3</v>
      </c>
      <c r="EC63" s="850"/>
      <c r="ED63" s="850">
        <f>MODEL!DP235</f>
        <v>2.0010833466173454E-3</v>
      </c>
      <c r="EE63" s="850">
        <f>MODEL!DQ235</f>
        <v>2.0041935198850413E-3</v>
      </c>
      <c r="EF63" s="850">
        <f>MODEL!DR235</f>
        <v>2.0041935198850413E-3</v>
      </c>
      <c r="EG63" s="151"/>
    </row>
    <row r="64" spans="3:152" x14ac:dyDescent="0.2">
      <c r="C64" s="295" t="s">
        <v>39</v>
      </c>
      <c r="D64" s="296">
        <v>3.2264115550553418</v>
      </c>
      <c r="E64" s="296">
        <v>0.25749494206364076</v>
      </c>
      <c r="F64" s="296">
        <v>1.7273402674591321</v>
      </c>
      <c r="G64" s="296"/>
      <c r="H64" s="296">
        <f t="shared" si="51"/>
        <v>5.7968380883154591</v>
      </c>
      <c r="I64" s="296">
        <f t="shared" si="51"/>
        <v>9.8697486699688142</v>
      </c>
      <c r="J64" s="296">
        <f t="shared" si="51"/>
        <v>7.8236260726675111</v>
      </c>
      <c r="K64" s="296"/>
      <c r="L64" s="296">
        <f t="shared" si="52"/>
        <v>9.8763311576777646</v>
      </c>
      <c r="M64" s="296">
        <f t="shared" si="52"/>
        <v>8.6157956253130727</v>
      </c>
      <c r="N64" s="296">
        <f t="shared" si="52"/>
        <v>9.2371518076369554</v>
      </c>
      <c r="O64" s="296"/>
      <c r="P64" s="296">
        <f t="shared" si="53"/>
        <v>6.4405189932780882</v>
      </c>
      <c r="Q64" s="296">
        <f t="shared" si="53"/>
        <v>4.1660261337432836</v>
      </c>
      <c r="R64" s="296">
        <f t="shared" si="53"/>
        <v>5.2937529065261169</v>
      </c>
      <c r="S64" s="296"/>
      <c r="T64" s="296">
        <f t="shared" si="54"/>
        <v>5.889264209134959</v>
      </c>
      <c r="U64" s="296">
        <f t="shared" si="54"/>
        <v>4.8258559622196051</v>
      </c>
      <c r="V64" s="296">
        <f t="shared" si="54"/>
        <v>5.3588516746411408</v>
      </c>
      <c r="W64" s="296"/>
      <c r="X64" s="296">
        <f t="shared" si="55"/>
        <v>2.0943134535367447</v>
      </c>
      <c r="Y64" s="296">
        <f t="shared" si="55"/>
        <v>2.731240320991124</v>
      </c>
      <c r="Z64" s="296">
        <f t="shared" si="55"/>
        <v>2.410396143366178</v>
      </c>
      <c r="AA64" s="296"/>
      <c r="AB64" s="296">
        <f t="shared" si="56"/>
        <v>-2.282298600733601</v>
      </c>
      <c r="AC64" s="296">
        <f t="shared" si="56"/>
        <v>-7.7154995203508321</v>
      </c>
      <c r="AD64" s="296">
        <f t="shared" si="56"/>
        <v>-4.9870377950607221</v>
      </c>
      <c r="AE64" s="296"/>
      <c r="AF64" s="296">
        <f t="shared" si="57"/>
        <v>-3.7397469762268876</v>
      </c>
      <c r="AG64" s="296">
        <f t="shared" si="57"/>
        <v>-13.409563409563408</v>
      </c>
      <c r="AH64" s="297">
        <f t="shared" si="57"/>
        <v>-8.4153083937675071</v>
      </c>
      <c r="AI64" s="296"/>
      <c r="AJ64" s="296">
        <f t="shared" si="58"/>
        <v>-2.281917966493352</v>
      </c>
      <c r="AK64" s="296">
        <f t="shared" si="58"/>
        <v>2.881152460984393</v>
      </c>
      <c r="AL64" s="297">
        <f t="shared" si="58"/>
        <v>7.8400627205010842E-2</v>
      </c>
      <c r="AM64" s="296"/>
      <c r="AN64" s="296">
        <f t="shared" si="59"/>
        <v>-5.852793378657994</v>
      </c>
      <c r="AO64" s="296">
        <f t="shared" si="59"/>
        <v>7.1345224204033997</v>
      </c>
      <c r="AP64" s="297">
        <f t="shared" si="59"/>
        <v>0.25068546807678338</v>
      </c>
      <c r="AQ64" s="296"/>
      <c r="AR64" s="296">
        <f t="shared" si="60"/>
        <v>3.8775510204081653</v>
      </c>
      <c r="AS64" s="296">
        <f t="shared" si="60"/>
        <v>3.3763808931072115</v>
      </c>
      <c r="AT64" s="297">
        <f t="shared" si="60"/>
        <v>3.6258498085488755</v>
      </c>
      <c r="AU64" s="296"/>
      <c r="AV64" s="296">
        <f t="shared" si="61"/>
        <v>18.633821973704091</v>
      </c>
      <c r="AW64" s="296">
        <f t="shared" si="61"/>
        <v>11.785069235400369</v>
      </c>
      <c r="AX64" s="297">
        <f t="shared" si="61"/>
        <v>15.202473418294238</v>
      </c>
      <c r="AY64" s="296"/>
      <c r="AZ64" s="296">
        <f t="shared" si="62"/>
        <v>-2.7006369426751609</v>
      </c>
      <c r="BA64" s="296">
        <f t="shared" si="62"/>
        <v>-1.4676181499932661</v>
      </c>
      <c r="BB64" s="297">
        <f t="shared" si="62"/>
        <v>-2.1011978791647623</v>
      </c>
      <c r="BC64" s="296"/>
      <c r="BD64" s="296">
        <f t="shared" si="63"/>
        <v>1.1390416339355891</v>
      </c>
      <c r="BE64" s="296">
        <f t="shared" si="63"/>
        <v>5.8212626400655942</v>
      </c>
      <c r="BF64" s="1456">
        <f t="shared" si="63"/>
        <v>3.4300615137737411</v>
      </c>
      <c r="BG64" s="296"/>
      <c r="BH64" s="296">
        <f t="shared" si="64"/>
        <v>5.2556634304207206</v>
      </c>
      <c r="BI64" s="296">
        <f t="shared" si="64"/>
        <v>8.8789490026760287</v>
      </c>
      <c r="BJ64" s="296">
        <f t="shared" si="64"/>
        <v>7.0695313903111456</v>
      </c>
      <c r="BK64" s="296"/>
      <c r="BL64" s="296">
        <f t="shared" si="65"/>
        <v>10.347147881922524</v>
      </c>
      <c r="BM64" s="296">
        <f t="shared" si="65"/>
        <v>6.3263989660634845</v>
      </c>
      <c r="BN64" s="298">
        <f t="shared" si="65"/>
        <v>8.3002881768651235</v>
      </c>
      <c r="BO64" s="296"/>
      <c r="BP64" s="296">
        <f t="shared" si="66"/>
        <v>4.3359240583112912</v>
      </c>
      <c r="BQ64" s="296">
        <f t="shared" si="67"/>
        <v>4.2378868276726545</v>
      </c>
      <c r="BR64" s="298">
        <f t="shared" si="68"/>
        <v>4.2869254606125562</v>
      </c>
      <c r="BS64" s="286"/>
      <c r="BT64" s="1472" t="s">
        <v>1130</v>
      </c>
      <c r="DP64" s="1349">
        <f>MODEL!DB236</f>
        <v>1.0145818507960435E-2</v>
      </c>
      <c r="DQ64" s="1349">
        <f>MODEL!DC236</f>
        <v>0</v>
      </c>
      <c r="DR64" s="1349">
        <f>MODEL!DD236</f>
        <v>1.0551635795142953E-2</v>
      </c>
      <c r="DS64" s="1349">
        <f>MODEL!DE236</f>
        <v>1.0829987311530953E-2</v>
      </c>
      <c r="DT64" s="1477">
        <f>MODEL!DF236</f>
        <v>1.0829987311530953E-2</v>
      </c>
      <c r="DU64" s="1349"/>
      <c r="DV64" s="1349">
        <f>MODEL!DH236</f>
        <v>9.980095101183235E-3</v>
      </c>
      <c r="DW64" s="1349">
        <f>MODEL!DI236</f>
        <v>1.0336068639882349E-2</v>
      </c>
      <c r="DX64" s="1349">
        <f>MODEL!DJ236</f>
        <v>1.0336068639882349E-2</v>
      </c>
      <c r="DY64" s="1349"/>
      <c r="DZ64" s="1349">
        <f>MODEL!DL236</f>
        <v>1.0337855135815822E-2</v>
      </c>
      <c r="EA64" s="1349">
        <f>MODEL!DM236</f>
        <v>1.0533343328023824E-2</v>
      </c>
      <c r="EB64" s="1349">
        <f>MODEL!DN236</f>
        <v>1.0533343328023824E-2</v>
      </c>
      <c r="EC64" s="1349"/>
      <c r="ED64" s="1349">
        <f>MODEL!DP236</f>
        <v>1.0685618211802445E-2</v>
      </c>
      <c r="EE64" s="1349">
        <f>MODEL!DQ236</f>
        <v>1.1032738199128582E-2</v>
      </c>
      <c r="EF64" s="1349">
        <f>MODEL!DR236</f>
        <v>1.1032738199128582E-2</v>
      </c>
      <c r="EG64" s="151"/>
    </row>
    <row r="65" spans="3:140" x14ac:dyDescent="0.2">
      <c r="C65" s="249" t="s">
        <v>42</v>
      </c>
      <c r="D65" s="292">
        <v>-24.51523545706371</v>
      </c>
      <c r="E65" s="292">
        <v>-2.508960573476704</v>
      </c>
      <c r="F65" s="292">
        <v>-14.921875</v>
      </c>
      <c r="G65" s="292"/>
      <c r="H65" s="242">
        <f t="shared" si="51"/>
        <v>13.027522935779823</v>
      </c>
      <c r="I65" s="242">
        <f t="shared" si="51"/>
        <v>-14.338235294117652</v>
      </c>
      <c r="J65" s="242">
        <f t="shared" si="51"/>
        <v>-0.64279155188246007</v>
      </c>
      <c r="K65" s="242"/>
      <c r="L65" s="242">
        <f t="shared" si="52"/>
        <v>-25.811688311688307</v>
      </c>
      <c r="M65" s="242">
        <f t="shared" si="52"/>
        <v>6.4377682403433445</v>
      </c>
      <c r="N65" s="242">
        <f t="shared" si="52"/>
        <v>-11.922365988909423</v>
      </c>
      <c r="O65" s="242"/>
      <c r="P65" s="242">
        <f t="shared" si="53"/>
        <v>-3.7199124726477018</v>
      </c>
      <c r="Q65" s="242">
        <f t="shared" si="53"/>
        <v>10.483870967741925</v>
      </c>
      <c r="R65" s="242">
        <f t="shared" si="53"/>
        <v>3.6726128016788984</v>
      </c>
      <c r="S65" s="242"/>
      <c r="T65" s="242">
        <f t="shared" si="54"/>
        <v>28.181818181818173</v>
      </c>
      <c r="U65" s="242">
        <f t="shared" si="54"/>
        <v>26.277372262773714</v>
      </c>
      <c r="V65" s="242">
        <f t="shared" si="54"/>
        <v>27.125506072874494</v>
      </c>
      <c r="W65" s="242"/>
      <c r="X65" s="242">
        <f t="shared" si="55"/>
        <v>6.2056737588652489</v>
      </c>
      <c r="Y65" s="242">
        <f t="shared" si="55"/>
        <v>-28.323699421965319</v>
      </c>
      <c r="Z65" s="242">
        <f t="shared" si="55"/>
        <v>-12.818471337579618</v>
      </c>
      <c r="AA65" s="242"/>
      <c r="AB65" s="242">
        <f t="shared" si="56"/>
        <v>-0.5008347245408995</v>
      </c>
      <c r="AC65" s="242">
        <f t="shared" si="56"/>
        <v>-2.6209677419354871</v>
      </c>
      <c r="AD65" s="242">
        <f t="shared" si="56"/>
        <v>-1.4611872146118698</v>
      </c>
      <c r="AE65" s="242"/>
      <c r="AF65" s="242">
        <f t="shared" si="57"/>
        <v>-3.187919463087252</v>
      </c>
      <c r="AG65" s="242">
        <f t="shared" si="57"/>
        <v>29.19254658385093</v>
      </c>
      <c r="AH65" s="243">
        <f t="shared" si="57"/>
        <v>11.30676552363299</v>
      </c>
      <c r="AI65" s="242"/>
      <c r="AJ65" s="242">
        <f t="shared" si="58"/>
        <v>12.478336221837093</v>
      </c>
      <c r="AK65" s="242">
        <f t="shared" si="58"/>
        <v>199.51923076923075</v>
      </c>
      <c r="AL65" s="243">
        <f t="shared" si="58"/>
        <v>109.65861781848459</v>
      </c>
      <c r="AM65" s="242"/>
      <c r="AN65" s="242">
        <f t="shared" si="59"/>
        <v>35.901386748844374</v>
      </c>
      <c r="AO65" s="242">
        <f t="shared" si="59"/>
        <v>-117.54949170679507</v>
      </c>
      <c r="AP65" s="243">
        <f t="shared" si="59"/>
        <v>-77.998411437648926</v>
      </c>
      <c r="AQ65" s="242"/>
      <c r="AR65" s="242">
        <f t="shared" si="60"/>
        <v>-108.50340136054422</v>
      </c>
      <c r="AS65" s="242">
        <f t="shared" si="60"/>
        <v>-14.02439024390244</v>
      </c>
      <c r="AT65" s="243">
        <f t="shared" si="60"/>
        <v>-164.4404332129964</v>
      </c>
      <c r="AU65" s="242"/>
      <c r="AV65" s="299" t="s">
        <v>117</v>
      </c>
      <c r="AW65" s="299" t="s">
        <v>117</v>
      </c>
      <c r="AX65" s="300" t="s">
        <v>117</v>
      </c>
      <c r="AY65" s="242"/>
      <c r="AZ65" s="242">
        <f t="shared" si="62"/>
        <v>-18.786692759295498</v>
      </c>
      <c r="BA65" s="242">
        <f t="shared" si="62"/>
        <v>-35.175879396984925</v>
      </c>
      <c r="BB65" s="243">
        <f t="shared" si="62"/>
        <v>-27.617328519855601</v>
      </c>
      <c r="BC65" s="242"/>
      <c r="BD65" s="242">
        <f t="shared" si="63"/>
        <v>-22.891566265060238</v>
      </c>
      <c r="BE65" s="242">
        <f t="shared" si="63"/>
        <v>4.9095607235142058</v>
      </c>
      <c r="BF65" s="1451">
        <f t="shared" si="63"/>
        <v>-9.476309226932667</v>
      </c>
      <c r="BG65" s="242"/>
      <c r="BH65" s="242">
        <f t="shared" si="64"/>
        <v>-0.31250000000000444</v>
      </c>
      <c r="BI65" s="242">
        <f t="shared" si="64"/>
        <v>6.072999632351439</v>
      </c>
      <c r="BJ65" s="242">
        <f t="shared" si="64"/>
        <v>3.2584543398549437</v>
      </c>
      <c r="BK65" s="242"/>
      <c r="BL65" s="242">
        <f t="shared" si="65"/>
        <v>58.923606508763157</v>
      </c>
      <c r="BM65" s="242">
        <f t="shared" si="65"/>
        <v>32.669616124474231</v>
      </c>
      <c r="BN65" s="244">
        <f t="shared" si="65"/>
        <v>43.841431869260973</v>
      </c>
      <c r="BO65" s="242"/>
      <c r="BP65" s="242">
        <f t="shared" si="66"/>
        <v>16.927279369005777</v>
      </c>
      <c r="BQ65" s="242">
        <f t="shared" si="67"/>
        <v>5.2013107994089314</v>
      </c>
      <c r="BR65" s="244">
        <f t="shared" si="68"/>
        <v>10.714229433875788</v>
      </c>
      <c r="BS65" s="286"/>
      <c r="BT65" s="1472" t="s">
        <v>1131</v>
      </c>
      <c r="BU65" s="3"/>
      <c r="BV65" s="3"/>
      <c r="BW65" s="3"/>
      <c r="BX65" s="3"/>
      <c r="BY65" s="3"/>
      <c r="BZ65" s="3"/>
      <c r="CA65" s="3"/>
      <c r="CB65" s="3"/>
      <c r="CC65" s="3"/>
      <c r="CD65" s="3"/>
      <c r="CE65" s="3"/>
      <c r="CF65" s="3"/>
      <c r="CG65" s="3"/>
      <c r="CH65" s="3"/>
      <c r="CI65" s="3"/>
      <c r="CJ65" s="3"/>
      <c r="CK65" s="3"/>
      <c r="CL65" s="3"/>
      <c r="CM65" s="3"/>
      <c r="CN65" s="3"/>
      <c r="CO65" s="3"/>
      <c r="CP65" s="3"/>
      <c r="CQ65" s="3"/>
      <c r="CR65" s="3"/>
      <c r="CS65" s="3"/>
      <c r="CT65" s="3"/>
      <c r="CU65" s="3"/>
      <c r="CV65" s="3"/>
      <c r="CW65" s="3"/>
      <c r="CX65" s="3"/>
      <c r="CY65" s="3"/>
      <c r="CZ65" s="3"/>
      <c r="DA65" s="3"/>
      <c r="DB65" s="3"/>
      <c r="DC65" s="3"/>
      <c r="DD65" s="3"/>
      <c r="DE65" s="3"/>
      <c r="DF65" s="3"/>
      <c r="DG65" s="3"/>
      <c r="DH65" s="3"/>
      <c r="DI65" s="3"/>
      <c r="DJ65" s="3"/>
      <c r="DK65" s="3"/>
      <c r="DL65" s="3"/>
      <c r="DM65" s="3"/>
      <c r="DN65" s="3"/>
      <c r="DO65" s="3"/>
      <c r="DP65" s="923">
        <f>MODEL!DB227</f>
        <v>7607</v>
      </c>
      <c r="DQ65" s="923">
        <f>MODEL!DC227</f>
        <v>0</v>
      </c>
      <c r="DR65" s="923">
        <f>MODEL!DD227</f>
        <v>3739</v>
      </c>
      <c r="DS65" s="923">
        <f>MODEL!DE227</f>
        <v>4247</v>
      </c>
      <c r="DT65" s="1475">
        <f>MODEL!DF227</f>
        <v>7986</v>
      </c>
      <c r="DU65" s="923"/>
      <c r="DV65" s="923">
        <f>MODEL!DH227</f>
        <v>3576</v>
      </c>
      <c r="DW65" s="923">
        <f>MODEL!DI227</f>
        <v>3768.2433119392849</v>
      </c>
      <c r="DX65" s="923">
        <f>MODEL!DJ227</f>
        <v>7344.2433119392845</v>
      </c>
      <c r="DY65" s="923"/>
      <c r="DZ65" s="923">
        <f>MODEL!DL227</f>
        <v>4224.7192063579532</v>
      </c>
      <c r="EA65" s="923">
        <f>MODEL!DM227</f>
        <v>4856.4763955407079</v>
      </c>
      <c r="EB65" s="923">
        <f>MODEL!DN227</f>
        <v>9081.1956018986602</v>
      </c>
      <c r="EC65" s="923"/>
      <c r="ED65" s="923">
        <f>MODEL!DP227</f>
        <v>4445.8643060767872</v>
      </c>
      <c r="EE65" s="923">
        <f>MODEL!DQ227</f>
        <v>4508.0089647994528</v>
      </c>
      <c r="EF65" s="923">
        <f>MODEL!DR227</f>
        <v>8953.87327087624</v>
      </c>
      <c r="EG65" s="287"/>
    </row>
    <row r="66" spans="3:140" x14ac:dyDescent="0.2">
      <c r="C66" s="301" t="s">
        <v>53</v>
      </c>
      <c r="D66" s="296">
        <v>7.2263868065967074</v>
      </c>
      <c r="E66" s="296">
        <v>1.0571428571428676</v>
      </c>
      <c r="F66" s="296">
        <v>4.0673006583760163</v>
      </c>
      <c r="G66" s="296"/>
      <c r="H66" s="296">
        <f>(H21/D21-1)*100</f>
        <v>4.8657718120805438</v>
      </c>
      <c r="I66" s="296">
        <f>(I21/E21-1)*100</f>
        <v>13.372914899632459</v>
      </c>
      <c r="J66" s="296">
        <f>(J21/F21-1)*100</f>
        <v>9.0960213693237701</v>
      </c>
      <c r="K66" s="296"/>
      <c r="L66" s="296">
        <f>(L21/H21-1)*100</f>
        <v>13.813333333333343</v>
      </c>
      <c r="M66" s="296">
        <f>(M21/I21-1)*100</f>
        <v>10.024937655860345</v>
      </c>
      <c r="N66" s="296">
        <f>(N21/J21-1)*100</f>
        <v>11.855670103092786</v>
      </c>
      <c r="O66" s="296"/>
      <c r="P66" s="296">
        <f>(P21/L21-1)*100</f>
        <v>8.2239925023430249</v>
      </c>
      <c r="Q66" s="296">
        <f>(Q21/M21-1)*100</f>
        <v>2.402538531278342</v>
      </c>
      <c r="R66" s="296">
        <f>(R21/N21-1)*100</f>
        <v>5.264976958525347</v>
      </c>
      <c r="S66" s="296"/>
      <c r="T66" s="296">
        <f>(T21/P21-1)*100</f>
        <v>4.0917947607707283</v>
      </c>
      <c r="U66" s="296">
        <f>(U21/Q21-1)*100</f>
        <v>2.6339088092076191</v>
      </c>
      <c r="V66" s="296">
        <f>(V21/R21-1)*100</f>
        <v>3.370909488891316</v>
      </c>
      <c r="W66" s="296"/>
      <c r="X66" s="296">
        <f>(X21/T21-1)*100</f>
        <v>0.41597337770382659</v>
      </c>
      <c r="Y66" s="296">
        <f>(Y21/U21-1)*100</f>
        <v>4.9816691826612081</v>
      </c>
      <c r="Z66" s="296">
        <f>(Z21/V21-1)*100</f>
        <v>2.6574907358390742</v>
      </c>
      <c r="AA66" s="296"/>
      <c r="AB66" s="296">
        <f>(AB21/X21-1)*100</f>
        <v>-4.7638773819386859</v>
      </c>
      <c r="AC66" s="296">
        <f>(AC21/Y21-1)*100</f>
        <v>-11.318816762530815</v>
      </c>
      <c r="AD66" s="296">
        <f>(AD21/Z21-1)*100</f>
        <v>-8.0548679867986746</v>
      </c>
      <c r="AE66" s="296"/>
      <c r="AF66" s="296">
        <f>(AF21/AB21-1)*100</f>
        <v>-1.0439321444106087</v>
      </c>
      <c r="AG66" s="296">
        <f>(AG21/AC21-1)*100</f>
        <v>-14.964095436645819</v>
      </c>
      <c r="AH66" s="297">
        <f>(AH21/AD21-1)*100</f>
        <v>-7.7846326416152518</v>
      </c>
      <c r="AI66" s="296"/>
      <c r="AJ66" s="296">
        <f>(AJ21/AF21-1)*100</f>
        <v>-5.0549450549450592</v>
      </c>
      <c r="AK66" s="296">
        <f>(AK21/AG21-1)*100</f>
        <v>-20.866248978479973</v>
      </c>
      <c r="AL66" s="297">
        <f>(AL21/AH21-1)*100</f>
        <v>-12.115314438632774</v>
      </c>
      <c r="AM66" s="296"/>
      <c r="AN66" s="296">
        <f>(AN21/AJ21-1)*100</f>
        <v>-10.462962962962962</v>
      </c>
      <c r="AO66" s="296">
        <f>(AO21/AK21-1)*100</f>
        <v>64.716006884681576</v>
      </c>
      <c r="AP66" s="297">
        <f>(AP21/AL21-1)*100</f>
        <v>19.764705882352949</v>
      </c>
      <c r="AQ66" s="296"/>
      <c r="AR66" s="296">
        <f>(AR21/AN21-1)*100</f>
        <v>22.699069286452954</v>
      </c>
      <c r="AS66" s="296">
        <f>(AS21/AO21-1)*100</f>
        <v>1.3375130616509967</v>
      </c>
      <c r="AT66" s="297">
        <f>(AT21/AP21-1)*100</f>
        <v>10.886397781116376</v>
      </c>
      <c r="AU66" s="296"/>
      <c r="AV66" s="296">
        <f>(AV21/AR21-1)*100</f>
        <v>9.1445427728613637</v>
      </c>
      <c r="AW66" s="296">
        <f>(AW21/AS21-1)*100</f>
        <v>0.88678077954218448</v>
      </c>
      <c r="AX66" s="297">
        <f>(AX21/AT21-1)*100</f>
        <v>4.971339239187067</v>
      </c>
      <c r="AY66" s="296"/>
      <c r="AZ66" s="296">
        <f>(AZ21/AV21-1)*100</f>
        <v>-3.1081081081081097</v>
      </c>
      <c r="BA66" s="296">
        <f>(BA21/AW21-1)*100</f>
        <v>-1.5331152902698264</v>
      </c>
      <c r="BB66" s="297">
        <f>(BB21/AX21-1)*100</f>
        <v>-2.3431294678316172</v>
      </c>
      <c r="BC66" s="296"/>
      <c r="BD66" s="296">
        <f>(BD21/AZ21-1)*100</f>
        <v>2.2514445108587466</v>
      </c>
      <c r="BE66" s="296">
        <f>(BE21/BA21-1)*100</f>
        <v>6.2902221299564021</v>
      </c>
      <c r="BF66" s="1456">
        <f>(BF21/BB21-1)*100</f>
        <v>4.2293615290768694</v>
      </c>
      <c r="BG66" s="296"/>
      <c r="BH66" s="296">
        <f>(BH21/BD21-1)*100</f>
        <v>6.0989867498051353</v>
      </c>
      <c r="BI66" s="296">
        <f>(BI21/BE21-1)*100</f>
        <v>9.8565115405996107</v>
      </c>
      <c r="BJ66" s="296">
        <f>(BJ21/BF21-1)*100</f>
        <v>7.975550047587765</v>
      </c>
      <c r="BK66" s="296"/>
      <c r="BL66" s="296">
        <f>(BL21/BH21-1)*100</f>
        <v>8.8292415548451011</v>
      </c>
      <c r="BM66" s="296">
        <f>(BM21/BI21-1)*100</f>
        <v>4.4607653944855663</v>
      </c>
      <c r="BN66" s="298">
        <f>(BN21/BJ21-1)*100</f>
        <v>6.6095546883542911</v>
      </c>
      <c r="BO66" s="296"/>
      <c r="BP66" s="296">
        <f>(BP21/BL21-1)*100</f>
        <v>3.5818636692070527</v>
      </c>
      <c r="BQ66" s="296">
        <f>(BQ21/BM21-1)*100</f>
        <v>4.1723072106592207</v>
      </c>
      <c r="BR66" s="298">
        <f>(BR21/BN21-1)*100</f>
        <v>3.8758297302567968</v>
      </c>
      <c r="BS66" s="286"/>
      <c r="BT66" s="316" t="s">
        <v>118</v>
      </c>
      <c r="BU66" s="44"/>
      <c r="BV66" s="44">
        <f>-MODEL!BH265</f>
        <v>4703</v>
      </c>
      <c r="BW66" s="44">
        <f>-MODEL!BI265</f>
        <v>4486</v>
      </c>
      <c r="BX66" s="44">
        <f>-MODEL!BJ265</f>
        <v>4486</v>
      </c>
      <c r="BY66" s="44"/>
      <c r="BZ66" s="44">
        <f>-MODEL!BL265</f>
        <v>4286</v>
      </c>
      <c r="CA66" s="44">
        <f>-MODEL!BM265</f>
        <v>3906</v>
      </c>
      <c r="CB66" s="44">
        <f>-MODEL!BN265</f>
        <v>3906</v>
      </c>
      <c r="CC66" s="44"/>
      <c r="CD66" s="44">
        <f>-MODEL!BP265</f>
        <v>3879</v>
      </c>
      <c r="CE66" s="44">
        <f>-MODEL!BQ265</f>
        <v>3649</v>
      </c>
      <c r="CF66" s="44">
        <f>-MODEL!BR265</f>
        <v>3649</v>
      </c>
      <c r="CG66" s="44">
        <f>-MODEL!BS265</f>
        <v>0</v>
      </c>
      <c r="CH66" s="44">
        <f>-MODEL!BT265</f>
        <v>3710</v>
      </c>
      <c r="CI66" s="44">
        <f>-MODEL!BU265</f>
        <v>3762</v>
      </c>
      <c r="CJ66" s="44">
        <f>-MODEL!BV265</f>
        <v>3762</v>
      </c>
      <c r="CK66" s="44"/>
      <c r="CL66" s="44">
        <f>-MODEL!BX265</f>
        <v>3824</v>
      </c>
      <c r="CM66" s="44">
        <f>-MODEL!BY265</f>
        <v>3727</v>
      </c>
      <c r="CN66" s="44">
        <f>-MODEL!BZ265</f>
        <v>3727</v>
      </c>
      <c r="CO66" s="44"/>
      <c r="CP66" s="44">
        <f>-MODEL!CB265</f>
        <v>3750</v>
      </c>
      <c r="CQ66" s="44">
        <f>-MODEL!CC265</f>
        <v>3633</v>
      </c>
      <c r="CR66" s="44">
        <f>-MODEL!CD265</f>
        <v>3633</v>
      </c>
      <c r="CS66" s="44"/>
      <c r="CT66" s="44">
        <f>-MODEL!CF265</f>
        <v>4734</v>
      </c>
      <c r="CU66" s="44">
        <f>-MODEL!CG265</f>
        <v>4799</v>
      </c>
      <c r="CV66" s="44">
        <f>-MODEL!CH265</f>
        <v>4799</v>
      </c>
      <c r="CW66" s="44"/>
      <c r="CX66" s="44">
        <f>-MODEL!CJ265</f>
        <v>5026</v>
      </c>
      <c r="CY66" s="44">
        <f>-MODEL!CK265</f>
        <v>6363</v>
      </c>
      <c r="CZ66" s="44">
        <f>-MODEL!CL265</f>
        <v>6363</v>
      </c>
      <c r="DA66" s="44"/>
      <c r="DB66" s="44">
        <f>-MODEL!CN265</f>
        <v>6815</v>
      </c>
      <c r="DC66" s="44">
        <f>-MODEL!CO265</f>
        <v>6211</v>
      </c>
      <c r="DD66" s="44">
        <f>-MODEL!CP265</f>
        <v>6211</v>
      </c>
      <c r="DE66" s="44"/>
      <c r="DF66" s="44">
        <f>-MODEL!CR265</f>
        <v>5854</v>
      </c>
      <c r="DG66" s="44">
        <f>-MODEL!CS265</f>
        <v>5347</v>
      </c>
      <c r="DH66" s="44">
        <f>-MODEL!CT265</f>
        <v>5347</v>
      </c>
      <c r="DI66" s="44"/>
      <c r="DJ66" s="44">
        <f>-MODEL!CV265</f>
        <v>5541</v>
      </c>
      <c r="DK66" s="44">
        <f>-MODEL!CW265</f>
        <v>5950</v>
      </c>
      <c r="DL66" s="46">
        <f>-MODEL!CX265</f>
        <v>5950</v>
      </c>
      <c r="DM66" s="44"/>
      <c r="DN66" s="44">
        <f>-MODEL!CZ265</f>
        <v>6063</v>
      </c>
      <c r="DO66" s="44">
        <f>-MODEL!DA265</f>
        <v>6135</v>
      </c>
      <c r="DP66" s="46">
        <f>-MODEL!DB265</f>
        <v>6135</v>
      </c>
      <c r="DQ66" s="44"/>
      <c r="DR66" s="44">
        <f>-MODEL!DD265</f>
        <v>6227</v>
      </c>
      <c r="DS66" s="44">
        <f>-MODEL!DE265</f>
        <v>6377</v>
      </c>
      <c r="DT66" s="1435">
        <f>-MODEL!DF265</f>
        <v>6377</v>
      </c>
      <c r="DU66" s="44"/>
      <c r="DV66" s="44">
        <f>-MODEL!DH265</f>
        <v>6335</v>
      </c>
      <c r="DW66" s="44">
        <f ca="1">-MODEL!DI265</f>
        <v>6411.2248826337445</v>
      </c>
      <c r="DX66" s="44">
        <f ca="1">-MODEL!DJ265</f>
        <v>6411.2248826337445</v>
      </c>
      <c r="DY66" s="44"/>
      <c r="DZ66" s="44">
        <f ca="1">-MODEL!DL265</f>
        <v>6458.0241290668901</v>
      </c>
      <c r="EA66" s="44">
        <f ca="1">-MODEL!DM265</f>
        <v>6550.5996359222008</v>
      </c>
      <c r="EB66" s="44">
        <f ca="1">-MODEL!DN265</f>
        <v>6550.5996359222008</v>
      </c>
      <c r="EC66" s="44"/>
      <c r="ED66" s="44">
        <f ca="1">-MODEL!DP265</f>
        <v>6714.0599425037935</v>
      </c>
      <c r="EE66" s="44">
        <f ca="1">-MODEL!DQ265</f>
        <v>6920.0233941305523</v>
      </c>
      <c r="EF66" s="44">
        <f ca="1">-MODEL!DR265</f>
        <v>6920.0233941305523</v>
      </c>
      <c r="EG66" s="151"/>
    </row>
    <row r="67" spans="3:140" x14ac:dyDescent="0.2">
      <c r="C67" s="119" t="s">
        <v>56</v>
      </c>
      <c r="D67" s="119">
        <v>7.2363868065967099</v>
      </c>
      <c r="E67" s="119">
        <v>1.0571428571428676</v>
      </c>
      <c r="F67" s="119">
        <v>4.0673006583760163</v>
      </c>
      <c r="G67" s="119"/>
      <c r="H67" s="119" t="e">
        <f>(H23/D23-1)*100</f>
        <v>#DIV/0!</v>
      </c>
      <c r="I67" s="119" t="e">
        <f>(I23/E23-1)*100</f>
        <v>#DIV/0!</v>
      </c>
      <c r="J67" s="119" t="e">
        <f>(J23/F23-1)*100</f>
        <v>#DIV/0!</v>
      </c>
      <c r="K67" s="119"/>
      <c r="L67" s="119" t="e">
        <f>(L23/H23-1)*100</f>
        <v>#DIV/0!</v>
      </c>
      <c r="M67" s="119" t="e">
        <f>(M23/I23-1)*100</f>
        <v>#DIV/0!</v>
      </c>
      <c r="N67" s="119" t="e">
        <f>(N23/J23-1)*100</f>
        <v>#DIV/0!</v>
      </c>
      <c r="O67" s="119"/>
      <c r="P67" s="119" t="e">
        <f>(P23/L23-1)*100</f>
        <v>#DIV/0!</v>
      </c>
      <c r="Q67" s="119" t="e">
        <f>(Q23/M23-1)*100</f>
        <v>#DIV/0!</v>
      </c>
      <c r="R67" s="119" t="e">
        <f>(R23/N23-1)*100</f>
        <v>#DIV/0!</v>
      </c>
      <c r="S67" s="119"/>
      <c r="T67" s="119" t="e">
        <f>(T23/P23-1)*100</f>
        <v>#DIV/0!</v>
      </c>
      <c r="U67" s="119" t="e">
        <f>(U23/Q23-1)*100</f>
        <v>#DIV/0!</v>
      </c>
      <c r="V67" s="119" t="e">
        <f>(V23/R23-1)*100</f>
        <v>#DIV/0!</v>
      </c>
      <c r="W67" s="119"/>
      <c r="X67" s="119" t="e">
        <f>(X23/T23-1)*100</f>
        <v>#DIV/0!</v>
      </c>
      <c r="Y67" s="119" t="e">
        <f>(Y23/U23-1)*100</f>
        <v>#DIV/0!</v>
      </c>
      <c r="Z67" s="119" t="e">
        <f>(Z23/V23-1)*100</f>
        <v>#DIV/0!</v>
      </c>
      <c r="AA67" s="119"/>
      <c r="AB67" s="302">
        <f>(AB23/X23-1)*100</f>
        <v>-0.73364581210515478</v>
      </c>
      <c r="AC67" s="302">
        <f>(AC23/Y23-1)*100</f>
        <v>-8.7052673904302384</v>
      </c>
      <c r="AD67" s="302">
        <f>(AD23/Z23-1)*100</f>
        <v>-4.7464831494787969</v>
      </c>
      <c r="AE67" s="302"/>
      <c r="AF67" s="302">
        <f>(AF23/AB23-1)*100</f>
        <v>-1.2317799219872749</v>
      </c>
      <c r="AG67" s="302">
        <f>(AG23/AC23-1)*100</f>
        <v>-14.225941422594147</v>
      </c>
      <c r="AH67" s="303">
        <f>(AH23/AD23-1)*100</f>
        <v>-7.5010624734381697</v>
      </c>
      <c r="AI67" s="302"/>
      <c r="AJ67" s="302">
        <f>(AJ23/AF23-1)*100</f>
        <v>-7.0463521097484882</v>
      </c>
      <c r="AK67" s="302">
        <f>(AK23/AG23-1)*100</f>
        <v>-24.646983311938385</v>
      </c>
      <c r="AL67" s="303">
        <f>(AL23/AH23-1)*100</f>
        <v>-14.92074431426602</v>
      </c>
      <c r="AM67" s="302"/>
      <c r="AN67" s="302">
        <f>(AN23/AJ23-1)*100</f>
        <v>-11.292486583184258</v>
      </c>
      <c r="AO67" s="302">
        <f>(AO23/AK23-1)*100</f>
        <v>64.701873935264047</v>
      </c>
      <c r="AP67" s="303">
        <f>(AP23/AL23-1)*100</f>
        <v>18.8200351019306</v>
      </c>
      <c r="AQ67" s="119"/>
      <c r="AR67" s="302">
        <f>(AR23/AN23-1)*100</f>
        <v>22.157801865389469</v>
      </c>
      <c r="AS67" s="302">
        <f>(AS23/AO23-1)*100</f>
        <v>0.57923045097227899</v>
      </c>
      <c r="AT67" s="303">
        <f>(AT23/AP23-1)*100</f>
        <v>10.305647085558455</v>
      </c>
      <c r="AU67" s="119"/>
      <c r="AV67" s="304">
        <f>(AV23/AR23-1)*100</f>
        <v>7.0986380520016601</v>
      </c>
      <c r="AW67" s="304">
        <f>(AW23/AS23-1)*100</f>
        <v>0.78157136980665509</v>
      </c>
      <c r="AX67" s="305">
        <f>(AX23/AT23-1)*100</f>
        <v>3.9348990523279781</v>
      </c>
      <c r="AY67" s="119"/>
      <c r="AZ67" s="304">
        <f>(AZ23/AV23-1)*100</f>
        <v>-3.1791907514450823</v>
      </c>
      <c r="BA67" s="304">
        <f>(BA23/AW23-1)*100</f>
        <v>-1.5918367346938744</v>
      </c>
      <c r="BB67" s="303">
        <f>(BB23/AX23-1)*100</f>
        <v>-2.4083250743310192</v>
      </c>
      <c r="BC67" s="119"/>
      <c r="BD67" s="304">
        <f>(BD23/AZ23-1)*100</f>
        <v>2.1492537313432925</v>
      </c>
      <c r="BE67" s="302">
        <f>(BE23/BA23-1)*100</f>
        <v>6.1800082953131552</v>
      </c>
      <c r="BF67" s="1457">
        <f>(BF23/BB23-1)*100</f>
        <v>4.1230831725398653</v>
      </c>
      <c r="BG67" s="119"/>
      <c r="BH67" s="304">
        <f>(BH23/BD23-1)*100</f>
        <v>6.0783167738164723</v>
      </c>
      <c r="BI67" s="1471">
        <f>(BI23/BE23-1)*100</f>
        <v>9.8565115405996107</v>
      </c>
      <c r="BJ67" s="1468">
        <f>(BJ23/BF23-1)*100</f>
        <v>7.9650189298615004</v>
      </c>
      <c r="BK67" s="119"/>
      <c r="BL67" s="119">
        <f>(BL23/BH23-1)*100</f>
        <v>8.8292415548451011</v>
      </c>
      <c r="BM67" s="119">
        <f>(BM23/BI23-1)*100</f>
        <v>4.4607653944855663</v>
      </c>
      <c r="BN67" s="306">
        <f>(BN23/BJ23-1)*100</f>
        <v>6.6095546883542911</v>
      </c>
      <c r="BO67" s="119"/>
      <c r="BP67" s="119">
        <f>(BP23/BL23-1)*100</f>
        <v>3.5818636692070527</v>
      </c>
      <c r="BQ67" s="119">
        <f>(BQ23/BM23-1)*100</f>
        <v>4.1723072106592207</v>
      </c>
      <c r="BR67" s="306">
        <f>(BR23/BN23-1)*100</f>
        <v>3.8758297302567968</v>
      </c>
      <c r="BS67" s="286"/>
      <c r="BT67" s="1473" t="s">
        <v>1145</v>
      </c>
      <c r="BU67" s="289"/>
      <c r="BV67" s="289">
        <f>MODEL!BH282*100</f>
        <v>0.85631154227116468</v>
      </c>
      <c r="BW67" s="289">
        <f>MODEL!BI282*100</f>
        <v>0.78864880164410245</v>
      </c>
      <c r="BX67" s="289">
        <f>MODEL!BJ282*100</f>
        <v>0.78864880164410245</v>
      </c>
      <c r="BY67" s="289"/>
      <c r="BZ67" s="289">
        <f>MODEL!BL282*100</f>
        <v>0.72426175488994982</v>
      </c>
      <c r="CA67" s="289">
        <f>MODEL!BM282*100</f>
        <v>0.6423000458785747</v>
      </c>
      <c r="CB67" s="289">
        <f>MODEL!BN282*100</f>
        <v>0.6423000458785747</v>
      </c>
      <c r="CC67" s="289"/>
      <c r="CD67" s="289">
        <f>MODEL!BP282*100</f>
        <v>0.61797233701557119</v>
      </c>
      <c r="CE67" s="289">
        <f>MODEL!BQ282*100</f>
        <v>0.56471032480516026</v>
      </c>
      <c r="CF67" s="289">
        <f>MODEL!BR282*100</f>
        <v>0.56471032480516026</v>
      </c>
      <c r="CG67" s="289">
        <f>MODEL!BS282*100</f>
        <v>0</v>
      </c>
      <c r="CH67" s="289">
        <f>MODEL!BT282*100</f>
        <v>0.54903748253735229</v>
      </c>
      <c r="CI67" s="289">
        <f>MODEL!BU282*100</f>
        <v>0.53610362960112867</v>
      </c>
      <c r="CJ67" s="289">
        <f>MODEL!BV282*100</f>
        <v>0.53610362960112867</v>
      </c>
      <c r="CK67" s="289"/>
      <c r="CL67" s="289">
        <f>MODEL!BX282*100</f>
        <v>0.53166492874522076</v>
      </c>
      <c r="CM67" s="289">
        <f>MODEL!BY282*100</f>
        <v>0.50569740651992801</v>
      </c>
      <c r="CN67" s="289">
        <f>MODEL!BZ282*100</f>
        <v>0.50569740651992801</v>
      </c>
      <c r="CO67" s="289"/>
      <c r="CP67" s="289">
        <f>MODEL!CB282*100</f>
        <v>0.50585578658551389</v>
      </c>
      <c r="CQ67" s="289">
        <f>MODEL!CC282*100</f>
        <v>0.48543040694380607</v>
      </c>
      <c r="CR67" s="289">
        <f>MODEL!CD282*100</f>
        <v>0.48543040694380607</v>
      </c>
      <c r="CS67" s="289"/>
      <c r="CT67" s="289">
        <f>MODEL!CF282*100</f>
        <v>0.6233351723520435</v>
      </c>
      <c r="CU67" s="289">
        <f>MODEL!CG282*100</f>
        <v>0.63060683588848021</v>
      </c>
      <c r="CV67" s="289">
        <f>MODEL!CH282*100</f>
        <v>0.63060683588848021</v>
      </c>
      <c r="CW67" s="289"/>
      <c r="CX67" s="289">
        <f>MODEL!CJ282*100</f>
        <v>0.65155700864551069</v>
      </c>
      <c r="CY67" s="289">
        <f>MODEL!CK282*100</f>
        <v>0.81565629374394311</v>
      </c>
      <c r="CZ67" s="289">
        <f>MODEL!CL282*100</f>
        <v>0.81565629374394311</v>
      </c>
      <c r="DA67" s="289"/>
      <c r="DB67" s="289">
        <f>MODEL!CN282*100</f>
        <v>0.85780133497299471</v>
      </c>
      <c r="DC67" s="289">
        <f>MODEL!CO282*100</f>
        <v>0.75904412501558172</v>
      </c>
      <c r="DD67" s="289">
        <f>MODEL!CP282*100</f>
        <v>0.75904412501558172</v>
      </c>
      <c r="DE67" s="289"/>
      <c r="DF67" s="289">
        <f>MODEL!CR282*100</f>
        <v>0.68829371588072552</v>
      </c>
      <c r="DG67" s="289">
        <f>MODEL!CS282*100</f>
        <v>0.60420605155243778</v>
      </c>
      <c r="DH67" s="289">
        <f>MODEL!CT282*100</f>
        <v>0.60420605155243778</v>
      </c>
      <c r="DI67" s="289"/>
      <c r="DJ67" s="289">
        <f>MODEL!CV282*100</f>
        <v>0.60701002919476132</v>
      </c>
      <c r="DK67" s="289">
        <f>MODEL!CW282*100</f>
        <v>0.63755624156845259</v>
      </c>
      <c r="DL67" s="290">
        <f>MODEL!CX282*100</f>
        <v>0.63755624156845259</v>
      </c>
      <c r="DM67" s="289"/>
      <c r="DN67" s="289">
        <f>MODEL!CZ282*100</f>
        <v>0.65277285808569485</v>
      </c>
      <c r="DO67" s="289">
        <f>MODEL!DA282*100</f>
        <v>0.64582482409563469</v>
      </c>
      <c r="DP67" s="290">
        <f>MODEL!DB282*100</f>
        <v>0.64582482409563469</v>
      </c>
      <c r="DQ67" s="289"/>
      <c r="DR67" s="289">
        <f>MODEL!DD282*100</f>
        <v>0.63710885383840943</v>
      </c>
      <c r="DS67" s="289">
        <f>MODEL!DE282*100</f>
        <v>0.627729768093373</v>
      </c>
      <c r="DT67" s="1428">
        <f>MODEL!DF282*100</f>
        <v>0.627729768093373</v>
      </c>
      <c r="DU67" s="289"/>
      <c r="DV67" s="289">
        <f>MODEL!DH282*100</f>
        <v>0.60391539274043171</v>
      </c>
      <c r="DW67" s="289">
        <f ca="1">MODEL!DI282*100</f>
        <v>0.59058963952996923</v>
      </c>
      <c r="DX67" s="289">
        <f ca="1">MODEL!DJ282*100</f>
        <v>0.59058963952996923</v>
      </c>
      <c r="DY67" s="289"/>
      <c r="DZ67" s="289">
        <f ca="1">MODEL!DL282*100</f>
        <v>0.57794702985620505</v>
      </c>
      <c r="EA67" s="289">
        <f ca="1">MODEL!DM282*100</f>
        <v>0.56854443196662241</v>
      </c>
      <c r="EB67" s="289">
        <f ca="1">MODEL!DN282*100</f>
        <v>0.56854443196662241</v>
      </c>
      <c r="EC67" s="289"/>
      <c r="ED67" s="289">
        <f ca="1">MODEL!DP282*100</f>
        <v>0.56941251997570752</v>
      </c>
      <c r="EE67" s="289">
        <f ca="1">MODEL!DQ282*100</f>
        <v>0.57249850591326967</v>
      </c>
      <c r="EF67" s="289">
        <f ca="1">MODEL!DR282*100</f>
        <v>0.57249850591326967</v>
      </c>
      <c r="EG67" s="151"/>
    </row>
    <row r="68" spans="3:140" x14ac:dyDescent="0.2">
      <c r="C68" s="307" t="s">
        <v>120</v>
      </c>
      <c r="D68" s="2">
        <v>1.5894039735099286</v>
      </c>
      <c r="E68" s="2">
        <v>1.5915119363395291</v>
      </c>
      <c r="F68" s="2">
        <v>1.5904572564612307</v>
      </c>
      <c r="H68" s="2" t="e">
        <f t="shared" ref="H68:J70" si="69">(H35/D35-1)*100</f>
        <v>#DIV/0!</v>
      </c>
      <c r="I68" s="2" t="e">
        <f t="shared" si="69"/>
        <v>#DIV/0!</v>
      </c>
      <c r="J68" s="2" t="e">
        <f t="shared" si="69"/>
        <v>#DIV/0!</v>
      </c>
      <c r="L68" s="2" t="e">
        <f t="shared" ref="L68:N70" si="70">(L35/H35-1)*100</f>
        <v>#DIV/0!</v>
      </c>
      <c r="M68" s="2" t="e">
        <f t="shared" si="70"/>
        <v>#DIV/0!</v>
      </c>
      <c r="N68" s="2" t="e">
        <f t="shared" si="70"/>
        <v>#DIV/0!</v>
      </c>
      <c r="P68" s="2" t="e">
        <f t="shared" ref="P68:R70" si="71">(P35/L35-1)*100</f>
        <v>#DIV/0!</v>
      </c>
      <c r="Q68" s="2" t="e">
        <f t="shared" si="71"/>
        <v>#DIV/0!</v>
      </c>
      <c r="R68" s="2" t="e">
        <f t="shared" si="71"/>
        <v>#DIV/0!</v>
      </c>
      <c r="T68" s="2" t="e">
        <f t="shared" ref="T68:V70" si="72">(T35/P35-1)*100</f>
        <v>#DIV/0!</v>
      </c>
      <c r="U68" s="2" t="e">
        <f t="shared" si="72"/>
        <v>#DIV/0!</v>
      </c>
      <c r="V68" s="2" t="e">
        <f t="shared" si="72"/>
        <v>#DIV/0!</v>
      </c>
      <c r="X68" s="2" t="e">
        <f t="shared" ref="X68:Z70" si="73">(X35/T35-1)*100</f>
        <v>#DIV/0!</v>
      </c>
      <c r="Y68" s="2" t="e">
        <f t="shared" si="73"/>
        <v>#DIV/0!</v>
      </c>
      <c r="Z68" s="2" t="e">
        <f t="shared" si="73"/>
        <v>#DIV/0!</v>
      </c>
      <c r="AB68" s="2" t="e">
        <f t="shared" ref="AB68:AD70" si="74">(AB35/X35-1)*100</f>
        <v>#DIV/0!</v>
      </c>
      <c r="AC68" s="2" t="e">
        <f t="shared" si="74"/>
        <v>#DIV/0!</v>
      </c>
      <c r="AD68" s="2" t="e">
        <f t="shared" si="74"/>
        <v>#DIV/0!</v>
      </c>
      <c r="AF68" s="2" t="e">
        <f t="shared" ref="AF68:AH70" si="75">(AF35/AB35-1)*100</f>
        <v>#DIV/0!</v>
      </c>
      <c r="AG68" s="2" t="e">
        <f t="shared" si="75"/>
        <v>#DIV/0!</v>
      </c>
      <c r="AH68" s="2" t="e">
        <f t="shared" si="75"/>
        <v>#DIV/0!</v>
      </c>
      <c r="AJ68" s="2">
        <f t="shared" ref="AJ68:AL70" si="76">(AJ35/AF35-1)*100</f>
        <v>0.27522935779815683</v>
      </c>
      <c r="AK68" s="2">
        <f t="shared" si="76"/>
        <v>1.2857019587539931</v>
      </c>
      <c r="AL68" s="243">
        <f t="shared" si="76"/>
        <v>0.77187327706857989</v>
      </c>
      <c r="AN68" s="242">
        <f t="shared" ref="AN68:AP70" si="77">(AN35/AJ35-1)*100</f>
        <v>-0.51567828329035503</v>
      </c>
      <c r="AO68" s="242">
        <f t="shared" si="77"/>
        <v>3.8933378769807403</v>
      </c>
      <c r="AP68" s="243">
        <f t="shared" si="77"/>
        <v>1.6623879466352465</v>
      </c>
      <c r="AQ68" s="242"/>
      <c r="AR68" s="242">
        <f t="shared" ref="AR68:AT70" si="78">(AR35/AN35-1)*100</f>
        <v>1.2206337262770761</v>
      </c>
      <c r="AS68" s="242">
        <f t="shared" si="78"/>
        <v>-1.0578105781057778</v>
      </c>
      <c r="AT68" s="243">
        <f t="shared" si="78"/>
        <v>7.0375890048013368E-2</v>
      </c>
      <c r="AU68" s="242"/>
      <c r="AV68" s="242">
        <f t="shared" ref="AV68:AX70" si="79">(AV35/AR35-1)*100</f>
        <v>12.521681671760131</v>
      </c>
      <c r="AW68" s="242">
        <f t="shared" si="79"/>
        <v>11.984087518647435</v>
      </c>
      <c r="AX68" s="243">
        <f t="shared" si="79"/>
        <v>12.25334050386795</v>
      </c>
      <c r="AY68" s="242"/>
      <c r="AZ68" s="242">
        <f t="shared" ref="AZ68:BB70" si="80">(AZ35/AV35-1)*100</f>
        <v>0.19085370329590123</v>
      </c>
      <c r="BA68" s="242">
        <f t="shared" si="80"/>
        <v>9.6210775606864196E-2</v>
      </c>
      <c r="BB68" s="243">
        <f t="shared" si="80"/>
        <v>0.14372581536761242</v>
      </c>
      <c r="BC68" s="242"/>
      <c r="BD68" s="242">
        <f t="shared" ref="BD68:BF70" si="81">(BD35/AZ35-1)*100</f>
        <v>3.2822917429848442</v>
      </c>
      <c r="BE68" s="242">
        <f t="shared" si="81"/>
        <v>6.2329020332717144</v>
      </c>
      <c r="BF68" s="1451">
        <f t="shared" si="81"/>
        <v>4.7508647972326568</v>
      </c>
      <c r="BG68" s="242"/>
      <c r="BH68" s="242">
        <f t="shared" ref="BH68:BJ70" si="82">(BH35/BD35-1)*100</f>
        <v>6.5545860821451418</v>
      </c>
      <c r="BI68" s="242">
        <f t="shared" si="82"/>
        <v>5.942277367723614</v>
      </c>
      <c r="BJ68" s="242">
        <f t="shared" si="82"/>
        <v>6.2455169934815702</v>
      </c>
      <c r="BK68" s="242"/>
      <c r="BL68" s="242">
        <f t="shared" ref="BL68:BN70" si="83">(BL35/BH35-1)*100</f>
        <v>6.3406239990977165</v>
      </c>
      <c r="BM68" s="242">
        <f t="shared" si="83"/>
        <v>5.358522445031122</v>
      </c>
      <c r="BN68" s="244">
        <f t="shared" si="83"/>
        <v>5.846313062025521</v>
      </c>
      <c r="BO68" s="242"/>
      <c r="BP68" s="242">
        <f t="shared" ref="BP68:BP70" si="84">(BP35/BL35-1)*100</f>
        <v>4.2441899562077223</v>
      </c>
      <c r="BQ68" s="242">
        <f t="shared" ref="BQ68:BQ70" si="85">(BQ35/BM35-1)*100</f>
        <v>4.3004846372896699</v>
      </c>
      <c r="BR68" s="244">
        <f t="shared" ref="BR68:BR70" si="86">(BR35/BN35-1)*100</f>
        <v>4.2723935935171875</v>
      </c>
      <c r="BS68" s="51"/>
      <c r="BT68" s="208" t="s">
        <v>119</v>
      </c>
      <c r="BU68" s="97"/>
      <c r="BV68" s="97">
        <f>-MODEL!BH263</f>
        <v>1845</v>
      </c>
      <c r="BW68" s="97">
        <f>-MODEL!BI263</f>
        <v>1628</v>
      </c>
      <c r="BX68" s="97">
        <f>-MODEL!BJ263</f>
        <v>1628</v>
      </c>
      <c r="BY68" s="97"/>
      <c r="BZ68" s="97">
        <f>-MODEL!BL263</f>
        <v>1416</v>
      </c>
      <c r="CA68" s="97">
        <f>-MODEL!BM263</f>
        <v>1127</v>
      </c>
      <c r="CB68" s="97">
        <f>-MODEL!BN263</f>
        <v>1127</v>
      </c>
      <c r="CC68" s="97"/>
      <c r="CD68" s="97">
        <f>-MODEL!BP263</f>
        <v>1116</v>
      </c>
      <c r="CE68" s="97">
        <f>-MODEL!BQ263</f>
        <v>887</v>
      </c>
      <c r="CF68" s="97">
        <f>-MODEL!BR263</f>
        <v>887</v>
      </c>
      <c r="CG68" s="97">
        <f>-MODEL!BS263</f>
        <v>0</v>
      </c>
      <c r="CH68" s="97">
        <f>-MODEL!BT263</f>
        <v>909</v>
      </c>
      <c r="CI68" s="97">
        <f>-MODEL!BU263</f>
        <v>944</v>
      </c>
      <c r="CJ68" s="97">
        <f>-MODEL!BV263</f>
        <v>944</v>
      </c>
      <c r="CK68" s="97"/>
      <c r="CL68" s="97">
        <f>-MODEL!BX263</f>
        <v>1017</v>
      </c>
      <c r="CM68" s="97">
        <f>-MODEL!BY263</f>
        <v>980</v>
      </c>
      <c r="CN68" s="97">
        <f>-MODEL!BZ263</f>
        <v>980</v>
      </c>
      <c r="CO68" s="97"/>
      <c r="CP68" s="97">
        <f>-MODEL!CB263</f>
        <v>978</v>
      </c>
      <c r="CQ68" s="97">
        <f>-MODEL!CC263</f>
        <v>870</v>
      </c>
      <c r="CR68" s="97">
        <f>-MODEL!CD263</f>
        <v>870</v>
      </c>
      <c r="CS68" s="97"/>
      <c r="CT68" s="97">
        <f>-MODEL!CF263</f>
        <v>920</v>
      </c>
      <c r="CU68" s="97">
        <f>-MODEL!CG263</f>
        <v>895</v>
      </c>
      <c r="CV68" s="97">
        <f>-MODEL!CH263</f>
        <v>895</v>
      </c>
      <c r="CW68" s="97"/>
      <c r="CX68" s="97">
        <f>-MODEL!CJ263</f>
        <v>959</v>
      </c>
      <c r="CY68" s="97">
        <f>-MODEL!CK263</f>
        <v>967</v>
      </c>
      <c r="CZ68" s="97">
        <f>-MODEL!CL263</f>
        <v>967</v>
      </c>
      <c r="DA68" s="97"/>
      <c r="DB68" s="97">
        <f>-MODEL!CN263</f>
        <v>872</v>
      </c>
      <c r="DC68" s="97">
        <f>-MODEL!CO263</f>
        <v>900</v>
      </c>
      <c r="DD68" s="97">
        <f>-MODEL!CP263</f>
        <v>900</v>
      </c>
      <c r="DE68" s="97"/>
      <c r="DF68" s="97">
        <f>-MODEL!CR263</f>
        <v>792</v>
      </c>
      <c r="DG68" s="97">
        <f>-MODEL!CS263</f>
        <v>736</v>
      </c>
      <c r="DH68" s="97">
        <f>-MODEL!CT263</f>
        <v>736</v>
      </c>
      <c r="DI68" s="97"/>
      <c r="DJ68" s="97">
        <f>-MODEL!CV263</f>
        <v>641</v>
      </c>
      <c r="DK68" s="97">
        <f>-MODEL!CW263</f>
        <v>754</v>
      </c>
      <c r="DL68" s="98">
        <f>-MODEL!CX263</f>
        <v>754</v>
      </c>
      <c r="DM68" s="97"/>
      <c r="DN68" s="97">
        <f>-MODEL!CZ263</f>
        <v>733</v>
      </c>
      <c r="DO68" s="97">
        <f>-MODEL!DA263</f>
        <v>712</v>
      </c>
      <c r="DP68" s="98">
        <f>-MODEL!DB263</f>
        <v>712</v>
      </c>
      <c r="DQ68" s="97"/>
      <c r="DR68" s="97">
        <f>-MODEL!DD263</f>
        <v>735</v>
      </c>
      <c r="DS68" s="97">
        <f>-MODEL!DE263</f>
        <v>816</v>
      </c>
      <c r="DT68" s="1429">
        <f>-MODEL!DF263</f>
        <v>816</v>
      </c>
      <c r="DU68" s="97"/>
      <c r="DV68" s="97">
        <f>-MODEL!DH263</f>
        <v>793</v>
      </c>
      <c r="DW68" s="97">
        <f>-MODEL!DI263</f>
        <v>849.9209977100794</v>
      </c>
      <c r="DX68" s="97">
        <f>-MODEL!DJ263</f>
        <v>849.9209977100794</v>
      </c>
      <c r="DY68" s="97"/>
      <c r="DZ68" s="97">
        <f>-MODEL!DL263</f>
        <v>875.00403710849162</v>
      </c>
      <c r="EA68" s="97">
        <f>-MODEL!DM263</f>
        <v>919.28648133249146</v>
      </c>
      <c r="EB68" s="97">
        <f>-MODEL!DN263</f>
        <v>919.28648133249146</v>
      </c>
      <c r="EC68" s="97"/>
      <c r="ED68" s="97">
        <f>-MODEL!DP263</f>
        <v>954.38991815371412</v>
      </c>
      <c r="EE68" s="97">
        <f>-MODEL!DQ263</f>
        <v>1010.1468299949951</v>
      </c>
      <c r="EF68" s="97">
        <f>-MODEL!DR263</f>
        <v>1010.1468299949951</v>
      </c>
      <c r="EG68" s="151"/>
    </row>
    <row r="69" spans="3:140" x14ac:dyDescent="0.2">
      <c r="C69" s="2" t="s">
        <v>122</v>
      </c>
      <c r="D69" s="2">
        <v>1.5894039735099286</v>
      </c>
      <c r="E69" s="2">
        <v>1.5915119363395291</v>
      </c>
      <c r="F69" s="2">
        <v>1.5904572564612307</v>
      </c>
      <c r="H69" s="2" t="e">
        <f t="shared" si="69"/>
        <v>#DIV/0!</v>
      </c>
      <c r="I69" s="2" t="e">
        <f t="shared" si="69"/>
        <v>#DIV/0!</v>
      </c>
      <c r="J69" s="2" t="e">
        <f t="shared" si="69"/>
        <v>#DIV/0!</v>
      </c>
      <c r="L69" s="2" t="e">
        <f t="shared" si="70"/>
        <v>#DIV/0!</v>
      </c>
      <c r="M69" s="2" t="e">
        <f t="shared" si="70"/>
        <v>#DIV/0!</v>
      </c>
      <c r="N69" s="2" t="e">
        <f t="shared" si="70"/>
        <v>#DIV/0!</v>
      </c>
      <c r="P69" s="2" t="e">
        <f t="shared" si="71"/>
        <v>#DIV/0!</v>
      </c>
      <c r="Q69" s="2" t="e">
        <f t="shared" si="71"/>
        <v>#DIV/0!</v>
      </c>
      <c r="R69" s="2" t="e">
        <f t="shared" si="71"/>
        <v>#DIV/0!</v>
      </c>
      <c r="T69" s="2" t="e">
        <f t="shared" si="72"/>
        <v>#DIV/0!</v>
      </c>
      <c r="U69" s="2" t="e">
        <f t="shared" si="72"/>
        <v>#DIV/0!</v>
      </c>
      <c r="V69" s="2" t="e">
        <f t="shared" si="72"/>
        <v>#DIV/0!</v>
      </c>
      <c r="X69" s="2" t="e">
        <f t="shared" si="73"/>
        <v>#DIV/0!</v>
      </c>
      <c r="Y69" s="2" t="e">
        <f t="shared" si="73"/>
        <v>#DIV/0!</v>
      </c>
      <c r="Z69" s="2" t="e">
        <f t="shared" si="73"/>
        <v>#DIV/0!</v>
      </c>
      <c r="AB69" s="2" t="e">
        <f t="shared" si="74"/>
        <v>#DIV/0!</v>
      </c>
      <c r="AC69" s="2" t="e">
        <f t="shared" si="74"/>
        <v>#DIV/0!</v>
      </c>
      <c r="AD69" s="2" t="e">
        <f t="shared" si="74"/>
        <v>#DIV/0!</v>
      </c>
      <c r="AF69" s="2" t="e">
        <f t="shared" si="75"/>
        <v>#DIV/0!</v>
      </c>
      <c r="AG69" s="2" t="e">
        <f t="shared" si="75"/>
        <v>#DIV/0!</v>
      </c>
      <c r="AH69" s="2" t="e">
        <f t="shared" si="75"/>
        <v>#DIV/0!</v>
      </c>
      <c r="AJ69" s="2">
        <f t="shared" si="76"/>
        <v>5.6683417085427124</v>
      </c>
      <c r="AK69" s="2">
        <f t="shared" si="76"/>
        <v>2.3066485753052923</v>
      </c>
      <c r="AL69" s="243">
        <f t="shared" si="76"/>
        <v>3.9569765147029701</v>
      </c>
      <c r="AN69" s="242">
        <f t="shared" si="77"/>
        <v>1.7500475556400996</v>
      </c>
      <c r="AO69" s="242">
        <f t="shared" si="77"/>
        <v>2.9746115953012575</v>
      </c>
      <c r="AP69" s="243">
        <f t="shared" si="77"/>
        <v>2.3635500711912671</v>
      </c>
      <c r="AQ69" s="242"/>
      <c r="AR69" s="242">
        <f t="shared" si="78"/>
        <v>0.89736399326976191</v>
      </c>
      <c r="AS69" s="242">
        <f t="shared" si="78"/>
        <v>-0.80956761729530369</v>
      </c>
      <c r="AT69" s="243">
        <f t="shared" si="78"/>
        <v>3.7091988130555364E-2</v>
      </c>
      <c r="AU69" s="242"/>
      <c r="AV69" s="242">
        <f t="shared" si="79"/>
        <v>4.4283861404484037</v>
      </c>
      <c r="AW69" s="242">
        <f t="shared" si="79"/>
        <v>8.9408273047671969</v>
      </c>
      <c r="AX69" s="243">
        <f t="shared" si="79"/>
        <v>7.953281423804226</v>
      </c>
      <c r="AY69" s="242"/>
      <c r="AZ69" s="242">
        <f t="shared" si="80"/>
        <v>6.6536550745209366</v>
      </c>
      <c r="BA69" s="242">
        <f t="shared" si="80"/>
        <v>4.171632896305133</v>
      </c>
      <c r="BB69" s="243">
        <f t="shared" si="80"/>
        <v>4.1473467284904642</v>
      </c>
      <c r="BC69" s="242"/>
      <c r="BD69" s="242">
        <f t="shared" si="81"/>
        <v>6.0056562967892191</v>
      </c>
      <c r="BE69" s="242">
        <f>(BE36/BA36-1)*100</f>
        <v>6.1457992808107154</v>
      </c>
      <c r="BF69" s="1451">
        <f t="shared" si="81"/>
        <v>6.0763459477285897</v>
      </c>
      <c r="BG69" s="242"/>
      <c r="BH69" s="242">
        <f t="shared" si="82"/>
        <v>5.4613935969868077</v>
      </c>
      <c r="BI69" s="242">
        <f t="shared" si="82"/>
        <v>3.791201130694466</v>
      </c>
      <c r="BJ69" s="242">
        <f t="shared" si="82"/>
        <v>4.6183786835636509</v>
      </c>
      <c r="BK69" s="242"/>
      <c r="BL69" s="242">
        <f t="shared" si="83"/>
        <v>4.1830139378771669</v>
      </c>
      <c r="BM69" s="242">
        <f t="shared" si="83"/>
        <v>4.1875175616767013</v>
      </c>
      <c r="BN69" s="244">
        <f t="shared" si="83"/>
        <v>4.1852691292179944</v>
      </c>
      <c r="BO69" s="242"/>
      <c r="BP69" s="242">
        <f t="shared" si="84"/>
        <v>4.1266272166461393</v>
      </c>
      <c r="BQ69" s="242">
        <f t="shared" si="85"/>
        <v>4.411017848505927</v>
      </c>
      <c r="BR69" s="244">
        <f t="shared" si="86"/>
        <v>4.2690390077024354</v>
      </c>
      <c r="BS69" s="286"/>
      <c r="BT69" s="316" t="s">
        <v>121</v>
      </c>
      <c r="BU69" s="308"/>
      <c r="BV69" s="44">
        <f>MODEL!BH276*100</f>
        <v>41.183035714285715</v>
      </c>
      <c r="BW69" s="44">
        <f>MODEL!BI276*100</f>
        <v>37.598152424942263</v>
      </c>
      <c r="BX69" s="44">
        <f>MODEL!BJ276*100</f>
        <v>37.598152424942263</v>
      </c>
      <c r="BY69" s="44"/>
      <c r="BZ69" s="44">
        <f>MODEL!BL276*100</f>
        <v>35.948210205635952</v>
      </c>
      <c r="CA69" s="44">
        <f>MODEL!BM276*100</f>
        <v>33.471933471933475</v>
      </c>
      <c r="CB69" s="44">
        <f>MODEL!BN276*100</f>
        <v>33.471933471933475</v>
      </c>
      <c r="CC69" s="44"/>
      <c r="CD69" s="44">
        <f>MODEL!BP276*100</f>
        <v>33.214285714285715</v>
      </c>
      <c r="CE69" s="44">
        <f>MODEL!BQ276*100</f>
        <v>31.068301225919438</v>
      </c>
      <c r="CF69" s="44">
        <f>MODEL!BR276*100</f>
        <v>31.068301225919438</v>
      </c>
      <c r="CG69" s="44">
        <f>MODEL!BS276*100</f>
        <v>0</v>
      </c>
      <c r="CH69" s="44">
        <f>MODEL!BT276*100</f>
        <v>32.604017216642752</v>
      </c>
      <c r="CI69" s="44">
        <f>MODEL!BU276*100</f>
        <v>30.295250320924261</v>
      </c>
      <c r="CJ69" s="44">
        <f>MODEL!BV276*100</f>
        <v>30.295250320924261</v>
      </c>
      <c r="CK69" s="44"/>
      <c r="CL69" s="44">
        <f>MODEL!BX276*100</f>
        <v>30.133333333333333</v>
      </c>
      <c r="CM69" s="44">
        <f>MODEL!BY276*100</f>
        <v>30.749921556322562</v>
      </c>
      <c r="CN69" s="44">
        <f>MODEL!BZ276*100</f>
        <v>30.749921556322562</v>
      </c>
      <c r="CO69" s="44"/>
      <c r="CP69" s="44">
        <f>MODEL!CB276*100</f>
        <v>29.046629046629047</v>
      </c>
      <c r="CQ69" s="44">
        <f>MODEL!CC276*100</f>
        <v>27.367096571248823</v>
      </c>
      <c r="CR69" s="44">
        <f>MODEL!CD276*100</f>
        <v>27.367096571248823</v>
      </c>
      <c r="CS69" s="44"/>
      <c r="CT69" s="44">
        <f>MODEL!CF276*100</f>
        <v>25.842696629213485</v>
      </c>
      <c r="CU69" s="44">
        <f>MODEL!CG276*100</f>
        <v>24.710104914411925</v>
      </c>
      <c r="CV69" s="44">
        <f>MODEL!CH276*100</f>
        <v>24.710104914411925</v>
      </c>
      <c r="CW69" s="44"/>
      <c r="CX69" s="44">
        <f>MODEL!CJ276*100</f>
        <v>28.347620455217264</v>
      </c>
      <c r="CY69" s="44">
        <f>MODEL!CK276*100</f>
        <v>27.254791431792558</v>
      </c>
      <c r="CZ69" s="44">
        <f>MODEL!CL276*100</f>
        <v>27.254791431792558</v>
      </c>
      <c r="DA69" s="44"/>
      <c r="DB69" s="44">
        <f>MODEL!CN276*100</f>
        <v>28.12903225806452</v>
      </c>
      <c r="DC69" s="44">
        <f>MODEL!CO276*100</f>
        <v>26.400704018773837</v>
      </c>
      <c r="DD69" s="44">
        <f>MODEL!CP276*100</f>
        <v>26.400704018773837</v>
      </c>
      <c r="DE69" s="44"/>
      <c r="DF69" s="44">
        <f>MODEL!CR276*100</f>
        <v>22.745548535324524</v>
      </c>
      <c r="DG69" s="44">
        <f>MODEL!CS276*100</f>
        <v>24.940698068451372</v>
      </c>
      <c r="DH69" s="44">
        <f>MODEL!CT276*100</f>
        <v>24.940698068451372</v>
      </c>
      <c r="DI69" s="44"/>
      <c r="DJ69" s="44">
        <f>MODEL!CV276*100</f>
        <v>21.113306982872203</v>
      </c>
      <c r="DK69" s="44">
        <f>MODEL!CW276*100</f>
        <v>22.669873722188814</v>
      </c>
      <c r="DL69" s="46">
        <f>MODEL!CX276*100</f>
        <v>22.669873722188814</v>
      </c>
      <c r="DM69" s="44"/>
      <c r="DN69" s="44">
        <f>MODEL!CZ276*100</f>
        <v>22.644423849243125</v>
      </c>
      <c r="DO69" s="44">
        <f>MODEL!DA276*100</f>
        <v>18.256410256410259</v>
      </c>
      <c r="DP69" s="1350">
        <f>MODEL!DB278*100</f>
        <v>7.3874247769246724</v>
      </c>
      <c r="DQ69" s="308"/>
      <c r="DR69" s="308">
        <f>MODEL!DD278*100</f>
        <v>7.1269271792882769</v>
      </c>
      <c r="DS69" s="308">
        <f>MODEL!DE278*100</f>
        <v>7.416833303035812</v>
      </c>
      <c r="DT69" s="1430">
        <f>MODEL!DF278*100</f>
        <v>7.416833303035812</v>
      </c>
      <c r="DU69" s="308"/>
      <c r="DV69" s="308">
        <f>MODEL!DH278*100</f>
        <v>7.5747444837138218</v>
      </c>
      <c r="DW69" s="308">
        <f>MODEL!DI278*100</f>
        <v>7.5747444837138218</v>
      </c>
      <c r="DX69" s="308">
        <f>MODEL!DJ278*100</f>
        <v>7.5747444837138218</v>
      </c>
      <c r="DY69" s="308"/>
      <c r="DZ69" s="308">
        <f>MODEL!DL278*100</f>
        <v>7.5747444837138218</v>
      </c>
      <c r="EA69" s="308">
        <f>MODEL!DM278*100</f>
        <v>7.5747444837138218</v>
      </c>
      <c r="EB69" s="308">
        <f>MODEL!DN278*100</f>
        <v>7.5747444837138218</v>
      </c>
      <c r="EC69" s="308"/>
      <c r="ED69" s="308">
        <f>MODEL!DP278*100</f>
        <v>7.5747444837138218</v>
      </c>
      <c r="EE69" s="308">
        <f>MODEL!DQ278*100</f>
        <v>7.5747444837138218</v>
      </c>
      <c r="EF69" s="308">
        <f>MODEL!DR278*100</f>
        <v>7.5747444837138218</v>
      </c>
      <c r="EG69" s="151"/>
    </row>
    <row r="70" spans="3:140" x14ac:dyDescent="0.2">
      <c r="C70" s="309" t="s">
        <v>124</v>
      </c>
      <c r="D70" s="242">
        <v>1.5894039735099286</v>
      </c>
      <c r="E70" s="242">
        <v>1.5915119363395291</v>
      </c>
      <c r="F70" s="242">
        <v>1.59045725646122</v>
      </c>
      <c r="G70" s="242"/>
      <c r="H70" s="242" t="e">
        <f t="shared" si="69"/>
        <v>#DIV/0!</v>
      </c>
      <c r="I70" s="242" t="e">
        <f t="shared" si="69"/>
        <v>#DIV/0!</v>
      </c>
      <c r="J70" s="242" t="e">
        <f t="shared" si="69"/>
        <v>#DIV/0!</v>
      </c>
      <c r="K70" s="242"/>
      <c r="L70" s="242" t="e">
        <f t="shared" si="70"/>
        <v>#DIV/0!</v>
      </c>
      <c r="M70" s="242" t="e">
        <f t="shared" si="70"/>
        <v>#DIV/0!</v>
      </c>
      <c r="N70" s="242" t="e">
        <f t="shared" si="70"/>
        <v>#DIV/0!</v>
      </c>
      <c r="O70" s="242"/>
      <c r="P70" s="242" t="e">
        <f t="shared" si="71"/>
        <v>#DIV/0!</v>
      </c>
      <c r="Q70" s="242" t="e">
        <f t="shared" si="71"/>
        <v>#DIV/0!</v>
      </c>
      <c r="R70" s="242" t="e">
        <f t="shared" si="71"/>
        <v>#DIV/0!</v>
      </c>
      <c r="S70" s="242"/>
      <c r="T70" s="242" t="e">
        <f t="shared" si="72"/>
        <v>#DIV/0!</v>
      </c>
      <c r="U70" s="242" t="e">
        <f t="shared" si="72"/>
        <v>#DIV/0!</v>
      </c>
      <c r="V70" s="242" t="e">
        <f t="shared" si="72"/>
        <v>#DIV/0!</v>
      </c>
      <c r="W70" s="242"/>
      <c r="X70" s="242" t="e">
        <f t="shared" si="73"/>
        <v>#DIV/0!</v>
      </c>
      <c r="Y70" s="242" t="e">
        <f t="shared" si="73"/>
        <v>#DIV/0!</v>
      </c>
      <c r="Z70" s="242" t="e">
        <f t="shared" si="73"/>
        <v>#DIV/0!</v>
      </c>
      <c r="AA70" s="242"/>
      <c r="AB70" s="242" t="e">
        <f t="shared" si="74"/>
        <v>#DIV/0!</v>
      </c>
      <c r="AC70" s="242" t="e">
        <f t="shared" si="74"/>
        <v>#DIV/0!</v>
      </c>
      <c r="AD70" s="242" t="e">
        <f t="shared" si="74"/>
        <v>#DIV/0!</v>
      </c>
      <c r="AE70" s="242"/>
      <c r="AF70" s="242" t="e">
        <f t="shared" si="75"/>
        <v>#DIV/0!</v>
      </c>
      <c r="AG70" s="242" t="e">
        <f t="shared" si="75"/>
        <v>#DIV/0!</v>
      </c>
      <c r="AH70" s="243" t="e">
        <f t="shared" si="75"/>
        <v>#DIV/0!</v>
      </c>
      <c r="AI70" s="242"/>
      <c r="AJ70" s="242">
        <f t="shared" si="76"/>
        <v>-3.5495367070563111</v>
      </c>
      <c r="AK70" s="242">
        <f t="shared" si="76"/>
        <v>0.46656298600311619</v>
      </c>
      <c r="AL70" s="293">
        <f t="shared" si="76"/>
        <v>-1.6288583116400135</v>
      </c>
      <c r="AM70" s="242"/>
      <c r="AN70" s="292">
        <f t="shared" si="77"/>
        <v>-2.276086313922554</v>
      </c>
      <c r="AO70" s="292">
        <f t="shared" si="77"/>
        <v>4.6439628482972228</v>
      </c>
      <c r="AP70" s="293">
        <f t="shared" si="77"/>
        <v>1.1038862845909492</v>
      </c>
      <c r="AQ70" s="292"/>
      <c r="AR70" s="292">
        <f t="shared" si="78"/>
        <v>1.4821536600120977</v>
      </c>
      <c r="AS70" s="292">
        <f t="shared" si="78"/>
        <v>-1.2573964497041401</v>
      </c>
      <c r="AT70" s="293">
        <f t="shared" si="78"/>
        <v>9.7218067603943581E-2</v>
      </c>
      <c r="AU70" s="292"/>
      <c r="AV70" s="292">
        <f t="shared" si="79"/>
        <v>19.031296572280176</v>
      </c>
      <c r="AW70" s="292">
        <f t="shared" si="79"/>
        <v>14.441947565543067</v>
      </c>
      <c r="AX70" s="293">
        <f t="shared" si="79"/>
        <v>15.719088531938731</v>
      </c>
      <c r="AY70" s="292"/>
      <c r="AZ70" s="292">
        <f t="shared" si="80"/>
        <v>-4.369600600976586</v>
      </c>
      <c r="BA70" s="292">
        <f t="shared" si="80"/>
        <v>-3.0370467338656892</v>
      </c>
      <c r="BB70" s="293">
        <f t="shared" si="80"/>
        <v>-2.8665504551617316</v>
      </c>
      <c r="BC70" s="292"/>
      <c r="BD70" s="292">
        <f t="shared" si="81"/>
        <v>1.1390416339355891</v>
      </c>
      <c r="BE70" s="292">
        <f t="shared" si="81"/>
        <v>6.3048467665721697</v>
      </c>
      <c r="BF70" s="1455">
        <f t="shared" si="81"/>
        <v>3.6822864739116001</v>
      </c>
      <c r="BG70" s="292"/>
      <c r="BH70" s="292">
        <f t="shared" si="82"/>
        <v>7.4563106796116552</v>
      </c>
      <c r="BI70" s="292">
        <f t="shared" si="82"/>
        <v>7.7163552294543081</v>
      </c>
      <c r="BJ70" s="292">
        <f t="shared" si="82"/>
        <v>7.5875749135664528</v>
      </c>
      <c r="BK70" s="292"/>
      <c r="BL70" s="292">
        <f t="shared" si="83"/>
        <v>8.0872978469957779</v>
      </c>
      <c r="BM70" s="292">
        <f t="shared" si="83"/>
        <v>6.2891040597381265</v>
      </c>
      <c r="BN70" s="294">
        <f t="shared" si="83"/>
        <v>7.1785263928835441</v>
      </c>
      <c r="BO70" s="292"/>
      <c r="BP70" s="292">
        <f t="shared" si="84"/>
        <v>4.3359240583112912</v>
      </c>
      <c r="BQ70" s="292">
        <f t="shared" si="85"/>
        <v>4.2143821904546019</v>
      </c>
      <c r="BR70" s="294">
        <f t="shared" si="86"/>
        <v>4.2750089452138873</v>
      </c>
      <c r="BS70" s="286"/>
      <c r="BT70" s="208" t="s">
        <v>123</v>
      </c>
      <c r="BU70" s="97"/>
      <c r="BV70" s="97">
        <f>-MODEL!BH251</f>
        <v>2858</v>
      </c>
      <c r="BW70" s="97">
        <f>-MODEL!BI251</f>
        <v>2858</v>
      </c>
      <c r="BX70" s="97">
        <f>-MODEL!BJ251</f>
        <v>2858</v>
      </c>
      <c r="BY70" s="97"/>
      <c r="BZ70" s="97">
        <f>-MODEL!BL251</f>
        <v>2870</v>
      </c>
      <c r="CA70" s="97">
        <f>-MODEL!BM251</f>
        <v>2779</v>
      </c>
      <c r="CB70" s="97">
        <f>-MODEL!BN251</f>
        <v>2779</v>
      </c>
      <c r="CC70" s="97"/>
      <c r="CD70" s="97">
        <f>-MODEL!BP251</f>
        <v>2763</v>
      </c>
      <c r="CE70" s="97">
        <f>-MODEL!BQ251</f>
        <v>2762</v>
      </c>
      <c r="CF70" s="97">
        <f>-MODEL!BR251</f>
        <v>2762</v>
      </c>
      <c r="CG70" s="97" t="e">
        <f>-MODEL!#REF!</f>
        <v>#REF!</v>
      </c>
      <c r="CH70" s="97">
        <f>-MODEL!BT251</f>
        <v>2801</v>
      </c>
      <c r="CI70" s="97">
        <f>-MODEL!BU251</f>
        <v>2818</v>
      </c>
      <c r="CJ70" s="97">
        <f>-MODEL!BV251</f>
        <v>2818</v>
      </c>
      <c r="CK70" s="97"/>
      <c r="CL70" s="97">
        <f>-MODEL!BX251</f>
        <v>2807</v>
      </c>
      <c r="CM70" s="97">
        <f>-MODEL!BY251</f>
        <v>2747</v>
      </c>
      <c r="CN70" s="97">
        <f>-MODEL!BZ251</f>
        <v>2747</v>
      </c>
      <c r="CO70" s="97"/>
      <c r="CP70" s="97">
        <f>-MODEL!CB251</f>
        <v>2772</v>
      </c>
      <c r="CQ70" s="97">
        <f>-MODEL!CC251</f>
        <v>2763</v>
      </c>
      <c r="CR70" s="97">
        <f>-MODEL!CD251</f>
        <v>2763</v>
      </c>
      <c r="CS70" s="97"/>
      <c r="CT70" s="97">
        <f>-MODEL!CF251</f>
        <v>3814</v>
      </c>
      <c r="CU70" s="97">
        <f>-MODEL!CG251</f>
        <v>3904</v>
      </c>
      <c r="CV70" s="97">
        <f>-MODEL!CH251</f>
        <v>3904</v>
      </c>
      <c r="CW70" s="97"/>
      <c r="CX70" s="97">
        <f>-MODEL!CJ251</f>
        <v>4067</v>
      </c>
      <c r="CY70" s="97">
        <f>-MODEL!CK251</f>
        <v>5396</v>
      </c>
      <c r="CZ70" s="97">
        <f>-MODEL!CL251</f>
        <v>5396</v>
      </c>
      <c r="DA70" s="97"/>
      <c r="DB70" s="97">
        <f>-MODEL!CN251</f>
        <v>5943</v>
      </c>
      <c r="DC70" s="97">
        <f>-MODEL!CO251</f>
        <v>5311</v>
      </c>
      <c r="DD70" s="97">
        <f>-MODEL!CP251</f>
        <v>5311</v>
      </c>
      <c r="DE70" s="97"/>
      <c r="DF70" s="97">
        <f>-MODEL!CR251</f>
        <v>5062</v>
      </c>
      <c r="DG70" s="97">
        <f>-MODEL!CS251</f>
        <v>4611</v>
      </c>
      <c r="DH70" s="97">
        <f>-MODEL!CT251</f>
        <v>4611</v>
      </c>
      <c r="DI70" s="97"/>
      <c r="DJ70" s="97">
        <f>-MODEL!CV251</f>
        <v>4900</v>
      </c>
      <c r="DK70" s="97">
        <f>-MODEL!CW251</f>
        <v>5196</v>
      </c>
      <c r="DL70" s="98">
        <f>-MODEL!CX251</f>
        <v>5196</v>
      </c>
      <c r="DM70" s="97"/>
      <c r="DN70" s="97">
        <f>-MODEL!CZ251</f>
        <v>5330</v>
      </c>
      <c r="DO70" s="97">
        <f>-MODEL!DA251</f>
        <v>5423</v>
      </c>
      <c r="DP70" s="98">
        <f>-MODEL!DB251</f>
        <v>5423</v>
      </c>
      <c r="DQ70" s="97"/>
      <c r="DR70" s="97">
        <f>-MODEL!DD251</f>
        <v>5492</v>
      </c>
      <c r="DS70" s="97">
        <f>-MODEL!DE251</f>
        <v>5561</v>
      </c>
      <c r="DT70" s="1429">
        <f>-MODEL!DF251</f>
        <v>5561</v>
      </c>
      <c r="DU70" s="97"/>
      <c r="DV70" s="97">
        <f>-MODEL!DH251</f>
        <v>5542</v>
      </c>
      <c r="DW70" s="97">
        <f ca="1">-MODEL!DI251</f>
        <v>5561.3038849236655</v>
      </c>
      <c r="DX70" s="97">
        <f ca="1">-MODEL!DJ251</f>
        <v>5561.3038849236655</v>
      </c>
      <c r="DY70" s="97"/>
      <c r="DZ70" s="97">
        <f ca="1">-MODEL!DL251</f>
        <v>5583.0200919583986</v>
      </c>
      <c r="EA70" s="97">
        <f ca="1">-MODEL!DM251</f>
        <v>5631.3131545897095</v>
      </c>
      <c r="EB70" s="97">
        <f ca="1">-MODEL!DN251</f>
        <v>5631.3131545897095</v>
      </c>
      <c r="EC70" s="97"/>
      <c r="ED70" s="97">
        <f ca="1">-MODEL!DP251</f>
        <v>5759.6700243500791</v>
      </c>
      <c r="EE70" s="97">
        <f ca="1">-MODEL!DQ251</f>
        <v>5909.8765641355576</v>
      </c>
      <c r="EF70" s="97">
        <f ca="1">-MODEL!DR251</f>
        <v>5909.8765641355576</v>
      </c>
      <c r="EG70" s="267"/>
    </row>
    <row r="71" spans="3:140" x14ac:dyDescent="0.2">
      <c r="C71" s="311" t="s">
        <v>125</v>
      </c>
      <c r="D71" s="312">
        <v>1.5894039735099286</v>
      </c>
      <c r="E71" s="312">
        <v>1.5915119363395291</v>
      </c>
      <c r="F71" s="312">
        <v>1.5904572564612307</v>
      </c>
      <c r="G71" s="312"/>
      <c r="H71" s="312" t="e">
        <f>(H40/D40-1)*100</f>
        <v>#DIV/0!</v>
      </c>
      <c r="I71" s="312" t="e">
        <f>(I40/E40-1)*100</f>
        <v>#DIV/0!</v>
      </c>
      <c r="J71" s="312" t="e">
        <f>(J40/F40-1)*100</f>
        <v>#DIV/0!</v>
      </c>
      <c r="K71" s="312"/>
      <c r="L71" s="312" t="e">
        <f>(L40/H40-1)*100</f>
        <v>#DIV/0!</v>
      </c>
      <c r="M71" s="312" t="e">
        <f>(M40/I40-1)*100</f>
        <v>#DIV/0!</v>
      </c>
      <c r="N71" s="312" t="e">
        <f>(N40/J40-1)*100</f>
        <v>#DIV/0!</v>
      </c>
      <c r="O71" s="312"/>
      <c r="P71" s="312" t="e">
        <f>(P40/L40-1)*100</f>
        <v>#DIV/0!</v>
      </c>
      <c r="Q71" s="312" t="e">
        <f>(Q40/M40-1)*100</f>
        <v>#DIV/0!</v>
      </c>
      <c r="R71" s="312" t="e">
        <f>(R40/N40-1)*100</f>
        <v>#DIV/0!</v>
      </c>
      <c r="S71" s="312"/>
      <c r="T71" s="312" t="e">
        <f>(T40/P40-1)*100</f>
        <v>#DIV/0!</v>
      </c>
      <c r="U71" s="312" t="e">
        <f>(U40/Q40-1)*100</f>
        <v>#DIV/0!</v>
      </c>
      <c r="V71" s="312" t="e">
        <f>(V40/R40-1)*100</f>
        <v>#DIV/0!</v>
      </c>
      <c r="W71" s="312"/>
      <c r="X71" s="312" t="e">
        <f>(X40/T40-1)*100</f>
        <v>#DIV/0!</v>
      </c>
      <c r="Y71" s="312" t="e">
        <f>(Y40/U40-1)*100</f>
        <v>#DIV/0!</v>
      </c>
      <c r="Z71" s="312" t="e">
        <f>(Z40/V40-1)*100</f>
        <v>#DIV/0!</v>
      </c>
      <c r="AA71" s="312"/>
      <c r="AB71" s="312" t="e">
        <f>(AB40/X40-1)*100</f>
        <v>#DIV/0!</v>
      </c>
      <c r="AC71" s="312" t="e">
        <f>(AC40/Y40-1)*100</f>
        <v>#DIV/0!</v>
      </c>
      <c r="AD71" s="312" t="e">
        <f>(AD40/Z40-1)*100</f>
        <v>#DIV/0!</v>
      </c>
      <c r="AE71" s="312"/>
      <c r="AF71" s="312" t="e">
        <f>(AF40/AB40-1)*100</f>
        <v>#DIV/0!</v>
      </c>
      <c r="AG71" s="312" t="e">
        <f>(AG40/AC40-1)*100</f>
        <v>#DIV/0!</v>
      </c>
      <c r="AH71" s="312" t="e">
        <f>(AH40/AD40-1)*100</f>
        <v>#DIV/0!</v>
      </c>
      <c r="AI71" s="312"/>
      <c r="AJ71" s="312" t="e">
        <f>(AJ40/AF40-1)*100</f>
        <v>#DIV/0!</v>
      </c>
      <c r="AK71" s="312" t="e">
        <f>(AK40/AG40-1)*100</f>
        <v>#DIV/0!</v>
      </c>
      <c r="AL71" s="313">
        <f>(AL40/AH40-1)*100</f>
        <v>-13.284696691176467</v>
      </c>
      <c r="AM71" s="312"/>
      <c r="AN71" s="314">
        <f>(AN40/AJ40-1)*100</f>
        <v>-6.5416666666666679</v>
      </c>
      <c r="AO71" s="314">
        <f>(AO40/AK40-1)*100</f>
        <v>55.469839204387043</v>
      </c>
      <c r="AP71" s="313">
        <f>(AP40/AL40-1)*100</f>
        <v>19.97694661949998</v>
      </c>
      <c r="AQ71" s="314"/>
      <c r="AR71" s="314">
        <f>(AR40/AN40-1)*100</f>
        <v>19.163322930598902</v>
      </c>
      <c r="AS71" s="314">
        <f>(AS40/AO40-1)*100</f>
        <v>-2.9373667324286146</v>
      </c>
      <c r="AT71" s="313">
        <f>(AT40/AP40-1)*100</f>
        <v>6.9162387499309697</v>
      </c>
      <c r="AU71" s="314"/>
      <c r="AV71" s="314">
        <f>(AV40/AR40-1)*100</f>
        <v>9.6609922886657706</v>
      </c>
      <c r="AW71" s="314">
        <f>(AW40/AS40-1)*100</f>
        <v>3.4840987948344226</v>
      </c>
      <c r="AX71" s="313">
        <f>(AX40/AT40-1)*100</f>
        <v>5.1385073023611394</v>
      </c>
      <c r="AY71" s="314"/>
      <c r="AZ71" s="314">
        <f>(AZ40/AV40-1)*100</f>
        <v>-4.8693113971076007</v>
      </c>
      <c r="BA71" s="314">
        <f>(BA40/AW40-1)*100</f>
        <v>-3.196174906753424</v>
      </c>
      <c r="BB71" s="313">
        <f>(BB40/AX40-1)*100</f>
        <v>-2.7605041604039537</v>
      </c>
      <c r="BC71" s="314"/>
      <c r="BD71" s="314">
        <f>(BD40/AZ40-1)*100</f>
        <v>2.2514445108587466</v>
      </c>
      <c r="BE71" s="314">
        <f>(BE40/BA40-1)*100</f>
        <v>6.798106285737715</v>
      </c>
      <c r="BF71" s="1458">
        <f>(BF40/BB40-1)*100</f>
        <v>4.4926906640534225</v>
      </c>
      <c r="BG71" s="314"/>
      <c r="BH71" s="314">
        <f>(BH40/BD40-1)*100</f>
        <v>8.4177708495713155</v>
      </c>
      <c r="BI71" s="1469">
        <f>(BI40/BE40-1)*100</f>
        <v>8.6097369195682116</v>
      </c>
      <c r="BJ71" s="1469">
        <f>(BJ40/BF40-1)*100</f>
        <v>8.5144870045315457</v>
      </c>
      <c r="BK71" s="314"/>
      <c r="BL71" s="314">
        <f>(BL40/BH40-1)*100</f>
        <v>6.5016571290674952</v>
      </c>
      <c r="BM71" s="314">
        <f>(BM40/BI40-1)*100</f>
        <v>4.4331794668634572</v>
      </c>
      <c r="BN71" s="315">
        <f>(BN40/BJ40-1)*100</f>
        <v>5.4586040155096827</v>
      </c>
      <c r="BO71" s="314"/>
      <c r="BP71" s="314">
        <f>(BP40/BL40-1)*100</f>
        <v>3.5818636692070527</v>
      </c>
      <c r="BQ71" s="314">
        <f>(BQ40/BM40-1)*100</f>
        <v>4.1476004397910327</v>
      </c>
      <c r="BR71" s="315">
        <f>(BR40/BN40-1)*100</f>
        <v>3.8643688897284534</v>
      </c>
      <c r="BS71" s="286"/>
      <c r="BT71" s="258" t="s">
        <v>1144</v>
      </c>
      <c r="BU71" s="287"/>
      <c r="BV71" s="287">
        <f>MODEL!BH281*100</f>
        <v>0.52037813901998486</v>
      </c>
      <c r="BW71" s="287">
        <f>MODEL!BI281*100</f>
        <v>0.50244277197923426</v>
      </c>
      <c r="BX71" s="287">
        <f>MODEL!BJ281*100</f>
        <v>0.50244277197923426</v>
      </c>
      <c r="BY71" s="287"/>
      <c r="BZ71" s="287">
        <f>MODEL!BL281*100</f>
        <v>0.4849816230830975</v>
      </c>
      <c r="CA71" s="287">
        <f>MODEL!BM281*100</f>
        <v>0.45697691436163829</v>
      </c>
      <c r="CB71" s="287">
        <f>MODEL!BN281*100</f>
        <v>0.45697691436163829</v>
      </c>
      <c r="CC71" s="287"/>
      <c r="CD71" s="287">
        <f>MODEL!BP281*100</f>
        <v>0.44017983170250663</v>
      </c>
      <c r="CE71" s="287">
        <f>MODEL!BQ281*100</f>
        <v>0.42744037191336054</v>
      </c>
      <c r="CF71" s="287">
        <f>MODEL!BR281*100</f>
        <v>0.42744037191336054</v>
      </c>
      <c r="CG71" s="287">
        <f>MODEL!BS281*100</f>
        <v>0</v>
      </c>
      <c r="CH71" s="287">
        <f>MODEL!BT281*100</f>
        <v>0.41451589988871262</v>
      </c>
      <c r="CI71" s="287">
        <f>MODEL!BU281*100</f>
        <v>0.40157895486868167</v>
      </c>
      <c r="CJ71" s="287">
        <f>MODEL!BV281*100</f>
        <v>0.40157895486868167</v>
      </c>
      <c r="CK71" s="287"/>
      <c r="CL71" s="287">
        <f>MODEL!BX281*100</f>
        <v>0.39026763990267638</v>
      </c>
      <c r="CM71" s="287">
        <f>MODEL!BY281*100</f>
        <v>0.37272626125844976</v>
      </c>
      <c r="CN71" s="287">
        <f>MODEL!BZ281*100</f>
        <v>0.37272626125844976</v>
      </c>
      <c r="CO71" s="287"/>
      <c r="CP71" s="287">
        <f>MODEL!CB281*100</f>
        <v>0.37392859744401186</v>
      </c>
      <c r="CQ71" s="287">
        <f>MODEL!CC281*100</f>
        <v>0.36918365383587559</v>
      </c>
      <c r="CR71" s="287">
        <f>MODEL!CD281*100</f>
        <v>0.36918365383587559</v>
      </c>
      <c r="CS71" s="287"/>
      <c r="CT71" s="287">
        <f>MODEL!CF281*100</f>
        <v>0.50219694705337847</v>
      </c>
      <c r="CU71" s="287">
        <f>MODEL!CG281*100</f>
        <v>0.51300043494657777</v>
      </c>
      <c r="CV71" s="287">
        <f>MODEL!CH281*100</f>
        <v>0.51300043494657777</v>
      </c>
      <c r="CW71" s="287"/>
      <c r="CX71" s="287">
        <f>MODEL!CJ281*100</f>
        <v>0.52723484961426426</v>
      </c>
      <c r="CY71" s="287">
        <f>MODEL!CK281*100</f>
        <v>0.69169909807360008</v>
      </c>
      <c r="CZ71" s="287">
        <f>MODEL!CL281*100</f>
        <v>0.69169909807360008</v>
      </c>
      <c r="DA71" s="287"/>
      <c r="DB71" s="287">
        <f>MODEL!CN281*100</f>
        <v>0.74804304236896668</v>
      </c>
      <c r="DC71" s="287">
        <f>MODEL!CO281*100</f>
        <v>0.64905544162900575</v>
      </c>
      <c r="DD71" s="287">
        <f>MODEL!CP281*100</f>
        <v>0.64905544162900575</v>
      </c>
      <c r="DE71" s="287"/>
      <c r="DF71" s="287">
        <f>MODEL!CR281*100</f>
        <v>0.59517300816334684</v>
      </c>
      <c r="DG71" s="287">
        <f>MODEL!CS281*100</f>
        <v>0.52103873269277923</v>
      </c>
      <c r="DH71" s="287">
        <f>MODEL!CT281*100</f>
        <v>0.52103873269277923</v>
      </c>
      <c r="DI71" s="287"/>
      <c r="DJ71" s="287">
        <f>MODEL!CV281*100</f>
        <v>0.53678923354165864</v>
      </c>
      <c r="DK71" s="287">
        <f>MODEL!CW281*100</f>
        <v>0.55676340019994619</v>
      </c>
      <c r="DL71" s="310">
        <f>MODEL!CX281*100</f>
        <v>0.55676340019994619</v>
      </c>
      <c r="DM71" s="287"/>
      <c r="DN71" s="287">
        <f>MODEL!CZ281*100</f>
        <v>0.57385441754853272</v>
      </c>
      <c r="DO71" s="287">
        <f>MODEL!DA281*100</f>
        <v>0.57087335306774689</v>
      </c>
      <c r="DP71" s="310">
        <f>MODEL!DB281*100</f>
        <v>0.57087335306774689</v>
      </c>
      <c r="DQ71" s="287"/>
      <c r="DR71" s="287">
        <f>MODEL!DD281*100</f>
        <v>0.56190811390405404</v>
      </c>
      <c r="DS71" s="287">
        <f>MODEL!DE281*100</f>
        <v>0.54740555752975495</v>
      </c>
      <c r="DT71" s="1431">
        <f>MODEL!DF281*100</f>
        <v>0.54740555752975495</v>
      </c>
      <c r="DU71" s="287"/>
      <c r="DV71" s="287">
        <f>MODEL!DH281*100</f>
        <v>0.52831872242580469</v>
      </c>
      <c r="DW71" s="287">
        <f ca="1">MODEL!DI281*100</f>
        <v>0.51229656061673301</v>
      </c>
      <c r="DX71" s="287">
        <f ca="1">MODEL!DJ281*100</f>
        <v>0.51229656061673301</v>
      </c>
      <c r="DY71" s="287"/>
      <c r="DZ71" s="287">
        <f ca="1">MODEL!DL281*100</f>
        <v>0.49964041869275161</v>
      </c>
      <c r="EA71" s="287">
        <f ca="1">MODEL!DM281*100</f>
        <v>0.48875704769761019</v>
      </c>
      <c r="EB71" s="287">
        <f ca="1">MODEL!DN281*100</f>
        <v>0.48875704769761019</v>
      </c>
      <c r="EC71" s="287"/>
      <c r="ED71" s="287">
        <f ca="1">MODEL!DP281*100</f>
        <v>0.48847169237078497</v>
      </c>
      <c r="EE71" s="287">
        <f ca="1">MODEL!DQ281*100</f>
        <v>0.48892833309916184</v>
      </c>
      <c r="EF71" s="287">
        <f ca="1">MODEL!DR281*100</f>
        <v>0.48892833309916184</v>
      </c>
      <c r="EG71" s="273"/>
    </row>
    <row r="72" spans="3:140" x14ac:dyDescent="0.2">
      <c r="C72" s="245" t="s">
        <v>89</v>
      </c>
      <c r="D72" s="242">
        <v>5.4677391792593344</v>
      </c>
      <c r="E72" s="242">
        <v>5.1036055752573306</v>
      </c>
      <c r="F72" s="242">
        <v>5.1036055752573306</v>
      </c>
      <c r="G72" s="242"/>
      <c r="H72" s="242">
        <f t="shared" ref="H72:J74" si="87">(H44/D44-1)*100</f>
        <v>3.8874840143277911</v>
      </c>
      <c r="I72" s="242">
        <f t="shared" si="87"/>
        <v>5.6260818570971205</v>
      </c>
      <c r="J72" s="242">
        <f t="shared" si="87"/>
        <v>5.6260818570971205</v>
      </c>
      <c r="K72" s="242"/>
      <c r="L72" s="242">
        <f t="shared" ref="L72:N74" si="88">(L44/H44-1)*100</f>
        <v>7.7878782815032688</v>
      </c>
      <c r="M72" s="242">
        <f t="shared" si="88"/>
        <v>7.2001394700139443</v>
      </c>
      <c r="N72" s="242">
        <f t="shared" si="88"/>
        <v>7.2001394700139443</v>
      </c>
      <c r="O72" s="242"/>
      <c r="P72" s="242">
        <f t="shared" ref="P72:R74" si="89">(P44/L44-1)*100</f>
        <v>6.2745949186219896</v>
      </c>
      <c r="Q72" s="242">
        <f t="shared" si="89"/>
        <v>5.7960644007155615</v>
      </c>
      <c r="R72" s="242">
        <f t="shared" si="89"/>
        <v>5.7960644007155615</v>
      </c>
      <c r="S72" s="242"/>
      <c r="T72" s="242">
        <f t="shared" ref="T72:V74" si="90">(T44/P44-1)*100</f>
        <v>6.2899794556350974</v>
      </c>
      <c r="U72" s="242">
        <f t="shared" si="90"/>
        <v>7.8569046780071483</v>
      </c>
      <c r="V72" s="242">
        <f t="shared" si="90"/>
        <v>7.8569046780071483</v>
      </c>
      <c r="W72" s="242"/>
      <c r="X72" s="242">
        <f t="shared" ref="X72:Z74" si="91">(X44/T44-1)*100</f>
        <v>8.0873606968360647</v>
      </c>
      <c r="Y72" s="242">
        <f t="shared" si="91"/>
        <v>6.5302999074711598</v>
      </c>
      <c r="Z72" s="242">
        <f t="shared" si="91"/>
        <v>6.5302999074711598</v>
      </c>
      <c r="AA72" s="242"/>
      <c r="AB72" s="242">
        <f t="shared" ref="AB72:AD74" si="92">(AB44/X44-1)*100</f>
        <v>4.2655312232822373</v>
      </c>
      <c r="AC72" s="242">
        <f t="shared" si="92"/>
        <v>3.2536322415854801</v>
      </c>
      <c r="AD72" s="242">
        <f t="shared" si="92"/>
        <v>3.2536322415854801</v>
      </c>
      <c r="AE72" s="242"/>
      <c r="AF72" s="242">
        <f t="shared" ref="AF72:AH74" si="93">(AF44/AB44-1)*100</f>
        <v>4.0222209593089309</v>
      </c>
      <c r="AG72" s="242">
        <f t="shared" si="93"/>
        <v>4.2412765490915216</v>
      </c>
      <c r="AH72" s="243">
        <f t="shared" si="93"/>
        <v>4.2412765490915216</v>
      </c>
      <c r="AI72" s="242"/>
      <c r="AJ72" s="242">
        <f t="shared" ref="AJ72:AL74" si="94">(AJ44/AF44-1)*100</f>
        <v>4.4067862752558584</v>
      </c>
      <c r="AK72" s="242">
        <f t="shared" si="94"/>
        <v>3.8126599125715588</v>
      </c>
      <c r="AL72" s="243">
        <f t="shared" si="94"/>
        <v>3.8126599125715588</v>
      </c>
      <c r="AM72" s="242"/>
      <c r="AN72" s="242">
        <f t="shared" ref="AN72:AP74" si="95">(AN44/AJ44-1)*100</f>
        <v>4.5278364387299153</v>
      </c>
      <c r="AO72" s="242">
        <f t="shared" si="95"/>
        <v>6.7926613616268838</v>
      </c>
      <c r="AP72" s="243">
        <f t="shared" si="95"/>
        <v>6.7926613616268838</v>
      </c>
      <c r="AQ72" s="242"/>
      <c r="AR72" s="242">
        <f t="shared" ref="AR72:AT74" si="96">(AR44/AN44-1)*100</f>
        <v>8.3301449264997718</v>
      </c>
      <c r="AS72" s="242">
        <f t="shared" si="96"/>
        <v>7.2853062322770334</v>
      </c>
      <c r="AT72" s="243">
        <f t="shared" si="96"/>
        <v>7.2853062322770334</v>
      </c>
      <c r="AU72" s="242"/>
      <c r="AV72" s="242">
        <f t="shared" ref="AV72:AX74" si="97">(AV44/AR44-1)*100</f>
        <v>5.5150104801043209</v>
      </c>
      <c r="AW72" s="242">
        <f t="shared" si="97"/>
        <v>4.8593794463924755</v>
      </c>
      <c r="AX72" s="243">
        <f t="shared" si="97"/>
        <v>4.8593794463924755</v>
      </c>
      <c r="AY72" s="242"/>
      <c r="AZ72" s="242">
        <f t="shared" ref="AZ72:BA74" si="98">(AZ44/AV44-1)*100</f>
        <v>1.7415215398716821</v>
      </c>
      <c r="BA72" s="242">
        <f t="shared" si="98"/>
        <v>1.913930618290216</v>
      </c>
      <c r="BB72" s="243">
        <f>(BB44/AX44-1)*100</f>
        <v>1.913930618290216</v>
      </c>
      <c r="BC72" s="242"/>
      <c r="BD72" s="242">
        <f t="shared" ref="BD72:BE74" si="99">(BD44/AZ44-1)*100</f>
        <v>5.3514435937644045</v>
      </c>
      <c r="BE72" s="242">
        <f t="shared" si="99"/>
        <v>6.4932954817278565</v>
      </c>
      <c r="BF72" s="1451">
        <f>(BF44/BB44-1)*100</f>
        <v>6.4932954817278565</v>
      </c>
      <c r="BG72" s="242"/>
      <c r="BH72" s="242">
        <f t="shared" ref="BH72:BI74" si="100">(BH44/BD44-1)*100</f>
        <v>6.5549441168358591</v>
      </c>
      <c r="BI72" s="242">
        <f t="shared" si="100"/>
        <v>6.8482160416970084</v>
      </c>
      <c r="BJ72" s="242">
        <f>(BJ44/BF44-1)*100</f>
        <v>6.8482160416970084</v>
      </c>
      <c r="BK72" s="242"/>
      <c r="BL72" s="242">
        <f t="shared" ref="BL72:BM74" si="101">(BL44/BH44-1)*100</f>
        <v>6.8475641446019697</v>
      </c>
      <c r="BM72" s="242">
        <f t="shared" si="101"/>
        <v>6.1738336322961329</v>
      </c>
      <c r="BN72" s="244">
        <f>(BN44/BJ44-1)*100</f>
        <v>6.1738336322961329</v>
      </c>
      <c r="BO72" s="242"/>
      <c r="BP72" s="242">
        <f t="shared" ref="BP72:BP74" si="102">(BP44/BL44-1)*100</f>
        <v>5.403449815576411</v>
      </c>
      <c r="BQ72" s="242">
        <f t="shared" ref="BQ72:BQ74" si="103">(BQ44/BM44-1)*100</f>
        <v>4.8685183921526543</v>
      </c>
      <c r="BR72" s="244">
        <f>(BR44/BN44-1)*100</f>
        <v>4.8685183921526543</v>
      </c>
      <c r="BS72" s="286"/>
      <c r="BT72" s="316" t="s">
        <v>126</v>
      </c>
      <c r="BU72" s="317"/>
      <c r="BV72" s="317">
        <f>MODEL!BH271*100</f>
        <v>1.0515161995305338</v>
      </c>
      <c r="BW72" s="317">
        <f>MODEL!BI271*100</f>
        <v>1.0219040740290479</v>
      </c>
      <c r="BX72" s="317">
        <f>MODEL!BJ271*100</f>
        <v>1.0219040740290479</v>
      </c>
      <c r="BY72" s="317"/>
      <c r="BZ72" s="317">
        <f>MODEL!BL271*100</f>
        <v>1.0169947980893255</v>
      </c>
      <c r="CA72" s="317">
        <f>MODEL!BM271*100</f>
        <v>0.96113274630107415</v>
      </c>
      <c r="CB72" s="317">
        <f>MODEL!BN271*100</f>
        <v>0.96113274630107415</v>
      </c>
      <c r="CC72" s="317"/>
      <c r="CD72" s="317">
        <f>MODEL!BP271*100</f>
        <v>0.88693005996327723</v>
      </c>
      <c r="CE72" s="317">
        <f>MODEL!BQ271*100</f>
        <v>0.86535870716286412</v>
      </c>
      <c r="CF72" s="317">
        <f>MODEL!BR271*100</f>
        <v>0.86535870716286412</v>
      </c>
      <c r="CG72" s="317">
        <f>MODEL!BS271*100</f>
        <v>0</v>
      </c>
      <c r="CH72" s="317">
        <f>MODEL!BT271*100</f>
        <v>0.83622673955164384</v>
      </c>
      <c r="CI72" s="317">
        <f>MODEL!BU271*100</f>
        <v>0.81911461209778214</v>
      </c>
      <c r="CJ72" s="317">
        <f>MODEL!BV271*100</f>
        <v>0.81911461209778214</v>
      </c>
      <c r="CK72" s="317"/>
      <c r="CL72" s="317">
        <f>MODEL!BX271*100</f>
        <v>0.75148717893801231</v>
      </c>
      <c r="CM72" s="317">
        <f>MODEL!BY271*100</f>
        <v>0.72814697595020927</v>
      </c>
      <c r="CN72" s="317">
        <f>MODEL!BZ271*100</f>
        <v>0.72814697595020927</v>
      </c>
      <c r="CO72" s="317"/>
      <c r="CP72" s="317">
        <f>MODEL!CB271*100</f>
        <v>0.7553442238783602</v>
      </c>
      <c r="CQ72" s="317">
        <f>MODEL!CC271*100</f>
        <v>0.74771059297265707</v>
      </c>
      <c r="CR72" s="317">
        <f>MODEL!CD271*100</f>
        <v>0.74771059297265707</v>
      </c>
      <c r="CS72" s="317"/>
      <c r="CT72" s="317">
        <f>MODEL!CF271*100</f>
        <v>1.0326081070836808</v>
      </c>
      <c r="CU72" s="317">
        <f>MODEL!CG271*100</f>
        <v>1.0478455286734984</v>
      </c>
      <c r="CV72" s="317">
        <f>MODEL!CH271*100</f>
        <v>1.0478455286734984</v>
      </c>
      <c r="CW72" s="317"/>
      <c r="CX72" s="317">
        <f>MODEL!CJ271*100</f>
        <v>1.0839061129959464</v>
      </c>
      <c r="CY72" s="317">
        <f>MODEL!CK271*100</f>
        <v>1.4420327423742765</v>
      </c>
      <c r="CZ72" s="317">
        <f>MODEL!CL271*100</f>
        <v>1.4420327423742765</v>
      </c>
      <c r="DA72" s="317"/>
      <c r="DB72" s="317">
        <f>MODEL!CN271*100</f>
        <v>1.5768108251525605</v>
      </c>
      <c r="DC72" s="317">
        <f>MODEL!CO271*100</f>
        <v>1.3919538723627309</v>
      </c>
      <c r="DD72" s="317">
        <f>MODEL!CP271*100</f>
        <v>1.3919538723627309</v>
      </c>
      <c r="DE72" s="317"/>
      <c r="DF72" s="317">
        <f>MODEL!CR271*100</f>
        <v>1.2956663518366365</v>
      </c>
      <c r="DG72" s="317">
        <f>MODEL!CS271*100</f>
        <v>1.1713540303876315</v>
      </c>
      <c r="DH72" s="317">
        <f>MODEL!CT271*100</f>
        <v>1.1713540303876315</v>
      </c>
      <c r="DI72" s="317"/>
      <c r="DJ72" s="317">
        <f>MODEL!CV271*100</f>
        <v>1.2188539290627014</v>
      </c>
      <c r="DK72" s="317">
        <f>MODEL!CW271*100</f>
        <v>1.4319217127944244</v>
      </c>
      <c r="DL72" s="318">
        <f>MODEL!CX271*100</f>
        <v>1.4319217127944244</v>
      </c>
      <c r="DM72" s="317"/>
      <c r="DN72" s="317">
        <f>MODEL!CZ271*100</f>
        <v>1.4454825281028381</v>
      </c>
      <c r="DO72" s="317">
        <f>MODEL!DA271*100</f>
        <v>1.4639189729081858</v>
      </c>
      <c r="DP72" s="318">
        <f>MODEL!DB271*100</f>
        <v>1.4639189729081858</v>
      </c>
      <c r="DQ72" s="317"/>
      <c r="DR72" s="317">
        <f>MODEL!DD271*100</f>
        <v>1.4260601323753559</v>
      </c>
      <c r="DS72" s="317">
        <f>MODEL!DE271*100</f>
        <v>1.3939858821641999</v>
      </c>
      <c r="DT72" s="1432">
        <f>MODEL!DF271*100</f>
        <v>1.3939858821641999</v>
      </c>
      <c r="DU72" s="317"/>
      <c r="DV72" s="317">
        <f>MODEL!DH271*100</f>
        <v>1.3546180940019896</v>
      </c>
      <c r="DW72" s="317">
        <f>MODEL!DI271*100</f>
        <v>1.3146180940019898</v>
      </c>
      <c r="DX72" s="317">
        <f ca="1">MODEL!DJ271*100</f>
        <v>1.3146180940019898</v>
      </c>
      <c r="DY72" s="317"/>
      <c r="DZ72" s="317">
        <f>MODEL!DL271*100</f>
        <v>1.2846180940019898</v>
      </c>
      <c r="EA72" s="317">
        <f>MODEL!DM271*100</f>
        <v>1.2546180940019898</v>
      </c>
      <c r="EB72" s="317">
        <f ca="1">MODEL!DN271*100</f>
        <v>1.2546180940019898</v>
      </c>
      <c r="EC72" s="317"/>
      <c r="ED72" s="317">
        <f>MODEL!DP271*100</f>
        <v>1.2546180940019898</v>
      </c>
      <c r="EE72" s="317">
        <f>MODEL!DQ271*100</f>
        <v>1.2546180940019898</v>
      </c>
      <c r="EF72" s="317">
        <f ca="1">MODEL!DR271*100</f>
        <v>1.2546180940019898</v>
      </c>
      <c r="EG72" s="103"/>
    </row>
    <row r="73" spans="3:140" x14ac:dyDescent="0.2">
      <c r="C73" s="245" t="s">
        <v>128</v>
      </c>
      <c r="D73" s="242">
        <v>1.7586159549636049</v>
      </c>
      <c r="E73" s="242">
        <v>3.7764632285961941</v>
      </c>
      <c r="F73" s="242">
        <v>3.7764632285961941</v>
      </c>
      <c r="G73" s="242"/>
      <c r="H73" s="242">
        <f t="shared" si="87"/>
        <v>2.6344338476983253</v>
      </c>
      <c r="I73" s="242">
        <f t="shared" si="87"/>
        <v>3.6300471668182732</v>
      </c>
      <c r="J73" s="242">
        <f t="shared" si="87"/>
        <v>3.6300471668182732</v>
      </c>
      <c r="K73" s="242"/>
      <c r="L73" s="242">
        <f t="shared" si="88"/>
        <v>7.6757222940922576</v>
      </c>
      <c r="M73" s="242">
        <f t="shared" si="88"/>
        <v>6.358269424076779</v>
      </c>
      <c r="N73" s="242">
        <f t="shared" si="88"/>
        <v>6.358269424076779</v>
      </c>
      <c r="O73" s="242"/>
      <c r="P73" s="242">
        <f t="shared" si="89"/>
        <v>5.6843822342909078</v>
      </c>
      <c r="Q73" s="242">
        <f t="shared" si="89"/>
        <v>7.1381967165926596</v>
      </c>
      <c r="R73" s="242">
        <f t="shared" si="89"/>
        <v>7.1381967165926596</v>
      </c>
      <c r="S73" s="242"/>
      <c r="T73" s="242">
        <f t="shared" si="90"/>
        <v>10.240164885185754</v>
      </c>
      <c r="U73" s="242">
        <f t="shared" si="90"/>
        <v>10.001298579175266</v>
      </c>
      <c r="V73" s="242">
        <f t="shared" si="90"/>
        <v>10.001298579175266</v>
      </c>
      <c r="W73" s="242"/>
      <c r="X73" s="242">
        <f t="shared" si="91"/>
        <v>3.423153023240233</v>
      </c>
      <c r="Y73" s="242">
        <f t="shared" si="91"/>
        <v>2.2344253753215471</v>
      </c>
      <c r="Z73" s="242">
        <f t="shared" si="91"/>
        <v>2.2344253753215471</v>
      </c>
      <c r="AA73" s="242"/>
      <c r="AB73" s="242">
        <f t="shared" si="92"/>
        <v>0.77497385679194952</v>
      </c>
      <c r="AC73" s="242">
        <f t="shared" si="92"/>
        <v>-1.7527723028529008</v>
      </c>
      <c r="AD73" s="242">
        <f t="shared" si="92"/>
        <v>-1.7527723028529008</v>
      </c>
      <c r="AE73" s="242"/>
      <c r="AF73" s="242">
        <f t="shared" si="93"/>
        <v>-0.67248521900012959</v>
      </c>
      <c r="AG73" s="242">
        <f t="shared" si="93"/>
        <v>-3.5145880531565088</v>
      </c>
      <c r="AH73" s="243">
        <f t="shared" si="93"/>
        <v>-3.5145880531565088</v>
      </c>
      <c r="AI73" s="242"/>
      <c r="AJ73" s="242">
        <f t="shared" si="94"/>
        <v>-4.3185480931980162</v>
      </c>
      <c r="AK73" s="242">
        <f t="shared" si="94"/>
        <v>-0.35409604697761443</v>
      </c>
      <c r="AL73" s="243">
        <f t="shared" si="94"/>
        <v>-0.35409604697761443</v>
      </c>
      <c r="AM73" s="242"/>
      <c r="AN73" s="242">
        <f t="shared" si="95"/>
        <v>-0.48160546440225716</v>
      </c>
      <c r="AO73" s="242">
        <f t="shared" si="95"/>
        <v>0.54040838349607156</v>
      </c>
      <c r="AP73" s="243">
        <f t="shared" si="95"/>
        <v>0.54040838349607156</v>
      </c>
      <c r="AQ73" s="242"/>
      <c r="AR73" s="242">
        <f t="shared" si="96"/>
        <v>4.0160745040505486</v>
      </c>
      <c r="AS73" s="242">
        <f t="shared" si="96"/>
        <v>10.255335206070981</v>
      </c>
      <c r="AT73" s="243">
        <f t="shared" si="96"/>
        <v>10.255335206070981</v>
      </c>
      <c r="AU73" s="242"/>
      <c r="AV73" s="242">
        <f t="shared" si="97"/>
        <v>11.819345132236837</v>
      </c>
      <c r="AW73" s="242">
        <f t="shared" si="97"/>
        <v>6.8688443548694078</v>
      </c>
      <c r="AX73" s="243">
        <f t="shared" si="97"/>
        <v>6.8688443548694078</v>
      </c>
      <c r="AY73" s="242"/>
      <c r="AZ73" s="242">
        <f t="shared" si="98"/>
        <v>1.7688631818331357</v>
      </c>
      <c r="BA73" s="242">
        <f t="shared" si="98"/>
        <v>1.499468034003093</v>
      </c>
      <c r="BB73" s="243">
        <f>(BB45/AX45-1)*100</f>
        <v>1.499468034003093</v>
      </c>
      <c r="BC73" s="242"/>
      <c r="BD73" s="242">
        <f t="shared" si="99"/>
        <v>4.9463439519736196</v>
      </c>
      <c r="BE73" s="242">
        <f t="shared" si="99"/>
        <v>7.9839577629212899</v>
      </c>
      <c r="BF73" s="1451">
        <f>(BF45/BB45-1)*100</f>
        <v>7.9839577629212899</v>
      </c>
      <c r="BG73" s="242"/>
      <c r="BH73" s="242">
        <f t="shared" si="100"/>
        <v>9.1351009020420157</v>
      </c>
      <c r="BI73" s="242">
        <f t="shared" si="100"/>
        <v>6.8840975168964036</v>
      </c>
      <c r="BJ73" s="242">
        <f>(BJ45/BF45-1)*100</f>
        <v>6.8840975168964036</v>
      </c>
      <c r="BK73" s="242"/>
      <c r="BL73" s="242">
        <f t="shared" si="101"/>
        <v>5.7777680358218175</v>
      </c>
      <c r="BM73" s="242">
        <f t="shared" si="101"/>
        <v>6.0480712378563561</v>
      </c>
      <c r="BN73" s="244">
        <f>(BN45/BJ45-1)*100</f>
        <v>6.0480712378563561</v>
      </c>
      <c r="BO73" s="242"/>
      <c r="BP73" s="242">
        <f t="shared" si="102"/>
        <v>5.7991438083805802</v>
      </c>
      <c r="BQ73" s="242">
        <f t="shared" si="103"/>
        <v>5.0051482112315693</v>
      </c>
      <c r="BR73" s="244">
        <f>(BR45/BN45-1)*100</f>
        <v>5.0051482112315693</v>
      </c>
      <c r="BS73" s="321"/>
      <c r="BT73" s="1474" t="s">
        <v>127</v>
      </c>
      <c r="BU73" s="319"/>
      <c r="BV73" s="319">
        <f>MODEL!BH273*100</f>
        <v>0.90746867677223109</v>
      </c>
      <c r="BW73" s="319">
        <f>MODEL!BI273*100</f>
        <v>0.86827602549535476</v>
      </c>
      <c r="BX73" s="319">
        <f>MODEL!BJ273*100</f>
        <v>0.86827602549535476</v>
      </c>
      <c r="BY73" s="319"/>
      <c r="BZ73" s="319">
        <f>MODEL!BL273*100</f>
        <v>0.85877491419731466</v>
      </c>
      <c r="CA73" s="319">
        <f>MODEL!BM273*100</f>
        <v>0.82288320033164064</v>
      </c>
      <c r="CB73" s="319">
        <f>MODEL!BN273*100</f>
        <v>0.82288320033164064</v>
      </c>
      <c r="CC73" s="319"/>
      <c r="CD73" s="319">
        <f>MODEL!BP273*100</f>
        <v>0.78261312909292791</v>
      </c>
      <c r="CE73" s="319">
        <f>MODEL!BQ273*100</f>
        <v>0.7490758595252236</v>
      </c>
      <c r="CF73" s="319">
        <f>MODEL!BR273*100</f>
        <v>0.7490758595252236</v>
      </c>
      <c r="CG73" s="319">
        <f>MODEL!BS273*100</f>
        <v>0</v>
      </c>
      <c r="CH73" s="319">
        <f>MODEL!BT273*100</f>
        <v>0.71333615170299136</v>
      </c>
      <c r="CI73" s="319">
        <f>MODEL!BU273*100</f>
        <v>0.71401966721311894</v>
      </c>
      <c r="CJ73" s="319">
        <f>MODEL!BV273*100</f>
        <v>0.71401966721311894</v>
      </c>
      <c r="CK73" s="319"/>
      <c r="CL73" s="319">
        <f>MODEL!BX273*100</f>
        <v>0.64309786680290781</v>
      </c>
      <c r="CM73" s="319">
        <f>MODEL!BY273*100</f>
        <v>0.62851350949405471</v>
      </c>
      <c r="CN73" s="319">
        <f>MODEL!BZ273*100</f>
        <v>0.62851350949405471</v>
      </c>
      <c r="CO73" s="319"/>
      <c r="CP73" s="319">
        <f>MODEL!CB273*100</f>
        <v>0.62880526998702468</v>
      </c>
      <c r="CQ73" s="319">
        <f>MODEL!CC273*100</f>
        <v>0.60247006183876572</v>
      </c>
      <c r="CR73" s="319">
        <f>MODEL!CD273*100</f>
        <v>0.60247006183876572</v>
      </c>
      <c r="CS73" s="319"/>
      <c r="CT73" s="319">
        <f>MODEL!CF273*100</f>
        <v>0.85680139460489191</v>
      </c>
      <c r="CU73" s="319">
        <f>MODEL!CG273*100</f>
        <v>0.86226317579655531</v>
      </c>
      <c r="CV73" s="319">
        <f>MODEL!CH273*100</f>
        <v>0.86226317579655531</v>
      </c>
      <c r="CW73" s="319"/>
      <c r="CX73" s="319">
        <f>MODEL!CJ273*100</f>
        <v>0.9054800803287959</v>
      </c>
      <c r="CY73" s="319">
        <f>MODEL!CK273*100</f>
        <v>1.1860696167474085</v>
      </c>
      <c r="CZ73" s="319">
        <f>MODEL!CL273*100</f>
        <v>1.1860696167474085</v>
      </c>
      <c r="DA73" s="319"/>
      <c r="DB73" s="319">
        <f>MODEL!CN273*100</f>
        <v>1.3101389721702938</v>
      </c>
      <c r="DC73" s="319">
        <f>MODEL!CO273*100</f>
        <v>1.1784414662288099</v>
      </c>
      <c r="DD73" s="319">
        <f>MODEL!CP273*100</f>
        <v>1.1784414662288099</v>
      </c>
      <c r="DE73" s="319"/>
      <c r="DF73" s="319">
        <f>MODEL!CR273*100</f>
        <v>1.072623520163076</v>
      </c>
      <c r="DG73" s="319">
        <f>MODEL!CS273*100</f>
        <v>0.92610445638813232</v>
      </c>
      <c r="DH73" s="319">
        <f>MODEL!CT273*100</f>
        <v>0.92610445638813232</v>
      </c>
      <c r="DI73" s="319"/>
      <c r="DJ73" s="319">
        <f>MODEL!CV273*100</f>
        <v>0.97148974979182368</v>
      </c>
      <c r="DK73" s="319">
        <f>MODEL!CW273*100</f>
        <v>1.1102753893228945</v>
      </c>
      <c r="DL73" s="320">
        <f>MODEL!CX273*100</f>
        <v>1.1102753893228945</v>
      </c>
      <c r="DM73" s="319"/>
      <c r="DN73" s="319">
        <f>MODEL!CZ273*100</f>
        <v>1.1495889087316993</v>
      </c>
      <c r="DO73" s="319">
        <f>MODEL!DA273*100</f>
        <v>1.1598734683489074</v>
      </c>
      <c r="DP73" s="320">
        <f>MODEL!DB273*100</f>
        <v>1.1598734683489074</v>
      </c>
      <c r="DQ73" s="319"/>
      <c r="DR73" s="319">
        <f>MODEL!DD273*100</f>
        <v>1.1385474605540573</v>
      </c>
      <c r="DS73" s="319">
        <f>MODEL!DE273*100</f>
        <v>1.1208416894254705</v>
      </c>
      <c r="DT73" s="1433">
        <f>MODEL!DF273*100</f>
        <v>1.1208416894254705</v>
      </c>
      <c r="DU73" s="319"/>
      <c r="DV73" s="319">
        <f>MODEL!DH273*100</f>
        <v>1.096752488571372</v>
      </c>
      <c r="DW73" s="319">
        <f ca="1">MODEL!DI273*100</f>
        <v>1.0659120627854752</v>
      </c>
      <c r="DX73" s="319">
        <f ca="1">MODEL!DJ273*100</f>
        <v>1.0659120627854752</v>
      </c>
      <c r="DY73" s="319"/>
      <c r="DZ73" s="319">
        <f ca="1">MODEL!DL273*100</f>
        <v>1.0411984474780189</v>
      </c>
      <c r="EA73" s="319">
        <f ca="1">MODEL!DM273*100</f>
        <v>1.017193123370103</v>
      </c>
      <c r="EB73" s="319">
        <f ca="1">MODEL!DN273*100</f>
        <v>1.017193123370103</v>
      </c>
      <c r="EC73" s="319"/>
      <c r="ED73" s="319">
        <f ca="1">MODEL!DP273*100</f>
        <v>1.0170944217570257</v>
      </c>
      <c r="EE73" s="319">
        <f ca="1">MODEL!DQ273*100</f>
        <v>1.0172939471714173</v>
      </c>
      <c r="EF73" s="319">
        <f ca="1">MODEL!DR273*100</f>
        <v>1.0172939471714173</v>
      </c>
      <c r="EG73" s="103"/>
    </row>
    <row r="74" spans="3:140" x14ac:dyDescent="0.2">
      <c r="C74" s="245" t="s">
        <v>93</v>
      </c>
      <c r="D74" s="242">
        <v>4.142971758350189</v>
      </c>
      <c r="E74" s="242">
        <v>4.6367803889398207</v>
      </c>
      <c r="F74" s="242">
        <v>4.6367803889398207</v>
      </c>
      <c r="G74" s="242"/>
      <c r="H74" s="242">
        <f t="shared" si="87"/>
        <v>3.4501854401684628</v>
      </c>
      <c r="I74" s="242">
        <f t="shared" si="87"/>
        <v>4.9297450456283753</v>
      </c>
      <c r="J74" s="242">
        <f t="shared" si="87"/>
        <v>4.9297450456283753</v>
      </c>
      <c r="K74" s="242"/>
      <c r="L74" s="242">
        <f t="shared" si="88"/>
        <v>7.7490459127192102</v>
      </c>
      <c r="M74" s="242">
        <f t="shared" si="88"/>
        <v>6.910082433665421</v>
      </c>
      <c r="N74" s="242">
        <f t="shared" si="88"/>
        <v>6.910082433665421</v>
      </c>
      <c r="O74" s="242"/>
      <c r="P74" s="242">
        <f t="shared" si="89"/>
        <v>6.0703814794474287</v>
      </c>
      <c r="Q74" s="242">
        <f t="shared" si="89"/>
        <v>6.2560945328854034</v>
      </c>
      <c r="R74" s="242">
        <f t="shared" si="89"/>
        <v>6.2560945328854034</v>
      </c>
      <c r="S74" s="242"/>
      <c r="T74" s="242">
        <f t="shared" si="90"/>
        <v>7.6517688442531151</v>
      </c>
      <c r="U74" s="242">
        <f t="shared" si="90"/>
        <v>8.5980203413332568</v>
      </c>
      <c r="V74" s="242">
        <f t="shared" si="90"/>
        <v>8.5980203413332568</v>
      </c>
      <c r="W74" s="242"/>
      <c r="X74" s="242">
        <f t="shared" si="91"/>
        <v>6.4407572277602965</v>
      </c>
      <c r="Y74" s="242">
        <f t="shared" si="91"/>
        <v>5.026434668604729</v>
      </c>
      <c r="Z74" s="242">
        <f t="shared" si="91"/>
        <v>5.026434668604729</v>
      </c>
      <c r="AA74" s="242"/>
      <c r="AB74" s="242">
        <f t="shared" si="92"/>
        <v>3.0681960375390949</v>
      </c>
      <c r="AC74" s="242">
        <f t="shared" si="92"/>
        <v>1.5476213090330981</v>
      </c>
      <c r="AD74" s="242">
        <f t="shared" si="92"/>
        <v>1.5476213090330981</v>
      </c>
      <c r="AE74" s="242"/>
      <c r="AF74" s="242">
        <f t="shared" si="93"/>
        <v>2.4476675326917663</v>
      </c>
      <c r="AG74" s="242">
        <f t="shared" si="93"/>
        <v>1.6842417504890461</v>
      </c>
      <c r="AH74" s="243">
        <f t="shared" si="93"/>
        <v>1.6842417504890461</v>
      </c>
      <c r="AI74" s="242"/>
      <c r="AJ74" s="242">
        <f t="shared" si="94"/>
        <v>1.56953004952185</v>
      </c>
      <c r="AK74" s="242">
        <f t="shared" si="94"/>
        <v>2.5091555597604565</v>
      </c>
      <c r="AL74" s="243">
        <f t="shared" si="94"/>
        <v>2.5091555597604565</v>
      </c>
      <c r="AM74" s="242"/>
      <c r="AN74" s="242">
        <f t="shared" si="95"/>
        <v>2.993324976049494</v>
      </c>
      <c r="AO74" s="242">
        <f t="shared" si="95"/>
        <v>4.8913740148800011</v>
      </c>
      <c r="AP74" s="243">
        <f t="shared" si="95"/>
        <v>4.8913740148800011</v>
      </c>
      <c r="AQ74" s="242"/>
      <c r="AR74" s="242">
        <f t="shared" si="96"/>
        <v>7.0532289958249228</v>
      </c>
      <c r="AS74" s="242">
        <f t="shared" si="96"/>
        <v>8.1510169064827451</v>
      </c>
      <c r="AT74" s="243">
        <f t="shared" si="96"/>
        <v>8.1510169064827451</v>
      </c>
      <c r="AU74" s="242"/>
      <c r="AV74" s="242">
        <f t="shared" si="97"/>
        <v>7.3280823600926137</v>
      </c>
      <c r="AW74" s="242">
        <f t="shared" si="97"/>
        <v>5.456499311270635</v>
      </c>
      <c r="AX74" s="243">
        <f t="shared" si="97"/>
        <v>5.456499311270635</v>
      </c>
      <c r="AY74" s="242"/>
      <c r="AZ74" s="242">
        <f t="shared" si="98"/>
        <v>1.7497138036994597</v>
      </c>
      <c r="BA74" s="242">
        <f t="shared" si="98"/>
        <v>1.7891221118434331</v>
      </c>
      <c r="BB74" s="243">
        <f>(BB46/AX46-1)*100</f>
        <v>1.7891221118434331</v>
      </c>
      <c r="BC74" s="242"/>
      <c r="BD74" s="242">
        <f t="shared" si="99"/>
        <v>5.230042409241098</v>
      </c>
      <c r="BE74" s="242">
        <f t="shared" si="99"/>
        <v>6.9409062390783482</v>
      </c>
      <c r="BF74" s="1451">
        <f>(BF46/BB46-1)*100</f>
        <v>6.9409062390783482</v>
      </c>
      <c r="BG74" s="242"/>
      <c r="BH74" s="242">
        <f t="shared" si="100"/>
        <v>7.3260867785844619</v>
      </c>
      <c r="BI74" s="242">
        <f t="shared" si="100"/>
        <v>6.8590954912717939</v>
      </c>
      <c r="BJ74" s="242">
        <f>(BJ46/BF46-1)*100</f>
        <v>6.8590954912717939</v>
      </c>
      <c r="BK74" s="242"/>
      <c r="BL74" s="242">
        <f t="shared" si="101"/>
        <v>6.5224403114607865</v>
      </c>
      <c r="BM74" s="242">
        <f t="shared" si="101"/>
        <v>6.1356928995793814</v>
      </c>
      <c r="BN74" s="244">
        <f>(BN46/BJ46-1)*100</f>
        <v>6.1356928995793814</v>
      </c>
      <c r="BO74" s="242"/>
      <c r="BP74" s="242">
        <f t="shared" si="102"/>
        <v>5.5228652716452054</v>
      </c>
      <c r="BQ74" s="242">
        <f t="shared" si="103"/>
        <v>4.9099207469162298</v>
      </c>
      <c r="BR74" s="244">
        <f>(BR46/BN46-1)*100</f>
        <v>4.9099207469162298</v>
      </c>
      <c r="BS74" s="321"/>
      <c r="BT74" s="322" t="s">
        <v>129</v>
      </c>
      <c r="DD74" s="287">
        <f>INDEX(MODEL!855:855,MATCH(SUMMARY!DD$5,MODEL!$7:$7,0))*100</f>
        <v>7.8091965204468969E-2</v>
      </c>
      <c r="DE74" s="287" t="e">
        <f>INDEX(MODEL!855:855,MATCH(SUMMARY!DE$5,MODEL!$7:$7,0))*100</f>
        <v>#N/A</v>
      </c>
      <c r="DF74" s="287">
        <f>INDEX(MODEL!855:855,MATCH(SUMMARY!DF$5,MODEL!$7:$7,0))*100</f>
        <v>4.0583114755782815E-2</v>
      </c>
      <c r="DG74" s="287">
        <f>INDEX(MODEL!855:855,MATCH(SUMMARY!DG$5,MODEL!$7:$7,0))*100</f>
        <v>3.8510209463262952E-2</v>
      </c>
      <c r="DH74" s="287">
        <f>INDEX(MODEL!855:855,MATCH(SUMMARY!DH$5,MODEL!$7:$7,0))*100</f>
        <v>3.8758682566389778E-2</v>
      </c>
      <c r="DI74" s="287" t="e">
        <f>INDEX(MODEL!855:855,MATCH(SUMMARY!DI$5,MODEL!$7:$7,0))*100</f>
        <v>#N/A</v>
      </c>
      <c r="DJ74" s="287">
        <f>INDEX(MODEL!855:855,MATCH(SUMMARY!DJ$5,MODEL!$7:$7,0))*100</f>
        <v>4.8243158378305902E-2</v>
      </c>
      <c r="DK74" s="287">
        <f>INDEX(MODEL!855:855,MATCH(SUMMARY!DK$5,MODEL!$7:$7,0))*100</f>
        <v>6.5040267867512935E-2</v>
      </c>
      <c r="DL74" s="310">
        <f>INDEX(MODEL!855:855,MATCH(SUMMARY!DL$5,MODEL!$7:$7,0))*100</f>
        <v>5.6040657872319453E-2</v>
      </c>
      <c r="DM74" s="287"/>
      <c r="DN74" s="287">
        <f>INDEX(MODEL!855:855,MATCH(SUMMARY!DN$5,MODEL!$7:$7,0))*100</f>
        <v>6.0178880238188667E-2</v>
      </c>
      <c r="DO74" s="287">
        <f>INDEX(MODEL!855:855,MATCH(SUMMARY!DO$5,MODEL!$7:$7,0))*100</f>
        <v>6.2238224537634605E-2</v>
      </c>
      <c r="DP74" s="310">
        <f>INDEX(MODEL!855:855,MATCH(SUMMARY!DP$5,MODEL!$7:$7,0))*100</f>
        <v>6.0529628990218416E-2</v>
      </c>
      <c r="DQ74" s="287"/>
      <c r="DR74" s="287">
        <f>INDEX(MODEL!855:855,MATCH(SUMMARY!DR$5,MODEL!$7:$7,0))*100</f>
        <v>5.0942885160351732E-2</v>
      </c>
      <c r="DS74" s="287">
        <f>INDEX(MODEL!855:855,MATCH(SUMMARY!DS$5,MODEL!$7:$7,0))*100</f>
        <v>6.6896053517887008E-2</v>
      </c>
      <c r="DT74" s="1431">
        <f>INDEX(MODEL!855:855,MATCH(SUMMARY!DT$5,MODEL!$7:$7,0))*100</f>
        <v>5.7880681141430655E-2</v>
      </c>
      <c r="DU74" s="287"/>
      <c r="DV74" s="287">
        <f>INDEX(MODEL!855:855,MATCH(SUMMARY!DV$5,MODEL!$7:$7,0))*100</f>
        <v>6.3917712160175583E-2</v>
      </c>
      <c r="DW74" s="287">
        <f ca="1">INDEX(MODEL!855:855,MATCH(SUMMARY!DW$5,MODEL!$7:$7,0))*100</f>
        <v>7.6414053359093848E-2</v>
      </c>
      <c r="DX74" s="287">
        <f ca="1">INDEX(MODEL!855:855,MATCH(SUMMARY!DX$5,MODEL!$7:$7,0))*100</f>
        <v>6.9028902771020167E-2</v>
      </c>
      <c r="DY74" s="287"/>
      <c r="DZ74" s="287">
        <f ca="1">INDEX(MODEL!855:855,MATCH(SUMMARY!DZ$5,MODEL!$7:$7,0))*100</f>
        <v>8.6144795788667197E-2</v>
      </c>
      <c r="EA74" s="287">
        <f ca="1">INDEX(MODEL!855:855,MATCH(SUMMARY!EA$5,MODEL!$7:$7,0))*100</f>
        <v>9.1547554256763988E-2</v>
      </c>
      <c r="EB74" s="287">
        <f ca="1">INDEX(MODEL!855:855,MATCH(SUMMARY!EB$5,MODEL!$7:$7,0))*100</f>
        <v>8.7513735493431374E-2</v>
      </c>
      <c r="EC74" s="287"/>
      <c r="ED74" s="287">
        <f ca="1">INDEX(MODEL!855:855,MATCH(SUMMARY!ED$5,MODEL!$7:$7,0))*100</f>
        <v>7.8346695784508175E-2</v>
      </c>
      <c r="EE74" s="287">
        <f ca="1">INDEX(MODEL!855:855,MATCH(SUMMARY!EE$5,MODEL!$7:$7,0))*100</f>
        <v>7.5010053059173423E-2</v>
      </c>
      <c r="EF74" s="287">
        <f ca="1">INDEX(MODEL!855:855,MATCH(SUMMARY!EF$5,MODEL!$7:$7,0))*100</f>
        <v>7.5722297987094248E-2</v>
      </c>
      <c r="EG74" s="82"/>
      <c r="EH74" s="4"/>
      <c r="EI74" s="6"/>
      <c r="EJ74" s="6"/>
    </row>
    <row r="75" spans="3:140" x14ac:dyDescent="0.2">
      <c r="C75" s="245" t="s">
        <v>131</v>
      </c>
      <c r="D75" s="299">
        <v>4.4246339174650373</v>
      </c>
      <c r="E75" s="299">
        <v>4.3947961496482169</v>
      </c>
      <c r="F75" s="299">
        <v>4.3947961496482169</v>
      </c>
      <c r="G75" s="299"/>
      <c r="H75" s="299">
        <v>2.6373810096028238</v>
      </c>
      <c r="I75" s="299">
        <v>3.3900115437862866</v>
      </c>
      <c r="J75" s="299">
        <v>3.3900115437862866</v>
      </c>
      <c r="K75" s="299"/>
      <c r="L75" s="299">
        <f>(MODEL!BL124/MODEL!BH124-1)*100</f>
        <v>5.9759405346087702</v>
      </c>
      <c r="M75" s="299">
        <f>(MODEL!BM124/MODEL!BI124-1)*100</f>
        <v>5.8628587745810812</v>
      </c>
      <c r="N75" s="299">
        <f>(MODEL!BN124/MODEL!BJ124-1)*100</f>
        <v>5.8628587745810812</v>
      </c>
      <c r="O75" s="299"/>
      <c r="P75" s="299">
        <f>(MODEL!BP124/MODEL!BL124-1)*100</f>
        <v>5.8925584957564281</v>
      </c>
      <c r="Q75" s="299">
        <f>(MODEL!BQ124/MODEL!BM124-1)*100</f>
        <v>6.5762729894118577</v>
      </c>
      <c r="R75" s="299">
        <f>(MODEL!BR124/MODEL!BN124-1)*100</f>
        <v>6.5762729894118577</v>
      </c>
      <c r="S75" s="299"/>
      <c r="T75" s="299">
        <f>(MODEL!BT124/MODEL!BP124-1)*100</f>
        <v>7.3997402175677962</v>
      </c>
      <c r="U75" s="299">
        <f>(MODEL!BU124/MODEL!BQ124-1)*100</f>
        <v>7.6776376060941898</v>
      </c>
      <c r="V75" s="299">
        <f>(MODEL!BV124/MODEL!BR124-1)*100</f>
        <v>7.6776376060941898</v>
      </c>
      <c r="W75" s="299"/>
      <c r="X75" s="299">
        <f>(MODEL!BX124/MODEL!BT124-1)*100</f>
        <v>6.0096409882872015</v>
      </c>
      <c r="Y75" s="299">
        <f>(MODEL!BY124/MODEL!BU124-1)*100</f>
        <v>4.933011550417632</v>
      </c>
      <c r="Z75" s="299">
        <f>(MODEL!BZ124/MODEL!BV124-1)*100</f>
        <v>4.933011550417632</v>
      </c>
      <c r="AA75" s="299"/>
      <c r="AB75" s="299">
        <f>(MODEL!CB124/MODEL!BX124-1)*100</f>
        <v>3.688338627082377</v>
      </c>
      <c r="AC75" s="299">
        <f>(MODEL!CC124/MODEL!BY124-1)*100</f>
        <v>1.6012657429141042</v>
      </c>
      <c r="AD75" s="299">
        <f>(MODEL!CD124/MODEL!BZ124-1)*100</f>
        <v>1.6012657429141042</v>
      </c>
      <c r="AE75" s="299"/>
      <c r="AF75" s="299">
        <f>(MODEL!CF124/MODEL!CB124-1)*100</f>
        <v>1.6513503375843896</v>
      </c>
      <c r="AG75" s="299">
        <f>(MODEL!CG124/MODEL!CC124-1)*100</f>
        <v>1.3870796957553777</v>
      </c>
      <c r="AH75" s="300">
        <f>(MODEL!CH124/MODEL!CD124-1)*100</f>
        <v>1.3870796957553777</v>
      </c>
      <c r="AI75" s="299"/>
      <c r="AJ75" s="299">
        <f>(MODEL!CJ124/MODEL!CF124-1)*100</f>
        <v>1.9267964932672799</v>
      </c>
      <c r="AK75" s="299">
        <f>(MODEL!CK124/MODEL!CG124-1)*100</f>
        <v>3.2858055100831285</v>
      </c>
      <c r="AL75" s="300">
        <f>(MODEL!CL124/MODEL!CH124-1)*100</f>
        <v>3.2858055100831285</v>
      </c>
      <c r="AM75" s="299"/>
      <c r="AN75" s="299">
        <f>(MODEL!CN124/MODEL!CJ124-1)*100</f>
        <v>3.4917292416485335</v>
      </c>
      <c r="AO75" s="299">
        <f>(MODEL!CO124/MODEL!CK124-1)*100</f>
        <v>4.6134936943829086</v>
      </c>
      <c r="AP75" s="300">
        <f>(MODEL!CP124/MODEL!CL124-1)*100</f>
        <v>4.6134936943829086</v>
      </c>
      <c r="AQ75" s="299"/>
      <c r="AR75" s="299">
        <f>(MODEL!CR124/MODEL!CN124-1)*100</f>
        <v>6.9275571867083663</v>
      </c>
      <c r="AS75" s="299">
        <f>(MODEL!CS124/MODEL!CO124-1)*100</f>
        <v>9.0763114817990598</v>
      </c>
      <c r="AT75" s="300">
        <f>(MODEL!CT124/MODEL!CP124-1)*100</f>
        <v>9.0763114817990598</v>
      </c>
      <c r="AU75" s="299"/>
      <c r="AV75" s="299">
        <f>(MODEL!CV124/MODEL!CR124-1)*100</f>
        <v>8.3812353891346234</v>
      </c>
      <c r="AW75" s="299">
        <f>(MODEL!CW124/MODEL!CS124-1)*100</f>
        <v>6.0232291326950183</v>
      </c>
      <c r="AX75" s="300">
        <f>(MODEL!CX124/MODEL!CT124-1)*100</f>
        <v>6.0232291326950183</v>
      </c>
      <c r="AY75" s="299"/>
      <c r="AZ75" s="299">
        <f>(MODEL!CZ124/MODEL!CV124-1)*100</f>
        <v>2.1375900671738668</v>
      </c>
      <c r="BA75" s="299">
        <f>(MODEL!DA124/MODEL!CW124-1)*100</f>
        <v>2.002465704404699</v>
      </c>
      <c r="BB75" s="300">
        <f>(MODEL!DB124/MODEL!CX124-1)*100</f>
        <v>2.002465704404699</v>
      </c>
      <c r="BC75" s="299"/>
      <c r="BD75" s="299">
        <f>(MODEL!DD124/MODEL!CZ124-1)*100</f>
        <v>5.3147591974850306</v>
      </c>
      <c r="BE75" s="299">
        <f>(MODEL!DE124/MODEL!DA124-1)*100</f>
        <v>6.5841356955260721</v>
      </c>
      <c r="BF75" s="1459">
        <f>(MODEL!DF124/MODEL!DB124-1)*100</f>
        <v>6.5841356955260721</v>
      </c>
      <c r="BG75" s="299"/>
      <c r="BH75" s="299">
        <f>(MODEL!DH124/MODEL!DD124-1)*100</f>
        <v>8.1336859754600468</v>
      </c>
      <c r="BI75" s="299">
        <f>(MODEL!DI124/MODEL!DE124-1)*100</f>
        <v>8.2877614029867033</v>
      </c>
      <c r="BJ75" s="299">
        <f>(MODEL!DJ124/MODEL!DF124-1)*100</f>
        <v>8.2877614029867033</v>
      </c>
      <c r="BK75" s="299"/>
      <c r="BL75" s="299">
        <f>(MODEL!DL124/MODEL!DH124-1)*100</f>
        <v>7.066375594438723</v>
      </c>
      <c r="BM75" s="299">
        <f>(MODEL!DM124/MODEL!DI124-1)*100</f>
        <v>6.4434194398767852</v>
      </c>
      <c r="BN75" s="323">
        <f>(MODEL!DN124/MODEL!DJ124-1)*100</f>
        <v>6.4434194398767852</v>
      </c>
      <c r="BO75" s="299"/>
      <c r="BP75" s="299">
        <f>(MODEL!DP124/MODEL!DL124-1)*100</f>
        <v>5.805361266869502</v>
      </c>
      <c r="BQ75" s="299">
        <f>(MODEL!DQ124/MODEL!DM124-1)*100</f>
        <v>5.1672399999924679</v>
      </c>
      <c r="BR75" s="323">
        <f>(MODEL!DR124/MODEL!DN124-1)*100</f>
        <v>5.1672399999924679</v>
      </c>
      <c r="BS75" s="321"/>
      <c r="BT75" s="322" t="s">
        <v>130</v>
      </c>
      <c r="DD75" s="287">
        <f>INDEX(MODEL!856:856,MATCH(SUMMARY!DD$5,MODEL!$7:$7,0))*100</f>
        <v>-1.0387820097621066E-2</v>
      </c>
      <c r="DE75" s="287" t="e">
        <f>INDEX(MODEL!856:856,MATCH(SUMMARY!DE$5,MODEL!$7:$7,0))*100</f>
        <v>#N/A</v>
      </c>
      <c r="DF75" s="287">
        <f>INDEX(MODEL!856:856,MATCH(SUMMARY!DF$5,MODEL!$7:$7,0))*100</f>
        <v>-5.807583663327541E-2</v>
      </c>
      <c r="DG75" s="287">
        <f>INDEX(MODEL!856:856,MATCH(SUMMARY!DG$5,MODEL!$7:$7,0))*100</f>
        <v>-0.10276984892267214</v>
      </c>
      <c r="DH75" s="287">
        <f>INDEX(MODEL!856:856,MATCH(SUMMARY!DH$5,MODEL!$7:$7,0))*100</f>
        <v>-7.9099352176305676E-2</v>
      </c>
      <c r="DI75" s="287" t="e">
        <f>INDEX(MODEL!856:856,MATCH(SUMMARY!DI$5,MODEL!$7:$7,0))*100</f>
        <v>#N/A</v>
      </c>
      <c r="DJ75" s="287">
        <f>INDEX(MODEL!856:856,MATCH(SUMMARY!DJ$5,MODEL!$7:$7,0))*100</f>
        <v>6.2803030501488319E-2</v>
      </c>
      <c r="DK75" s="287">
        <f>INDEX(MODEL!856:856,MATCH(SUMMARY!DK$5,MODEL!$7:$7,0))*100</f>
        <v>6.3959864746790121E-2</v>
      </c>
      <c r="DL75" s="310">
        <f>INDEX(MODEL!856:856,MATCH(SUMMARY!DL$5,MODEL!$7:$7,0))*100</f>
        <v>6.2684101061772232E-2</v>
      </c>
      <c r="DM75" s="287"/>
      <c r="DN75" s="287">
        <f>INDEX(MODEL!856:856,MATCH(SUMMARY!DN$5,MODEL!$7:$7,0))*100</f>
        <v>2.8697401964118442E-2</v>
      </c>
      <c r="DO75" s="287">
        <f>INDEX(MODEL!856:856,MATCH(SUMMARY!DO$5,MODEL!$7:$7,0))*100</f>
        <v>1.9687601639455845E-2</v>
      </c>
      <c r="DP75" s="310">
        <f>INDEX(MODEL!856:856,MATCH(SUMMARY!DP$5,MODEL!$7:$7,0))*100</f>
        <v>2.38960448361384E-2</v>
      </c>
      <c r="DQ75" s="287"/>
      <c r="DR75" s="287">
        <f>INDEX(MODEL!856:856,MATCH(SUMMARY!DR$5,MODEL!$7:$7,0))*100</f>
        <v>1.4004219426550873E-2</v>
      </c>
      <c r="DS75" s="287">
        <f>INDEX(MODEL!856:856,MATCH(SUMMARY!DS$5,MODEL!$7:$7,0))*100</f>
        <v>1.369681807932998E-2</v>
      </c>
      <c r="DT75" s="1431">
        <f>INDEX(MODEL!856:856,MATCH(SUMMARY!DT$5,MODEL!$7:$7,0))*100</f>
        <v>1.3584241492376581E-2</v>
      </c>
      <c r="DU75" s="287"/>
      <c r="DV75" s="287">
        <f>INDEX(MODEL!856:856,MATCH(SUMMARY!DV$5,MODEL!$7:$7,0))*100</f>
        <v>-3.5930074882938937E-3</v>
      </c>
      <c r="DW75" s="287">
        <f ca="1">INDEX(MODEL!856:856,MATCH(SUMMARY!DW$5,MODEL!$7:$7,0))*100</f>
        <v>3.585946640906171E-3</v>
      </c>
      <c r="DX75" s="287">
        <f ca="1">INDEX(MODEL!856:856,MATCH(SUMMARY!DX$5,MODEL!$7:$7,0))*100</f>
        <v>2.7993291580259074E-5</v>
      </c>
      <c r="DY75" s="287"/>
      <c r="DZ75" s="287">
        <f ca="1">INDEX(MODEL!856:856,MATCH(SUMMARY!DZ$5,MODEL!$7:$7,0))*100</f>
        <v>3.8552042113328164E-3</v>
      </c>
      <c r="EA75" s="287">
        <f ca="1">INDEX(MODEL!856:856,MATCH(SUMMARY!EA$5,MODEL!$7:$7,0))*100</f>
        <v>8.4524457432360259E-3</v>
      </c>
      <c r="EB75" s="287">
        <f ca="1">INDEX(MODEL!856:856,MATCH(SUMMARY!EB$5,MODEL!$7:$7,0))*100</f>
        <v>6.0762957083203761E-3</v>
      </c>
      <c r="EC75" s="287"/>
      <c r="ED75" s="287">
        <f ca="1">INDEX(MODEL!856:856,MATCH(SUMMARY!ED$5,MODEL!$7:$7,0))*100</f>
        <v>2.1653304215491838E-2</v>
      </c>
      <c r="EE75" s="287">
        <f ca="1">INDEX(MODEL!856:856,MATCH(SUMMARY!EE$5,MODEL!$7:$7,0))*100</f>
        <v>2.4989946940826582E-2</v>
      </c>
      <c r="EF75" s="287">
        <f ca="1">INDEX(MODEL!856:856,MATCH(SUMMARY!EF$5,MODEL!$7:$7,0))*100</f>
        <v>2.3045750958352273E-2</v>
      </c>
      <c r="EG75" s="59"/>
      <c r="EH75" s="4"/>
      <c r="EI75" s="6"/>
      <c r="EJ75" s="6"/>
    </row>
    <row r="76" spans="3:140" x14ac:dyDescent="0.2">
      <c r="C76" s="245" t="s">
        <v>133</v>
      </c>
      <c r="D76" s="299">
        <v>1.5002496490844175</v>
      </c>
      <c r="E76" s="299">
        <v>5.2669166462435246</v>
      </c>
      <c r="F76" s="299">
        <v>5.2669166462435246</v>
      </c>
      <c r="G76" s="299"/>
      <c r="H76" s="299">
        <v>6.3446681884817835</v>
      </c>
      <c r="I76" s="299">
        <v>10.172727778069547</v>
      </c>
      <c r="J76" s="299">
        <v>10.172727778069547</v>
      </c>
      <c r="K76" s="299"/>
      <c r="L76" s="299">
        <f>(MODEL!BL155/MODEL!BH155-1)*100</f>
        <v>5.6850935806771252</v>
      </c>
      <c r="M76" s="299">
        <f>(MODEL!BM155/MODEL!BI155-1)*100</f>
        <v>3.8020421982487562</v>
      </c>
      <c r="N76" s="299">
        <f>(MODEL!BN155/MODEL!BJ155-1)*100</f>
        <v>3.8020421982487562</v>
      </c>
      <c r="O76" s="299"/>
      <c r="P76" s="299">
        <f>(MODEL!BP155/MODEL!BL155-1)*100</f>
        <v>4.65698299222983</v>
      </c>
      <c r="Q76" s="299">
        <f>(MODEL!BQ155/MODEL!BM155-1)*100</f>
        <v>3.2542042571779062</v>
      </c>
      <c r="R76" s="299">
        <f>(MODEL!BR155/MODEL!BN155-1)*100</f>
        <v>3.2542042571779062</v>
      </c>
      <c r="S76" s="299"/>
      <c r="T76" s="299">
        <f>(MODEL!BT155/MODEL!BP155-1)*100</f>
        <v>10.019618261362528</v>
      </c>
      <c r="U76" s="299">
        <f>(MODEL!BU155/MODEL!BQ155-1)*100</f>
        <v>14.62297620322628</v>
      </c>
      <c r="V76" s="299">
        <f>(MODEL!BV155/MODEL!BR155-1)*100</f>
        <v>14.62297620322628</v>
      </c>
      <c r="W76" s="299"/>
      <c r="X76" s="299">
        <f>(MODEL!BX155/MODEL!BT155-1)*100</f>
        <v>9.5005157005987115</v>
      </c>
      <c r="Y76" s="299">
        <f>(MODEL!BY155/MODEL!BU155-1)*100</f>
        <v>7.5591347157549782</v>
      </c>
      <c r="Z76" s="299">
        <f>(MODEL!BZ155/MODEL!BV155-1)*100</f>
        <v>7.5591347157549782</v>
      </c>
      <c r="AA76" s="299"/>
      <c r="AB76" s="299">
        <f>(MODEL!CB155/MODEL!BX155-1)*100</f>
        <v>5.2561656926642719</v>
      </c>
      <c r="AC76" s="299">
        <f>(MODEL!CC155/MODEL!BY155-1)*100</f>
        <v>5.5056551611792237</v>
      </c>
      <c r="AD76" s="299">
        <f>(MODEL!CD155/MODEL!BZ155-1)*100</f>
        <v>5.5056551611792237</v>
      </c>
      <c r="AE76" s="299"/>
      <c r="AF76" s="299">
        <f>(MODEL!CF155/MODEL!CB155-1)*100</f>
        <v>5.6310784385072532</v>
      </c>
      <c r="AG76" s="299">
        <f>(MODEL!CG155/MODEL!CC155-1)*100</f>
        <v>5.5713877053176208</v>
      </c>
      <c r="AH76" s="300">
        <f>(MODEL!CH155/MODEL!CD155-1)*100</f>
        <v>5.5713877053176208</v>
      </c>
      <c r="AI76" s="299"/>
      <c r="AJ76" s="299">
        <f>(MODEL!CJ155/MODEL!CF155-1)*100</f>
        <v>4.9029520197097831</v>
      </c>
      <c r="AK76" s="299">
        <f>(MODEL!CK155/MODEL!CG155-1)*100</f>
        <v>3.3829450174783782</v>
      </c>
      <c r="AL76" s="300">
        <f>(MODEL!CL155/MODEL!CH155-1)*100</f>
        <v>3.3829450174783782</v>
      </c>
      <c r="AM76" s="299"/>
      <c r="AN76" s="299">
        <f>(MODEL!CN155/MODEL!CJ155-1)*100</f>
        <v>6.2244802288143442</v>
      </c>
      <c r="AO76" s="299">
        <f>(MODEL!CO155/MODEL!CK155-1)*100</f>
        <v>9.8303202295147329</v>
      </c>
      <c r="AP76" s="300">
        <f>(MODEL!CP155/MODEL!CL155-1)*100</f>
        <v>9.8303202295147329</v>
      </c>
      <c r="AQ76" s="299"/>
      <c r="AR76" s="299">
        <f>(MODEL!CR155/MODEL!CN155-1)*100</f>
        <v>7.5243308622274574</v>
      </c>
      <c r="AS76" s="299">
        <f>(MODEL!CS155/MODEL!CO155-1)*100</f>
        <v>5.5281088599790307</v>
      </c>
      <c r="AT76" s="300">
        <f>(MODEL!CT155/MODEL!CP155-1)*100</f>
        <v>5.5281088599790307</v>
      </c>
      <c r="AU76" s="299"/>
      <c r="AV76" s="299">
        <f>(MODEL!CV155/MODEL!CR155-1)*100</f>
        <v>4.1436300121880265</v>
      </c>
      <c r="AW76" s="299">
        <f>(MODEL!CW155/MODEL!CS155-1)*100</f>
        <v>2.5086117518037243</v>
      </c>
      <c r="AX76" s="300">
        <f>(MODEL!CX155/MODEL!CT155-1)*100</f>
        <v>2.5086117518037243</v>
      </c>
      <c r="AY76" s="299"/>
      <c r="AZ76" s="299">
        <f>(MODEL!CZ155/MODEL!CV155-1)*100</f>
        <v>0.16654295913962613</v>
      </c>
      <c r="BA76" s="299">
        <f>(MODEL!DA155/MODEL!CW155-1)*100</f>
        <v>0.41712880390547546</v>
      </c>
      <c r="BB76" s="300">
        <f>(MODEL!DB155/MODEL!CX155-1)*100</f>
        <v>0.41712880390547546</v>
      </c>
      <c r="BC76" s="299"/>
      <c r="BD76" s="299">
        <f>(MODEL!DD155/MODEL!CZ155-1)*100</f>
        <v>3.9479106187915392</v>
      </c>
      <c r="BE76" s="299">
        <f>(MODEL!DE155/MODEL!DA155-1)*100</f>
        <v>5.4267470413878582</v>
      </c>
      <c r="BF76" s="1459">
        <f>(MODEL!DF155/MODEL!DB155-1)*100</f>
        <v>5.4267470413878582</v>
      </c>
      <c r="BG76" s="299"/>
      <c r="BH76" s="299">
        <f>(MODEL!DH155/MODEL!DD155-1)*100</f>
        <v>6.3837510177753298</v>
      </c>
      <c r="BI76" s="299">
        <f>(MODEL!DI155/MODEL!DE155-1)*100</f>
        <v>6.1994485326646087</v>
      </c>
      <c r="BJ76" s="299">
        <f>(MODEL!DJ155/MODEL!DF155-1)*100</f>
        <v>6.1994485326646087</v>
      </c>
      <c r="BK76" s="299"/>
      <c r="BL76" s="299">
        <f>(MODEL!DL155/MODEL!DH155-1)*100</f>
        <v>4.5753625354033822</v>
      </c>
      <c r="BM76" s="299">
        <f>(MODEL!DM155/MODEL!DI155-1)*100</f>
        <v>4.0613653328397392</v>
      </c>
      <c r="BN76" s="323">
        <f>(MODEL!DN155/MODEL!DJ155-1)*100</f>
        <v>4.0613653328397392</v>
      </c>
      <c r="BO76" s="299"/>
      <c r="BP76" s="299">
        <f>(MODEL!DP155/MODEL!DL155-1)*100</f>
        <v>3.5412388686736573</v>
      </c>
      <c r="BQ76" s="299">
        <f>(MODEL!DQ155/MODEL!DM155-1)*100</f>
        <v>3.0224999999999724</v>
      </c>
      <c r="BR76" s="323">
        <f>(MODEL!DR155/MODEL!DN155-1)*100</f>
        <v>3.0224999999999724</v>
      </c>
      <c r="BS76" s="321"/>
      <c r="BT76" s="106" t="s">
        <v>132</v>
      </c>
      <c r="BU76" s="324"/>
      <c r="BV76" s="151">
        <f>MODEL!BL872*100</f>
        <v>0.15745667145063844</v>
      </c>
      <c r="BW76" s="151">
        <f>MODEL!BM872*100</f>
        <v>0.16775504361089064</v>
      </c>
      <c r="BX76" s="151">
        <f>MODEL!BJ872*100</f>
        <v>0.19672369593280123</v>
      </c>
      <c r="BY76" s="151"/>
      <c r="BZ76" s="151">
        <f>MODEL!BL872*100</f>
        <v>0.15745667145063844</v>
      </c>
      <c r="CA76" s="151">
        <f>MODEL!BM872*100</f>
        <v>0.16775504361089064</v>
      </c>
      <c r="CB76" s="151">
        <f>MODEL!BN872*100</f>
        <v>0.16265352239600755</v>
      </c>
      <c r="CC76" s="151"/>
      <c r="CD76" s="151">
        <f>MODEL!BP872*100</f>
        <v>0.1424238560916723</v>
      </c>
      <c r="CE76" s="151">
        <f>MODEL!BQ872*100</f>
        <v>0.17375489549987766</v>
      </c>
      <c r="CF76" s="151">
        <f>MODEL!BR872*100</f>
        <v>0.15825116445947937</v>
      </c>
      <c r="CG76" s="151">
        <f>MODEL!BS872*100</f>
        <v>0</v>
      </c>
      <c r="CH76" s="151">
        <f>MODEL!BT872*100</f>
        <v>0.17640068763658354</v>
      </c>
      <c r="CI76" s="151">
        <f>MODEL!BU872*100</f>
        <v>0.21290920873855146</v>
      </c>
      <c r="CJ76" s="151">
        <f>MODEL!BV872*100</f>
        <v>0.19479029026234654</v>
      </c>
      <c r="CK76" s="151"/>
      <c r="CL76" s="151">
        <f>MODEL!BX872*100</f>
        <v>0.17619463240723413</v>
      </c>
      <c r="CM76" s="151">
        <f>MODEL!BY872*100</f>
        <v>0.14580119654106796</v>
      </c>
      <c r="CN76" s="151">
        <f>MODEL!BZ872*100</f>
        <v>0.16099295159625615</v>
      </c>
      <c r="CO76" s="151"/>
      <c r="CP76" s="151">
        <f>MODEL!CB872*100</f>
        <v>0.16948878927568062</v>
      </c>
      <c r="CQ76" s="151">
        <f>MODEL!CC872*100</f>
        <v>0.13868854983886852</v>
      </c>
      <c r="CR76" s="151">
        <f>MODEL!CD872*100</f>
        <v>0.1541628983196387</v>
      </c>
      <c r="CS76" s="151"/>
      <c r="CT76" s="151">
        <f>MODEL!CF872*100</f>
        <v>0.16189998108905515</v>
      </c>
      <c r="CU76" s="151">
        <f>MODEL!CG872*100</f>
        <v>0.17669999949959828</v>
      </c>
      <c r="CV76" s="151">
        <f>MODEL!CH872*100</f>
        <v>0.16926602530675064</v>
      </c>
      <c r="CW76" s="151"/>
      <c r="CX76" s="151">
        <f>MODEL!CJ872*100</f>
        <v>0.17997892752216901</v>
      </c>
      <c r="CY76" s="151">
        <f>MODEL!CK872*100</f>
        <v>0.51570966625528236</v>
      </c>
      <c r="CZ76" s="151">
        <f>MODEL!CL872*100</f>
        <v>0.3482657940197314</v>
      </c>
      <c r="DA76" s="151"/>
      <c r="DB76" s="151">
        <f>MODEL!CN872*100</f>
        <v>0.2401789468563886</v>
      </c>
      <c r="DC76" s="151">
        <f>MODEL!CO872*100</f>
        <v>-8.9105753576817853E-2</v>
      </c>
      <c r="DD76" s="151">
        <f>MODEL!CP872*100</f>
        <v>7.5340528308455543E-2</v>
      </c>
      <c r="DE76" s="151"/>
      <c r="DF76" s="151">
        <f>MODEL!CR872*100</f>
        <v>-1.9271554799333096E-2</v>
      </c>
      <c r="DG76" s="151">
        <f>MODEL!CS872*100</f>
        <v>-7.1326228373403175E-2</v>
      </c>
      <c r="DH76" s="151">
        <f>MODEL!CT872*100</f>
        <v>-4.5504255986295192E-2</v>
      </c>
      <c r="DI76" s="151"/>
      <c r="DJ76" s="151">
        <f>MODEL!CV872*100</f>
        <v>0.12273798593752962</v>
      </c>
      <c r="DK76" s="151">
        <f>MODEL!CW872*100</f>
        <v>0.14205251063413682</v>
      </c>
      <c r="DL76" s="152">
        <f>MODEL!CX872*100</f>
        <v>0.13244067363055986</v>
      </c>
      <c r="DM76" s="151"/>
      <c r="DN76" s="151">
        <f>MODEL!CZ872*100</f>
        <v>9.7087927234819765E-2</v>
      </c>
      <c r="DO76" s="151">
        <f>MODEL!DA872*100</f>
        <v>9.0998808191997418E-2</v>
      </c>
      <c r="DP76" s="152">
        <f>MODEL!DB872*100</f>
        <v>9.4051092493737748E-2</v>
      </c>
      <c r="DQ76" s="151"/>
      <c r="DR76" s="151">
        <f>MODEL!DD872*100</f>
        <v>7.2830497940617911E-2</v>
      </c>
      <c r="DS76" s="151">
        <f>MODEL!DE872*100</f>
        <v>9.0828832742912216E-2</v>
      </c>
      <c r="DT76" s="1411">
        <f>MODEL!DF872*100</f>
        <v>8.190701184944002E-2</v>
      </c>
      <c r="DU76" s="151"/>
      <c r="DV76" s="151">
        <f>MODEL!DH872*100</f>
        <v>6.7871900474769292E-2</v>
      </c>
      <c r="DW76" s="151">
        <f>MODEL!DI872*100</f>
        <v>9.0106427211621945E-2</v>
      </c>
      <c r="DX76" s="151">
        <f>MODEL!DJ872*100</f>
        <v>7.9071483647887492E-2</v>
      </c>
      <c r="DY76" s="151"/>
      <c r="DZ76" s="151">
        <f>MODEL!DL872*100</f>
        <v>0.10110265642311107</v>
      </c>
      <c r="EA76" s="151">
        <f>MODEL!DM872*100</f>
        <v>0.11243169931202722</v>
      </c>
      <c r="EB76" s="151">
        <f>MODEL!DN872*100</f>
        <v>0.1067919096612618</v>
      </c>
      <c r="EC76" s="151"/>
      <c r="ED76" s="151">
        <f>MODEL!DP872*100</f>
        <v>0.1120157191503119</v>
      </c>
      <c r="EE76" s="151">
        <f>MODEL!DQ872*100</f>
        <v>0.11210921213031105</v>
      </c>
      <c r="EF76" s="151">
        <f>MODEL!DR872*100</f>
        <v>0.11205542988767692</v>
      </c>
      <c r="EG76" s="59"/>
      <c r="EH76" s="4"/>
      <c r="EI76" s="6"/>
      <c r="EJ76" s="6"/>
    </row>
    <row r="77" spans="3:140" x14ac:dyDescent="0.2">
      <c r="C77" s="249" t="s">
        <v>95</v>
      </c>
      <c r="D77" s="242">
        <v>10.393672903263894</v>
      </c>
      <c r="E77" s="242">
        <v>11.954215522054712</v>
      </c>
      <c r="F77" s="242">
        <v>11.954215522054712</v>
      </c>
      <c r="G77" s="242"/>
      <c r="H77" s="242">
        <f>(H47/D47-1)*100</f>
        <v>11.946642429426868</v>
      </c>
      <c r="I77" s="242">
        <f>(I47/E47-1)*100</f>
        <v>9.8723255697970238</v>
      </c>
      <c r="J77" s="242">
        <f>(J47/F47-1)*100</f>
        <v>9.8723255697970238</v>
      </c>
      <c r="K77" s="242"/>
      <c r="L77" s="242">
        <f>(L47/H47-1)*100</f>
        <v>8.7995797215655323</v>
      </c>
      <c r="M77" s="242">
        <f>(M47/I47-1)*100</f>
        <v>8.6493724609064682</v>
      </c>
      <c r="N77" s="242">
        <f>(N47/J47-1)*100</f>
        <v>8.6493724609064682</v>
      </c>
      <c r="O77" s="242"/>
      <c r="P77" s="242">
        <f>(P47/L47-1)*100</f>
        <v>8.7221807646723271</v>
      </c>
      <c r="Q77" s="242">
        <f>(Q47/M47-1)*100</f>
        <v>7.5618315508021228</v>
      </c>
      <c r="R77" s="242">
        <f>(R47/N47-1)*100</f>
        <v>7.5618315508021228</v>
      </c>
      <c r="S77" s="242"/>
      <c r="T77" s="242">
        <f>(T47/P47-1)*100</f>
        <v>17.43176679586562</v>
      </c>
      <c r="U77" s="242">
        <f>(U47/Q47-1)*100</f>
        <v>16.550143711644537</v>
      </c>
      <c r="V77" s="242">
        <f>(V47/R47-1)*100</f>
        <v>16.550143711644537</v>
      </c>
      <c r="W77" s="242"/>
      <c r="X77" s="242">
        <f>(X47/T47-1)*100</f>
        <v>5.2156572862766648</v>
      </c>
      <c r="Y77" s="242">
        <f>(Y47/U47-1)*100</f>
        <v>5.1654613923417747</v>
      </c>
      <c r="Z77" s="242">
        <f>(Z47/V47-1)*100</f>
        <v>5.1654613923417747</v>
      </c>
      <c r="AA77" s="242"/>
      <c r="AB77" s="242">
        <f>(AB47/X47-1)*100</f>
        <v>7.0778531165754499</v>
      </c>
      <c r="AC77" s="242">
        <f>(AC47/Y47-1)*100</f>
        <v>6.6419494882276497</v>
      </c>
      <c r="AD77" s="242">
        <f>(AD47/Z47-1)*100</f>
        <v>6.6419494882276497</v>
      </c>
      <c r="AE77" s="242"/>
      <c r="AF77" s="242">
        <f>(AF47/AB47-1)*100</f>
        <v>3.7963287913697519</v>
      </c>
      <c r="AG77" s="242">
        <f>(AG47/AC47-1)*100</f>
        <v>3.3993997563367184</v>
      </c>
      <c r="AH77" s="243">
        <f>(AH47/AD47-1)*100</f>
        <v>3.3993997563367184</v>
      </c>
      <c r="AI77" s="242"/>
      <c r="AJ77" s="242">
        <f>(AJ47/AF47-1)*100</f>
        <v>4.5233370084527769</v>
      </c>
      <c r="AK77" s="242">
        <f>(AK47/AG47-1)*100</f>
        <v>3.3609219185562145</v>
      </c>
      <c r="AL77" s="243">
        <f>(AL47/AH47-1)*100</f>
        <v>3.3609219185562145</v>
      </c>
      <c r="AM77" s="242"/>
      <c r="AN77" s="242">
        <f>(AN47/AJ47-1)*100</f>
        <v>5.3627183482883867</v>
      </c>
      <c r="AO77" s="242">
        <f>(AO47/AK47-1)*100</f>
        <v>9.4254375599516003</v>
      </c>
      <c r="AP77" s="243">
        <f>(AP47/AL47-1)*100</f>
        <v>9.4254375599516003</v>
      </c>
      <c r="AQ77" s="242"/>
      <c r="AR77" s="242">
        <f>(AR47/AN47-1)*100</f>
        <v>-0.34305546285791078</v>
      </c>
      <c r="AS77" s="242">
        <f>(AS47/AO47-1)*100</f>
        <v>-7.4701764638623764</v>
      </c>
      <c r="AT77" s="243">
        <f>(AT47/AP47-1)*100</f>
        <v>-7.4701764638623764</v>
      </c>
      <c r="AU77" s="242"/>
      <c r="AV77" s="242">
        <f>(AV47/AR47-1)*100</f>
        <v>-3.1369712555921692</v>
      </c>
      <c r="AW77" s="242">
        <f>(AW47/AS47-1)*100</f>
        <v>-1.6544698145071535</v>
      </c>
      <c r="AX77" s="243">
        <f>(AX47/AT47-1)*100</f>
        <v>-1.6544698145071535</v>
      </c>
      <c r="AY77" s="242"/>
      <c r="AZ77" s="242">
        <f t="shared" ref="AZ77:BA77" si="104">(AZ47/AV47-1)*100</f>
        <v>0.71630068034735928</v>
      </c>
      <c r="BA77" s="242">
        <f t="shared" si="104"/>
        <v>2.0383090411570715</v>
      </c>
      <c r="BB77" s="243">
        <f>(BB47/AX47-1)*100</f>
        <v>2.0383090411570715</v>
      </c>
      <c r="BC77" s="242"/>
      <c r="BD77" s="242">
        <f t="shared" ref="BD77" si="105">(BD47/AZ47-1)*100</f>
        <v>3.3363539006507903</v>
      </c>
      <c r="BE77" s="242">
        <f>(BE47/BA47-1)*100</f>
        <v>7.7823992994746183</v>
      </c>
      <c r="BF77" s="1451">
        <f>(BF47/BB47-1)*100</f>
        <v>7.7823992994746183</v>
      </c>
      <c r="BG77" s="242"/>
      <c r="BH77" s="242">
        <f>(BH47/BD47-1)*100</f>
        <v>2.6147959183673519</v>
      </c>
      <c r="BI77" s="242">
        <f>(BI47/BE47-1)*100</f>
        <v>0.18789586876550857</v>
      </c>
      <c r="BJ77" s="242">
        <f>(BJ47/BF47-1)*100</f>
        <v>0.18789586876550857</v>
      </c>
      <c r="BK77" s="242"/>
      <c r="BL77" s="242">
        <f ca="1">(BL47/BH47-1)*100</f>
        <v>3.8041970051648777</v>
      </c>
      <c r="BM77" s="242">
        <f ca="1">(BM47/BI47-1)*100</f>
        <v>3.5123585421138914</v>
      </c>
      <c r="BN77" s="244">
        <f ca="1">(BN47/BJ47-1)*100</f>
        <v>3.5123585421138914</v>
      </c>
      <c r="BO77" s="242"/>
      <c r="BP77" s="242">
        <f ca="1">(BP47/BL47-1)*100</f>
        <v>3.3009002481533267</v>
      </c>
      <c r="BQ77" s="242">
        <f ca="1">(BQ47/BM47-1)*100</f>
        <v>3.3410998229990163</v>
      </c>
      <c r="BR77" s="244">
        <f ca="1">(BR47/BN47-1)*100</f>
        <v>3.3410998229990163</v>
      </c>
      <c r="BS77" s="321"/>
      <c r="BT77" s="325" t="s">
        <v>134</v>
      </c>
      <c r="BU77" s="165"/>
      <c r="BV77" s="165">
        <f>MODEL!BL871*100</f>
        <v>0.15319148545367381</v>
      </c>
      <c r="BW77" s="165">
        <f>MODEL!BM871*100</f>
        <v>0.16447567604713129</v>
      </c>
      <c r="BX77" s="165">
        <f>MODEL!BJ871*100</f>
        <v>0.19021801234483257</v>
      </c>
      <c r="BY77" s="165"/>
      <c r="BZ77" s="165">
        <f>MODEL!BL871*100</f>
        <v>0.15319148545367381</v>
      </c>
      <c r="CA77" s="165">
        <f>MODEL!BM871*100</f>
        <v>0.16447567604713129</v>
      </c>
      <c r="CB77" s="165">
        <f>MODEL!BN871*100</f>
        <v>0.15671068707687705</v>
      </c>
      <c r="CC77" s="165"/>
      <c r="CD77" s="165">
        <f>MODEL!BP871*100</f>
        <v>0.1390519146080634</v>
      </c>
      <c r="CE77" s="165">
        <f>MODEL!BQ871*100</f>
        <v>0.17101992548859696</v>
      </c>
      <c r="CF77" s="165">
        <f>MODEL!BR871*100</f>
        <v>0.1529004661297611</v>
      </c>
      <c r="CG77" s="165">
        <f>MODEL!BS871*100</f>
        <v>0</v>
      </c>
      <c r="CH77" s="165">
        <f>MODEL!BT871*100</f>
        <v>0.16602383876609986</v>
      </c>
      <c r="CI77" s="165">
        <f>MODEL!BU871*100</f>
        <v>0.1983105176641152</v>
      </c>
      <c r="CJ77" s="165">
        <f>MODEL!BV871*100</f>
        <v>0.17898621977113705</v>
      </c>
      <c r="CK77" s="165"/>
      <c r="CL77" s="165">
        <f>MODEL!BX871*100</f>
        <v>0.1652045457980082</v>
      </c>
      <c r="CM77" s="165">
        <f>MODEL!BY871*100</f>
        <v>0.13571482770401411</v>
      </c>
      <c r="CN77" s="165">
        <f>MODEL!BZ871*100</f>
        <v>0.14857490210338642</v>
      </c>
      <c r="CO77" s="165"/>
      <c r="CP77" s="165">
        <f>MODEL!CB871*100</f>
        <v>0.15948386639682999</v>
      </c>
      <c r="CQ77" s="165">
        <f>MODEL!CC871*100</f>
        <v>0.1301436549130793</v>
      </c>
      <c r="CR77" s="165">
        <f>MODEL!CD871*100</f>
        <v>0.14417269724535281</v>
      </c>
      <c r="CS77" s="165"/>
      <c r="CT77" s="165">
        <f>MODEL!CF871*100</f>
        <v>0.15071075105756931</v>
      </c>
      <c r="CU77" s="165">
        <f>MODEL!CG871*100</f>
        <v>0.16535099156472546</v>
      </c>
      <c r="CV77" s="165">
        <f>MODEL!CH871*100</f>
        <v>0.1578159637220389</v>
      </c>
      <c r="CW77" s="165"/>
      <c r="CX77" s="165">
        <f>MODEL!CJ871*100</f>
        <v>0.16735469308682108</v>
      </c>
      <c r="CY77" s="165">
        <f>MODEL!CK871*100</f>
        <v>0.48179719494460527</v>
      </c>
      <c r="CZ77" s="165">
        <f>MODEL!CL871*100</f>
        <v>0.32277582078378891</v>
      </c>
      <c r="DA77" s="165"/>
      <c r="DB77" s="165">
        <f>MODEL!CN871*100</f>
        <v>0.2202239176431913</v>
      </c>
      <c r="DC77" s="165">
        <f>MODEL!CO871*100</f>
        <v>-8.0833917587727927E-2</v>
      </c>
      <c r="DD77" s="165">
        <f>MODEL!CP871*100</f>
        <v>6.7704145106847899E-2</v>
      </c>
      <c r="DE77" s="165"/>
      <c r="DF77" s="165">
        <f>MODEL!CR871*100</f>
        <v>-1.7492721877492592E-2</v>
      </c>
      <c r="DG77" s="165">
        <f>MODEL!CS871*100</f>
        <v>-6.4259639459409171E-2</v>
      </c>
      <c r="DH77" s="165">
        <f>MODEL!CT871*100</f>
        <v>-4.0340669609915891E-2</v>
      </c>
      <c r="DI77" s="165"/>
      <c r="DJ77" s="165">
        <f>MODEL!CV871*100</f>
        <v>0.11104618887979423</v>
      </c>
      <c r="DK77" s="165">
        <f>MODEL!CW871*100</f>
        <v>0.12900013261430307</v>
      </c>
      <c r="DL77" s="166">
        <f>MODEL!CX871*100</f>
        <v>0.11872475893409168</v>
      </c>
      <c r="DM77" s="165"/>
      <c r="DN77" s="165">
        <f>MODEL!CZ871*100</f>
        <v>8.8876282202307116E-2</v>
      </c>
      <c r="DO77" s="165">
        <f>MODEL!DA871*100</f>
        <v>8.1925826177090461E-2</v>
      </c>
      <c r="DP77" s="166">
        <f>MODEL!DB871*100</f>
        <v>8.4425673826356823E-2</v>
      </c>
      <c r="DQ77" s="165"/>
      <c r="DR77" s="165">
        <f>MODEL!DD871*100</f>
        <v>6.4947104586902615E-2</v>
      </c>
      <c r="DS77" s="165">
        <f>MODEL!DE871*100</f>
        <v>8.0592871597216995E-2</v>
      </c>
      <c r="DT77" s="1412">
        <f>MODEL!DF871*100</f>
        <v>7.1464922633807229E-2</v>
      </c>
      <c r="DU77" s="165"/>
      <c r="DV77" s="165">
        <f>MODEL!DH871*100</f>
        <v>6.0324704671881689E-2</v>
      </c>
      <c r="DW77" s="165">
        <f>MODEL!DI871*100</f>
        <v>0.08</v>
      </c>
      <c r="DX77" s="165">
        <f>MODEL!DJ871*100</f>
        <v>6.9056896062600431E-2</v>
      </c>
      <c r="DY77" s="165"/>
      <c r="DZ77" s="165">
        <f>MODEL!DL871*100</f>
        <v>0.09</v>
      </c>
      <c r="EA77" s="165">
        <f>MODEL!DM871*100</f>
        <v>0.1</v>
      </c>
      <c r="EB77" s="165">
        <f>MODEL!DN871*100</f>
        <v>9.3590031201751744E-2</v>
      </c>
      <c r="EC77" s="165"/>
      <c r="ED77" s="165">
        <f>MODEL!DP871*100</f>
        <v>0.1</v>
      </c>
      <c r="EE77" s="165">
        <f>MODEL!DQ871*100</f>
        <v>0.1</v>
      </c>
      <c r="EF77" s="165">
        <f>MODEL!DR871*100</f>
        <v>9.876804894544651E-2</v>
      </c>
      <c r="EG77" s="4"/>
      <c r="EH77" s="4"/>
      <c r="EI77" s="6"/>
      <c r="EJ77" s="6"/>
    </row>
    <row r="78" spans="3:140" x14ac:dyDescent="0.2">
      <c r="C78" s="326" t="s">
        <v>97</v>
      </c>
      <c r="D78" s="302">
        <v>11.20906574103544</v>
      </c>
      <c r="E78" s="302">
        <v>9.3631069080844185</v>
      </c>
      <c r="F78" s="302">
        <v>9.3631069080844185</v>
      </c>
      <c r="G78" s="302"/>
      <c r="H78" s="302">
        <f t="shared" ref="H78:J79" si="106">((H48/D48)-1)*100</f>
        <v>4.1945221457809101</v>
      </c>
      <c r="I78" s="302">
        <f t="shared" si="106"/>
        <v>6.8433887402290949</v>
      </c>
      <c r="J78" s="302">
        <f t="shared" si="106"/>
        <v>6.8433887402290949</v>
      </c>
      <c r="K78" s="302"/>
      <c r="L78" s="302">
        <f t="shared" ref="L78:N79" si="107">((L48/H48)-1)*100</f>
        <v>10.499638506448573</v>
      </c>
      <c r="M78" s="302">
        <f t="shared" si="107"/>
        <v>8.1229196122120086</v>
      </c>
      <c r="N78" s="302">
        <f t="shared" si="107"/>
        <v>8.1229196122120086</v>
      </c>
      <c r="O78" s="302"/>
      <c r="P78" s="302">
        <f t="shared" ref="P78:R79" si="108">((P48/L48)-1)*100</f>
        <v>7.263547185032504</v>
      </c>
      <c r="Q78" s="302">
        <f t="shared" si="108"/>
        <v>8.8817028113183039</v>
      </c>
      <c r="R78" s="302">
        <f t="shared" si="108"/>
        <v>8.8817028113183039</v>
      </c>
      <c r="S78" s="302"/>
      <c r="T78" s="302">
        <f t="shared" ref="T78:V79" si="109">((T48/P48)-1)*100</f>
        <v>9.4442379588534955</v>
      </c>
      <c r="U78" s="302">
        <f t="shared" si="109"/>
        <v>8.5826807961233431</v>
      </c>
      <c r="V78" s="302">
        <f t="shared" si="109"/>
        <v>8.5826807961233431</v>
      </c>
      <c r="W78" s="302"/>
      <c r="X78" s="302">
        <f t="shared" ref="X78:Z79" si="110">((X48/T48)-1)*100</f>
        <v>7.9121111814729472</v>
      </c>
      <c r="Y78" s="302">
        <f t="shared" si="110"/>
        <v>7.734417375560021</v>
      </c>
      <c r="Z78" s="302">
        <f t="shared" si="110"/>
        <v>7.734417375560021</v>
      </c>
      <c r="AA78" s="302"/>
      <c r="AB78" s="302">
        <f t="shared" ref="AB78:AD79" si="111">((AB48/X48)-1)*100</f>
        <v>5.2029456084295544</v>
      </c>
      <c r="AC78" s="302">
        <f t="shared" si="111"/>
        <v>2.0991525271889966</v>
      </c>
      <c r="AD78" s="302">
        <f t="shared" si="111"/>
        <v>2.0991525271889966</v>
      </c>
      <c r="AE78" s="302"/>
      <c r="AF78" s="302">
        <f t="shared" ref="AF78:AH79" si="112">((AF48/AB48)-1)*100</f>
        <v>1.8381136723561564</v>
      </c>
      <c r="AG78" s="302">
        <f t="shared" si="112"/>
        <v>1.568844915994827</v>
      </c>
      <c r="AH78" s="303">
        <f t="shared" si="112"/>
        <v>1.568844915994827</v>
      </c>
      <c r="AI78" s="302"/>
      <c r="AJ78" s="302">
        <f t="shared" ref="AJ78:AL79" si="113">((AJ48/AF48)-1)*100</f>
        <v>3.548188669986474</v>
      </c>
      <c r="AK78" s="302">
        <f t="shared" si="113"/>
        <v>10.805548164606616</v>
      </c>
      <c r="AL78" s="303">
        <f t="shared" si="113"/>
        <v>10.805548164606616</v>
      </c>
      <c r="AM78" s="302"/>
      <c r="AN78" s="302">
        <f t="shared" ref="AN78:AP79" si="114">((AN48/AJ48)-1)*100</f>
        <v>13.814721307700406</v>
      </c>
      <c r="AO78" s="302">
        <f t="shared" si="114"/>
        <v>9.5604894227125925</v>
      </c>
      <c r="AP78" s="303">
        <f t="shared" si="114"/>
        <v>9.5604894227125925</v>
      </c>
      <c r="AQ78" s="302"/>
      <c r="AR78" s="302">
        <f t="shared" ref="AR78:AT79" si="115">((AR48/AN48)-1)*100</f>
        <v>8.731361883677625</v>
      </c>
      <c r="AS78" s="302">
        <f t="shared" si="115"/>
        <v>10.839674883759987</v>
      </c>
      <c r="AT78" s="303">
        <f t="shared" si="115"/>
        <v>10.839674883759987</v>
      </c>
      <c r="AU78" s="302"/>
      <c r="AV78" s="302">
        <f t="shared" ref="AV78:AX79" si="116">((AV48/AR48)-1)*100</f>
        <v>7.930164072360113</v>
      </c>
      <c r="AW78" s="302">
        <f t="shared" si="116"/>
        <v>5.2511219111330831</v>
      </c>
      <c r="AX78" s="303">
        <f t="shared" si="116"/>
        <v>5.2511219111330831</v>
      </c>
      <c r="AY78" s="302"/>
      <c r="AZ78" s="302">
        <f t="shared" ref="AZ78:BA79" si="117">((AZ48/AV48)-1)*100</f>
        <v>3.1577790104392989</v>
      </c>
      <c r="BA78" s="302">
        <f t="shared" si="117"/>
        <v>1.7108677432380759</v>
      </c>
      <c r="BB78" s="303">
        <f>((BB48/AX48)-1)*100</f>
        <v>1.7108677432380759</v>
      </c>
      <c r="BC78" s="302"/>
      <c r="BD78" s="302">
        <f t="shared" ref="BD78:BE79" si="118">((BD48/AZ48)-1)*100</f>
        <v>3.7616021082411466</v>
      </c>
      <c r="BE78" s="302">
        <f t="shared" si="118"/>
        <v>6.6679060841404514</v>
      </c>
      <c r="BF78" s="1457">
        <f>((BF48/BB48)-1)*100</f>
        <v>6.6679060841404514</v>
      </c>
      <c r="BG78" s="302"/>
      <c r="BH78" s="302">
        <f t="shared" ref="BH78:BI79" si="119">((BH48/BD48)-1)*100</f>
        <v>8.5616710163263896</v>
      </c>
      <c r="BI78" s="1468">
        <f t="shared" si="119"/>
        <v>7.0436885344711264</v>
      </c>
      <c r="BJ78" s="1468">
        <f>((BJ48/BF48)-1)*100</f>
        <v>7.0436885344711264</v>
      </c>
      <c r="BK78" s="302"/>
      <c r="BL78" s="302">
        <f t="shared" ref="BL78:BM79" si="120">((BL48/BH48)-1)*100</f>
        <v>4.8632409311432312</v>
      </c>
      <c r="BM78" s="302">
        <f t="shared" si="120"/>
        <v>4.9993879154921705</v>
      </c>
      <c r="BN78" s="306">
        <f>((BN48/BJ48)-1)*100</f>
        <v>4.9993879154921705</v>
      </c>
      <c r="BO78" s="302"/>
      <c r="BP78" s="302">
        <f t="shared" ref="BP78:BP79" si="121">((BP48/BL48)-1)*100</f>
        <v>4.9901322358954836</v>
      </c>
      <c r="BQ78" s="302">
        <f t="shared" ref="BQ78:BQ79" si="122">((BQ48/BM48)-1)*100</f>
        <v>4.9982384060856422</v>
      </c>
      <c r="BR78" s="306">
        <f>((BR48/BN48)-1)*100</f>
        <v>4.9982384060856422</v>
      </c>
      <c r="BS78" s="51"/>
      <c r="BT78" s="113" t="s">
        <v>135</v>
      </c>
      <c r="BU78" s="101"/>
      <c r="BV78" s="101">
        <f>MODEL!BL879*100</f>
        <v>0.44275028231120184</v>
      </c>
      <c r="BW78" s="101">
        <f>MODEL!BM879*100</f>
        <v>0.47985578457083411</v>
      </c>
      <c r="BX78" s="101">
        <f>MODEL!BJ879*100</f>
        <v>0.55209433567539712</v>
      </c>
      <c r="BY78" s="101"/>
      <c r="BZ78" s="101">
        <f>MODEL!BL879*100</f>
        <v>0.44275028231120184</v>
      </c>
      <c r="CA78" s="101">
        <f>MODEL!BM879*100</f>
        <v>0.47985578457083411</v>
      </c>
      <c r="CB78" s="101">
        <f>MODEL!BN879*100</f>
        <v>0.45720152368524575</v>
      </c>
      <c r="CC78" s="101"/>
      <c r="CD78" s="101">
        <f>MODEL!BP879*100</f>
        <v>0.40335227431410525</v>
      </c>
      <c r="CE78" s="101">
        <f>MODEL!BQ879*100</f>
        <v>0.49484055369991037</v>
      </c>
      <c r="CF78" s="101">
        <f>MODEL!BR879*100</f>
        <v>0.44241249143609429</v>
      </c>
      <c r="CG78" s="101">
        <f>MODEL!BS879*100</f>
        <v>0</v>
      </c>
      <c r="CH78" s="101">
        <f>MODEL!BT879*100</f>
        <v>0.47028302643339454</v>
      </c>
      <c r="CI78" s="101">
        <f>MODEL!BU879*100</f>
        <v>0.56648500163008264</v>
      </c>
      <c r="CJ78" s="101">
        <f>MODEL!BV879*100</f>
        <v>0.51128407203569226</v>
      </c>
      <c r="CK78" s="101"/>
      <c r="CL78" s="101">
        <f>MODEL!BX879*100</f>
        <v>0.48161613487956861</v>
      </c>
      <c r="CM78" s="101">
        <f>MODEL!BY879*100</f>
        <v>0.39826434708042691</v>
      </c>
      <c r="CN78" s="101">
        <f>MODEL!BZ879*100</f>
        <v>0.43600310577554796</v>
      </c>
      <c r="CO78" s="101"/>
      <c r="CP78" s="101">
        <f>MODEL!CB879*100</f>
        <v>0.47551888697890526</v>
      </c>
      <c r="CQ78" s="101">
        <f>MODEL!CC879*100</f>
        <v>0.39474494711577574</v>
      </c>
      <c r="CR78" s="101">
        <f>MODEL!CD879*100</f>
        <v>0.437297106706168</v>
      </c>
      <c r="CS78" s="101"/>
      <c r="CT78" s="101">
        <f>MODEL!CF879*100</f>
        <v>0.46347653904888597</v>
      </c>
      <c r="CU78" s="101">
        <f>MODEL!CG879*100</f>
        <v>0.52855767457458658</v>
      </c>
      <c r="CV78" s="101">
        <f>MODEL!CH879*100</f>
        <v>0.5044713551839578</v>
      </c>
      <c r="CW78" s="101"/>
      <c r="CX78" s="101">
        <f>MODEL!CJ879*100</f>
        <v>0.54633258377265215</v>
      </c>
      <c r="CY78" s="101">
        <f>MODEL!CK879*100</f>
        <v>1.5843570158406519</v>
      </c>
      <c r="CZ78" s="101">
        <f>MODEL!CL879*100</f>
        <v>1.0614261385671169</v>
      </c>
      <c r="DA78" s="101"/>
      <c r="DB78" s="101">
        <f>MODEL!CN879*100</f>
        <v>0.74402822190359186</v>
      </c>
      <c r="DC78" s="101">
        <f>MODEL!CO879*100</f>
        <v>-0.27732022308850685</v>
      </c>
      <c r="DD78" s="101">
        <f>MODEL!CP879*100</f>
        <v>0.23227537629449496</v>
      </c>
      <c r="DE78" s="101"/>
      <c r="DF78" s="101">
        <f>MODEL!CR879*100</f>
        <v>-6.0824931382811656E-2</v>
      </c>
      <c r="DG78" s="101">
        <f>MODEL!CS879*100</f>
        <v>-0.2162505354790171</v>
      </c>
      <c r="DH78" s="101">
        <f>MODEL!CT879*100</f>
        <v>-0.13575693044834011</v>
      </c>
      <c r="DI78" s="101"/>
      <c r="DJ78" s="101">
        <f>MODEL!CV879*100</f>
        <v>0.37061613265408799</v>
      </c>
      <c r="DK78" s="101">
        <f>MODEL!CW879*100</f>
        <v>0.42838208595585198</v>
      </c>
      <c r="DL78" s="102">
        <f>MODEL!CX879*100</f>
        <v>0.39425974885511667</v>
      </c>
      <c r="DM78" s="101"/>
      <c r="DN78" s="101">
        <f>MODEL!CZ879*100</f>
        <v>0.29656835907510504</v>
      </c>
      <c r="DO78" s="101">
        <f>MODEL!DA879*100</f>
        <v>0.27283468266195515</v>
      </c>
      <c r="DP78" s="102">
        <f>MODEL!DB879*100</f>
        <v>0.28115983691327162</v>
      </c>
      <c r="DQ78" s="101"/>
      <c r="DR78" s="101">
        <f>MODEL!DD879*100</f>
        <v>0.21730572161499828</v>
      </c>
      <c r="DS78" s="101">
        <f>MODEL!DE879*100</f>
        <v>0.265803072442449</v>
      </c>
      <c r="DT78" s="1407">
        <f>MODEL!DF879*100</f>
        <v>0.2356982153814188</v>
      </c>
      <c r="DU78" s="101"/>
      <c r="DV78" s="101">
        <f>MODEL!DH879*100</f>
        <v>0.19849401287436583</v>
      </c>
      <c r="DW78" s="101">
        <f>MODEL!DI879*100</f>
        <v>0.26378600615501985</v>
      </c>
      <c r="DX78" s="101">
        <f>MODEL!DJ879*100</f>
        <v>0.22770303512269605</v>
      </c>
      <c r="DY78" s="101"/>
      <c r="DZ78" s="101">
        <f>MODEL!DL879*100</f>
        <v>0.29822319928047797</v>
      </c>
      <c r="EA78" s="101">
        <f>MODEL!DM879*100</f>
        <v>0.33000494744596442</v>
      </c>
      <c r="EB78" s="101">
        <f>MODEL!DN879*100</f>
        <v>0.30885173328200255</v>
      </c>
      <c r="EC78" s="101"/>
      <c r="ED78" s="101">
        <f>MODEL!DP879*100</f>
        <v>0.33049381587885701</v>
      </c>
      <c r="EE78" s="101">
        <f>MODEL!DQ879*100</f>
        <v>0.32970567131624934</v>
      </c>
      <c r="EF78" s="101">
        <f>MODEL!DR879*100</f>
        <v>0.32564385882154617</v>
      </c>
      <c r="EG78" s="267"/>
      <c r="EH78" s="4"/>
      <c r="EI78" s="6"/>
      <c r="EJ78" s="6"/>
    </row>
    <row r="79" spans="3:140" x14ac:dyDescent="0.2">
      <c r="C79" s="249" t="s">
        <v>99</v>
      </c>
      <c r="D79" s="299">
        <v>5.1145693846046392</v>
      </c>
      <c r="E79" s="299">
        <v>6.5604169357648123</v>
      </c>
      <c r="F79" s="299">
        <v>3.533926064576498</v>
      </c>
      <c r="G79" s="299"/>
      <c r="H79" s="299">
        <f t="shared" si="106"/>
        <v>3.7805820917036659</v>
      </c>
      <c r="I79" s="299">
        <f t="shared" si="106"/>
        <v>3.1739020638674065</v>
      </c>
      <c r="J79" s="299">
        <f t="shared" si="106"/>
        <v>3.4485795753490533</v>
      </c>
      <c r="K79" s="299"/>
      <c r="L79" s="299">
        <f t="shared" si="107"/>
        <v>4.8357420648950544</v>
      </c>
      <c r="M79" s="299">
        <f t="shared" si="107"/>
        <v>7.0112448355106771</v>
      </c>
      <c r="N79" s="299">
        <f t="shared" si="107"/>
        <v>6.0141602437712827</v>
      </c>
      <c r="O79" s="299"/>
      <c r="P79" s="299">
        <f t="shared" si="108"/>
        <v>6.0538043291235244</v>
      </c>
      <c r="Q79" s="299">
        <f t="shared" si="108"/>
        <v>6.1265295530610997</v>
      </c>
      <c r="R79" s="299">
        <f t="shared" si="108"/>
        <v>6.1469804025002794</v>
      </c>
      <c r="S79" s="299"/>
      <c r="T79" s="299">
        <f t="shared" si="109"/>
        <v>3.4730317418211643</v>
      </c>
      <c r="U79" s="299">
        <f t="shared" si="109"/>
        <v>2.6902627957353209</v>
      </c>
      <c r="V79" s="299">
        <f t="shared" si="109"/>
        <v>2.9744691662040967</v>
      </c>
      <c r="W79" s="299"/>
      <c r="X79" s="299">
        <f t="shared" si="110"/>
        <v>5.9664926227323445</v>
      </c>
      <c r="Y79" s="299">
        <f t="shared" si="110"/>
        <v>4.8567540691094147</v>
      </c>
      <c r="Z79" s="299">
        <f t="shared" si="110"/>
        <v>5.3547383653256286</v>
      </c>
      <c r="AA79" s="299"/>
      <c r="AB79" s="299">
        <f t="shared" si="111"/>
        <v>3.2668341169463933</v>
      </c>
      <c r="AC79" s="299">
        <f t="shared" si="111"/>
        <v>2.2750679252396599</v>
      </c>
      <c r="AD79" s="299">
        <f t="shared" si="111"/>
        <v>2.8232229874864512</v>
      </c>
      <c r="AE79" s="299"/>
      <c r="AF79" s="299">
        <f t="shared" si="112"/>
        <v>1.3312069557193329</v>
      </c>
      <c r="AG79" s="299">
        <f t="shared" si="112"/>
        <v>1.3612345617512345</v>
      </c>
      <c r="AH79" s="300">
        <f t="shared" si="112"/>
        <v>1.3412962460554123</v>
      </c>
      <c r="AI79" s="299"/>
      <c r="AJ79" s="299">
        <f t="shared" si="113"/>
        <v>1.4260645285361306</v>
      </c>
      <c r="AK79" s="299">
        <f t="shared" si="113"/>
        <v>2.3376017939750859</v>
      </c>
      <c r="AL79" s="300">
        <f t="shared" si="113"/>
        <v>1.8722079795864266</v>
      </c>
      <c r="AM79" s="299"/>
      <c r="AN79" s="299">
        <f t="shared" si="114"/>
        <v>1.5599295110947597</v>
      </c>
      <c r="AO79" s="299">
        <f t="shared" si="114"/>
        <v>1.8517883286293113</v>
      </c>
      <c r="AP79" s="300">
        <f t="shared" si="114"/>
        <v>1.7035702084753801</v>
      </c>
      <c r="AQ79" s="299"/>
      <c r="AR79" s="327">
        <f t="shared" si="115"/>
        <v>5.9768142601223095</v>
      </c>
      <c r="AS79" s="328">
        <f t="shared" si="115"/>
        <v>7.4067937033968523</v>
      </c>
      <c r="AT79" s="329">
        <f t="shared" si="115"/>
        <v>6.6927955959789509</v>
      </c>
      <c r="AU79" s="299"/>
      <c r="AV79" s="328">
        <f t="shared" si="116"/>
        <v>6.9787203175113</v>
      </c>
      <c r="AW79" s="328">
        <f t="shared" si="116"/>
        <v>6.2981163597504608</v>
      </c>
      <c r="AX79" s="329">
        <f t="shared" si="116"/>
        <v>6.6355912111779825</v>
      </c>
      <c r="AY79" s="299"/>
      <c r="AZ79" s="299">
        <f t="shared" si="117"/>
        <v>2.9506707996319159</v>
      </c>
      <c r="BA79" s="328">
        <f t="shared" si="117"/>
        <v>0.91256637168142252</v>
      </c>
      <c r="BB79" s="329">
        <f>((BB49/AX49)-1)*100</f>
        <v>1.9276811765704283</v>
      </c>
      <c r="BC79" s="299"/>
      <c r="BD79" s="299">
        <f t="shared" si="118"/>
        <v>2.5098529960047022</v>
      </c>
      <c r="BE79" s="299">
        <f t="shared" si="118"/>
        <v>5.3978209472495209</v>
      </c>
      <c r="BF79" s="1460">
        <f>((BF49/BB49)-1)*100</f>
        <v>3.9453377864922867</v>
      </c>
      <c r="BG79" s="299"/>
      <c r="BH79" s="299">
        <f t="shared" si="119"/>
        <v>6.970487236530043</v>
      </c>
      <c r="BI79" s="299">
        <f t="shared" si="119"/>
        <v>6.9234131269958921</v>
      </c>
      <c r="BJ79" s="1470">
        <f>((BJ49/BF49)-1)*100</f>
        <v>6.961334895798621</v>
      </c>
      <c r="BK79" s="299"/>
      <c r="BL79" s="299">
        <f t="shared" si="120"/>
        <v>6.6880691928930869</v>
      </c>
      <c r="BM79" s="299">
        <f t="shared" si="120"/>
        <v>6.3257531609233641</v>
      </c>
      <c r="BN79" s="327">
        <f>((BN49/BJ49)-1)*100</f>
        <v>6.5039052491516758</v>
      </c>
      <c r="BO79" s="299"/>
      <c r="BP79" s="299">
        <f t="shared" si="121"/>
        <v>5.8248498342483801</v>
      </c>
      <c r="BQ79" s="299">
        <f t="shared" si="122"/>
        <v>5.2116988437635348</v>
      </c>
      <c r="BR79" s="327">
        <f>((BR49/BN49)-1)*100</f>
        <v>5.5137087044358379</v>
      </c>
      <c r="BS79" s="321"/>
      <c r="BT79" s="106" t="s">
        <v>136</v>
      </c>
      <c r="BU79" s="324"/>
      <c r="BV79" s="151">
        <f>MODEL!BL873*100</f>
        <v>0.32123886020165493</v>
      </c>
      <c r="BW79" s="151">
        <f>MODEL!BM873*100</f>
        <v>0.34593204437851066</v>
      </c>
      <c r="BX79" s="151">
        <f>MODEL!BJ873*100</f>
        <v>0.38687900913206091</v>
      </c>
      <c r="BY79" s="151"/>
      <c r="BZ79" s="151">
        <f>MODEL!BL873*100</f>
        <v>0.32123886020165493</v>
      </c>
      <c r="CA79" s="151">
        <f>MODEL!BM873*100</f>
        <v>0.34593204437851066</v>
      </c>
      <c r="CB79" s="151">
        <f>MODEL!BN873*100</f>
        <v>0.32960039842566524</v>
      </c>
      <c r="CC79" s="151"/>
      <c r="CD79" s="151">
        <f>MODEL!BP873*100</f>
        <v>0.28017940414110049</v>
      </c>
      <c r="CE79" s="151">
        <f>MODEL!BQ873*100</f>
        <v>0.3462321094225021</v>
      </c>
      <c r="CF79" s="151">
        <f>MODEL!BR873*100</f>
        <v>0.30954902341669432</v>
      </c>
      <c r="CG79" s="151">
        <f>MODEL!BS873*100</f>
        <v>0</v>
      </c>
      <c r="CH79" s="151">
        <f>MODEL!BT873*100</f>
        <v>0.33492942831987127</v>
      </c>
      <c r="CI79" s="151">
        <f>MODEL!BU873*100</f>
        <v>0.40450088527291095</v>
      </c>
      <c r="CJ79" s="151">
        <f>MODEL!BV873*100</f>
        <v>0.36508444031043807</v>
      </c>
      <c r="CK79" s="151"/>
      <c r="CL79" s="151">
        <f>MODEL!BX873*100</f>
        <v>0.31811271388127577</v>
      </c>
      <c r="CM79" s="151">
        <f>MODEL!BY873*100</f>
        <v>0.26512846465561801</v>
      </c>
      <c r="CN79" s="151">
        <f>MODEL!BZ873*100</f>
        <v>0.29025152481451733</v>
      </c>
      <c r="CO79" s="151"/>
      <c r="CP79" s="151">
        <f>MODEL!CB873*100</f>
        <v>0.32216101712485584</v>
      </c>
      <c r="CQ79" s="151">
        <f>MODEL!CC873*100</f>
        <v>0.2635809802942885</v>
      </c>
      <c r="CR79" s="151">
        <f>MODEL!CD873*100</f>
        <v>0.29199411140698406</v>
      </c>
      <c r="CS79" s="151"/>
      <c r="CT79" s="151">
        <f>MODEL!CF873*100</f>
        <v>0.30988866873811383</v>
      </c>
      <c r="CU79" s="151">
        <f>MODEL!CG873*100</f>
        <v>0.33774298298766536</v>
      </c>
      <c r="CV79" s="151">
        <f>MODEL!CH873*100</f>
        <v>0.32235206965596097</v>
      </c>
      <c r="CW79" s="151"/>
      <c r="CX79" s="151">
        <f>MODEL!CJ873*100</f>
        <v>0.34405308186300543</v>
      </c>
      <c r="CY79" s="151">
        <f>MODEL!CK873*100</f>
        <v>1.0044357904024279</v>
      </c>
      <c r="CZ79" s="151">
        <f>MODEL!CL873*100</f>
        <v>0.67291298096709196</v>
      </c>
      <c r="DA79" s="151"/>
      <c r="DB79" s="151">
        <f>MODEL!CN873*100</f>
        <v>0.46421320382525638</v>
      </c>
      <c r="DC79" s="151">
        <f>MODEL!CO873*100</f>
        <v>-0.17335512097717148</v>
      </c>
      <c r="DD79" s="151">
        <f>MODEL!CP873*100</f>
        <v>0.14519722185820993</v>
      </c>
      <c r="DE79" s="151"/>
      <c r="DF79" s="151">
        <f>MODEL!CR873*100</f>
        <v>-3.8080912319335802E-2</v>
      </c>
      <c r="DG79" s="151">
        <f>MODEL!CS873*100</f>
        <v>-0.14446294094688164</v>
      </c>
      <c r="DH79" s="151">
        <f>MODEL!CT873*100</f>
        <v>-9.0690390121098349E-2</v>
      </c>
      <c r="DI79" s="151"/>
      <c r="DJ79" s="151">
        <f>MODEL!CV873*100</f>
        <v>0.25214567499903479</v>
      </c>
      <c r="DK79" s="151">
        <f>MODEL!CW873*100</f>
        <v>0.33177125288308162</v>
      </c>
      <c r="DL79" s="152">
        <f>MODEL!CX873*100</f>
        <v>0.30534435292075102</v>
      </c>
      <c r="DM79" s="151"/>
      <c r="DN79" s="151">
        <f>MODEL!CZ873*100</f>
        <v>0.22387056570024069</v>
      </c>
      <c r="DO79" s="151">
        <f>MODEL!DA873*100</f>
        <v>0.21008647656670029</v>
      </c>
      <c r="DP79" s="152">
        <f>MODEL!DB873*100</f>
        <v>0.2164969604042716</v>
      </c>
      <c r="DQ79" s="151"/>
      <c r="DR79" s="151">
        <f>MODEL!DD873*100</f>
        <v>0.16482850891953671</v>
      </c>
      <c r="DS79" s="151">
        <f>MODEL!DE873*100</f>
        <v>0.20523234312155472</v>
      </c>
      <c r="DT79" s="1411">
        <f>MODEL!DF873*100</f>
        <v>0.18198772710865119</v>
      </c>
      <c r="DU79" s="151"/>
      <c r="DV79" s="151">
        <f>MODEL!DH873*100</f>
        <v>0.15467355782632394</v>
      </c>
      <c r="DW79" s="151">
        <f ca="1">MODEL!DI873*100</f>
        <v>0.20529016902543709</v>
      </c>
      <c r="DX79" s="151">
        <f ca="1">MODEL!DJ873*100</f>
        <v>0.17720877331329102</v>
      </c>
      <c r="DY79" s="151"/>
      <c r="DZ79" s="151">
        <f ca="1">MODEL!DL873*100</f>
        <v>0.23139766947332507</v>
      </c>
      <c r="EA79" s="151">
        <f ca="1">MODEL!DM873*100</f>
        <v>0.25669565276083994</v>
      </c>
      <c r="EB79" s="151">
        <f ca="1">MODEL!DN873*100</f>
        <v>0.24024154151241034</v>
      </c>
      <c r="EC79" s="151"/>
      <c r="ED79" s="151">
        <f ca="1">MODEL!DP873*100</f>
        <v>0.25684560919236343</v>
      </c>
      <c r="EE79" s="151">
        <f ca="1">MODEL!DQ873*100</f>
        <v>0.2566057250250488</v>
      </c>
      <c r="EF79" s="151">
        <f ca="1">MODEL!DR873*100</f>
        <v>0.25344446808955806</v>
      </c>
      <c r="EG79" s="4"/>
      <c r="EH79" s="4"/>
      <c r="EI79" s="6"/>
      <c r="EJ79" s="6"/>
    </row>
    <row r="80" spans="3:140" x14ac:dyDescent="0.2">
      <c r="C80" s="249" t="s">
        <v>138</v>
      </c>
      <c r="D80" s="299">
        <v>7.6393890840670942</v>
      </c>
      <c r="E80" s="299">
        <v>10.676646876686636</v>
      </c>
      <c r="F80" s="299">
        <v>9.1777981664631803</v>
      </c>
      <c r="G80" s="299"/>
      <c r="H80" s="299">
        <f>((H52/D52)-1)*100</f>
        <v>11.886488405757522</v>
      </c>
      <c r="I80" s="299">
        <f>((I52/E52)-1)*100</f>
        <v>10.403860220987383</v>
      </c>
      <c r="J80" s="299">
        <f>((J52/F52)-1)*100</f>
        <v>11.139784946236574</v>
      </c>
      <c r="K80" s="299"/>
      <c r="L80" s="299">
        <f>((L52/H52)-1)*100</f>
        <v>9.3909434883436838</v>
      </c>
      <c r="M80" s="299">
        <f>((M52/I52)-1)*100</f>
        <v>8.9596652330582227</v>
      </c>
      <c r="N80" s="299">
        <f>((N52/J52)-1)*100</f>
        <v>9.1474160514408265</v>
      </c>
      <c r="O80" s="299"/>
      <c r="P80" s="299">
        <f>((P52/L52)-1)*100</f>
        <v>8.6628581629920589</v>
      </c>
      <c r="Q80" s="299">
        <f>((Q52/M52)-1)*100</f>
        <v>7.7705946361134259</v>
      </c>
      <c r="R80" s="299">
        <f>((R52/N52)-1)*100</f>
        <v>8.2804215487333863</v>
      </c>
      <c r="S80" s="299"/>
      <c r="T80" s="299">
        <f>((T52/P52)-1)*100</f>
        <v>12.414260483837825</v>
      </c>
      <c r="U80" s="299">
        <f>((U52/Q52)-1)*100</f>
        <v>15.056126388311441</v>
      </c>
      <c r="V80" s="299">
        <f>((V52/R52)-1)*100</f>
        <v>13.862692943215249</v>
      </c>
      <c r="W80" s="299"/>
      <c r="X80" s="299">
        <f>((X52/T52)-1)*100</f>
        <v>10.672463874020366</v>
      </c>
      <c r="Y80" s="299">
        <f>((Y52/U52)-1)*100</f>
        <v>7.1753045632872325</v>
      </c>
      <c r="Z80" s="299">
        <f>((Z52/V52)-1)*100</f>
        <v>8.708886745538047</v>
      </c>
      <c r="AA80" s="299"/>
      <c r="AB80" s="299">
        <f>((AB52/X52)-1)*100</f>
        <v>6.5598124824615134</v>
      </c>
      <c r="AC80" s="299">
        <f>((AC52/Y52)-1)*100</f>
        <v>6.1121279260186956</v>
      </c>
      <c r="AD80" s="299">
        <f>((AD52/Z52)-1)*100</f>
        <v>6.3352136292968098</v>
      </c>
      <c r="AE80" s="299"/>
      <c r="AF80" s="299">
        <f>((AF52/AB52)-1)*100</f>
        <v>4.0755944543412692</v>
      </c>
      <c r="AG80" s="299">
        <f>((AG52/AC52)-1)*100</f>
        <v>4.1093610518511792</v>
      </c>
      <c r="AH80" s="300">
        <f>((AH52/AD52)-1)*100</f>
        <v>4.0892250221991056</v>
      </c>
      <c r="AI80" s="299"/>
      <c r="AJ80" s="299">
        <f>((AJ52/AF52)-1)*100</f>
        <v>4.5976840413181286</v>
      </c>
      <c r="AK80" s="299">
        <f>((AK52/AG52)-1)*100</f>
        <v>3.9907570230638623</v>
      </c>
      <c r="AL80" s="300">
        <f>((AL52/AH52)-1)*100</f>
        <v>2.0782773683978295</v>
      </c>
      <c r="AM80" s="299"/>
      <c r="AN80" s="299">
        <f>(+MODEL!CN487/MODEL!CJ487-1)*100</f>
        <v>18.15900445999976</v>
      </c>
      <c r="AO80" s="299">
        <f>(+MODEL!CO487/MODEL!CK487-1)*100</f>
        <v>5.5595942060435055</v>
      </c>
      <c r="AP80" s="300">
        <f>(+MODEL!CP487/MODEL!CL487-1)*100</f>
        <v>11.5368295507976</v>
      </c>
      <c r="AQ80" s="299"/>
      <c r="AR80" s="323">
        <f>(+MODEL!CR487/MODEL!CN487-1)*100</f>
        <v>21.396284049593994</v>
      </c>
      <c r="AS80" s="299">
        <f>(+MODEL!CS487/MODEL!CO487-1)*100</f>
        <v>27.854125337910762</v>
      </c>
      <c r="AT80" s="300">
        <f>(+MODEL!CT487/MODEL!CP487-1)*100</f>
        <v>24.599265877707978</v>
      </c>
      <c r="AU80" s="299"/>
      <c r="AV80" s="299">
        <f>((AV52/AR52)-1)*100</f>
        <v>-5.4415025433676707</v>
      </c>
      <c r="AW80" s="299">
        <f>((AW52/AS52)-1)*100</f>
        <v>-2.404230795308171</v>
      </c>
      <c r="AX80" s="300">
        <f>(+MODEL!CX487/MODEL!CT487-1)*100</f>
        <v>13.320652891470818</v>
      </c>
      <c r="AY80" s="299"/>
      <c r="AZ80" s="299">
        <f>(+MODEL!CZ487/MODEL!CV487-1)*100</f>
        <v>5.9446209515332971</v>
      </c>
      <c r="BA80" s="299">
        <f>(+MODEL!DA487/MODEL!CW487-1)*100</f>
        <v>6.4182841692499437</v>
      </c>
      <c r="BB80" s="300">
        <f>(+MODEL!DB487/MODEL!CX487-1)*100</f>
        <v>6.1808900685592416</v>
      </c>
      <c r="BC80" s="299"/>
      <c r="BD80" s="299">
        <f>(+MODEL!DD487/MODEL!CZ487-1)*100</f>
        <v>-9.011719987329748</v>
      </c>
      <c r="BE80" s="299">
        <f>(+MODEL!DE487/MODEL!DA487-1)*100</f>
        <v>-7.6570546532435451</v>
      </c>
      <c r="BF80" s="1459">
        <f>(+MODEL!DF487/MODEL!DB487-1)*100</f>
        <v>-8.3379910777048867</v>
      </c>
      <c r="BG80" s="299"/>
      <c r="BH80" s="299">
        <f>(+MODEL!DH487/MODEL!DD487-1)*100</f>
        <v>13.51383055208688</v>
      </c>
      <c r="BI80" s="299">
        <f>(+MODEL!DI487/MODEL!DE487-1)*100</f>
        <v>14.681670195621388</v>
      </c>
      <c r="BJ80" s="299">
        <f>(+MODEL!DJ487/MODEL!DF487-1)*100</f>
        <v>14.11512292877115</v>
      </c>
      <c r="BK80" s="299"/>
      <c r="BL80" s="299">
        <f>(+MODEL!DL487/MODEL!DH487-1)*100</f>
        <v>6.6880691928930869</v>
      </c>
      <c r="BM80" s="299">
        <f>(+MODEL!DM487/MODEL!DI487-1)*100</f>
        <v>6.3257531609233641</v>
      </c>
      <c r="BN80" s="323">
        <f>(+MODEL!DN487/MODEL!DJ487-1)*100</f>
        <v>6.5039052491516758</v>
      </c>
      <c r="BO80" s="299"/>
      <c r="BP80" s="299">
        <f>(+MODEL!DP487/MODEL!DL487-1)*100</f>
        <v>5.8248498342483579</v>
      </c>
      <c r="BQ80" s="299">
        <f>(+MODEL!DQ487/MODEL!DM487-1)*100</f>
        <v>5.2116988437635348</v>
      </c>
      <c r="BR80" s="323">
        <f>(+MODEL!DR487/MODEL!DN487-1)*100</f>
        <v>5.5137087044358379</v>
      </c>
      <c r="BS80" s="321"/>
      <c r="BT80" s="330" t="s">
        <v>137</v>
      </c>
      <c r="BU80" s="271"/>
      <c r="BV80" s="271"/>
      <c r="BW80" s="271"/>
      <c r="BX80" s="271"/>
      <c r="BY80" s="271"/>
      <c r="BZ80" s="271"/>
      <c r="CA80" s="271"/>
      <c r="CB80" s="271"/>
      <c r="CC80" s="271"/>
      <c r="CD80" s="271"/>
      <c r="CE80" s="271"/>
      <c r="CF80" s="271"/>
      <c r="CG80" s="271"/>
      <c r="CH80" s="271"/>
      <c r="CI80" s="271"/>
      <c r="CJ80" s="271"/>
      <c r="CK80" s="271"/>
      <c r="CL80" s="271"/>
      <c r="CM80" s="271"/>
      <c r="CN80" s="271"/>
      <c r="CO80" s="271"/>
      <c r="CP80" s="271"/>
      <c r="CQ80" s="271"/>
      <c r="CR80" s="271"/>
      <c r="CS80" s="271"/>
      <c r="CT80" s="271"/>
      <c r="CU80" s="271"/>
      <c r="CV80" s="271"/>
      <c r="CW80" s="271"/>
      <c r="CX80" s="271"/>
      <c r="CY80" s="271"/>
      <c r="CZ80" s="271"/>
      <c r="DA80" s="271"/>
      <c r="DB80" s="271"/>
      <c r="DC80" s="271"/>
      <c r="DD80" s="271"/>
      <c r="DE80" s="271"/>
      <c r="DF80" s="271"/>
      <c r="DG80" s="271"/>
      <c r="DH80" s="271"/>
      <c r="DI80" s="271"/>
      <c r="DJ80" s="271"/>
      <c r="DK80" s="271"/>
      <c r="DL80" s="272"/>
      <c r="DM80" s="271"/>
      <c r="DN80" s="271"/>
      <c r="DO80" s="271"/>
      <c r="DP80" s="272"/>
      <c r="DQ80" s="271"/>
      <c r="DR80" s="271"/>
      <c r="DS80" s="271"/>
      <c r="DT80" s="1425"/>
      <c r="DU80" s="271"/>
      <c r="DV80" s="271"/>
      <c r="DW80" s="271"/>
      <c r="DX80" s="271"/>
      <c r="DY80" s="271"/>
      <c r="DZ80" s="271"/>
      <c r="EA80" s="271"/>
      <c r="EB80" s="271"/>
      <c r="EC80" s="271"/>
      <c r="ED80" s="271"/>
      <c r="EE80" s="271"/>
      <c r="EF80" s="271"/>
      <c r="EG80" s="4"/>
      <c r="EH80" s="4"/>
      <c r="EI80" s="6"/>
      <c r="EJ80" s="6"/>
    </row>
    <row r="81" spans="3:140" x14ac:dyDescent="0.2">
      <c r="C81" s="249" t="s">
        <v>101</v>
      </c>
      <c r="D81" s="299">
        <v>8.5566399442314367</v>
      </c>
      <c r="E81" s="299">
        <v>9.942450715220863</v>
      </c>
      <c r="F81" s="299">
        <v>5.4031931383347276</v>
      </c>
      <c r="G81" s="299"/>
      <c r="H81" s="299">
        <f>(H50/D50-1)*100</f>
        <v>4.2536659292532697</v>
      </c>
      <c r="I81" s="299">
        <f>(I50/E50-1)*100</f>
        <v>3.3625168290793983</v>
      </c>
      <c r="J81" s="299">
        <f>(J50/F50-1)*100</f>
        <v>3.8038066652373859</v>
      </c>
      <c r="K81" s="299"/>
      <c r="L81" s="299">
        <f>(L50/H50-1)*100</f>
        <v>6.2692294662408221</v>
      </c>
      <c r="M81" s="299">
        <f>(M50/I50-1)*100</f>
        <v>9.5657579363812815</v>
      </c>
      <c r="N81" s="299">
        <f>(N50/J50-1)*100</f>
        <v>7.914790625377699</v>
      </c>
      <c r="O81" s="299"/>
      <c r="P81" s="299">
        <f>(P50/L50-1)*100</f>
        <v>7.124412771371369</v>
      </c>
      <c r="Q81" s="299">
        <f>(Q50/M50-1)*100</f>
        <v>7.1936178801452089</v>
      </c>
      <c r="R81" s="299">
        <f>(R50/N50-1)*100</f>
        <v>7.1655199887718624</v>
      </c>
      <c r="S81" s="299"/>
      <c r="T81" s="299">
        <f>(T50/P50-1)*100</f>
        <v>5.6337856702269207</v>
      </c>
      <c r="U81" s="299">
        <f>(U50/Q50-1)*100</f>
        <v>3.5758145939097874</v>
      </c>
      <c r="V81" s="299">
        <f>(V50/R50-1)*100</f>
        <v>4.5951625481453373</v>
      </c>
      <c r="W81" s="299"/>
      <c r="X81" s="299">
        <f>(X50/T50-1)*100</f>
        <v>5.3958082827840315</v>
      </c>
      <c r="Y81" s="299">
        <f>(Y50/U50-1)*100</f>
        <v>5.7772630216434973</v>
      </c>
      <c r="Z81" s="299">
        <f>(Z50/V50-1)*100</f>
        <v>5.576550939100744</v>
      </c>
      <c r="AA81" s="299"/>
      <c r="AB81" s="299">
        <f>(AB50/X50-1)*100</f>
        <v>3.4583224997509321</v>
      </c>
      <c r="AC81" s="299">
        <f>(AC50/Y50-1)*100</f>
        <v>1.2320772389941448</v>
      </c>
      <c r="AD81" s="299">
        <f>(AD50/Z50-1)*100</f>
        <v>2.338809283358545</v>
      </c>
      <c r="AE81" s="299"/>
      <c r="AF81" s="299">
        <f>(AF50/AB50-1)*100</f>
        <v>1.4259173573906381</v>
      </c>
      <c r="AG81" s="299">
        <f>(AG50/AC50-1)*100</f>
        <v>1.6174085525932025</v>
      </c>
      <c r="AH81" s="299">
        <f>(AH50/AD50-1)*100</f>
        <v>2.0080443516290014</v>
      </c>
      <c r="AI81" s="299"/>
      <c r="AJ81" s="299">
        <f>(AJ50/AF50-1)*100</f>
        <v>2.1056799866614906</v>
      </c>
      <c r="AK81" s="299">
        <f>(AK50/AG50-1)*100</f>
        <v>4.8485954952968813</v>
      </c>
      <c r="AL81" s="300">
        <f>(AL50/AH50-1)*100</f>
        <v>2.982609952973192</v>
      </c>
      <c r="AM81" s="299"/>
      <c r="AN81" s="299">
        <f>(AN50/AJ50-1)*100</f>
        <v>4.6577082270227388</v>
      </c>
      <c r="AO81" s="299">
        <f>(AO50/AK50-1)*100</f>
        <v>2.6002612964729277</v>
      </c>
      <c r="AP81" s="300">
        <f>(AP50/AL50-1)*100</f>
        <v>3.614516903663767</v>
      </c>
      <c r="AQ81" s="299"/>
      <c r="AR81" s="323">
        <f>(AR50/AN50-1)*100</f>
        <v>9.2256783873861927</v>
      </c>
      <c r="AS81" s="299">
        <f>(AS50/AO50-1)*100</f>
        <v>11.653429510408442</v>
      </c>
      <c r="AT81" s="300">
        <f>(AT50/AP50-1)*100</f>
        <v>10.438717809185615</v>
      </c>
      <c r="AU81" s="299"/>
      <c r="AV81" s="299">
        <f>(AV50/AR50-1)*100</f>
        <v>9.1220847758588075</v>
      </c>
      <c r="AW81" s="299">
        <f>(AW50/AS50-1)*100</f>
        <v>7.3231796968057372</v>
      </c>
      <c r="AX81" s="300">
        <f>(AX50/AT50-1)*100</f>
        <v>8.21337799807187</v>
      </c>
      <c r="AY81" s="299"/>
      <c r="AZ81" s="299">
        <f t="shared" ref="AZ81:BA81" si="123">(AZ50/AV50-1)*100</f>
        <v>3.6968183508222952</v>
      </c>
      <c r="BA81" s="299">
        <f t="shared" si="123"/>
        <v>2.2620242689951775</v>
      </c>
      <c r="BB81" s="300">
        <f>(BB50/AX50-1)*100</f>
        <v>2.97888691514272</v>
      </c>
      <c r="BC81" s="299"/>
      <c r="BD81" s="299">
        <f t="shared" ref="BD81:BE81" si="124">(BD50/AZ50-1)*100</f>
        <v>-0.42377747562227785</v>
      </c>
      <c r="BE81" s="299">
        <f t="shared" si="124"/>
        <v>2.0680067801216451</v>
      </c>
      <c r="BF81" s="1459">
        <f>(BF50/BB50-1)*100</f>
        <v>0.81504285812905586</v>
      </c>
      <c r="BG81" s="299"/>
      <c r="BH81" s="299">
        <f t="shared" ref="BH81:BI81" si="125">(BH50/BD50-1)*100</f>
        <v>8.4928675126050059</v>
      </c>
      <c r="BI81" s="299">
        <f t="shared" si="125"/>
        <v>8.7137118978643624</v>
      </c>
      <c r="BJ81" s="299">
        <f>(BJ50/BF50-1)*100</f>
        <v>8.6188949733050801</v>
      </c>
      <c r="BK81" s="299"/>
      <c r="BL81" s="299">
        <f t="shared" ref="BL81:BM81" si="126">(BL50/BH50-1)*100</f>
        <v>6.6880691928930869</v>
      </c>
      <c r="BM81" s="299">
        <f t="shared" si="126"/>
        <v>6.3257531609233419</v>
      </c>
      <c r="BN81" s="323">
        <f>(BN50/BJ50-1)*100</f>
        <v>6.503905249151698</v>
      </c>
      <c r="BO81" s="299"/>
      <c r="BP81" s="299">
        <f t="shared" ref="BP81" si="127">(BP50/BL50-1)*100</f>
        <v>5.8248498342483579</v>
      </c>
      <c r="BQ81" s="299">
        <f t="shared" ref="BQ81" si="128">(BQ50/BM50-1)*100</f>
        <v>5.2116988437635348</v>
      </c>
      <c r="BR81" s="323">
        <f>(BR50/BN50-1)*100</f>
        <v>5.5137087044358379</v>
      </c>
      <c r="BS81" s="321"/>
      <c r="BT81" s="1351" t="s">
        <v>139</v>
      </c>
      <c r="BU81" s="331"/>
      <c r="BV81" s="1352">
        <f>MODEL!BH65</f>
        <v>1.2609999999999999</v>
      </c>
      <c r="BW81" s="1352">
        <f>MODEL!BI65</f>
        <v>1.2235</v>
      </c>
      <c r="BX81" s="1352">
        <f>MODEL!BJ65</f>
        <v>1.2422499999999999</v>
      </c>
      <c r="BY81" s="1352"/>
      <c r="BZ81" s="1352">
        <f>MODEL!BL65</f>
        <v>1.13635</v>
      </c>
      <c r="CA81" s="1352">
        <f>MODEL!BM65</f>
        <v>1.08145</v>
      </c>
      <c r="CB81" s="1352">
        <f>MODEL!BN65</f>
        <v>1.1089</v>
      </c>
      <c r="CC81" s="1352">
        <f>MODEL!BO65</f>
        <v>0</v>
      </c>
      <c r="CD81" s="1352">
        <f>MODEL!BP65</f>
        <v>1.0606</v>
      </c>
      <c r="CE81" s="1352">
        <f>MODEL!BQ65</f>
        <v>1.0606</v>
      </c>
      <c r="CF81" s="1352">
        <f>MODEL!BR65</f>
        <v>1.0606</v>
      </c>
      <c r="CG81" s="1352">
        <f>MODEL!BS65</f>
        <v>0</v>
      </c>
      <c r="CH81" s="1352">
        <f>MODEL!BT65</f>
        <v>1.0710999999999999</v>
      </c>
      <c r="CI81" s="1352">
        <f>MODEL!BU65</f>
        <v>1.0565</v>
      </c>
      <c r="CJ81" s="1352">
        <f>MODEL!BV65</f>
        <v>1.0638000000000001</v>
      </c>
      <c r="CK81" s="1352"/>
      <c r="CL81" s="1352">
        <f>MODEL!BX65</f>
        <v>1.0431499999999998</v>
      </c>
      <c r="CM81" s="1352">
        <f>MODEL!BY65</f>
        <v>1.0442999999999998</v>
      </c>
      <c r="CN81" s="1352">
        <f>MODEL!BZ65</f>
        <v>1.0437249999999998</v>
      </c>
      <c r="CO81" s="1352"/>
      <c r="CP81" s="1352">
        <f>MODEL!CB65</f>
        <v>1.0737999999999999</v>
      </c>
      <c r="CQ81" s="1352">
        <f>MODEL!CC65</f>
        <v>1.0946</v>
      </c>
      <c r="CR81" s="1352">
        <f>MODEL!CD65</f>
        <v>1.0842000000000001</v>
      </c>
      <c r="CS81" s="1352"/>
      <c r="CT81" s="1352">
        <f>MODEL!CF65</f>
        <v>1.0822000000000001</v>
      </c>
      <c r="CU81" s="1352">
        <f>MODEL!CG65</f>
        <v>1.0510999999999999</v>
      </c>
      <c r="CV81" s="1352">
        <f>MODEL!CH65</f>
        <v>1.0668</v>
      </c>
      <c r="CW81" s="1352"/>
      <c r="CX81" s="1352">
        <f>MODEL!CJ65</f>
        <v>1.0589</v>
      </c>
      <c r="CY81" s="1352">
        <f>MODEL!CK65</f>
        <v>1.0497000000000001</v>
      </c>
      <c r="CZ81" s="1352">
        <f>MODEL!CL65</f>
        <v>1.0589</v>
      </c>
      <c r="DA81" s="1352"/>
      <c r="DB81" s="1352">
        <f>MODEL!CN65</f>
        <v>1.0727</v>
      </c>
      <c r="DC81" s="1352">
        <f>MODEL!CO65</f>
        <v>1.0755999999999999</v>
      </c>
      <c r="DD81" s="1352">
        <f>MODEL!CP65</f>
        <v>1.0742</v>
      </c>
      <c r="DE81" s="1352"/>
      <c r="DF81" s="1352">
        <f>MODEL!CR65</f>
        <v>1.0488999999999999</v>
      </c>
      <c r="DG81" s="1352">
        <f>MODEL!CS65</f>
        <v>1.0849</v>
      </c>
      <c r="DH81" s="1352">
        <f>MODEL!CT65</f>
        <v>1.0667</v>
      </c>
      <c r="DI81" s="1352"/>
      <c r="DJ81" s="1352">
        <f>MODEL!CV65</f>
        <v>1.1019000000000001</v>
      </c>
      <c r="DK81" s="1352">
        <f>MODEL!CW65</f>
        <v>1.083</v>
      </c>
      <c r="DL81" s="1353">
        <f>MODEL!CX65</f>
        <v>1.0926</v>
      </c>
      <c r="DM81" s="1352"/>
      <c r="DN81" s="1352">
        <f>MODEL!CZ65</f>
        <v>1.0804</v>
      </c>
      <c r="DO81" s="1352">
        <f>MODEL!DA65</f>
        <v>1.0812999999999999</v>
      </c>
      <c r="DP81" s="1353">
        <f>MODEL!DB65</f>
        <v>1.0808</v>
      </c>
      <c r="DQ81" s="1352"/>
      <c r="DR81" s="1352">
        <f>MODEL!DD65</f>
        <v>1.0998000000000001</v>
      </c>
      <c r="DS81" s="1352">
        <f>MODEL!DE65</f>
        <v>1.0929</v>
      </c>
      <c r="DT81" s="1353">
        <f>MODEL!DF65</f>
        <v>1.0963000000000001</v>
      </c>
      <c r="DU81" s="1352"/>
      <c r="DV81" s="1352">
        <f>MODEL!DH65</f>
        <v>1.1236999999999999</v>
      </c>
      <c r="DW81" s="1352">
        <f>MODEL!DI65</f>
        <v>1.1644999999999999</v>
      </c>
      <c r="DX81" s="1352">
        <f>MODEL!DJ65</f>
        <v>1.1440999999999999</v>
      </c>
      <c r="DY81" s="1352"/>
      <c r="DZ81" s="1352">
        <f>MODEL!DL65</f>
        <v>1.17</v>
      </c>
      <c r="EA81" s="1352">
        <f>MODEL!DM65</f>
        <v>1.17</v>
      </c>
      <c r="EB81" s="1352">
        <f>MODEL!DN65</f>
        <v>1.17</v>
      </c>
      <c r="EC81" s="1352"/>
      <c r="ED81" s="1352">
        <f>MODEL!DP65</f>
        <v>1.17</v>
      </c>
      <c r="EE81" s="1352">
        <f>MODEL!DQ65</f>
        <v>1.17</v>
      </c>
      <c r="EF81" s="1352">
        <f>MODEL!DR65</f>
        <v>1.17</v>
      </c>
      <c r="EG81" s="4"/>
      <c r="EH81" s="4"/>
      <c r="EI81" s="6"/>
      <c r="EJ81" s="6"/>
    </row>
    <row r="82" spans="3:140" x14ac:dyDescent="0.2">
      <c r="C82" s="119"/>
      <c r="D82" s="119"/>
      <c r="E82" s="119"/>
      <c r="F82" s="119"/>
      <c r="G82" s="119"/>
      <c r="H82" s="119"/>
      <c r="I82" s="119"/>
      <c r="J82" s="119"/>
      <c r="K82" s="119"/>
      <c r="L82" s="119"/>
      <c r="M82" s="119"/>
      <c r="N82" s="119"/>
      <c r="O82" s="119"/>
      <c r="P82" s="119"/>
      <c r="Q82" s="119"/>
      <c r="R82" s="119"/>
      <c r="S82" s="119"/>
      <c r="T82" s="119"/>
      <c r="U82" s="119"/>
      <c r="V82" s="119"/>
      <c r="W82" s="119"/>
      <c r="X82" s="119"/>
      <c r="Y82" s="119"/>
      <c r="Z82" s="119"/>
      <c r="AA82" s="119"/>
      <c r="AB82" s="119"/>
      <c r="AC82" s="119"/>
      <c r="AD82" s="119"/>
      <c r="AE82" s="119"/>
      <c r="AF82" s="119"/>
      <c r="AG82" s="119"/>
      <c r="AH82" s="119"/>
      <c r="AI82" s="119"/>
      <c r="AJ82" s="119"/>
      <c r="AK82" s="119"/>
      <c r="AL82" s="119"/>
      <c r="AM82" s="119"/>
      <c r="AN82" s="119"/>
      <c r="AO82" s="119"/>
      <c r="AP82" s="119"/>
      <c r="AQ82" s="119"/>
      <c r="AR82" s="332"/>
      <c r="AS82" s="119"/>
      <c r="AT82" s="333"/>
      <c r="AU82" s="119"/>
      <c r="AV82" s="119"/>
      <c r="AW82" s="119"/>
      <c r="AX82" s="333"/>
      <c r="AY82" s="119"/>
      <c r="AZ82" s="119"/>
      <c r="BA82" s="119"/>
      <c r="BB82" s="333"/>
      <c r="BC82" s="119"/>
      <c r="BD82" s="119"/>
      <c r="BE82" s="119"/>
      <c r="BF82" s="1356"/>
      <c r="BG82" s="119"/>
      <c r="BH82" s="119"/>
      <c r="BI82" s="1355"/>
      <c r="BJ82" s="1355"/>
      <c r="BK82" s="119"/>
      <c r="BL82" s="119"/>
      <c r="BM82" s="119"/>
      <c r="BN82" s="332"/>
      <c r="BO82" s="119"/>
      <c r="BP82" s="119"/>
      <c r="BQ82" s="119"/>
      <c r="BR82" s="332"/>
      <c r="BS82" s="333"/>
      <c r="BT82" s="1354"/>
      <c r="BU82" s="1355"/>
      <c r="BV82" s="1355"/>
      <c r="BW82" s="1355"/>
      <c r="BX82" s="1355"/>
      <c r="BY82" s="1355"/>
      <c r="BZ82" s="1355"/>
      <c r="CA82" s="1355"/>
      <c r="CB82" s="1355"/>
      <c r="CC82" s="1355"/>
      <c r="CD82" s="1355"/>
      <c r="CE82" s="1355"/>
      <c r="CF82" s="1355"/>
      <c r="CG82" s="1355"/>
      <c r="CH82" s="1355"/>
      <c r="CI82" s="1355"/>
      <c r="CJ82" s="1355"/>
      <c r="CK82" s="1355"/>
      <c r="CL82" s="1355"/>
      <c r="CM82" s="1355"/>
      <c r="CN82" s="1355"/>
      <c r="CO82" s="1355"/>
      <c r="CP82" s="1355"/>
      <c r="CQ82" s="1355"/>
      <c r="CR82" s="1355"/>
      <c r="CS82" s="1355"/>
      <c r="CT82" s="1355"/>
      <c r="CU82" s="1355"/>
      <c r="CV82" s="1355"/>
      <c r="CW82" s="1355"/>
      <c r="CX82" s="1355"/>
      <c r="CY82" s="1355"/>
      <c r="CZ82" s="1355"/>
      <c r="DA82" s="1355"/>
      <c r="DB82" s="1355"/>
      <c r="DC82" s="1355"/>
      <c r="DD82" s="1355"/>
      <c r="DE82" s="1355"/>
      <c r="DF82" s="1355"/>
      <c r="DG82" s="1355"/>
      <c r="DH82" s="1355"/>
      <c r="DI82" s="1355"/>
      <c r="DJ82" s="1355"/>
      <c r="DK82" s="1355"/>
      <c r="DL82" s="1355"/>
      <c r="DM82" s="1355"/>
      <c r="DN82" s="1355"/>
      <c r="DO82" s="1355"/>
      <c r="DP82" s="1356"/>
      <c r="DQ82" s="1355"/>
      <c r="DR82" s="1355"/>
      <c r="DS82" s="1355"/>
      <c r="DT82" s="1356"/>
      <c r="DU82" s="1355"/>
      <c r="DV82" s="1355"/>
      <c r="DW82" s="1355"/>
      <c r="DX82" s="1355"/>
      <c r="DY82" s="1355"/>
      <c r="DZ82" s="1355"/>
      <c r="EA82" s="1355"/>
      <c r="EB82" s="1355"/>
      <c r="EC82" s="1355"/>
      <c r="ED82" s="1355"/>
      <c r="EE82" s="1355"/>
      <c r="EF82" s="1355"/>
      <c r="EG82" s="331"/>
      <c r="EH82" s="4"/>
      <c r="EI82" s="6"/>
      <c r="EJ82" s="6"/>
    </row>
    <row r="83" spans="3:140" x14ac:dyDescent="0.2">
      <c r="BF83" s="1461"/>
      <c r="BS83" s="96"/>
      <c r="EG83" s="59"/>
      <c r="EH83" s="4"/>
      <c r="EI83" s="6"/>
      <c r="EJ83" s="6"/>
    </row>
    <row r="84" spans="3:140" x14ac:dyDescent="0.2">
      <c r="EG84" s="59"/>
      <c r="EH84" s="4"/>
      <c r="EI84" s="6"/>
      <c r="EJ84" s="6"/>
    </row>
    <row r="85" spans="3:140" x14ac:dyDescent="0.2">
      <c r="EG85" s="4"/>
      <c r="EH85" s="4"/>
      <c r="EI85" s="6"/>
      <c r="EJ85" s="6"/>
    </row>
    <row r="86" spans="3:140" x14ac:dyDescent="0.2">
      <c r="C86" s="335"/>
      <c r="D86" s="140"/>
      <c r="E86" s="140"/>
      <c r="F86" s="140"/>
      <c r="G86" s="140"/>
      <c r="H86" s="140"/>
      <c r="I86" s="140"/>
      <c r="J86" s="140"/>
      <c r="K86" s="140"/>
      <c r="L86" s="140"/>
      <c r="M86" s="140"/>
      <c r="N86" s="140"/>
      <c r="O86" s="140"/>
      <c r="P86" s="140"/>
      <c r="Q86" s="140"/>
      <c r="R86" s="140"/>
      <c r="S86" s="140"/>
      <c r="T86" s="140"/>
      <c r="U86" s="140"/>
      <c r="V86" s="140"/>
      <c r="W86" s="140"/>
      <c r="X86" s="140"/>
      <c r="Y86" s="140"/>
      <c r="Z86" s="140"/>
      <c r="AA86" s="140"/>
      <c r="AB86" s="140"/>
      <c r="AC86" s="140"/>
      <c r="AD86" s="140"/>
      <c r="AE86" s="140"/>
      <c r="AF86" s="140"/>
      <c r="AG86" s="140"/>
      <c r="AH86" s="140"/>
      <c r="AI86" s="140"/>
      <c r="AJ86" s="140"/>
      <c r="AK86" s="140"/>
      <c r="AL86" s="336"/>
      <c r="AM86" s="140"/>
      <c r="AN86" s="336"/>
      <c r="AO86" s="336"/>
      <c r="AP86" s="336"/>
      <c r="AQ86" s="140"/>
      <c r="AR86" s="336"/>
      <c r="AS86" s="336"/>
      <c r="AT86" s="336"/>
      <c r="AU86" s="140"/>
      <c r="AV86" s="140"/>
      <c r="AW86" s="140"/>
      <c r="AX86" s="336"/>
      <c r="AY86" s="140"/>
      <c r="AZ86" s="140"/>
      <c r="BA86" s="140"/>
      <c r="BB86" s="336"/>
      <c r="BC86" s="140"/>
      <c r="BD86" s="140"/>
      <c r="BE86" s="140"/>
      <c r="BF86" s="336"/>
      <c r="BG86" s="140"/>
      <c r="BH86" s="140"/>
      <c r="BI86" s="140"/>
      <c r="BJ86" s="336"/>
      <c r="BK86" s="140"/>
      <c r="BL86" s="140"/>
      <c r="BM86" s="140"/>
      <c r="BN86" s="336"/>
      <c r="BO86" s="140"/>
      <c r="BP86" s="140"/>
      <c r="BQ86" s="140"/>
      <c r="BR86" s="336"/>
      <c r="EG86" s="4"/>
      <c r="EH86" s="4"/>
      <c r="EI86" s="6"/>
      <c r="EJ86" s="6"/>
    </row>
    <row r="87" spans="3:140" x14ac:dyDescent="0.2">
      <c r="C87" s="334"/>
      <c r="D87" s="337"/>
      <c r="E87" s="337"/>
      <c r="F87" s="337"/>
      <c r="G87" s="337"/>
      <c r="H87" s="337"/>
      <c r="I87" s="337"/>
      <c r="J87" s="140"/>
      <c r="K87" s="140"/>
      <c r="L87" s="140"/>
      <c r="M87" s="140"/>
      <c r="N87" s="338"/>
      <c r="O87" s="338"/>
      <c r="P87" s="338"/>
      <c r="Q87" s="338"/>
      <c r="R87" s="338"/>
      <c r="S87" s="338"/>
      <c r="T87" s="339"/>
      <c r="U87" s="338"/>
      <c r="V87" s="339"/>
      <c r="W87" s="338"/>
      <c r="X87" s="338"/>
      <c r="Y87" s="338"/>
      <c r="Z87" s="338"/>
      <c r="AA87" s="338"/>
      <c r="AB87" s="338"/>
      <c r="AC87" s="338"/>
      <c r="AD87" s="338"/>
      <c r="AE87" s="338"/>
      <c r="AF87" s="338"/>
      <c r="AG87" s="338"/>
      <c r="AH87" s="338"/>
      <c r="AI87" s="338"/>
      <c r="AJ87" s="338"/>
      <c r="AK87" s="338"/>
      <c r="AL87" s="338"/>
      <c r="AM87" s="338"/>
      <c r="AN87" s="338"/>
      <c r="AO87" s="338"/>
      <c r="AP87" s="338"/>
      <c r="AQ87" s="338"/>
      <c r="AR87" s="338"/>
      <c r="AS87" s="338"/>
      <c r="AT87" s="338"/>
      <c r="AU87" s="338"/>
      <c r="AV87" s="338"/>
      <c r="AW87" s="338"/>
      <c r="AX87" s="338"/>
      <c r="AY87" s="338"/>
      <c r="AZ87" s="338"/>
      <c r="BA87" s="338"/>
      <c r="BB87" s="338"/>
      <c r="BC87" s="338"/>
      <c r="BD87" s="338"/>
      <c r="BE87" s="338"/>
      <c r="BF87" s="338"/>
      <c r="BG87" s="338"/>
      <c r="BH87" s="338"/>
      <c r="BI87" s="338"/>
      <c r="BJ87" s="338"/>
      <c r="BK87" s="338"/>
      <c r="BL87" s="338"/>
      <c r="BM87" s="338"/>
      <c r="BN87" s="338"/>
      <c r="BO87" s="338"/>
      <c r="BP87" s="338"/>
      <c r="BQ87" s="338"/>
      <c r="BR87" s="338"/>
    </row>
    <row r="88" spans="3:140" x14ac:dyDescent="0.2">
      <c r="C88" s="336"/>
      <c r="D88" s="337"/>
      <c r="E88" s="337"/>
      <c r="F88" s="337"/>
      <c r="G88" s="337"/>
      <c r="H88" s="337"/>
      <c r="I88" s="337"/>
      <c r="J88" s="140"/>
      <c r="K88" s="140"/>
      <c r="L88" s="140"/>
      <c r="M88" s="140"/>
      <c r="N88" s="338"/>
      <c r="O88" s="338"/>
      <c r="P88" s="338"/>
      <c r="Q88" s="338"/>
      <c r="R88" s="338"/>
      <c r="S88" s="338"/>
      <c r="T88" s="339"/>
      <c r="U88" s="338"/>
      <c r="V88" s="339"/>
      <c r="W88" s="338"/>
      <c r="X88" s="338"/>
      <c r="Y88" s="338"/>
      <c r="Z88" s="338"/>
      <c r="AA88" s="338"/>
      <c r="AB88" s="338"/>
      <c r="AC88" s="338"/>
      <c r="AD88" s="338"/>
      <c r="AE88" s="338"/>
      <c r="AF88" s="338"/>
      <c r="AG88" s="338"/>
      <c r="AH88" s="338"/>
      <c r="AI88" s="338"/>
      <c r="AJ88" s="338"/>
      <c r="AK88" s="338"/>
      <c r="AL88" s="339"/>
      <c r="AM88" s="338"/>
      <c r="AN88" s="339"/>
      <c r="AO88" s="339"/>
      <c r="AP88" s="339"/>
      <c r="AQ88" s="338"/>
      <c r="AR88" s="339"/>
      <c r="AS88" s="339"/>
      <c r="AT88" s="339"/>
      <c r="AU88" s="338"/>
      <c r="AV88" s="338"/>
      <c r="AW88" s="338"/>
      <c r="AX88" s="339"/>
      <c r="AY88" s="338"/>
      <c r="AZ88" s="338"/>
      <c r="BA88" s="338"/>
      <c r="BB88" s="339"/>
      <c r="BC88" s="338"/>
      <c r="BD88" s="338"/>
      <c r="BE88" s="338"/>
      <c r="BF88" s="339"/>
      <c r="BG88" s="338"/>
      <c r="BH88" s="338"/>
      <c r="BI88" s="338"/>
      <c r="BJ88" s="339"/>
      <c r="BK88" s="338"/>
      <c r="BL88" s="338"/>
      <c r="BM88" s="338"/>
      <c r="BN88" s="339"/>
      <c r="BO88" s="338"/>
      <c r="BP88" s="338"/>
      <c r="BQ88" s="338"/>
      <c r="BR88" s="339"/>
    </row>
    <row r="89" spans="3:140" x14ac:dyDescent="0.2">
      <c r="C89" s="336"/>
      <c r="D89" s="90"/>
      <c r="E89" s="90"/>
      <c r="F89" s="90"/>
      <c r="G89" s="90"/>
      <c r="H89" s="90"/>
      <c r="I89" s="90"/>
      <c r="J89" s="90"/>
      <c r="K89" s="90"/>
      <c r="L89" s="90"/>
      <c r="M89" s="90"/>
      <c r="N89" s="90"/>
      <c r="O89" s="90"/>
      <c r="P89" s="90"/>
      <c r="Q89" s="90"/>
      <c r="R89" s="90"/>
      <c r="S89" s="90"/>
      <c r="T89" s="90"/>
      <c r="U89" s="90"/>
      <c r="V89" s="90"/>
      <c r="W89" s="90"/>
      <c r="X89" s="90"/>
      <c r="Y89" s="90"/>
      <c r="Z89" s="90"/>
      <c r="AA89" s="90"/>
      <c r="AB89" s="90"/>
      <c r="AC89" s="90"/>
      <c r="AD89" s="90"/>
      <c r="AE89" s="90"/>
      <c r="AF89" s="90"/>
      <c r="AG89" s="90"/>
      <c r="AH89" s="90"/>
      <c r="AI89" s="90"/>
      <c r="AJ89" s="90"/>
      <c r="AK89" s="90"/>
      <c r="AL89" s="339"/>
      <c r="AM89" s="90"/>
      <c r="AN89" s="339"/>
      <c r="AO89" s="339"/>
      <c r="AP89" s="339"/>
      <c r="AQ89" s="90"/>
      <c r="AR89" s="339"/>
      <c r="AS89" s="339"/>
      <c r="AT89" s="339"/>
      <c r="AU89" s="90"/>
      <c r="AV89" s="90"/>
      <c r="AW89" s="90"/>
      <c r="AX89" s="339"/>
      <c r="AY89" s="90"/>
      <c r="AZ89" s="90"/>
      <c r="BA89" s="90"/>
      <c r="BB89" s="339"/>
      <c r="BC89" s="90"/>
      <c r="BD89" s="90"/>
      <c r="BE89" s="90"/>
      <c r="BF89" s="339"/>
      <c r="BG89" s="90"/>
      <c r="BH89" s="90"/>
      <c r="BI89" s="90"/>
      <c r="BJ89" s="339"/>
      <c r="BK89" s="90"/>
      <c r="BL89" s="90"/>
      <c r="BM89" s="90"/>
      <c r="BN89" s="339"/>
      <c r="BO89" s="90"/>
      <c r="BP89" s="90"/>
      <c r="BQ89" s="90"/>
      <c r="BR89" s="339"/>
      <c r="BT89" s="90"/>
      <c r="BU89" s="90"/>
      <c r="BV89" s="90"/>
      <c r="BW89" s="90"/>
      <c r="BX89" s="90"/>
      <c r="BY89" s="90"/>
      <c r="BZ89" s="90"/>
      <c r="CA89" s="90"/>
      <c r="CB89" s="90"/>
      <c r="CC89" s="90"/>
      <c r="CD89" s="90"/>
      <c r="CE89" s="90"/>
      <c r="CF89" s="90"/>
      <c r="CG89" s="90"/>
      <c r="CH89" s="90"/>
      <c r="CI89" s="90"/>
      <c r="CJ89" s="90"/>
      <c r="CK89" s="90"/>
      <c r="CL89" s="90"/>
      <c r="CM89" s="90"/>
      <c r="CN89" s="90"/>
      <c r="CO89" s="90"/>
      <c r="CP89" s="90"/>
      <c r="CQ89" s="90"/>
      <c r="CR89" s="90"/>
      <c r="CS89" s="90"/>
      <c r="CT89" s="90"/>
      <c r="CU89" s="90"/>
      <c r="CV89" s="90"/>
      <c r="CW89" s="90"/>
      <c r="CX89" s="90"/>
      <c r="CY89" s="90"/>
      <c r="CZ89" s="90"/>
      <c r="DA89" s="90"/>
      <c r="DB89" s="340">
        <f>DB70-CY70</f>
        <v>547</v>
      </c>
      <c r="DC89" s="340">
        <f>DC70-DB70</f>
        <v>-632</v>
      </c>
      <c r="DD89" s="90"/>
      <c r="DE89" s="341"/>
      <c r="DF89" s="340">
        <f>DF70-DC70</f>
        <v>-249</v>
      </c>
      <c r="DG89" s="340">
        <f>DG70-DF70</f>
        <v>-451</v>
      </c>
      <c r="DH89" s="90"/>
      <c r="DI89" s="341" t="e">
        <f>(#REF!-#REF!)*10000</f>
        <v>#REF!</v>
      </c>
      <c r="DJ89" s="341" t="e">
        <f>(#REF!-#REF!)*10000</f>
        <v>#REF!</v>
      </c>
    </row>
    <row r="90" spans="3:140" x14ac:dyDescent="0.2">
      <c r="C90" s="336"/>
      <c r="D90" s="90"/>
      <c r="E90" s="90"/>
      <c r="F90" s="90"/>
      <c r="G90" s="90"/>
      <c r="H90" s="90"/>
      <c r="I90" s="90"/>
      <c r="J90" s="90"/>
      <c r="K90" s="90"/>
      <c r="L90" s="90"/>
      <c r="M90" s="90"/>
      <c r="N90" s="90"/>
      <c r="O90" s="90"/>
      <c r="P90" s="90"/>
      <c r="Q90" s="90"/>
      <c r="R90" s="90"/>
      <c r="S90" s="90"/>
      <c r="T90" s="90"/>
      <c r="U90" s="90"/>
      <c r="V90" s="90"/>
      <c r="W90" s="90"/>
      <c r="X90" s="90"/>
      <c r="Y90" s="90"/>
      <c r="Z90" s="90"/>
      <c r="AA90" s="90"/>
      <c r="AB90" s="90"/>
      <c r="AC90" s="90"/>
      <c r="AD90" s="90"/>
      <c r="AE90" s="90"/>
      <c r="AF90" s="90"/>
      <c r="AG90" s="90"/>
      <c r="AH90" s="90"/>
      <c r="AI90" s="90"/>
      <c r="AJ90" s="90"/>
      <c r="AK90" s="90"/>
      <c r="AL90" s="339"/>
      <c r="AM90" s="90"/>
      <c r="AN90" s="339"/>
      <c r="AO90" s="339"/>
      <c r="AP90" s="339"/>
      <c r="AQ90" s="90"/>
      <c r="AR90" s="339"/>
      <c r="AS90" s="339"/>
      <c r="AT90" s="339"/>
      <c r="AU90" s="90"/>
      <c r="AV90" s="90"/>
      <c r="AW90" s="90"/>
      <c r="AX90" s="339"/>
      <c r="AY90" s="90"/>
      <c r="AZ90" s="90"/>
      <c r="BA90" s="90"/>
      <c r="BB90" s="339"/>
      <c r="BC90" s="90"/>
      <c r="BD90" s="90"/>
      <c r="BE90" s="90"/>
      <c r="BF90" s="339"/>
      <c r="BG90" s="90"/>
      <c r="BH90" s="90"/>
      <c r="BI90" s="90"/>
      <c r="BJ90" s="339"/>
      <c r="BK90" s="90"/>
      <c r="BL90" s="90"/>
      <c r="BM90" s="90"/>
      <c r="BN90" s="339"/>
      <c r="BO90" s="90"/>
      <c r="BP90" s="90"/>
      <c r="BQ90" s="90"/>
      <c r="BR90" s="339"/>
    </row>
    <row r="91" spans="3:140" x14ac:dyDescent="0.2">
      <c r="C91" s="336"/>
      <c r="D91" s="90"/>
      <c r="E91" s="90"/>
      <c r="F91" s="90"/>
      <c r="G91" s="90"/>
      <c r="H91" s="90"/>
      <c r="I91" s="90"/>
      <c r="J91" s="90"/>
      <c r="K91" s="90"/>
      <c r="L91" s="90"/>
      <c r="M91" s="90"/>
      <c r="N91" s="90"/>
      <c r="O91" s="90"/>
      <c r="P91" s="90"/>
      <c r="Q91" s="90"/>
      <c r="R91" s="90"/>
      <c r="S91" s="90"/>
      <c r="T91" s="90"/>
      <c r="U91" s="90"/>
      <c r="V91" s="90"/>
      <c r="W91" s="90"/>
      <c r="X91" s="90"/>
      <c r="Y91" s="90"/>
      <c r="Z91" s="90"/>
      <c r="AA91" s="90"/>
      <c r="AB91" s="90"/>
      <c r="AC91" s="90"/>
      <c r="AD91" s="90"/>
      <c r="AE91" s="90"/>
      <c r="AF91" s="90"/>
      <c r="AG91" s="90"/>
      <c r="AH91" s="90"/>
      <c r="AI91" s="90"/>
      <c r="AJ91" s="90"/>
      <c r="AK91" s="90"/>
      <c r="AL91" s="339"/>
      <c r="AM91" s="90"/>
      <c r="AN91" s="339"/>
      <c r="AO91" s="339"/>
      <c r="AP91" s="339"/>
      <c r="AQ91" s="90"/>
      <c r="AR91" s="339"/>
      <c r="AS91" s="339"/>
      <c r="AT91" s="339"/>
      <c r="AU91" s="90"/>
      <c r="AV91" s="90"/>
      <c r="AW91" s="90"/>
      <c r="AX91" s="339"/>
      <c r="AY91" s="90"/>
      <c r="AZ91" s="90"/>
      <c r="BA91" s="90"/>
      <c r="BB91" s="339"/>
      <c r="BC91" s="90"/>
      <c r="BD91" s="90"/>
      <c r="BE91" s="90"/>
      <c r="BF91" s="339"/>
      <c r="BG91" s="90"/>
      <c r="BH91" s="90"/>
      <c r="BI91" s="90"/>
      <c r="BJ91" s="339"/>
      <c r="BK91" s="90"/>
      <c r="BL91" s="90"/>
      <c r="BM91" s="90"/>
      <c r="BN91" s="339"/>
      <c r="BO91" s="90"/>
      <c r="BP91" s="90"/>
      <c r="BQ91" s="90"/>
      <c r="BR91" s="339"/>
    </row>
    <row r="92" spans="3:140" x14ac:dyDescent="0.2">
      <c r="C92" s="90"/>
      <c r="D92" s="90"/>
      <c r="E92" s="90"/>
      <c r="F92" s="90"/>
      <c r="G92" s="90"/>
      <c r="H92" s="90"/>
      <c r="I92" s="90"/>
      <c r="J92" s="90"/>
      <c r="K92" s="90"/>
      <c r="L92" s="90"/>
      <c r="M92" s="90"/>
      <c r="N92" s="90"/>
      <c r="O92" s="90"/>
      <c r="P92" s="90"/>
      <c r="Q92" s="90"/>
      <c r="R92" s="90"/>
      <c r="S92" s="90"/>
      <c r="T92" s="90"/>
      <c r="U92" s="90"/>
      <c r="V92" s="90"/>
      <c r="W92" s="90"/>
      <c r="X92" s="90"/>
      <c r="Y92" s="90"/>
      <c r="Z92" s="90"/>
      <c r="AA92" s="90"/>
      <c r="AB92" s="90"/>
      <c r="AC92" s="90"/>
      <c r="AD92" s="90"/>
      <c r="AE92" s="90"/>
      <c r="AF92" s="90"/>
      <c r="AG92" s="90"/>
      <c r="AH92" s="90"/>
      <c r="AI92" s="90"/>
      <c r="AJ92" s="90"/>
      <c r="AK92" s="90"/>
      <c r="AL92" s="342"/>
      <c r="AM92" s="90"/>
      <c r="AN92" s="343"/>
      <c r="AO92" s="343"/>
      <c r="AP92" s="342"/>
      <c r="AQ92" s="90"/>
      <c r="AR92" s="343"/>
      <c r="AS92" s="343"/>
      <c r="AT92" s="342"/>
      <c r="AU92" s="90"/>
      <c r="AV92" s="90"/>
      <c r="AW92" s="90"/>
      <c r="AX92" s="342"/>
      <c r="AY92" s="90"/>
      <c r="AZ92" s="90"/>
      <c r="BA92" s="90"/>
      <c r="BB92" s="342"/>
      <c r="BC92" s="90"/>
      <c r="BD92" s="90"/>
      <c r="BE92" s="90"/>
      <c r="BF92" s="342"/>
      <c r="BG92" s="90"/>
      <c r="BH92" s="90"/>
      <c r="BI92" s="90"/>
      <c r="BJ92" s="342"/>
      <c r="BK92" s="90"/>
      <c r="BL92" s="90"/>
      <c r="BM92" s="90"/>
      <c r="BN92" s="342"/>
      <c r="BO92" s="90"/>
      <c r="BP92" s="90"/>
      <c r="BQ92" s="90"/>
      <c r="BR92" s="342"/>
    </row>
    <row r="93" spans="3:140" x14ac:dyDescent="0.2">
      <c r="C93" s="334"/>
      <c r="D93" s="90"/>
      <c r="E93" s="90"/>
      <c r="F93" s="90"/>
      <c r="G93" s="90"/>
      <c r="H93" s="90"/>
      <c r="I93" s="90"/>
      <c r="J93" s="90"/>
      <c r="K93" s="90"/>
      <c r="L93" s="90"/>
      <c r="M93" s="90"/>
      <c r="N93" s="90"/>
      <c r="O93" s="90"/>
      <c r="P93" s="90"/>
      <c r="Q93" s="90"/>
      <c r="R93" s="90"/>
      <c r="S93" s="90"/>
      <c r="T93" s="90"/>
      <c r="U93" s="90"/>
      <c r="V93" s="90"/>
      <c r="W93" s="90"/>
      <c r="X93" s="90"/>
      <c r="Y93" s="90"/>
      <c r="Z93" s="90"/>
      <c r="AA93" s="90"/>
      <c r="AB93" s="90"/>
      <c r="AC93" s="90"/>
      <c r="AD93" s="90"/>
      <c r="AE93" s="90"/>
      <c r="AF93" s="90"/>
      <c r="AG93" s="90"/>
      <c r="AH93" s="90"/>
      <c r="AI93" s="90"/>
      <c r="AJ93" s="90"/>
      <c r="AK93" s="90"/>
      <c r="AL93" s="90"/>
      <c r="AM93" s="90"/>
      <c r="AN93" s="90"/>
      <c r="AO93" s="90"/>
      <c r="AP93" s="90"/>
      <c r="AQ93" s="90"/>
      <c r="AR93" s="90"/>
      <c r="AS93" s="90"/>
      <c r="AT93" s="90"/>
      <c r="AU93" s="90"/>
      <c r="AV93" s="90"/>
      <c r="AW93" s="90"/>
      <c r="AX93" s="90"/>
      <c r="AY93" s="90"/>
      <c r="AZ93" s="90"/>
      <c r="BA93" s="90"/>
      <c r="BB93" s="90"/>
      <c r="BC93" s="90"/>
      <c r="BD93" s="90"/>
      <c r="BE93" s="90"/>
      <c r="BF93" s="90"/>
      <c r="BG93" s="90"/>
      <c r="BH93" s="90"/>
      <c r="BI93" s="90"/>
      <c r="BJ93" s="90"/>
      <c r="BK93" s="90"/>
      <c r="BL93" s="90"/>
      <c r="BM93" s="90"/>
      <c r="BN93" s="90"/>
      <c r="BO93" s="90"/>
      <c r="BP93" s="90"/>
      <c r="BQ93" s="90"/>
      <c r="BR93" s="90"/>
    </row>
    <row r="94" spans="3:140" x14ac:dyDescent="0.2">
      <c r="C94" s="344"/>
      <c r="D94" s="90"/>
      <c r="E94" s="90"/>
      <c r="F94" s="90"/>
      <c r="G94" s="90"/>
      <c r="H94" s="90"/>
      <c r="I94" s="90"/>
      <c r="J94" s="90"/>
      <c r="K94" s="90"/>
      <c r="L94" s="90"/>
      <c r="M94" s="90"/>
      <c r="N94" s="90"/>
      <c r="O94" s="90"/>
      <c r="P94" s="90"/>
      <c r="Q94" s="90"/>
      <c r="R94" s="90"/>
      <c r="S94" s="90"/>
      <c r="T94" s="90"/>
      <c r="U94" s="90"/>
      <c r="V94" s="90"/>
      <c r="W94" s="90"/>
      <c r="X94" s="90"/>
      <c r="Y94" s="90"/>
      <c r="Z94" s="90"/>
      <c r="AA94" s="90"/>
      <c r="AB94" s="90"/>
      <c r="AC94" s="90"/>
      <c r="AD94" s="90"/>
      <c r="AE94" s="90"/>
      <c r="AF94" s="90"/>
      <c r="AG94" s="90"/>
      <c r="AH94" s="90"/>
      <c r="AI94" s="90"/>
      <c r="AJ94" s="90"/>
      <c r="AK94" s="339"/>
      <c r="AL94" s="90"/>
      <c r="AM94" s="90"/>
      <c r="AN94" s="339"/>
      <c r="AO94" s="339"/>
      <c r="AP94" s="90"/>
      <c r="AQ94" s="90"/>
      <c r="AR94" s="339"/>
      <c r="AS94" s="339"/>
      <c r="AT94" s="90"/>
      <c r="AU94" s="90"/>
      <c r="AV94" s="90"/>
      <c r="AW94" s="90"/>
      <c r="AX94" s="90"/>
      <c r="AY94" s="90"/>
      <c r="AZ94" s="90"/>
      <c r="BA94" s="90"/>
      <c r="BB94" s="90"/>
      <c r="BC94" s="90"/>
      <c r="BD94" s="90"/>
      <c r="BE94" s="90"/>
      <c r="BF94" s="90"/>
      <c r="BG94" s="90"/>
      <c r="BH94" s="90"/>
      <c r="BI94" s="90"/>
      <c r="BJ94" s="90"/>
      <c r="BK94" s="90"/>
      <c r="BL94" s="90"/>
      <c r="BM94" s="90"/>
      <c r="BN94" s="90"/>
      <c r="BO94" s="90"/>
      <c r="BP94" s="90"/>
      <c r="BQ94" s="90"/>
      <c r="BR94" s="90"/>
    </row>
    <row r="95" spans="3:140" x14ac:dyDescent="0.2">
      <c r="C95" s="344"/>
      <c r="D95" s="90"/>
      <c r="E95" s="90"/>
      <c r="F95" s="90"/>
      <c r="G95" s="90"/>
      <c r="H95" s="90"/>
      <c r="I95" s="90"/>
      <c r="J95" s="90"/>
      <c r="K95" s="90"/>
      <c r="L95" s="90"/>
      <c r="M95" s="90"/>
      <c r="N95" s="90"/>
      <c r="O95" s="90"/>
      <c r="P95" s="90"/>
      <c r="Q95" s="90"/>
      <c r="R95" s="90"/>
      <c r="S95" s="90"/>
      <c r="T95" s="90"/>
      <c r="U95" s="90"/>
      <c r="V95" s="90"/>
      <c r="W95" s="90"/>
      <c r="X95" s="345"/>
      <c r="Y95" s="345"/>
      <c r="Z95" s="346"/>
      <c r="AA95" s="90"/>
      <c r="AB95" s="90"/>
      <c r="AC95" s="90"/>
      <c r="AD95" s="90"/>
      <c r="AE95" s="90"/>
      <c r="AF95" s="90"/>
      <c r="AG95" s="90"/>
      <c r="AH95" s="90"/>
      <c r="AI95" s="90"/>
      <c r="AJ95" s="90"/>
      <c r="AK95" s="339"/>
      <c r="AL95" s="90"/>
      <c r="AM95" s="90"/>
      <c r="AN95" s="339"/>
      <c r="AO95" s="339"/>
      <c r="AP95" s="90"/>
      <c r="AQ95" s="90"/>
      <c r="AR95" s="339"/>
      <c r="AS95" s="339"/>
      <c r="AT95" s="90"/>
      <c r="AU95" s="90"/>
      <c r="AV95" s="90"/>
      <c r="AW95" s="90"/>
      <c r="AX95" s="90"/>
      <c r="AY95" s="90"/>
      <c r="AZ95" s="90"/>
      <c r="BA95" s="90"/>
      <c r="BB95" s="90"/>
      <c r="BC95" s="90"/>
      <c r="BD95" s="90"/>
      <c r="BE95" s="90"/>
      <c r="BF95" s="90"/>
      <c r="BG95" s="90"/>
      <c r="BH95" s="90"/>
      <c r="BI95" s="90"/>
      <c r="BJ95" s="90"/>
      <c r="BK95" s="90"/>
      <c r="BL95" s="90"/>
      <c r="BM95" s="90"/>
      <c r="BN95" s="90"/>
      <c r="BO95" s="90"/>
      <c r="BP95" s="90"/>
      <c r="BQ95" s="90"/>
      <c r="BR95" s="90"/>
    </row>
    <row r="96" spans="3:140" x14ac:dyDescent="0.2">
      <c r="C96" s="344"/>
      <c r="D96" s="90"/>
      <c r="E96" s="90"/>
      <c r="F96" s="90"/>
      <c r="G96" s="90"/>
      <c r="H96" s="90"/>
      <c r="I96" s="90"/>
      <c r="J96" s="90"/>
      <c r="K96" s="90"/>
      <c r="L96" s="90"/>
      <c r="M96" s="90"/>
      <c r="N96" s="90"/>
      <c r="O96" s="90"/>
      <c r="P96" s="90"/>
      <c r="Q96" s="90"/>
      <c r="R96" s="90"/>
      <c r="S96" s="90"/>
      <c r="T96" s="90"/>
      <c r="U96" s="90"/>
      <c r="V96" s="90"/>
      <c r="W96" s="90"/>
      <c r="X96" s="339"/>
      <c r="Y96" s="339"/>
      <c r="Z96" s="339"/>
      <c r="AA96" s="90"/>
      <c r="AB96" s="90"/>
      <c r="AC96" s="90"/>
      <c r="AD96" s="90"/>
      <c r="AE96" s="90"/>
      <c r="AF96" s="90"/>
      <c r="AG96" s="90"/>
      <c r="AH96" s="90"/>
      <c r="AI96" s="90"/>
      <c r="AJ96" s="90"/>
      <c r="AK96" s="339"/>
      <c r="AL96" s="90"/>
      <c r="AM96" s="90"/>
      <c r="AN96" s="339"/>
      <c r="AO96" s="339"/>
      <c r="AP96" s="90"/>
      <c r="AQ96" s="90"/>
      <c r="AR96" s="339"/>
      <c r="AS96" s="339"/>
      <c r="AT96" s="90"/>
      <c r="AU96" s="90"/>
      <c r="AV96" s="90"/>
      <c r="AW96" s="90"/>
      <c r="AX96" s="90"/>
      <c r="AY96" s="90"/>
      <c r="AZ96" s="90"/>
      <c r="BA96" s="90"/>
      <c r="BB96" s="90"/>
      <c r="BC96" s="90"/>
      <c r="BD96" s="90"/>
      <c r="BE96" s="90"/>
      <c r="BF96" s="90"/>
      <c r="BG96" s="90"/>
      <c r="BH96" s="90"/>
      <c r="BI96" s="90"/>
      <c r="BJ96" s="90"/>
      <c r="BK96" s="90"/>
      <c r="BL96" s="90"/>
      <c r="BM96" s="90"/>
      <c r="BN96" s="90"/>
      <c r="BO96" s="90"/>
      <c r="BP96" s="90"/>
      <c r="BQ96" s="90"/>
      <c r="BR96" s="90"/>
    </row>
    <row r="97" spans="3:70" x14ac:dyDescent="0.2">
      <c r="C97" s="344"/>
      <c r="D97" s="90"/>
      <c r="E97" s="90"/>
      <c r="F97" s="90"/>
      <c r="G97" s="90"/>
      <c r="H97" s="90"/>
      <c r="I97" s="90"/>
      <c r="J97" s="90"/>
      <c r="K97" s="90"/>
      <c r="L97" s="90"/>
      <c r="M97" s="90"/>
      <c r="N97" s="90"/>
      <c r="O97" s="90"/>
      <c r="P97" s="90"/>
      <c r="Q97" s="90"/>
      <c r="R97" s="90"/>
      <c r="S97" s="90"/>
      <c r="T97" s="90"/>
      <c r="U97" s="90"/>
      <c r="V97" s="90"/>
      <c r="W97" s="90"/>
      <c r="X97" s="90"/>
      <c r="Y97" s="90"/>
      <c r="Z97" s="90"/>
      <c r="AA97" s="90"/>
      <c r="AB97" s="90"/>
      <c r="AC97" s="90"/>
      <c r="AD97" s="90"/>
      <c r="AE97" s="90"/>
      <c r="AF97" s="90"/>
      <c r="AG97" s="90"/>
      <c r="AH97" s="90"/>
      <c r="AI97" s="90"/>
      <c r="AJ97" s="90"/>
      <c r="AK97" s="339"/>
      <c r="AL97" s="90"/>
      <c r="AM97" s="90"/>
      <c r="AN97" s="339"/>
      <c r="AO97" s="339"/>
      <c r="AP97" s="90"/>
      <c r="AQ97" s="90"/>
      <c r="AR97" s="339"/>
      <c r="AS97" s="339"/>
      <c r="AT97" s="90"/>
      <c r="AU97" s="90"/>
      <c r="AV97" s="90"/>
      <c r="AW97" s="90"/>
      <c r="AX97" s="90"/>
      <c r="AY97" s="90"/>
      <c r="AZ97" s="90"/>
      <c r="BA97" s="90"/>
      <c r="BB97" s="90"/>
      <c r="BC97" s="90"/>
      <c r="BD97" s="90"/>
      <c r="BE97" s="90"/>
      <c r="BF97" s="90"/>
      <c r="BG97" s="90"/>
      <c r="BH97" s="90"/>
      <c r="BI97" s="90"/>
      <c r="BJ97" s="90"/>
      <c r="BK97" s="90"/>
      <c r="BL97" s="90"/>
      <c r="BM97" s="90"/>
      <c r="BN97" s="90"/>
      <c r="BO97" s="90"/>
      <c r="BP97" s="90"/>
      <c r="BQ97" s="90"/>
      <c r="BR97" s="90"/>
    </row>
    <row r="98" spans="3:70" x14ac:dyDescent="0.2">
      <c r="C98" s="90"/>
      <c r="AN98" s="339"/>
      <c r="AO98" s="339"/>
      <c r="AP98" s="90"/>
      <c r="AQ98" s="90"/>
      <c r="AR98" s="339"/>
      <c r="AS98" s="339"/>
    </row>
    <row r="99" spans="3:70" x14ac:dyDescent="0.2">
      <c r="C99" s="90"/>
      <c r="D99" s="90"/>
      <c r="E99" s="90"/>
      <c r="F99" s="90"/>
      <c r="G99" s="90"/>
      <c r="H99" s="90"/>
      <c r="I99" s="90"/>
      <c r="J99" s="90"/>
      <c r="K99" s="90"/>
      <c r="L99" s="90"/>
      <c r="M99" s="90"/>
      <c r="N99" s="90"/>
      <c r="O99" s="90"/>
      <c r="P99" s="90"/>
      <c r="Q99" s="90"/>
      <c r="R99" s="90"/>
      <c r="S99" s="90"/>
      <c r="T99" s="90"/>
      <c r="U99" s="90"/>
      <c r="V99" s="90"/>
      <c r="W99" s="90"/>
      <c r="X99" s="90"/>
      <c r="Y99" s="90"/>
      <c r="Z99" s="90"/>
      <c r="AA99" s="90"/>
      <c r="AB99" s="90"/>
      <c r="AC99" s="90"/>
      <c r="AD99" s="90"/>
      <c r="AE99" s="90"/>
      <c r="AF99" s="90"/>
      <c r="AG99" s="90"/>
      <c r="AH99" s="90"/>
      <c r="AI99" s="90"/>
      <c r="AJ99" s="90"/>
      <c r="AK99" s="90"/>
      <c r="AL99" s="90"/>
      <c r="AM99" s="90"/>
      <c r="AN99" s="339"/>
      <c r="AO99" s="339"/>
      <c r="AP99" s="90"/>
      <c r="AQ99" s="90"/>
      <c r="AR99" s="339"/>
      <c r="AS99" s="339"/>
    </row>
    <row r="100" spans="3:70" x14ac:dyDescent="0.2">
      <c r="C100" s="90"/>
      <c r="D100" s="90"/>
      <c r="E100" s="90"/>
      <c r="F100" s="90"/>
      <c r="G100" s="90"/>
      <c r="H100" s="90"/>
      <c r="I100" s="90"/>
      <c r="J100" s="90"/>
      <c r="K100" s="90"/>
      <c r="L100" s="90"/>
      <c r="M100" s="90"/>
      <c r="N100" s="90"/>
      <c r="O100" s="90"/>
      <c r="P100" s="90"/>
      <c r="Q100" s="90"/>
      <c r="R100" s="90"/>
      <c r="S100" s="90"/>
      <c r="T100" s="90"/>
      <c r="U100" s="90"/>
      <c r="V100" s="90"/>
      <c r="W100" s="90"/>
      <c r="X100" s="90"/>
      <c r="Y100" s="90"/>
      <c r="Z100" s="90"/>
      <c r="AA100" s="90"/>
      <c r="AB100" s="90"/>
      <c r="AC100" s="90"/>
      <c r="AD100" s="90"/>
      <c r="AE100" s="90"/>
      <c r="AF100" s="90"/>
      <c r="AG100" s="90"/>
      <c r="AH100" s="90"/>
      <c r="AI100" s="90"/>
      <c r="AJ100" s="90"/>
      <c r="AK100" s="90"/>
      <c r="AL100" s="90"/>
      <c r="AM100" s="90"/>
      <c r="AN100" s="339"/>
      <c r="AO100" s="339"/>
      <c r="AP100" s="90"/>
      <c r="AQ100" s="90"/>
      <c r="AR100" s="339"/>
      <c r="AS100" s="339"/>
    </row>
    <row r="101" spans="3:70" x14ac:dyDescent="0.2">
      <c r="C101" s="90"/>
      <c r="D101" s="90"/>
      <c r="E101" s="90"/>
      <c r="F101" s="90"/>
      <c r="G101" s="90"/>
      <c r="H101" s="90"/>
      <c r="I101" s="90"/>
      <c r="J101" s="90"/>
      <c r="K101" s="90"/>
      <c r="L101" s="90"/>
      <c r="M101" s="90"/>
      <c r="N101" s="90"/>
      <c r="O101" s="90"/>
      <c r="P101" s="90"/>
      <c r="Q101" s="90"/>
      <c r="R101" s="90"/>
      <c r="S101" s="90"/>
      <c r="T101" s="90"/>
      <c r="U101" s="90"/>
      <c r="V101" s="90"/>
      <c r="W101" s="90"/>
      <c r="X101" s="90"/>
      <c r="Y101" s="90"/>
      <c r="Z101" s="90"/>
      <c r="AA101" s="90"/>
      <c r="AB101" s="90"/>
      <c r="AC101" s="90"/>
      <c r="AD101" s="90"/>
      <c r="AE101" s="90"/>
      <c r="AF101" s="90"/>
      <c r="AG101" s="90"/>
      <c r="AH101" s="90"/>
      <c r="AI101" s="90"/>
      <c r="AJ101" s="90"/>
      <c r="AK101" s="90"/>
      <c r="AL101" s="90"/>
      <c r="AM101" s="90"/>
      <c r="AN101" s="339"/>
      <c r="AO101" s="339"/>
      <c r="AP101" s="90"/>
      <c r="AQ101" s="90"/>
      <c r="AR101" s="339"/>
      <c r="AS101" s="339"/>
    </row>
    <row r="102" spans="3:70" x14ac:dyDescent="0.2">
      <c r="C102" s="90"/>
      <c r="D102" s="90"/>
      <c r="E102" s="90"/>
      <c r="F102" s="90"/>
      <c r="G102" s="90"/>
      <c r="H102" s="90"/>
      <c r="I102" s="90"/>
      <c r="J102" s="90"/>
      <c r="K102" s="90"/>
      <c r="L102" s="90"/>
      <c r="M102" s="90"/>
      <c r="N102" s="90"/>
      <c r="O102" s="90"/>
      <c r="P102" s="90"/>
      <c r="Q102" s="90"/>
      <c r="R102" s="90"/>
      <c r="S102" s="90"/>
      <c r="T102" s="90"/>
      <c r="U102" s="90"/>
      <c r="V102" s="90"/>
      <c r="W102" s="90"/>
      <c r="X102" s="90"/>
      <c r="Y102" s="90"/>
      <c r="Z102" s="90"/>
      <c r="AA102" s="90"/>
      <c r="AB102" s="90"/>
      <c r="AC102" s="90"/>
      <c r="AD102" s="90"/>
      <c r="AE102" s="90"/>
      <c r="AF102" s="90"/>
      <c r="AG102" s="90"/>
      <c r="AH102" s="90"/>
      <c r="AI102" s="90"/>
      <c r="AJ102" s="90"/>
      <c r="AK102" s="90"/>
      <c r="AL102" s="90"/>
      <c r="AM102" s="90"/>
      <c r="AN102" s="341"/>
      <c r="AO102" s="341"/>
      <c r="AP102" s="90"/>
      <c r="AQ102" s="90"/>
      <c r="AR102" s="341"/>
      <c r="AS102" s="341"/>
    </row>
    <row r="103" spans="3:70" x14ac:dyDescent="0.2">
      <c r="C103" s="344"/>
      <c r="D103" s="90"/>
      <c r="E103" s="90"/>
      <c r="F103" s="90"/>
      <c r="G103" s="90"/>
      <c r="H103" s="90"/>
      <c r="I103" s="90"/>
      <c r="J103" s="90"/>
      <c r="K103" s="90"/>
      <c r="L103" s="90"/>
      <c r="M103" s="90"/>
      <c r="N103" s="90"/>
      <c r="O103" s="90"/>
      <c r="P103" s="90"/>
      <c r="Q103" s="90"/>
      <c r="R103" s="90"/>
      <c r="S103" s="90"/>
      <c r="T103" s="90"/>
      <c r="U103" s="90"/>
      <c r="V103" s="90"/>
      <c r="W103" s="90"/>
      <c r="X103" s="90"/>
      <c r="Y103" s="90"/>
      <c r="Z103" s="90"/>
      <c r="AA103" s="90"/>
      <c r="AB103" s="90"/>
      <c r="AC103" s="90"/>
      <c r="AD103" s="90"/>
      <c r="AE103" s="90"/>
      <c r="AF103" s="90"/>
      <c r="AG103" s="90"/>
      <c r="AH103" s="90"/>
      <c r="AI103" s="90"/>
      <c r="AJ103" s="90"/>
      <c r="AK103" s="339"/>
      <c r="AL103" s="90"/>
      <c r="AM103" s="90"/>
      <c r="AN103" s="339"/>
      <c r="AO103" s="339"/>
      <c r="AP103" s="90"/>
      <c r="AQ103" s="90"/>
      <c r="AR103" s="339"/>
      <c r="AS103" s="339"/>
    </row>
  </sheetData>
  <hyperlinks>
    <hyperlink ref="EF3" r:id="rId1" xr:uid="{B2271421-B05A-4D74-A0D5-B43C8133CCA9}"/>
  </hyperlinks>
  <pageMargins left="0" right="0" top="0" bottom="0" header="0" footer="0"/>
  <pageSetup paperSize="9" scale="50" orientation="landscape" r:id="rId2"/>
  <headerFooter alignWithMargins="0"/>
  <drawing r:id="rId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D09D6E8-8C9B-4297-910F-E475934BCDEA}">
  <sheetPr codeName="Sheet4">
    <tabColor indexed="22"/>
  </sheetPr>
  <dimension ref="A1:JD1432"/>
  <sheetViews>
    <sheetView zoomScaleNormal="100" workbookViewId="0">
      <pane xSplit="1" ySplit="10" topLeftCell="CV47" activePane="bottomRight" state="frozen"/>
      <selection pane="topRight" activeCell="B1" sqref="B1"/>
      <selection pane="bottomLeft" activeCell="A11" sqref="A11"/>
      <selection pane="bottomRight" activeCell="DH7" sqref="DH7"/>
    </sheetView>
  </sheetViews>
  <sheetFormatPr defaultColWidth="9.140625" defaultRowHeight="12.75" x14ac:dyDescent="0.2"/>
  <cols>
    <col min="1" max="1" width="39.42578125" style="1" customWidth="1"/>
    <col min="2" max="3" width="9.140625" style="1"/>
    <col min="4" max="53" width="9.28515625" style="1" hidden="1" customWidth="1"/>
    <col min="54" max="54" width="16.7109375" style="1" hidden="1" customWidth="1"/>
    <col min="55" max="55" width="16.28515625" style="1" hidden="1" customWidth="1"/>
    <col min="56" max="59" width="9.140625" style="1"/>
    <col min="60" max="60" width="9.28515625" style="1" customWidth="1"/>
    <col min="61" max="61" width="9.140625" style="1"/>
    <col min="62" max="62" width="9.42578125" style="1" customWidth="1"/>
    <col min="63" max="63" width="9.140625" style="1"/>
    <col min="64" max="64" width="9.28515625" style="1" customWidth="1"/>
    <col min="65" max="68" width="9.140625" style="1"/>
    <col min="69" max="69" width="9.5703125" style="1" customWidth="1"/>
    <col min="70" max="70" width="9.7109375" style="1" customWidth="1"/>
    <col min="71" max="75" width="9.140625" style="1"/>
    <col min="76" max="76" width="9.28515625" style="1" customWidth="1"/>
    <col min="77" max="77" width="8.42578125" style="1" customWidth="1"/>
    <col min="78" max="79" width="9.140625" style="1"/>
    <col min="80" max="80" width="9.7109375" style="1" customWidth="1"/>
    <col min="81" max="81" width="8.7109375" style="1" customWidth="1"/>
    <col min="82" max="82" width="10.5703125" style="1" customWidth="1"/>
    <col min="83" max="83" width="8.140625" style="1" customWidth="1"/>
    <col min="84" max="85" width="9" style="1" customWidth="1"/>
    <col min="86" max="87" width="9.140625" style="1"/>
    <col min="88" max="88" width="9.85546875" style="1" customWidth="1"/>
    <col min="89" max="89" width="10.140625" style="1" customWidth="1"/>
    <col min="90" max="90" width="9.5703125" style="1" customWidth="1"/>
    <col min="91" max="91" width="9.140625" style="1"/>
    <col min="92" max="92" width="9.140625" style="1" customWidth="1"/>
    <col min="93" max="94" width="9.5703125" style="1" customWidth="1"/>
    <col min="95" max="95" width="9.140625" style="1"/>
    <col min="96" max="96" width="10.5703125" style="1" customWidth="1"/>
    <col min="97" max="99" width="9.140625" style="1"/>
    <col min="100" max="100" width="10.42578125" style="1" customWidth="1"/>
    <col min="101" max="101" width="11.140625" style="1" customWidth="1"/>
    <col min="102" max="103" width="9.140625" style="1"/>
    <col min="104" max="104" width="10.5703125" style="1" customWidth="1"/>
    <col min="105" max="106" width="9.140625" style="1"/>
    <col min="107" max="107" width="7.85546875" style="1" customWidth="1"/>
    <col min="108" max="109" width="9.140625" style="1"/>
    <col min="110" max="110" width="10.42578125" style="1" customWidth="1"/>
    <col min="111" max="111" width="7.85546875" style="1" customWidth="1"/>
    <col min="112" max="112" width="10.28515625" style="1" customWidth="1"/>
    <col min="113" max="16384" width="9.140625" style="1"/>
  </cols>
  <sheetData>
    <row r="1" spans="1:264" s="350" customFormat="1" x14ac:dyDescent="0.2">
      <c r="A1" s="347"/>
      <c r="B1" s="348"/>
      <c r="C1" s="347"/>
      <c r="D1" s="347"/>
      <c r="E1" s="347"/>
      <c r="F1" s="347"/>
      <c r="G1" s="347"/>
      <c r="H1" s="347"/>
      <c r="I1" s="347"/>
      <c r="J1" s="347"/>
      <c r="K1" s="347"/>
      <c r="L1" s="347"/>
      <c r="M1" s="347"/>
      <c r="N1" s="347"/>
      <c r="O1" s="347"/>
      <c r="P1" s="347"/>
      <c r="Q1" s="347"/>
      <c r="R1" s="347"/>
      <c r="S1" s="347"/>
      <c r="T1" s="347"/>
      <c r="U1" s="347"/>
      <c r="V1" s="347"/>
      <c r="W1" s="347"/>
      <c r="X1" s="347"/>
      <c r="Y1" s="347"/>
      <c r="Z1" s="347"/>
      <c r="AA1" s="347"/>
      <c r="AB1" s="347"/>
      <c r="AC1" s="347"/>
      <c r="AD1" s="347"/>
      <c r="AE1" s="347"/>
      <c r="AF1" s="347"/>
      <c r="AG1" s="347"/>
      <c r="AH1" s="347"/>
      <c r="AI1" s="347"/>
      <c r="AJ1" s="347"/>
      <c r="AK1" s="347"/>
      <c r="AL1" s="347"/>
      <c r="AM1" s="347"/>
      <c r="AN1" s="347"/>
      <c r="AO1" s="347"/>
      <c r="AP1" s="347"/>
      <c r="AQ1" s="347"/>
      <c r="AR1" s="347"/>
      <c r="AS1" s="347"/>
      <c r="AT1" s="347"/>
      <c r="AU1" s="347"/>
      <c r="AV1" s="347"/>
      <c r="AW1" s="347"/>
      <c r="AX1" s="347"/>
      <c r="AY1" s="347"/>
      <c r="AZ1" s="347"/>
      <c r="BA1" s="347"/>
      <c r="BB1" s="347"/>
      <c r="BC1" s="347"/>
      <c r="BD1" s="347"/>
      <c r="BE1" s="347"/>
      <c r="BF1" s="347"/>
      <c r="BG1" s="347"/>
      <c r="BH1" s="349"/>
      <c r="BI1" s="349"/>
      <c r="BJ1" s="349"/>
      <c r="BK1" s="348"/>
      <c r="BL1" s="349"/>
      <c r="BM1" s="349"/>
      <c r="BN1" s="349"/>
      <c r="BO1" s="348"/>
      <c r="BP1" s="348"/>
      <c r="BQ1" s="347"/>
      <c r="BR1" s="347"/>
      <c r="BS1" s="347"/>
      <c r="BT1" s="347"/>
      <c r="BU1" s="347"/>
      <c r="BV1" s="347"/>
      <c r="BW1" s="347"/>
      <c r="BX1" s="347"/>
      <c r="BY1" s="347"/>
      <c r="BZ1" s="347"/>
      <c r="CA1" s="347"/>
      <c r="CB1" s="347"/>
      <c r="CC1" s="347"/>
      <c r="CD1" s="347"/>
      <c r="CE1" s="347"/>
      <c r="CF1" s="347"/>
      <c r="CG1" s="347"/>
      <c r="CH1" s="347"/>
      <c r="CI1" s="347"/>
      <c r="CJ1" s="347"/>
      <c r="CK1" s="347"/>
      <c r="CL1" s="347"/>
      <c r="CM1" s="347"/>
      <c r="CN1" s="347"/>
      <c r="CO1" s="347"/>
      <c r="CP1" s="347"/>
      <c r="CQ1" s="347"/>
      <c r="CR1" s="347"/>
      <c r="CS1" s="347"/>
      <c r="CT1" s="347"/>
      <c r="CU1" s="347"/>
      <c r="CV1" s="347"/>
      <c r="CW1" s="347"/>
      <c r="CX1" s="347"/>
      <c r="CY1" s="347"/>
      <c r="CZ1" s="347"/>
      <c r="DA1" s="347"/>
      <c r="DB1" s="347"/>
      <c r="DC1" s="347"/>
      <c r="DD1" s="347"/>
      <c r="DE1" s="347"/>
      <c r="DF1" s="347"/>
      <c r="DG1" s="347"/>
      <c r="DH1" s="347"/>
      <c r="DI1" s="347"/>
      <c r="DJ1" s="347"/>
      <c r="DK1" s="347"/>
      <c r="DL1" s="347"/>
      <c r="DM1" s="347"/>
      <c r="DN1" s="347"/>
      <c r="DO1" s="347"/>
      <c r="DP1" s="347"/>
      <c r="DQ1" s="347"/>
      <c r="DR1" s="347"/>
      <c r="DS1" s="347"/>
      <c r="DT1" s="1"/>
      <c r="DU1" s="1"/>
      <c r="DV1" s="1"/>
      <c r="DW1" s="1"/>
      <c r="DX1" s="1"/>
      <c r="DY1" s="1"/>
      <c r="DZ1" s="1"/>
      <c r="EA1" s="1"/>
      <c r="EB1" s="1"/>
      <c r="EC1" s="1"/>
      <c r="ED1" s="1"/>
      <c r="EE1" s="1"/>
      <c r="EF1" s="1"/>
      <c r="EG1" s="1"/>
      <c r="EH1" s="1"/>
      <c r="EI1" s="1"/>
      <c r="EJ1" s="1"/>
      <c r="EK1" s="1"/>
      <c r="EL1" s="1"/>
      <c r="EM1" s="1"/>
      <c r="EN1" s="1"/>
      <c r="EO1" s="1"/>
      <c r="EP1" s="1"/>
      <c r="EQ1" s="1"/>
      <c r="ER1" s="1"/>
      <c r="ES1" s="1"/>
      <c r="ET1" s="1"/>
      <c r="EU1" s="1"/>
      <c r="EV1" s="1"/>
      <c r="EW1" s="1"/>
      <c r="EX1" s="1"/>
      <c r="EY1" s="1"/>
      <c r="EZ1" s="1"/>
      <c r="FA1" s="1"/>
      <c r="FB1" s="1"/>
      <c r="FC1" s="1"/>
      <c r="FD1" s="1"/>
      <c r="FE1" s="1"/>
      <c r="FF1" s="1"/>
      <c r="FG1" s="1"/>
      <c r="FH1" s="1"/>
      <c r="FI1" s="1"/>
      <c r="FJ1" s="1"/>
      <c r="FK1" s="1"/>
      <c r="FL1" s="1"/>
      <c r="FM1" s="1"/>
      <c r="FN1" s="1"/>
      <c r="FO1" s="1"/>
      <c r="FP1" s="1"/>
      <c r="FQ1" s="1"/>
      <c r="FR1" s="1"/>
      <c r="FS1" s="1"/>
      <c r="FT1" s="1"/>
      <c r="FU1" s="1"/>
      <c r="FV1" s="1"/>
      <c r="FW1" s="1"/>
      <c r="FX1" s="1"/>
      <c r="FY1" s="1"/>
      <c r="FZ1" s="1"/>
      <c r="GA1" s="1"/>
      <c r="GB1" s="1"/>
      <c r="GC1" s="1"/>
      <c r="GD1" s="1"/>
      <c r="GE1" s="1"/>
      <c r="GF1" s="1"/>
      <c r="GG1" s="1"/>
      <c r="GH1" s="1"/>
      <c r="GI1" s="1"/>
      <c r="GJ1" s="1"/>
      <c r="GK1" s="1"/>
      <c r="GL1" s="1"/>
      <c r="GM1" s="1"/>
      <c r="GN1" s="1"/>
      <c r="GO1" s="1"/>
      <c r="GP1" s="1"/>
      <c r="GQ1" s="1"/>
      <c r="GR1" s="1"/>
      <c r="GS1" s="1"/>
      <c r="GT1" s="1"/>
      <c r="GU1" s="1"/>
      <c r="GV1" s="1"/>
      <c r="GW1" s="1"/>
      <c r="GX1" s="1"/>
      <c r="GY1" s="1"/>
      <c r="GZ1" s="1"/>
      <c r="HA1" s="1"/>
      <c r="HB1" s="1"/>
      <c r="HC1" s="1"/>
      <c r="HD1" s="1"/>
      <c r="HE1" s="1"/>
      <c r="HF1" s="1"/>
      <c r="HG1" s="1"/>
      <c r="HH1" s="1"/>
      <c r="HI1" s="1"/>
      <c r="HJ1" s="1"/>
      <c r="HK1" s="1"/>
      <c r="HL1" s="1"/>
      <c r="HM1" s="1"/>
      <c r="HN1" s="1"/>
      <c r="HO1" s="1"/>
      <c r="HP1" s="1"/>
      <c r="HQ1" s="1"/>
      <c r="HR1" s="1"/>
      <c r="HS1" s="1"/>
      <c r="HT1" s="1"/>
      <c r="HU1" s="1"/>
      <c r="HV1" s="1"/>
      <c r="HW1" s="1"/>
      <c r="HX1" s="1"/>
      <c r="HY1" s="1"/>
      <c r="HZ1" s="1"/>
      <c r="IA1" s="1"/>
      <c r="IB1" s="1"/>
      <c r="IC1" s="1"/>
      <c r="ID1" s="1"/>
      <c r="IE1" s="1"/>
      <c r="IF1" s="1"/>
      <c r="IG1" s="1"/>
      <c r="IH1" s="1"/>
      <c r="II1" s="1"/>
      <c r="IJ1" s="1"/>
      <c r="IK1" s="1"/>
      <c r="IL1" s="1"/>
      <c r="IM1" s="1"/>
      <c r="IN1" s="1"/>
      <c r="IO1" s="1"/>
      <c r="IP1" s="1"/>
      <c r="IQ1" s="1"/>
      <c r="IR1" s="1"/>
      <c r="IS1" s="1"/>
      <c r="IT1" s="1"/>
      <c r="IU1" s="1"/>
      <c r="IV1" s="1"/>
      <c r="IW1" s="1"/>
      <c r="IX1" s="1"/>
      <c r="IY1" s="1"/>
      <c r="IZ1" s="1"/>
      <c r="JA1" s="1"/>
      <c r="JB1" s="1"/>
      <c r="JC1" s="1"/>
      <c r="JD1" s="1"/>
    </row>
    <row r="2" spans="1:264" s="350" customFormat="1" x14ac:dyDescent="0.2">
      <c r="A2" s="347"/>
      <c r="B2" s="348"/>
      <c r="C2" s="347"/>
      <c r="D2" s="347"/>
      <c r="E2" s="347"/>
      <c r="F2" s="347"/>
      <c r="G2" s="347"/>
      <c r="H2" s="347"/>
      <c r="I2" s="347"/>
      <c r="J2" s="347"/>
      <c r="K2" s="347"/>
      <c r="L2" s="347"/>
      <c r="M2" s="347"/>
      <c r="N2" s="347"/>
      <c r="O2" s="347"/>
      <c r="P2" s="347"/>
      <c r="Q2" s="347"/>
      <c r="R2" s="347"/>
      <c r="S2" s="347"/>
      <c r="T2" s="347"/>
      <c r="U2" s="347"/>
      <c r="V2" s="347"/>
      <c r="W2" s="347"/>
      <c r="X2" s="347"/>
      <c r="Y2" s="347"/>
      <c r="Z2" s="347"/>
      <c r="AA2" s="347"/>
      <c r="AB2" s="347"/>
      <c r="AC2" s="347"/>
      <c r="AD2" s="347"/>
      <c r="AE2" s="347"/>
      <c r="AF2" s="347"/>
      <c r="AG2" s="347"/>
      <c r="AH2" s="347"/>
      <c r="AI2" s="347"/>
      <c r="AJ2" s="347"/>
      <c r="AK2" s="347"/>
      <c r="AL2" s="347"/>
      <c r="AM2" s="347"/>
      <c r="AN2" s="347"/>
      <c r="AO2" s="347"/>
      <c r="AP2" s="347"/>
      <c r="AQ2" s="347"/>
      <c r="AR2" s="347"/>
      <c r="AS2" s="347"/>
      <c r="AT2" s="347"/>
      <c r="AU2" s="347"/>
      <c r="AV2" s="347"/>
      <c r="AW2" s="347"/>
      <c r="AX2" s="347"/>
      <c r="AY2" s="347"/>
      <c r="AZ2" s="347"/>
      <c r="BA2" s="347"/>
      <c r="BB2" s="349">
        <v>40724</v>
      </c>
      <c r="BC2" s="349"/>
      <c r="BD2" s="349">
        <f>EOMONTH(BB2,6)</f>
        <v>40908</v>
      </c>
      <c r="BE2" s="349">
        <f>EOMONTH(BD2,6)</f>
        <v>41090</v>
      </c>
      <c r="BF2" s="349">
        <f>BE2</f>
        <v>41090</v>
      </c>
      <c r="BG2" s="347"/>
      <c r="BH2" s="349">
        <f>EOMONTH(BF2,6)</f>
        <v>41274</v>
      </c>
      <c r="BI2" s="349">
        <f>EOMONTH(BH2,6)</f>
        <v>41455</v>
      </c>
      <c r="BJ2" s="349">
        <f>BI2</f>
        <v>41455</v>
      </c>
      <c r="BK2" s="348"/>
      <c r="BL2" s="349">
        <f>EOMONTH(BJ2,6)</f>
        <v>41639</v>
      </c>
      <c r="BM2" s="349">
        <f>EOMONTH(BL2,6)</f>
        <v>41820</v>
      </c>
      <c r="BN2" s="349">
        <f>BM2</f>
        <v>41820</v>
      </c>
      <c r="BO2" s="348"/>
      <c r="BP2" s="349">
        <f>EOMONTH(BN2,6)</f>
        <v>42004</v>
      </c>
      <c r="BQ2" s="349">
        <f>EOMONTH(BP2,6)</f>
        <v>42185</v>
      </c>
      <c r="BR2" s="349">
        <f>BQ2</f>
        <v>42185</v>
      </c>
      <c r="BS2" s="347"/>
      <c r="BT2" s="349">
        <f>EOMONTH(BR2,6)</f>
        <v>42369</v>
      </c>
      <c r="BU2" s="349">
        <f>EOMONTH(BT2,6)</f>
        <v>42551</v>
      </c>
      <c r="BV2" s="349">
        <f>BU2</f>
        <v>42551</v>
      </c>
      <c r="BW2" s="347"/>
      <c r="BX2" s="349">
        <f>EOMONTH(BV2,6)</f>
        <v>42735</v>
      </c>
      <c r="BY2" s="349">
        <f>EOMONTH(BX2,6)</f>
        <v>42916</v>
      </c>
      <c r="BZ2" s="349">
        <f>BY2</f>
        <v>42916</v>
      </c>
      <c r="CA2" s="347"/>
      <c r="CB2" s="349">
        <f>EOMONTH(BZ2,6)</f>
        <v>43100</v>
      </c>
      <c r="CC2" s="349">
        <f>EOMONTH(CB2,6)</f>
        <v>43281</v>
      </c>
      <c r="CD2" s="349">
        <f>CC2</f>
        <v>43281</v>
      </c>
      <c r="CE2" s="347"/>
      <c r="CF2" s="349">
        <f>EOMONTH(CD2,6)</f>
        <v>43465</v>
      </c>
      <c r="CG2" s="349">
        <f>EOMONTH(CF2,6)</f>
        <v>43646</v>
      </c>
      <c r="CH2" s="349">
        <f>CG2</f>
        <v>43646</v>
      </c>
      <c r="CI2" s="347"/>
      <c r="CJ2" s="349">
        <f>EOMONTH(CH2,6)</f>
        <v>43830</v>
      </c>
      <c r="CK2" s="349">
        <f>EOMONTH(CJ2,6)</f>
        <v>44012</v>
      </c>
      <c r="CL2" s="349">
        <f>CK2</f>
        <v>44012</v>
      </c>
      <c r="CM2" s="347"/>
      <c r="CN2" s="349">
        <f>EOMONTH(CL2,6)</f>
        <v>44196</v>
      </c>
      <c r="CO2" s="349">
        <f>EOMONTH(CN2,6)</f>
        <v>44377</v>
      </c>
      <c r="CP2" s="349">
        <f>CO2</f>
        <v>44377</v>
      </c>
      <c r="CQ2" s="347"/>
      <c r="CR2" s="349">
        <f>EOMONTH(CP2,6)</f>
        <v>44561</v>
      </c>
      <c r="CS2" s="349">
        <f>EOMONTH(CR2,6)</f>
        <v>44742</v>
      </c>
      <c r="CT2" s="349">
        <f>CS2</f>
        <v>44742</v>
      </c>
      <c r="CU2" s="347"/>
      <c r="CV2" s="349">
        <f>EOMONTH(CT2,6)</f>
        <v>44926</v>
      </c>
      <c r="CW2" s="349">
        <f>EOMONTH(CV2,6)</f>
        <v>45107</v>
      </c>
      <c r="CX2" s="349">
        <f>CW2</f>
        <v>45107</v>
      </c>
      <c r="CY2" s="347"/>
      <c r="CZ2" s="349">
        <f>EOMONTH(CX2,6)</f>
        <v>45291</v>
      </c>
      <c r="DA2" s="349">
        <f>EOMONTH(CZ2,6)</f>
        <v>45473</v>
      </c>
      <c r="DB2" s="349">
        <f>DA2</f>
        <v>45473</v>
      </c>
      <c r="DC2" s="347"/>
      <c r="DD2" s="349">
        <f>EOMONTH(DB2,6)</f>
        <v>45657</v>
      </c>
      <c r="DE2" s="349">
        <f>EOMONTH(DD2,6)</f>
        <v>45838</v>
      </c>
      <c r="DF2" s="349">
        <f>DE2</f>
        <v>45838</v>
      </c>
      <c r="DG2" s="347"/>
      <c r="DH2" s="349">
        <f>EOMONTH(DF2,6)</f>
        <v>46022</v>
      </c>
      <c r="DI2" s="349">
        <f>EOMONTH(DH2,6)</f>
        <v>46203</v>
      </c>
      <c r="DJ2" s="349">
        <f>DI2</f>
        <v>46203</v>
      </c>
      <c r="DK2" s="347"/>
      <c r="DL2" s="349">
        <f>EOMONTH(DJ2,6)</f>
        <v>46387</v>
      </c>
      <c r="DM2" s="349">
        <f>EOMONTH(DL2,6)</f>
        <v>46568</v>
      </c>
      <c r="DN2" s="349">
        <f>DM2</f>
        <v>46568</v>
      </c>
      <c r="DO2" s="347"/>
      <c r="DP2" s="349">
        <f>EOMONTH(DN2,6)</f>
        <v>46752</v>
      </c>
      <c r="DQ2" s="349">
        <f>EOMONTH(DP2,6)</f>
        <v>46934</v>
      </c>
      <c r="DR2" s="349">
        <f>DQ2</f>
        <v>46934</v>
      </c>
      <c r="DS2" s="347"/>
      <c r="DT2" s="1"/>
      <c r="DU2" s="1"/>
      <c r="DV2" s="1"/>
      <c r="DW2" s="1"/>
      <c r="DX2" s="1"/>
      <c r="DY2" s="1"/>
      <c r="DZ2" s="1"/>
      <c r="EA2" s="1"/>
      <c r="EB2" s="1"/>
      <c r="EC2" s="1"/>
      <c r="ED2" s="1"/>
      <c r="EE2" s="1"/>
      <c r="EF2" s="1"/>
      <c r="EG2" s="1"/>
      <c r="EH2" s="1"/>
      <c r="EI2" s="1"/>
      <c r="EJ2" s="1"/>
      <c r="EK2" s="1"/>
      <c r="EL2" s="1"/>
      <c r="EM2" s="1"/>
      <c r="EN2" s="1"/>
      <c r="EO2" s="1"/>
      <c r="EP2" s="1"/>
      <c r="EQ2" s="1"/>
      <c r="ER2" s="1"/>
      <c r="ES2" s="1"/>
      <c r="ET2" s="1"/>
      <c r="EU2" s="1"/>
      <c r="EV2" s="1"/>
      <c r="EW2" s="1"/>
      <c r="EX2" s="1"/>
      <c r="EY2" s="1"/>
      <c r="EZ2" s="1"/>
      <c r="FA2" s="1"/>
      <c r="FB2" s="1"/>
      <c r="FC2" s="1"/>
      <c r="FD2" s="1"/>
      <c r="FE2" s="1"/>
      <c r="FF2" s="1"/>
      <c r="FG2" s="1"/>
      <c r="FH2" s="1"/>
      <c r="FI2" s="1"/>
      <c r="FJ2" s="1"/>
      <c r="FK2" s="1"/>
      <c r="FL2" s="1"/>
      <c r="FM2" s="1"/>
      <c r="FN2" s="1"/>
      <c r="FO2" s="1"/>
      <c r="FP2" s="1"/>
      <c r="FQ2" s="1"/>
      <c r="FR2" s="1"/>
      <c r="FS2" s="1"/>
      <c r="FT2" s="1"/>
      <c r="FU2" s="1"/>
      <c r="FV2" s="1"/>
      <c r="FW2" s="1"/>
      <c r="FX2" s="1"/>
      <c r="FY2" s="1"/>
      <c r="FZ2" s="1"/>
      <c r="GA2" s="1"/>
      <c r="GB2" s="1"/>
      <c r="GC2" s="1"/>
      <c r="GD2" s="1"/>
      <c r="GE2" s="1"/>
      <c r="GF2" s="1"/>
      <c r="GG2" s="1"/>
      <c r="GH2" s="1"/>
      <c r="GI2" s="1"/>
      <c r="GJ2" s="1"/>
      <c r="GK2" s="1"/>
      <c r="GL2" s="1"/>
      <c r="GM2" s="1"/>
      <c r="GN2" s="1"/>
      <c r="GO2" s="1"/>
      <c r="GP2" s="1"/>
      <c r="GQ2" s="1"/>
      <c r="GR2" s="1"/>
      <c r="GS2" s="1"/>
      <c r="GT2" s="1"/>
      <c r="GU2" s="1"/>
      <c r="GV2" s="1"/>
      <c r="GW2" s="1"/>
      <c r="GX2" s="1"/>
      <c r="GY2" s="1"/>
      <c r="GZ2" s="1"/>
      <c r="HA2" s="1"/>
      <c r="HB2" s="1"/>
      <c r="HC2" s="1"/>
      <c r="HD2" s="1"/>
      <c r="HE2" s="1"/>
      <c r="HF2" s="1"/>
      <c r="HG2" s="1"/>
      <c r="HH2" s="1"/>
      <c r="HI2" s="1"/>
      <c r="HJ2" s="1"/>
      <c r="HK2" s="1"/>
      <c r="HL2" s="1"/>
      <c r="HM2" s="1"/>
      <c r="HN2" s="1"/>
      <c r="HO2" s="1"/>
      <c r="HP2" s="1"/>
      <c r="HQ2" s="1"/>
      <c r="HR2" s="1"/>
      <c r="HS2" s="1"/>
      <c r="HT2" s="1"/>
      <c r="HU2" s="1"/>
      <c r="HV2" s="1"/>
      <c r="HW2" s="1"/>
      <c r="HX2" s="1"/>
      <c r="HY2" s="1"/>
      <c r="HZ2" s="1"/>
      <c r="IA2" s="1"/>
      <c r="IB2" s="1"/>
      <c r="IC2" s="1"/>
      <c r="ID2" s="1"/>
      <c r="IE2" s="1"/>
      <c r="IF2" s="1"/>
      <c r="IG2" s="1"/>
      <c r="IH2" s="1"/>
      <c r="II2" s="1"/>
      <c r="IJ2" s="1"/>
      <c r="IK2" s="1"/>
      <c r="IL2" s="1"/>
      <c r="IM2" s="1"/>
      <c r="IN2" s="1"/>
      <c r="IO2" s="1"/>
      <c r="IP2" s="1"/>
      <c r="IQ2" s="1"/>
      <c r="IR2" s="1"/>
      <c r="IS2" s="1"/>
      <c r="IT2" s="1"/>
      <c r="IU2" s="1"/>
      <c r="IV2" s="1"/>
      <c r="IW2" s="1"/>
      <c r="IX2" s="1"/>
      <c r="IY2" s="1"/>
      <c r="IZ2" s="1"/>
      <c r="JA2" s="1"/>
      <c r="JB2" s="1"/>
      <c r="JC2" s="1"/>
      <c r="JD2" s="1"/>
    </row>
    <row r="3" spans="1:264" s="350" customFormat="1" x14ac:dyDescent="0.2">
      <c r="A3" s="347"/>
      <c r="B3" s="348"/>
      <c r="C3" s="347"/>
      <c r="D3" s="347"/>
      <c r="E3" s="347"/>
      <c r="F3" s="347"/>
      <c r="G3" s="347"/>
      <c r="H3" s="347"/>
      <c r="I3" s="347"/>
      <c r="J3" s="347"/>
      <c r="K3" s="347"/>
      <c r="L3" s="347"/>
      <c r="M3" s="347"/>
      <c r="N3" s="347"/>
      <c r="O3" s="347"/>
      <c r="P3" s="347"/>
      <c r="Q3" s="347"/>
      <c r="R3" s="347"/>
      <c r="S3" s="347"/>
      <c r="T3" s="347"/>
      <c r="U3" s="347"/>
      <c r="V3" s="347"/>
      <c r="W3" s="347"/>
      <c r="X3" s="347"/>
      <c r="Y3" s="347"/>
      <c r="Z3" s="347"/>
      <c r="AA3" s="347"/>
      <c r="AB3" s="347"/>
      <c r="AC3" s="347"/>
      <c r="AD3" s="347"/>
      <c r="AE3" s="347"/>
      <c r="AF3" s="347"/>
      <c r="AG3" s="347"/>
      <c r="AH3" s="347"/>
      <c r="AI3" s="347"/>
      <c r="AJ3" s="347"/>
      <c r="AK3" s="347"/>
      <c r="AL3" s="347"/>
      <c r="AM3" s="347"/>
      <c r="AN3" s="347"/>
      <c r="AO3" s="347"/>
      <c r="AP3" s="347"/>
      <c r="AQ3" s="347"/>
      <c r="AR3" s="347"/>
      <c r="AS3" s="347"/>
      <c r="AT3" s="347"/>
      <c r="AU3" s="347"/>
      <c r="AV3" s="347"/>
      <c r="AW3" s="347"/>
      <c r="AX3" s="347"/>
      <c r="AY3" s="347"/>
      <c r="AZ3" s="347"/>
      <c r="BA3" s="347"/>
      <c r="BB3" s="347"/>
      <c r="BC3" s="347"/>
      <c r="BD3" s="351">
        <f>BD2-BB2</f>
        <v>184</v>
      </c>
      <c r="BE3" s="351">
        <f>BE2-BD2</f>
        <v>182</v>
      </c>
      <c r="BF3" s="351">
        <f>BF2-BB2</f>
        <v>366</v>
      </c>
      <c r="BG3" s="347"/>
      <c r="BH3" s="351">
        <f>BH2-BF2</f>
        <v>184</v>
      </c>
      <c r="BI3" s="351">
        <f>BI2-BH2</f>
        <v>181</v>
      </c>
      <c r="BJ3" s="351">
        <f>BJ2-BF2</f>
        <v>365</v>
      </c>
      <c r="BK3" s="348"/>
      <c r="BL3" s="351">
        <f>BL2-BJ2</f>
        <v>184</v>
      </c>
      <c r="BM3" s="351">
        <f>BM2-BL2</f>
        <v>181</v>
      </c>
      <c r="BN3" s="351">
        <f>BN2-BJ2</f>
        <v>365</v>
      </c>
      <c r="BO3" s="348"/>
      <c r="BP3" s="351">
        <f>BP2-BN2</f>
        <v>184</v>
      </c>
      <c r="BQ3" s="351">
        <f>BQ2-BP2</f>
        <v>181</v>
      </c>
      <c r="BR3" s="351">
        <f>BR2-BN2</f>
        <v>365</v>
      </c>
      <c r="BS3" s="347"/>
      <c r="BT3" s="351">
        <f>BT2-BR2</f>
        <v>184</v>
      </c>
      <c r="BU3" s="351">
        <f>BU2-BT2</f>
        <v>182</v>
      </c>
      <c r="BV3" s="351">
        <f>BV2-BR2</f>
        <v>366</v>
      </c>
      <c r="BW3" s="347"/>
      <c r="BX3" s="351">
        <f>BX2-BV2</f>
        <v>184</v>
      </c>
      <c r="BY3" s="351">
        <f>BY2-BX2</f>
        <v>181</v>
      </c>
      <c r="BZ3" s="351">
        <f>BZ2-BV2</f>
        <v>365</v>
      </c>
      <c r="CA3" s="347"/>
      <c r="CB3" s="351">
        <f>CB2-BZ2</f>
        <v>184</v>
      </c>
      <c r="CC3" s="351">
        <f>CC2-CB2</f>
        <v>181</v>
      </c>
      <c r="CD3" s="351">
        <f>CD2-BZ2</f>
        <v>365</v>
      </c>
      <c r="CE3" s="347"/>
      <c r="CF3" s="351">
        <f>CF2-CD2</f>
        <v>184</v>
      </c>
      <c r="CG3" s="351">
        <f>CG2-CF2</f>
        <v>181</v>
      </c>
      <c r="CH3" s="351">
        <f>CH2-CD2</f>
        <v>365</v>
      </c>
      <c r="CI3" s="347"/>
      <c r="CJ3" s="351">
        <f>CJ2-CH2</f>
        <v>184</v>
      </c>
      <c r="CK3" s="351">
        <f>CK2-CJ2</f>
        <v>182</v>
      </c>
      <c r="CL3" s="351">
        <f>CL2-CH2</f>
        <v>366</v>
      </c>
      <c r="CM3" s="347"/>
      <c r="CN3" s="351">
        <f>CN2-CL2</f>
        <v>184</v>
      </c>
      <c r="CO3" s="351">
        <f>CO2-CN2</f>
        <v>181</v>
      </c>
      <c r="CP3" s="351">
        <f>CP2-CL2</f>
        <v>365</v>
      </c>
      <c r="CQ3" s="347"/>
      <c r="CR3" s="351">
        <f>CR2-CP2</f>
        <v>184</v>
      </c>
      <c r="CS3" s="351">
        <f>CS2-CR2</f>
        <v>181</v>
      </c>
      <c r="CT3" s="351">
        <f>CT2-CP2</f>
        <v>365</v>
      </c>
      <c r="CU3" s="347"/>
      <c r="CV3" s="351">
        <f>CV2-CT2</f>
        <v>184</v>
      </c>
      <c r="CW3" s="351">
        <f>CW2-CV2</f>
        <v>181</v>
      </c>
      <c r="CX3" s="351">
        <f>CX2-CT2</f>
        <v>365</v>
      </c>
      <c r="CY3" s="347"/>
      <c r="CZ3" s="351">
        <f>CZ2-CX2</f>
        <v>184</v>
      </c>
      <c r="DA3" s="351">
        <f>DA2-CZ2</f>
        <v>182</v>
      </c>
      <c r="DB3" s="351">
        <f>DB2-CX2</f>
        <v>366</v>
      </c>
      <c r="DC3" s="347"/>
      <c r="DD3" s="351">
        <f>DD2-DB2</f>
        <v>184</v>
      </c>
      <c r="DE3" s="351">
        <f>DE2-DD2</f>
        <v>181</v>
      </c>
      <c r="DF3" s="351">
        <f>DF2-DB2</f>
        <v>365</v>
      </c>
      <c r="DG3" s="347"/>
      <c r="DH3" s="351">
        <f>DH2-DF2</f>
        <v>184</v>
      </c>
      <c r="DI3" s="351">
        <f>DI2-DH2</f>
        <v>181</v>
      </c>
      <c r="DJ3" s="351">
        <f>DJ2-DF2</f>
        <v>365</v>
      </c>
      <c r="DK3" s="347"/>
      <c r="DL3" s="351">
        <f>DL2-DJ2</f>
        <v>184</v>
      </c>
      <c r="DM3" s="351">
        <f>DM2-DL2</f>
        <v>181</v>
      </c>
      <c r="DN3" s="351">
        <f>DN2-DJ2</f>
        <v>365</v>
      </c>
      <c r="DO3" s="347"/>
      <c r="DP3" s="351">
        <f>DP2-DN2</f>
        <v>184</v>
      </c>
      <c r="DQ3" s="351">
        <f>DQ2-DP2</f>
        <v>182</v>
      </c>
      <c r="DR3" s="351">
        <f>DR2-DN2</f>
        <v>366</v>
      </c>
      <c r="DS3" s="347"/>
      <c r="DT3" s="1"/>
      <c r="DU3" s="1"/>
      <c r="DV3" s="1"/>
      <c r="DW3" s="1"/>
      <c r="DX3" s="1"/>
      <c r="DY3" s="1"/>
      <c r="DZ3" s="1"/>
      <c r="EA3" s="1"/>
      <c r="EB3" s="1"/>
      <c r="EC3" s="1"/>
      <c r="ED3" s="1"/>
      <c r="EE3" s="1"/>
      <c r="EF3" s="1"/>
      <c r="EG3" s="1"/>
      <c r="EH3" s="1"/>
      <c r="EI3" s="1"/>
      <c r="EJ3" s="1"/>
      <c r="EK3" s="1"/>
      <c r="EL3" s="1"/>
      <c r="EM3" s="1"/>
      <c r="EN3" s="1"/>
      <c r="EO3" s="1"/>
      <c r="EP3" s="1"/>
      <c r="EQ3" s="1"/>
      <c r="ER3" s="1"/>
      <c r="ES3" s="1"/>
      <c r="ET3" s="1"/>
      <c r="EU3" s="1"/>
      <c r="EV3" s="1"/>
      <c r="EW3" s="1"/>
      <c r="EX3" s="1"/>
      <c r="EY3" s="1"/>
      <c r="EZ3" s="1"/>
      <c r="FA3" s="1"/>
      <c r="FB3" s="1"/>
      <c r="FC3" s="1"/>
      <c r="FD3" s="1"/>
      <c r="FE3" s="1"/>
      <c r="FF3" s="1"/>
      <c r="FG3" s="1"/>
      <c r="FH3" s="1"/>
      <c r="FI3" s="1"/>
      <c r="FJ3" s="1"/>
      <c r="FK3" s="1"/>
      <c r="FL3" s="1"/>
      <c r="FM3" s="1"/>
      <c r="FN3" s="1"/>
      <c r="FO3" s="1"/>
      <c r="FP3" s="1"/>
      <c r="FQ3" s="1"/>
      <c r="FR3" s="1"/>
      <c r="FS3" s="1"/>
      <c r="FT3" s="1"/>
      <c r="FU3" s="1"/>
      <c r="FV3" s="1"/>
      <c r="FW3" s="1"/>
      <c r="FX3" s="1"/>
      <c r="FY3" s="1"/>
      <c r="FZ3" s="1"/>
      <c r="GA3" s="1"/>
      <c r="GB3" s="1"/>
      <c r="GC3" s="1"/>
      <c r="GD3" s="1"/>
      <c r="GE3" s="1"/>
      <c r="GF3" s="1"/>
      <c r="GG3" s="1"/>
      <c r="GH3" s="1"/>
      <c r="GI3" s="1"/>
      <c r="GJ3" s="1"/>
      <c r="GK3" s="1"/>
      <c r="GL3" s="1"/>
      <c r="GM3" s="1"/>
      <c r="GN3" s="1"/>
      <c r="GO3" s="1"/>
      <c r="GP3" s="1"/>
      <c r="GQ3" s="1"/>
      <c r="GR3" s="1"/>
      <c r="GS3" s="1"/>
      <c r="GT3" s="1"/>
      <c r="GU3" s="1"/>
      <c r="GV3" s="1"/>
      <c r="GW3" s="1"/>
      <c r="GX3" s="1"/>
      <c r="GY3" s="1"/>
      <c r="GZ3" s="1"/>
      <c r="HA3" s="1"/>
      <c r="HB3" s="1"/>
      <c r="HC3" s="1"/>
      <c r="HD3" s="1"/>
      <c r="HE3" s="1"/>
      <c r="HF3" s="1"/>
      <c r="HG3" s="1"/>
      <c r="HH3" s="1"/>
      <c r="HI3" s="1"/>
      <c r="HJ3" s="1"/>
      <c r="HK3" s="1"/>
      <c r="HL3" s="1"/>
      <c r="HM3" s="1"/>
      <c r="HN3" s="1"/>
      <c r="HO3" s="1"/>
      <c r="HP3" s="1"/>
      <c r="HQ3" s="1"/>
      <c r="HR3" s="1"/>
      <c r="HS3" s="1"/>
      <c r="HT3" s="1"/>
      <c r="HU3" s="1"/>
      <c r="HV3" s="1"/>
      <c r="HW3" s="1"/>
      <c r="HX3" s="1"/>
      <c r="HY3" s="1"/>
      <c r="HZ3" s="1"/>
      <c r="IA3" s="1"/>
      <c r="IB3" s="1"/>
      <c r="IC3" s="1"/>
      <c r="ID3" s="1"/>
      <c r="IE3" s="1"/>
      <c r="IF3" s="1"/>
      <c r="IG3" s="1"/>
      <c r="IH3" s="1"/>
      <c r="II3" s="1"/>
      <c r="IJ3" s="1"/>
      <c r="IK3" s="1"/>
      <c r="IL3" s="1"/>
      <c r="IM3" s="1"/>
      <c r="IN3" s="1"/>
      <c r="IO3" s="1"/>
      <c r="IP3" s="1"/>
      <c r="IQ3" s="1"/>
      <c r="IR3" s="1"/>
      <c r="IS3" s="1"/>
      <c r="IT3" s="1"/>
      <c r="IU3" s="1"/>
      <c r="IV3" s="1"/>
      <c r="IW3" s="1"/>
      <c r="IX3" s="1"/>
      <c r="IY3" s="1"/>
      <c r="IZ3" s="1"/>
      <c r="JA3" s="1"/>
      <c r="JB3" s="1"/>
      <c r="JC3" s="1"/>
      <c r="JD3" s="1"/>
    </row>
    <row r="4" spans="1:264" s="350" customFormat="1" x14ac:dyDescent="0.2">
      <c r="A4" s="347"/>
      <c r="B4" s="348"/>
      <c r="C4" s="347"/>
      <c r="D4" s="347"/>
      <c r="E4" s="347"/>
      <c r="F4" s="347"/>
      <c r="G4" s="347"/>
      <c r="H4" s="347"/>
      <c r="I4" s="347"/>
      <c r="J4" s="347"/>
      <c r="K4" s="347"/>
      <c r="L4" s="347"/>
      <c r="M4" s="347"/>
      <c r="N4" s="347"/>
      <c r="O4" s="347"/>
      <c r="P4" s="347"/>
      <c r="Q4" s="347"/>
      <c r="R4" s="347"/>
      <c r="S4" s="347"/>
      <c r="T4" s="347"/>
      <c r="U4" s="347"/>
      <c r="V4" s="347"/>
      <c r="W4" s="347"/>
      <c r="X4" s="347"/>
      <c r="Y4" s="347"/>
      <c r="Z4" s="347"/>
      <c r="AA4" s="347"/>
      <c r="AB4" s="347"/>
      <c r="AC4" s="347"/>
      <c r="AD4" s="347"/>
      <c r="AE4" s="347"/>
      <c r="AF4" s="347"/>
      <c r="AG4" s="347"/>
      <c r="AH4" s="347"/>
      <c r="AI4" s="347"/>
      <c r="AJ4" s="347"/>
      <c r="AK4" s="347"/>
      <c r="AL4" s="347"/>
      <c r="AM4" s="347"/>
      <c r="AN4" s="347"/>
      <c r="AO4" s="347"/>
      <c r="AP4" s="347"/>
      <c r="AQ4" s="347"/>
      <c r="AR4" s="347"/>
      <c r="AS4" s="347"/>
      <c r="AT4" s="347"/>
      <c r="AU4" s="347"/>
      <c r="AV4" s="347"/>
      <c r="AW4" s="347"/>
      <c r="AX4" s="347"/>
      <c r="AY4" s="347"/>
      <c r="AZ4" s="347"/>
      <c r="BA4" s="347"/>
      <c r="BB4" s="347"/>
      <c r="BC4" s="347"/>
      <c r="BD4" s="347"/>
      <c r="BE4" s="347"/>
      <c r="BF4" s="347"/>
      <c r="BG4" s="347"/>
      <c r="BH4" s="351">
        <f>BJ3</f>
        <v>365</v>
      </c>
      <c r="BI4" s="351">
        <f>BJ3</f>
        <v>365</v>
      </c>
      <c r="BJ4" s="351">
        <f>BJ3</f>
        <v>365</v>
      </c>
      <c r="BK4" s="348"/>
      <c r="BL4" s="351">
        <f>BN3</f>
        <v>365</v>
      </c>
      <c r="BM4" s="351">
        <f>BN3</f>
        <v>365</v>
      </c>
      <c r="BN4" s="351">
        <f>BN3</f>
        <v>365</v>
      </c>
      <c r="BO4" s="348"/>
      <c r="BP4" s="351">
        <f>BR3</f>
        <v>365</v>
      </c>
      <c r="BQ4" s="351">
        <f>BR3</f>
        <v>365</v>
      </c>
      <c r="BR4" s="351">
        <f>BR3</f>
        <v>365</v>
      </c>
      <c r="BS4" s="347"/>
      <c r="BT4" s="351">
        <f>BV3</f>
        <v>366</v>
      </c>
      <c r="BU4" s="351">
        <f>BV3</f>
        <v>366</v>
      </c>
      <c r="BV4" s="351">
        <f>BV3</f>
        <v>366</v>
      </c>
      <c r="BW4" s="347"/>
      <c r="BX4" s="351">
        <f>BZ3</f>
        <v>365</v>
      </c>
      <c r="BY4" s="351">
        <f>BZ3</f>
        <v>365</v>
      </c>
      <c r="BZ4" s="351">
        <f>BZ3</f>
        <v>365</v>
      </c>
      <c r="CA4" s="347"/>
      <c r="CB4" s="351">
        <f>CD3</f>
        <v>365</v>
      </c>
      <c r="CC4" s="351">
        <f>CD3</f>
        <v>365</v>
      </c>
      <c r="CD4" s="351">
        <f>CD3</f>
        <v>365</v>
      </c>
      <c r="CE4" s="347"/>
      <c r="CF4" s="351">
        <f>CH3</f>
        <v>365</v>
      </c>
      <c r="CG4" s="351">
        <f>CH3</f>
        <v>365</v>
      </c>
      <c r="CH4" s="351">
        <f>CH3</f>
        <v>365</v>
      </c>
      <c r="CI4" s="347"/>
      <c r="CJ4" s="351">
        <f>CL3</f>
        <v>366</v>
      </c>
      <c r="CK4" s="351">
        <f>CL3</f>
        <v>366</v>
      </c>
      <c r="CL4" s="351">
        <f>CL3</f>
        <v>366</v>
      </c>
      <c r="CM4" s="347"/>
      <c r="CN4" s="351">
        <f>CP3</f>
        <v>365</v>
      </c>
      <c r="CO4" s="351">
        <f>CP3</f>
        <v>365</v>
      </c>
      <c r="CP4" s="351">
        <f>CP3</f>
        <v>365</v>
      </c>
      <c r="CQ4" s="347"/>
      <c r="CR4" s="351">
        <f>CT3</f>
        <v>365</v>
      </c>
      <c r="CS4" s="351">
        <f>CT3</f>
        <v>365</v>
      </c>
      <c r="CT4" s="351">
        <f>CT3</f>
        <v>365</v>
      </c>
      <c r="CU4" s="347"/>
      <c r="CV4" s="351">
        <f>CX3</f>
        <v>365</v>
      </c>
      <c r="CW4" s="351">
        <f>CX3</f>
        <v>365</v>
      </c>
      <c r="CX4" s="351">
        <f>CX3</f>
        <v>365</v>
      </c>
      <c r="CY4" s="347"/>
      <c r="CZ4" s="351">
        <f>DB3</f>
        <v>366</v>
      </c>
      <c r="DA4" s="351">
        <f>DB3</f>
        <v>366</v>
      </c>
      <c r="DB4" s="351">
        <f>DB3</f>
        <v>366</v>
      </c>
      <c r="DC4" s="347"/>
      <c r="DD4" s="351">
        <f>DF3</f>
        <v>365</v>
      </c>
      <c r="DE4" s="351">
        <f>DF3</f>
        <v>365</v>
      </c>
      <c r="DF4" s="351">
        <f>DF3</f>
        <v>365</v>
      </c>
      <c r="DG4" s="347"/>
      <c r="DH4" s="351">
        <f>DJ3</f>
        <v>365</v>
      </c>
      <c r="DI4" s="351">
        <f>DJ3</f>
        <v>365</v>
      </c>
      <c r="DJ4" s="351">
        <f>DJ3</f>
        <v>365</v>
      </c>
      <c r="DK4" s="347"/>
      <c r="DL4" s="351">
        <f>DN3</f>
        <v>365</v>
      </c>
      <c r="DM4" s="351">
        <f>DN3</f>
        <v>365</v>
      </c>
      <c r="DN4" s="351">
        <f>DN3</f>
        <v>365</v>
      </c>
      <c r="DO4" s="347"/>
      <c r="DP4" s="351">
        <f>DR3</f>
        <v>366</v>
      </c>
      <c r="DQ4" s="351">
        <f>DR3</f>
        <v>366</v>
      </c>
      <c r="DR4" s="351">
        <f>DR3</f>
        <v>366</v>
      </c>
      <c r="DS4" s="347"/>
      <c r="DT4" s="1"/>
      <c r="DU4" s="1"/>
      <c r="DV4" s="1"/>
      <c r="DW4" s="1"/>
      <c r="DX4" s="1"/>
      <c r="DY4" s="1"/>
      <c r="DZ4" s="1"/>
      <c r="EA4" s="1"/>
      <c r="EB4" s="1"/>
      <c r="EC4" s="1"/>
      <c r="ED4" s="1"/>
      <c r="EE4" s="1"/>
      <c r="EF4" s="1"/>
      <c r="EG4" s="1"/>
      <c r="EH4" s="1"/>
      <c r="EI4" s="1"/>
      <c r="EJ4" s="1"/>
      <c r="EK4" s="1"/>
      <c r="EL4" s="1"/>
      <c r="EM4" s="1"/>
      <c r="EN4" s="1"/>
      <c r="EO4" s="1"/>
      <c r="EP4" s="1"/>
      <c r="EQ4" s="1"/>
      <c r="ER4" s="1"/>
      <c r="ES4" s="1"/>
      <c r="ET4" s="1"/>
      <c r="EU4" s="1"/>
      <c r="EV4" s="1"/>
      <c r="EW4" s="1"/>
      <c r="EX4" s="1"/>
      <c r="EY4" s="1"/>
      <c r="EZ4" s="1"/>
      <c r="FA4" s="1"/>
      <c r="FB4" s="1"/>
      <c r="FC4" s="1"/>
      <c r="FD4" s="1"/>
      <c r="FE4" s="1"/>
      <c r="FF4" s="1"/>
      <c r="FG4" s="1"/>
      <c r="FH4" s="1"/>
      <c r="FI4" s="1"/>
      <c r="FJ4" s="1"/>
      <c r="FK4" s="1"/>
      <c r="FL4" s="1"/>
      <c r="FM4" s="1"/>
      <c r="FN4" s="1"/>
      <c r="FO4" s="1"/>
      <c r="FP4" s="1"/>
      <c r="FQ4" s="1"/>
      <c r="FR4" s="1"/>
      <c r="FS4" s="1"/>
      <c r="FT4" s="1"/>
      <c r="FU4" s="1"/>
      <c r="FV4" s="1"/>
      <c r="FW4" s="1"/>
      <c r="FX4" s="1"/>
      <c r="FY4" s="1"/>
      <c r="FZ4" s="1"/>
      <c r="GA4" s="1"/>
      <c r="GB4" s="1"/>
      <c r="GC4" s="1"/>
      <c r="GD4" s="1"/>
      <c r="GE4" s="1"/>
      <c r="GF4" s="1"/>
      <c r="GG4" s="1"/>
      <c r="GH4" s="1"/>
      <c r="GI4" s="1"/>
      <c r="GJ4" s="1"/>
      <c r="GK4" s="1"/>
      <c r="GL4" s="1"/>
      <c r="GM4" s="1"/>
      <c r="GN4" s="1"/>
      <c r="GO4" s="1"/>
      <c r="GP4" s="1"/>
      <c r="GQ4" s="1"/>
      <c r="GR4" s="1"/>
      <c r="GS4" s="1"/>
      <c r="GT4" s="1"/>
      <c r="GU4" s="1"/>
      <c r="GV4" s="1"/>
      <c r="GW4" s="1"/>
      <c r="GX4" s="1"/>
      <c r="GY4" s="1"/>
      <c r="GZ4" s="1"/>
      <c r="HA4" s="1"/>
      <c r="HB4" s="1"/>
      <c r="HC4" s="1"/>
      <c r="HD4" s="1"/>
      <c r="HE4" s="1"/>
      <c r="HF4" s="1"/>
      <c r="HG4" s="1"/>
      <c r="HH4" s="1"/>
      <c r="HI4" s="1"/>
      <c r="HJ4" s="1"/>
      <c r="HK4" s="1"/>
      <c r="HL4" s="1"/>
      <c r="HM4" s="1"/>
      <c r="HN4" s="1"/>
      <c r="HO4" s="1"/>
      <c r="HP4" s="1"/>
      <c r="HQ4" s="1"/>
      <c r="HR4" s="1"/>
      <c r="HS4" s="1"/>
      <c r="HT4" s="1"/>
      <c r="HU4" s="1"/>
      <c r="HV4" s="1"/>
      <c r="HW4" s="1"/>
      <c r="HX4" s="1"/>
      <c r="HY4" s="1"/>
      <c r="HZ4" s="1"/>
      <c r="IA4" s="1"/>
      <c r="IB4" s="1"/>
      <c r="IC4" s="1"/>
      <c r="ID4" s="1"/>
      <c r="IE4" s="1"/>
      <c r="IF4" s="1"/>
      <c r="IG4" s="1"/>
      <c r="IH4" s="1"/>
      <c r="II4" s="1"/>
      <c r="IJ4" s="1"/>
      <c r="IK4" s="1"/>
      <c r="IL4" s="1"/>
      <c r="IM4" s="1"/>
      <c r="IN4" s="1"/>
      <c r="IO4" s="1"/>
      <c r="IP4" s="1"/>
      <c r="IQ4" s="1"/>
      <c r="IR4" s="1"/>
      <c r="IS4" s="1"/>
      <c r="IT4" s="1"/>
      <c r="IU4" s="1"/>
      <c r="IV4" s="1"/>
      <c r="IW4" s="1"/>
      <c r="IX4" s="1"/>
      <c r="IY4" s="1"/>
      <c r="IZ4" s="1"/>
      <c r="JA4" s="1"/>
      <c r="JB4" s="1"/>
      <c r="JC4" s="1"/>
      <c r="JD4" s="1"/>
    </row>
    <row r="5" spans="1:264" s="347" customFormat="1" x14ac:dyDescent="0.2">
      <c r="B5" s="348"/>
      <c r="BH5" s="348"/>
      <c r="BI5" s="348"/>
      <c r="BJ5" s="348"/>
      <c r="BK5" s="348"/>
      <c r="BL5" s="348"/>
      <c r="BM5" s="348"/>
      <c r="BN5" s="348"/>
      <c r="BO5" s="348"/>
      <c r="BP5" s="348"/>
      <c r="BU5" s="352">
        <f>BU4/BU3</f>
        <v>2.0109890109890109</v>
      </c>
      <c r="BV5" s="352"/>
      <c r="BW5" s="352"/>
      <c r="BX5" s="352">
        <f>BX4/BX3</f>
        <v>1.9836956521739131</v>
      </c>
      <c r="BY5" s="352">
        <f>BY4/BY3</f>
        <v>2.0165745856353592</v>
      </c>
      <c r="BZ5" s="352"/>
      <c r="CA5" s="352"/>
      <c r="CB5" s="352">
        <f>CB4/CB3</f>
        <v>1.9836956521739131</v>
      </c>
      <c r="CC5" s="352">
        <f>CC4/CC3</f>
        <v>2.0165745856353592</v>
      </c>
      <c r="CD5" s="352"/>
      <c r="CE5" s="352"/>
      <c r="CF5" s="352">
        <f>CF4/CF3</f>
        <v>1.9836956521739131</v>
      </c>
      <c r="CG5" s="352">
        <f>CG4/CG3</f>
        <v>2.0165745856353592</v>
      </c>
      <c r="CJ5" s="352">
        <f>CJ4/CJ3</f>
        <v>1.9891304347826086</v>
      </c>
      <c r="CK5" s="352">
        <f>CK4/CK3</f>
        <v>2.0109890109890109</v>
      </c>
      <c r="CN5" s="352">
        <f>CN4/CN3</f>
        <v>1.9836956521739131</v>
      </c>
      <c r="CO5" s="352">
        <f>CO4/CO3</f>
        <v>2.0165745856353592</v>
      </c>
      <c r="CR5" s="352">
        <f>CR4/CR3</f>
        <v>1.9836956521739131</v>
      </c>
      <c r="CS5" s="352">
        <f>CS4/CS3</f>
        <v>2.0165745856353592</v>
      </c>
      <c r="CV5" s="352">
        <f>CV4/CV3</f>
        <v>1.9836956521739131</v>
      </c>
      <c r="CW5" s="352">
        <f>CW4/CW3</f>
        <v>2.0165745856353592</v>
      </c>
      <c r="CZ5" s="352">
        <f>CZ4/CZ3</f>
        <v>1.9891304347826086</v>
      </c>
      <c r="DA5" s="352">
        <f>DA4/DA3</f>
        <v>2.0109890109890109</v>
      </c>
      <c r="DD5" s="352">
        <f>DD4/DD3</f>
        <v>1.9836956521739131</v>
      </c>
      <c r="DE5" s="352">
        <f>DE4/DE3</f>
        <v>2.0165745856353592</v>
      </c>
      <c r="DH5" s="352">
        <f>DH4/DH3</f>
        <v>1.9836956521739131</v>
      </c>
      <c r="DI5" s="352">
        <f>DI4/DI3</f>
        <v>2.0165745856353592</v>
      </c>
      <c r="DL5" s="352">
        <f>DL4/DL3</f>
        <v>1.9836956521739131</v>
      </c>
      <c r="DM5" s="352">
        <f>DM4/DM3</f>
        <v>2.0165745856353592</v>
      </c>
      <c r="DP5" s="352">
        <f>DP4/DP3</f>
        <v>1.9891304347826086</v>
      </c>
      <c r="DQ5" s="352">
        <f>DQ4/DQ3</f>
        <v>2.0109890109890109</v>
      </c>
      <c r="DT5" s="1"/>
      <c r="DU5" s="1"/>
      <c r="DV5" s="1"/>
      <c r="DW5" s="1"/>
      <c r="DX5" s="1"/>
      <c r="DY5" s="1"/>
      <c r="DZ5" s="1"/>
      <c r="EA5" s="1"/>
      <c r="EB5" s="1"/>
      <c r="EC5" s="1"/>
      <c r="ED5" s="1"/>
      <c r="EE5" s="1"/>
      <c r="EF5" s="1"/>
      <c r="EG5" s="1"/>
      <c r="EH5" s="1"/>
      <c r="EI5" s="1"/>
      <c r="EJ5" s="1"/>
      <c r="EK5" s="1"/>
      <c r="EL5" s="1"/>
      <c r="EM5" s="1"/>
      <c r="EN5" s="1"/>
      <c r="EO5" s="1"/>
      <c r="EP5" s="1"/>
      <c r="EQ5" s="1"/>
      <c r="ER5" s="1"/>
      <c r="ES5" s="1"/>
      <c r="ET5" s="1"/>
      <c r="EU5" s="1"/>
      <c r="EV5" s="1"/>
      <c r="EW5" s="1"/>
      <c r="EX5" s="1"/>
      <c r="EY5" s="1"/>
      <c r="EZ5" s="1"/>
      <c r="FA5" s="1"/>
      <c r="FB5" s="1"/>
      <c r="FC5" s="1"/>
      <c r="FD5" s="1"/>
      <c r="FE5" s="1"/>
      <c r="FF5" s="1"/>
      <c r="FG5" s="1"/>
      <c r="FH5" s="1"/>
      <c r="FI5" s="1"/>
      <c r="FJ5" s="1"/>
      <c r="FK5" s="1"/>
      <c r="FL5" s="1"/>
      <c r="FM5" s="1"/>
      <c r="FN5" s="1"/>
      <c r="FO5" s="1"/>
      <c r="FP5" s="1"/>
      <c r="FQ5" s="1"/>
      <c r="FR5" s="1"/>
      <c r="FS5" s="1"/>
      <c r="FT5" s="1"/>
      <c r="FU5" s="1"/>
      <c r="FV5" s="1"/>
      <c r="FW5" s="1"/>
      <c r="FX5" s="1"/>
      <c r="FY5" s="1"/>
      <c r="FZ5" s="1"/>
      <c r="GA5" s="1"/>
      <c r="GB5" s="1"/>
      <c r="GC5" s="1"/>
      <c r="GD5" s="1"/>
      <c r="GE5" s="1"/>
      <c r="GF5" s="1"/>
      <c r="GG5" s="1"/>
      <c r="GH5" s="1"/>
      <c r="GI5" s="1"/>
      <c r="GJ5" s="1"/>
      <c r="GK5" s="1"/>
      <c r="GL5" s="1"/>
      <c r="GM5" s="1"/>
      <c r="GN5" s="1"/>
      <c r="GO5" s="1"/>
      <c r="GP5" s="1"/>
      <c r="GQ5" s="1"/>
      <c r="GR5" s="1"/>
      <c r="GS5" s="1"/>
      <c r="GT5" s="1"/>
      <c r="GU5" s="1"/>
      <c r="GV5" s="1"/>
      <c r="GW5" s="1"/>
      <c r="GX5" s="1"/>
      <c r="GY5" s="1"/>
      <c r="GZ5" s="1"/>
      <c r="HA5" s="1"/>
      <c r="HB5" s="1"/>
      <c r="HC5" s="1"/>
      <c r="HD5" s="1"/>
      <c r="HE5" s="1"/>
      <c r="HF5" s="1"/>
      <c r="HG5" s="1"/>
      <c r="HH5" s="1"/>
      <c r="HI5" s="1"/>
      <c r="HJ5" s="1"/>
      <c r="HK5" s="1"/>
      <c r="HL5" s="1"/>
      <c r="HM5" s="1"/>
      <c r="HN5" s="1"/>
      <c r="HO5" s="1"/>
      <c r="HP5" s="1"/>
      <c r="HQ5" s="1"/>
      <c r="HR5" s="1"/>
      <c r="HS5" s="1"/>
      <c r="HT5" s="1"/>
      <c r="HU5" s="1"/>
      <c r="HV5" s="1"/>
      <c r="HW5" s="1"/>
      <c r="HX5" s="1"/>
      <c r="HY5" s="1"/>
      <c r="HZ5" s="1"/>
      <c r="IA5" s="1"/>
      <c r="IB5" s="1"/>
      <c r="IC5" s="1"/>
      <c r="ID5" s="1"/>
      <c r="IE5" s="1"/>
      <c r="IF5" s="1"/>
      <c r="IG5" s="1"/>
      <c r="IH5" s="1"/>
      <c r="II5" s="1"/>
      <c r="IJ5" s="1"/>
      <c r="IK5" s="1"/>
      <c r="IL5" s="1"/>
      <c r="IM5" s="1"/>
      <c r="IN5" s="1"/>
      <c r="IO5" s="1"/>
      <c r="IP5" s="1"/>
      <c r="IQ5" s="1"/>
      <c r="IR5" s="1"/>
      <c r="IS5" s="1"/>
      <c r="IT5" s="1"/>
      <c r="IU5" s="1"/>
      <c r="IV5" s="1"/>
      <c r="IW5" s="1"/>
      <c r="IX5" s="1"/>
      <c r="IY5" s="1"/>
      <c r="IZ5" s="1"/>
      <c r="JA5" s="1"/>
      <c r="JB5" s="1"/>
      <c r="JC5" s="1"/>
      <c r="JD5" s="1"/>
    </row>
    <row r="6" spans="1:264" s="347" customFormat="1" ht="13.5" customHeight="1" x14ac:dyDescent="0.25">
      <c r="A6" s="353"/>
      <c r="B6" s="354"/>
      <c r="C6" s="355"/>
      <c r="D6" s="356"/>
      <c r="E6" s="356"/>
      <c r="F6" s="357">
        <v>2000</v>
      </c>
      <c r="G6" s="356" t="s">
        <v>140</v>
      </c>
      <c r="H6" s="356"/>
      <c r="I6" s="356"/>
      <c r="J6" s="357">
        <v>2001</v>
      </c>
      <c r="K6" s="356" t="s">
        <v>140</v>
      </c>
      <c r="L6" s="356"/>
      <c r="M6" s="356"/>
      <c r="N6" s="357">
        <v>2002</v>
      </c>
      <c r="O6" s="356" t="s">
        <v>140</v>
      </c>
      <c r="P6" s="356"/>
      <c r="Q6" s="356"/>
      <c r="R6" s="357">
        <v>2003</v>
      </c>
      <c r="S6" s="356" t="s">
        <v>140</v>
      </c>
      <c r="T6" s="356"/>
      <c r="U6" s="356"/>
      <c r="V6" s="357">
        <v>2004</v>
      </c>
      <c r="W6" s="356" t="s">
        <v>140</v>
      </c>
      <c r="X6" s="356"/>
      <c r="Y6" s="356"/>
      <c r="Z6" s="357">
        <v>2005</v>
      </c>
      <c r="AA6" s="356" t="s">
        <v>140</v>
      </c>
      <c r="AB6" s="356"/>
      <c r="AC6" s="356"/>
      <c r="AD6" s="357">
        <v>2005</v>
      </c>
      <c r="AE6" s="356" t="s">
        <v>140</v>
      </c>
      <c r="AF6" s="358"/>
      <c r="AG6" s="356"/>
      <c r="AH6" s="357">
        <v>2006</v>
      </c>
      <c r="AI6" s="356" t="s">
        <v>140</v>
      </c>
      <c r="AJ6" s="358"/>
      <c r="AK6" s="356"/>
      <c r="AL6" s="357">
        <v>2007</v>
      </c>
      <c r="AM6" s="356" t="s">
        <v>140</v>
      </c>
      <c r="AN6" s="358"/>
      <c r="AO6" s="356"/>
      <c r="AP6" s="357">
        <v>2008</v>
      </c>
      <c r="AQ6" s="359" t="s">
        <v>140</v>
      </c>
      <c r="AR6" s="358"/>
      <c r="AS6" s="356"/>
      <c r="AT6" s="357">
        <v>2009</v>
      </c>
      <c r="AU6" s="359" t="s">
        <v>140</v>
      </c>
      <c r="AV6" s="358"/>
      <c r="AW6" s="358"/>
      <c r="AX6" s="357">
        <v>2010</v>
      </c>
      <c r="AY6" s="359" t="s">
        <v>140</v>
      </c>
      <c r="AZ6" s="358"/>
      <c r="BA6" s="358"/>
      <c r="BB6" s="357">
        <v>2011</v>
      </c>
      <c r="BC6" s="359" t="s">
        <v>140</v>
      </c>
      <c r="BD6" s="358"/>
      <c r="BE6" s="358"/>
      <c r="BF6" s="357">
        <v>2012</v>
      </c>
      <c r="BG6" s="359" t="s">
        <v>140</v>
      </c>
      <c r="BH6" s="358"/>
      <c r="BI6" s="358"/>
      <c r="BJ6" s="357">
        <v>2013</v>
      </c>
      <c r="BK6" s="356" t="s">
        <v>140</v>
      </c>
      <c r="BL6" s="354"/>
      <c r="BM6" s="354"/>
      <c r="BN6" s="357">
        <v>2014</v>
      </c>
      <c r="BO6" s="356" t="s">
        <v>140</v>
      </c>
      <c r="BP6" s="354"/>
      <c r="BQ6" s="354"/>
      <c r="BR6" s="357">
        <v>2015</v>
      </c>
      <c r="BS6" s="354" t="s">
        <v>140</v>
      </c>
      <c r="BT6" s="354"/>
      <c r="BU6" s="360"/>
      <c r="BV6" s="361">
        <v>2016</v>
      </c>
      <c r="BW6" s="362" t="s">
        <v>140</v>
      </c>
      <c r="BX6" s="354"/>
      <c r="BY6" s="360"/>
      <c r="BZ6" s="361">
        <v>2017</v>
      </c>
      <c r="CA6" s="362" t="s">
        <v>140</v>
      </c>
      <c r="CB6" s="361"/>
      <c r="CC6" s="361"/>
      <c r="CD6" s="361">
        <v>2018</v>
      </c>
      <c r="CE6" s="362" t="s">
        <v>140</v>
      </c>
      <c r="CF6" s="361"/>
      <c r="CG6" s="361"/>
      <c r="CH6" s="361">
        <v>2019</v>
      </c>
      <c r="CI6" s="362" t="s">
        <v>140</v>
      </c>
      <c r="CJ6" s="361"/>
      <c r="CK6" s="360"/>
      <c r="CL6" s="361">
        <v>2020</v>
      </c>
      <c r="CM6" s="362" t="s">
        <v>140</v>
      </c>
      <c r="CN6" s="361"/>
      <c r="CO6" s="360"/>
      <c r="CP6" s="361">
        <v>2021</v>
      </c>
      <c r="CQ6" s="362" t="s">
        <v>140</v>
      </c>
      <c r="CR6" s="360"/>
      <c r="CS6" s="360"/>
      <c r="CT6" s="361">
        <v>2022</v>
      </c>
      <c r="CU6" s="362" t="s">
        <v>140</v>
      </c>
      <c r="CV6" s="360"/>
      <c r="CW6" s="360"/>
      <c r="CX6" s="361">
        <f>YEAR(CX2)</f>
        <v>2023</v>
      </c>
      <c r="CY6" s="362" t="s">
        <v>140</v>
      </c>
      <c r="CZ6" s="360"/>
      <c r="DA6" s="360"/>
      <c r="DB6" s="361">
        <f>YEAR(DB2)</f>
        <v>2024</v>
      </c>
      <c r="DC6" s="362" t="s">
        <v>140</v>
      </c>
      <c r="DD6" s="360"/>
      <c r="DE6" s="360"/>
      <c r="DF6" s="361">
        <f>YEAR(DF2)</f>
        <v>2025</v>
      </c>
      <c r="DG6" s="362" t="s">
        <v>140</v>
      </c>
      <c r="DH6" s="360"/>
      <c r="DI6" s="363"/>
      <c r="DJ6" s="364">
        <f>YEAR(DJ2)</f>
        <v>2026</v>
      </c>
      <c r="DK6" s="365" t="s">
        <v>140</v>
      </c>
      <c r="DL6" s="363"/>
      <c r="DM6" s="363"/>
      <c r="DN6" s="364">
        <f>YEAR(DN2)</f>
        <v>2027</v>
      </c>
      <c r="DO6" s="365" t="s">
        <v>140</v>
      </c>
      <c r="DP6" s="363"/>
      <c r="DQ6" s="363"/>
      <c r="DR6" s="364">
        <f>YEAR(DR2)</f>
        <v>2028</v>
      </c>
      <c r="DS6" s="365" t="s">
        <v>140</v>
      </c>
      <c r="DT6" s="1"/>
      <c r="DU6" s="1"/>
      <c r="DV6" s="1"/>
      <c r="DW6" s="1"/>
      <c r="DX6" s="1"/>
      <c r="DY6" s="1"/>
      <c r="DZ6" s="1"/>
      <c r="EA6" s="1"/>
      <c r="EB6" s="1"/>
      <c r="EC6" s="1"/>
      <c r="ED6" s="1"/>
      <c r="EE6" s="1"/>
      <c r="EF6" s="1"/>
      <c r="EG6" s="1"/>
      <c r="EH6" s="1"/>
      <c r="EI6" s="1"/>
      <c r="EJ6" s="1"/>
      <c r="EK6" s="1"/>
      <c r="EL6" s="1"/>
      <c r="EM6" s="1"/>
      <c r="EN6" s="1"/>
      <c r="EO6" s="1"/>
      <c r="EP6" s="1"/>
      <c r="EQ6" s="1"/>
      <c r="ER6" s="1"/>
      <c r="ES6" s="1"/>
      <c r="ET6" s="1"/>
      <c r="EU6" s="1"/>
      <c r="EV6" s="1"/>
      <c r="EW6" s="1"/>
      <c r="EX6" s="1"/>
      <c r="EY6" s="1"/>
      <c r="EZ6" s="1"/>
      <c r="FA6" s="1"/>
      <c r="FB6" s="1"/>
      <c r="FC6" s="1"/>
      <c r="FD6" s="1"/>
      <c r="FE6" s="1"/>
      <c r="FF6" s="1"/>
      <c r="FG6" s="1"/>
      <c r="FH6" s="1"/>
      <c r="FI6" s="1"/>
      <c r="FJ6" s="1"/>
      <c r="FK6" s="1"/>
      <c r="FL6" s="1"/>
      <c r="FM6" s="1"/>
      <c r="FN6" s="1"/>
      <c r="FO6" s="1"/>
      <c r="FP6" s="1"/>
      <c r="FQ6" s="1"/>
      <c r="FR6" s="1"/>
      <c r="FS6" s="1"/>
      <c r="FT6" s="1"/>
      <c r="FU6" s="1"/>
      <c r="FV6" s="1"/>
      <c r="FW6" s="1"/>
      <c r="FX6" s="1"/>
      <c r="FY6" s="1"/>
      <c r="FZ6" s="1"/>
      <c r="GA6" s="1"/>
      <c r="GB6" s="1"/>
      <c r="GC6" s="1"/>
      <c r="GD6" s="1"/>
      <c r="GE6" s="1"/>
      <c r="GF6" s="1"/>
      <c r="GG6" s="1"/>
      <c r="GH6" s="1"/>
      <c r="GI6" s="1"/>
      <c r="GJ6" s="1"/>
      <c r="GK6" s="1"/>
      <c r="GL6" s="1"/>
      <c r="GM6" s="1"/>
      <c r="GN6" s="1"/>
      <c r="GO6" s="1"/>
      <c r="GP6" s="1"/>
      <c r="GQ6" s="1"/>
      <c r="GR6" s="1"/>
      <c r="GS6" s="1"/>
      <c r="GT6" s="1"/>
      <c r="GU6" s="1"/>
      <c r="GV6" s="1"/>
      <c r="GW6" s="1"/>
      <c r="GX6" s="1"/>
      <c r="GY6" s="1"/>
      <c r="GZ6" s="1"/>
      <c r="HA6" s="1"/>
      <c r="HB6" s="1"/>
      <c r="HC6" s="1"/>
      <c r="HD6" s="1"/>
      <c r="HE6" s="1"/>
      <c r="HF6" s="1"/>
      <c r="HG6" s="1"/>
      <c r="HH6" s="1"/>
      <c r="HI6" s="1"/>
      <c r="HJ6" s="1"/>
      <c r="HK6" s="1"/>
      <c r="HL6" s="1"/>
      <c r="HM6" s="1"/>
      <c r="HN6" s="1"/>
      <c r="HO6" s="1"/>
      <c r="HP6" s="1"/>
      <c r="HQ6" s="1"/>
      <c r="HR6" s="1"/>
      <c r="HS6" s="1"/>
      <c r="HT6" s="1"/>
      <c r="HU6" s="1"/>
      <c r="HV6" s="1"/>
      <c r="HW6" s="1"/>
      <c r="HX6" s="1"/>
      <c r="HY6" s="1"/>
      <c r="HZ6" s="1"/>
      <c r="IA6" s="1"/>
      <c r="IB6" s="1"/>
      <c r="IC6" s="1"/>
      <c r="ID6" s="1"/>
      <c r="IE6" s="1"/>
      <c r="IF6" s="1"/>
      <c r="IG6" s="1"/>
      <c r="IH6" s="1"/>
      <c r="II6" s="1"/>
      <c r="IJ6" s="1"/>
      <c r="IK6" s="1"/>
      <c r="IL6" s="1"/>
      <c r="IM6" s="1"/>
      <c r="IN6" s="1"/>
      <c r="IO6" s="1"/>
      <c r="IP6" s="1"/>
      <c r="IQ6" s="1"/>
      <c r="IR6" s="1"/>
      <c r="IS6" s="1"/>
      <c r="IT6" s="1"/>
      <c r="IU6" s="1"/>
      <c r="IV6" s="1"/>
      <c r="IW6" s="1"/>
      <c r="IX6" s="1"/>
      <c r="IY6" s="1"/>
      <c r="IZ6" s="1"/>
      <c r="JA6" s="1"/>
      <c r="JB6" s="1"/>
      <c r="JC6" s="1"/>
      <c r="JD6" s="1"/>
    </row>
    <row r="7" spans="1:264" s="347" customFormat="1" ht="13.5" customHeight="1" x14ac:dyDescent="0.25">
      <c r="A7" s="366"/>
      <c r="B7" s="367"/>
      <c r="C7" s="368"/>
      <c r="D7" s="369" t="s">
        <v>141</v>
      </c>
      <c r="E7" s="369" t="s">
        <v>142</v>
      </c>
      <c r="F7" s="367" t="s">
        <v>143</v>
      </c>
      <c r="G7" s="367" t="s">
        <v>144</v>
      </c>
      <c r="H7" s="369" t="s">
        <v>145</v>
      </c>
      <c r="I7" s="369" t="s">
        <v>146</v>
      </c>
      <c r="J7" s="367" t="s">
        <v>147</v>
      </c>
      <c r="K7" s="367" t="s">
        <v>144</v>
      </c>
      <c r="L7" s="369" t="s">
        <v>148</v>
      </c>
      <c r="M7" s="369" t="s">
        <v>149</v>
      </c>
      <c r="N7" s="367" t="s">
        <v>150</v>
      </c>
      <c r="O7" s="367" t="s">
        <v>144</v>
      </c>
      <c r="P7" s="369" t="s">
        <v>151</v>
      </c>
      <c r="Q7" s="369" t="s">
        <v>152</v>
      </c>
      <c r="R7" s="367" t="s">
        <v>153</v>
      </c>
      <c r="S7" s="367" t="s">
        <v>144</v>
      </c>
      <c r="T7" s="369" t="s">
        <v>154</v>
      </c>
      <c r="U7" s="369" t="s">
        <v>155</v>
      </c>
      <c r="V7" s="367" t="s">
        <v>156</v>
      </c>
      <c r="W7" s="367" t="s">
        <v>144</v>
      </c>
      <c r="X7" s="369" t="s">
        <v>157</v>
      </c>
      <c r="Y7" s="369" t="s">
        <v>158</v>
      </c>
      <c r="Z7" s="370">
        <v>2005</v>
      </c>
      <c r="AA7" s="367" t="s">
        <v>144</v>
      </c>
      <c r="AB7" s="369" t="s">
        <v>157</v>
      </c>
      <c r="AC7" s="369" t="s">
        <v>158</v>
      </c>
      <c r="AD7" s="367" t="s">
        <v>159</v>
      </c>
      <c r="AE7" s="367" t="s">
        <v>144</v>
      </c>
      <c r="AF7" s="369" t="s">
        <v>160</v>
      </c>
      <c r="AG7" s="369" t="s">
        <v>161</v>
      </c>
      <c r="AH7" s="367" t="s">
        <v>162</v>
      </c>
      <c r="AI7" s="367" t="s">
        <v>144</v>
      </c>
      <c r="AJ7" s="369" t="s">
        <v>163</v>
      </c>
      <c r="AK7" s="369" t="s">
        <v>164</v>
      </c>
      <c r="AL7" s="367" t="s">
        <v>165</v>
      </c>
      <c r="AM7" s="367" t="s">
        <v>144</v>
      </c>
      <c r="AN7" s="369" t="s">
        <v>166</v>
      </c>
      <c r="AO7" s="369" t="s">
        <v>167</v>
      </c>
      <c r="AP7" s="367" t="s">
        <v>168</v>
      </c>
      <c r="AQ7" s="371" t="s">
        <v>144</v>
      </c>
      <c r="AR7" s="369" t="s">
        <v>169</v>
      </c>
      <c r="AS7" s="369" t="s">
        <v>170</v>
      </c>
      <c r="AT7" s="367" t="s">
        <v>171</v>
      </c>
      <c r="AU7" s="371" t="s">
        <v>144</v>
      </c>
      <c r="AV7" s="369" t="s">
        <v>172</v>
      </c>
      <c r="AW7" s="369" t="s">
        <v>173</v>
      </c>
      <c r="AX7" s="367" t="s">
        <v>174</v>
      </c>
      <c r="AY7" s="371" t="s">
        <v>144</v>
      </c>
      <c r="AZ7" s="369" t="s">
        <v>175</v>
      </c>
      <c r="BA7" s="369" t="s">
        <v>176</v>
      </c>
      <c r="BB7" s="367" t="s">
        <v>177</v>
      </c>
      <c r="BC7" s="371" t="s">
        <v>144</v>
      </c>
      <c r="BD7" s="369" t="s">
        <v>178</v>
      </c>
      <c r="BE7" s="369" t="s">
        <v>179</v>
      </c>
      <c r="BF7" s="367" t="s">
        <v>180</v>
      </c>
      <c r="BG7" s="371" t="s">
        <v>144</v>
      </c>
      <c r="BH7" s="369" t="s">
        <v>181</v>
      </c>
      <c r="BI7" s="369" t="s">
        <v>182</v>
      </c>
      <c r="BJ7" s="367" t="s">
        <v>183</v>
      </c>
      <c r="BK7" s="367" t="s">
        <v>144</v>
      </c>
      <c r="BL7" s="367" t="s">
        <v>184</v>
      </c>
      <c r="BM7" s="367" t="s">
        <v>185</v>
      </c>
      <c r="BN7" s="367" t="s">
        <v>186</v>
      </c>
      <c r="BO7" s="367" t="s">
        <v>144</v>
      </c>
      <c r="BP7" s="367" t="s">
        <v>187</v>
      </c>
      <c r="BQ7" s="367" t="s">
        <v>188</v>
      </c>
      <c r="BR7" s="367" t="s">
        <v>189</v>
      </c>
      <c r="BS7" s="367" t="s">
        <v>144</v>
      </c>
      <c r="BT7" s="367" t="s">
        <v>190</v>
      </c>
      <c r="BU7" s="372" t="s">
        <v>191</v>
      </c>
      <c r="BV7" s="372" t="s">
        <v>192</v>
      </c>
      <c r="BW7" s="372" t="s">
        <v>144</v>
      </c>
      <c r="BX7" s="367" t="s">
        <v>193</v>
      </c>
      <c r="BY7" s="372" t="s">
        <v>194</v>
      </c>
      <c r="BZ7" s="372" t="s">
        <v>195</v>
      </c>
      <c r="CA7" s="372" t="s">
        <v>144</v>
      </c>
      <c r="CB7" s="372" t="s">
        <v>196</v>
      </c>
      <c r="CC7" s="372" t="s">
        <v>197</v>
      </c>
      <c r="CD7" s="372" t="s">
        <v>198</v>
      </c>
      <c r="CE7" s="372" t="s">
        <v>144</v>
      </c>
      <c r="CF7" s="372" t="s">
        <v>199</v>
      </c>
      <c r="CG7" s="372" t="s">
        <v>200</v>
      </c>
      <c r="CH7" s="372" t="s">
        <v>201</v>
      </c>
      <c r="CI7" s="372" t="s">
        <v>144</v>
      </c>
      <c r="CJ7" s="372" t="s">
        <v>202</v>
      </c>
      <c r="CK7" s="372" t="s">
        <v>203</v>
      </c>
      <c r="CL7" s="372" t="s">
        <v>204</v>
      </c>
      <c r="CM7" s="372" t="s">
        <v>144</v>
      </c>
      <c r="CN7" s="372" t="s">
        <v>205</v>
      </c>
      <c r="CO7" s="372" t="s">
        <v>206</v>
      </c>
      <c r="CP7" s="372" t="s">
        <v>207</v>
      </c>
      <c r="CQ7" s="372" t="s">
        <v>144</v>
      </c>
      <c r="CR7" s="372" t="s">
        <v>208</v>
      </c>
      <c r="CS7" s="372" t="s">
        <v>209</v>
      </c>
      <c r="CT7" s="372" t="s">
        <v>210</v>
      </c>
      <c r="CU7" s="372" t="s">
        <v>144</v>
      </c>
      <c r="CV7" s="372" t="s">
        <v>211</v>
      </c>
      <c r="CW7" s="372" t="s">
        <v>212</v>
      </c>
      <c r="CX7" s="372" t="s">
        <v>213</v>
      </c>
      <c r="CY7" s="372" t="s">
        <v>144</v>
      </c>
      <c r="CZ7" s="372" t="s">
        <v>214</v>
      </c>
      <c r="DA7" s="372" t="s">
        <v>215</v>
      </c>
      <c r="DB7" s="372" t="s">
        <v>216</v>
      </c>
      <c r="DC7" s="372" t="s">
        <v>144</v>
      </c>
      <c r="DD7" s="372" t="s">
        <v>1117</v>
      </c>
      <c r="DE7" s="372" t="s">
        <v>1152</v>
      </c>
      <c r="DF7" s="372" t="s">
        <v>1153</v>
      </c>
      <c r="DG7" s="372" t="s">
        <v>144</v>
      </c>
      <c r="DH7" s="372" t="str">
        <f>"1H"&amp;RIGHT(DJ6,2)</f>
        <v>1H26</v>
      </c>
      <c r="DI7" s="373" t="str">
        <f>"2H"&amp;RIGHT(DJ6,2)&amp;"E"</f>
        <v>2H26E</v>
      </c>
      <c r="DJ7" s="373" t="str">
        <f>"FY"&amp;RIGHT(DJ6,2)&amp;"E"</f>
        <v>FY26E</v>
      </c>
      <c r="DK7" s="373" t="s">
        <v>144</v>
      </c>
      <c r="DL7" s="373" t="str">
        <f>"1H"&amp;RIGHT(DN6,2)&amp;"E"</f>
        <v>1H27E</v>
      </c>
      <c r="DM7" s="373" t="str">
        <f>"2H"&amp;RIGHT(DN6,2)&amp;"E"</f>
        <v>2H27E</v>
      </c>
      <c r="DN7" s="373" t="str">
        <f>"FY"&amp;RIGHT(DN6,2)&amp;"E"</f>
        <v>FY27E</v>
      </c>
      <c r="DO7" s="373" t="s">
        <v>144</v>
      </c>
      <c r="DP7" s="373" t="str">
        <f>"1H"&amp;RIGHT(DR6,2)&amp;"E"</f>
        <v>1H28E</v>
      </c>
      <c r="DQ7" s="373" t="str">
        <f>"2H"&amp;RIGHT(DR6,2)&amp;"E"</f>
        <v>2H28E</v>
      </c>
      <c r="DR7" s="373" t="str">
        <f>"FY"&amp;RIGHT(DR6,2)&amp;"E"</f>
        <v>FY28E</v>
      </c>
      <c r="DS7" s="373" t="s">
        <v>144</v>
      </c>
      <c r="DT7" s="1"/>
      <c r="DU7" s="1"/>
      <c r="DV7" s="1"/>
      <c r="DW7" s="1"/>
      <c r="DX7" s="1"/>
      <c r="DY7" s="1"/>
      <c r="DZ7" s="1"/>
      <c r="EA7" s="1"/>
      <c r="EB7" s="1"/>
      <c r="EC7" s="1"/>
      <c r="ED7" s="1"/>
      <c r="EE7" s="1"/>
      <c r="EF7" s="1"/>
      <c r="EG7" s="1"/>
      <c r="EH7" s="1"/>
      <c r="EI7" s="1"/>
      <c r="EJ7" s="1"/>
      <c r="EK7" s="1"/>
      <c r="EL7" s="1"/>
      <c r="EM7" s="1"/>
      <c r="EN7" s="1"/>
      <c r="EO7" s="1"/>
      <c r="EP7" s="1"/>
      <c r="EQ7" s="1"/>
      <c r="ER7" s="1"/>
      <c r="ES7" s="1"/>
      <c r="ET7" s="1"/>
      <c r="EU7" s="1"/>
      <c r="EV7" s="1"/>
      <c r="EW7" s="1"/>
      <c r="EX7" s="1"/>
      <c r="EY7" s="1"/>
      <c r="EZ7" s="1"/>
      <c r="FA7" s="1"/>
      <c r="FB7" s="1"/>
      <c r="FC7" s="1"/>
      <c r="FD7" s="1"/>
      <c r="FE7" s="1"/>
      <c r="FF7" s="1"/>
      <c r="FG7" s="1"/>
      <c r="FH7" s="1"/>
      <c r="FI7" s="1"/>
      <c r="FJ7" s="1"/>
      <c r="FK7" s="1"/>
      <c r="FL7" s="1"/>
      <c r="FM7" s="1"/>
      <c r="FN7" s="1"/>
      <c r="FO7" s="1"/>
      <c r="FP7" s="1"/>
      <c r="FQ7" s="1"/>
      <c r="FR7" s="1"/>
      <c r="FS7" s="1"/>
      <c r="FT7" s="1"/>
      <c r="FU7" s="1"/>
      <c r="FV7" s="1"/>
      <c r="FW7" s="1"/>
      <c r="FX7" s="1"/>
      <c r="FY7" s="1"/>
      <c r="FZ7" s="1"/>
      <c r="GA7" s="1"/>
      <c r="GB7" s="1"/>
      <c r="GC7" s="1"/>
      <c r="GD7" s="1"/>
      <c r="GE7" s="1"/>
      <c r="GF7" s="1"/>
      <c r="GG7" s="1"/>
      <c r="GH7" s="1"/>
      <c r="GI7" s="1"/>
      <c r="GJ7" s="1"/>
      <c r="GK7" s="1"/>
      <c r="GL7" s="1"/>
      <c r="GM7" s="1"/>
      <c r="GN7" s="1"/>
      <c r="GO7" s="1"/>
      <c r="GP7" s="1"/>
      <c r="GQ7" s="1"/>
      <c r="GR7" s="1"/>
      <c r="GS7" s="1"/>
      <c r="GT7" s="1"/>
      <c r="GU7" s="1"/>
      <c r="GV7" s="1"/>
      <c r="GW7" s="1"/>
      <c r="GX7" s="1"/>
      <c r="GY7" s="1"/>
      <c r="GZ7" s="1"/>
      <c r="HA7" s="1"/>
      <c r="HB7" s="1"/>
      <c r="HC7" s="1"/>
      <c r="HD7" s="1"/>
      <c r="HE7" s="1"/>
      <c r="HF7" s="1"/>
      <c r="HG7" s="1"/>
      <c r="HH7" s="1"/>
      <c r="HI7" s="1"/>
      <c r="HJ7" s="1"/>
      <c r="HK7" s="1"/>
      <c r="HL7" s="1"/>
      <c r="HM7" s="1"/>
      <c r="HN7" s="1"/>
      <c r="HO7" s="1"/>
      <c r="HP7" s="1"/>
      <c r="HQ7" s="1"/>
      <c r="HR7" s="1"/>
      <c r="HS7" s="1"/>
      <c r="HT7" s="1"/>
      <c r="HU7" s="1"/>
      <c r="HV7" s="1"/>
      <c r="HW7" s="1"/>
      <c r="HX7" s="1"/>
      <c r="HY7" s="1"/>
      <c r="HZ7" s="1"/>
      <c r="IA7" s="1"/>
      <c r="IB7" s="1"/>
      <c r="IC7" s="1"/>
      <c r="ID7" s="1"/>
      <c r="IE7" s="1"/>
      <c r="IF7" s="1"/>
      <c r="IG7" s="1"/>
      <c r="IH7" s="1"/>
      <c r="II7" s="1"/>
      <c r="IJ7" s="1"/>
      <c r="IK7" s="1"/>
      <c r="IL7" s="1"/>
      <c r="IM7" s="1"/>
      <c r="IN7" s="1"/>
      <c r="IO7" s="1"/>
      <c r="IP7" s="1"/>
      <c r="IQ7" s="1"/>
      <c r="IR7" s="1"/>
      <c r="IS7" s="1"/>
      <c r="IT7" s="1"/>
      <c r="IU7" s="1"/>
      <c r="IV7" s="1"/>
      <c r="IW7" s="1"/>
      <c r="IX7" s="1"/>
      <c r="IY7" s="1"/>
      <c r="IZ7" s="1"/>
      <c r="JA7" s="1"/>
      <c r="JB7" s="1"/>
      <c r="JC7" s="1"/>
      <c r="JD7" s="1"/>
    </row>
    <row r="8" spans="1:264" s="347" customFormat="1" ht="13.5" customHeight="1" x14ac:dyDescent="0.25">
      <c r="A8" s="374" t="s">
        <v>217</v>
      </c>
      <c r="B8" s="375"/>
      <c r="C8" s="376"/>
      <c r="D8" s="377" t="s">
        <v>218</v>
      </c>
      <c r="E8" s="377" t="s">
        <v>218</v>
      </c>
      <c r="F8" s="377" t="s">
        <v>218</v>
      </c>
      <c r="G8" s="375"/>
      <c r="H8" s="377" t="s">
        <v>218</v>
      </c>
      <c r="I8" s="377" t="s">
        <v>218</v>
      </c>
      <c r="J8" s="377" t="s">
        <v>218</v>
      </c>
      <c r="K8" s="375"/>
      <c r="L8" s="377" t="s">
        <v>218</v>
      </c>
      <c r="M8" s="377" t="s">
        <v>218</v>
      </c>
      <c r="N8" s="377" t="s">
        <v>218</v>
      </c>
      <c r="O8" s="375"/>
      <c r="P8" s="377" t="s">
        <v>218</v>
      </c>
      <c r="Q8" s="377" t="s">
        <v>218</v>
      </c>
      <c r="R8" s="377" t="s">
        <v>218</v>
      </c>
      <c r="S8" s="375"/>
      <c r="T8" s="377" t="s">
        <v>218</v>
      </c>
      <c r="U8" s="377" t="s">
        <v>218</v>
      </c>
      <c r="V8" s="377" t="s">
        <v>218</v>
      </c>
      <c r="W8" s="375"/>
      <c r="X8" s="377" t="s">
        <v>218</v>
      </c>
      <c r="Y8" s="377" t="s">
        <v>218</v>
      </c>
      <c r="Z8" s="377" t="s">
        <v>218</v>
      </c>
      <c r="AA8" s="375"/>
      <c r="AB8" s="377" t="s">
        <v>219</v>
      </c>
      <c r="AC8" s="377" t="s">
        <v>219</v>
      </c>
      <c r="AD8" s="377" t="s">
        <v>219</v>
      </c>
      <c r="AE8" s="375"/>
      <c r="AF8" s="377" t="s">
        <v>219</v>
      </c>
      <c r="AG8" s="377" t="s">
        <v>219</v>
      </c>
      <c r="AH8" s="377" t="s">
        <v>219</v>
      </c>
      <c r="AI8" s="375"/>
      <c r="AJ8" s="377" t="s">
        <v>219</v>
      </c>
      <c r="AK8" s="377" t="s">
        <v>219</v>
      </c>
      <c r="AL8" s="377" t="s">
        <v>219</v>
      </c>
      <c r="AM8" s="375"/>
      <c r="AN8" s="377" t="s">
        <v>219</v>
      </c>
      <c r="AO8" s="377" t="s">
        <v>219</v>
      </c>
      <c r="AP8" s="377" t="s">
        <v>219</v>
      </c>
      <c r="AQ8" s="378"/>
      <c r="AR8" s="377" t="s">
        <v>219</v>
      </c>
      <c r="AS8" s="377" t="s">
        <v>219</v>
      </c>
      <c r="AT8" s="377" t="s">
        <v>219</v>
      </c>
      <c r="AU8" s="378"/>
      <c r="AV8" s="377" t="s">
        <v>219</v>
      </c>
      <c r="AW8" s="377" t="s">
        <v>219</v>
      </c>
      <c r="AX8" s="377" t="s">
        <v>219</v>
      </c>
      <c r="AY8" s="378"/>
      <c r="AZ8" s="377" t="s">
        <v>219</v>
      </c>
      <c r="BA8" s="377" t="s">
        <v>219</v>
      </c>
      <c r="BB8" s="377" t="s">
        <v>219</v>
      </c>
      <c r="BC8" s="378"/>
      <c r="BD8" s="377" t="s">
        <v>219</v>
      </c>
      <c r="BE8" s="377" t="s">
        <v>219</v>
      </c>
      <c r="BF8" s="377" t="s">
        <v>219</v>
      </c>
      <c r="BG8" s="378"/>
      <c r="BH8" s="377" t="s">
        <v>219</v>
      </c>
      <c r="BI8" s="377" t="s">
        <v>219</v>
      </c>
      <c r="BJ8" s="377" t="s">
        <v>219</v>
      </c>
      <c r="BK8" s="375"/>
      <c r="BL8" s="377" t="s">
        <v>219</v>
      </c>
      <c r="BM8" s="377" t="s">
        <v>219</v>
      </c>
      <c r="BN8" s="377" t="s">
        <v>219</v>
      </c>
      <c r="BO8" s="375"/>
      <c r="BP8" s="377" t="s">
        <v>219</v>
      </c>
      <c r="BQ8" s="377" t="s">
        <v>219</v>
      </c>
      <c r="BR8" s="377" t="s">
        <v>219</v>
      </c>
      <c r="BS8" s="377"/>
      <c r="BT8" s="377" t="s">
        <v>219</v>
      </c>
      <c r="BU8" s="379" t="s">
        <v>219</v>
      </c>
      <c r="BV8" s="379" t="s">
        <v>219</v>
      </c>
      <c r="BW8" s="380"/>
      <c r="BX8" s="377" t="s">
        <v>219</v>
      </c>
      <c r="BY8" s="379" t="s">
        <v>219</v>
      </c>
      <c r="BZ8" s="379" t="s">
        <v>219</v>
      </c>
      <c r="CA8" s="380"/>
      <c r="CB8" s="379" t="s">
        <v>219</v>
      </c>
      <c r="CC8" s="379" t="s">
        <v>219</v>
      </c>
      <c r="CD8" s="379" t="s">
        <v>219</v>
      </c>
      <c r="CE8" s="380"/>
      <c r="CF8" s="379" t="s">
        <v>219</v>
      </c>
      <c r="CG8" s="379" t="s">
        <v>219</v>
      </c>
      <c r="CH8" s="379" t="s">
        <v>219</v>
      </c>
      <c r="CI8" s="380"/>
      <c r="CJ8" s="379" t="s">
        <v>219</v>
      </c>
      <c r="CK8" s="379" t="s">
        <v>219</v>
      </c>
      <c r="CL8" s="379" t="s">
        <v>219</v>
      </c>
      <c r="CM8" s="380"/>
      <c r="CN8" s="379" t="s">
        <v>219</v>
      </c>
      <c r="CO8" s="379" t="s">
        <v>219</v>
      </c>
      <c r="CP8" s="379" t="s">
        <v>219</v>
      </c>
      <c r="CQ8" s="380"/>
      <c r="CR8" s="379" t="s">
        <v>219</v>
      </c>
      <c r="CS8" s="379" t="s">
        <v>219</v>
      </c>
      <c r="CT8" s="379" t="s">
        <v>219</v>
      </c>
      <c r="CU8" s="380"/>
      <c r="CV8" s="379" t="s">
        <v>219</v>
      </c>
      <c r="CW8" s="379" t="s">
        <v>219</v>
      </c>
      <c r="CX8" s="379" t="s">
        <v>219</v>
      </c>
      <c r="CY8" s="380"/>
      <c r="CZ8" s="379" t="s">
        <v>219</v>
      </c>
      <c r="DA8" s="379" t="s">
        <v>219</v>
      </c>
      <c r="DB8" s="379" t="s">
        <v>219</v>
      </c>
      <c r="DC8" s="380"/>
      <c r="DD8" s="379" t="s">
        <v>219</v>
      </c>
      <c r="DE8" s="379" t="s">
        <v>219</v>
      </c>
      <c r="DF8" s="379" t="s">
        <v>219</v>
      </c>
      <c r="DG8" s="380"/>
      <c r="DH8" s="379" t="s">
        <v>219</v>
      </c>
      <c r="DI8" s="381" t="s">
        <v>219</v>
      </c>
      <c r="DJ8" s="381" t="s">
        <v>219</v>
      </c>
      <c r="DK8" s="382"/>
      <c r="DL8" s="381" t="s">
        <v>219</v>
      </c>
      <c r="DM8" s="381" t="s">
        <v>219</v>
      </c>
      <c r="DN8" s="381" t="s">
        <v>219</v>
      </c>
      <c r="DO8" s="382"/>
      <c r="DP8" s="381" t="s">
        <v>219</v>
      </c>
      <c r="DQ8" s="381" t="s">
        <v>219</v>
      </c>
      <c r="DR8" s="381" t="s">
        <v>219</v>
      </c>
      <c r="DS8" s="382"/>
      <c r="DT8" s="1"/>
      <c r="DU8" s="1"/>
      <c r="DV8" s="1"/>
      <c r="DW8" s="1"/>
      <c r="DX8" s="1"/>
      <c r="DY8" s="1"/>
      <c r="DZ8" s="1"/>
      <c r="EA8" s="1"/>
      <c r="EB8" s="1"/>
      <c r="EC8" s="1"/>
      <c r="ED8" s="1"/>
      <c r="EE8" s="1"/>
      <c r="EF8" s="1"/>
      <c r="EG8" s="1"/>
      <c r="EH8" s="1"/>
      <c r="EI8" s="1"/>
      <c r="EJ8" s="1"/>
      <c r="EK8" s="1"/>
      <c r="EL8" s="1"/>
      <c r="EM8" s="1"/>
      <c r="EN8" s="1"/>
      <c r="EO8" s="1"/>
      <c r="EP8" s="1"/>
      <c r="EQ8" s="1"/>
      <c r="ER8" s="1"/>
      <c r="ES8" s="1"/>
      <c r="ET8" s="1"/>
      <c r="EU8" s="1"/>
      <c r="EV8" s="1"/>
      <c r="EW8" s="1"/>
      <c r="EX8" s="1"/>
      <c r="EY8" s="1"/>
      <c r="EZ8" s="1"/>
      <c r="FA8" s="1"/>
      <c r="FB8" s="1"/>
      <c r="FC8" s="1"/>
      <c r="FD8" s="1"/>
      <c r="FE8" s="1"/>
      <c r="FF8" s="1"/>
      <c r="FG8" s="1"/>
      <c r="FH8" s="1"/>
      <c r="FI8" s="1"/>
      <c r="FJ8" s="1"/>
      <c r="FK8" s="1"/>
      <c r="FL8" s="1"/>
      <c r="FM8" s="1"/>
      <c r="FN8" s="1"/>
      <c r="FO8" s="1"/>
      <c r="FP8" s="1"/>
      <c r="FQ8" s="1"/>
      <c r="FR8" s="1"/>
      <c r="FS8" s="1"/>
      <c r="FT8" s="1"/>
      <c r="FU8" s="1"/>
      <c r="FV8" s="1"/>
      <c r="FW8" s="1"/>
      <c r="FX8" s="1"/>
      <c r="FY8" s="1"/>
      <c r="FZ8" s="1"/>
      <c r="GA8" s="1"/>
      <c r="GB8" s="1"/>
      <c r="GC8" s="1"/>
      <c r="GD8" s="1"/>
      <c r="GE8" s="1"/>
      <c r="GF8" s="1"/>
      <c r="GG8" s="1"/>
      <c r="GH8" s="1"/>
      <c r="GI8" s="1"/>
      <c r="GJ8" s="1"/>
      <c r="GK8" s="1"/>
      <c r="GL8" s="1"/>
      <c r="GM8" s="1"/>
      <c r="GN8" s="1"/>
      <c r="GO8" s="1"/>
      <c r="GP8" s="1"/>
      <c r="GQ8" s="1"/>
      <c r="GR8" s="1"/>
      <c r="GS8" s="1"/>
      <c r="GT8" s="1"/>
      <c r="GU8" s="1"/>
      <c r="GV8" s="1"/>
      <c r="GW8" s="1"/>
      <c r="GX8" s="1"/>
      <c r="GY8" s="1"/>
      <c r="GZ8" s="1"/>
      <c r="HA8" s="1"/>
      <c r="HB8" s="1"/>
      <c r="HC8" s="1"/>
      <c r="HD8" s="1"/>
      <c r="HE8" s="1"/>
      <c r="HF8" s="1"/>
      <c r="HG8" s="1"/>
      <c r="HH8" s="1"/>
      <c r="HI8" s="1"/>
      <c r="HJ8" s="1"/>
      <c r="HK8" s="1"/>
      <c r="HL8" s="1"/>
      <c r="HM8" s="1"/>
      <c r="HN8" s="1"/>
      <c r="HO8" s="1"/>
      <c r="HP8" s="1"/>
      <c r="HQ8" s="1"/>
      <c r="HR8" s="1"/>
      <c r="HS8" s="1"/>
      <c r="HT8" s="1"/>
      <c r="HU8" s="1"/>
      <c r="HV8" s="1"/>
      <c r="HW8" s="1"/>
      <c r="HX8" s="1"/>
      <c r="HY8" s="1"/>
      <c r="HZ8" s="1"/>
      <c r="IA8" s="1"/>
      <c r="IB8" s="1"/>
      <c r="IC8" s="1"/>
      <c r="ID8" s="1"/>
      <c r="IE8" s="1"/>
      <c r="IF8" s="1"/>
      <c r="IG8" s="1"/>
      <c r="IH8" s="1"/>
      <c r="II8" s="1"/>
      <c r="IJ8" s="1"/>
      <c r="IK8" s="1"/>
      <c r="IL8" s="1"/>
      <c r="IM8" s="1"/>
      <c r="IN8" s="1"/>
      <c r="IO8" s="1"/>
      <c r="IP8" s="1"/>
      <c r="IQ8" s="1"/>
      <c r="IR8" s="1"/>
      <c r="IS8" s="1"/>
      <c r="IT8" s="1"/>
      <c r="IU8" s="1"/>
      <c r="IV8" s="1"/>
      <c r="IW8" s="1"/>
      <c r="IX8" s="1"/>
      <c r="IY8" s="1"/>
      <c r="IZ8" s="1"/>
      <c r="JA8" s="1"/>
      <c r="JB8" s="1"/>
      <c r="JC8" s="1"/>
      <c r="JD8" s="1"/>
    </row>
    <row r="9" spans="1:264" s="347" customFormat="1" x14ac:dyDescent="0.2">
      <c r="B9" s="348"/>
      <c r="BH9" s="348"/>
      <c r="BI9" s="348"/>
      <c r="BJ9" s="348"/>
      <c r="BK9" s="348"/>
      <c r="BL9" s="348"/>
      <c r="BM9" s="348"/>
      <c r="BN9" s="348"/>
      <c r="BO9" s="348"/>
      <c r="BP9" s="348"/>
      <c r="DT9" s="1"/>
      <c r="DU9" s="1"/>
      <c r="DV9" s="1"/>
      <c r="DW9" s="1"/>
      <c r="DX9" s="1"/>
      <c r="DY9" s="1"/>
      <c r="DZ9" s="1"/>
      <c r="EA9" s="1"/>
      <c r="EB9" s="1"/>
      <c r="EC9" s="1"/>
      <c r="ED9" s="1"/>
      <c r="EE9" s="1"/>
      <c r="EF9" s="1"/>
      <c r="EG9" s="1"/>
      <c r="EH9" s="1"/>
      <c r="EI9" s="1"/>
      <c r="EJ9" s="1"/>
      <c r="EK9" s="1"/>
      <c r="EL9" s="1"/>
      <c r="EM9" s="1"/>
      <c r="EN9" s="1"/>
      <c r="EO9" s="1"/>
      <c r="EP9" s="1"/>
      <c r="EQ9" s="1"/>
      <c r="ER9" s="1"/>
      <c r="ES9" s="1"/>
      <c r="ET9" s="1"/>
      <c r="EU9" s="1"/>
      <c r="EV9" s="1"/>
      <c r="EW9" s="1"/>
      <c r="EX9" s="1"/>
      <c r="EY9" s="1"/>
      <c r="EZ9" s="1"/>
      <c r="FA9" s="1"/>
      <c r="FB9" s="1"/>
      <c r="FC9" s="1"/>
      <c r="FD9" s="1"/>
      <c r="FE9" s="1"/>
      <c r="FF9" s="1"/>
      <c r="FG9" s="1"/>
      <c r="FH9" s="1"/>
      <c r="FI9" s="1"/>
      <c r="FJ9" s="1"/>
      <c r="FK9" s="1"/>
      <c r="FL9" s="1"/>
      <c r="FM9" s="1"/>
      <c r="FN9" s="1"/>
      <c r="FO9" s="1"/>
      <c r="FP9" s="1"/>
      <c r="FQ9" s="1"/>
      <c r="FR9" s="1"/>
      <c r="FS9" s="1"/>
      <c r="FT9" s="1"/>
      <c r="FU9" s="1"/>
      <c r="FV9" s="1"/>
      <c r="FW9" s="1"/>
      <c r="FX9" s="1"/>
      <c r="FY9" s="1"/>
      <c r="FZ9" s="1"/>
      <c r="GA9" s="1"/>
      <c r="GB9" s="1"/>
      <c r="GC9" s="1"/>
      <c r="GD9" s="1"/>
      <c r="GE9" s="1"/>
      <c r="GF9" s="1"/>
      <c r="GG9" s="1"/>
      <c r="GH9" s="1"/>
      <c r="GI9" s="1"/>
      <c r="GJ9" s="1"/>
      <c r="GK9" s="1"/>
      <c r="GL9" s="1"/>
      <c r="GM9" s="1"/>
      <c r="GN9" s="1"/>
      <c r="GO9" s="1"/>
      <c r="GP9" s="1"/>
      <c r="GQ9" s="1"/>
      <c r="GR9" s="1"/>
      <c r="GS9" s="1"/>
      <c r="GT9" s="1"/>
      <c r="GU9" s="1"/>
      <c r="GV9" s="1"/>
      <c r="GW9" s="1"/>
      <c r="GX9" s="1"/>
      <c r="GY9" s="1"/>
      <c r="GZ9" s="1"/>
      <c r="HA9" s="1"/>
      <c r="HB9" s="1"/>
      <c r="HC9" s="1"/>
      <c r="HD9" s="1"/>
      <c r="HE9" s="1"/>
      <c r="HF9" s="1"/>
      <c r="HG9" s="1"/>
      <c r="HH9" s="1"/>
      <c r="HI9" s="1"/>
      <c r="HJ9" s="1"/>
      <c r="HK9" s="1"/>
      <c r="HL9" s="1"/>
      <c r="HM9" s="1"/>
      <c r="HN9" s="1"/>
      <c r="HO9" s="1"/>
      <c r="HP9" s="1"/>
      <c r="HQ9" s="1"/>
      <c r="HR9" s="1"/>
      <c r="HS9" s="1"/>
      <c r="HT9" s="1"/>
      <c r="HU9" s="1"/>
      <c r="HV9" s="1"/>
      <c r="HW9" s="1"/>
      <c r="HX9" s="1"/>
      <c r="HY9" s="1"/>
      <c r="HZ9" s="1"/>
      <c r="IA9" s="1"/>
      <c r="IB9" s="1"/>
      <c r="IC9" s="1"/>
      <c r="ID9" s="1"/>
      <c r="IE9" s="1"/>
      <c r="IF9" s="1"/>
      <c r="IG9" s="1"/>
      <c r="IH9" s="1"/>
      <c r="II9" s="1"/>
      <c r="IJ9" s="1"/>
      <c r="IK9" s="1"/>
      <c r="IL9" s="1"/>
      <c r="IM9" s="1"/>
      <c r="IN9" s="1"/>
      <c r="IO9" s="1"/>
      <c r="IP9" s="1"/>
      <c r="IQ9" s="1"/>
      <c r="IR9" s="1"/>
      <c r="IS9" s="1"/>
      <c r="IT9" s="1"/>
      <c r="IU9" s="1"/>
      <c r="IV9" s="1"/>
      <c r="IW9" s="1"/>
      <c r="IX9" s="1"/>
      <c r="IY9" s="1"/>
      <c r="IZ9" s="1"/>
      <c r="JA9" s="1"/>
      <c r="JB9" s="1"/>
      <c r="JC9" s="1"/>
      <c r="JD9" s="1"/>
    </row>
    <row r="10" spans="1:264" s="386" customFormat="1" x14ac:dyDescent="0.2">
      <c r="A10" s="383" t="s">
        <v>220</v>
      </c>
      <c r="B10" s="384"/>
      <c r="C10" s="385"/>
      <c r="D10" s="385"/>
      <c r="E10" s="385"/>
      <c r="F10" s="385"/>
      <c r="G10" s="385"/>
      <c r="H10" s="385"/>
      <c r="I10" s="385"/>
      <c r="J10" s="385"/>
      <c r="K10" s="385"/>
      <c r="L10" s="385"/>
      <c r="M10" s="385"/>
      <c r="N10" s="385"/>
      <c r="O10" s="385"/>
      <c r="P10" s="385"/>
      <c r="Q10" s="385"/>
      <c r="R10" s="385"/>
      <c r="S10" s="385"/>
      <c r="T10" s="385"/>
      <c r="U10" s="385"/>
      <c r="V10" s="385"/>
      <c r="W10" s="385"/>
      <c r="X10" s="385"/>
      <c r="Y10" s="385"/>
      <c r="Z10" s="385"/>
      <c r="AA10" s="385"/>
      <c r="AB10" s="385"/>
      <c r="AC10" s="385"/>
      <c r="AD10" s="385"/>
      <c r="AE10" s="385"/>
      <c r="AF10" s="385"/>
      <c r="AG10" s="385"/>
      <c r="AH10" s="385"/>
      <c r="AI10" s="385"/>
      <c r="AJ10" s="385"/>
      <c r="AK10" s="385"/>
      <c r="AL10" s="385"/>
      <c r="AM10" s="385"/>
      <c r="AN10" s="385"/>
      <c r="AO10" s="385"/>
      <c r="AP10" s="385"/>
      <c r="AQ10" s="385"/>
      <c r="AR10" s="385"/>
      <c r="AS10" s="385"/>
      <c r="AT10" s="385"/>
      <c r="AU10" s="385"/>
      <c r="AV10" s="385"/>
      <c r="AW10" s="385"/>
      <c r="AX10" s="385"/>
      <c r="AY10" s="385"/>
      <c r="AZ10" s="385"/>
      <c r="BA10" s="385"/>
      <c r="BB10" s="385"/>
      <c r="BC10" s="385"/>
      <c r="BD10" s="385"/>
      <c r="BE10" s="385"/>
      <c r="BF10" s="385"/>
      <c r="BG10" s="385"/>
      <c r="BH10" s="384"/>
      <c r="BI10" s="384"/>
      <c r="BJ10" s="384"/>
      <c r="BK10" s="384"/>
      <c r="BL10" s="384"/>
      <c r="BM10" s="384"/>
      <c r="BN10" s="384"/>
      <c r="BO10" s="384"/>
      <c r="BP10" s="384"/>
      <c r="BQ10" s="385"/>
      <c r="BR10" s="385"/>
      <c r="BS10" s="385"/>
      <c r="BT10" s="385"/>
      <c r="BU10" s="385"/>
      <c r="BV10" s="385"/>
      <c r="BW10" s="385"/>
      <c r="BX10" s="385"/>
      <c r="BY10" s="385"/>
      <c r="BZ10" s="385"/>
      <c r="CA10" s="385"/>
      <c r="CB10" s="385"/>
      <c r="CC10" s="385"/>
      <c r="CD10" s="385"/>
      <c r="CE10" s="385"/>
      <c r="CF10" s="385"/>
      <c r="CG10" s="385"/>
      <c r="CH10" s="385"/>
      <c r="CI10" s="385"/>
      <c r="CJ10" s="385"/>
      <c r="CK10" s="385"/>
      <c r="CL10" s="385"/>
      <c r="CM10" s="385"/>
      <c r="CN10" s="385"/>
      <c r="CO10" s="385"/>
      <c r="CP10" s="385"/>
      <c r="CQ10" s="385"/>
      <c r="CR10" s="385"/>
      <c r="CS10" s="385"/>
      <c r="CT10" s="385"/>
      <c r="CU10" s="385"/>
      <c r="CV10" s="385"/>
      <c r="CW10" s="385"/>
      <c r="CX10" s="385"/>
      <c r="CY10" s="385"/>
      <c r="CZ10" s="385"/>
      <c r="DA10" s="385"/>
      <c r="DB10" s="385"/>
      <c r="DC10" s="385"/>
      <c r="DD10" s="385"/>
      <c r="DE10" s="385"/>
      <c r="DF10" s="385"/>
      <c r="DG10" s="385"/>
      <c r="DH10" s="385"/>
      <c r="DI10" s="385"/>
      <c r="DJ10" s="385"/>
      <c r="DK10" s="385"/>
      <c r="DL10" s="385"/>
      <c r="DM10" s="385"/>
      <c r="DN10" s="385"/>
      <c r="DO10" s="385"/>
      <c r="DP10" s="385"/>
      <c r="DQ10" s="385"/>
      <c r="DR10" s="385"/>
      <c r="DS10" s="385"/>
      <c r="DT10" s="1"/>
      <c r="DU10" s="1"/>
      <c r="DV10" s="1"/>
      <c r="DW10" s="1"/>
      <c r="DX10" s="1"/>
      <c r="DY10" s="1"/>
      <c r="DZ10" s="1"/>
      <c r="EA10" s="1"/>
      <c r="EB10" s="1"/>
      <c r="EC10" s="1"/>
      <c r="ED10" s="1"/>
      <c r="EE10" s="1"/>
      <c r="EF10" s="1"/>
      <c r="EG10" s="1"/>
      <c r="EH10" s="1"/>
      <c r="EI10" s="1"/>
      <c r="EJ10" s="1"/>
      <c r="EK10" s="1"/>
      <c r="EL10" s="1"/>
      <c r="EM10" s="1"/>
      <c r="EN10" s="1"/>
      <c r="EO10" s="1"/>
      <c r="EP10" s="1"/>
      <c r="EQ10" s="1"/>
      <c r="ER10" s="1"/>
      <c r="ES10" s="1"/>
      <c r="ET10" s="1"/>
      <c r="EU10" s="1"/>
      <c r="EV10" s="1"/>
      <c r="EW10" s="1"/>
      <c r="EX10" s="1"/>
      <c r="EY10" s="1"/>
      <c r="EZ10" s="1"/>
      <c r="FA10" s="1"/>
      <c r="FB10" s="1"/>
      <c r="FC10" s="1"/>
      <c r="FD10" s="1"/>
      <c r="FE10" s="1"/>
      <c r="FF10" s="1"/>
      <c r="FG10" s="1"/>
      <c r="FH10" s="1"/>
      <c r="FI10" s="1"/>
      <c r="FJ10" s="1"/>
      <c r="FK10" s="1"/>
      <c r="FL10" s="1"/>
      <c r="FM10" s="1"/>
      <c r="FN10" s="1"/>
      <c r="FO10" s="1"/>
      <c r="FP10" s="1"/>
      <c r="FQ10" s="1"/>
      <c r="FR10" s="1"/>
      <c r="FS10" s="1"/>
      <c r="FT10" s="1"/>
      <c r="FU10" s="1"/>
      <c r="FV10" s="1"/>
      <c r="FW10" s="1"/>
      <c r="FX10" s="1"/>
      <c r="FY10" s="1"/>
      <c r="FZ10" s="1"/>
      <c r="GA10" s="1"/>
      <c r="GB10" s="1"/>
      <c r="GC10" s="1"/>
      <c r="GD10" s="1"/>
      <c r="GE10" s="1"/>
      <c r="GF10" s="1"/>
      <c r="GG10" s="1"/>
      <c r="GH10" s="1"/>
      <c r="GI10" s="1"/>
      <c r="GJ10" s="1"/>
      <c r="GK10" s="1"/>
      <c r="GL10" s="1"/>
      <c r="GM10" s="1"/>
      <c r="GN10" s="1"/>
      <c r="GO10" s="1"/>
      <c r="GP10" s="1"/>
      <c r="GQ10" s="1"/>
      <c r="GR10" s="1"/>
      <c r="GS10" s="1"/>
      <c r="GT10" s="1"/>
      <c r="GU10" s="1"/>
      <c r="GV10" s="1"/>
      <c r="GW10" s="1"/>
      <c r="GX10" s="1"/>
      <c r="GY10" s="1"/>
      <c r="GZ10" s="1"/>
      <c r="HA10" s="1"/>
      <c r="HB10" s="1"/>
      <c r="HC10" s="1"/>
      <c r="HD10" s="1"/>
      <c r="HE10" s="1"/>
      <c r="HF10" s="1"/>
      <c r="HG10" s="1"/>
      <c r="HH10" s="1"/>
      <c r="HI10" s="1"/>
      <c r="HJ10" s="1"/>
      <c r="HK10" s="1"/>
      <c r="HL10" s="1"/>
      <c r="HM10" s="1"/>
      <c r="HN10" s="1"/>
      <c r="HO10" s="1"/>
      <c r="HP10" s="1"/>
      <c r="HQ10" s="1"/>
      <c r="HR10" s="1"/>
      <c r="HS10" s="1"/>
      <c r="HT10" s="1"/>
      <c r="HU10" s="1"/>
      <c r="HV10" s="1"/>
      <c r="HW10" s="1"/>
      <c r="HX10" s="1"/>
      <c r="HY10" s="1"/>
      <c r="HZ10" s="1"/>
      <c r="IA10" s="1"/>
      <c r="IB10" s="1"/>
      <c r="IC10" s="1"/>
      <c r="ID10" s="1"/>
      <c r="IE10" s="1"/>
      <c r="IF10" s="1"/>
      <c r="IG10" s="1"/>
      <c r="IH10" s="1"/>
      <c r="II10" s="1"/>
      <c r="IJ10" s="1"/>
      <c r="IK10" s="1"/>
      <c r="IL10" s="1"/>
      <c r="IM10" s="1"/>
      <c r="IN10" s="1"/>
      <c r="IO10" s="1"/>
      <c r="IP10" s="1"/>
      <c r="IQ10" s="1"/>
      <c r="IR10" s="1"/>
      <c r="IS10" s="1"/>
      <c r="IT10" s="1"/>
      <c r="IU10" s="1"/>
      <c r="IV10" s="1"/>
      <c r="IW10" s="1"/>
      <c r="IX10" s="1"/>
      <c r="IY10" s="1"/>
      <c r="IZ10" s="1"/>
      <c r="JA10" s="1"/>
      <c r="JB10" s="1"/>
      <c r="JC10" s="1"/>
      <c r="JD10" s="1"/>
    </row>
    <row r="11" spans="1:264" s="347" customFormat="1" x14ac:dyDescent="0.2">
      <c r="B11" s="348"/>
      <c r="BH11" s="348"/>
      <c r="BI11" s="348"/>
      <c r="BJ11" s="348"/>
      <c r="BK11" s="348"/>
      <c r="BL11" s="348"/>
      <c r="BM11" s="348"/>
      <c r="BN11" s="348"/>
      <c r="BO11" s="348"/>
      <c r="BP11" s="348"/>
      <c r="DT11" s="1"/>
      <c r="DU11" s="1"/>
      <c r="DV11" s="1"/>
      <c r="DW11" s="1"/>
      <c r="DX11" s="1"/>
      <c r="DY11" s="1"/>
      <c r="DZ11" s="1"/>
      <c r="EA11" s="1"/>
      <c r="EB11" s="1"/>
      <c r="EC11" s="1"/>
      <c r="ED11" s="1"/>
      <c r="EE11" s="1"/>
      <c r="EF11" s="1"/>
      <c r="EG11" s="1"/>
      <c r="EH11" s="1"/>
      <c r="EI11" s="1"/>
      <c r="EJ11" s="1"/>
      <c r="EK11" s="1"/>
      <c r="EL11" s="1"/>
      <c r="EM11" s="1"/>
      <c r="EN11" s="1"/>
      <c r="EO11" s="1"/>
      <c r="EP11" s="1"/>
      <c r="EQ11" s="1"/>
      <c r="ER11" s="1"/>
      <c r="ES11" s="1"/>
      <c r="ET11" s="1"/>
      <c r="EU11" s="1"/>
      <c r="EV11" s="1"/>
      <c r="EW11" s="1"/>
      <c r="EX11" s="1"/>
      <c r="EY11" s="1"/>
      <c r="EZ11" s="1"/>
      <c r="FA11" s="1"/>
      <c r="FB11" s="1"/>
      <c r="FC11" s="1"/>
      <c r="FD11" s="1"/>
      <c r="FE11" s="1"/>
      <c r="FF11" s="1"/>
      <c r="FG11" s="1"/>
      <c r="FH11" s="1"/>
      <c r="FI11" s="1"/>
      <c r="FJ11" s="1"/>
      <c r="FK11" s="1"/>
      <c r="FL11" s="1"/>
      <c r="FM11" s="1"/>
      <c r="FN11" s="1"/>
      <c r="FO11" s="1"/>
      <c r="FP11" s="1"/>
      <c r="FQ11" s="1"/>
      <c r="FR11" s="1"/>
      <c r="FS11" s="1"/>
      <c r="FT11" s="1"/>
      <c r="FU11" s="1"/>
      <c r="FV11" s="1"/>
      <c r="FW11" s="1"/>
      <c r="FX11" s="1"/>
      <c r="FY11" s="1"/>
      <c r="FZ11" s="1"/>
      <c r="GA11" s="1"/>
      <c r="GB11" s="1"/>
      <c r="GC11" s="1"/>
      <c r="GD11" s="1"/>
      <c r="GE11" s="1"/>
      <c r="GF11" s="1"/>
      <c r="GG11" s="1"/>
      <c r="GH11" s="1"/>
      <c r="GI11" s="1"/>
      <c r="GJ11" s="1"/>
      <c r="GK11" s="1"/>
      <c r="GL11" s="1"/>
      <c r="GM11" s="1"/>
      <c r="GN11" s="1"/>
      <c r="GO11" s="1"/>
      <c r="GP11" s="1"/>
      <c r="GQ11" s="1"/>
      <c r="GR11" s="1"/>
      <c r="GS11" s="1"/>
      <c r="GT11" s="1"/>
      <c r="GU11" s="1"/>
      <c r="GV11" s="1"/>
      <c r="GW11" s="1"/>
      <c r="GX11" s="1"/>
      <c r="GY11" s="1"/>
      <c r="GZ11" s="1"/>
      <c r="HA11" s="1"/>
      <c r="HB11" s="1"/>
      <c r="HC11" s="1"/>
      <c r="HD11" s="1"/>
      <c r="HE11" s="1"/>
      <c r="HF11" s="1"/>
      <c r="HG11" s="1"/>
      <c r="HH11" s="1"/>
      <c r="HI11" s="1"/>
      <c r="HJ11" s="1"/>
      <c r="HK11" s="1"/>
      <c r="HL11" s="1"/>
      <c r="HM11" s="1"/>
      <c r="HN11" s="1"/>
      <c r="HO11" s="1"/>
      <c r="HP11" s="1"/>
      <c r="HQ11" s="1"/>
      <c r="HR11" s="1"/>
      <c r="HS11" s="1"/>
      <c r="HT11" s="1"/>
      <c r="HU11" s="1"/>
      <c r="HV11" s="1"/>
      <c r="HW11" s="1"/>
      <c r="HX11" s="1"/>
      <c r="HY11" s="1"/>
      <c r="HZ11" s="1"/>
      <c r="IA11" s="1"/>
      <c r="IB11" s="1"/>
      <c r="IC11" s="1"/>
      <c r="ID11" s="1"/>
      <c r="IE11" s="1"/>
      <c r="IF11" s="1"/>
      <c r="IG11" s="1"/>
      <c r="IH11" s="1"/>
      <c r="II11" s="1"/>
      <c r="IJ11" s="1"/>
      <c r="IK11" s="1"/>
      <c r="IL11" s="1"/>
      <c r="IM11" s="1"/>
      <c r="IN11" s="1"/>
      <c r="IO11" s="1"/>
      <c r="IP11" s="1"/>
      <c r="IQ11" s="1"/>
      <c r="IR11" s="1"/>
      <c r="IS11" s="1"/>
      <c r="IT11" s="1"/>
      <c r="IU11" s="1"/>
      <c r="IV11" s="1"/>
      <c r="IW11" s="1"/>
      <c r="IX11" s="1"/>
      <c r="IY11" s="1"/>
      <c r="IZ11" s="1"/>
      <c r="JA11" s="1"/>
      <c r="JB11" s="1"/>
      <c r="JC11" s="1"/>
      <c r="JD11" s="1"/>
    </row>
    <row r="12" spans="1:264" s="387" customFormat="1" x14ac:dyDescent="0.2">
      <c r="A12" s="387" t="s">
        <v>221</v>
      </c>
      <c r="B12" s="388"/>
      <c r="BH12" s="389">
        <f>+BH14-BH13</f>
        <v>6862</v>
      </c>
      <c r="BI12" s="389">
        <f>+BI14-BI13</f>
        <v>7082</v>
      </c>
      <c r="BJ12" s="389">
        <f>+BJ14-BJ13</f>
        <v>13944</v>
      </c>
      <c r="BK12" s="388"/>
      <c r="BL12" s="389">
        <f>+BL14-BL13</f>
        <v>7444</v>
      </c>
      <c r="BM12" s="389">
        <f>+BM14-BM13</f>
        <v>7647</v>
      </c>
      <c r="BN12" s="389">
        <f>+BN14-BN13</f>
        <v>15091</v>
      </c>
      <c r="BO12" s="388"/>
      <c r="BP12" s="389">
        <f>+BP14-BP13</f>
        <v>7901</v>
      </c>
      <c r="BQ12" s="389">
        <f>+BQ14-BQ13</f>
        <v>7926</v>
      </c>
      <c r="BR12" s="389">
        <f>+BR14-BR13</f>
        <v>15827</v>
      </c>
      <c r="BT12" s="389">
        <f>+BT14-BT13</f>
        <v>8427</v>
      </c>
      <c r="BU12" s="389">
        <f>+BU14-BU13</f>
        <v>8508</v>
      </c>
      <c r="BV12" s="389">
        <f>+BV14-BV13</f>
        <v>16935</v>
      </c>
      <c r="BX12" s="389">
        <f>+BX14-BX13</f>
        <v>8710</v>
      </c>
      <c r="BY12" s="389">
        <f>+BY14-BY13</f>
        <v>8833</v>
      </c>
      <c r="BZ12" s="389">
        <f>+BZ14-BZ13</f>
        <v>17543</v>
      </c>
      <c r="CB12" s="389">
        <f>+CB14-CB13</f>
        <v>9437</v>
      </c>
      <c r="CC12" s="389">
        <f>+CC14-CC13</f>
        <v>9274</v>
      </c>
      <c r="CD12" s="389">
        <f>+CD14-CD13</f>
        <v>18711</v>
      </c>
      <c r="CF12" s="389">
        <f>+CF14-CF13</f>
        <v>9374</v>
      </c>
      <c r="CG12" s="389">
        <f>+CG14-CG13</f>
        <v>9220</v>
      </c>
      <c r="CH12" s="389">
        <f>+CH14-CH13</f>
        <v>18594</v>
      </c>
      <c r="CJ12" s="389">
        <f>+CJ14-CJ13</f>
        <v>9534</v>
      </c>
      <c r="CK12" s="389">
        <f>+CK14-CK13</f>
        <v>9434</v>
      </c>
      <c r="CL12" s="389">
        <f>+CL14-CL13</f>
        <v>18968</v>
      </c>
      <c r="CN12" s="389">
        <f>+CN14-CN13</f>
        <v>9781</v>
      </c>
      <c r="CO12" s="389">
        <f>+CO14-CO13</f>
        <v>9859</v>
      </c>
      <c r="CP12" s="389">
        <f>+CP14-CP13</f>
        <v>19640</v>
      </c>
      <c r="CR12" s="389">
        <f>+CR14-CR13</f>
        <v>9913</v>
      </c>
      <c r="CS12" s="389">
        <f>+CS14-CS13</f>
        <v>9903</v>
      </c>
      <c r="CT12" s="389">
        <f>+CT14-CT13</f>
        <v>19816</v>
      </c>
      <c r="CV12" s="389">
        <f>+CV14-CV13</f>
        <v>11839</v>
      </c>
      <c r="CW12" s="389">
        <f>+CW14-CW13</f>
        <v>11610</v>
      </c>
      <c r="CX12" s="389">
        <f>+CX14-CX13</f>
        <v>23449</v>
      </c>
      <c r="CZ12" s="389">
        <f>+CZ14-CZ13</f>
        <v>11613</v>
      </c>
      <c r="DA12" s="389">
        <f>+DA14-DA13</f>
        <v>11638</v>
      </c>
      <c r="DB12" s="389">
        <f>+DB14-DB13</f>
        <v>23251</v>
      </c>
      <c r="DD12" s="389">
        <f>+DD14-DD13</f>
        <v>12156</v>
      </c>
      <c r="DE12" s="389">
        <f>+DE14-DE13</f>
        <v>12325</v>
      </c>
      <c r="DF12" s="389">
        <f>+DF14-DF13</f>
        <v>24481</v>
      </c>
      <c r="DH12" s="389">
        <f>+DH14-DH13</f>
        <v>12952</v>
      </c>
      <c r="DI12" s="389">
        <f ca="1">+DI14-DI13</f>
        <v>13236.408772299721</v>
      </c>
      <c r="DJ12" s="389">
        <f ca="1">+DJ14-DJ13</f>
        <v>26188.575948141915</v>
      </c>
      <c r="DL12" s="389">
        <f ca="1">+DL14-DL13</f>
        <v>13887.534824337958</v>
      </c>
      <c r="DM12" s="389">
        <f ca="1">+DM14-DM13</f>
        <v>14008.558167974119</v>
      </c>
      <c r="DN12" s="389">
        <f ca="1">+DN14-DN13</f>
        <v>27896.092992312078</v>
      </c>
      <c r="DP12" s="389">
        <f ca="1">+DP14-DP13</f>
        <v>14517.152375123298</v>
      </c>
      <c r="DQ12" s="389">
        <f ca="1">+DQ14-DQ13</f>
        <v>14637.457945353048</v>
      </c>
      <c r="DR12" s="389">
        <f ca="1">+DR14-DR13</f>
        <v>29154.610320476346</v>
      </c>
    </row>
    <row r="13" spans="1:264" s="387" customFormat="1" x14ac:dyDescent="0.2">
      <c r="A13" s="391" t="s">
        <v>222</v>
      </c>
      <c r="B13" s="388"/>
      <c r="BD13" s="392"/>
      <c r="BE13" s="392"/>
      <c r="BF13" s="389"/>
      <c r="BH13" s="392">
        <v>0</v>
      </c>
      <c r="BI13" s="392">
        <v>0</v>
      </c>
      <c r="BJ13" s="389">
        <f>+BH13+BI13</f>
        <v>0</v>
      </c>
      <c r="BK13" s="388"/>
      <c r="BL13" s="392">
        <v>0</v>
      </c>
      <c r="BM13" s="392">
        <v>0</v>
      </c>
      <c r="BN13" s="389">
        <f>+BL13+BM13</f>
        <v>0</v>
      </c>
      <c r="BO13" s="388"/>
      <c r="BP13" s="392">
        <v>0</v>
      </c>
      <c r="BQ13" s="392">
        <v>0</v>
      </c>
      <c r="BR13" s="389">
        <f>+BP13+BQ13</f>
        <v>0</v>
      </c>
      <c r="BS13" s="393"/>
      <c r="BT13" s="392">
        <v>0</v>
      </c>
      <c r="BU13" s="392">
        <v>0</v>
      </c>
      <c r="BV13" s="389">
        <f>+BT13+BU13</f>
        <v>0</v>
      </c>
      <c r="BW13" s="393"/>
      <c r="BX13" s="392">
        <v>0</v>
      </c>
      <c r="BY13" s="392">
        <v>0</v>
      </c>
      <c r="BZ13" s="389">
        <f>+BX13+BY13</f>
        <v>0</v>
      </c>
      <c r="CA13" s="393"/>
      <c r="CB13" s="392">
        <v>-180</v>
      </c>
      <c r="CC13" s="392">
        <v>-189</v>
      </c>
      <c r="CD13" s="389">
        <f>+CB13+CC13</f>
        <v>-369</v>
      </c>
      <c r="CE13" s="393"/>
      <c r="CF13" s="392">
        <v>-186</v>
      </c>
      <c r="CG13" s="392">
        <v>-184</v>
      </c>
      <c r="CH13" s="389">
        <f>+CF13+CG13</f>
        <v>-370</v>
      </c>
      <c r="CI13" s="394"/>
      <c r="CJ13" s="392">
        <v>-184</v>
      </c>
      <c r="CK13" s="392">
        <v>-174</v>
      </c>
      <c r="CL13" s="389">
        <f>+CJ13+CK13</f>
        <v>-358</v>
      </c>
      <c r="CM13" s="393"/>
      <c r="CN13" s="392">
        <v>-181</v>
      </c>
      <c r="CO13" s="392">
        <v>-157</v>
      </c>
      <c r="CP13" s="389">
        <f>+CN13+CO13</f>
        <v>-338</v>
      </c>
      <c r="CQ13" s="393"/>
      <c r="CR13" s="392">
        <v>-165</v>
      </c>
      <c r="CS13" s="392">
        <v>-178</v>
      </c>
      <c r="CT13" s="389">
        <f>+CR13+CS13</f>
        <v>-343</v>
      </c>
      <c r="CU13" s="393"/>
      <c r="CV13" s="392">
        <v>-202</v>
      </c>
      <c r="CW13" s="392">
        <v>-191</v>
      </c>
      <c r="CX13" s="389">
        <f>+CV13+CW13</f>
        <v>-393</v>
      </c>
      <c r="CY13" s="393"/>
      <c r="CZ13" s="392">
        <v>-209</v>
      </c>
      <c r="DA13" s="392">
        <v>-218</v>
      </c>
      <c r="DB13" s="389">
        <f>+CZ13+DA13</f>
        <v>-427</v>
      </c>
      <c r="DC13" s="393"/>
      <c r="DD13" s="392">
        <v>-222</v>
      </c>
      <c r="DE13" s="392">
        <v>-236</v>
      </c>
      <c r="DF13" s="389">
        <f>+DD13+DE13</f>
        <v>-458</v>
      </c>
      <c r="DG13" s="393"/>
      <c r="DH13" s="392">
        <v>-257</v>
      </c>
      <c r="DI13" s="389">
        <f ca="1">DI905</f>
        <v>-263.80436010519225</v>
      </c>
      <c r="DJ13" s="389">
        <f ca="1">DJ905</f>
        <v>-520.97153594738393</v>
      </c>
      <c r="DK13" s="393"/>
      <c r="DL13" s="389">
        <f ca="1">DL905</f>
        <v>-277.20689343349181</v>
      </c>
      <c r="DM13" s="389">
        <f ca="1">DM905</f>
        <v>-282.50698634744697</v>
      </c>
      <c r="DN13" s="389">
        <f ca="1">DN905</f>
        <v>-559.71387978093878</v>
      </c>
      <c r="DO13" s="393"/>
      <c r="DP13" s="389">
        <f ca="1">DP905</f>
        <v>-293.28899789062393</v>
      </c>
      <c r="DQ13" s="389">
        <f ca="1">DQ905</f>
        <v>-297.66501599583336</v>
      </c>
      <c r="DR13" s="389">
        <f ca="1">DR905</f>
        <v>-590.95401388645723</v>
      </c>
      <c r="DS13" s="393"/>
    </row>
    <row r="14" spans="1:264" s="347" customFormat="1" x14ac:dyDescent="0.2">
      <c r="A14" s="395" t="s">
        <v>10</v>
      </c>
      <c r="B14" s="348"/>
      <c r="BH14" s="396">
        <v>6862</v>
      </c>
      <c r="BI14" s="396">
        <v>7082</v>
      </c>
      <c r="BJ14" s="397">
        <f>+BH14+BI14</f>
        <v>13944</v>
      </c>
      <c r="BK14" s="348"/>
      <c r="BL14" s="396">
        <v>7444</v>
      </c>
      <c r="BM14" s="396">
        <v>7647</v>
      </c>
      <c r="BN14" s="397">
        <f>+BL14+BM14</f>
        <v>15091</v>
      </c>
      <c r="BO14" s="348"/>
      <c r="BP14" s="396">
        <f>34149-18322-BQ14</f>
        <v>7901</v>
      </c>
      <c r="BQ14" s="396">
        <f>16835-8909</f>
        <v>7926</v>
      </c>
      <c r="BR14" s="397">
        <f>+BP14+BQ14</f>
        <v>15827</v>
      </c>
      <c r="BT14" s="396">
        <v>8427</v>
      </c>
      <c r="BU14" s="396">
        <v>8508</v>
      </c>
      <c r="BV14" s="397">
        <f>+BT14+BU14</f>
        <v>16935</v>
      </c>
      <c r="BX14" s="398">
        <v>8710</v>
      </c>
      <c r="BY14" s="351">
        <f>+BZ14-BX14</f>
        <v>8833</v>
      </c>
      <c r="BZ14" s="399">
        <v>17543</v>
      </c>
      <c r="CB14" s="396">
        <v>9257</v>
      </c>
      <c r="CC14" s="396">
        <v>9085</v>
      </c>
      <c r="CD14" s="397">
        <f>+CB14+CC14</f>
        <v>18342</v>
      </c>
      <c r="CF14" s="396">
        <v>9188</v>
      </c>
      <c r="CG14" s="396">
        <v>9036</v>
      </c>
      <c r="CH14" s="397">
        <f>+CF14+CG14</f>
        <v>18224</v>
      </c>
      <c r="CJ14" s="396">
        <v>9350</v>
      </c>
      <c r="CK14" s="396">
        <v>9260</v>
      </c>
      <c r="CL14" s="397">
        <f>+CJ14+CK14</f>
        <v>18610</v>
      </c>
      <c r="CM14" s="400"/>
      <c r="CN14" s="401">
        <f>9371+229</f>
        <v>9600</v>
      </c>
      <c r="CO14" s="401">
        <f>9468+234</f>
        <v>9702</v>
      </c>
      <c r="CP14" s="397">
        <f>+CN14+CO14</f>
        <v>19302</v>
      </c>
      <c r="CR14" s="396">
        <v>9748</v>
      </c>
      <c r="CS14" s="401">
        <v>9725</v>
      </c>
      <c r="CT14" s="397">
        <f>+CR14+CS14</f>
        <v>19473</v>
      </c>
      <c r="CV14" s="396">
        <v>11637</v>
      </c>
      <c r="CW14" s="396">
        <v>11419</v>
      </c>
      <c r="CX14" s="397">
        <f>+CV14+CW14</f>
        <v>23056</v>
      </c>
      <c r="CZ14" s="396">
        <v>11404</v>
      </c>
      <c r="DA14" s="396">
        <v>11420</v>
      </c>
      <c r="DB14" s="397">
        <f>+CZ14+DA14</f>
        <v>22824</v>
      </c>
      <c r="DD14" s="396">
        <v>11934</v>
      </c>
      <c r="DE14" s="396">
        <v>12089</v>
      </c>
      <c r="DF14" s="397">
        <f>+DD14+DE14</f>
        <v>24023</v>
      </c>
      <c r="DH14" s="396">
        <v>12695</v>
      </c>
      <c r="DI14" s="397">
        <f>DI565</f>
        <v>12972.604412194529</v>
      </c>
      <c r="DJ14" s="397">
        <f>+DH14+DI14</f>
        <v>25667.604412194531</v>
      </c>
      <c r="DL14" s="397">
        <f>DL565</f>
        <v>13610.327930904466</v>
      </c>
      <c r="DM14" s="397">
        <f>DM565</f>
        <v>13726.051181626672</v>
      </c>
      <c r="DN14" s="397">
        <f>+DL14+DM14</f>
        <v>27336.37911253114</v>
      </c>
      <c r="DP14" s="397">
        <f>DP565</f>
        <v>14223.863377232674</v>
      </c>
      <c r="DQ14" s="397">
        <f>DQ565</f>
        <v>14339.792929357214</v>
      </c>
      <c r="DR14" s="397">
        <f>+DP14+DQ14</f>
        <v>28563.656306589888</v>
      </c>
      <c r="DT14" s="1"/>
      <c r="DU14" s="1"/>
      <c r="DV14" s="1"/>
      <c r="DW14" s="1"/>
      <c r="DX14" s="1"/>
      <c r="DY14" s="1"/>
      <c r="DZ14" s="1"/>
      <c r="EA14" s="1"/>
      <c r="EB14" s="1"/>
      <c r="EC14" s="1"/>
      <c r="ED14" s="1"/>
      <c r="EE14" s="1"/>
      <c r="EF14" s="1"/>
      <c r="EG14" s="1"/>
      <c r="EH14" s="1"/>
      <c r="EI14" s="1"/>
      <c r="EJ14" s="1"/>
      <c r="EK14" s="1"/>
      <c r="EL14" s="1"/>
      <c r="EM14" s="1"/>
      <c r="EN14" s="1"/>
      <c r="EO14" s="1"/>
      <c r="EP14" s="1"/>
      <c r="EQ14" s="1"/>
      <c r="ER14" s="1"/>
      <c r="ES14" s="1"/>
      <c r="ET14" s="1"/>
      <c r="EU14" s="1"/>
      <c r="EV14" s="1"/>
      <c r="EW14" s="1"/>
      <c r="EX14" s="1"/>
      <c r="EY14" s="1"/>
      <c r="EZ14" s="1"/>
      <c r="FA14" s="1"/>
      <c r="FB14" s="1"/>
      <c r="FC14" s="1"/>
      <c r="FD14" s="1"/>
      <c r="FE14" s="1"/>
      <c r="FF14" s="1"/>
      <c r="FG14" s="1"/>
      <c r="FH14" s="1"/>
      <c r="FI14" s="1"/>
      <c r="FJ14" s="1"/>
      <c r="FK14" s="1"/>
      <c r="FL14" s="1"/>
      <c r="FM14" s="1"/>
      <c r="FN14" s="1"/>
      <c r="FO14" s="1"/>
      <c r="FP14" s="1"/>
      <c r="FQ14" s="1"/>
      <c r="FR14" s="1"/>
      <c r="FS14" s="1"/>
      <c r="FT14" s="1"/>
      <c r="FU14" s="1"/>
      <c r="FV14" s="1"/>
      <c r="FW14" s="1"/>
      <c r="FX14" s="1"/>
      <c r="FY14" s="1"/>
      <c r="FZ14" s="1"/>
      <c r="GA14" s="1"/>
      <c r="GB14" s="1"/>
      <c r="GC14" s="1"/>
      <c r="GD14" s="1"/>
      <c r="GE14" s="1"/>
      <c r="GF14" s="1"/>
      <c r="GG14" s="1"/>
      <c r="GH14" s="1"/>
      <c r="GI14" s="1"/>
      <c r="GJ14" s="1"/>
      <c r="GK14" s="1"/>
      <c r="GL14" s="1"/>
      <c r="GM14" s="1"/>
      <c r="GN14" s="1"/>
      <c r="GO14" s="1"/>
      <c r="GP14" s="1"/>
      <c r="GQ14" s="1"/>
      <c r="GR14" s="1"/>
      <c r="GS14" s="1"/>
      <c r="GT14" s="1"/>
      <c r="GU14" s="1"/>
      <c r="GV14" s="1"/>
      <c r="GW14" s="1"/>
      <c r="GX14" s="1"/>
      <c r="GY14" s="1"/>
      <c r="GZ14" s="1"/>
      <c r="HA14" s="1"/>
      <c r="HB14" s="1"/>
      <c r="HC14" s="1"/>
      <c r="HD14" s="1"/>
      <c r="HE14" s="1"/>
      <c r="HF14" s="1"/>
      <c r="HG14" s="1"/>
      <c r="HH14" s="1"/>
      <c r="HI14" s="1"/>
      <c r="HJ14" s="1"/>
      <c r="HK14" s="1"/>
      <c r="HL14" s="1"/>
      <c r="HM14" s="1"/>
      <c r="HN14" s="1"/>
      <c r="HO14" s="1"/>
      <c r="HP14" s="1"/>
      <c r="HQ14" s="1"/>
      <c r="HR14" s="1"/>
      <c r="HS14" s="1"/>
      <c r="HT14" s="1"/>
      <c r="HU14" s="1"/>
      <c r="HV14" s="1"/>
      <c r="HW14" s="1"/>
      <c r="HX14" s="1"/>
      <c r="HY14" s="1"/>
      <c r="HZ14" s="1"/>
      <c r="IA14" s="1"/>
      <c r="IB14" s="1"/>
      <c r="IC14" s="1"/>
      <c r="ID14" s="1"/>
      <c r="IE14" s="1"/>
      <c r="IF14" s="1"/>
      <c r="IG14" s="1"/>
      <c r="IH14" s="1"/>
      <c r="II14" s="1"/>
      <c r="IJ14" s="1"/>
      <c r="IK14" s="1"/>
      <c r="IL14" s="1"/>
      <c r="IM14" s="1"/>
      <c r="IN14" s="1"/>
      <c r="IO14" s="1"/>
      <c r="IP14" s="1"/>
      <c r="IQ14" s="1"/>
      <c r="IR14" s="1"/>
      <c r="IS14" s="1"/>
      <c r="IT14" s="1"/>
      <c r="IU14" s="1"/>
      <c r="IV14" s="1"/>
      <c r="IW14" s="1"/>
      <c r="IX14" s="1"/>
      <c r="IY14" s="1"/>
      <c r="IZ14" s="1"/>
      <c r="JA14" s="1"/>
      <c r="JB14" s="1"/>
      <c r="JC14" s="1"/>
      <c r="JD14" s="1"/>
    </row>
    <row r="15" spans="1:264" s="347" customFormat="1" x14ac:dyDescent="0.2">
      <c r="A15" s="402" t="s">
        <v>16</v>
      </c>
      <c r="B15" s="348"/>
      <c r="BH15" s="398">
        <f>993+509</f>
        <v>1502</v>
      </c>
      <c r="BI15" s="398">
        <f>997+544</f>
        <v>1541</v>
      </c>
      <c r="BJ15" s="351">
        <f>+BH15+BI15</f>
        <v>3043</v>
      </c>
      <c r="BK15" s="348"/>
      <c r="BL15" s="398">
        <f>1081+537</f>
        <v>1618</v>
      </c>
      <c r="BM15" s="398">
        <f>1049+546</f>
        <v>1595</v>
      </c>
      <c r="BN15" s="351">
        <f>+BL15+BM15</f>
        <v>3213</v>
      </c>
      <c r="BO15" s="403">
        <f>BM15/BL15-1</f>
        <v>-1.4215080346106301E-2</v>
      </c>
      <c r="BP15" s="398">
        <f>1127+528-30</f>
        <v>1625</v>
      </c>
      <c r="BQ15" s="398">
        <f>2209+1005-BP15</f>
        <v>1589</v>
      </c>
      <c r="BR15" s="351">
        <f>+BP15+BQ15</f>
        <v>3214</v>
      </c>
      <c r="BT15" s="398">
        <f>1151+507</f>
        <v>1658</v>
      </c>
      <c r="BU15" s="398">
        <f>1064+503</f>
        <v>1567</v>
      </c>
      <c r="BV15" s="351">
        <f>+BT15+BU15</f>
        <v>3225</v>
      </c>
      <c r="BX15" s="398">
        <v>1819</v>
      </c>
      <c r="BY15" s="351">
        <f>+BZ15-BX15</f>
        <v>1820</v>
      </c>
      <c r="BZ15" s="399">
        <f>2561+1078</f>
        <v>3639</v>
      </c>
      <c r="CB15" s="398">
        <f>1303+558</f>
        <v>1861</v>
      </c>
      <c r="CC15" s="398">
        <f>1265+551</f>
        <v>1816</v>
      </c>
      <c r="CD15" s="351">
        <f>+CB15+CC15</f>
        <v>3677</v>
      </c>
      <c r="CF15" s="398">
        <f>1360+507+2</f>
        <v>1869</v>
      </c>
      <c r="CG15" s="398">
        <f>1313+485+2</f>
        <v>1800</v>
      </c>
      <c r="CH15" s="351">
        <f>+CF15+CG15</f>
        <v>3669</v>
      </c>
      <c r="CJ15" s="398">
        <f>1321+483</f>
        <v>1804</v>
      </c>
      <c r="CK15" s="398">
        <f>1236+503</f>
        <v>1739</v>
      </c>
      <c r="CL15" s="351">
        <f>+CJ15+CK15</f>
        <v>3543</v>
      </c>
      <c r="CM15" s="400"/>
      <c r="CN15" s="404">
        <f>(1299-229)+525</f>
        <v>1595</v>
      </c>
      <c r="CO15" s="404">
        <f>(1265-234)+603</f>
        <v>1634</v>
      </c>
      <c r="CP15" s="351">
        <f>+CN15+CO15</f>
        <v>3229</v>
      </c>
      <c r="CR15" s="398">
        <f>1067+377</f>
        <v>1444</v>
      </c>
      <c r="CS15" s="404">
        <f>1011+359</f>
        <v>1370</v>
      </c>
      <c r="CT15" s="351">
        <f>+CR15+CS15</f>
        <v>2814</v>
      </c>
      <c r="CV15" s="398">
        <f>1013+357</f>
        <v>1370</v>
      </c>
      <c r="CW15" s="398">
        <f>967+396</f>
        <v>1363</v>
      </c>
      <c r="CX15" s="351">
        <f>+CV15+CW15</f>
        <v>2733</v>
      </c>
      <c r="CZ15" s="398">
        <f>1047+404</f>
        <v>1451</v>
      </c>
      <c r="DA15" s="398">
        <f>1069+417</f>
        <v>1486</v>
      </c>
      <c r="DB15" s="351">
        <f>+CZ15+DA15</f>
        <v>2937</v>
      </c>
      <c r="DD15" s="398">
        <f>1085+449</f>
        <v>1534</v>
      </c>
      <c r="DE15" s="398">
        <f>1014+463</f>
        <v>1477</v>
      </c>
      <c r="DF15" s="351">
        <f>+DD15+DE15</f>
        <v>3011</v>
      </c>
      <c r="DH15" s="398">
        <f>1146+465</f>
        <v>1611</v>
      </c>
      <c r="DI15" s="351">
        <f t="shared" ref="DI15:DI17" si="0">DI609</f>
        <v>1544.73</v>
      </c>
      <c r="DJ15" s="351">
        <f>+DH15+DI15</f>
        <v>3155.73</v>
      </c>
      <c r="DL15" s="351">
        <f t="shared" ref="DL15:DM17" si="1">DL609</f>
        <v>1628.9136000000001</v>
      </c>
      <c r="DM15" s="351">
        <f t="shared" si="1"/>
        <v>1586.55024</v>
      </c>
      <c r="DN15" s="351">
        <f>+DL15+DM15</f>
        <v>3215.4638400000003</v>
      </c>
      <c r="DP15" s="351">
        <f t="shared" ref="DP15:DQ15" si="2">DP609</f>
        <v>1672.4495133</v>
      </c>
      <c r="DQ15" s="351">
        <f t="shared" si="2"/>
        <v>1641.4789324860001</v>
      </c>
      <c r="DR15" s="351">
        <f>+DP15+DQ15</f>
        <v>3313.9284457860003</v>
      </c>
      <c r="DT15" s="1"/>
      <c r="DU15" s="1"/>
      <c r="DV15" s="1"/>
      <c r="DW15" s="1"/>
      <c r="DX15" s="1"/>
      <c r="DY15" s="1"/>
      <c r="DZ15" s="1"/>
      <c r="EA15" s="1"/>
      <c r="EB15" s="1"/>
      <c r="EC15" s="1"/>
      <c r="ED15" s="1"/>
      <c r="EE15" s="1"/>
      <c r="EF15" s="1"/>
      <c r="EG15" s="1"/>
      <c r="EH15" s="1"/>
      <c r="EI15" s="1"/>
      <c r="EJ15" s="1"/>
      <c r="EK15" s="1"/>
      <c r="EL15" s="1"/>
      <c r="EM15" s="1"/>
      <c r="EN15" s="1"/>
      <c r="EO15" s="1"/>
      <c r="EP15" s="1"/>
      <c r="EQ15" s="1"/>
      <c r="ER15" s="1"/>
      <c r="ES15" s="1"/>
      <c r="ET15" s="1"/>
      <c r="EU15" s="1"/>
      <c r="EV15" s="1"/>
      <c r="EW15" s="1"/>
      <c r="EX15" s="1"/>
      <c r="EY15" s="1"/>
      <c r="EZ15" s="1"/>
      <c r="FA15" s="1"/>
      <c r="FB15" s="1"/>
      <c r="FC15" s="1"/>
      <c r="FD15" s="1"/>
      <c r="FE15" s="1"/>
      <c r="FF15" s="1"/>
      <c r="FG15" s="1"/>
      <c r="FH15" s="1"/>
      <c r="FI15" s="1"/>
      <c r="FJ15" s="1"/>
      <c r="FK15" s="1"/>
      <c r="FL15" s="1"/>
      <c r="FM15" s="1"/>
      <c r="FN15" s="1"/>
      <c r="FO15" s="1"/>
      <c r="FP15" s="1"/>
      <c r="FQ15" s="1"/>
      <c r="FR15" s="1"/>
      <c r="FS15" s="1"/>
      <c r="FT15" s="1"/>
      <c r="FU15" s="1"/>
      <c r="FV15" s="1"/>
      <c r="FW15" s="1"/>
      <c r="FX15" s="1"/>
      <c r="FY15" s="1"/>
      <c r="FZ15" s="1"/>
      <c r="GA15" s="1"/>
      <c r="GB15" s="1"/>
      <c r="GC15" s="1"/>
      <c r="GD15" s="1"/>
      <c r="GE15" s="1"/>
      <c r="GF15" s="1"/>
      <c r="GG15" s="1"/>
      <c r="GH15" s="1"/>
      <c r="GI15" s="1"/>
      <c r="GJ15" s="1"/>
      <c r="GK15" s="1"/>
      <c r="GL15" s="1"/>
      <c r="GM15" s="1"/>
      <c r="GN15" s="1"/>
      <c r="GO15" s="1"/>
      <c r="GP15" s="1"/>
      <c r="GQ15" s="1"/>
      <c r="GR15" s="1"/>
      <c r="GS15" s="1"/>
      <c r="GT15" s="1"/>
      <c r="GU15" s="1"/>
      <c r="GV15" s="1"/>
      <c r="GW15" s="1"/>
      <c r="GX15" s="1"/>
      <c r="GY15" s="1"/>
      <c r="GZ15" s="1"/>
      <c r="HA15" s="1"/>
      <c r="HB15" s="1"/>
      <c r="HC15" s="1"/>
      <c r="HD15" s="1"/>
      <c r="HE15" s="1"/>
      <c r="HF15" s="1"/>
      <c r="HG15" s="1"/>
      <c r="HH15" s="1"/>
      <c r="HI15" s="1"/>
      <c r="HJ15" s="1"/>
      <c r="HK15" s="1"/>
      <c r="HL15" s="1"/>
      <c r="HM15" s="1"/>
      <c r="HN15" s="1"/>
      <c r="HO15" s="1"/>
      <c r="HP15" s="1"/>
      <c r="HQ15" s="1"/>
      <c r="HR15" s="1"/>
      <c r="HS15" s="1"/>
      <c r="HT15" s="1"/>
      <c r="HU15" s="1"/>
      <c r="HV15" s="1"/>
      <c r="HW15" s="1"/>
      <c r="HX15" s="1"/>
      <c r="HY15" s="1"/>
      <c r="HZ15" s="1"/>
      <c r="IA15" s="1"/>
      <c r="IB15" s="1"/>
      <c r="IC15" s="1"/>
      <c r="ID15" s="1"/>
      <c r="IE15" s="1"/>
      <c r="IF15" s="1"/>
      <c r="IG15" s="1"/>
      <c r="IH15" s="1"/>
      <c r="II15" s="1"/>
      <c r="IJ15" s="1"/>
      <c r="IK15" s="1"/>
      <c r="IL15" s="1"/>
      <c r="IM15" s="1"/>
      <c r="IN15" s="1"/>
      <c r="IO15" s="1"/>
      <c r="IP15" s="1"/>
      <c r="IQ15" s="1"/>
      <c r="IR15" s="1"/>
      <c r="IS15" s="1"/>
      <c r="IT15" s="1"/>
      <c r="IU15" s="1"/>
      <c r="IV15" s="1"/>
      <c r="IW15" s="1"/>
      <c r="IX15" s="1"/>
      <c r="IY15" s="1"/>
      <c r="IZ15" s="1"/>
      <c r="JA15" s="1"/>
      <c r="JB15" s="1"/>
      <c r="JC15" s="1"/>
      <c r="JD15" s="1"/>
    </row>
    <row r="16" spans="1:264" s="347" customFormat="1" x14ac:dyDescent="0.2">
      <c r="A16" s="405" t="s">
        <v>19</v>
      </c>
      <c r="B16" s="348"/>
      <c r="BH16" s="398">
        <v>443</v>
      </c>
      <c r="BI16" s="398">
        <v>420</v>
      </c>
      <c r="BJ16" s="351">
        <f>+BH16+BI16</f>
        <v>863</v>
      </c>
      <c r="BK16" s="348"/>
      <c r="BL16" s="398">
        <v>508</v>
      </c>
      <c r="BM16" s="398">
        <v>414</v>
      </c>
      <c r="BN16" s="351">
        <f>+BL16+BM16</f>
        <v>922</v>
      </c>
      <c r="BO16" s="403">
        <f>BM16/BL16-1</f>
        <v>-0.18503937007874016</v>
      </c>
      <c r="BP16" s="398">
        <v>529</v>
      </c>
      <c r="BQ16" s="398">
        <v>510</v>
      </c>
      <c r="BR16" s="351">
        <f>+BP16+BQ16</f>
        <v>1039</v>
      </c>
      <c r="BT16" s="398">
        <v>496</v>
      </c>
      <c r="BU16" s="398">
        <v>591</v>
      </c>
      <c r="BV16" s="351">
        <f>+BT16+BU16</f>
        <v>1087</v>
      </c>
      <c r="BX16" s="398">
        <v>600</v>
      </c>
      <c r="BY16" s="398">
        <v>549</v>
      </c>
      <c r="BZ16" s="351">
        <f>+BX16+BY16</f>
        <v>1149</v>
      </c>
      <c r="CB16" s="398">
        <v>556</v>
      </c>
      <c r="CC16" s="398">
        <v>469</v>
      </c>
      <c r="CD16" s="351">
        <f>+CB16+CC16</f>
        <v>1025</v>
      </c>
      <c r="CF16" s="398">
        <v>432</v>
      </c>
      <c r="CG16" s="398">
        <v>421</v>
      </c>
      <c r="CH16" s="351">
        <f>+CF16+CG16</f>
        <v>853</v>
      </c>
      <c r="CJ16" s="398">
        <v>508</v>
      </c>
      <c r="CK16" s="398">
        <v>432</v>
      </c>
      <c r="CL16" s="351">
        <f>+CJ16+CK16</f>
        <v>940</v>
      </c>
      <c r="CN16" s="398">
        <v>535</v>
      </c>
      <c r="CO16" s="398">
        <v>317</v>
      </c>
      <c r="CP16" s="351">
        <f>+CN16+CO16</f>
        <v>852</v>
      </c>
      <c r="CR16" s="398">
        <v>368</v>
      </c>
      <c r="CS16" s="398">
        <v>438</v>
      </c>
      <c r="CT16" s="351">
        <f>+CR16+CS16</f>
        <v>806</v>
      </c>
      <c r="CV16" s="398">
        <v>513</v>
      </c>
      <c r="CW16" s="398">
        <v>582</v>
      </c>
      <c r="CX16" s="351">
        <f>+CV16+CW16</f>
        <v>1095</v>
      </c>
      <c r="CZ16" s="398">
        <v>639</v>
      </c>
      <c r="DA16" s="398">
        <v>538</v>
      </c>
      <c r="DB16" s="351">
        <f>+CZ16+DA16</f>
        <v>1177</v>
      </c>
      <c r="DD16" s="398">
        <v>519</v>
      </c>
      <c r="DE16" s="398">
        <v>680</v>
      </c>
      <c r="DF16" s="351">
        <f>+DD16+DE16</f>
        <v>1199</v>
      </c>
      <c r="DH16" s="398">
        <v>603</v>
      </c>
      <c r="DI16" s="351">
        <f t="shared" si="0"/>
        <v>588.27199999999993</v>
      </c>
      <c r="DJ16" s="351">
        <f>+DH16+DI16</f>
        <v>1191.2719999999999</v>
      </c>
      <c r="DL16" s="351">
        <f t="shared" si="1"/>
        <v>615.68000000000006</v>
      </c>
      <c r="DM16" s="351">
        <f t="shared" si="1"/>
        <v>603.97415999999998</v>
      </c>
      <c r="DN16" s="351">
        <f>+DL16+DM16</f>
        <v>1219.65416</v>
      </c>
      <c r="DP16" s="351">
        <f t="shared" ref="DP16:DQ16" si="3">DP610</f>
        <v>631.7636</v>
      </c>
      <c r="DQ16" s="351">
        <f t="shared" si="3"/>
        <v>620.10846479999998</v>
      </c>
      <c r="DR16" s="351">
        <f>+DP16+DQ16</f>
        <v>1251.8720647999999</v>
      </c>
      <c r="DT16" s="1"/>
      <c r="DU16" s="1"/>
      <c r="DV16" s="1"/>
      <c r="DW16" s="1"/>
      <c r="DX16" s="1"/>
      <c r="DY16" s="1"/>
      <c r="DZ16" s="1"/>
      <c r="EA16" s="1"/>
      <c r="EB16" s="1"/>
      <c r="EC16" s="1"/>
      <c r="ED16" s="1"/>
      <c r="EE16" s="1"/>
      <c r="EF16" s="1"/>
      <c r="EG16" s="1"/>
      <c r="EH16" s="1"/>
      <c r="EI16" s="1"/>
      <c r="EJ16" s="1"/>
      <c r="EK16" s="1"/>
      <c r="EL16" s="1"/>
      <c r="EM16" s="1"/>
      <c r="EN16" s="1"/>
      <c r="EO16" s="1"/>
      <c r="EP16" s="1"/>
      <c r="EQ16" s="1"/>
      <c r="ER16" s="1"/>
      <c r="ES16" s="1"/>
      <c r="ET16" s="1"/>
      <c r="EU16" s="1"/>
      <c r="EV16" s="1"/>
      <c r="EW16" s="1"/>
      <c r="EX16" s="1"/>
      <c r="EY16" s="1"/>
      <c r="EZ16" s="1"/>
      <c r="FA16" s="1"/>
      <c r="FB16" s="1"/>
      <c r="FC16" s="1"/>
      <c r="FD16" s="1"/>
      <c r="FE16" s="1"/>
      <c r="FF16" s="1"/>
      <c r="FG16" s="1"/>
      <c r="FH16" s="1"/>
      <c r="FI16" s="1"/>
      <c r="FJ16" s="1"/>
      <c r="FK16" s="1"/>
      <c r="FL16" s="1"/>
      <c r="FM16" s="1"/>
      <c r="FN16" s="1"/>
      <c r="FO16" s="1"/>
      <c r="FP16" s="1"/>
      <c r="FQ16" s="1"/>
      <c r="FR16" s="1"/>
      <c r="FS16" s="1"/>
      <c r="FT16" s="1"/>
      <c r="FU16" s="1"/>
      <c r="FV16" s="1"/>
      <c r="FW16" s="1"/>
      <c r="FX16" s="1"/>
      <c r="FY16" s="1"/>
      <c r="FZ16" s="1"/>
      <c r="GA16" s="1"/>
      <c r="GB16" s="1"/>
      <c r="GC16" s="1"/>
      <c r="GD16" s="1"/>
      <c r="GE16" s="1"/>
      <c r="GF16" s="1"/>
      <c r="GG16" s="1"/>
      <c r="GH16" s="1"/>
      <c r="GI16" s="1"/>
      <c r="GJ16" s="1"/>
      <c r="GK16" s="1"/>
      <c r="GL16" s="1"/>
      <c r="GM16" s="1"/>
      <c r="GN16" s="1"/>
      <c r="GO16" s="1"/>
      <c r="GP16" s="1"/>
      <c r="GQ16" s="1"/>
      <c r="GR16" s="1"/>
      <c r="GS16" s="1"/>
      <c r="GT16" s="1"/>
      <c r="GU16" s="1"/>
      <c r="GV16" s="1"/>
      <c r="GW16" s="1"/>
      <c r="GX16" s="1"/>
      <c r="GY16" s="1"/>
      <c r="GZ16" s="1"/>
      <c r="HA16" s="1"/>
      <c r="HB16" s="1"/>
      <c r="HC16" s="1"/>
      <c r="HD16" s="1"/>
      <c r="HE16" s="1"/>
      <c r="HF16" s="1"/>
      <c r="HG16" s="1"/>
      <c r="HH16" s="1"/>
      <c r="HI16" s="1"/>
      <c r="HJ16" s="1"/>
      <c r="HK16" s="1"/>
      <c r="HL16" s="1"/>
      <c r="HM16" s="1"/>
      <c r="HN16" s="1"/>
      <c r="HO16" s="1"/>
      <c r="HP16" s="1"/>
      <c r="HQ16" s="1"/>
      <c r="HR16" s="1"/>
      <c r="HS16" s="1"/>
      <c r="HT16" s="1"/>
      <c r="HU16" s="1"/>
      <c r="HV16" s="1"/>
      <c r="HW16" s="1"/>
      <c r="HX16" s="1"/>
      <c r="HY16" s="1"/>
      <c r="HZ16" s="1"/>
      <c r="IA16" s="1"/>
      <c r="IB16" s="1"/>
      <c r="IC16" s="1"/>
      <c r="ID16" s="1"/>
      <c r="IE16" s="1"/>
      <c r="IF16" s="1"/>
      <c r="IG16" s="1"/>
      <c r="IH16" s="1"/>
      <c r="II16" s="1"/>
      <c r="IJ16" s="1"/>
      <c r="IK16" s="1"/>
      <c r="IL16" s="1"/>
      <c r="IM16" s="1"/>
      <c r="IN16" s="1"/>
      <c r="IO16" s="1"/>
      <c r="IP16" s="1"/>
      <c r="IQ16" s="1"/>
      <c r="IR16" s="1"/>
      <c r="IS16" s="1"/>
      <c r="IT16" s="1"/>
      <c r="IU16" s="1"/>
      <c r="IV16" s="1"/>
      <c r="IW16" s="1"/>
      <c r="IX16" s="1"/>
      <c r="IY16" s="1"/>
      <c r="IZ16" s="1"/>
      <c r="JA16" s="1"/>
      <c r="JB16" s="1"/>
      <c r="JC16" s="1"/>
      <c r="JD16" s="1"/>
    </row>
    <row r="17" spans="1:264" s="347" customFormat="1" x14ac:dyDescent="0.2">
      <c r="A17" s="402" t="s">
        <v>23</v>
      </c>
      <c r="B17" s="348"/>
      <c r="BH17" s="398">
        <v>160</v>
      </c>
      <c r="BI17" s="398">
        <v>90</v>
      </c>
      <c r="BJ17" s="351">
        <f>+BH17+BI17</f>
        <v>250</v>
      </c>
      <c r="BK17" s="348"/>
      <c r="BL17" s="398">
        <v>108</v>
      </c>
      <c r="BM17" s="398">
        <v>80</v>
      </c>
      <c r="BN17" s="351">
        <f>+BL17+BM17</f>
        <v>188</v>
      </c>
      <c r="BO17" s="403">
        <f>BM17/BL17-1</f>
        <v>-0.2592592592592593</v>
      </c>
      <c r="BP17" s="398">
        <v>202</v>
      </c>
      <c r="BQ17" s="398">
        <f>4811-BQ16-BQ15-BP17-BP16-BP15</f>
        <v>356</v>
      </c>
      <c r="BR17" s="351">
        <f>+BP17+BQ17</f>
        <v>558</v>
      </c>
      <c r="BT17" s="398">
        <f>2416-BT16-BT15</f>
        <v>262</v>
      </c>
      <c r="BU17" s="398">
        <f>2444-BU16-BU15</f>
        <v>286</v>
      </c>
      <c r="BV17" s="351">
        <f>+BT17+BU17</f>
        <v>548</v>
      </c>
      <c r="BX17" s="398">
        <v>599</v>
      </c>
      <c r="BY17" s="351">
        <f>+BZ17-BX17</f>
        <v>191</v>
      </c>
      <c r="BZ17" s="399">
        <f>352+397+41</f>
        <v>790</v>
      </c>
      <c r="CB17" s="398">
        <f>196+93</f>
        <v>289</v>
      </c>
      <c r="CC17" s="398">
        <f>84+140</f>
        <v>224</v>
      </c>
      <c r="CD17" s="351">
        <f>+CB17+CC17</f>
        <v>513</v>
      </c>
      <c r="CF17" s="398">
        <v>275</v>
      </c>
      <c r="CG17" s="398">
        <v>154</v>
      </c>
      <c r="CH17" s="351">
        <f>+CF17+CG17</f>
        <v>429</v>
      </c>
      <c r="CJ17" s="398">
        <v>231</v>
      </c>
      <c r="CK17" s="398">
        <v>123</v>
      </c>
      <c r="CL17" s="351">
        <f>+CJ17+CK17</f>
        <v>354</v>
      </c>
      <c r="CN17" s="398">
        <v>60</v>
      </c>
      <c r="CO17" s="398">
        <v>403</v>
      </c>
      <c r="CP17" s="351">
        <f>+CN17+CO17</f>
        <v>463</v>
      </c>
      <c r="CR17" s="399">
        <v>449</v>
      </c>
      <c r="CS17" s="398">
        <f>423+516</f>
        <v>939</v>
      </c>
      <c r="CT17" s="351">
        <f>+CR17+CS17</f>
        <v>1388</v>
      </c>
      <c r="CV17" s="406">
        <f>75</f>
        <v>75</v>
      </c>
      <c r="CW17" s="406">
        <f>94</f>
        <v>94</v>
      </c>
      <c r="CX17" s="351">
        <f>+CV17+CW17</f>
        <v>169</v>
      </c>
      <c r="CZ17" s="398">
        <v>100</v>
      </c>
      <c r="DA17" s="398">
        <v>25</v>
      </c>
      <c r="DB17" s="351">
        <f>+CZ17+DA17</f>
        <v>125</v>
      </c>
      <c r="DD17" s="398">
        <v>50</v>
      </c>
      <c r="DE17" s="398">
        <v>60</v>
      </c>
      <c r="DF17" s="351">
        <f>+DD17+DE17</f>
        <v>110</v>
      </c>
      <c r="DH17" s="398">
        <v>45</v>
      </c>
      <c r="DI17" s="351">
        <f t="shared" si="0"/>
        <v>47.840000000000011</v>
      </c>
      <c r="DJ17" s="351">
        <f>+DH17+DI17</f>
        <v>92.84</v>
      </c>
      <c r="DL17" s="351">
        <f t="shared" si="1"/>
        <v>48.796800000000005</v>
      </c>
      <c r="DM17" s="351">
        <f t="shared" si="1"/>
        <v>49.772736000000009</v>
      </c>
      <c r="DN17" s="351">
        <f>+DL17+DM17</f>
        <v>98.569536000000014</v>
      </c>
      <c r="DP17" s="351">
        <f t="shared" ref="DP17:DQ17" si="4">DP611</f>
        <v>50.768190720000007</v>
      </c>
      <c r="DQ17" s="351">
        <f t="shared" si="4"/>
        <v>51.783554534400011</v>
      </c>
      <c r="DR17" s="351">
        <f>+DP17+DQ17</f>
        <v>102.55174525440002</v>
      </c>
      <c r="DT17" s="1"/>
      <c r="DU17" s="1"/>
      <c r="DV17" s="1"/>
      <c r="DW17" s="1"/>
      <c r="DX17" s="1"/>
      <c r="DY17" s="1"/>
      <c r="DZ17" s="1"/>
      <c r="EA17" s="1"/>
      <c r="EB17" s="1"/>
      <c r="EC17" s="1"/>
      <c r="ED17" s="1"/>
      <c r="EE17" s="1"/>
      <c r="EF17" s="1"/>
      <c r="EG17" s="1"/>
      <c r="EH17" s="1"/>
      <c r="EI17" s="1"/>
      <c r="EJ17" s="1"/>
      <c r="EK17" s="1"/>
      <c r="EL17" s="1"/>
      <c r="EM17" s="1"/>
      <c r="EN17" s="1"/>
      <c r="EO17" s="1"/>
      <c r="EP17" s="1"/>
      <c r="EQ17" s="1"/>
      <c r="ER17" s="1"/>
      <c r="ES17" s="1"/>
      <c r="ET17" s="1"/>
      <c r="EU17" s="1"/>
      <c r="EV17" s="1"/>
      <c r="EW17" s="1"/>
      <c r="EX17" s="1"/>
      <c r="EY17" s="1"/>
      <c r="EZ17" s="1"/>
      <c r="FA17" s="1"/>
      <c r="FB17" s="1"/>
      <c r="FC17" s="1"/>
      <c r="FD17" s="1"/>
      <c r="FE17" s="1"/>
      <c r="FF17" s="1"/>
      <c r="FG17" s="1"/>
      <c r="FH17" s="1"/>
      <c r="FI17" s="1"/>
      <c r="FJ17" s="1"/>
      <c r="FK17" s="1"/>
      <c r="FL17" s="1"/>
      <c r="FM17" s="1"/>
      <c r="FN17" s="1"/>
      <c r="FO17" s="1"/>
      <c r="FP17" s="1"/>
      <c r="FQ17" s="1"/>
      <c r="FR17" s="1"/>
      <c r="FS17" s="1"/>
      <c r="FT17" s="1"/>
      <c r="FU17" s="1"/>
      <c r="FV17" s="1"/>
      <c r="FW17" s="1"/>
      <c r="FX17" s="1"/>
      <c r="FY17" s="1"/>
      <c r="FZ17" s="1"/>
      <c r="GA17" s="1"/>
      <c r="GB17" s="1"/>
      <c r="GC17" s="1"/>
      <c r="GD17" s="1"/>
      <c r="GE17" s="1"/>
      <c r="GF17" s="1"/>
      <c r="GG17" s="1"/>
      <c r="GH17" s="1"/>
      <c r="GI17" s="1"/>
      <c r="GJ17" s="1"/>
      <c r="GK17" s="1"/>
      <c r="GL17" s="1"/>
      <c r="GM17" s="1"/>
      <c r="GN17" s="1"/>
      <c r="GO17" s="1"/>
      <c r="GP17" s="1"/>
      <c r="GQ17" s="1"/>
      <c r="GR17" s="1"/>
      <c r="GS17" s="1"/>
      <c r="GT17" s="1"/>
      <c r="GU17" s="1"/>
      <c r="GV17" s="1"/>
      <c r="GW17" s="1"/>
      <c r="GX17" s="1"/>
      <c r="GY17" s="1"/>
      <c r="GZ17" s="1"/>
      <c r="HA17" s="1"/>
      <c r="HB17" s="1"/>
      <c r="HC17" s="1"/>
      <c r="HD17" s="1"/>
      <c r="HE17" s="1"/>
      <c r="HF17" s="1"/>
      <c r="HG17" s="1"/>
      <c r="HH17" s="1"/>
      <c r="HI17" s="1"/>
      <c r="HJ17" s="1"/>
      <c r="HK17" s="1"/>
      <c r="HL17" s="1"/>
      <c r="HM17" s="1"/>
      <c r="HN17" s="1"/>
      <c r="HO17" s="1"/>
      <c r="HP17" s="1"/>
      <c r="HQ17" s="1"/>
      <c r="HR17" s="1"/>
      <c r="HS17" s="1"/>
      <c r="HT17" s="1"/>
      <c r="HU17" s="1"/>
      <c r="HV17" s="1"/>
      <c r="HW17" s="1"/>
      <c r="HX17" s="1"/>
      <c r="HY17" s="1"/>
      <c r="HZ17" s="1"/>
      <c r="IA17" s="1"/>
      <c r="IB17" s="1"/>
      <c r="IC17" s="1"/>
      <c r="ID17" s="1"/>
      <c r="IE17" s="1"/>
      <c r="IF17" s="1"/>
      <c r="IG17" s="1"/>
      <c r="IH17" s="1"/>
      <c r="II17" s="1"/>
      <c r="IJ17" s="1"/>
      <c r="IK17" s="1"/>
      <c r="IL17" s="1"/>
      <c r="IM17" s="1"/>
      <c r="IN17" s="1"/>
      <c r="IO17" s="1"/>
      <c r="IP17" s="1"/>
      <c r="IQ17" s="1"/>
      <c r="IR17" s="1"/>
      <c r="IS17" s="1"/>
      <c r="IT17" s="1"/>
      <c r="IU17" s="1"/>
      <c r="IV17" s="1"/>
      <c r="IW17" s="1"/>
      <c r="IX17" s="1"/>
      <c r="IY17" s="1"/>
      <c r="IZ17" s="1"/>
      <c r="JA17" s="1"/>
      <c r="JB17" s="1"/>
      <c r="JC17" s="1"/>
      <c r="JD17" s="1"/>
    </row>
    <row r="18" spans="1:264" s="347" customFormat="1" x14ac:dyDescent="0.2">
      <c r="A18" s="407" t="s">
        <v>26</v>
      </c>
      <c r="B18" s="348"/>
      <c r="BH18" s="397">
        <f>SUM(BH15:BH17)</f>
        <v>2105</v>
      </c>
      <c r="BI18" s="397">
        <f>SUM(BI15:BI17)</f>
        <v>2051</v>
      </c>
      <c r="BJ18" s="397">
        <f>SUM(BJ15:BJ17)</f>
        <v>4156</v>
      </c>
      <c r="BK18" s="348"/>
      <c r="BL18" s="397">
        <f>SUM(BL15:BL17)</f>
        <v>2234</v>
      </c>
      <c r="BM18" s="397">
        <f>SUM(BM15:BM17)</f>
        <v>2089</v>
      </c>
      <c r="BN18" s="397">
        <f>SUM(BN15:BN17)</f>
        <v>4323</v>
      </c>
      <c r="BO18" s="408"/>
      <c r="BP18" s="397">
        <f>SUM(BP15:BP17)</f>
        <v>2356</v>
      </c>
      <c r="BQ18" s="397">
        <f>SUM(BQ15:BQ17)</f>
        <v>2455</v>
      </c>
      <c r="BR18" s="397">
        <f>SUM(BR15:BR17)</f>
        <v>4811</v>
      </c>
      <c r="BT18" s="397">
        <f>SUM(BT15:BT17)</f>
        <v>2416</v>
      </c>
      <c r="BU18" s="397">
        <f>SUM(BU15:BU17)</f>
        <v>2444</v>
      </c>
      <c r="BV18" s="397">
        <f>SUM(BV15:BV17)</f>
        <v>4860</v>
      </c>
      <c r="BX18" s="397">
        <f>SUM(BX15:BX17)</f>
        <v>3018</v>
      </c>
      <c r="BY18" s="397">
        <f>SUM(BY15:BY17)</f>
        <v>2560</v>
      </c>
      <c r="BZ18" s="397">
        <f>SUM(BZ15:BZ17)</f>
        <v>5578</v>
      </c>
      <c r="CB18" s="397">
        <f>SUM(CB15:CB17)</f>
        <v>2706</v>
      </c>
      <c r="CC18" s="397">
        <f>SUM(CC15:CC17)</f>
        <v>2509</v>
      </c>
      <c r="CD18" s="397">
        <f>SUM(CD15:CD17)</f>
        <v>5215</v>
      </c>
      <c r="CF18" s="397">
        <f>SUM(CF15:CF17)</f>
        <v>2576</v>
      </c>
      <c r="CG18" s="397">
        <f>SUM(CG15:CG17)</f>
        <v>2375</v>
      </c>
      <c r="CH18" s="397">
        <f>SUM(CH15:CH17)</f>
        <v>4951</v>
      </c>
      <c r="CJ18" s="397">
        <f>SUM(CJ15:CJ17)</f>
        <v>2543</v>
      </c>
      <c r="CK18" s="397">
        <f>SUM(CK15:CK17)</f>
        <v>2294</v>
      </c>
      <c r="CL18" s="397">
        <f>SUM(CL15:CL17)</f>
        <v>4837</v>
      </c>
      <c r="CM18" s="400"/>
      <c r="CN18" s="397">
        <f>SUM(CN15:CN17)</f>
        <v>2190</v>
      </c>
      <c r="CO18" s="397">
        <f>SUM(CO15:CO17)</f>
        <v>2354</v>
      </c>
      <c r="CP18" s="397">
        <f>SUM(CP15:CP17)</f>
        <v>4544</v>
      </c>
      <c r="CR18" s="397">
        <f>SUM(CR15:CR17)</f>
        <v>2261</v>
      </c>
      <c r="CS18" s="397">
        <f>SUM(CS15:CS17)</f>
        <v>2747</v>
      </c>
      <c r="CT18" s="397">
        <f>SUM(CT15:CT17)</f>
        <v>5008</v>
      </c>
      <c r="CV18" s="397">
        <f>SUM(CV15:CV17)</f>
        <v>1958</v>
      </c>
      <c r="CW18" s="397">
        <f>SUM(CW15:CW17)</f>
        <v>2039</v>
      </c>
      <c r="CX18" s="397">
        <f>SUM(CX15:CX17)</f>
        <v>3997</v>
      </c>
      <c r="CZ18" s="397">
        <f>SUM(CZ15:CZ17)</f>
        <v>2190</v>
      </c>
      <c r="DA18" s="397">
        <f>SUM(DA15:DA17)</f>
        <v>2049</v>
      </c>
      <c r="DB18" s="397">
        <f>SUM(DB15:DB17)</f>
        <v>4239</v>
      </c>
      <c r="DD18" s="397">
        <f>SUM(DD15:DD17)</f>
        <v>2103</v>
      </c>
      <c r="DE18" s="397">
        <f>SUM(DE15:DE17)</f>
        <v>2217</v>
      </c>
      <c r="DF18" s="397">
        <f>SUM(DF15:DF17)</f>
        <v>4320</v>
      </c>
      <c r="DH18" s="397">
        <f>SUM(DH15:DH17)</f>
        <v>2259</v>
      </c>
      <c r="DI18" s="397">
        <f>SUM(DI15:DI17)</f>
        <v>2180.8420000000001</v>
      </c>
      <c r="DJ18" s="397">
        <f>SUM(DJ15:DJ17)</f>
        <v>4439.8420000000006</v>
      </c>
      <c r="DL18" s="397">
        <f>SUM(DL15:DL17)</f>
        <v>2293.3904000000002</v>
      </c>
      <c r="DM18" s="397">
        <f>SUM(DM15:DM17)</f>
        <v>2240.2971360000001</v>
      </c>
      <c r="DN18" s="397">
        <f>SUM(DN15:DN17)</f>
        <v>4533.6875360000004</v>
      </c>
      <c r="DP18" s="397">
        <f>SUM(DP15:DP17)</f>
        <v>2354.9813040200002</v>
      </c>
      <c r="DQ18" s="397">
        <f>SUM(DQ15:DQ17)</f>
        <v>2313.3709518204</v>
      </c>
      <c r="DR18" s="397">
        <f>SUM(DR15:DR17)</f>
        <v>4668.3522558404002</v>
      </c>
      <c r="DT18" s="1"/>
      <c r="DU18" s="1"/>
      <c r="DV18" s="1"/>
      <c r="DW18" s="1"/>
      <c r="DX18" s="1"/>
      <c r="DY18" s="1"/>
      <c r="DZ18" s="1"/>
      <c r="EA18" s="1"/>
      <c r="EB18" s="1"/>
      <c r="EC18" s="1"/>
      <c r="ED18" s="1"/>
      <c r="EE18" s="1"/>
      <c r="EF18" s="1"/>
      <c r="EG18" s="1"/>
      <c r="EH18" s="1"/>
      <c r="EI18" s="1"/>
      <c r="EJ18" s="1"/>
      <c r="EK18" s="1"/>
      <c r="EL18" s="1"/>
      <c r="EM18" s="1"/>
      <c r="EN18" s="1"/>
      <c r="EO18" s="1"/>
      <c r="EP18" s="1"/>
      <c r="EQ18" s="1"/>
      <c r="ER18" s="1"/>
      <c r="ES18" s="1"/>
      <c r="ET18" s="1"/>
      <c r="EU18" s="1"/>
      <c r="EV18" s="1"/>
      <c r="EW18" s="1"/>
      <c r="EX18" s="1"/>
      <c r="EY18" s="1"/>
      <c r="EZ18" s="1"/>
      <c r="FA18" s="1"/>
      <c r="FB18" s="1"/>
      <c r="FC18" s="1"/>
      <c r="FD18" s="1"/>
      <c r="FE18" s="1"/>
      <c r="FF18" s="1"/>
      <c r="FG18" s="1"/>
      <c r="FH18" s="1"/>
      <c r="FI18" s="1"/>
      <c r="FJ18" s="1"/>
      <c r="FK18" s="1"/>
      <c r="FL18" s="1"/>
      <c r="FM18" s="1"/>
      <c r="FN18" s="1"/>
      <c r="FO18" s="1"/>
      <c r="FP18" s="1"/>
      <c r="FQ18" s="1"/>
      <c r="FR18" s="1"/>
      <c r="FS18" s="1"/>
      <c r="FT18" s="1"/>
      <c r="FU18" s="1"/>
      <c r="FV18" s="1"/>
      <c r="FW18" s="1"/>
      <c r="FX18" s="1"/>
      <c r="FY18" s="1"/>
      <c r="FZ18" s="1"/>
      <c r="GA18" s="1"/>
      <c r="GB18" s="1"/>
      <c r="GC18" s="1"/>
      <c r="GD18" s="1"/>
      <c r="GE18" s="1"/>
      <c r="GF18" s="1"/>
      <c r="GG18" s="1"/>
      <c r="GH18" s="1"/>
      <c r="GI18" s="1"/>
      <c r="GJ18" s="1"/>
      <c r="GK18" s="1"/>
      <c r="GL18" s="1"/>
      <c r="GM18" s="1"/>
      <c r="GN18" s="1"/>
      <c r="GO18" s="1"/>
      <c r="GP18" s="1"/>
      <c r="GQ18" s="1"/>
      <c r="GR18" s="1"/>
      <c r="GS18" s="1"/>
      <c r="GT18" s="1"/>
      <c r="GU18" s="1"/>
      <c r="GV18" s="1"/>
      <c r="GW18" s="1"/>
      <c r="GX18" s="1"/>
      <c r="GY18" s="1"/>
      <c r="GZ18" s="1"/>
      <c r="HA18" s="1"/>
      <c r="HB18" s="1"/>
      <c r="HC18" s="1"/>
      <c r="HD18" s="1"/>
      <c r="HE18" s="1"/>
      <c r="HF18" s="1"/>
      <c r="HG18" s="1"/>
      <c r="HH18" s="1"/>
      <c r="HI18" s="1"/>
      <c r="HJ18" s="1"/>
      <c r="HK18" s="1"/>
      <c r="HL18" s="1"/>
      <c r="HM18" s="1"/>
      <c r="HN18" s="1"/>
      <c r="HO18" s="1"/>
      <c r="HP18" s="1"/>
      <c r="HQ18" s="1"/>
      <c r="HR18" s="1"/>
      <c r="HS18" s="1"/>
      <c r="HT18" s="1"/>
      <c r="HU18" s="1"/>
      <c r="HV18" s="1"/>
      <c r="HW18" s="1"/>
      <c r="HX18" s="1"/>
      <c r="HY18" s="1"/>
      <c r="HZ18" s="1"/>
      <c r="IA18" s="1"/>
      <c r="IB18" s="1"/>
      <c r="IC18" s="1"/>
      <c r="ID18" s="1"/>
      <c r="IE18" s="1"/>
      <c r="IF18" s="1"/>
      <c r="IG18" s="1"/>
      <c r="IH18" s="1"/>
      <c r="II18" s="1"/>
      <c r="IJ18" s="1"/>
      <c r="IK18" s="1"/>
      <c r="IL18" s="1"/>
      <c r="IM18" s="1"/>
      <c r="IN18" s="1"/>
      <c r="IO18" s="1"/>
      <c r="IP18" s="1"/>
      <c r="IQ18" s="1"/>
      <c r="IR18" s="1"/>
      <c r="IS18" s="1"/>
      <c r="IT18" s="1"/>
      <c r="IU18" s="1"/>
      <c r="IV18" s="1"/>
      <c r="IW18" s="1"/>
      <c r="IX18" s="1"/>
      <c r="IY18" s="1"/>
      <c r="IZ18" s="1"/>
      <c r="JA18" s="1"/>
      <c r="JB18" s="1"/>
      <c r="JC18" s="1"/>
      <c r="JD18" s="1"/>
    </row>
    <row r="19" spans="1:264" s="347" customFormat="1" x14ac:dyDescent="0.2">
      <c r="A19" s="407" t="s">
        <v>29</v>
      </c>
      <c r="B19" s="348"/>
      <c r="BH19" s="397">
        <f>+BH18+BH14</f>
        <v>8967</v>
      </c>
      <c r="BI19" s="397">
        <f>+BI18+BI14</f>
        <v>9133</v>
      </c>
      <c r="BJ19" s="397">
        <f>+BJ18+BJ14</f>
        <v>18100</v>
      </c>
      <c r="BK19" s="348"/>
      <c r="BL19" s="397">
        <f>+BL18+BL14</f>
        <v>9678</v>
      </c>
      <c r="BM19" s="397">
        <f>+BM18+BM14</f>
        <v>9736</v>
      </c>
      <c r="BN19" s="397">
        <f>+BN18+BN14</f>
        <v>19414</v>
      </c>
      <c r="BO19" s="408"/>
      <c r="BP19" s="397">
        <f>+BP18+BP14</f>
        <v>10257</v>
      </c>
      <c r="BQ19" s="397">
        <f>+BQ18+BQ14</f>
        <v>10381</v>
      </c>
      <c r="BR19" s="397">
        <f>+BR18+BR14</f>
        <v>20638</v>
      </c>
      <c r="BT19" s="397">
        <f>+BT18+BT14</f>
        <v>10843</v>
      </c>
      <c r="BU19" s="397">
        <f>+BU18+BU14</f>
        <v>10952</v>
      </c>
      <c r="BV19" s="397">
        <f>+BV18+BV14</f>
        <v>21795</v>
      </c>
      <c r="BX19" s="397">
        <f>+BX18+BX14</f>
        <v>11728</v>
      </c>
      <c r="BY19" s="397">
        <f>+BY18+BY14</f>
        <v>11393</v>
      </c>
      <c r="BZ19" s="397">
        <f>+BZ18+BZ14</f>
        <v>23121</v>
      </c>
      <c r="CB19" s="397">
        <f>+CB18+CB14</f>
        <v>11963</v>
      </c>
      <c r="CC19" s="397">
        <f>+CC18+CC14</f>
        <v>11594</v>
      </c>
      <c r="CD19" s="397">
        <f>+CD18+CD14</f>
        <v>23557</v>
      </c>
      <c r="CF19" s="397">
        <f>+CF18+CF14</f>
        <v>11764</v>
      </c>
      <c r="CG19" s="397">
        <f>+CG18+CG14</f>
        <v>11411</v>
      </c>
      <c r="CH19" s="397">
        <f>+CH18+CH14</f>
        <v>23175</v>
      </c>
      <c r="CJ19" s="397">
        <f>+CJ18+CJ14</f>
        <v>11893</v>
      </c>
      <c r="CK19" s="397">
        <f>+CK18+CK14</f>
        <v>11554</v>
      </c>
      <c r="CL19" s="397">
        <f>+CL18+CL14</f>
        <v>23447</v>
      </c>
      <c r="CM19" s="400"/>
      <c r="CN19" s="397">
        <f>+CN18+CN14</f>
        <v>11790</v>
      </c>
      <c r="CO19" s="397">
        <f>+CO18+CO14</f>
        <v>12056</v>
      </c>
      <c r="CP19" s="397">
        <f>+CP18+CP14</f>
        <v>23846</v>
      </c>
      <c r="CR19" s="397">
        <f>+CR18+CR14</f>
        <v>12009</v>
      </c>
      <c r="CS19" s="397">
        <f>+CS18+CS14</f>
        <v>12472</v>
      </c>
      <c r="CT19" s="397">
        <f>+CT18+CT14</f>
        <v>24481</v>
      </c>
      <c r="CV19" s="397">
        <f>+CV18+CV14</f>
        <v>13595</v>
      </c>
      <c r="CW19" s="397">
        <f>+CW18+CW14</f>
        <v>13458</v>
      </c>
      <c r="CX19" s="397">
        <f>+CX18+CX14</f>
        <v>27053</v>
      </c>
      <c r="CZ19" s="397">
        <f>+CZ18+CZ14</f>
        <v>13594</v>
      </c>
      <c r="DA19" s="397">
        <f>+DA18+DA14</f>
        <v>13469</v>
      </c>
      <c r="DB19" s="397">
        <f>+DB18+DB14</f>
        <v>27063</v>
      </c>
      <c r="DD19" s="397">
        <f>+DD18+DD14</f>
        <v>14037</v>
      </c>
      <c r="DE19" s="397">
        <f>+DE18+DE14</f>
        <v>14306</v>
      </c>
      <c r="DF19" s="397">
        <f>+DF18+DF14</f>
        <v>28343</v>
      </c>
      <c r="DH19" s="397">
        <f>+DH18+DH14</f>
        <v>14954</v>
      </c>
      <c r="DI19" s="397">
        <f>+DI18+DI14</f>
        <v>15153.446412194529</v>
      </c>
      <c r="DJ19" s="397">
        <f>+DJ18+DJ14</f>
        <v>30107.446412194531</v>
      </c>
      <c r="DL19" s="397">
        <f>+DL18+DL14</f>
        <v>15903.718330904467</v>
      </c>
      <c r="DM19" s="397">
        <f>+DM18+DM14</f>
        <v>15966.348317626671</v>
      </c>
      <c r="DN19" s="397">
        <f>+DN18+DN14</f>
        <v>31870.066648531141</v>
      </c>
      <c r="DP19" s="397">
        <f>+DP18+DP14</f>
        <v>16578.844681252674</v>
      </c>
      <c r="DQ19" s="397">
        <f>+DQ18+DQ14</f>
        <v>16653.163881177614</v>
      </c>
      <c r="DR19" s="397">
        <f>+DR18+DR14</f>
        <v>33232.008562430288</v>
      </c>
      <c r="DT19" s="1"/>
      <c r="DU19" s="1"/>
      <c r="DV19" s="1"/>
      <c r="DW19" s="1"/>
      <c r="DX19" s="1"/>
      <c r="DY19" s="1"/>
      <c r="DZ19" s="1"/>
      <c r="EA19" s="1"/>
      <c r="EB19" s="1"/>
      <c r="EC19" s="1"/>
      <c r="ED19" s="1"/>
      <c r="EE19" s="1"/>
      <c r="EF19" s="1"/>
      <c r="EG19" s="1"/>
      <c r="EH19" s="1"/>
      <c r="EI19" s="1"/>
      <c r="EJ19" s="1"/>
      <c r="EK19" s="1"/>
      <c r="EL19" s="1"/>
      <c r="EM19" s="1"/>
      <c r="EN19" s="1"/>
      <c r="EO19" s="1"/>
      <c r="EP19" s="1"/>
      <c r="EQ19" s="1"/>
      <c r="ER19" s="1"/>
      <c r="ES19" s="1"/>
      <c r="ET19" s="1"/>
      <c r="EU19" s="1"/>
      <c r="EV19" s="1"/>
      <c r="EW19" s="1"/>
      <c r="EX19" s="1"/>
      <c r="EY19" s="1"/>
      <c r="EZ19" s="1"/>
      <c r="FA19" s="1"/>
      <c r="FB19" s="1"/>
      <c r="FC19" s="1"/>
      <c r="FD19" s="1"/>
      <c r="FE19" s="1"/>
      <c r="FF19" s="1"/>
      <c r="FG19" s="1"/>
      <c r="FH19" s="1"/>
      <c r="FI19" s="1"/>
      <c r="FJ19" s="1"/>
      <c r="FK19" s="1"/>
      <c r="FL19" s="1"/>
      <c r="FM19" s="1"/>
      <c r="FN19" s="1"/>
      <c r="FO19" s="1"/>
      <c r="FP19" s="1"/>
      <c r="FQ19" s="1"/>
      <c r="FR19" s="1"/>
      <c r="FS19" s="1"/>
      <c r="FT19" s="1"/>
      <c r="FU19" s="1"/>
      <c r="FV19" s="1"/>
      <c r="FW19" s="1"/>
      <c r="FX19" s="1"/>
      <c r="FY19" s="1"/>
      <c r="FZ19" s="1"/>
      <c r="GA19" s="1"/>
      <c r="GB19" s="1"/>
      <c r="GC19" s="1"/>
      <c r="GD19" s="1"/>
      <c r="GE19" s="1"/>
      <c r="GF19" s="1"/>
      <c r="GG19" s="1"/>
      <c r="GH19" s="1"/>
      <c r="GI19" s="1"/>
      <c r="GJ19" s="1"/>
      <c r="GK19" s="1"/>
      <c r="GL19" s="1"/>
      <c r="GM19" s="1"/>
      <c r="GN19" s="1"/>
      <c r="GO19" s="1"/>
      <c r="GP19" s="1"/>
      <c r="GQ19" s="1"/>
      <c r="GR19" s="1"/>
      <c r="GS19" s="1"/>
      <c r="GT19" s="1"/>
      <c r="GU19" s="1"/>
      <c r="GV19" s="1"/>
      <c r="GW19" s="1"/>
      <c r="GX19" s="1"/>
      <c r="GY19" s="1"/>
      <c r="GZ19" s="1"/>
      <c r="HA19" s="1"/>
      <c r="HB19" s="1"/>
      <c r="HC19" s="1"/>
      <c r="HD19" s="1"/>
      <c r="HE19" s="1"/>
      <c r="HF19" s="1"/>
      <c r="HG19" s="1"/>
      <c r="HH19" s="1"/>
      <c r="HI19" s="1"/>
      <c r="HJ19" s="1"/>
      <c r="HK19" s="1"/>
      <c r="HL19" s="1"/>
      <c r="HM19" s="1"/>
      <c r="HN19" s="1"/>
      <c r="HO19" s="1"/>
      <c r="HP19" s="1"/>
      <c r="HQ19" s="1"/>
      <c r="HR19" s="1"/>
      <c r="HS19" s="1"/>
      <c r="HT19" s="1"/>
      <c r="HU19" s="1"/>
      <c r="HV19" s="1"/>
      <c r="HW19" s="1"/>
      <c r="HX19" s="1"/>
      <c r="HY19" s="1"/>
      <c r="HZ19" s="1"/>
      <c r="IA19" s="1"/>
      <c r="IB19" s="1"/>
      <c r="IC19" s="1"/>
      <c r="ID19" s="1"/>
      <c r="IE19" s="1"/>
      <c r="IF19" s="1"/>
      <c r="IG19" s="1"/>
      <c r="IH19" s="1"/>
      <c r="II19" s="1"/>
      <c r="IJ19" s="1"/>
      <c r="IK19" s="1"/>
      <c r="IL19" s="1"/>
      <c r="IM19" s="1"/>
      <c r="IN19" s="1"/>
      <c r="IO19" s="1"/>
      <c r="IP19" s="1"/>
      <c r="IQ19" s="1"/>
      <c r="IR19" s="1"/>
      <c r="IS19" s="1"/>
      <c r="IT19" s="1"/>
      <c r="IU19" s="1"/>
      <c r="IV19" s="1"/>
      <c r="IW19" s="1"/>
      <c r="IX19" s="1"/>
      <c r="IY19" s="1"/>
      <c r="IZ19" s="1"/>
      <c r="JA19" s="1"/>
      <c r="JB19" s="1"/>
      <c r="JC19" s="1"/>
      <c r="JD19" s="1"/>
    </row>
    <row r="20" spans="1:264" s="347" customFormat="1" x14ac:dyDescent="0.2">
      <c r="A20" s="409" t="s">
        <v>223</v>
      </c>
      <c r="B20" s="348"/>
      <c r="BH20" s="398">
        <v>884</v>
      </c>
      <c r="BI20" s="398">
        <v>944</v>
      </c>
      <c r="BJ20" s="351">
        <f>+BH20+BI20</f>
        <v>1828</v>
      </c>
      <c r="BK20" s="348"/>
      <c r="BL20" s="398">
        <v>1003</v>
      </c>
      <c r="BM20" s="398">
        <v>930</v>
      </c>
      <c r="BN20" s="351">
        <f>+BL20+BM20</f>
        <v>1933</v>
      </c>
      <c r="BO20" s="403">
        <f>BM20/BL20-1</f>
        <v>-7.278165503489531E-2</v>
      </c>
      <c r="BP20" s="398">
        <v>970</v>
      </c>
      <c r="BQ20" s="398">
        <v>968</v>
      </c>
      <c r="BR20" s="351">
        <f>+BP20+BQ20</f>
        <v>1938</v>
      </c>
      <c r="BT20" s="398">
        <v>1032</v>
      </c>
      <c r="BU20" s="398">
        <v>984</v>
      </c>
      <c r="BV20" s="351">
        <f>+BT20+BU20</f>
        <v>2016</v>
      </c>
      <c r="BX20" s="398">
        <v>943</v>
      </c>
      <c r="BY20" s="398">
        <v>970</v>
      </c>
      <c r="BZ20" s="351">
        <f>+BX20+BY20</f>
        <v>1913</v>
      </c>
      <c r="CB20" s="398">
        <v>568</v>
      </c>
      <c r="CC20" s="398">
        <v>551</v>
      </c>
      <c r="CD20" s="351">
        <f>+CB20+CC20</f>
        <v>1119</v>
      </c>
      <c r="CF20" s="398">
        <v>155</v>
      </c>
      <c r="CG20" s="398">
        <v>100</v>
      </c>
      <c r="CH20" s="351">
        <f>+CF20+CG20</f>
        <v>255</v>
      </c>
      <c r="CJ20" s="398">
        <v>98</v>
      </c>
      <c r="CK20" s="398">
        <v>75</v>
      </c>
      <c r="CL20" s="351">
        <f>+CJ20+CK20</f>
        <v>173</v>
      </c>
      <c r="CN20" s="398">
        <v>80</v>
      </c>
      <c r="CO20" s="398">
        <v>85</v>
      </c>
      <c r="CP20" s="351">
        <f>+CN20+CO20</f>
        <v>165</v>
      </c>
      <c r="CR20" s="398">
        <v>80</v>
      </c>
      <c r="CS20" s="398">
        <v>55</v>
      </c>
      <c r="CT20" s="351">
        <f>+CR20+CS20</f>
        <v>135</v>
      </c>
      <c r="CV20" s="398">
        <v>28</v>
      </c>
      <c r="CW20" s="398">
        <v>54</v>
      </c>
      <c r="CX20" s="351">
        <f>+CV20+CW20</f>
        <v>82</v>
      </c>
      <c r="CZ20" s="398">
        <v>55</v>
      </c>
      <c r="DA20" s="398">
        <v>56</v>
      </c>
      <c r="DB20" s="351">
        <f>+CZ20+DA20</f>
        <v>111</v>
      </c>
      <c r="DD20" s="398">
        <v>60</v>
      </c>
      <c r="DE20" s="398">
        <v>62</v>
      </c>
      <c r="DF20" s="351">
        <f>+DD20+DE20</f>
        <v>122</v>
      </c>
      <c r="DH20" s="398">
        <v>67</v>
      </c>
      <c r="DI20" s="351">
        <f>DI667</f>
        <v>68.34</v>
      </c>
      <c r="DJ20" s="351">
        <f>+DH20+DI20</f>
        <v>135.34</v>
      </c>
      <c r="DL20" s="351">
        <f>DL667</f>
        <v>69.706800000000001</v>
      </c>
      <c r="DM20" s="351">
        <f>DM667</f>
        <v>71.100936000000004</v>
      </c>
      <c r="DN20" s="351">
        <f>+DL20+DM20</f>
        <v>140.80773600000001</v>
      </c>
      <c r="DP20" s="351">
        <f>DP667</f>
        <v>72.522954720000001</v>
      </c>
      <c r="DQ20" s="351">
        <f>DQ667</f>
        <v>73.973413814400004</v>
      </c>
      <c r="DR20" s="351">
        <f>+DP20+DQ20</f>
        <v>146.49636853440001</v>
      </c>
      <c r="DT20" s="1"/>
      <c r="DU20" s="1"/>
      <c r="DV20" s="1"/>
      <c r="DW20" s="1"/>
      <c r="DX20" s="1"/>
      <c r="DY20" s="1"/>
      <c r="DZ20" s="1"/>
      <c r="EA20" s="1"/>
      <c r="EB20" s="1"/>
      <c r="EC20" s="1"/>
      <c r="ED20" s="1"/>
      <c r="EE20" s="1"/>
      <c r="EF20" s="1"/>
      <c r="EG20" s="1"/>
      <c r="EH20" s="1"/>
      <c r="EI20" s="1"/>
      <c r="EJ20" s="1"/>
      <c r="EK20" s="1"/>
      <c r="EL20" s="1"/>
      <c r="EM20" s="1"/>
      <c r="EN20" s="1"/>
      <c r="EO20" s="1"/>
      <c r="EP20" s="1"/>
      <c r="EQ20" s="1"/>
      <c r="ER20" s="1"/>
      <c r="ES20" s="1"/>
      <c r="ET20" s="1"/>
      <c r="EU20" s="1"/>
      <c r="EV20" s="1"/>
      <c r="EW20" s="1"/>
      <c r="EX20" s="1"/>
      <c r="EY20" s="1"/>
      <c r="EZ20" s="1"/>
      <c r="FA20" s="1"/>
      <c r="FB20" s="1"/>
      <c r="FC20" s="1"/>
      <c r="FD20" s="1"/>
      <c r="FE20" s="1"/>
      <c r="FF20" s="1"/>
      <c r="FG20" s="1"/>
      <c r="FH20" s="1"/>
      <c r="FI20" s="1"/>
      <c r="FJ20" s="1"/>
      <c r="FK20" s="1"/>
      <c r="FL20" s="1"/>
      <c r="FM20" s="1"/>
      <c r="FN20" s="1"/>
      <c r="FO20" s="1"/>
      <c r="FP20" s="1"/>
      <c r="FQ20" s="1"/>
      <c r="FR20" s="1"/>
      <c r="FS20" s="1"/>
      <c r="FT20" s="1"/>
      <c r="FU20" s="1"/>
      <c r="FV20" s="1"/>
      <c r="FW20" s="1"/>
      <c r="FX20" s="1"/>
      <c r="FY20" s="1"/>
      <c r="FZ20" s="1"/>
      <c r="GA20" s="1"/>
      <c r="GB20" s="1"/>
      <c r="GC20" s="1"/>
      <c r="GD20" s="1"/>
      <c r="GE20" s="1"/>
      <c r="GF20" s="1"/>
      <c r="GG20" s="1"/>
      <c r="GH20" s="1"/>
      <c r="GI20" s="1"/>
      <c r="GJ20" s="1"/>
      <c r="GK20" s="1"/>
      <c r="GL20" s="1"/>
      <c r="GM20" s="1"/>
      <c r="GN20" s="1"/>
      <c r="GO20" s="1"/>
      <c r="GP20" s="1"/>
      <c r="GQ20" s="1"/>
      <c r="GR20" s="1"/>
      <c r="GS20" s="1"/>
      <c r="GT20" s="1"/>
      <c r="GU20" s="1"/>
      <c r="GV20" s="1"/>
      <c r="GW20" s="1"/>
      <c r="GX20" s="1"/>
      <c r="GY20" s="1"/>
      <c r="GZ20" s="1"/>
      <c r="HA20" s="1"/>
      <c r="HB20" s="1"/>
      <c r="HC20" s="1"/>
      <c r="HD20" s="1"/>
      <c r="HE20" s="1"/>
      <c r="HF20" s="1"/>
      <c r="HG20" s="1"/>
      <c r="HH20" s="1"/>
      <c r="HI20" s="1"/>
      <c r="HJ20" s="1"/>
      <c r="HK20" s="1"/>
      <c r="HL20" s="1"/>
      <c r="HM20" s="1"/>
      <c r="HN20" s="1"/>
      <c r="HO20" s="1"/>
      <c r="HP20" s="1"/>
      <c r="HQ20" s="1"/>
      <c r="HR20" s="1"/>
      <c r="HS20" s="1"/>
      <c r="HT20" s="1"/>
      <c r="HU20" s="1"/>
      <c r="HV20" s="1"/>
      <c r="HW20" s="1"/>
      <c r="HX20" s="1"/>
      <c r="HY20" s="1"/>
      <c r="HZ20" s="1"/>
      <c r="IA20" s="1"/>
      <c r="IB20" s="1"/>
      <c r="IC20" s="1"/>
      <c r="ID20" s="1"/>
      <c r="IE20" s="1"/>
      <c r="IF20" s="1"/>
      <c r="IG20" s="1"/>
      <c r="IH20" s="1"/>
      <c r="II20" s="1"/>
      <c r="IJ20" s="1"/>
      <c r="IK20" s="1"/>
      <c r="IL20" s="1"/>
      <c r="IM20" s="1"/>
      <c r="IN20" s="1"/>
      <c r="IO20" s="1"/>
      <c r="IP20" s="1"/>
      <c r="IQ20" s="1"/>
      <c r="IR20" s="1"/>
      <c r="IS20" s="1"/>
      <c r="IT20" s="1"/>
      <c r="IU20" s="1"/>
      <c r="IV20" s="1"/>
      <c r="IW20" s="1"/>
      <c r="IX20" s="1"/>
      <c r="IY20" s="1"/>
      <c r="IZ20" s="1"/>
      <c r="JA20" s="1"/>
      <c r="JB20" s="1"/>
      <c r="JC20" s="1"/>
      <c r="JD20" s="1"/>
    </row>
    <row r="21" spans="1:264" s="347" customFormat="1" x14ac:dyDescent="0.2">
      <c r="A21" s="409" t="s">
        <v>224</v>
      </c>
      <c r="B21" s="348"/>
      <c r="BH21" s="398">
        <v>354</v>
      </c>
      <c r="BI21" s="398">
        <v>385</v>
      </c>
      <c r="BJ21" s="351">
        <f>+BH21+BI21</f>
        <v>739</v>
      </c>
      <c r="BK21" s="348"/>
      <c r="BL21" s="398">
        <v>386</v>
      </c>
      <c r="BM21" s="398">
        <v>433</v>
      </c>
      <c r="BN21" s="351">
        <f>+BL21+BM21</f>
        <v>819</v>
      </c>
      <c r="BO21" s="403">
        <f>BM21/BL21-1</f>
        <v>0.12176165803108807</v>
      </c>
      <c r="BP21" s="398">
        <v>416</v>
      </c>
      <c r="BQ21" s="398">
        <v>376</v>
      </c>
      <c r="BR21" s="351">
        <f>+BP21+BQ21</f>
        <v>792</v>
      </c>
      <c r="BT21" s="398">
        <v>487</v>
      </c>
      <c r="BU21" s="398">
        <v>308</v>
      </c>
      <c r="BV21" s="351">
        <f>+BT21+BU21</f>
        <v>795</v>
      </c>
      <c r="BX21" s="398">
        <v>162</v>
      </c>
      <c r="BY21" s="398">
        <v>61</v>
      </c>
      <c r="BZ21" s="351">
        <f>+BX21+BY21</f>
        <v>223</v>
      </c>
      <c r="CA21" s="400"/>
      <c r="CB21" s="398">
        <v>112</v>
      </c>
      <c r="CC21" s="398">
        <v>126</v>
      </c>
      <c r="CD21" s="351">
        <f>+CB21+CC21</f>
        <v>238</v>
      </c>
      <c r="CE21" s="400"/>
      <c r="CF21" s="398">
        <f>68+3</f>
        <v>71</v>
      </c>
      <c r="CG21" s="398">
        <f>79-1</f>
        <v>78</v>
      </c>
      <c r="CH21" s="351">
        <f>+CF21+CG21</f>
        <v>149</v>
      </c>
      <c r="CJ21" s="398">
        <v>32</v>
      </c>
      <c r="CK21" s="398">
        <v>109</v>
      </c>
      <c r="CL21" s="351">
        <f>+CJ21+CK21</f>
        <v>141</v>
      </c>
      <c r="CN21" s="398">
        <v>91</v>
      </c>
      <c r="CO21" s="398">
        <v>54</v>
      </c>
      <c r="CP21" s="351">
        <f>+CN21+CO21</f>
        <v>145</v>
      </c>
      <c r="CR21" s="398">
        <v>18</v>
      </c>
      <c r="CS21" s="398">
        <v>55</v>
      </c>
      <c r="CT21" s="351">
        <f>+CR21+CS21</f>
        <v>73</v>
      </c>
      <c r="CV21" s="398">
        <v>0</v>
      </c>
      <c r="CW21" s="398">
        <v>0</v>
      </c>
      <c r="CX21" s="351">
        <f>+CV21+CW21</f>
        <v>0</v>
      </c>
      <c r="CZ21" s="398">
        <v>0</v>
      </c>
      <c r="DA21" s="398">
        <v>0</v>
      </c>
      <c r="DB21" s="351">
        <f>+CZ21+DA21</f>
        <v>0</v>
      </c>
      <c r="DD21" s="398">
        <v>0</v>
      </c>
      <c r="DE21" s="398">
        <v>0</v>
      </c>
      <c r="DF21" s="351">
        <f>+DD21+DE21</f>
        <v>0</v>
      </c>
      <c r="DH21" s="398">
        <v>0</v>
      </c>
      <c r="DI21" s="351">
        <f>DI668</f>
        <v>0</v>
      </c>
      <c r="DJ21" s="351">
        <f>+DH21+DI21</f>
        <v>0</v>
      </c>
      <c r="DL21" s="351">
        <f>DL668</f>
        <v>0</v>
      </c>
      <c r="DM21" s="351">
        <f>DM668</f>
        <v>0</v>
      </c>
      <c r="DN21" s="351">
        <f>+DL21+DM21</f>
        <v>0</v>
      </c>
      <c r="DP21" s="351">
        <f>DP668</f>
        <v>0</v>
      </c>
      <c r="DQ21" s="351">
        <f>DQ668</f>
        <v>0</v>
      </c>
      <c r="DR21" s="351">
        <f>+DP21+DQ21</f>
        <v>0</v>
      </c>
      <c r="DT21" s="1"/>
      <c r="DU21" s="1"/>
      <c r="DV21" s="1"/>
      <c r="DW21" s="1"/>
      <c r="DX21" s="1"/>
      <c r="DY21" s="1"/>
      <c r="DZ21" s="1"/>
      <c r="EA21" s="1"/>
      <c r="EB21" s="1"/>
      <c r="EC21" s="1"/>
      <c r="ED21" s="1"/>
      <c r="EE21" s="1"/>
      <c r="EF21" s="1"/>
      <c r="EG21" s="1"/>
      <c r="EH21" s="1"/>
      <c r="EI21" s="1"/>
      <c r="EJ21" s="1"/>
      <c r="EK21" s="1"/>
      <c r="EL21" s="1"/>
      <c r="EM21" s="1"/>
      <c r="EN21" s="1"/>
      <c r="EO21" s="1"/>
      <c r="EP21" s="1"/>
      <c r="EQ21" s="1"/>
      <c r="ER21" s="1"/>
      <c r="ES21" s="1"/>
      <c r="ET21" s="1"/>
      <c r="EU21" s="1"/>
      <c r="EV21" s="1"/>
      <c r="EW21" s="1"/>
      <c r="EX21" s="1"/>
      <c r="EY21" s="1"/>
      <c r="EZ21" s="1"/>
      <c r="FA21" s="1"/>
      <c r="FB21" s="1"/>
      <c r="FC21" s="1"/>
      <c r="FD21" s="1"/>
      <c r="FE21" s="1"/>
      <c r="FF21" s="1"/>
      <c r="FG21" s="1"/>
      <c r="FH21" s="1"/>
      <c r="FI21" s="1"/>
      <c r="FJ21" s="1"/>
      <c r="FK21" s="1"/>
      <c r="FL21" s="1"/>
      <c r="FM21" s="1"/>
      <c r="FN21" s="1"/>
      <c r="FO21" s="1"/>
      <c r="FP21" s="1"/>
      <c r="FQ21" s="1"/>
      <c r="FR21" s="1"/>
      <c r="FS21" s="1"/>
      <c r="FT21" s="1"/>
      <c r="FU21" s="1"/>
      <c r="FV21" s="1"/>
      <c r="FW21" s="1"/>
      <c r="FX21" s="1"/>
      <c r="FY21" s="1"/>
      <c r="FZ21" s="1"/>
      <c r="GA21" s="1"/>
      <c r="GB21" s="1"/>
      <c r="GC21" s="1"/>
      <c r="GD21" s="1"/>
      <c r="GE21" s="1"/>
      <c r="GF21" s="1"/>
      <c r="GG21" s="1"/>
      <c r="GH21" s="1"/>
      <c r="GI21" s="1"/>
      <c r="GJ21" s="1"/>
      <c r="GK21" s="1"/>
      <c r="GL21" s="1"/>
      <c r="GM21" s="1"/>
      <c r="GN21" s="1"/>
      <c r="GO21" s="1"/>
      <c r="GP21" s="1"/>
      <c r="GQ21" s="1"/>
      <c r="GR21" s="1"/>
      <c r="GS21" s="1"/>
      <c r="GT21" s="1"/>
      <c r="GU21" s="1"/>
      <c r="GV21" s="1"/>
      <c r="GW21" s="1"/>
      <c r="GX21" s="1"/>
      <c r="GY21" s="1"/>
      <c r="GZ21" s="1"/>
      <c r="HA21" s="1"/>
      <c r="HB21" s="1"/>
      <c r="HC21" s="1"/>
      <c r="HD21" s="1"/>
      <c r="HE21" s="1"/>
      <c r="HF21" s="1"/>
      <c r="HG21" s="1"/>
      <c r="HH21" s="1"/>
      <c r="HI21" s="1"/>
      <c r="HJ21" s="1"/>
      <c r="HK21" s="1"/>
      <c r="HL21" s="1"/>
      <c r="HM21" s="1"/>
      <c r="HN21" s="1"/>
      <c r="HO21" s="1"/>
      <c r="HP21" s="1"/>
      <c r="HQ21" s="1"/>
      <c r="HR21" s="1"/>
      <c r="HS21" s="1"/>
      <c r="HT21" s="1"/>
      <c r="HU21" s="1"/>
      <c r="HV21" s="1"/>
      <c r="HW21" s="1"/>
      <c r="HX21" s="1"/>
      <c r="HY21" s="1"/>
      <c r="HZ21" s="1"/>
      <c r="IA21" s="1"/>
      <c r="IB21" s="1"/>
      <c r="IC21" s="1"/>
      <c r="ID21" s="1"/>
      <c r="IE21" s="1"/>
      <c r="IF21" s="1"/>
      <c r="IG21" s="1"/>
      <c r="IH21" s="1"/>
      <c r="II21" s="1"/>
      <c r="IJ21" s="1"/>
      <c r="IK21" s="1"/>
      <c r="IL21" s="1"/>
      <c r="IM21" s="1"/>
      <c r="IN21" s="1"/>
      <c r="IO21" s="1"/>
      <c r="IP21" s="1"/>
      <c r="IQ21" s="1"/>
      <c r="IR21" s="1"/>
      <c r="IS21" s="1"/>
      <c r="IT21" s="1"/>
      <c r="IU21" s="1"/>
      <c r="IV21" s="1"/>
      <c r="IW21" s="1"/>
      <c r="IX21" s="1"/>
      <c r="IY21" s="1"/>
      <c r="IZ21" s="1"/>
      <c r="JA21" s="1"/>
      <c r="JB21" s="1"/>
      <c r="JC21" s="1"/>
      <c r="JD21" s="1"/>
    </row>
    <row r="22" spans="1:264" s="347" customFormat="1" x14ac:dyDescent="0.2">
      <c r="A22" s="409" t="s">
        <v>225</v>
      </c>
      <c r="B22" s="348"/>
      <c r="BH22" s="398">
        <v>84</v>
      </c>
      <c r="BI22" s="398">
        <v>70</v>
      </c>
      <c r="BJ22" s="351">
        <f>+BH22+BI22</f>
        <v>154</v>
      </c>
      <c r="BK22" s="348"/>
      <c r="BL22" s="398">
        <v>81</v>
      </c>
      <c r="BM22" s="398">
        <v>154</v>
      </c>
      <c r="BN22" s="351">
        <f>+BL22+BM22</f>
        <v>235</v>
      </c>
      <c r="BO22" s="403">
        <f>BM22/BL22-1</f>
        <v>0.90123456790123457</v>
      </c>
      <c r="BP22" s="398">
        <v>80</v>
      </c>
      <c r="BQ22" s="398">
        <v>130</v>
      </c>
      <c r="BR22" s="351">
        <f>+BP22+BQ22</f>
        <v>210</v>
      </c>
      <c r="BT22" s="398">
        <v>58</v>
      </c>
      <c r="BU22" s="398">
        <v>83</v>
      </c>
      <c r="BV22" s="351">
        <f>+BT22+BU22</f>
        <v>141</v>
      </c>
      <c r="BX22" s="398">
        <v>2</v>
      </c>
      <c r="BY22" s="398">
        <v>21</v>
      </c>
      <c r="BZ22" s="351">
        <f>+BX22+BY22</f>
        <v>23</v>
      </c>
      <c r="CB22" s="398">
        <v>6</v>
      </c>
      <c r="CC22" s="398">
        <v>2</v>
      </c>
      <c r="CD22" s="351">
        <f>+CB22+CC22</f>
        <v>8</v>
      </c>
      <c r="CE22" s="410"/>
      <c r="CF22" s="398">
        <v>0</v>
      </c>
      <c r="CG22" s="398">
        <v>0</v>
      </c>
      <c r="CH22" s="351">
        <f>+CF22+CG22</f>
        <v>0</v>
      </c>
      <c r="CI22" s="400"/>
      <c r="CJ22" s="398">
        <v>0</v>
      </c>
      <c r="CK22" s="398">
        <v>0</v>
      </c>
      <c r="CL22" s="351">
        <f>+CJ22+CK22</f>
        <v>0</v>
      </c>
      <c r="CN22" s="398">
        <v>0</v>
      </c>
      <c r="CO22" s="398">
        <v>0</v>
      </c>
      <c r="CP22" s="351">
        <f>+CN22+CO22</f>
        <v>0</v>
      </c>
      <c r="CR22" s="398">
        <v>0</v>
      </c>
      <c r="CS22" s="398">
        <v>0</v>
      </c>
      <c r="CT22" s="351">
        <f>+CR22+CS22</f>
        <v>0</v>
      </c>
      <c r="CV22" s="398">
        <v>0</v>
      </c>
      <c r="CW22" s="398">
        <v>0</v>
      </c>
      <c r="CX22" s="351">
        <f>+CV22+CW22</f>
        <v>0</v>
      </c>
      <c r="CZ22" s="398">
        <v>0</v>
      </c>
      <c r="DA22" s="398">
        <v>0</v>
      </c>
      <c r="DB22" s="351">
        <f>+CZ22+DA22</f>
        <v>0</v>
      </c>
      <c r="DD22" s="398">
        <v>0</v>
      </c>
      <c r="DE22" s="398">
        <v>0</v>
      </c>
      <c r="DF22" s="351">
        <f>+DD22+DE22</f>
        <v>0</v>
      </c>
      <c r="DH22" s="398">
        <v>0</v>
      </c>
      <c r="DI22" s="351">
        <f>DI670</f>
        <v>0</v>
      </c>
      <c r="DJ22" s="351">
        <f>+DH22+DI22</f>
        <v>0</v>
      </c>
      <c r="DL22" s="351">
        <f>DL670</f>
        <v>0</v>
      </c>
      <c r="DM22" s="351">
        <f>DM670</f>
        <v>0</v>
      </c>
      <c r="DN22" s="351">
        <f>+DL22+DM22</f>
        <v>0</v>
      </c>
      <c r="DP22" s="351">
        <f>DP670</f>
        <v>0</v>
      </c>
      <c r="DQ22" s="351">
        <f>DQ670</f>
        <v>0</v>
      </c>
      <c r="DR22" s="351">
        <f>+DP22+DQ22</f>
        <v>0</v>
      </c>
      <c r="DT22" s="1"/>
      <c r="DU22" s="1"/>
      <c r="DV22" s="1"/>
      <c r="DW22" s="1"/>
      <c r="DX22" s="1"/>
      <c r="DY22" s="1"/>
      <c r="DZ22" s="1"/>
      <c r="EA22" s="1"/>
      <c r="EB22" s="1"/>
      <c r="EC22" s="1"/>
      <c r="ED22" s="1"/>
      <c r="EE22" s="1"/>
      <c r="EF22" s="1"/>
      <c r="EG22" s="1"/>
      <c r="EH22" s="1"/>
      <c r="EI22" s="1"/>
      <c r="EJ22" s="1"/>
      <c r="EK22" s="1"/>
      <c r="EL22" s="1"/>
      <c r="EM22" s="1"/>
      <c r="EN22" s="1"/>
      <c r="EO22" s="1"/>
      <c r="EP22" s="1"/>
      <c r="EQ22" s="1"/>
      <c r="ER22" s="1"/>
      <c r="ES22" s="1"/>
      <c r="ET22" s="1"/>
      <c r="EU22" s="1"/>
      <c r="EV22" s="1"/>
      <c r="EW22" s="1"/>
      <c r="EX22" s="1"/>
      <c r="EY22" s="1"/>
      <c r="EZ22" s="1"/>
      <c r="FA22" s="1"/>
      <c r="FB22" s="1"/>
      <c r="FC22" s="1"/>
      <c r="FD22" s="1"/>
      <c r="FE22" s="1"/>
      <c r="FF22" s="1"/>
      <c r="FG22" s="1"/>
      <c r="FH22" s="1"/>
      <c r="FI22" s="1"/>
      <c r="FJ22" s="1"/>
      <c r="FK22" s="1"/>
      <c r="FL22" s="1"/>
      <c r="FM22" s="1"/>
      <c r="FN22" s="1"/>
      <c r="FO22" s="1"/>
      <c r="FP22" s="1"/>
      <c r="FQ22" s="1"/>
      <c r="FR22" s="1"/>
      <c r="FS22" s="1"/>
      <c r="FT22" s="1"/>
      <c r="FU22" s="1"/>
      <c r="FV22" s="1"/>
      <c r="FW22" s="1"/>
      <c r="FX22" s="1"/>
      <c r="FY22" s="1"/>
      <c r="FZ22" s="1"/>
      <c r="GA22" s="1"/>
      <c r="GB22" s="1"/>
      <c r="GC22" s="1"/>
      <c r="GD22" s="1"/>
      <c r="GE22" s="1"/>
      <c r="GF22" s="1"/>
      <c r="GG22" s="1"/>
      <c r="GH22" s="1"/>
      <c r="GI22" s="1"/>
      <c r="GJ22" s="1"/>
      <c r="GK22" s="1"/>
      <c r="GL22" s="1"/>
      <c r="GM22" s="1"/>
      <c r="GN22" s="1"/>
      <c r="GO22" s="1"/>
      <c r="GP22" s="1"/>
      <c r="GQ22" s="1"/>
      <c r="GR22" s="1"/>
      <c r="GS22" s="1"/>
      <c r="GT22" s="1"/>
      <c r="GU22" s="1"/>
      <c r="GV22" s="1"/>
      <c r="GW22" s="1"/>
      <c r="GX22" s="1"/>
      <c r="GY22" s="1"/>
      <c r="GZ22" s="1"/>
      <c r="HA22" s="1"/>
      <c r="HB22" s="1"/>
      <c r="HC22" s="1"/>
      <c r="HD22" s="1"/>
      <c r="HE22" s="1"/>
      <c r="HF22" s="1"/>
      <c r="HG22" s="1"/>
      <c r="HH22" s="1"/>
      <c r="HI22" s="1"/>
      <c r="HJ22" s="1"/>
      <c r="HK22" s="1"/>
      <c r="HL22" s="1"/>
      <c r="HM22" s="1"/>
      <c r="HN22" s="1"/>
      <c r="HO22" s="1"/>
      <c r="HP22" s="1"/>
      <c r="HQ22" s="1"/>
      <c r="HR22" s="1"/>
      <c r="HS22" s="1"/>
      <c r="HT22" s="1"/>
      <c r="HU22" s="1"/>
      <c r="HV22" s="1"/>
      <c r="HW22" s="1"/>
      <c r="HX22" s="1"/>
      <c r="HY22" s="1"/>
      <c r="HZ22" s="1"/>
      <c r="IA22" s="1"/>
      <c r="IB22" s="1"/>
      <c r="IC22" s="1"/>
      <c r="ID22" s="1"/>
      <c r="IE22" s="1"/>
      <c r="IF22" s="1"/>
      <c r="IG22" s="1"/>
      <c r="IH22" s="1"/>
      <c r="II22" s="1"/>
      <c r="IJ22" s="1"/>
      <c r="IK22" s="1"/>
      <c r="IL22" s="1"/>
      <c r="IM22" s="1"/>
      <c r="IN22" s="1"/>
      <c r="IO22" s="1"/>
      <c r="IP22" s="1"/>
      <c r="IQ22" s="1"/>
      <c r="IR22" s="1"/>
      <c r="IS22" s="1"/>
      <c r="IT22" s="1"/>
      <c r="IU22" s="1"/>
      <c r="IV22" s="1"/>
      <c r="IW22" s="1"/>
      <c r="IX22" s="1"/>
      <c r="IY22" s="1"/>
      <c r="IZ22" s="1"/>
      <c r="JA22" s="1"/>
      <c r="JB22" s="1"/>
      <c r="JC22" s="1"/>
      <c r="JD22" s="1"/>
    </row>
    <row r="23" spans="1:264" s="347" customFormat="1" x14ac:dyDescent="0.2">
      <c r="A23" s="407" t="s">
        <v>32</v>
      </c>
      <c r="B23" s="348"/>
      <c r="BH23" s="397">
        <f>SUM(BH20:BH22)</f>
        <v>1322</v>
      </c>
      <c r="BI23" s="397">
        <f>SUM(BI20:BI22)</f>
        <v>1399</v>
      </c>
      <c r="BJ23" s="397">
        <f>SUM(BJ20:BJ22)</f>
        <v>2721</v>
      </c>
      <c r="BK23" s="348"/>
      <c r="BL23" s="397">
        <f>SUM(BL20:BL22)</f>
        <v>1470</v>
      </c>
      <c r="BM23" s="397">
        <f>SUM(BM20:BM22)</f>
        <v>1517</v>
      </c>
      <c r="BN23" s="397">
        <f>SUM(BN20:BN22)</f>
        <v>2987</v>
      </c>
      <c r="BO23" s="408"/>
      <c r="BP23" s="397">
        <f>SUM(BP20:BP22)</f>
        <v>1466</v>
      </c>
      <c r="BQ23" s="397">
        <f>SUM(BQ20:BQ22)</f>
        <v>1474</v>
      </c>
      <c r="BR23" s="397">
        <f>SUM(BR20:BR22)</f>
        <v>2940</v>
      </c>
      <c r="BT23" s="397">
        <f>SUM(BT20:BT22)</f>
        <v>1577</v>
      </c>
      <c r="BU23" s="397">
        <f>SUM(BU20:BU22)</f>
        <v>1375</v>
      </c>
      <c r="BV23" s="397">
        <f>SUM(BV20:BV22)</f>
        <v>2952</v>
      </c>
      <c r="BX23" s="397">
        <f>SUM(BX20:BX22)</f>
        <v>1107</v>
      </c>
      <c r="BY23" s="397">
        <f>SUM(BY20:BY22)</f>
        <v>1052</v>
      </c>
      <c r="BZ23" s="397">
        <f>SUM(BZ20:BZ22)</f>
        <v>2159</v>
      </c>
      <c r="CB23" s="397">
        <f>SUM(CB20:CB22)</f>
        <v>686</v>
      </c>
      <c r="CC23" s="397">
        <f>SUM(CC20:CC22)</f>
        <v>679</v>
      </c>
      <c r="CD23" s="397">
        <f>SUM(CD20:CD22)</f>
        <v>1365</v>
      </c>
      <c r="CF23" s="397">
        <f>SUM(CF20:CF22)</f>
        <v>226</v>
      </c>
      <c r="CG23" s="397">
        <f>SUM(CG20:CG22)</f>
        <v>178</v>
      </c>
      <c r="CH23" s="397">
        <f>SUM(CH20:CH22)</f>
        <v>404</v>
      </c>
      <c r="CJ23" s="397">
        <f>SUM(CJ20:CJ22)</f>
        <v>130</v>
      </c>
      <c r="CK23" s="397">
        <f>SUM(CK20:CK22)</f>
        <v>184</v>
      </c>
      <c r="CL23" s="397">
        <f>SUM(CL20:CL22)</f>
        <v>314</v>
      </c>
      <c r="CN23" s="397">
        <f>SUM(CN20:CN22)</f>
        <v>171</v>
      </c>
      <c r="CO23" s="397">
        <f>SUM(CO20:CO22)</f>
        <v>139</v>
      </c>
      <c r="CP23" s="397">
        <f>SUM(CP20:CP22)</f>
        <v>310</v>
      </c>
      <c r="CR23" s="397">
        <f>SUM(CR20:CR22)</f>
        <v>98</v>
      </c>
      <c r="CS23" s="397">
        <f>SUM(CS20:CS22)</f>
        <v>110</v>
      </c>
      <c r="CT23" s="397">
        <f>SUM(CT20:CT22)</f>
        <v>208</v>
      </c>
      <c r="CV23" s="397">
        <f>SUM(CV20:CV22)</f>
        <v>28</v>
      </c>
      <c r="CW23" s="397">
        <f>SUM(CW20:CW22)</f>
        <v>54</v>
      </c>
      <c r="CX23" s="397">
        <f>SUM(CX20:CX22)</f>
        <v>82</v>
      </c>
      <c r="CZ23" s="397">
        <f>SUM(CZ20:CZ22)</f>
        <v>55</v>
      </c>
      <c r="DA23" s="397">
        <f>SUM(DA20:DA22)</f>
        <v>56</v>
      </c>
      <c r="DB23" s="397">
        <f>SUM(DB20:DB22)</f>
        <v>111</v>
      </c>
      <c r="DD23" s="397">
        <f>SUM(DD20:DD22)</f>
        <v>60</v>
      </c>
      <c r="DE23" s="397">
        <f>SUM(DE20:DE22)</f>
        <v>62</v>
      </c>
      <c r="DF23" s="397">
        <f>SUM(DF20:DF22)</f>
        <v>122</v>
      </c>
      <c r="DH23" s="397">
        <f>SUM(DH20:DH22)</f>
        <v>67</v>
      </c>
      <c r="DI23" s="397">
        <f>SUM(DI20:DI22)</f>
        <v>68.34</v>
      </c>
      <c r="DJ23" s="397">
        <f>SUM(DJ20:DJ22)</f>
        <v>135.34</v>
      </c>
      <c r="DL23" s="397">
        <f>SUM(DL20:DL22)</f>
        <v>69.706800000000001</v>
      </c>
      <c r="DM23" s="397">
        <f>SUM(DM20:DM22)</f>
        <v>71.100936000000004</v>
      </c>
      <c r="DN23" s="397">
        <f>SUM(DN20:DN22)</f>
        <v>140.80773600000001</v>
      </c>
      <c r="DP23" s="397">
        <f>SUM(DP20:DP22)</f>
        <v>72.522954720000001</v>
      </c>
      <c r="DQ23" s="397">
        <f>SUM(DQ20:DQ22)</f>
        <v>73.973413814400004</v>
      </c>
      <c r="DR23" s="397">
        <f>SUM(DR20:DR22)</f>
        <v>146.49636853440001</v>
      </c>
      <c r="DT23" s="1"/>
      <c r="DU23" s="1"/>
      <c r="DV23" s="1"/>
      <c r="DW23" s="1"/>
      <c r="DX23" s="1"/>
      <c r="DY23" s="1"/>
      <c r="DZ23" s="1"/>
      <c r="EA23" s="1"/>
      <c r="EB23" s="1"/>
      <c r="EC23" s="1"/>
      <c r="ED23" s="1"/>
      <c r="EE23" s="1"/>
      <c r="EF23" s="1"/>
      <c r="EG23" s="1"/>
      <c r="EH23" s="1"/>
      <c r="EI23" s="1"/>
      <c r="EJ23" s="1"/>
      <c r="EK23" s="1"/>
      <c r="EL23" s="1"/>
      <c r="EM23" s="1"/>
      <c r="EN23" s="1"/>
      <c r="EO23" s="1"/>
      <c r="EP23" s="1"/>
      <c r="EQ23" s="1"/>
      <c r="ER23" s="1"/>
      <c r="ES23" s="1"/>
      <c r="ET23" s="1"/>
      <c r="EU23" s="1"/>
      <c r="EV23" s="1"/>
      <c r="EW23" s="1"/>
      <c r="EX23" s="1"/>
      <c r="EY23" s="1"/>
      <c r="EZ23" s="1"/>
      <c r="FA23" s="1"/>
      <c r="FB23" s="1"/>
      <c r="FC23" s="1"/>
      <c r="FD23" s="1"/>
      <c r="FE23" s="1"/>
      <c r="FF23" s="1"/>
      <c r="FG23" s="1"/>
      <c r="FH23" s="1"/>
      <c r="FI23" s="1"/>
      <c r="FJ23" s="1"/>
      <c r="FK23" s="1"/>
      <c r="FL23" s="1"/>
      <c r="FM23" s="1"/>
      <c r="FN23" s="1"/>
      <c r="FO23" s="1"/>
      <c r="FP23" s="1"/>
      <c r="FQ23" s="1"/>
      <c r="FR23" s="1"/>
      <c r="FS23" s="1"/>
      <c r="FT23" s="1"/>
      <c r="FU23" s="1"/>
      <c r="FV23" s="1"/>
      <c r="FW23" s="1"/>
      <c r="FX23" s="1"/>
      <c r="FY23" s="1"/>
      <c r="FZ23" s="1"/>
      <c r="GA23" s="1"/>
      <c r="GB23" s="1"/>
      <c r="GC23" s="1"/>
      <c r="GD23" s="1"/>
      <c r="GE23" s="1"/>
      <c r="GF23" s="1"/>
      <c r="GG23" s="1"/>
      <c r="GH23" s="1"/>
      <c r="GI23" s="1"/>
      <c r="GJ23" s="1"/>
      <c r="GK23" s="1"/>
      <c r="GL23" s="1"/>
      <c r="GM23" s="1"/>
      <c r="GN23" s="1"/>
      <c r="GO23" s="1"/>
      <c r="GP23" s="1"/>
      <c r="GQ23" s="1"/>
      <c r="GR23" s="1"/>
      <c r="GS23" s="1"/>
      <c r="GT23" s="1"/>
      <c r="GU23" s="1"/>
      <c r="GV23" s="1"/>
      <c r="GW23" s="1"/>
      <c r="GX23" s="1"/>
      <c r="GY23" s="1"/>
      <c r="GZ23" s="1"/>
      <c r="HA23" s="1"/>
      <c r="HB23" s="1"/>
      <c r="HC23" s="1"/>
      <c r="HD23" s="1"/>
      <c r="HE23" s="1"/>
      <c r="HF23" s="1"/>
      <c r="HG23" s="1"/>
      <c r="HH23" s="1"/>
      <c r="HI23" s="1"/>
      <c r="HJ23" s="1"/>
      <c r="HK23" s="1"/>
      <c r="HL23" s="1"/>
      <c r="HM23" s="1"/>
      <c r="HN23" s="1"/>
      <c r="HO23" s="1"/>
      <c r="HP23" s="1"/>
      <c r="HQ23" s="1"/>
      <c r="HR23" s="1"/>
      <c r="HS23" s="1"/>
      <c r="HT23" s="1"/>
      <c r="HU23" s="1"/>
      <c r="HV23" s="1"/>
      <c r="HW23" s="1"/>
      <c r="HX23" s="1"/>
      <c r="HY23" s="1"/>
      <c r="HZ23" s="1"/>
      <c r="IA23" s="1"/>
      <c r="IB23" s="1"/>
      <c r="IC23" s="1"/>
      <c r="ID23" s="1"/>
      <c r="IE23" s="1"/>
      <c r="IF23" s="1"/>
      <c r="IG23" s="1"/>
      <c r="IH23" s="1"/>
      <c r="II23" s="1"/>
      <c r="IJ23" s="1"/>
      <c r="IK23" s="1"/>
      <c r="IL23" s="1"/>
      <c r="IM23" s="1"/>
      <c r="IN23" s="1"/>
      <c r="IO23" s="1"/>
      <c r="IP23" s="1"/>
      <c r="IQ23" s="1"/>
      <c r="IR23" s="1"/>
      <c r="IS23" s="1"/>
      <c r="IT23" s="1"/>
      <c r="IU23" s="1"/>
      <c r="IV23" s="1"/>
      <c r="IW23" s="1"/>
      <c r="IX23" s="1"/>
      <c r="IY23" s="1"/>
      <c r="IZ23" s="1"/>
      <c r="JA23" s="1"/>
      <c r="JB23" s="1"/>
      <c r="JC23" s="1"/>
      <c r="JD23" s="1"/>
    </row>
    <row r="24" spans="1:264" s="347" customFormat="1" x14ac:dyDescent="0.2">
      <c r="A24" s="411" t="s">
        <v>226</v>
      </c>
      <c r="B24" s="348"/>
      <c r="BH24" s="397">
        <f>BH18+BH23</f>
        <v>3427</v>
      </c>
      <c r="BI24" s="397">
        <f>BI18+BI23</f>
        <v>3450</v>
      </c>
      <c r="BJ24" s="397">
        <f>BH24+BI24</f>
        <v>6877</v>
      </c>
      <c r="BK24" s="348"/>
      <c r="BL24" s="397">
        <f>BL18+BL23</f>
        <v>3704</v>
      </c>
      <c r="BM24" s="397">
        <f>BM18+BM23</f>
        <v>3606</v>
      </c>
      <c r="BN24" s="397">
        <f>BL24+BM24</f>
        <v>7310</v>
      </c>
      <c r="BO24" s="408"/>
      <c r="BP24" s="397">
        <f>BP18+BP23</f>
        <v>3822</v>
      </c>
      <c r="BQ24" s="397">
        <f>BQ18+BQ23</f>
        <v>3929</v>
      </c>
      <c r="BR24" s="397">
        <f>BP24+BQ24</f>
        <v>7751</v>
      </c>
      <c r="BS24" s="393"/>
      <c r="BT24" s="397">
        <f>BT18+BT23</f>
        <v>3993</v>
      </c>
      <c r="BU24" s="397">
        <f>BU18+BU23</f>
        <v>3819</v>
      </c>
      <c r="BV24" s="397">
        <f>BT24+BU24</f>
        <v>7812</v>
      </c>
      <c r="BW24" s="393"/>
      <c r="BX24" s="397">
        <f>BX18+BX23</f>
        <v>4125</v>
      </c>
      <c r="BY24" s="397">
        <f>BY18+BY23</f>
        <v>3612</v>
      </c>
      <c r="BZ24" s="397">
        <f>BX24+BY24</f>
        <v>7737</v>
      </c>
      <c r="CA24" s="393"/>
      <c r="CB24" s="397">
        <f>CB18+CB23</f>
        <v>3392</v>
      </c>
      <c r="CC24" s="397">
        <f>CC18+CC23</f>
        <v>3188</v>
      </c>
      <c r="CD24" s="397">
        <f>CB24+CC24</f>
        <v>6580</v>
      </c>
      <c r="CE24" s="393"/>
      <c r="CF24" s="397">
        <f>CF18+CF23</f>
        <v>2802</v>
      </c>
      <c r="CG24" s="397">
        <f>CG18+CG23</f>
        <v>2553</v>
      </c>
      <c r="CH24" s="397">
        <f>CF24+CG24</f>
        <v>5355</v>
      </c>
      <c r="CI24" s="393"/>
      <c r="CJ24" s="397">
        <f>CJ18+CJ23</f>
        <v>2673</v>
      </c>
      <c r="CK24" s="397">
        <f>CK18+CK23</f>
        <v>2478</v>
      </c>
      <c r="CL24" s="397">
        <f>CJ24+CK24</f>
        <v>5151</v>
      </c>
      <c r="CM24" s="393"/>
      <c r="CN24" s="397">
        <f>CN18+CN23</f>
        <v>2361</v>
      </c>
      <c r="CO24" s="397">
        <f>CO18+CO23</f>
        <v>2493</v>
      </c>
      <c r="CP24" s="397">
        <f>CN24+CO24</f>
        <v>4854</v>
      </c>
      <c r="CQ24" s="393"/>
      <c r="CR24" s="397">
        <f>CR18+CR23</f>
        <v>2359</v>
      </c>
      <c r="CS24" s="397">
        <f>CS18+CS23</f>
        <v>2857</v>
      </c>
      <c r="CT24" s="397">
        <f>CR24+CS24</f>
        <v>5216</v>
      </c>
      <c r="CU24" s="393"/>
      <c r="CV24" s="397">
        <f>CV18+CV23</f>
        <v>1986</v>
      </c>
      <c r="CW24" s="397">
        <f>CW18+CW23</f>
        <v>2093</v>
      </c>
      <c r="CX24" s="397">
        <f>CV24+CW24</f>
        <v>4079</v>
      </c>
      <c r="CY24" s="393"/>
      <c r="CZ24" s="397">
        <f>CZ18+CZ23</f>
        <v>2245</v>
      </c>
      <c r="DA24" s="397">
        <f>DA18+DA23</f>
        <v>2105</v>
      </c>
      <c r="DB24" s="397">
        <f>CZ24+DA24</f>
        <v>4350</v>
      </c>
      <c r="DC24" s="393"/>
      <c r="DD24" s="397">
        <f>DD18+DD23</f>
        <v>2163</v>
      </c>
      <c r="DE24" s="397">
        <f>DE18+DE23</f>
        <v>2279</v>
      </c>
      <c r="DF24" s="397">
        <f>DD24+DE24</f>
        <v>4442</v>
      </c>
      <c r="DG24" s="393"/>
      <c r="DH24" s="397">
        <f>DH18+DH23</f>
        <v>2326</v>
      </c>
      <c r="DI24" s="397">
        <f>DI18+DI23</f>
        <v>2249.1820000000002</v>
      </c>
      <c r="DJ24" s="397">
        <f>DH24+DI24</f>
        <v>4575.1820000000007</v>
      </c>
      <c r="DL24" s="397">
        <f>DL18+DL23</f>
        <v>2363.0972000000002</v>
      </c>
      <c r="DM24" s="397">
        <f>DM18+DM23</f>
        <v>2311.398072</v>
      </c>
      <c r="DN24" s="397">
        <f>DL24+DM24</f>
        <v>4674.4952720000001</v>
      </c>
      <c r="DP24" s="397">
        <f>DP18+DP23</f>
        <v>2427.5042587400003</v>
      </c>
      <c r="DQ24" s="397">
        <f>DQ18+DQ23</f>
        <v>2387.3443656347999</v>
      </c>
      <c r="DR24" s="397">
        <f>DP24+DQ24</f>
        <v>4814.8486243748002</v>
      </c>
      <c r="DT24" s="1"/>
      <c r="DU24" s="1"/>
      <c r="DV24" s="1"/>
      <c r="DW24" s="1"/>
      <c r="DX24" s="1"/>
      <c r="DY24" s="1"/>
      <c r="DZ24" s="1"/>
      <c r="EA24" s="1"/>
      <c r="EB24" s="1"/>
      <c r="EC24" s="1"/>
      <c r="ED24" s="1"/>
      <c r="EE24" s="1"/>
      <c r="EF24" s="1"/>
      <c r="EG24" s="1"/>
      <c r="EH24" s="1"/>
      <c r="EI24" s="1"/>
      <c r="EJ24" s="1"/>
      <c r="EK24" s="1"/>
      <c r="EL24" s="1"/>
      <c r="EM24" s="1"/>
      <c r="EN24" s="1"/>
      <c r="EO24" s="1"/>
      <c r="EP24" s="1"/>
      <c r="EQ24" s="1"/>
      <c r="ER24" s="1"/>
      <c r="ES24" s="1"/>
      <c r="ET24" s="1"/>
      <c r="EU24" s="1"/>
      <c r="EV24" s="1"/>
      <c r="EW24" s="1"/>
      <c r="EX24" s="1"/>
      <c r="EY24" s="1"/>
      <c r="EZ24" s="1"/>
      <c r="FA24" s="1"/>
      <c r="FB24" s="1"/>
      <c r="FC24" s="1"/>
      <c r="FD24" s="1"/>
      <c r="FE24" s="1"/>
      <c r="FF24" s="1"/>
      <c r="FG24" s="1"/>
      <c r="FH24" s="1"/>
      <c r="FI24" s="1"/>
      <c r="FJ24" s="1"/>
      <c r="FK24" s="1"/>
      <c r="FL24" s="1"/>
      <c r="FM24" s="1"/>
      <c r="FN24" s="1"/>
      <c r="FO24" s="1"/>
      <c r="FP24" s="1"/>
      <c r="FQ24" s="1"/>
      <c r="FR24" s="1"/>
      <c r="FS24" s="1"/>
      <c r="FT24" s="1"/>
      <c r="FU24" s="1"/>
      <c r="FV24" s="1"/>
      <c r="FW24" s="1"/>
      <c r="FX24" s="1"/>
      <c r="FY24" s="1"/>
      <c r="FZ24" s="1"/>
      <c r="GA24" s="1"/>
      <c r="GB24" s="1"/>
      <c r="GC24" s="1"/>
      <c r="GD24" s="1"/>
      <c r="GE24" s="1"/>
      <c r="GF24" s="1"/>
      <c r="GG24" s="1"/>
      <c r="GH24" s="1"/>
      <c r="GI24" s="1"/>
      <c r="GJ24" s="1"/>
      <c r="GK24" s="1"/>
      <c r="GL24" s="1"/>
      <c r="GM24" s="1"/>
      <c r="GN24" s="1"/>
      <c r="GO24" s="1"/>
      <c r="GP24" s="1"/>
      <c r="GQ24" s="1"/>
      <c r="GR24" s="1"/>
      <c r="GS24" s="1"/>
      <c r="GT24" s="1"/>
      <c r="GU24" s="1"/>
      <c r="GV24" s="1"/>
      <c r="GW24" s="1"/>
      <c r="GX24" s="1"/>
      <c r="GY24" s="1"/>
      <c r="GZ24" s="1"/>
      <c r="HA24" s="1"/>
      <c r="HB24" s="1"/>
      <c r="HC24" s="1"/>
      <c r="HD24" s="1"/>
      <c r="HE24" s="1"/>
      <c r="HF24" s="1"/>
      <c r="HG24" s="1"/>
      <c r="HH24" s="1"/>
      <c r="HI24" s="1"/>
      <c r="HJ24" s="1"/>
      <c r="HK24" s="1"/>
      <c r="HL24" s="1"/>
      <c r="HM24" s="1"/>
      <c r="HN24" s="1"/>
      <c r="HO24" s="1"/>
      <c r="HP24" s="1"/>
      <c r="HQ24" s="1"/>
      <c r="HR24" s="1"/>
      <c r="HS24" s="1"/>
      <c r="HT24" s="1"/>
      <c r="HU24" s="1"/>
      <c r="HV24" s="1"/>
      <c r="HW24" s="1"/>
      <c r="HX24" s="1"/>
      <c r="HY24" s="1"/>
      <c r="HZ24" s="1"/>
      <c r="IA24" s="1"/>
      <c r="IB24" s="1"/>
      <c r="IC24" s="1"/>
      <c r="ID24" s="1"/>
      <c r="IE24" s="1"/>
      <c r="IF24" s="1"/>
      <c r="IG24" s="1"/>
      <c r="IH24" s="1"/>
      <c r="II24" s="1"/>
      <c r="IJ24" s="1"/>
      <c r="IK24" s="1"/>
      <c r="IL24" s="1"/>
      <c r="IM24" s="1"/>
      <c r="IN24" s="1"/>
      <c r="IO24" s="1"/>
      <c r="IP24" s="1"/>
      <c r="IQ24" s="1"/>
      <c r="IR24" s="1"/>
      <c r="IS24" s="1"/>
      <c r="IT24" s="1"/>
      <c r="IU24" s="1"/>
      <c r="IV24" s="1"/>
      <c r="IW24" s="1"/>
      <c r="IX24" s="1"/>
      <c r="IY24" s="1"/>
      <c r="IZ24" s="1"/>
      <c r="JA24" s="1"/>
      <c r="JB24" s="1"/>
      <c r="JC24" s="1"/>
      <c r="JD24" s="1"/>
    </row>
    <row r="25" spans="1:264" s="347" customFormat="1" x14ac:dyDescent="0.2">
      <c r="A25" s="411" t="s">
        <v>34</v>
      </c>
      <c r="B25" s="348"/>
      <c r="BH25" s="397">
        <f>+BH23+BH19</f>
        <v>10289</v>
      </c>
      <c r="BI25" s="397">
        <f>+BI23+BI19</f>
        <v>10532</v>
      </c>
      <c r="BJ25" s="397">
        <f>+BJ23+BJ19</f>
        <v>20821</v>
      </c>
      <c r="BK25" s="348"/>
      <c r="BL25" s="397">
        <f>+BL23+BL19</f>
        <v>11148</v>
      </c>
      <c r="BM25" s="397">
        <f>+BM23+BM19</f>
        <v>11253</v>
      </c>
      <c r="BN25" s="397">
        <f>+BN23+BN19</f>
        <v>22401</v>
      </c>
      <c r="BO25" s="408"/>
      <c r="BP25" s="397">
        <f>+BP23+BP19</f>
        <v>11723</v>
      </c>
      <c r="BQ25" s="397">
        <f>+BQ23+BQ19</f>
        <v>11855</v>
      </c>
      <c r="BR25" s="397">
        <f>+BR23+BR19</f>
        <v>23578</v>
      </c>
      <c r="BS25" s="393">
        <f t="shared" ref="BS25:BS30" si="5">BR25/BN25-1</f>
        <v>5.2542297218874268E-2</v>
      </c>
      <c r="BT25" s="397">
        <f>+BT23+BT19</f>
        <v>12420</v>
      </c>
      <c r="BU25" s="397">
        <f>+BU23+BU19</f>
        <v>12327</v>
      </c>
      <c r="BV25" s="397">
        <f>+BV23+BV19</f>
        <v>24747</v>
      </c>
      <c r="BW25" s="393">
        <f>BV25/BR25-1</f>
        <v>4.9580117058274586E-2</v>
      </c>
      <c r="BX25" s="397">
        <f>+BX23+BX19</f>
        <v>12835</v>
      </c>
      <c r="BY25" s="397">
        <f>+BY23+BY19</f>
        <v>12445</v>
      </c>
      <c r="BZ25" s="397">
        <f>+BZ23+BZ19</f>
        <v>25280</v>
      </c>
      <c r="CA25" s="393">
        <f>BZ25/BV25-1</f>
        <v>2.1537964197680504E-2</v>
      </c>
      <c r="CB25" s="397">
        <f>+CB23+CB19</f>
        <v>12649</v>
      </c>
      <c r="CC25" s="397">
        <f>+CC23+CC19</f>
        <v>12273</v>
      </c>
      <c r="CD25" s="397">
        <f>+CD23+CD19</f>
        <v>24922</v>
      </c>
      <c r="CE25" s="393">
        <f t="shared" ref="CE25:CE30" si="6">CD25/BZ25-1</f>
        <v>-1.4161392405063311E-2</v>
      </c>
      <c r="CF25" s="397">
        <f>+CF23+CF19</f>
        <v>11990</v>
      </c>
      <c r="CG25" s="397">
        <f>+CG23+CG19</f>
        <v>11589</v>
      </c>
      <c r="CH25" s="397">
        <f>+CH23+CH19</f>
        <v>23579</v>
      </c>
      <c r="CI25" s="393">
        <f t="shared" ref="CI25:CI30" si="7">CH25/CD25-1</f>
        <v>-5.3888130968622105E-2</v>
      </c>
      <c r="CJ25" s="397">
        <f>+CJ23+CJ19</f>
        <v>12023</v>
      </c>
      <c r="CK25" s="397">
        <f>+CK23+CK19</f>
        <v>11738</v>
      </c>
      <c r="CL25" s="397">
        <f>+CL23+CL19</f>
        <v>23761</v>
      </c>
      <c r="CM25" s="393">
        <f>CL25/CH25-1</f>
        <v>7.7187327706857989E-3</v>
      </c>
      <c r="CN25" s="397">
        <f>+CN23+CN19</f>
        <v>11961</v>
      </c>
      <c r="CO25" s="397">
        <f>+CO23+CO19</f>
        <v>12195</v>
      </c>
      <c r="CP25" s="397">
        <f>+CP23+CP19</f>
        <v>24156</v>
      </c>
      <c r="CQ25" s="393">
        <f>CP25/CL25-1</f>
        <v>1.6623879466352465E-2</v>
      </c>
      <c r="CR25" s="397">
        <f>+CR23+CR19</f>
        <v>12107</v>
      </c>
      <c r="CS25" s="397">
        <f>+CS23+CS19</f>
        <v>12582</v>
      </c>
      <c r="CT25" s="397">
        <f>+CT23+CT19</f>
        <v>24689</v>
      </c>
      <c r="CU25" s="393">
        <f>CT25/CP25-1</f>
        <v>2.2064911409173771E-2</v>
      </c>
      <c r="CV25" s="397">
        <f>+CV23+CV19</f>
        <v>13623</v>
      </c>
      <c r="CW25" s="397">
        <f>+CW23+CW19</f>
        <v>13512</v>
      </c>
      <c r="CX25" s="397">
        <f>+CX23+CX19</f>
        <v>27135</v>
      </c>
      <c r="CY25" s="393">
        <f>CX25/CT25-1</f>
        <v>9.9072461420065538E-2</v>
      </c>
      <c r="CZ25" s="397">
        <f>+CZ23+CZ19</f>
        <v>13649</v>
      </c>
      <c r="DA25" s="397">
        <f>+DA23+DA19</f>
        <v>13525</v>
      </c>
      <c r="DB25" s="397">
        <f>+DB23+DB19</f>
        <v>27174</v>
      </c>
      <c r="DC25" s="393">
        <f>DB25/CX25-1</f>
        <v>1.4372581536761242E-3</v>
      </c>
      <c r="DD25" s="397">
        <f>+DD23+DD19</f>
        <v>14097</v>
      </c>
      <c r="DE25" s="397">
        <f>+DE23+DE19</f>
        <v>14368</v>
      </c>
      <c r="DF25" s="397">
        <f>+DF23+DF19</f>
        <v>28465</v>
      </c>
      <c r="DG25" s="393">
        <f>DF25/DB25-1</f>
        <v>4.7508647972326568E-2</v>
      </c>
      <c r="DH25" s="397">
        <f>+DH23+DH19</f>
        <v>15021</v>
      </c>
      <c r="DI25" s="397">
        <f>+DI23+DI19</f>
        <v>15221.786412194529</v>
      </c>
      <c r="DJ25" s="397">
        <f>+DJ23+DJ19</f>
        <v>30242.786412194531</v>
      </c>
      <c r="DK25" s="393">
        <f>DJ25/DF25-1</f>
        <v>6.2455169934815702E-2</v>
      </c>
      <c r="DL25" s="397">
        <f>+DL23+DL19</f>
        <v>15973.425130904467</v>
      </c>
      <c r="DM25" s="397">
        <f>+DM23+DM19</f>
        <v>16037.449253626672</v>
      </c>
      <c r="DN25" s="397">
        <f>+DN23+DN19</f>
        <v>32010.87438453114</v>
      </c>
      <c r="DO25" s="393">
        <f>DN25/DJ25-1</f>
        <v>5.846313062025521E-2</v>
      </c>
      <c r="DP25" s="397">
        <f>+DP23+DP19</f>
        <v>16651.367635972674</v>
      </c>
      <c r="DQ25" s="397">
        <f>+DQ23+DQ19</f>
        <v>16727.137294992015</v>
      </c>
      <c r="DR25" s="397">
        <f>+DR23+DR19</f>
        <v>33378.504930964686</v>
      </c>
      <c r="DS25" s="393">
        <f>DR25/DN25-1</f>
        <v>4.2723935935171875E-2</v>
      </c>
      <c r="DT25" s="1"/>
      <c r="DU25" s="1"/>
      <c r="DV25" s="1"/>
      <c r="DW25" s="1"/>
      <c r="DX25" s="1"/>
      <c r="DY25" s="1"/>
      <c r="DZ25" s="1"/>
      <c r="EA25" s="1"/>
      <c r="EB25" s="1"/>
      <c r="EC25" s="1"/>
      <c r="ED25" s="1"/>
      <c r="EE25" s="1"/>
      <c r="EF25" s="1"/>
      <c r="EG25" s="1"/>
      <c r="EH25" s="1"/>
      <c r="EI25" s="1"/>
      <c r="EJ25" s="1"/>
      <c r="EK25" s="1"/>
      <c r="EL25" s="1"/>
      <c r="EM25" s="1"/>
      <c r="EN25" s="1"/>
      <c r="EO25" s="1"/>
      <c r="EP25" s="1"/>
      <c r="EQ25" s="1"/>
      <c r="ER25" s="1"/>
      <c r="ES25" s="1"/>
      <c r="ET25" s="1"/>
      <c r="EU25" s="1"/>
      <c r="EV25" s="1"/>
      <c r="EW25" s="1"/>
      <c r="EX25" s="1"/>
      <c r="EY25" s="1"/>
      <c r="EZ25" s="1"/>
      <c r="FA25" s="1"/>
      <c r="FB25" s="1"/>
      <c r="FC25" s="1"/>
      <c r="FD25" s="1"/>
      <c r="FE25" s="1"/>
      <c r="FF25" s="1"/>
      <c r="FG25" s="1"/>
      <c r="FH25" s="1"/>
      <c r="FI25" s="1"/>
      <c r="FJ25" s="1"/>
      <c r="FK25" s="1"/>
      <c r="FL25" s="1"/>
      <c r="FM25" s="1"/>
      <c r="FN25" s="1"/>
      <c r="FO25" s="1"/>
      <c r="FP25" s="1"/>
      <c r="FQ25" s="1"/>
      <c r="FR25" s="1"/>
      <c r="FS25" s="1"/>
      <c r="FT25" s="1"/>
      <c r="FU25" s="1"/>
      <c r="FV25" s="1"/>
      <c r="FW25" s="1"/>
      <c r="FX25" s="1"/>
      <c r="FY25" s="1"/>
      <c r="FZ25" s="1"/>
      <c r="GA25" s="1"/>
      <c r="GB25" s="1"/>
      <c r="GC25" s="1"/>
      <c r="GD25" s="1"/>
      <c r="GE25" s="1"/>
      <c r="GF25" s="1"/>
      <c r="GG25" s="1"/>
      <c r="GH25" s="1"/>
      <c r="GI25" s="1"/>
      <c r="GJ25" s="1"/>
      <c r="GK25" s="1"/>
      <c r="GL25" s="1"/>
      <c r="GM25" s="1"/>
      <c r="GN25" s="1"/>
      <c r="GO25" s="1"/>
      <c r="GP25" s="1"/>
      <c r="GQ25" s="1"/>
      <c r="GR25" s="1"/>
      <c r="GS25" s="1"/>
      <c r="GT25" s="1"/>
      <c r="GU25" s="1"/>
      <c r="GV25" s="1"/>
      <c r="GW25" s="1"/>
      <c r="GX25" s="1"/>
      <c r="GY25" s="1"/>
      <c r="GZ25" s="1"/>
      <c r="HA25" s="1"/>
      <c r="HB25" s="1"/>
      <c r="HC25" s="1"/>
      <c r="HD25" s="1"/>
      <c r="HE25" s="1"/>
      <c r="HF25" s="1"/>
      <c r="HG25" s="1"/>
      <c r="HH25" s="1"/>
      <c r="HI25" s="1"/>
      <c r="HJ25" s="1"/>
      <c r="HK25" s="1"/>
      <c r="HL25" s="1"/>
      <c r="HM25" s="1"/>
      <c r="HN25" s="1"/>
      <c r="HO25" s="1"/>
      <c r="HP25" s="1"/>
      <c r="HQ25" s="1"/>
      <c r="HR25" s="1"/>
      <c r="HS25" s="1"/>
      <c r="HT25" s="1"/>
      <c r="HU25" s="1"/>
      <c r="HV25" s="1"/>
      <c r="HW25" s="1"/>
      <c r="HX25" s="1"/>
      <c r="HY25" s="1"/>
      <c r="HZ25" s="1"/>
      <c r="IA25" s="1"/>
      <c r="IB25" s="1"/>
      <c r="IC25" s="1"/>
      <c r="ID25" s="1"/>
      <c r="IE25" s="1"/>
      <c r="IF25" s="1"/>
      <c r="IG25" s="1"/>
      <c r="IH25" s="1"/>
      <c r="II25" s="1"/>
      <c r="IJ25" s="1"/>
      <c r="IK25" s="1"/>
      <c r="IL25" s="1"/>
      <c r="IM25" s="1"/>
      <c r="IN25" s="1"/>
      <c r="IO25" s="1"/>
      <c r="IP25" s="1"/>
      <c r="IQ25" s="1"/>
      <c r="IR25" s="1"/>
      <c r="IS25" s="1"/>
      <c r="IT25" s="1"/>
      <c r="IU25" s="1"/>
      <c r="IV25" s="1"/>
      <c r="IW25" s="1"/>
      <c r="IX25" s="1"/>
      <c r="IY25" s="1"/>
      <c r="IZ25" s="1"/>
      <c r="JA25" s="1"/>
      <c r="JB25" s="1"/>
      <c r="JC25" s="1"/>
      <c r="JD25" s="1"/>
    </row>
    <row r="26" spans="1:264" s="347" customFormat="1" x14ac:dyDescent="0.2">
      <c r="A26" s="409" t="s">
        <v>227</v>
      </c>
      <c r="B26" s="348"/>
      <c r="BH26" s="398">
        <v>-2606</v>
      </c>
      <c r="BI26" s="398">
        <v>-2626</v>
      </c>
      <c r="BJ26" s="351">
        <f>+BH26+BI26</f>
        <v>-5232</v>
      </c>
      <c r="BK26" s="348"/>
      <c r="BL26" s="398">
        <v>-2785</v>
      </c>
      <c r="BM26" s="398">
        <v>-2757</v>
      </c>
      <c r="BN26" s="351">
        <f>+BL26+BM26</f>
        <v>-5542</v>
      </c>
      <c r="BO26" s="403">
        <f>BN26/BJ26-1</f>
        <v>5.9250764525993871E-2</v>
      </c>
      <c r="BP26" s="398">
        <v>-2906</v>
      </c>
      <c r="BQ26" s="398">
        <v>-2910</v>
      </c>
      <c r="BR26" s="351">
        <f>+BP26+BQ26</f>
        <v>-5816</v>
      </c>
      <c r="BS26" s="393">
        <f t="shared" si="5"/>
        <v>4.9440635149765377E-2</v>
      </c>
      <c r="BT26" s="398">
        <f>-3085+6</f>
        <v>-3079</v>
      </c>
      <c r="BU26" s="398">
        <f>-3079-11</f>
        <v>-3090</v>
      </c>
      <c r="BV26" s="351">
        <f>+BT26+BU26</f>
        <v>-6169</v>
      </c>
      <c r="BX26" s="398">
        <v>-2996</v>
      </c>
      <c r="BY26" s="351">
        <f>BZ26-BX26</f>
        <v>-2869</v>
      </c>
      <c r="BZ26" s="399">
        <v>-5865</v>
      </c>
      <c r="CB26" s="398">
        <v>-2739</v>
      </c>
      <c r="CC26" s="398">
        <v>-2700</v>
      </c>
      <c r="CD26" s="351">
        <f>+CB26+CC26</f>
        <v>-5439</v>
      </c>
      <c r="CE26" s="393">
        <f t="shared" si="6"/>
        <v>-7.2634271099744296E-2</v>
      </c>
      <c r="CF26" s="398">
        <f>-2875+105</f>
        <v>-2770</v>
      </c>
      <c r="CG26" s="398">
        <f>-3040+105</f>
        <v>-2935</v>
      </c>
      <c r="CH26" s="351">
        <f>+CF26+CG26</f>
        <v>-5705</v>
      </c>
      <c r="CI26" s="394">
        <f t="shared" si="7"/>
        <v>4.8906048906048882E-2</v>
      </c>
      <c r="CJ26" s="398">
        <f>-2846+10</f>
        <v>-2836</v>
      </c>
      <c r="CK26" s="398">
        <f>-2905+10</f>
        <v>-2895</v>
      </c>
      <c r="CL26" s="351">
        <f>+CJ26+CK26</f>
        <v>-5731</v>
      </c>
      <c r="CN26" s="398">
        <v>-2963</v>
      </c>
      <c r="CO26" s="398">
        <v>-3022</v>
      </c>
      <c r="CP26" s="351">
        <f>+CN26+CO26</f>
        <v>-5985</v>
      </c>
      <c r="CR26" s="398">
        <v>-3358</v>
      </c>
      <c r="CS26" s="398">
        <v>-3194</v>
      </c>
      <c r="CT26" s="351">
        <f>+CR26+CS26</f>
        <v>-6552</v>
      </c>
      <c r="CV26" s="398">
        <v>-3537</v>
      </c>
      <c r="CW26" s="398">
        <v>-3702</v>
      </c>
      <c r="CX26" s="351">
        <f>+CV26+CW26</f>
        <v>-7239</v>
      </c>
      <c r="CZ26" s="398">
        <v>-3719</v>
      </c>
      <c r="DA26" s="398">
        <v>-3729</v>
      </c>
      <c r="DB26" s="351">
        <f>+CZ26+DA26</f>
        <v>-7448</v>
      </c>
      <c r="DD26" s="398">
        <v>-3970</v>
      </c>
      <c r="DE26" s="398">
        <v>-4000</v>
      </c>
      <c r="DF26" s="351">
        <f>+DD26+DE26</f>
        <v>-7970</v>
      </c>
      <c r="DH26" s="398">
        <v>-4139</v>
      </c>
      <c r="DI26" s="351">
        <f t="shared" ref="DI26:DI29" si="8">DI776</f>
        <v>-4143.6701904683941</v>
      </c>
      <c r="DJ26" s="351">
        <f>+DH26+DI26</f>
        <v>-8282.6701904683941</v>
      </c>
      <c r="DL26" s="351">
        <f t="shared" ref="DL26:DM29" si="9">DL776</f>
        <v>-4382.5308347795726</v>
      </c>
      <c r="DM26" s="351">
        <f t="shared" si="9"/>
        <v>-4375.9582294325219</v>
      </c>
      <c r="DN26" s="351">
        <f>+DL26+DM26</f>
        <v>-8758.4890642120954</v>
      </c>
      <c r="DP26" s="351">
        <f t="shared" ref="DP26:DQ26" si="10">DP776</f>
        <v>-4593.0487245006943</v>
      </c>
      <c r="DQ26" s="351">
        <f t="shared" si="10"/>
        <v>-4611.4983022848164</v>
      </c>
      <c r="DR26" s="351">
        <f>+DP26+DQ26</f>
        <v>-9204.5470267855108</v>
      </c>
      <c r="DT26" s="1"/>
      <c r="DU26" s="1"/>
      <c r="DV26" s="1"/>
      <c r="DW26" s="1"/>
      <c r="DX26" s="1"/>
      <c r="DY26" s="1"/>
      <c r="DZ26" s="1"/>
      <c r="EA26" s="1"/>
      <c r="EB26" s="1"/>
      <c r="EC26" s="1"/>
      <c r="ED26" s="1"/>
      <c r="EE26" s="1"/>
      <c r="EF26" s="1"/>
      <c r="EG26" s="1"/>
      <c r="EH26" s="1"/>
      <c r="EI26" s="1"/>
      <c r="EJ26" s="1"/>
      <c r="EK26" s="1"/>
      <c r="EL26" s="1"/>
      <c r="EM26" s="1"/>
      <c r="EN26" s="1"/>
      <c r="EO26" s="1"/>
      <c r="EP26" s="1"/>
      <c r="EQ26" s="1"/>
      <c r="ER26" s="1"/>
      <c r="ES26" s="1"/>
      <c r="ET26" s="1"/>
      <c r="EU26" s="1"/>
      <c r="EV26" s="1"/>
      <c r="EW26" s="1"/>
      <c r="EX26" s="1"/>
      <c r="EY26" s="1"/>
      <c r="EZ26" s="1"/>
      <c r="FA26" s="1"/>
      <c r="FB26" s="1"/>
      <c r="FC26" s="1"/>
      <c r="FD26" s="1"/>
      <c r="FE26" s="1"/>
      <c r="FF26" s="1"/>
      <c r="FG26" s="1"/>
      <c r="FH26" s="1"/>
      <c r="FI26" s="1"/>
      <c r="FJ26" s="1"/>
      <c r="FK26" s="1"/>
      <c r="FL26" s="1"/>
      <c r="FM26" s="1"/>
      <c r="FN26" s="1"/>
      <c r="FO26" s="1"/>
      <c r="FP26" s="1"/>
      <c r="FQ26" s="1"/>
      <c r="FR26" s="1"/>
      <c r="FS26" s="1"/>
      <c r="FT26" s="1"/>
      <c r="FU26" s="1"/>
      <c r="FV26" s="1"/>
      <c r="FW26" s="1"/>
      <c r="FX26" s="1"/>
      <c r="FY26" s="1"/>
      <c r="FZ26" s="1"/>
      <c r="GA26" s="1"/>
      <c r="GB26" s="1"/>
      <c r="GC26" s="1"/>
      <c r="GD26" s="1"/>
      <c r="GE26" s="1"/>
      <c r="GF26" s="1"/>
      <c r="GG26" s="1"/>
      <c r="GH26" s="1"/>
      <c r="GI26" s="1"/>
      <c r="GJ26" s="1"/>
      <c r="GK26" s="1"/>
      <c r="GL26" s="1"/>
      <c r="GM26" s="1"/>
      <c r="GN26" s="1"/>
      <c r="GO26" s="1"/>
      <c r="GP26" s="1"/>
      <c r="GQ26" s="1"/>
      <c r="GR26" s="1"/>
      <c r="GS26" s="1"/>
      <c r="GT26" s="1"/>
      <c r="GU26" s="1"/>
      <c r="GV26" s="1"/>
      <c r="GW26" s="1"/>
      <c r="GX26" s="1"/>
      <c r="GY26" s="1"/>
      <c r="GZ26" s="1"/>
      <c r="HA26" s="1"/>
      <c r="HB26" s="1"/>
      <c r="HC26" s="1"/>
      <c r="HD26" s="1"/>
      <c r="HE26" s="1"/>
      <c r="HF26" s="1"/>
      <c r="HG26" s="1"/>
      <c r="HH26" s="1"/>
      <c r="HI26" s="1"/>
      <c r="HJ26" s="1"/>
      <c r="HK26" s="1"/>
      <c r="HL26" s="1"/>
      <c r="HM26" s="1"/>
      <c r="HN26" s="1"/>
      <c r="HO26" s="1"/>
      <c r="HP26" s="1"/>
      <c r="HQ26" s="1"/>
      <c r="HR26" s="1"/>
      <c r="HS26" s="1"/>
      <c r="HT26" s="1"/>
      <c r="HU26" s="1"/>
      <c r="HV26" s="1"/>
      <c r="HW26" s="1"/>
      <c r="HX26" s="1"/>
      <c r="HY26" s="1"/>
      <c r="HZ26" s="1"/>
      <c r="IA26" s="1"/>
      <c r="IB26" s="1"/>
      <c r="IC26" s="1"/>
      <c r="ID26" s="1"/>
      <c r="IE26" s="1"/>
      <c r="IF26" s="1"/>
      <c r="IG26" s="1"/>
      <c r="IH26" s="1"/>
      <c r="II26" s="1"/>
      <c r="IJ26" s="1"/>
      <c r="IK26" s="1"/>
      <c r="IL26" s="1"/>
      <c r="IM26" s="1"/>
      <c r="IN26" s="1"/>
      <c r="IO26" s="1"/>
      <c r="IP26" s="1"/>
      <c r="IQ26" s="1"/>
      <c r="IR26" s="1"/>
      <c r="IS26" s="1"/>
      <c r="IT26" s="1"/>
      <c r="IU26" s="1"/>
      <c r="IV26" s="1"/>
      <c r="IW26" s="1"/>
      <c r="IX26" s="1"/>
      <c r="IY26" s="1"/>
      <c r="IZ26" s="1"/>
      <c r="JA26" s="1"/>
      <c r="JB26" s="1"/>
      <c r="JC26" s="1"/>
      <c r="JD26" s="1"/>
    </row>
    <row r="27" spans="1:264" s="347" customFormat="1" x14ac:dyDescent="0.2">
      <c r="A27" s="412" t="s">
        <v>228</v>
      </c>
      <c r="B27" s="348"/>
      <c r="BH27" s="398">
        <f>-506</f>
        <v>-506</v>
      </c>
      <c r="BI27" s="398">
        <f>-512</f>
        <v>-512</v>
      </c>
      <c r="BJ27" s="351">
        <f>+BH27+BI27</f>
        <v>-1018</v>
      </c>
      <c r="BK27" s="348"/>
      <c r="BL27" s="398">
        <f>-524</f>
        <v>-524</v>
      </c>
      <c r="BM27" s="398">
        <v>-529</v>
      </c>
      <c r="BN27" s="351">
        <f>+BL27+BM27</f>
        <v>-1053</v>
      </c>
      <c r="BO27" s="403">
        <f>BM27/BI27-1</f>
        <v>3.3203125E-2</v>
      </c>
      <c r="BP27" s="398">
        <v>-539</v>
      </c>
      <c r="BQ27" s="398">
        <v>-547</v>
      </c>
      <c r="BR27" s="351">
        <f>+BP27+BQ27</f>
        <v>-1086</v>
      </c>
      <c r="BS27" s="393">
        <f t="shared" si="5"/>
        <v>3.1339031339031376E-2</v>
      </c>
      <c r="BT27" s="398">
        <v>-559</v>
      </c>
      <c r="BU27" s="398">
        <v>-575</v>
      </c>
      <c r="BV27" s="351">
        <f>+BT27+BU27</f>
        <v>-1134</v>
      </c>
      <c r="BX27" s="398">
        <v>-556</v>
      </c>
      <c r="BY27" s="351">
        <f>BZ27-BX27</f>
        <v>-554</v>
      </c>
      <c r="BZ27" s="399">
        <v>-1110</v>
      </c>
      <c r="CB27" s="398">
        <v>-554</v>
      </c>
      <c r="CC27" s="398">
        <v>-580</v>
      </c>
      <c r="CD27" s="351">
        <f>+CB27+CC27</f>
        <v>-1134</v>
      </c>
      <c r="CE27" s="393">
        <f t="shared" si="6"/>
        <v>2.1621621621621623E-2</v>
      </c>
      <c r="CF27" s="398">
        <f>-549+8</f>
        <v>-541</v>
      </c>
      <c r="CG27" s="398">
        <f>-549+8</f>
        <v>-541</v>
      </c>
      <c r="CH27" s="351">
        <f>+CF27+CG27</f>
        <v>-1082</v>
      </c>
      <c r="CI27" s="394">
        <f t="shared" si="7"/>
        <v>-4.585537918871252E-2</v>
      </c>
      <c r="CJ27" s="398">
        <f>-496-15</f>
        <v>-511</v>
      </c>
      <c r="CK27" s="398">
        <f>-560-16</f>
        <v>-576</v>
      </c>
      <c r="CL27" s="351">
        <f>+CJ27+CK27</f>
        <v>-1087</v>
      </c>
      <c r="CN27" s="398">
        <v>-576</v>
      </c>
      <c r="CO27" s="398">
        <v>-578</v>
      </c>
      <c r="CP27" s="351">
        <f>+CN27+CO27</f>
        <v>-1154</v>
      </c>
      <c r="CR27" s="398">
        <v>-486</v>
      </c>
      <c r="CS27" s="398">
        <v>-489</v>
      </c>
      <c r="CT27" s="351">
        <f>+CR27+CS27</f>
        <v>-975</v>
      </c>
      <c r="CV27" s="398">
        <v>-479</v>
      </c>
      <c r="CW27" s="398">
        <v>-471</v>
      </c>
      <c r="CX27" s="351">
        <f>+CV27+CW27</f>
        <v>-950</v>
      </c>
      <c r="CZ27" s="398">
        <v>-501</v>
      </c>
      <c r="DA27" s="398">
        <v>-494</v>
      </c>
      <c r="DB27" s="351">
        <f>+CZ27+DA27</f>
        <v>-995</v>
      </c>
      <c r="DD27" s="398">
        <v>-460</v>
      </c>
      <c r="DE27" s="398">
        <v>-497</v>
      </c>
      <c r="DF27" s="351">
        <f>+DD27+DE27</f>
        <v>-957</v>
      </c>
      <c r="DH27" s="398">
        <v>-465</v>
      </c>
      <c r="DI27" s="351">
        <f t="shared" si="8"/>
        <v>-465</v>
      </c>
      <c r="DJ27" s="351">
        <f>+DH27+DI27</f>
        <v>-930</v>
      </c>
      <c r="DL27" s="351">
        <f t="shared" si="9"/>
        <v>-451.05</v>
      </c>
      <c r="DM27" s="351">
        <f t="shared" si="9"/>
        <v>-460.07100000000003</v>
      </c>
      <c r="DN27" s="351">
        <f>+DL27+DM27</f>
        <v>-911.12100000000009</v>
      </c>
      <c r="DP27" s="351">
        <f t="shared" ref="DP27:DQ27" si="11">DP777</f>
        <v>-450.86958000000004</v>
      </c>
      <c r="DQ27" s="351">
        <f t="shared" si="11"/>
        <v>-450.86958000000004</v>
      </c>
      <c r="DR27" s="351">
        <f>+DP27+DQ27</f>
        <v>-901.73916000000008</v>
      </c>
      <c r="DT27" s="1"/>
      <c r="DU27" s="1"/>
      <c r="DV27" s="1"/>
      <c r="DW27" s="1"/>
      <c r="DX27" s="1"/>
      <c r="DY27" s="1"/>
      <c r="DZ27" s="1"/>
      <c r="EA27" s="1"/>
      <c r="EB27" s="1"/>
      <c r="EC27" s="1"/>
      <c r="ED27" s="1"/>
      <c r="EE27" s="1"/>
      <c r="EF27" s="1"/>
      <c r="EG27" s="1"/>
      <c r="EH27" s="1"/>
      <c r="EI27" s="1"/>
      <c r="EJ27" s="1"/>
      <c r="EK27" s="1"/>
      <c r="EL27" s="1"/>
      <c r="EM27" s="1"/>
      <c r="EN27" s="1"/>
      <c r="EO27" s="1"/>
      <c r="EP27" s="1"/>
      <c r="EQ27" s="1"/>
      <c r="ER27" s="1"/>
      <c r="ES27" s="1"/>
      <c r="ET27" s="1"/>
      <c r="EU27" s="1"/>
      <c r="EV27" s="1"/>
      <c r="EW27" s="1"/>
      <c r="EX27" s="1"/>
      <c r="EY27" s="1"/>
      <c r="EZ27" s="1"/>
      <c r="FA27" s="1"/>
      <c r="FB27" s="1"/>
      <c r="FC27" s="1"/>
      <c r="FD27" s="1"/>
      <c r="FE27" s="1"/>
      <c r="FF27" s="1"/>
      <c r="FG27" s="1"/>
      <c r="FH27" s="1"/>
      <c r="FI27" s="1"/>
      <c r="FJ27" s="1"/>
      <c r="FK27" s="1"/>
      <c r="FL27" s="1"/>
      <c r="FM27" s="1"/>
      <c r="FN27" s="1"/>
      <c r="FO27" s="1"/>
      <c r="FP27" s="1"/>
      <c r="FQ27" s="1"/>
      <c r="FR27" s="1"/>
      <c r="FS27" s="1"/>
      <c r="FT27" s="1"/>
      <c r="FU27" s="1"/>
      <c r="FV27" s="1"/>
      <c r="FW27" s="1"/>
      <c r="FX27" s="1"/>
      <c r="FY27" s="1"/>
      <c r="FZ27" s="1"/>
      <c r="GA27" s="1"/>
      <c r="GB27" s="1"/>
      <c r="GC27" s="1"/>
      <c r="GD27" s="1"/>
      <c r="GE27" s="1"/>
      <c r="GF27" s="1"/>
      <c r="GG27" s="1"/>
      <c r="GH27" s="1"/>
      <c r="GI27" s="1"/>
      <c r="GJ27" s="1"/>
      <c r="GK27" s="1"/>
      <c r="GL27" s="1"/>
      <c r="GM27" s="1"/>
      <c r="GN27" s="1"/>
      <c r="GO27" s="1"/>
      <c r="GP27" s="1"/>
      <c r="GQ27" s="1"/>
      <c r="GR27" s="1"/>
      <c r="GS27" s="1"/>
      <c r="GT27" s="1"/>
      <c r="GU27" s="1"/>
      <c r="GV27" s="1"/>
      <c r="GW27" s="1"/>
      <c r="GX27" s="1"/>
      <c r="GY27" s="1"/>
      <c r="GZ27" s="1"/>
      <c r="HA27" s="1"/>
      <c r="HB27" s="1"/>
      <c r="HC27" s="1"/>
      <c r="HD27" s="1"/>
      <c r="HE27" s="1"/>
      <c r="HF27" s="1"/>
      <c r="HG27" s="1"/>
      <c r="HH27" s="1"/>
      <c r="HI27" s="1"/>
      <c r="HJ27" s="1"/>
      <c r="HK27" s="1"/>
      <c r="HL27" s="1"/>
      <c r="HM27" s="1"/>
      <c r="HN27" s="1"/>
      <c r="HO27" s="1"/>
      <c r="HP27" s="1"/>
      <c r="HQ27" s="1"/>
      <c r="HR27" s="1"/>
      <c r="HS27" s="1"/>
      <c r="HT27" s="1"/>
      <c r="HU27" s="1"/>
      <c r="HV27" s="1"/>
      <c r="HW27" s="1"/>
      <c r="HX27" s="1"/>
      <c r="HY27" s="1"/>
      <c r="HZ27" s="1"/>
      <c r="IA27" s="1"/>
      <c r="IB27" s="1"/>
      <c r="IC27" s="1"/>
      <c r="ID27" s="1"/>
      <c r="IE27" s="1"/>
      <c r="IF27" s="1"/>
      <c r="IG27" s="1"/>
      <c r="IH27" s="1"/>
      <c r="II27" s="1"/>
      <c r="IJ27" s="1"/>
      <c r="IK27" s="1"/>
      <c r="IL27" s="1"/>
      <c r="IM27" s="1"/>
      <c r="IN27" s="1"/>
      <c r="IO27" s="1"/>
      <c r="IP27" s="1"/>
      <c r="IQ27" s="1"/>
      <c r="IR27" s="1"/>
      <c r="IS27" s="1"/>
      <c r="IT27" s="1"/>
      <c r="IU27" s="1"/>
      <c r="IV27" s="1"/>
      <c r="IW27" s="1"/>
      <c r="IX27" s="1"/>
      <c r="IY27" s="1"/>
      <c r="IZ27" s="1"/>
      <c r="JA27" s="1"/>
      <c r="JB27" s="1"/>
      <c r="JC27" s="1"/>
      <c r="JD27" s="1"/>
    </row>
    <row r="28" spans="1:264" s="347" customFormat="1" x14ac:dyDescent="0.2">
      <c r="A28" s="412" t="s">
        <v>229</v>
      </c>
      <c r="B28" s="348"/>
      <c r="BH28" s="398">
        <f>-627</f>
        <v>-627</v>
      </c>
      <c r="BI28" s="398">
        <f>-672</f>
        <v>-672</v>
      </c>
      <c r="BJ28" s="351">
        <f>+BH28+BI28</f>
        <v>-1299</v>
      </c>
      <c r="BK28" s="348"/>
      <c r="BL28" s="398">
        <f>-700</f>
        <v>-700</v>
      </c>
      <c r="BM28" s="398">
        <v>-680</v>
      </c>
      <c r="BN28" s="351">
        <f>+BL28+BM28</f>
        <v>-1380</v>
      </c>
      <c r="BO28" s="403">
        <f>BM28/BI28-1</f>
        <v>1.1904761904761862E-2</v>
      </c>
      <c r="BP28" s="398">
        <v>-628</v>
      </c>
      <c r="BQ28" s="398">
        <v>-664</v>
      </c>
      <c r="BR28" s="351">
        <f>+BP28+BQ28</f>
        <v>-1292</v>
      </c>
      <c r="BS28" s="393">
        <f t="shared" si="5"/>
        <v>-6.3768115942029024E-2</v>
      </c>
      <c r="BT28" s="398">
        <v>-752</v>
      </c>
      <c r="BU28" s="398">
        <v>-733</v>
      </c>
      <c r="BV28" s="351">
        <f>+BT28+BU28</f>
        <v>-1485</v>
      </c>
      <c r="BX28" s="398">
        <v>-1102</v>
      </c>
      <c r="BY28" s="351">
        <f>BZ28-BX28</f>
        <v>-869</v>
      </c>
      <c r="BZ28" s="399">
        <v>-1971</v>
      </c>
      <c r="CB28" s="398">
        <v>-825</v>
      </c>
      <c r="CC28" s="398">
        <v>-974</v>
      </c>
      <c r="CD28" s="351">
        <f>+CB28+CC28</f>
        <v>-1799</v>
      </c>
      <c r="CE28" s="393">
        <f t="shared" si="6"/>
        <v>-8.7265347539320137E-2</v>
      </c>
      <c r="CF28" s="398">
        <f>-947+74</f>
        <v>-873</v>
      </c>
      <c r="CG28" s="398">
        <f>-1020+74</f>
        <v>-946</v>
      </c>
      <c r="CH28" s="351">
        <f>+CF28+CG28</f>
        <v>-1819</v>
      </c>
      <c r="CI28" s="394">
        <f t="shared" si="7"/>
        <v>1.1117287381878782E-2</v>
      </c>
      <c r="CJ28" s="398">
        <f>-1160+55</f>
        <v>-1105</v>
      </c>
      <c r="CK28" s="398">
        <f>-971+56</f>
        <v>-915</v>
      </c>
      <c r="CL28" s="351">
        <f>+CJ28+CK28</f>
        <v>-2020</v>
      </c>
      <c r="CN28" s="398">
        <v>-1009</v>
      </c>
      <c r="CO28" s="398">
        <v>-1037</v>
      </c>
      <c r="CP28" s="351">
        <f>+CN28+CO28</f>
        <v>-2046</v>
      </c>
      <c r="CR28" s="398">
        <v>-960</v>
      </c>
      <c r="CS28" s="398">
        <f>-1007-389</f>
        <v>-1396</v>
      </c>
      <c r="CT28" s="351">
        <f>+CR28+CS28</f>
        <v>-2356</v>
      </c>
      <c r="CV28" s="398">
        <v>-1026</v>
      </c>
      <c r="CW28" s="398">
        <v>-1010</v>
      </c>
      <c r="CX28" s="351">
        <f>+CV28+CW28</f>
        <v>-2036</v>
      </c>
      <c r="CZ28" s="398">
        <v>-1106</v>
      </c>
      <c r="DA28" s="398">
        <v>-1119</v>
      </c>
      <c r="DB28" s="351">
        <f>+CZ28+DA28</f>
        <v>-2225</v>
      </c>
      <c r="DD28" s="398">
        <v>-1187</v>
      </c>
      <c r="DE28" s="398">
        <v>-1202</v>
      </c>
      <c r="DF28" s="351">
        <f>+DD28+DE28</f>
        <v>-2389</v>
      </c>
      <c r="DH28" s="398">
        <v>-1321</v>
      </c>
      <c r="DI28" s="351">
        <f t="shared" si="8"/>
        <v>-1311.2804109589042</v>
      </c>
      <c r="DJ28" s="351">
        <f>+DH28+DI28</f>
        <v>-2632.2804109589042</v>
      </c>
      <c r="DL28" s="351">
        <f t="shared" si="9"/>
        <v>-1347.2677018457734</v>
      </c>
      <c r="DM28" s="351">
        <f t="shared" si="9"/>
        <v>-1366.1684558717834</v>
      </c>
      <c r="DN28" s="351">
        <f>+DL28+DM28</f>
        <v>-2713.4361577175569</v>
      </c>
      <c r="DP28" s="351">
        <f t="shared" ref="DP28:DQ28" si="12">DP778</f>
        <v>-1413.5357198012491</v>
      </c>
      <c r="DQ28" s="351">
        <f t="shared" si="12"/>
        <v>-1424.7991675702522</v>
      </c>
      <c r="DR28" s="351">
        <f>+DP28+DQ28</f>
        <v>-2838.3348873715013</v>
      </c>
      <c r="DT28" s="1"/>
      <c r="DU28" s="1"/>
      <c r="DV28" s="1"/>
      <c r="DW28" s="1"/>
      <c r="DX28" s="1"/>
      <c r="DY28" s="1"/>
      <c r="DZ28" s="1"/>
      <c r="EA28" s="1"/>
      <c r="EB28" s="1"/>
      <c r="EC28" s="1"/>
      <c r="ED28" s="1"/>
      <c r="EE28" s="1"/>
      <c r="EF28" s="1"/>
      <c r="EG28" s="1"/>
      <c r="EH28" s="1"/>
      <c r="EI28" s="1"/>
      <c r="EJ28" s="1"/>
      <c r="EK28" s="1"/>
      <c r="EL28" s="1"/>
      <c r="EM28" s="1"/>
      <c r="EN28" s="1"/>
      <c r="EO28" s="1"/>
      <c r="EP28" s="1"/>
      <c r="EQ28" s="1"/>
      <c r="ER28" s="1"/>
      <c r="ES28" s="1"/>
      <c r="ET28" s="1"/>
      <c r="EU28" s="1"/>
      <c r="EV28" s="1"/>
      <c r="EW28" s="1"/>
      <c r="EX28" s="1"/>
      <c r="EY28" s="1"/>
      <c r="EZ28" s="1"/>
      <c r="FA28" s="1"/>
      <c r="FB28" s="1"/>
      <c r="FC28" s="1"/>
      <c r="FD28" s="1"/>
      <c r="FE28" s="1"/>
      <c r="FF28" s="1"/>
      <c r="FG28" s="1"/>
      <c r="FH28" s="1"/>
      <c r="FI28" s="1"/>
      <c r="FJ28" s="1"/>
      <c r="FK28" s="1"/>
      <c r="FL28" s="1"/>
      <c r="FM28" s="1"/>
      <c r="FN28" s="1"/>
      <c r="FO28" s="1"/>
      <c r="FP28" s="1"/>
      <c r="FQ28" s="1"/>
      <c r="FR28" s="1"/>
      <c r="FS28" s="1"/>
      <c r="FT28" s="1"/>
      <c r="FU28" s="1"/>
      <c r="FV28" s="1"/>
      <c r="FW28" s="1"/>
      <c r="FX28" s="1"/>
      <c r="FY28" s="1"/>
      <c r="FZ28" s="1"/>
      <c r="GA28" s="1"/>
      <c r="GB28" s="1"/>
      <c r="GC28" s="1"/>
      <c r="GD28" s="1"/>
      <c r="GE28" s="1"/>
      <c r="GF28" s="1"/>
      <c r="GG28" s="1"/>
      <c r="GH28" s="1"/>
      <c r="GI28" s="1"/>
      <c r="GJ28" s="1"/>
      <c r="GK28" s="1"/>
      <c r="GL28" s="1"/>
      <c r="GM28" s="1"/>
      <c r="GN28" s="1"/>
      <c r="GO28" s="1"/>
      <c r="GP28" s="1"/>
      <c r="GQ28" s="1"/>
      <c r="GR28" s="1"/>
      <c r="GS28" s="1"/>
      <c r="GT28" s="1"/>
      <c r="GU28" s="1"/>
      <c r="GV28" s="1"/>
      <c r="GW28" s="1"/>
      <c r="GX28" s="1"/>
      <c r="GY28" s="1"/>
      <c r="GZ28" s="1"/>
      <c r="HA28" s="1"/>
      <c r="HB28" s="1"/>
      <c r="HC28" s="1"/>
      <c r="HD28" s="1"/>
      <c r="HE28" s="1"/>
      <c r="HF28" s="1"/>
      <c r="HG28" s="1"/>
      <c r="HH28" s="1"/>
      <c r="HI28" s="1"/>
      <c r="HJ28" s="1"/>
      <c r="HK28" s="1"/>
      <c r="HL28" s="1"/>
      <c r="HM28" s="1"/>
      <c r="HN28" s="1"/>
      <c r="HO28" s="1"/>
      <c r="HP28" s="1"/>
      <c r="HQ28" s="1"/>
      <c r="HR28" s="1"/>
      <c r="HS28" s="1"/>
      <c r="HT28" s="1"/>
      <c r="HU28" s="1"/>
      <c r="HV28" s="1"/>
      <c r="HW28" s="1"/>
      <c r="HX28" s="1"/>
      <c r="HY28" s="1"/>
      <c r="HZ28" s="1"/>
      <c r="IA28" s="1"/>
      <c r="IB28" s="1"/>
      <c r="IC28" s="1"/>
      <c r="ID28" s="1"/>
      <c r="IE28" s="1"/>
      <c r="IF28" s="1"/>
      <c r="IG28" s="1"/>
      <c r="IH28" s="1"/>
      <c r="II28" s="1"/>
      <c r="IJ28" s="1"/>
      <c r="IK28" s="1"/>
      <c r="IL28" s="1"/>
      <c r="IM28" s="1"/>
      <c r="IN28" s="1"/>
      <c r="IO28" s="1"/>
      <c r="IP28" s="1"/>
      <c r="IQ28" s="1"/>
      <c r="IR28" s="1"/>
      <c r="IS28" s="1"/>
      <c r="IT28" s="1"/>
      <c r="IU28" s="1"/>
      <c r="IV28" s="1"/>
      <c r="IW28" s="1"/>
      <c r="IX28" s="1"/>
      <c r="IY28" s="1"/>
      <c r="IZ28" s="1"/>
      <c r="JA28" s="1"/>
      <c r="JB28" s="1"/>
      <c r="JC28" s="1"/>
      <c r="JD28" s="1"/>
    </row>
    <row r="29" spans="1:264" s="347" customFormat="1" x14ac:dyDescent="0.2">
      <c r="A29" s="409" t="s">
        <v>230</v>
      </c>
      <c r="B29" s="348"/>
      <c r="BH29" s="398">
        <v>-728</v>
      </c>
      <c r="BI29" s="398">
        <v>-733</v>
      </c>
      <c r="BJ29" s="351">
        <f>+BH29+BI29</f>
        <v>-1461</v>
      </c>
      <c r="BK29" s="348"/>
      <c r="BL29" s="398">
        <v>-742</v>
      </c>
      <c r="BM29" s="398">
        <v>-782</v>
      </c>
      <c r="BN29" s="351">
        <f>+BL29+BM29</f>
        <v>-1524</v>
      </c>
      <c r="BO29" s="403">
        <f>BM29/BI29-1</f>
        <v>6.684856753069579E-2</v>
      </c>
      <c r="BP29" s="398">
        <v>-841</v>
      </c>
      <c r="BQ29" s="398">
        <v>-958</v>
      </c>
      <c r="BR29" s="351">
        <f>+BP29+BQ29</f>
        <v>-1799</v>
      </c>
      <c r="BS29" s="393">
        <f t="shared" si="5"/>
        <v>0.18044619422572183</v>
      </c>
      <c r="BT29" s="398">
        <v>-820</v>
      </c>
      <c r="BU29" s="398">
        <f>-5213-11-BU28-BU27-BU26</f>
        <v>-826</v>
      </c>
      <c r="BV29" s="351">
        <f>+BT29+BU29</f>
        <v>-1646</v>
      </c>
      <c r="BX29" s="398">
        <v>-820</v>
      </c>
      <c r="BY29" s="351">
        <f>BZ29-BX29</f>
        <v>-856</v>
      </c>
      <c r="BZ29" s="399">
        <v>-1676</v>
      </c>
      <c r="CB29" s="398">
        <v>-1338</v>
      </c>
      <c r="CC29" s="398">
        <v>-1285</v>
      </c>
      <c r="CD29" s="351">
        <f>+CB29+CC29</f>
        <v>-2623</v>
      </c>
      <c r="CE29" s="393">
        <f t="shared" si="6"/>
        <v>0.56503579952267313</v>
      </c>
      <c r="CF29" s="398">
        <f>-918+36</f>
        <v>-882</v>
      </c>
      <c r="CG29" s="398">
        <f>-1371+35</f>
        <v>-1336</v>
      </c>
      <c r="CH29" s="351">
        <f>+CF29+CG29</f>
        <v>-2218</v>
      </c>
      <c r="CI29" s="394">
        <f t="shared" si="7"/>
        <v>-0.15440335493709489</v>
      </c>
      <c r="CJ29" s="398">
        <f>-704-51-50</f>
        <v>-805</v>
      </c>
      <c r="CK29" s="398">
        <f>-1253-50-50</f>
        <v>-1353</v>
      </c>
      <c r="CL29" s="351">
        <f>+CJ29+CK29</f>
        <v>-2158</v>
      </c>
      <c r="CN29" s="398">
        <f>-801-242</f>
        <v>-1043</v>
      </c>
      <c r="CO29" s="398">
        <f>-798-333</f>
        <v>-1131</v>
      </c>
      <c r="CP29" s="351">
        <f>+CN29+CO29</f>
        <v>-2174</v>
      </c>
      <c r="CR29" s="398">
        <f>-593-93</f>
        <v>-686</v>
      </c>
      <c r="CS29" s="398">
        <f>-701-158</f>
        <v>-859</v>
      </c>
      <c r="CT29" s="351">
        <f>+CR29+CS29</f>
        <v>-1545</v>
      </c>
      <c r="CV29" s="398">
        <v>-731</v>
      </c>
      <c r="CW29" s="398">
        <v>-902</v>
      </c>
      <c r="CX29" s="351">
        <f>+CV29+CW29</f>
        <v>-1633</v>
      </c>
      <c r="CZ29" s="398">
        <v>-685</v>
      </c>
      <c r="DA29" s="398">
        <f>-776-89</f>
        <v>-865</v>
      </c>
      <c r="DB29" s="351">
        <f>+CZ29+DA29</f>
        <v>-1550</v>
      </c>
      <c r="DD29" s="398">
        <v>-755</v>
      </c>
      <c r="DE29" s="398">
        <f>-795-130</f>
        <v>-925</v>
      </c>
      <c r="DF29" s="351">
        <f>+DD29+DE29</f>
        <v>-1680</v>
      </c>
      <c r="DH29" s="398">
        <f>-795-170</f>
        <v>-965</v>
      </c>
      <c r="DI29" s="351">
        <f t="shared" si="8"/>
        <v>-870.25</v>
      </c>
      <c r="DJ29" s="351">
        <f>+DH29+DI29</f>
        <v>-1835.25</v>
      </c>
      <c r="DL29" s="351">
        <f t="shared" si="9"/>
        <v>-820.25</v>
      </c>
      <c r="DM29" s="351">
        <f t="shared" si="9"/>
        <v>-870.25</v>
      </c>
      <c r="DN29" s="351">
        <f>+DL29+DM29</f>
        <v>-1690.5</v>
      </c>
      <c r="DP29" s="351">
        <f t="shared" ref="DP29:DQ29" si="13">DP779</f>
        <v>-832.55374999999992</v>
      </c>
      <c r="DQ29" s="351">
        <f t="shared" si="13"/>
        <v>-895.04205624999986</v>
      </c>
      <c r="DR29" s="351">
        <f>+DP29+DQ29</f>
        <v>-1727.5958062499999</v>
      </c>
      <c r="DT29" s="1"/>
      <c r="DU29" s="1"/>
      <c r="DV29" s="1"/>
      <c r="DW29" s="1"/>
      <c r="DX29" s="1"/>
      <c r="DY29" s="1"/>
      <c r="DZ29" s="1"/>
      <c r="EA29" s="1"/>
      <c r="EB29" s="1"/>
      <c r="EC29" s="1"/>
      <c r="ED29" s="1"/>
      <c r="EE29" s="1"/>
      <c r="EF29" s="1"/>
      <c r="EG29" s="1"/>
      <c r="EH29" s="1"/>
      <c r="EI29" s="1"/>
      <c r="EJ29" s="1"/>
      <c r="EK29" s="1"/>
      <c r="EL29" s="1"/>
      <c r="EM29" s="1"/>
      <c r="EN29" s="1"/>
      <c r="EO29" s="1"/>
      <c r="EP29" s="1"/>
      <c r="EQ29" s="1"/>
      <c r="ER29" s="1"/>
      <c r="ES29" s="1"/>
      <c r="ET29" s="1"/>
      <c r="EU29" s="1"/>
      <c r="EV29" s="1"/>
      <c r="EW29" s="1"/>
      <c r="EX29" s="1"/>
      <c r="EY29" s="1"/>
      <c r="EZ29" s="1"/>
      <c r="FA29" s="1"/>
      <c r="FB29" s="1"/>
      <c r="FC29" s="1"/>
      <c r="FD29" s="1"/>
      <c r="FE29" s="1"/>
      <c r="FF29" s="1"/>
      <c r="FG29" s="1"/>
      <c r="FH29" s="1"/>
      <c r="FI29" s="1"/>
      <c r="FJ29" s="1"/>
      <c r="FK29" s="1"/>
      <c r="FL29" s="1"/>
      <c r="FM29" s="1"/>
      <c r="FN29" s="1"/>
      <c r="FO29" s="1"/>
      <c r="FP29" s="1"/>
      <c r="FQ29" s="1"/>
      <c r="FR29" s="1"/>
      <c r="FS29" s="1"/>
      <c r="FT29" s="1"/>
      <c r="FU29" s="1"/>
      <c r="FV29" s="1"/>
      <c r="FW29" s="1"/>
      <c r="FX29" s="1"/>
      <c r="FY29" s="1"/>
      <c r="FZ29" s="1"/>
      <c r="GA29" s="1"/>
      <c r="GB29" s="1"/>
      <c r="GC29" s="1"/>
      <c r="GD29" s="1"/>
      <c r="GE29" s="1"/>
      <c r="GF29" s="1"/>
      <c r="GG29" s="1"/>
      <c r="GH29" s="1"/>
      <c r="GI29" s="1"/>
      <c r="GJ29" s="1"/>
      <c r="GK29" s="1"/>
      <c r="GL29" s="1"/>
      <c r="GM29" s="1"/>
      <c r="GN29" s="1"/>
      <c r="GO29" s="1"/>
      <c r="GP29" s="1"/>
      <c r="GQ29" s="1"/>
      <c r="GR29" s="1"/>
      <c r="GS29" s="1"/>
      <c r="GT29" s="1"/>
      <c r="GU29" s="1"/>
      <c r="GV29" s="1"/>
      <c r="GW29" s="1"/>
      <c r="GX29" s="1"/>
      <c r="GY29" s="1"/>
      <c r="GZ29" s="1"/>
      <c r="HA29" s="1"/>
      <c r="HB29" s="1"/>
      <c r="HC29" s="1"/>
      <c r="HD29" s="1"/>
      <c r="HE29" s="1"/>
      <c r="HF29" s="1"/>
      <c r="HG29" s="1"/>
      <c r="HH29" s="1"/>
      <c r="HI29" s="1"/>
      <c r="HJ29" s="1"/>
      <c r="HK29" s="1"/>
      <c r="HL29" s="1"/>
      <c r="HM29" s="1"/>
      <c r="HN29" s="1"/>
      <c r="HO29" s="1"/>
      <c r="HP29" s="1"/>
      <c r="HQ29" s="1"/>
      <c r="HR29" s="1"/>
      <c r="HS29" s="1"/>
      <c r="HT29" s="1"/>
      <c r="HU29" s="1"/>
      <c r="HV29" s="1"/>
      <c r="HW29" s="1"/>
      <c r="HX29" s="1"/>
      <c r="HY29" s="1"/>
      <c r="HZ29" s="1"/>
      <c r="IA29" s="1"/>
      <c r="IB29" s="1"/>
      <c r="IC29" s="1"/>
      <c r="ID29" s="1"/>
      <c r="IE29" s="1"/>
      <c r="IF29" s="1"/>
      <c r="IG29" s="1"/>
      <c r="IH29" s="1"/>
      <c r="II29" s="1"/>
      <c r="IJ29" s="1"/>
      <c r="IK29" s="1"/>
      <c r="IL29" s="1"/>
      <c r="IM29" s="1"/>
      <c r="IN29" s="1"/>
      <c r="IO29" s="1"/>
      <c r="IP29" s="1"/>
      <c r="IQ29" s="1"/>
      <c r="IR29" s="1"/>
      <c r="IS29" s="1"/>
      <c r="IT29" s="1"/>
      <c r="IU29" s="1"/>
      <c r="IV29" s="1"/>
      <c r="IW29" s="1"/>
      <c r="IX29" s="1"/>
      <c r="IY29" s="1"/>
      <c r="IZ29" s="1"/>
      <c r="JA29" s="1"/>
      <c r="JB29" s="1"/>
      <c r="JC29" s="1"/>
      <c r="JD29" s="1"/>
    </row>
    <row r="30" spans="1:264" s="347" customFormat="1" x14ac:dyDescent="0.2">
      <c r="A30" s="407" t="s">
        <v>36</v>
      </c>
      <c r="B30" s="348"/>
      <c r="BH30" s="397">
        <f>SUM(BH26:BH29)</f>
        <v>-4467</v>
      </c>
      <c r="BI30" s="397">
        <f>SUM(BI26:BI29)</f>
        <v>-4543</v>
      </c>
      <c r="BJ30" s="397">
        <f>SUM(BJ26:BJ29)</f>
        <v>-9010</v>
      </c>
      <c r="BK30" s="348"/>
      <c r="BL30" s="397">
        <f>SUM(BL26:BL29)</f>
        <v>-4751</v>
      </c>
      <c r="BM30" s="397">
        <f>SUM(BM26:BM29)</f>
        <v>-4748</v>
      </c>
      <c r="BN30" s="397">
        <f>SUM(BN26:BN29)</f>
        <v>-9499</v>
      </c>
      <c r="BO30" s="403">
        <f>BM30/BI30-1</f>
        <v>4.512436715826551E-2</v>
      </c>
      <c r="BP30" s="397">
        <f>SUM(BP26:BP29)</f>
        <v>-4914</v>
      </c>
      <c r="BQ30" s="397">
        <f>SUM(BQ26:BQ29)</f>
        <v>-5079</v>
      </c>
      <c r="BR30" s="397">
        <f>SUM(BR26:BR29)</f>
        <v>-9993</v>
      </c>
      <c r="BS30" s="393">
        <f t="shared" si="5"/>
        <v>5.2005474260448548E-2</v>
      </c>
      <c r="BT30" s="397">
        <f>SUM(BT26:BT29)</f>
        <v>-5210</v>
      </c>
      <c r="BU30" s="397">
        <f>SUM(BU26:BU29)</f>
        <v>-5224</v>
      </c>
      <c r="BV30" s="397">
        <f>SUM(BV26:BV29)</f>
        <v>-10434</v>
      </c>
      <c r="BW30" s="393">
        <f>BV30/BR30-1</f>
        <v>4.413089162413697E-2</v>
      </c>
      <c r="BX30" s="397">
        <f>SUM(BX26:BX29)</f>
        <v>-5474</v>
      </c>
      <c r="BY30" s="397">
        <f>SUM(BY26:BY29)</f>
        <v>-5148</v>
      </c>
      <c r="BZ30" s="397">
        <f>SUM(BZ26:BZ29)</f>
        <v>-10622</v>
      </c>
      <c r="CA30" s="393">
        <f>BZ30/BV30-1</f>
        <v>1.8018018018018056E-2</v>
      </c>
      <c r="CB30" s="397">
        <f>SUM(CB26:CB29)</f>
        <v>-5456</v>
      </c>
      <c r="CC30" s="397">
        <f>SUM(CC26:CC29)</f>
        <v>-5539</v>
      </c>
      <c r="CD30" s="397">
        <f>SUM(CD26:CD29)</f>
        <v>-10995</v>
      </c>
      <c r="CE30" s="393">
        <f t="shared" si="6"/>
        <v>3.5115797401619187E-2</v>
      </c>
      <c r="CF30" s="397">
        <f>SUM(CF26:CF29)</f>
        <v>-5066</v>
      </c>
      <c r="CG30" s="397">
        <f>SUM(CG26:CG29)</f>
        <v>-5758</v>
      </c>
      <c r="CH30" s="397">
        <f>SUM(CH26:CH29)</f>
        <v>-10824</v>
      </c>
      <c r="CI30" s="394">
        <f t="shared" si="7"/>
        <v>-1.5552523874488355E-2</v>
      </c>
      <c r="CJ30" s="397">
        <f>SUM(CJ26:CJ29)</f>
        <v>-5257</v>
      </c>
      <c r="CK30" s="397">
        <f>SUM(CK26:CK29)</f>
        <v>-5739</v>
      </c>
      <c r="CL30" s="397">
        <f>SUM(CL26:CL29)</f>
        <v>-10996</v>
      </c>
      <c r="CM30" s="393">
        <f>CL30/CH30-1</f>
        <v>1.5890613451589042E-2</v>
      </c>
      <c r="CN30" s="397">
        <f>SUM(CN26:CN29)</f>
        <v>-5591</v>
      </c>
      <c r="CO30" s="397">
        <f>SUM(CO26:CO29)</f>
        <v>-5768</v>
      </c>
      <c r="CP30" s="397">
        <f>SUM(CP26:CP29)</f>
        <v>-11359</v>
      </c>
      <c r="CQ30" s="393">
        <f>CP30/CL30-1</f>
        <v>3.3012004365223779E-2</v>
      </c>
      <c r="CR30" s="397">
        <f>SUM(CR26:CR29)</f>
        <v>-5490</v>
      </c>
      <c r="CS30" s="397">
        <f>SUM(CS26:CS29)</f>
        <v>-5938</v>
      </c>
      <c r="CT30" s="397">
        <f>SUM(CT26:CT29)</f>
        <v>-11428</v>
      </c>
      <c r="CU30" s="393">
        <f>CT30/CP30-1</f>
        <v>6.0744783871820029E-3</v>
      </c>
      <c r="CV30" s="397">
        <f>SUM(CV26:CV29)</f>
        <v>-5773</v>
      </c>
      <c r="CW30" s="397">
        <f>SUM(CW26:CW29)</f>
        <v>-6085</v>
      </c>
      <c r="CX30" s="397">
        <f>SUM(CX26:CX29)</f>
        <v>-11858</v>
      </c>
      <c r="CY30" s="393">
        <f>CX30/CT30-1</f>
        <v>3.762688134406722E-2</v>
      </c>
      <c r="CZ30" s="397">
        <f>SUM(CZ26:CZ29)</f>
        <v>-6011</v>
      </c>
      <c r="DA30" s="397">
        <f>SUM(DA26:DA29)</f>
        <v>-6207</v>
      </c>
      <c r="DB30" s="397">
        <f>SUM(DB26:DB29)</f>
        <v>-12218</v>
      </c>
      <c r="DC30" s="393">
        <f>DB30/CX30-1</f>
        <v>3.0359251138471821E-2</v>
      </c>
      <c r="DD30" s="397">
        <f>SUM(DD26:DD29)</f>
        <v>-6372</v>
      </c>
      <c r="DE30" s="397">
        <f>SUM(DE26:DE29)</f>
        <v>-6624</v>
      </c>
      <c r="DF30" s="397">
        <f>SUM(DF26:DF29)</f>
        <v>-12996</v>
      </c>
      <c r="DG30" s="393">
        <f>DF30/DB30-1</f>
        <v>6.3676542805696457E-2</v>
      </c>
      <c r="DH30" s="397">
        <f>SUM(DH26:DH29)</f>
        <v>-6890</v>
      </c>
      <c r="DI30" s="397">
        <f>SUM(DI26:DI29)</f>
        <v>-6790.2006014272984</v>
      </c>
      <c r="DJ30" s="397">
        <f>SUM(DJ26:DJ29)</f>
        <v>-13680.200601427299</v>
      </c>
      <c r="DK30" s="393">
        <f>DJ30/DF30-1</f>
        <v>5.2647014575815554E-2</v>
      </c>
      <c r="DL30" s="397">
        <f>SUM(DL26:DL29)</f>
        <v>-7001.0985366253462</v>
      </c>
      <c r="DM30" s="397">
        <f>SUM(DM26:DM29)</f>
        <v>-7072.4476853043052</v>
      </c>
      <c r="DN30" s="397">
        <f>SUM(DN26:DN29)</f>
        <v>-14073.546221929651</v>
      </c>
      <c r="DO30" s="393">
        <f>DN30/DJ30-1</f>
        <v>2.875291320372253E-2</v>
      </c>
      <c r="DP30" s="397">
        <f>SUM(DP26:DP29)</f>
        <v>-7290.0077743019428</v>
      </c>
      <c r="DQ30" s="397">
        <f>SUM(DQ26:DQ29)</f>
        <v>-7382.2091061050687</v>
      </c>
      <c r="DR30" s="397">
        <f>SUM(DR26:DR29)</f>
        <v>-14672.21688040701</v>
      </c>
      <c r="DS30" s="393">
        <f>DR30/DN30-1</f>
        <v>4.2538721160733317E-2</v>
      </c>
      <c r="DT30" s="1"/>
      <c r="DU30" s="1"/>
      <c r="DV30" s="1"/>
      <c r="DW30" s="1"/>
      <c r="DX30" s="1"/>
      <c r="DY30" s="1"/>
      <c r="DZ30" s="1"/>
      <c r="EA30" s="1"/>
      <c r="EB30" s="1"/>
      <c r="EC30" s="1"/>
      <c r="ED30" s="1"/>
      <c r="EE30" s="1"/>
      <c r="EF30" s="1"/>
      <c r="EG30" s="1"/>
      <c r="EH30" s="1"/>
      <c r="EI30" s="1"/>
      <c r="EJ30" s="1"/>
      <c r="EK30" s="1"/>
      <c r="EL30" s="1"/>
      <c r="EM30" s="1"/>
      <c r="EN30" s="1"/>
      <c r="EO30" s="1"/>
      <c r="EP30" s="1"/>
      <c r="EQ30" s="1"/>
      <c r="ER30" s="1"/>
      <c r="ES30" s="1"/>
      <c r="ET30" s="1"/>
      <c r="EU30" s="1"/>
      <c r="EV30" s="1"/>
      <c r="EW30" s="1"/>
      <c r="EX30" s="1"/>
      <c r="EY30" s="1"/>
      <c r="EZ30" s="1"/>
      <c r="FA30" s="1"/>
      <c r="FB30" s="1"/>
      <c r="FC30" s="1"/>
      <c r="FD30" s="1"/>
      <c r="FE30" s="1"/>
      <c r="FF30" s="1"/>
      <c r="FG30" s="1"/>
      <c r="FH30" s="1"/>
      <c r="FI30" s="1"/>
      <c r="FJ30" s="1"/>
      <c r="FK30" s="1"/>
      <c r="FL30" s="1"/>
      <c r="FM30" s="1"/>
      <c r="FN30" s="1"/>
      <c r="FO30" s="1"/>
      <c r="FP30" s="1"/>
      <c r="FQ30" s="1"/>
      <c r="FR30" s="1"/>
      <c r="FS30" s="1"/>
      <c r="FT30" s="1"/>
      <c r="FU30" s="1"/>
      <c r="FV30" s="1"/>
      <c r="FW30" s="1"/>
      <c r="FX30" s="1"/>
      <c r="FY30" s="1"/>
      <c r="FZ30" s="1"/>
      <c r="GA30" s="1"/>
      <c r="GB30" s="1"/>
      <c r="GC30" s="1"/>
      <c r="GD30" s="1"/>
      <c r="GE30" s="1"/>
      <c r="GF30" s="1"/>
      <c r="GG30" s="1"/>
      <c r="GH30" s="1"/>
      <c r="GI30" s="1"/>
      <c r="GJ30" s="1"/>
      <c r="GK30" s="1"/>
      <c r="GL30" s="1"/>
      <c r="GM30" s="1"/>
      <c r="GN30" s="1"/>
      <c r="GO30" s="1"/>
      <c r="GP30" s="1"/>
      <c r="GQ30" s="1"/>
      <c r="GR30" s="1"/>
      <c r="GS30" s="1"/>
      <c r="GT30" s="1"/>
      <c r="GU30" s="1"/>
      <c r="GV30" s="1"/>
      <c r="GW30" s="1"/>
      <c r="GX30" s="1"/>
      <c r="GY30" s="1"/>
      <c r="GZ30" s="1"/>
      <c r="HA30" s="1"/>
      <c r="HB30" s="1"/>
      <c r="HC30" s="1"/>
      <c r="HD30" s="1"/>
      <c r="HE30" s="1"/>
      <c r="HF30" s="1"/>
      <c r="HG30" s="1"/>
      <c r="HH30" s="1"/>
      <c r="HI30" s="1"/>
      <c r="HJ30" s="1"/>
      <c r="HK30" s="1"/>
      <c r="HL30" s="1"/>
      <c r="HM30" s="1"/>
      <c r="HN30" s="1"/>
      <c r="HO30" s="1"/>
      <c r="HP30" s="1"/>
      <c r="HQ30" s="1"/>
      <c r="HR30" s="1"/>
      <c r="HS30" s="1"/>
      <c r="HT30" s="1"/>
      <c r="HU30" s="1"/>
      <c r="HV30" s="1"/>
      <c r="HW30" s="1"/>
      <c r="HX30" s="1"/>
      <c r="HY30" s="1"/>
      <c r="HZ30" s="1"/>
      <c r="IA30" s="1"/>
      <c r="IB30" s="1"/>
      <c r="IC30" s="1"/>
      <c r="ID30" s="1"/>
      <c r="IE30" s="1"/>
      <c r="IF30" s="1"/>
      <c r="IG30" s="1"/>
      <c r="IH30" s="1"/>
      <c r="II30" s="1"/>
      <c r="IJ30" s="1"/>
      <c r="IK30" s="1"/>
      <c r="IL30" s="1"/>
      <c r="IM30" s="1"/>
      <c r="IN30" s="1"/>
      <c r="IO30" s="1"/>
      <c r="IP30" s="1"/>
      <c r="IQ30" s="1"/>
      <c r="IR30" s="1"/>
      <c r="IS30" s="1"/>
      <c r="IT30" s="1"/>
      <c r="IU30" s="1"/>
      <c r="IV30" s="1"/>
      <c r="IW30" s="1"/>
      <c r="IX30" s="1"/>
      <c r="IY30" s="1"/>
      <c r="IZ30" s="1"/>
      <c r="JA30" s="1"/>
      <c r="JB30" s="1"/>
      <c r="JC30" s="1"/>
      <c r="JD30" s="1"/>
    </row>
    <row r="31" spans="1:264" s="347" customFormat="1" x14ac:dyDescent="0.2">
      <c r="A31" s="411" t="s">
        <v>39</v>
      </c>
      <c r="B31" s="348"/>
      <c r="BH31" s="397">
        <f>+BH25+BH30</f>
        <v>5822</v>
      </c>
      <c r="BI31" s="397">
        <f>+BI25+BI30</f>
        <v>5989</v>
      </c>
      <c r="BJ31" s="397">
        <f>+BJ25+BJ30</f>
        <v>11811</v>
      </c>
      <c r="BK31" s="348"/>
      <c r="BL31" s="397">
        <f>+BL25+BL30</f>
        <v>6397</v>
      </c>
      <c r="BM31" s="397">
        <f>+BM25+BM30</f>
        <v>6505</v>
      </c>
      <c r="BN31" s="397">
        <f>+BN25+BN30</f>
        <v>12902</v>
      </c>
      <c r="BO31" s="408"/>
      <c r="BP31" s="397">
        <f>+BP25+BP30</f>
        <v>6809</v>
      </c>
      <c r="BQ31" s="397">
        <f>+BQ25+BQ30</f>
        <v>6776</v>
      </c>
      <c r="BR31" s="397">
        <f>+BR25+BR30</f>
        <v>13585</v>
      </c>
      <c r="BT31" s="397">
        <f>+BT25+BT30</f>
        <v>7210</v>
      </c>
      <c r="BU31" s="397">
        <f>+BU25+BU30</f>
        <v>7103</v>
      </c>
      <c r="BV31" s="397">
        <f>+BV25+BV30</f>
        <v>14313</v>
      </c>
      <c r="BX31" s="397">
        <f>+BX25+BX30</f>
        <v>7361</v>
      </c>
      <c r="BY31" s="397">
        <f>+BY25+BY30</f>
        <v>7297</v>
      </c>
      <c r="BZ31" s="397">
        <f>+BZ25+BZ30</f>
        <v>14658</v>
      </c>
      <c r="CB31" s="397">
        <f>+CB25+CB30</f>
        <v>7193</v>
      </c>
      <c r="CC31" s="397">
        <f>+CC25+CC30</f>
        <v>6734</v>
      </c>
      <c r="CD31" s="397">
        <f>+CD25+CD30</f>
        <v>13927</v>
      </c>
      <c r="CF31" s="397">
        <f>+CF25+CF30</f>
        <v>6924</v>
      </c>
      <c r="CG31" s="397">
        <f>+CG25+CG30</f>
        <v>5831</v>
      </c>
      <c r="CH31" s="397">
        <f>+CH25+CH30</f>
        <v>12755</v>
      </c>
      <c r="CJ31" s="397">
        <f>+CJ25+CJ30</f>
        <v>6766</v>
      </c>
      <c r="CK31" s="397">
        <f>+CK25+CK30</f>
        <v>5999</v>
      </c>
      <c r="CL31" s="397">
        <f>+CL25+CL30</f>
        <v>12765</v>
      </c>
      <c r="CN31" s="397">
        <f>+CN25+CN30</f>
        <v>6370</v>
      </c>
      <c r="CO31" s="397">
        <f>+CO25+CO30</f>
        <v>6427</v>
      </c>
      <c r="CP31" s="397">
        <f>+CP25+CP30</f>
        <v>12797</v>
      </c>
      <c r="CQ31" s="413"/>
      <c r="CR31" s="397">
        <f>+CR25+CR30</f>
        <v>6617</v>
      </c>
      <c r="CS31" s="397">
        <f>+CS25+CS30</f>
        <v>6644</v>
      </c>
      <c r="CT31" s="397">
        <f>+CT25+CT30</f>
        <v>13261</v>
      </c>
      <c r="CV31" s="397">
        <f>+CV25+CV30</f>
        <v>7850</v>
      </c>
      <c r="CW31" s="397">
        <f>+CW25+CW30</f>
        <v>7427</v>
      </c>
      <c r="CX31" s="397">
        <f>+CX25+CX30</f>
        <v>15277</v>
      </c>
      <c r="CZ31" s="397">
        <f>+CZ25+CZ30</f>
        <v>7638</v>
      </c>
      <c r="DA31" s="397">
        <f>+DA25+DA30</f>
        <v>7318</v>
      </c>
      <c r="DB31" s="397">
        <f>+DB25+DB30</f>
        <v>14956</v>
      </c>
      <c r="DD31" s="397">
        <f>+DD25+DD30</f>
        <v>7725</v>
      </c>
      <c r="DE31" s="397">
        <f>+DE25+DE30</f>
        <v>7744</v>
      </c>
      <c r="DF31" s="397">
        <f>+DF25+DF30</f>
        <v>15469</v>
      </c>
      <c r="DH31" s="397">
        <f>+DH25+DH30</f>
        <v>8131</v>
      </c>
      <c r="DI31" s="397">
        <f>+DI25+DI30</f>
        <v>8431.585810767232</v>
      </c>
      <c r="DJ31" s="397">
        <f>+DJ25+DJ30</f>
        <v>16562.585810767232</v>
      </c>
      <c r="DL31" s="397">
        <f>+DL25+DL30</f>
        <v>8972.3265942791204</v>
      </c>
      <c r="DM31" s="397">
        <f>+DM25+DM30</f>
        <v>8965.0015683223664</v>
      </c>
      <c r="DN31" s="397">
        <f>+DN25+DN30</f>
        <v>17937.328162601487</v>
      </c>
      <c r="DP31" s="397">
        <f>+DP25+DP30</f>
        <v>9361.3598616707313</v>
      </c>
      <c r="DQ31" s="397">
        <f>+DQ25+DQ30</f>
        <v>9344.9281888869464</v>
      </c>
      <c r="DR31" s="397">
        <f>+DR25+DR30</f>
        <v>18706.288050557676</v>
      </c>
      <c r="DT31" s="1"/>
      <c r="DU31" s="1"/>
      <c r="DV31" s="1"/>
      <c r="DW31" s="1"/>
      <c r="DX31" s="1"/>
      <c r="DY31" s="1"/>
      <c r="DZ31" s="1"/>
      <c r="EA31" s="1"/>
      <c r="EB31" s="1"/>
      <c r="EC31" s="1"/>
      <c r="ED31" s="1"/>
      <c r="EE31" s="1"/>
      <c r="EF31" s="1"/>
      <c r="EG31" s="1"/>
      <c r="EH31" s="1"/>
      <c r="EI31" s="1"/>
      <c r="EJ31" s="1"/>
      <c r="EK31" s="1"/>
      <c r="EL31" s="1"/>
      <c r="EM31" s="1"/>
      <c r="EN31" s="1"/>
      <c r="EO31" s="1"/>
      <c r="EP31" s="1"/>
      <c r="EQ31" s="1"/>
      <c r="ER31" s="1"/>
      <c r="ES31" s="1"/>
      <c r="ET31" s="1"/>
      <c r="EU31" s="1"/>
      <c r="EV31" s="1"/>
      <c r="EW31" s="1"/>
      <c r="EX31" s="1"/>
      <c r="EY31" s="1"/>
      <c r="EZ31" s="1"/>
      <c r="FA31" s="1"/>
      <c r="FB31" s="1"/>
      <c r="FC31" s="1"/>
      <c r="FD31" s="1"/>
      <c r="FE31" s="1"/>
      <c r="FF31" s="1"/>
      <c r="FG31" s="1"/>
      <c r="FH31" s="1"/>
      <c r="FI31" s="1"/>
      <c r="FJ31" s="1"/>
      <c r="FK31" s="1"/>
      <c r="FL31" s="1"/>
      <c r="FM31" s="1"/>
      <c r="FN31" s="1"/>
      <c r="FO31" s="1"/>
      <c r="FP31" s="1"/>
      <c r="FQ31" s="1"/>
      <c r="FR31" s="1"/>
      <c r="FS31" s="1"/>
      <c r="FT31" s="1"/>
      <c r="FU31" s="1"/>
      <c r="FV31" s="1"/>
      <c r="FW31" s="1"/>
      <c r="FX31" s="1"/>
      <c r="FY31" s="1"/>
      <c r="FZ31" s="1"/>
      <c r="GA31" s="1"/>
      <c r="GB31" s="1"/>
      <c r="GC31" s="1"/>
      <c r="GD31" s="1"/>
      <c r="GE31" s="1"/>
      <c r="GF31" s="1"/>
      <c r="GG31" s="1"/>
      <c r="GH31" s="1"/>
      <c r="GI31" s="1"/>
      <c r="GJ31" s="1"/>
      <c r="GK31" s="1"/>
      <c r="GL31" s="1"/>
      <c r="GM31" s="1"/>
      <c r="GN31" s="1"/>
      <c r="GO31" s="1"/>
      <c r="GP31" s="1"/>
      <c r="GQ31" s="1"/>
      <c r="GR31" s="1"/>
      <c r="GS31" s="1"/>
      <c r="GT31" s="1"/>
      <c r="GU31" s="1"/>
      <c r="GV31" s="1"/>
      <c r="GW31" s="1"/>
      <c r="GX31" s="1"/>
      <c r="GY31" s="1"/>
      <c r="GZ31" s="1"/>
      <c r="HA31" s="1"/>
      <c r="HB31" s="1"/>
      <c r="HC31" s="1"/>
      <c r="HD31" s="1"/>
      <c r="HE31" s="1"/>
      <c r="HF31" s="1"/>
      <c r="HG31" s="1"/>
      <c r="HH31" s="1"/>
      <c r="HI31" s="1"/>
      <c r="HJ31" s="1"/>
      <c r="HK31" s="1"/>
      <c r="HL31" s="1"/>
      <c r="HM31" s="1"/>
      <c r="HN31" s="1"/>
      <c r="HO31" s="1"/>
      <c r="HP31" s="1"/>
      <c r="HQ31" s="1"/>
      <c r="HR31" s="1"/>
      <c r="HS31" s="1"/>
      <c r="HT31" s="1"/>
      <c r="HU31" s="1"/>
      <c r="HV31" s="1"/>
      <c r="HW31" s="1"/>
      <c r="HX31" s="1"/>
      <c r="HY31" s="1"/>
      <c r="HZ31" s="1"/>
      <c r="IA31" s="1"/>
      <c r="IB31" s="1"/>
      <c r="IC31" s="1"/>
      <c r="ID31" s="1"/>
      <c r="IE31" s="1"/>
      <c r="IF31" s="1"/>
      <c r="IG31" s="1"/>
      <c r="IH31" s="1"/>
      <c r="II31" s="1"/>
      <c r="IJ31" s="1"/>
      <c r="IK31" s="1"/>
      <c r="IL31" s="1"/>
      <c r="IM31" s="1"/>
      <c r="IN31" s="1"/>
      <c r="IO31" s="1"/>
      <c r="IP31" s="1"/>
      <c r="IQ31" s="1"/>
      <c r="IR31" s="1"/>
      <c r="IS31" s="1"/>
      <c r="IT31" s="1"/>
      <c r="IU31" s="1"/>
      <c r="IV31" s="1"/>
      <c r="IW31" s="1"/>
      <c r="IX31" s="1"/>
      <c r="IY31" s="1"/>
      <c r="IZ31" s="1"/>
      <c r="JA31" s="1"/>
      <c r="JB31" s="1"/>
      <c r="JC31" s="1"/>
      <c r="JD31" s="1"/>
    </row>
    <row r="32" spans="1:264" s="347" customFormat="1" x14ac:dyDescent="0.2">
      <c r="A32" s="347" t="s">
        <v>42</v>
      </c>
      <c r="B32" s="348"/>
      <c r="BH32" s="398">
        <v>-616</v>
      </c>
      <c r="BI32" s="398">
        <v>-466</v>
      </c>
      <c r="BJ32" s="351">
        <f>+BH32+BI32</f>
        <v>-1082</v>
      </c>
      <c r="BK32" s="348"/>
      <c r="BL32" s="398">
        <v>-457</v>
      </c>
      <c r="BM32" s="398">
        <v>-496</v>
      </c>
      <c r="BN32" s="351">
        <f>+BL32+BM32</f>
        <v>-953</v>
      </c>
      <c r="BO32" s="408"/>
      <c r="BP32" s="398">
        <v>-440</v>
      </c>
      <c r="BQ32" s="398">
        <v>-548</v>
      </c>
      <c r="BR32" s="351">
        <f>+BP32+BQ32</f>
        <v>-988</v>
      </c>
      <c r="BT32" s="398">
        <v>-564</v>
      </c>
      <c r="BU32" s="398">
        <v>-692</v>
      </c>
      <c r="BV32" s="351">
        <f>+BT32+BU32</f>
        <v>-1256</v>
      </c>
      <c r="BX32" s="398">
        <v>-599</v>
      </c>
      <c r="BY32" s="398">
        <v>-496</v>
      </c>
      <c r="BZ32" s="351">
        <f>+BX32+BY32</f>
        <v>-1095</v>
      </c>
      <c r="CB32" s="398">
        <v>-596</v>
      </c>
      <c r="CC32" s="398">
        <v>-483</v>
      </c>
      <c r="CD32" s="351">
        <f>+CB32+CC32</f>
        <v>-1079</v>
      </c>
      <c r="CF32" s="398">
        <v>-577</v>
      </c>
      <c r="CG32" s="398">
        <v>-624</v>
      </c>
      <c r="CH32" s="351">
        <f>+CF32+CG32</f>
        <v>-1201</v>
      </c>
      <c r="CJ32" s="398">
        <v>-649</v>
      </c>
      <c r="CK32" s="398">
        <v>-1869</v>
      </c>
      <c r="CL32" s="351">
        <f>+CJ32+CK32</f>
        <v>-2518</v>
      </c>
      <c r="CN32" s="398">
        <v>-882</v>
      </c>
      <c r="CO32" s="398">
        <v>328</v>
      </c>
      <c r="CP32" s="351">
        <f>+CN32+CO32</f>
        <v>-554</v>
      </c>
      <c r="CR32" s="398">
        <v>75</v>
      </c>
      <c r="CS32" s="398">
        <v>282</v>
      </c>
      <c r="CT32" s="351">
        <f>+CR32+CS32</f>
        <v>357</v>
      </c>
      <c r="CV32" s="398">
        <v>-511</v>
      </c>
      <c r="CW32" s="398">
        <v>-597</v>
      </c>
      <c r="CX32" s="351">
        <f>+CV32+CW32</f>
        <v>-1108</v>
      </c>
      <c r="CZ32" s="398">
        <v>-415</v>
      </c>
      <c r="DA32" s="398">
        <v>-387</v>
      </c>
      <c r="DB32" s="351">
        <f>+CZ32+DA32</f>
        <v>-802</v>
      </c>
      <c r="DD32" s="398">
        <v>-320</v>
      </c>
      <c r="DE32" s="398">
        <v>-406</v>
      </c>
      <c r="DF32" s="351">
        <f>+DD32+DE32</f>
        <v>-726</v>
      </c>
      <c r="DH32" s="398">
        <v>-319</v>
      </c>
      <c r="DI32" s="351">
        <f>-DI854</f>
        <v>-430.65637850734686</v>
      </c>
      <c r="DJ32" s="351">
        <f>+DH32+DI32</f>
        <v>-749.65637850734686</v>
      </c>
      <c r="DL32" s="351">
        <f>-DL854</f>
        <v>-506.96630476295451</v>
      </c>
      <c r="DM32" s="351">
        <f>-DM854</f>
        <v>-571.35016418125986</v>
      </c>
      <c r="DN32" s="351">
        <f>+DL32+DM32</f>
        <v>-1078.3164689442144</v>
      </c>
      <c r="DP32" s="351">
        <f>-DP854</f>
        <v>-592.78190747690508</v>
      </c>
      <c r="DQ32" s="351">
        <f>-DQ854</f>
        <v>-601.06786197326039</v>
      </c>
      <c r="DR32" s="351">
        <f>+DP32+DQ32</f>
        <v>-1193.8497694501655</v>
      </c>
      <c r="DT32" s="1"/>
      <c r="DU32" s="1"/>
      <c r="DV32" s="1"/>
      <c r="DW32" s="1"/>
      <c r="DX32" s="1"/>
      <c r="DY32" s="1"/>
      <c r="DZ32" s="1"/>
      <c r="EA32" s="1"/>
      <c r="EB32" s="1"/>
      <c r="EC32" s="1"/>
      <c r="ED32" s="1"/>
      <c r="EE32" s="1"/>
      <c r="EF32" s="1"/>
      <c r="EG32" s="1"/>
      <c r="EH32" s="1"/>
      <c r="EI32" s="1"/>
      <c r="EJ32" s="1"/>
      <c r="EK32" s="1"/>
      <c r="EL32" s="1"/>
      <c r="EM32" s="1"/>
      <c r="EN32" s="1"/>
      <c r="EO32" s="1"/>
      <c r="EP32" s="1"/>
      <c r="EQ32" s="1"/>
      <c r="ER32" s="1"/>
      <c r="ES32" s="1"/>
      <c r="ET32" s="1"/>
      <c r="EU32" s="1"/>
      <c r="EV32" s="1"/>
      <c r="EW32" s="1"/>
      <c r="EX32" s="1"/>
      <c r="EY32" s="1"/>
      <c r="EZ32" s="1"/>
      <c r="FA32" s="1"/>
      <c r="FB32" s="1"/>
      <c r="FC32" s="1"/>
      <c r="FD32" s="1"/>
      <c r="FE32" s="1"/>
      <c r="FF32" s="1"/>
      <c r="FG32" s="1"/>
      <c r="FH32" s="1"/>
      <c r="FI32" s="1"/>
      <c r="FJ32" s="1"/>
      <c r="FK32" s="1"/>
      <c r="FL32" s="1"/>
      <c r="FM32" s="1"/>
      <c r="FN32" s="1"/>
      <c r="FO32" s="1"/>
      <c r="FP32" s="1"/>
      <c r="FQ32" s="1"/>
      <c r="FR32" s="1"/>
      <c r="FS32" s="1"/>
      <c r="FT32" s="1"/>
      <c r="FU32" s="1"/>
      <c r="FV32" s="1"/>
      <c r="FW32" s="1"/>
      <c r="FX32" s="1"/>
      <c r="FY32" s="1"/>
      <c r="FZ32" s="1"/>
      <c r="GA32" s="1"/>
      <c r="GB32" s="1"/>
      <c r="GC32" s="1"/>
      <c r="GD32" s="1"/>
      <c r="GE32" s="1"/>
      <c r="GF32" s="1"/>
      <c r="GG32" s="1"/>
      <c r="GH32" s="1"/>
      <c r="GI32" s="1"/>
      <c r="GJ32" s="1"/>
      <c r="GK32" s="1"/>
      <c r="GL32" s="1"/>
      <c r="GM32" s="1"/>
      <c r="GN32" s="1"/>
      <c r="GO32" s="1"/>
      <c r="GP32" s="1"/>
      <c r="GQ32" s="1"/>
      <c r="GR32" s="1"/>
      <c r="GS32" s="1"/>
      <c r="GT32" s="1"/>
      <c r="GU32" s="1"/>
      <c r="GV32" s="1"/>
      <c r="GW32" s="1"/>
      <c r="GX32" s="1"/>
      <c r="GY32" s="1"/>
      <c r="GZ32" s="1"/>
      <c r="HA32" s="1"/>
      <c r="HB32" s="1"/>
      <c r="HC32" s="1"/>
      <c r="HD32" s="1"/>
      <c r="HE32" s="1"/>
      <c r="HF32" s="1"/>
      <c r="HG32" s="1"/>
      <c r="HH32" s="1"/>
      <c r="HI32" s="1"/>
      <c r="HJ32" s="1"/>
      <c r="HK32" s="1"/>
      <c r="HL32" s="1"/>
      <c r="HM32" s="1"/>
      <c r="HN32" s="1"/>
      <c r="HO32" s="1"/>
      <c r="HP32" s="1"/>
      <c r="HQ32" s="1"/>
      <c r="HR32" s="1"/>
      <c r="HS32" s="1"/>
      <c r="HT32" s="1"/>
      <c r="HU32" s="1"/>
      <c r="HV32" s="1"/>
      <c r="HW32" s="1"/>
      <c r="HX32" s="1"/>
      <c r="HY32" s="1"/>
      <c r="HZ32" s="1"/>
      <c r="IA32" s="1"/>
      <c r="IB32" s="1"/>
      <c r="IC32" s="1"/>
      <c r="ID32" s="1"/>
      <c r="IE32" s="1"/>
      <c r="IF32" s="1"/>
      <c r="IG32" s="1"/>
      <c r="IH32" s="1"/>
      <c r="II32" s="1"/>
      <c r="IJ32" s="1"/>
      <c r="IK32" s="1"/>
      <c r="IL32" s="1"/>
      <c r="IM32" s="1"/>
      <c r="IN32" s="1"/>
      <c r="IO32" s="1"/>
      <c r="IP32" s="1"/>
      <c r="IQ32" s="1"/>
      <c r="IR32" s="1"/>
      <c r="IS32" s="1"/>
      <c r="IT32" s="1"/>
      <c r="IU32" s="1"/>
      <c r="IV32" s="1"/>
      <c r="IW32" s="1"/>
      <c r="IX32" s="1"/>
      <c r="IY32" s="1"/>
      <c r="IZ32" s="1"/>
      <c r="JA32" s="1"/>
      <c r="JB32" s="1"/>
      <c r="JC32" s="1"/>
      <c r="JD32" s="1"/>
    </row>
    <row r="33" spans="1:264" s="347" customFormat="1" x14ac:dyDescent="0.2">
      <c r="A33" s="407" t="s">
        <v>45</v>
      </c>
      <c r="B33" s="348"/>
      <c r="BH33" s="397">
        <f>SUM(BH31:BH32)</f>
        <v>5206</v>
      </c>
      <c r="BI33" s="397">
        <f>SUM(BI31:BI32)</f>
        <v>5523</v>
      </c>
      <c r="BJ33" s="397">
        <f>SUM(BJ31:BJ32)</f>
        <v>10729</v>
      </c>
      <c r="BK33" s="348"/>
      <c r="BL33" s="397">
        <f>SUM(BL31:BL32)</f>
        <v>5940</v>
      </c>
      <c r="BM33" s="397">
        <f>SUM(BM31:BM32)</f>
        <v>6009</v>
      </c>
      <c r="BN33" s="397">
        <f>SUM(BN31:BN32)</f>
        <v>11949</v>
      </c>
      <c r="BO33" s="408"/>
      <c r="BP33" s="397">
        <f>SUM(BP31:BP32)</f>
        <v>6369</v>
      </c>
      <c r="BQ33" s="397">
        <f>SUM(BQ31:BQ32)</f>
        <v>6228</v>
      </c>
      <c r="BR33" s="397">
        <f>SUM(BR31:BR32)</f>
        <v>12597</v>
      </c>
      <c r="BT33" s="397">
        <f>SUM(BT31:BT32)</f>
        <v>6646</v>
      </c>
      <c r="BU33" s="397">
        <f>SUM(BU31:BU32)</f>
        <v>6411</v>
      </c>
      <c r="BV33" s="397">
        <f>SUM(BV31:BV32)</f>
        <v>13057</v>
      </c>
      <c r="BX33" s="397">
        <f>SUM(BX31:BX32)</f>
        <v>6762</v>
      </c>
      <c r="BY33" s="397">
        <f>SUM(BY31:BY32)</f>
        <v>6801</v>
      </c>
      <c r="BZ33" s="397">
        <f>SUM(BZ31:BZ32)</f>
        <v>13563</v>
      </c>
      <c r="CB33" s="397">
        <f>SUM(CB31:CB32)</f>
        <v>6597</v>
      </c>
      <c r="CC33" s="397">
        <f>SUM(CC31:CC32)</f>
        <v>6251</v>
      </c>
      <c r="CD33" s="397">
        <f>SUM(CD31:CD32)</f>
        <v>12848</v>
      </c>
      <c r="CF33" s="397">
        <f>SUM(CF31:CF32)</f>
        <v>6347</v>
      </c>
      <c r="CG33" s="397">
        <f>SUM(CG31:CG32)</f>
        <v>5207</v>
      </c>
      <c r="CH33" s="397">
        <f>SUM(CH31:CH32)</f>
        <v>11554</v>
      </c>
      <c r="CJ33" s="397">
        <f>SUM(CJ31:CJ32)</f>
        <v>6117</v>
      </c>
      <c r="CK33" s="397">
        <f>SUM(CK31:CK32)</f>
        <v>4130</v>
      </c>
      <c r="CL33" s="397">
        <f>SUM(CL31:CL32)</f>
        <v>10247</v>
      </c>
      <c r="CN33" s="397">
        <f>SUM(CN31:CN32)</f>
        <v>5488</v>
      </c>
      <c r="CO33" s="397">
        <f>SUM(CO31:CO32)</f>
        <v>6755</v>
      </c>
      <c r="CP33" s="397">
        <f>SUM(CP31:CP32)</f>
        <v>12243</v>
      </c>
      <c r="CR33" s="397">
        <f>SUM(CR31:CR32)</f>
        <v>6692</v>
      </c>
      <c r="CS33" s="397">
        <f>SUM(CS31:CS32)</f>
        <v>6926</v>
      </c>
      <c r="CT33" s="397">
        <f>SUM(CT31:CT32)</f>
        <v>13618</v>
      </c>
      <c r="CV33" s="397">
        <f>SUM(CV31:CV32)</f>
        <v>7339</v>
      </c>
      <c r="CW33" s="397">
        <f>SUM(CW31:CW32)</f>
        <v>6830</v>
      </c>
      <c r="CX33" s="397">
        <f>SUM(CX31:CX32)</f>
        <v>14169</v>
      </c>
      <c r="CZ33" s="397">
        <f>SUM(CZ31:CZ32)</f>
        <v>7223</v>
      </c>
      <c r="DA33" s="397">
        <f>SUM(DA31:DA32)</f>
        <v>6931</v>
      </c>
      <c r="DB33" s="397">
        <f>SUM(DB31:DB32)</f>
        <v>14154</v>
      </c>
      <c r="DD33" s="397">
        <f>SUM(DD31:DD32)</f>
        <v>7405</v>
      </c>
      <c r="DE33" s="397">
        <f>SUM(DE31:DE32)</f>
        <v>7338</v>
      </c>
      <c r="DF33" s="397">
        <f>SUM(DF31:DF32)</f>
        <v>14743</v>
      </c>
      <c r="DH33" s="397">
        <f>SUM(DH31:DH32)</f>
        <v>7812</v>
      </c>
      <c r="DI33" s="397">
        <f>SUM(DI31:DI32)</f>
        <v>8000.9294322598853</v>
      </c>
      <c r="DJ33" s="397">
        <f>SUM(DJ31:DJ32)</f>
        <v>15812.929432259885</v>
      </c>
      <c r="DL33" s="397">
        <f>SUM(DL31:DL32)</f>
        <v>8465.3602895161657</v>
      </c>
      <c r="DM33" s="397">
        <f>SUM(DM31:DM32)</f>
        <v>8393.6514041411065</v>
      </c>
      <c r="DN33" s="397">
        <f>SUM(DN31:DN32)</f>
        <v>16859.011693657274</v>
      </c>
      <c r="DP33" s="397">
        <f>SUM(DP31:DP32)</f>
        <v>8768.5779541938264</v>
      </c>
      <c r="DQ33" s="397">
        <f>SUM(DQ31:DQ32)</f>
        <v>8743.8603269136856</v>
      </c>
      <c r="DR33" s="397">
        <f>SUM(DR31:DR32)</f>
        <v>17512.438281107512</v>
      </c>
      <c r="DT33" s="1"/>
      <c r="DU33" s="1"/>
      <c r="DV33" s="1"/>
      <c r="DW33" s="1"/>
      <c r="DX33" s="1"/>
      <c r="DY33" s="1"/>
      <c r="DZ33" s="1"/>
      <c r="EA33" s="1"/>
      <c r="EB33" s="1"/>
      <c r="EC33" s="1"/>
      <c r="ED33" s="1"/>
      <c r="EE33" s="1"/>
      <c r="EF33" s="1"/>
      <c r="EG33" s="1"/>
      <c r="EH33" s="1"/>
      <c r="EI33" s="1"/>
      <c r="EJ33" s="1"/>
      <c r="EK33" s="1"/>
      <c r="EL33" s="1"/>
      <c r="EM33" s="1"/>
      <c r="EN33" s="1"/>
      <c r="EO33" s="1"/>
      <c r="EP33" s="1"/>
      <c r="EQ33" s="1"/>
      <c r="ER33" s="1"/>
      <c r="ES33" s="1"/>
      <c r="ET33" s="1"/>
      <c r="EU33" s="1"/>
      <c r="EV33" s="1"/>
      <c r="EW33" s="1"/>
      <c r="EX33" s="1"/>
      <c r="EY33" s="1"/>
      <c r="EZ33" s="1"/>
      <c r="FA33" s="1"/>
      <c r="FB33" s="1"/>
      <c r="FC33" s="1"/>
      <c r="FD33" s="1"/>
      <c r="FE33" s="1"/>
      <c r="FF33" s="1"/>
      <c r="FG33" s="1"/>
      <c r="FH33" s="1"/>
      <c r="FI33" s="1"/>
      <c r="FJ33" s="1"/>
      <c r="FK33" s="1"/>
      <c r="FL33" s="1"/>
      <c r="FM33" s="1"/>
      <c r="FN33" s="1"/>
      <c r="FO33" s="1"/>
      <c r="FP33" s="1"/>
      <c r="FQ33" s="1"/>
      <c r="FR33" s="1"/>
      <c r="FS33" s="1"/>
      <c r="FT33" s="1"/>
      <c r="FU33" s="1"/>
      <c r="FV33" s="1"/>
      <c r="FW33" s="1"/>
      <c r="FX33" s="1"/>
      <c r="FY33" s="1"/>
      <c r="FZ33" s="1"/>
      <c r="GA33" s="1"/>
      <c r="GB33" s="1"/>
      <c r="GC33" s="1"/>
      <c r="GD33" s="1"/>
      <c r="GE33" s="1"/>
      <c r="GF33" s="1"/>
      <c r="GG33" s="1"/>
      <c r="GH33" s="1"/>
      <c r="GI33" s="1"/>
      <c r="GJ33" s="1"/>
      <c r="GK33" s="1"/>
      <c r="GL33" s="1"/>
      <c r="GM33" s="1"/>
      <c r="GN33" s="1"/>
      <c r="GO33" s="1"/>
      <c r="GP33" s="1"/>
      <c r="GQ33" s="1"/>
      <c r="GR33" s="1"/>
      <c r="GS33" s="1"/>
      <c r="GT33" s="1"/>
      <c r="GU33" s="1"/>
      <c r="GV33" s="1"/>
      <c r="GW33" s="1"/>
      <c r="GX33" s="1"/>
      <c r="GY33" s="1"/>
      <c r="GZ33" s="1"/>
      <c r="HA33" s="1"/>
      <c r="HB33" s="1"/>
      <c r="HC33" s="1"/>
      <c r="HD33" s="1"/>
      <c r="HE33" s="1"/>
      <c r="HF33" s="1"/>
      <c r="HG33" s="1"/>
      <c r="HH33" s="1"/>
      <c r="HI33" s="1"/>
      <c r="HJ33" s="1"/>
      <c r="HK33" s="1"/>
      <c r="HL33" s="1"/>
      <c r="HM33" s="1"/>
      <c r="HN33" s="1"/>
      <c r="HO33" s="1"/>
      <c r="HP33" s="1"/>
      <c r="HQ33" s="1"/>
      <c r="HR33" s="1"/>
      <c r="HS33" s="1"/>
      <c r="HT33" s="1"/>
      <c r="HU33" s="1"/>
      <c r="HV33" s="1"/>
      <c r="HW33" s="1"/>
      <c r="HX33" s="1"/>
      <c r="HY33" s="1"/>
      <c r="HZ33" s="1"/>
      <c r="IA33" s="1"/>
      <c r="IB33" s="1"/>
      <c r="IC33" s="1"/>
      <c r="ID33" s="1"/>
      <c r="IE33" s="1"/>
      <c r="IF33" s="1"/>
      <c r="IG33" s="1"/>
      <c r="IH33" s="1"/>
      <c r="II33" s="1"/>
      <c r="IJ33" s="1"/>
      <c r="IK33" s="1"/>
      <c r="IL33" s="1"/>
      <c r="IM33" s="1"/>
      <c r="IN33" s="1"/>
      <c r="IO33" s="1"/>
      <c r="IP33" s="1"/>
      <c r="IQ33" s="1"/>
      <c r="IR33" s="1"/>
      <c r="IS33" s="1"/>
      <c r="IT33" s="1"/>
      <c r="IU33" s="1"/>
      <c r="IV33" s="1"/>
      <c r="IW33" s="1"/>
      <c r="IX33" s="1"/>
      <c r="IY33" s="1"/>
      <c r="IZ33" s="1"/>
      <c r="JA33" s="1"/>
      <c r="JB33" s="1"/>
      <c r="JC33" s="1"/>
      <c r="JD33" s="1"/>
    </row>
    <row r="34" spans="1:264" s="347" customFormat="1" x14ac:dyDescent="0.2">
      <c r="A34" s="391" t="s">
        <v>48</v>
      </c>
      <c r="B34" s="348"/>
      <c r="BH34" s="398">
        <v>-1448</v>
      </c>
      <c r="BI34" s="398">
        <v>-1505</v>
      </c>
      <c r="BJ34" s="351">
        <f>+BH34+BI34</f>
        <v>-2953</v>
      </c>
      <c r="BK34" s="348"/>
      <c r="BL34" s="398">
        <v>-1662</v>
      </c>
      <c r="BM34" s="398">
        <v>-1588</v>
      </c>
      <c r="BN34" s="351">
        <f>+BL34+BM34</f>
        <v>-3250</v>
      </c>
      <c r="BO34" s="408"/>
      <c r="BP34" s="398">
        <v>-1740</v>
      </c>
      <c r="BQ34" s="398">
        <v>-1699</v>
      </c>
      <c r="BR34" s="351">
        <f>+BP34+BQ34</f>
        <v>-3439</v>
      </c>
      <c r="BT34" s="398">
        <f>-1825-2</f>
        <v>-1827</v>
      </c>
      <c r="BU34" s="398">
        <f>-1767+2</f>
        <v>-1765</v>
      </c>
      <c r="BV34" s="351">
        <f>+BT34+BU34</f>
        <v>-3592</v>
      </c>
      <c r="BX34" s="398">
        <v>-1925</v>
      </c>
      <c r="BY34" s="351">
        <f>BZ34-BX34</f>
        <v>-1922</v>
      </c>
      <c r="BZ34" s="399">
        <v>-3847</v>
      </c>
      <c r="CB34" s="398">
        <v>-1993</v>
      </c>
      <c r="CC34" s="398">
        <v>-1927</v>
      </c>
      <c r="CD34" s="351">
        <f>+CB34+CC34</f>
        <v>-3920</v>
      </c>
      <c r="CF34" s="398">
        <v>-1791</v>
      </c>
      <c r="CG34" s="398">
        <v>-1530</v>
      </c>
      <c r="CH34" s="351">
        <f>+CF34+CG34</f>
        <v>-3321</v>
      </c>
      <c r="CJ34" s="398">
        <f>-1812+15</f>
        <v>-1797</v>
      </c>
      <c r="CK34" s="398">
        <f>-1240+15</f>
        <v>-1225</v>
      </c>
      <c r="CL34" s="351">
        <f>+CJ34+CK34</f>
        <v>-3022</v>
      </c>
      <c r="CN34" s="398">
        <f>-1627+7</f>
        <v>-1620</v>
      </c>
      <c r="CO34" s="398">
        <v>-1970</v>
      </c>
      <c r="CP34" s="351">
        <f>+CN34+CO34</f>
        <v>-3590</v>
      </c>
      <c r="CR34" s="398">
        <v>-1946</v>
      </c>
      <c r="CS34" s="398">
        <v>-2077</v>
      </c>
      <c r="CT34" s="351">
        <f>+CR34+CS34</f>
        <v>-4023</v>
      </c>
      <c r="CV34" s="406">
        <v>-2159</v>
      </c>
      <c r="CW34" s="406">
        <v>-1938</v>
      </c>
      <c r="CX34" s="351">
        <f>+CV34+CW34</f>
        <v>-4097</v>
      </c>
      <c r="CZ34" s="398">
        <v>-2204</v>
      </c>
      <c r="DA34" s="398">
        <v>-2114</v>
      </c>
      <c r="DB34" s="351">
        <f>+CZ34+DA34</f>
        <v>-4318</v>
      </c>
      <c r="DD34" s="398">
        <v>-2273</v>
      </c>
      <c r="DE34" s="398">
        <v>-2218</v>
      </c>
      <c r="DF34" s="351">
        <f>+DD34+DE34</f>
        <v>-4491</v>
      </c>
      <c r="DH34" s="398">
        <v>-2367</v>
      </c>
      <c r="DI34" s="351">
        <f>DI883</f>
        <v>-2376.2760413811857</v>
      </c>
      <c r="DJ34" s="351">
        <f>+DH34+DI34</f>
        <v>-4743.2760413811857</v>
      </c>
      <c r="DL34" s="351">
        <f>DL883</f>
        <v>-2539.6080868548497</v>
      </c>
      <c r="DM34" s="351">
        <f>DM883</f>
        <v>-2518.0954212423317</v>
      </c>
      <c r="DN34" s="351">
        <f>+DL34+DM34</f>
        <v>-5057.7035080971818</v>
      </c>
      <c r="DP34" s="351">
        <f>DP883</f>
        <v>-2630.5733862581478</v>
      </c>
      <c r="DQ34" s="351">
        <f>DQ883</f>
        <v>-2623.1580980741055</v>
      </c>
      <c r="DR34" s="351">
        <f>+DP34+DQ34</f>
        <v>-5253.7314843322529</v>
      </c>
      <c r="DT34" s="1"/>
      <c r="DU34" s="1"/>
      <c r="DV34" s="1"/>
      <c r="DW34" s="1"/>
      <c r="DX34" s="1"/>
      <c r="DY34" s="1"/>
      <c r="DZ34" s="1"/>
      <c r="EA34" s="1"/>
      <c r="EB34" s="1"/>
      <c r="EC34" s="1"/>
      <c r="ED34" s="1"/>
      <c r="EE34" s="1"/>
      <c r="EF34" s="1"/>
      <c r="EG34" s="1"/>
      <c r="EH34" s="1"/>
      <c r="EI34" s="1"/>
      <c r="EJ34" s="1"/>
      <c r="EK34" s="1"/>
      <c r="EL34" s="1"/>
      <c r="EM34" s="1"/>
      <c r="EN34" s="1"/>
      <c r="EO34" s="1"/>
      <c r="EP34" s="1"/>
      <c r="EQ34" s="1"/>
      <c r="ER34" s="1"/>
      <c r="ES34" s="1"/>
      <c r="ET34" s="1"/>
      <c r="EU34" s="1"/>
      <c r="EV34" s="1"/>
      <c r="EW34" s="1"/>
      <c r="EX34" s="1"/>
      <c r="EY34" s="1"/>
      <c r="EZ34" s="1"/>
      <c r="FA34" s="1"/>
      <c r="FB34" s="1"/>
      <c r="FC34" s="1"/>
      <c r="FD34" s="1"/>
      <c r="FE34" s="1"/>
      <c r="FF34" s="1"/>
      <c r="FG34" s="1"/>
      <c r="FH34" s="1"/>
      <c r="FI34" s="1"/>
      <c r="FJ34" s="1"/>
      <c r="FK34" s="1"/>
      <c r="FL34" s="1"/>
      <c r="FM34" s="1"/>
      <c r="FN34" s="1"/>
      <c r="FO34" s="1"/>
      <c r="FP34" s="1"/>
      <c r="FQ34" s="1"/>
      <c r="FR34" s="1"/>
      <c r="FS34" s="1"/>
      <c r="FT34" s="1"/>
      <c r="FU34" s="1"/>
      <c r="FV34" s="1"/>
      <c r="FW34" s="1"/>
      <c r="FX34" s="1"/>
      <c r="FY34" s="1"/>
      <c r="FZ34" s="1"/>
      <c r="GA34" s="1"/>
      <c r="GB34" s="1"/>
      <c r="GC34" s="1"/>
      <c r="GD34" s="1"/>
      <c r="GE34" s="1"/>
      <c r="GF34" s="1"/>
      <c r="GG34" s="1"/>
      <c r="GH34" s="1"/>
      <c r="GI34" s="1"/>
      <c r="GJ34" s="1"/>
      <c r="GK34" s="1"/>
      <c r="GL34" s="1"/>
      <c r="GM34" s="1"/>
      <c r="GN34" s="1"/>
      <c r="GO34" s="1"/>
      <c r="GP34" s="1"/>
      <c r="GQ34" s="1"/>
      <c r="GR34" s="1"/>
      <c r="GS34" s="1"/>
      <c r="GT34" s="1"/>
      <c r="GU34" s="1"/>
      <c r="GV34" s="1"/>
      <c r="GW34" s="1"/>
      <c r="GX34" s="1"/>
      <c r="GY34" s="1"/>
      <c r="GZ34" s="1"/>
      <c r="HA34" s="1"/>
      <c r="HB34" s="1"/>
      <c r="HC34" s="1"/>
      <c r="HD34" s="1"/>
      <c r="HE34" s="1"/>
      <c r="HF34" s="1"/>
      <c r="HG34" s="1"/>
      <c r="HH34" s="1"/>
      <c r="HI34" s="1"/>
      <c r="HJ34" s="1"/>
      <c r="HK34" s="1"/>
      <c r="HL34" s="1"/>
      <c r="HM34" s="1"/>
      <c r="HN34" s="1"/>
      <c r="HO34" s="1"/>
      <c r="HP34" s="1"/>
      <c r="HQ34" s="1"/>
      <c r="HR34" s="1"/>
      <c r="HS34" s="1"/>
      <c r="HT34" s="1"/>
      <c r="HU34" s="1"/>
      <c r="HV34" s="1"/>
      <c r="HW34" s="1"/>
      <c r="HX34" s="1"/>
      <c r="HY34" s="1"/>
      <c r="HZ34" s="1"/>
      <c r="IA34" s="1"/>
      <c r="IB34" s="1"/>
      <c r="IC34" s="1"/>
      <c r="ID34" s="1"/>
      <c r="IE34" s="1"/>
      <c r="IF34" s="1"/>
      <c r="IG34" s="1"/>
      <c r="IH34" s="1"/>
      <c r="II34" s="1"/>
      <c r="IJ34" s="1"/>
      <c r="IK34" s="1"/>
      <c r="IL34" s="1"/>
      <c r="IM34" s="1"/>
      <c r="IN34" s="1"/>
      <c r="IO34" s="1"/>
      <c r="IP34" s="1"/>
      <c r="IQ34" s="1"/>
      <c r="IR34" s="1"/>
      <c r="IS34" s="1"/>
      <c r="IT34" s="1"/>
      <c r="IU34" s="1"/>
      <c r="IV34" s="1"/>
      <c r="IW34" s="1"/>
      <c r="IX34" s="1"/>
      <c r="IY34" s="1"/>
      <c r="IZ34" s="1"/>
      <c r="JA34" s="1"/>
      <c r="JB34" s="1"/>
      <c r="JC34" s="1"/>
      <c r="JD34" s="1"/>
    </row>
    <row r="35" spans="1:264" s="347" customFormat="1" x14ac:dyDescent="0.2">
      <c r="A35" s="391" t="s">
        <v>51</v>
      </c>
      <c r="B35" s="348"/>
      <c r="BH35" s="398">
        <v>-8</v>
      </c>
      <c r="BI35" s="398">
        <v>-8</v>
      </c>
      <c r="BJ35" s="351">
        <f>+BH35+BI35</f>
        <v>-16</v>
      </c>
      <c r="BK35" s="348"/>
      <c r="BL35" s="398">
        <v>-10</v>
      </c>
      <c r="BM35" s="398">
        <v>-9</v>
      </c>
      <c r="BN35" s="351">
        <f>+BL35+BM35</f>
        <v>-19</v>
      </c>
      <c r="BO35" s="348"/>
      <c r="BP35" s="398">
        <v>-10</v>
      </c>
      <c r="BQ35" s="398">
        <v>-11</v>
      </c>
      <c r="BR35" s="351">
        <f>+BP35+BQ35</f>
        <v>-21</v>
      </c>
      <c r="BT35" s="398">
        <v>-11</v>
      </c>
      <c r="BU35" s="398">
        <v>-9</v>
      </c>
      <c r="BV35" s="351">
        <f>+BT35+BU35</f>
        <v>-20</v>
      </c>
      <c r="BX35" s="398">
        <v>-9</v>
      </c>
      <c r="BY35" s="398">
        <v>-11</v>
      </c>
      <c r="BZ35" s="351">
        <f>+BX35+BY35</f>
        <v>-20</v>
      </c>
      <c r="CB35" s="398">
        <v>-6</v>
      </c>
      <c r="CC35" s="398">
        <v>-7</v>
      </c>
      <c r="CD35" s="351">
        <f>+CB35+CC35</f>
        <v>-13</v>
      </c>
      <c r="CF35" s="398">
        <v>-6</v>
      </c>
      <c r="CG35" s="398">
        <v>-6</v>
      </c>
      <c r="CH35" s="351">
        <f>+CF35+CG35</f>
        <v>-12</v>
      </c>
      <c r="CJ35" s="398">
        <v>0</v>
      </c>
      <c r="CK35" s="398">
        <v>0</v>
      </c>
      <c r="CL35" s="351">
        <f>+CJ35+CK35</f>
        <v>0</v>
      </c>
      <c r="CN35" s="398">
        <v>0</v>
      </c>
      <c r="CO35" s="398">
        <v>0</v>
      </c>
      <c r="CP35" s="351">
        <f>+CN35+CO35</f>
        <v>0</v>
      </c>
      <c r="CR35" s="399">
        <v>0</v>
      </c>
      <c r="CS35" s="398">
        <v>0</v>
      </c>
      <c r="CT35" s="351">
        <f>+CR35+CS35</f>
        <v>0</v>
      </c>
      <c r="CV35" s="399">
        <v>0</v>
      </c>
      <c r="CW35" s="398">
        <v>0</v>
      </c>
      <c r="CX35" s="351">
        <f>+CV35+CW35</f>
        <v>0</v>
      </c>
      <c r="CZ35" s="399">
        <v>0</v>
      </c>
      <c r="DA35" s="398">
        <v>0</v>
      </c>
      <c r="DB35" s="351">
        <f>+CZ35+DA35</f>
        <v>0</v>
      </c>
      <c r="DD35" s="399">
        <v>0</v>
      </c>
      <c r="DE35" s="398">
        <v>0</v>
      </c>
      <c r="DF35" s="351">
        <f>+DD35+DE35</f>
        <v>0</v>
      </c>
      <c r="DH35" s="399">
        <v>0</v>
      </c>
      <c r="DI35" s="351">
        <f>DI911</f>
        <v>0</v>
      </c>
      <c r="DJ35" s="351">
        <f>+DH35+DI35</f>
        <v>0</v>
      </c>
      <c r="DL35" s="351">
        <f>DL911</f>
        <v>0</v>
      </c>
      <c r="DM35" s="351">
        <f>DM911</f>
        <v>0</v>
      </c>
      <c r="DN35" s="351">
        <f>+DL35+DM35</f>
        <v>0</v>
      </c>
      <c r="DP35" s="351">
        <f>DP911</f>
        <v>0</v>
      </c>
      <c r="DQ35" s="351">
        <f>DQ911</f>
        <v>0</v>
      </c>
      <c r="DR35" s="351">
        <f>+DP35+DQ35</f>
        <v>0</v>
      </c>
      <c r="DT35" s="1"/>
      <c r="DU35" s="1"/>
      <c r="DV35" s="1"/>
      <c r="DW35" s="1"/>
      <c r="DX35" s="1"/>
      <c r="DY35" s="1"/>
      <c r="DZ35" s="1"/>
      <c r="EA35" s="1"/>
      <c r="EB35" s="1"/>
      <c r="EC35" s="1"/>
      <c r="ED35" s="1"/>
      <c r="EE35" s="1"/>
      <c r="EF35" s="1"/>
      <c r="EG35" s="1"/>
      <c r="EH35" s="1"/>
      <c r="EI35" s="1"/>
      <c r="EJ35" s="1"/>
      <c r="EK35" s="1"/>
      <c r="EL35" s="1"/>
      <c r="EM35" s="1"/>
      <c r="EN35" s="1"/>
      <c r="EO35" s="1"/>
      <c r="EP35" s="1"/>
      <c r="EQ35" s="1"/>
      <c r="ER35" s="1"/>
      <c r="ES35" s="1"/>
      <c r="ET35" s="1"/>
      <c r="EU35" s="1"/>
      <c r="EV35" s="1"/>
      <c r="EW35" s="1"/>
      <c r="EX35" s="1"/>
      <c r="EY35" s="1"/>
      <c r="EZ35" s="1"/>
      <c r="FA35" s="1"/>
      <c r="FB35" s="1"/>
      <c r="FC35" s="1"/>
      <c r="FD35" s="1"/>
      <c r="FE35" s="1"/>
      <c r="FF35" s="1"/>
      <c r="FG35" s="1"/>
      <c r="FH35" s="1"/>
      <c r="FI35" s="1"/>
      <c r="FJ35" s="1"/>
      <c r="FK35" s="1"/>
      <c r="FL35" s="1"/>
      <c r="FM35" s="1"/>
      <c r="FN35" s="1"/>
      <c r="FO35" s="1"/>
      <c r="FP35" s="1"/>
      <c r="FQ35" s="1"/>
      <c r="FR35" s="1"/>
      <c r="FS35" s="1"/>
      <c r="FT35" s="1"/>
      <c r="FU35" s="1"/>
      <c r="FV35" s="1"/>
      <c r="FW35" s="1"/>
      <c r="FX35" s="1"/>
      <c r="FY35" s="1"/>
      <c r="FZ35" s="1"/>
      <c r="GA35" s="1"/>
      <c r="GB35" s="1"/>
      <c r="GC35" s="1"/>
      <c r="GD35" s="1"/>
      <c r="GE35" s="1"/>
      <c r="GF35" s="1"/>
      <c r="GG35" s="1"/>
      <c r="GH35" s="1"/>
      <c r="GI35" s="1"/>
      <c r="GJ35" s="1"/>
      <c r="GK35" s="1"/>
      <c r="GL35" s="1"/>
      <c r="GM35" s="1"/>
      <c r="GN35" s="1"/>
      <c r="GO35" s="1"/>
      <c r="GP35" s="1"/>
      <c r="GQ35" s="1"/>
      <c r="GR35" s="1"/>
      <c r="GS35" s="1"/>
      <c r="GT35" s="1"/>
      <c r="GU35" s="1"/>
      <c r="GV35" s="1"/>
      <c r="GW35" s="1"/>
      <c r="GX35" s="1"/>
      <c r="GY35" s="1"/>
      <c r="GZ35" s="1"/>
      <c r="HA35" s="1"/>
      <c r="HB35" s="1"/>
      <c r="HC35" s="1"/>
      <c r="HD35" s="1"/>
      <c r="HE35" s="1"/>
      <c r="HF35" s="1"/>
      <c r="HG35" s="1"/>
      <c r="HH35" s="1"/>
      <c r="HI35" s="1"/>
      <c r="HJ35" s="1"/>
      <c r="HK35" s="1"/>
      <c r="HL35" s="1"/>
      <c r="HM35" s="1"/>
      <c r="HN35" s="1"/>
      <c r="HO35" s="1"/>
      <c r="HP35" s="1"/>
      <c r="HQ35" s="1"/>
      <c r="HR35" s="1"/>
      <c r="HS35" s="1"/>
      <c r="HT35" s="1"/>
      <c r="HU35" s="1"/>
      <c r="HV35" s="1"/>
      <c r="HW35" s="1"/>
      <c r="HX35" s="1"/>
      <c r="HY35" s="1"/>
      <c r="HZ35" s="1"/>
      <c r="IA35" s="1"/>
      <c r="IB35" s="1"/>
      <c r="IC35" s="1"/>
      <c r="ID35" s="1"/>
      <c r="IE35" s="1"/>
      <c r="IF35" s="1"/>
      <c r="IG35" s="1"/>
      <c r="IH35" s="1"/>
      <c r="II35" s="1"/>
      <c r="IJ35" s="1"/>
      <c r="IK35" s="1"/>
      <c r="IL35" s="1"/>
      <c r="IM35" s="1"/>
      <c r="IN35" s="1"/>
      <c r="IO35" s="1"/>
      <c r="IP35" s="1"/>
      <c r="IQ35" s="1"/>
      <c r="IR35" s="1"/>
      <c r="IS35" s="1"/>
      <c r="IT35" s="1"/>
      <c r="IU35" s="1"/>
      <c r="IV35" s="1"/>
      <c r="IW35" s="1"/>
      <c r="IX35" s="1"/>
      <c r="IY35" s="1"/>
      <c r="IZ35" s="1"/>
      <c r="JA35" s="1"/>
      <c r="JB35" s="1"/>
      <c r="JC35" s="1"/>
      <c r="JD35" s="1"/>
    </row>
    <row r="36" spans="1:264" s="347" customFormat="1" x14ac:dyDescent="0.2">
      <c r="A36" s="414" t="s">
        <v>53</v>
      </c>
      <c r="B36" s="415"/>
      <c r="C36" s="416"/>
      <c r="D36" s="416"/>
      <c r="E36" s="416"/>
      <c r="F36" s="416"/>
      <c r="G36" s="416"/>
      <c r="H36" s="416"/>
      <c r="I36" s="416"/>
      <c r="J36" s="416"/>
      <c r="K36" s="416"/>
      <c r="L36" s="416"/>
      <c r="M36" s="416"/>
      <c r="N36" s="416"/>
      <c r="O36" s="416"/>
      <c r="P36" s="416"/>
      <c r="Q36" s="416"/>
      <c r="R36" s="416"/>
      <c r="S36" s="416"/>
      <c r="T36" s="416"/>
      <c r="U36" s="416"/>
      <c r="V36" s="416"/>
      <c r="W36" s="416"/>
      <c r="X36" s="416"/>
      <c r="Y36" s="416"/>
      <c r="Z36" s="416"/>
      <c r="AA36" s="416"/>
      <c r="AB36" s="416"/>
      <c r="AC36" s="416"/>
      <c r="AD36" s="416"/>
      <c r="AE36" s="416"/>
      <c r="AF36" s="416"/>
      <c r="AG36" s="416"/>
      <c r="AH36" s="416"/>
      <c r="AI36" s="416"/>
      <c r="AJ36" s="416"/>
      <c r="AK36" s="416"/>
      <c r="AL36" s="416"/>
      <c r="AM36" s="416"/>
      <c r="AN36" s="416"/>
      <c r="AO36" s="416"/>
      <c r="AP36" s="416"/>
      <c r="AQ36" s="416"/>
      <c r="AR36" s="416"/>
      <c r="AS36" s="416"/>
      <c r="AT36" s="416"/>
      <c r="AU36" s="416"/>
      <c r="AV36" s="416"/>
      <c r="AW36" s="416"/>
      <c r="AX36" s="416"/>
      <c r="AY36" s="416"/>
      <c r="AZ36" s="416"/>
      <c r="BA36" s="416"/>
      <c r="BB36" s="416"/>
      <c r="BC36" s="416"/>
      <c r="BD36" s="416"/>
      <c r="BE36" s="416"/>
      <c r="BF36" s="416"/>
      <c r="BG36" s="416"/>
      <c r="BH36" s="417">
        <f>SUM(BH33:BH35)</f>
        <v>3750</v>
      </c>
      <c r="BI36" s="417">
        <f>SUM(BI33:BI35)</f>
        <v>4010</v>
      </c>
      <c r="BJ36" s="417">
        <f>SUM(BJ33:BJ35)</f>
        <v>7760</v>
      </c>
      <c r="BK36" s="415"/>
      <c r="BL36" s="417">
        <f>SUM(BL33:BL35)</f>
        <v>4268</v>
      </c>
      <c r="BM36" s="417">
        <f>SUM(BM33:BM35)</f>
        <v>4412</v>
      </c>
      <c r="BN36" s="417">
        <f>SUM(BN33:BN35)</f>
        <v>8680</v>
      </c>
      <c r="BO36" s="415"/>
      <c r="BP36" s="417">
        <f>SUM(BP33:BP35)</f>
        <v>4619</v>
      </c>
      <c r="BQ36" s="417">
        <f>SUM(BQ33:BQ35)</f>
        <v>4518</v>
      </c>
      <c r="BR36" s="417">
        <f>SUM(BR33:BR35)</f>
        <v>9137</v>
      </c>
      <c r="BS36" s="418">
        <f>BR36/BN36-1</f>
        <v>5.264976958525347E-2</v>
      </c>
      <c r="BT36" s="417">
        <f>SUM(BT33:BT35)</f>
        <v>4808</v>
      </c>
      <c r="BU36" s="417">
        <f>SUM(BU33:BU35)</f>
        <v>4637</v>
      </c>
      <c r="BV36" s="417">
        <f>SUM(BV33:BV35)</f>
        <v>9445</v>
      </c>
      <c r="BW36" s="418">
        <f>BV36/BR36-1</f>
        <v>3.370909488891316E-2</v>
      </c>
      <c r="BX36" s="417">
        <f>SUM(BX33:BX35)</f>
        <v>4828</v>
      </c>
      <c r="BY36" s="417">
        <f>SUM(BY33:BY35)</f>
        <v>4868</v>
      </c>
      <c r="BZ36" s="417">
        <f>SUM(BZ33:BZ35)</f>
        <v>9696</v>
      </c>
      <c r="CA36" s="418">
        <f>BZ36/BV36-1</f>
        <v>2.6574907358390742E-2</v>
      </c>
      <c r="CB36" s="417">
        <f>SUM(CB33:CB35)</f>
        <v>4598</v>
      </c>
      <c r="CC36" s="417">
        <f>SUM(CC33:CC35)</f>
        <v>4317</v>
      </c>
      <c r="CD36" s="417">
        <f>SUM(CD33:CD35)</f>
        <v>8915</v>
      </c>
      <c r="CE36" s="418">
        <f>CD36/BZ36-1</f>
        <v>-8.054867986798675E-2</v>
      </c>
      <c r="CF36" s="417">
        <f>SUM(CF33:CF35)</f>
        <v>4550</v>
      </c>
      <c r="CG36" s="417">
        <f>SUM(CG33:CG35)</f>
        <v>3671</v>
      </c>
      <c r="CH36" s="417">
        <f>SUM(CH33:CH35)</f>
        <v>8221</v>
      </c>
      <c r="CI36" s="418">
        <f>CH36/CD36-1</f>
        <v>-7.7846326416152523E-2</v>
      </c>
      <c r="CJ36" s="417">
        <f>SUM(CJ33:CJ35)</f>
        <v>4320</v>
      </c>
      <c r="CK36" s="417">
        <f>SUM(CK33:CK35)</f>
        <v>2905</v>
      </c>
      <c r="CL36" s="417">
        <f>SUM(CL33:CL35)</f>
        <v>7225</v>
      </c>
      <c r="CM36" s="418">
        <f>CL36/CH36-1</f>
        <v>-0.12115314438632774</v>
      </c>
      <c r="CN36" s="417">
        <f>SUM(CN33:CN35)</f>
        <v>3868</v>
      </c>
      <c r="CO36" s="417">
        <f>SUM(CO33:CO35)</f>
        <v>4785</v>
      </c>
      <c r="CP36" s="417">
        <f>SUM(CP33:CP35)</f>
        <v>8653</v>
      </c>
      <c r="CQ36" s="418">
        <f>CP36/CL36-1</f>
        <v>0.19764705882352951</v>
      </c>
      <c r="CR36" s="417">
        <f>SUM(CR33:CR35)</f>
        <v>4746</v>
      </c>
      <c r="CS36" s="417">
        <f>SUM(CS33:CS35)</f>
        <v>4849</v>
      </c>
      <c r="CT36" s="417">
        <f>SUM(CT33:CT35)</f>
        <v>9595</v>
      </c>
      <c r="CU36" s="418">
        <f>CT36/CP36-1</f>
        <v>0.10886397781116375</v>
      </c>
      <c r="CV36" s="417">
        <f>SUM(CV33:CV35)</f>
        <v>5180</v>
      </c>
      <c r="CW36" s="417">
        <f>SUM(CW33:CW35)</f>
        <v>4892</v>
      </c>
      <c r="CX36" s="417">
        <f>SUM(CX33:CX35)</f>
        <v>10072</v>
      </c>
      <c r="CY36" s="418">
        <f>CX36/CT36-1</f>
        <v>4.971339239187067E-2</v>
      </c>
      <c r="CZ36" s="417">
        <f>SUM(CZ33:CZ35)</f>
        <v>5019</v>
      </c>
      <c r="DA36" s="417">
        <f>SUM(DA33:DA35)</f>
        <v>4817</v>
      </c>
      <c r="DB36" s="417">
        <f>SUM(DB33:DB35)</f>
        <v>9836</v>
      </c>
      <c r="DC36" s="418">
        <f>DB36/CX36-1</f>
        <v>-2.3431294678316172E-2</v>
      </c>
      <c r="DD36" s="417">
        <f>SUM(DD33:DD35)</f>
        <v>5132</v>
      </c>
      <c r="DE36" s="417">
        <f>SUM(DE33:DE35)</f>
        <v>5120</v>
      </c>
      <c r="DF36" s="417">
        <f>SUM(DF33:DF35)</f>
        <v>10252</v>
      </c>
      <c r="DG36" s="418">
        <f>DF36/DB36-1</f>
        <v>4.2293615290768694E-2</v>
      </c>
      <c r="DH36" s="417">
        <f>SUM(DH33:DH35)</f>
        <v>5445</v>
      </c>
      <c r="DI36" s="417">
        <f>SUM(DI33:DI35)</f>
        <v>5624.6533908786996</v>
      </c>
      <c r="DJ36" s="417">
        <f>SUM(DJ33:DJ35)</f>
        <v>11069.653390878699</v>
      </c>
      <c r="DK36" s="418">
        <f>DJ36/DF36-1</f>
        <v>7.975550047587765E-2</v>
      </c>
      <c r="DL36" s="417">
        <f>SUM(DL33:DL35)</f>
        <v>5925.752202661316</v>
      </c>
      <c r="DM36" s="417">
        <f>SUM(DM33:DM35)</f>
        <v>5875.5559828987753</v>
      </c>
      <c r="DN36" s="417">
        <f>SUM(DN33:DN35)</f>
        <v>11801.308185560092</v>
      </c>
      <c r="DO36" s="418">
        <f>DN36/DJ36-1</f>
        <v>6.6095546883542911E-2</v>
      </c>
      <c r="DP36" s="417">
        <f>SUM(DP33:DP35)</f>
        <v>6138.004567935679</v>
      </c>
      <c r="DQ36" s="417">
        <f>SUM(DQ33:DQ35)</f>
        <v>6120.7022288395801</v>
      </c>
      <c r="DR36" s="417">
        <f>SUM(DR33:DR35)</f>
        <v>12258.706796775259</v>
      </c>
      <c r="DS36" s="418">
        <f>DR36/DN36-1</f>
        <v>3.8758297302567968E-2</v>
      </c>
      <c r="DT36" s="1"/>
      <c r="DU36" s="1"/>
      <c r="DV36" s="1"/>
      <c r="DW36" s="1"/>
      <c r="DX36" s="1"/>
      <c r="DY36" s="1"/>
      <c r="DZ36" s="1"/>
      <c r="EA36" s="1"/>
      <c r="EB36" s="1"/>
      <c r="EC36" s="1"/>
      <c r="ED36" s="1"/>
      <c r="EE36" s="1"/>
      <c r="EF36" s="1"/>
      <c r="EG36" s="1"/>
      <c r="EH36" s="1"/>
      <c r="EI36" s="1"/>
      <c r="EJ36" s="1"/>
      <c r="EK36" s="1"/>
      <c r="EL36" s="1"/>
      <c r="EM36" s="1"/>
      <c r="EN36" s="1"/>
      <c r="EO36" s="1"/>
      <c r="EP36" s="1"/>
      <c r="EQ36" s="1"/>
      <c r="ER36" s="1"/>
      <c r="ES36" s="1"/>
      <c r="ET36" s="1"/>
      <c r="EU36" s="1"/>
      <c r="EV36" s="1"/>
      <c r="EW36" s="1"/>
      <c r="EX36" s="1"/>
      <c r="EY36" s="1"/>
      <c r="EZ36" s="1"/>
      <c r="FA36" s="1"/>
      <c r="FB36" s="1"/>
      <c r="FC36" s="1"/>
      <c r="FD36" s="1"/>
      <c r="FE36" s="1"/>
      <c r="FF36" s="1"/>
      <c r="FG36" s="1"/>
      <c r="FH36" s="1"/>
      <c r="FI36" s="1"/>
      <c r="FJ36" s="1"/>
      <c r="FK36" s="1"/>
      <c r="FL36" s="1"/>
      <c r="FM36" s="1"/>
      <c r="FN36" s="1"/>
      <c r="FO36" s="1"/>
      <c r="FP36" s="1"/>
      <c r="FQ36" s="1"/>
      <c r="FR36" s="1"/>
      <c r="FS36" s="1"/>
      <c r="FT36" s="1"/>
      <c r="FU36" s="1"/>
      <c r="FV36" s="1"/>
      <c r="FW36" s="1"/>
      <c r="FX36" s="1"/>
      <c r="FY36" s="1"/>
      <c r="FZ36" s="1"/>
      <c r="GA36" s="1"/>
      <c r="GB36" s="1"/>
      <c r="GC36" s="1"/>
      <c r="GD36" s="1"/>
      <c r="GE36" s="1"/>
      <c r="GF36" s="1"/>
      <c r="GG36" s="1"/>
      <c r="GH36" s="1"/>
      <c r="GI36" s="1"/>
      <c r="GJ36" s="1"/>
      <c r="GK36" s="1"/>
      <c r="GL36" s="1"/>
      <c r="GM36" s="1"/>
      <c r="GN36" s="1"/>
      <c r="GO36" s="1"/>
      <c r="GP36" s="1"/>
      <c r="GQ36" s="1"/>
      <c r="GR36" s="1"/>
      <c r="GS36" s="1"/>
      <c r="GT36" s="1"/>
      <c r="GU36" s="1"/>
      <c r="GV36" s="1"/>
      <c r="GW36" s="1"/>
      <c r="GX36" s="1"/>
      <c r="GY36" s="1"/>
      <c r="GZ36" s="1"/>
      <c r="HA36" s="1"/>
      <c r="HB36" s="1"/>
      <c r="HC36" s="1"/>
      <c r="HD36" s="1"/>
      <c r="HE36" s="1"/>
      <c r="HF36" s="1"/>
      <c r="HG36" s="1"/>
      <c r="HH36" s="1"/>
      <c r="HI36" s="1"/>
      <c r="HJ36" s="1"/>
      <c r="HK36" s="1"/>
      <c r="HL36" s="1"/>
      <c r="HM36" s="1"/>
      <c r="HN36" s="1"/>
      <c r="HO36" s="1"/>
      <c r="HP36" s="1"/>
      <c r="HQ36" s="1"/>
      <c r="HR36" s="1"/>
      <c r="HS36" s="1"/>
      <c r="HT36" s="1"/>
      <c r="HU36" s="1"/>
      <c r="HV36" s="1"/>
      <c r="HW36" s="1"/>
      <c r="HX36" s="1"/>
      <c r="HY36" s="1"/>
      <c r="HZ36" s="1"/>
      <c r="IA36" s="1"/>
      <c r="IB36" s="1"/>
      <c r="IC36" s="1"/>
      <c r="ID36" s="1"/>
      <c r="IE36" s="1"/>
      <c r="IF36" s="1"/>
      <c r="IG36" s="1"/>
      <c r="IH36" s="1"/>
      <c r="II36" s="1"/>
      <c r="IJ36" s="1"/>
      <c r="IK36" s="1"/>
      <c r="IL36" s="1"/>
      <c r="IM36" s="1"/>
      <c r="IN36" s="1"/>
      <c r="IO36" s="1"/>
      <c r="IP36" s="1"/>
      <c r="IQ36" s="1"/>
      <c r="IR36" s="1"/>
      <c r="IS36" s="1"/>
      <c r="IT36" s="1"/>
      <c r="IU36" s="1"/>
      <c r="IV36" s="1"/>
      <c r="IW36" s="1"/>
      <c r="IX36" s="1"/>
      <c r="IY36" s="1"/>
      <c r="IZ36" s="1"/>
      <c r="JA36" s="1"/>
      <c r="JB36" s="1"/>
      <c r="JC36" s="1"/>
      <c r="JD36" s="1"/>
    </row>
    <row r="37" spans="1:264" s="347" customFormat="1" x14ac:dyDescent="0.2">
      <c r="A37" s="391" t="s">
        <v>55</v>
      </c>
      <c r="B37" s="348"/>
      <c r="BH37" s="397"/>
      <c r="BI37" s="397"/>
      <c r="BJ37" s="397"/>
      <c r="BK37" s="348"/>
      <c r="BL37" s="397"/>
      <c r="BM37" s="397"/>
      <c r="BN37" s="397"/>
      <c r="BO37" s="348"/>
      <c r="BP37" s="397"/>
      <c r="BQ37" s="397"/>
      <c r="BR37" s="397"/>
      <c r="BS37" s="419"/>
      <c r="BT37" s="397"/>
      <c r="BU37" s="397"/>
      <c r="BV37" s="397"/>
      <c r="BW37" s="419"/>
      <c r="BX37" s="420">
        <f>BX937</f>
        <v>79</v>
      </c>
      <c r="BY37" s="420">
        <f>BY937</f>
        <v>106</v>
      </c>
      <c r="BZ37" s="420">
        <f>BZ937</f>
        <v>185</v>
      </c>
      <c r="CA37" s="419"/>
      <c r="CB37" s="420">
        <f>CB937</f>
        <v>273</v>
      </c>
      <c r="CC37" s="420">
        <f>CC937</f>
        <v>224</v>
      </c>
      <c r="CD37" s="420">
        <f>CD937</f>
        <v>497</v>
      </c>
      <c r="CE37" s="419"/>
      <c r="CF37" s="420">
        <f>CF937</f>
        <v>261</v>
      </c>
      <c r="CG37" s="420">
        <f>CG937</f>
        <v>224</v>
      </c>
      <c r="CH37" s="420">
        <f>CH937</f>
        <v>485</v>
      </c>
      <c r="CI37" s="419"/>
      <c r="CJ37" s="420">
        <f>CJ937</f>
        <v>152</v>
      </c>
      <c r="CK37" s="420">
        <f>CK937</f>
        <v>30</v>
      </c>
      <c r="CL37" s="420">
        <f>CL937</f>
        <v>182</v>
      </c>
      <c r="CM37" s="419"/>
      <c r="CN37" s="420">
        <f>CN937</f>
        <v>99</v>
      </c>
      <c r="CO37" s="420">
        <f>CO937</f>
        <v>49</v>
      </c>
      <c r="CP37" s="420">
        <f>CP937</f>
        <v>148</v>
      </c>
      <c r="CQ37" s="419"/>
      <c r="CR37" s="399">
        <v>100</v>
      </c>
      <c r="CS37" s="399">
        <v>13</v>
      </c>
      <c r="CT37" s="420">
        <f>CT937</f>
        <v>113</v>
      </c>
      <c r="CU37" s="419"/>
      <c r="CV37" s="399">
        <v>10</v>
      </c>
      <c r="CW37" s="399">
        <v>8</v>
      </c>
      <c r="CX37" s="420">
        <f>CX937</f>
        <v>18</v>
      </c>
      <c r="CY37" s="419"/>
      <c r="CZ37" s="399">
        <v>6</v>
      </c>
      <c r="DA37" s="399">
        <v>5</v>
      </c>
      <c r="DB37" s="420">
        <f>DB937</f>
        <v>11</v>
      </c>
      <c r="DC37" s="419"/>
      <c r="DD37" s="399">
        <v>1</v>
      </c>
      <c r="DE37" s="399">
        <v>0</v>
      </c>
      <c r="DF37" s="420">
        <f>DF937</f>
        <v>1</v>
      </c>
      <c r="DG37" s="419"/>
      <c r="DH37" s="399">
        <v>0</v>
      </c>
      <c r="DI37" s="420">
        <f>DI937</f>
        <v>0</v>
      </c>
      <c r="DJ37" s="420">
        <f>DJ937</f>
        <v>0</v>
      </c>
      <c r="DK37" s="419"/>
      <c r="DL37" s="420">
        <f>DL937</f>
        <v>0</v>
      </c>
      <c r="DM37" s="420">
        <f>DM937</f>
        <v>0</v>
      </c>
      <c r="DN37" s="420">
        <f>DN937</f>
        <v>0</v>
      </c>
      <c r="DO37" s="419"/>
      <c r="DP37" s="420">
        <f>DP937</f>
        <v>0</v>
      </c>
      <c r="DQ37" s="420">
        <f>DQ937</f>
        <v>0</v>
      </c>
      <c r="DR37" s="420">
        <f>DR937</f>
        <v>0</v>
      </c>
      <c r="DS37" s="419"/>
      <c r="DT37" s="1"/>
      <c r="DU37" s="1"/>
      <c r="DV37" s="1"/>
      <c r="DW37" s="1"/>
      <c r="DX37" s="1"/>
      <c r="DY37" s="1"/>
      <c r="DZ37" s="1"/>
      <c r="EA37" s="1"/>
      <c r="EB37" s="1"/>
      <c r="EC37" s="1"/>
      <c r="ED37" s="1"/>
      <c r="EE37" s="1"/>
      <c r="EF37" s="1"/>
      <c r="EG37" s="1"/>
      <c r="EH37" s="1"/>
      <c r="EI37" s="1"/>
      <c r="EJ37" s="1"/>
      <c r="EK37" s="1"/>
      <c r="EL37" s="1"/>
      <c r="EM37" s="1"/>
      <c r="EN37" s="1"/>
      <c r="EO37" s="1"/>
      <c r="EP37" s="1"/>
      <c r="EQ37" s="1"/>
      <c r="ER37" s="1"/>
      <c r="ES37" s="1"/>
      <c r="ET37" s="1"/>
      <c r="EU37" s="1"/>
      <c r="EV37" s="1"/>
      <c r="EW37" s="1"/>
      <c r="EX37" s="1"/>
      <c r="EY37" s="1"/>
      <c r="EZ37" s="1"/>
      <c r="FA37" s="1"/>
      <c r="FB37" s="1"/>
      <c r="FC37" s="1"/>
      <c r="FD37" s="1"/>
      <c r="FE37" s="1"/>
      <c r="FF37" s="1"/>
      <c r="FG37" s="1"/>
      <c r="FH37" s="1"/>
      <c r="FI37" s="1"/>
      <c r="FJ37" s="1"/>
      <c r="FK37" s="1"/>
      <c r="FL37" s="1"/>
      <c r="FM37" s="1"/>
      <c r="FN37" s="1"/>
      <c r="FO37" s="1"/>
      <c r="FP37" s="1"/>
      <c r="FQ37" s="1"/>
      <c r="FR37" s="1"/>
      <c r="FS37" s="1"/>
      <c r="FT37" s="1"/>
      <c r="FU37" s="1"/>
      <c r="FV37" s="1"/>
      <c r="FW37" s="1"/>
      <c r="FX37" s="1"/>
      <c r="FY37" s="1"/>
      <c r="FZ37" s="1"/>
      <c r="GA37" s="1"/>
      <c r="GB37" s="1"/>
      <c r="GC37" s="1"/>
      <c r="GD37" s="1"/>
      <c r="GE37" s="1"/>
      <c r="GF37" s="1"/>
      <c r="GG37" s="1"/>
      <c r="GH37" s="1"/>
      <c r="GI37" s="1"/>
      <c r="GJ37" s="1"/>
      <c r="GK37" s="1"/>
      <c r="GL37" s="1"/>
      <c r="GM37" s="1"/>
      <c r="GN37" s="1"/>
      <c r="GO37" s="1"/>
      <c r="GP37" s="1"/>
      <c r="GQ37" s="1"/>
      <c r="GR37" s="1"/>
      <c r="GS37" s="1"/>
      <c r="GT37" s="1"/>
      <c r="GU37" s="1"/>
      <c r="GV37" s="1"/>
      <c r="GW37" s="1"/>
      <c r="GX37" s="1"/>
      <c r="GY37" s="1"/>
      <c r="GZ37" s="1"/>
      <c r="HA37" s="1"/>
      <c r="HB37" s="1"/>
      <c r="HC37" s="1"/>
      <c r="HD37" s="1"/>
      <c r="HE37" s="1"/>
      <c r="HF37" s="1"/>
      <c r="HG37" s="1"/>
      <c r="HH37" s="1"/>
      <c r="HI37" s="1"/>
      <c r="HJ37" s="1"/>
      <c r="HK37" s="1"/>
      <c r="HL37" s="1"/>
      <c r="HM37" s="1"/>
      <c r="HN37" s="1"/>
      <c r="HO37" s="1"/>
      <c r="HP37" s="1"/>
      <c r="HQ37" s="1"/>
      <c r="HR37" s="1"/>
      <c r="HS37" s="1"/>
      <c r="HT37" s="1"/>
      <c r="HU37" s="1"/>
      <c r="HV37" s="1"/>
      <c r="HW37" s="1"/>
      <c r="HX37" s="1"/>
      <c r="HY37" s="1"/>
      <c r="HZ37" s="1"/>
      <c r="IA37" s="1"/>
      <c r="IB37" s="1"/>
      <c r="IC37" s="1"/>
      <c r="ID37" s="1"/>
      <c r="IE37" s="1"/>
      <c r="IF37" s="1"/>
      <c r="IG37" s="1"/>
      <c r="IH37" s="1"/>
      <c r="II37" s="1"/>
      <c r="IJ37" s="1"/>
      <c r="IK37" s="1"/>
      <c r="IL37" s="1"/>
      <c r="IM37" s="1"/>
      <c r="IN37" s="1"/>
      <c r="IO37" s="1"/>
      <c r="IP37" s="1"/>
      <c r="IQ37" s="1"/>
      <c r="IR37" s="1"/>
      <c r="IS37" s="1"/>
      <c r="IT37" s="1"/>
      <c r="IU37" s="1"/>
      <c r="IV37" s="1"/>
      <c r="IW37" s="1"/>
      <c r="IX37" s="1"/>
      <c r="IY37" s="1"/>
      <c r="IZ37" s="1"/>
      <c r="JA37" s="1"/>
      <c r="JB37" s="1"/>
      <c r="JC37" s="1"/>
      <c r="JD37" s="1"/>
    </row>
    <row r="38" spans="1:264" s="347" customFormat="1" x14ac:dyDescent="0.2">
      <c r="A38" s="421" t="s">
        <v>56</v>
      </c>
      <c r="B38" s="348"/>
      <c r="BH38" s="397">
        <f>SUM(BH36:BH37)</f>
        <v>3750</v>
      </c>
      <c r="BI38" s="397">
        <f>SUM(BI36:BI37)</f>
        <v>4010</v>
      </c>
      <c r="BJ38" s="397">
        <f>SUM(BJ36:BJ37)</f>
        <v>7760</v>
      </c>
      <c r="BK38" s="348"/>
      <c r="BL38" s="397">
        <f>SUM(BL36:BL37)</f>
        <v>4268</v>
      </c>
      <c r="BM38" s="397">
        <f>SUM(BM36:BM37)</f>
        <v>4412</v>
      </c>
      <c r="BN38" s="397">
        <f>SUM(BN36:BN37)</f>
        <v>8680</v>
      </c>
      <c r="BO38" s="348"/>
      <c r="BP38" s="397">
        <f>SUM(BP36:BP37)</f>
        <v>4619</v>
      </c>
      <c r="BQ38" s="397">
        <f>SUM(BQ36:BQ37)</f>
        <v>4518</v>
      </c>
      <c r="BR38" s="397">
        <f>SUM(BR36:BR37)</f>
        <v>9137</v>
      </c>
      <c r="BS38" s="419"/>
      <c r="BT38" s="397">
        <f>SUM(BT36:BT37)</f>
        <v>4808</v>
      </c>
      <c r="BU38" s="397">
        <f>SUM(BU36:BU37)</f>
        <v>4637</v>
      </c>
      <c r="BV38" s="397">
        <f>SUM(BV36:BV37)</f>
        <v>9445</v>
      </c>
      <c r="BW38" s="419">
        <f>BV38/BR38-1</f>
        <v>3.370909488891316E-2</v>
      </c>
      <c r="BX38" s="397">
        <f>SUM(BX36:BX37)</f>
        <v>4907</v>
      </c>
      <c r="BY38" s="397">
        <f>SUM(BY36:BY37)</f>
        <v>4974</v>
      </c>
      <c r="BZ38" s="397">
        <f>SUM(BZ36:BZ37)</f>
        <v>9881</v>
      </c>
      <c r="CA38" s="419">
        <f>BZ38/BV38-1</f>
        <v>4.6161990471148773E-2</v>
      </c>
      <c r="CB38" s="397">
        <f>SUM(CB36:CB37)</f>
        <v>4871</v>
      </c>
      <c r="CC38" s="397">
        <f>SUM(CC36:CC37)</f>
        <v>4541</v>
      </c>
      <c r="CD38" s="397">
        <f>SUM(CD36:CD37)</f>
        <v>9412</v>
      </c>
      <c r="CE38" s="419">
        <f>CD38/BZ38-1</f>
        <v>-4.7464831494787973E-2</v>
      </c>
      <c r="CF38" s="397">
        <f>SUM(CF36:CF37)</f>
        <v>4811</v>
      </c>
      <c r="CG38" s="397">
        <f>SUM(CG36:CG37)</f>
        <v>3895</v>
      </c>
      <c r="CH38" s="397">
        <f>SUM(CH36:CH37)</f>
        <v>8706</v>
      </c>
      <c r="CI38" s="419">
        <f>CH38/CD38-1</f>
        <v>-7.5010624734381692E-2</v>
      </c>
      <c r="CJ38" s="397">
        <f>SUM(CJ36:CJ37)</f>
        <v>4472</v>
      </c>
      <c r="CK38" s="397">
        <f>SUM(CK36:CK37)</f>
        <v>2935</v>
      </c>
      <c r="CL38" s="397">
        <f>SUM(CL36:CL37)</f>
        <v>7407</v>
      </c>
      <c r="CM38" s="419">
        <f>CL38/CH38-1</f>
        <v>-0.14920744314266021</v>
      </c>
      <c r="CN38" s="397">
        <f>SUM(CN36:CN37)</f>
        <v>3967</v>
      </c>
      <c r="CO38" s="397">
        <f>SUM(CO36:CO37)</f>
        <v>4834</v>
      </c>
      <c r="CP38" s="397">
        <f>SUM(CP36:CP37)</f>
        <v>8801</v>
      </c>
      <c r="CQ38" s="419">
        <f>CP38/CL38-1</f>
        <v>0.18820035101930599</v>
      </c>
      <c r="CR38" s="397">
        <f>SUM(CR36:CR37)</f>
        <v>4846</v>
      </c>
      <c r="CS38" s="397">
        <f>SUM(CS36:CS37)</f>
        <v>4862</v>
      </c>
      <c r="CT38" s="397">
        <f>SUM(CT36:CT37)</f>
        <v>9708</v>
      </c>
      <c r="CU38" s="419"/>
      <c r="CV38" s="397">
        <f>SUM(CV36:CV37)</f>
        <v>5190</v>
      </c>
      <c r="CW38" s="397">
        <f>SUM(CW36:CW37)</f>
        <v>4900</v>
      </c>
      <c r="CX38" s="397">
        <f>SUM(CX36:CX37)</f>
        <v>10090</v>
      </c>
      <c r="CY38" s="419"/>
      <c r="CZ38" s="397">
        <f>SUM(CZ36:CZ37)</f>
        <v>5025</v>
      </c>
      <c r="DA38" s="397">
        <f>SUM(DA36:DA37)</f>
        <v>4822</v>
      </c>
      <c r="DB38" s="397">
        <f>SUM(DB36:DB37)</f>
        <v>9847</v>
      </c>
      <c r="DC38" s="419"/>
      <c r="DD38" s="397">
        <f>SUM(DD36:DD37)</f>
        <v>5133</v>
      </c>
      <c r="DE38" s="397">
        <f>SUM(DE36:DE37)</f>
        <v>5120</v>
      </c>
      <c r="DF38" s="397">
        <f>SUM(DF36:DF37)</f>
        <v>10253</v>
      </c>
      <c r="DG38" s="419"/>
      <c r="DH38" s="397">
        <f>SUM(DH36:DH37)</f>
        <v>5445</v>
      </c>
      <c r="DI38" s="397">
        <f>SUM(DI36:DI37)</f>
        <v>5624.6533908786996</v>
      </c>
      <c r="DJ38" s="397">
        <f>SUM(DJ36:DJ37)</f>
        <v>11069.653390878699</v>
      </c>
      <c r="DK38" s="419"/>
      <c r="DL38" s="397">
        <f>SUM(DL36:DL37)</f>
        <v>5925.752202661316</v>
      </c>
      <c r="DM38" s="397">
        <f>SUM(DM36:DM37)</f>
        <v>5875.5559828987753</v>
      </c>
      <c r="DN38" s="397">
        <f>SUM(DN36:DN37)</f>
        <v>11801.308185560092</v>
      </c>
      <c r="DO38" s="419"/>
      <c r="DP38" s="397">
        <f>SUM(DP36:DP37)</f>
        <v>6138.004567935679</v>
      </c>
      <c r="DQ38" s="397">
        <f>SUM(DQ36:DQ37)</f>
        <v>6120.7022288395801</v>
      </c>
      <c r="DR38" s="397">
        <f>SUM(DR36:DR37)</f>
        <v>12258.706796775259</v>
      </c>
      <c r="DS38" s="419"/>
      <c r="DT38" s="1"/>
      <c r="DU38" s="1"/>
      <c r="DV38" s="1"/>
      <c r="DW38" s="1"/>
      <c r="DX38" s="1"/>
      <c r="DY38" s="1"/>
      <c r="DZ38" s="1"/>
      <c r="EA38" s="1"/>
      <c r="EB38" s="1"/>
      <c r="EC38" s="1"/>
      <c r="ED38" s="1"/>
      <c r="EE38" s="1"/>
      <c r="EF38" s="1"/>
      <c r="EG38" s="1"/>
      <c r="EH38" s="1"/>
      <c r="EI38" s="1"/>
      <c r="EJ38" s="1"/>
      <c r="EK38" s="1"/>
      <c r="EL38" s="1"/>
      <c r="EM38" s="1"/>
      <c r="EN38" s="1"/>
      <c r="EO38" s="1"/>
      <c r="EP38" s="1"/>
      <c r="EQ38" s="1"/>
      <c r="ER38" s="1"/>
      <c r="ES38" s="1"/>
      <c r="ET38" s="1"/>
      <c r="EU38" s="1"/>
      <c r="EV38" s="1"/>
      <c r="EW38" s="1"/>
      <c r="EX38" s="1"/>
      <c r="EY38" s="1"/>
      <c r="EZ38" s="1"/>
      <c r="FA38" s="1"/>
      <c r="FB38" s="1"/>
      <c r="FC38" s="1"/>
      <c r="FD38" s="1"/>
      <c r="FE38" s="1"/>
      <c r="FF38" s="1"/>
      <c r="FG38" s="1"/>
      <c r="FH38" s="1"/>
      <c r="FI38" s="1"/>
      <c r="FJ38" s="1"/>
      <c r="FK38" s="1"/>
      <c r="FL38" s="1"/>
      <c r="FM38" s="1"/>
      <c r="FN38" s="1"/>
      <c r="FO38" s="1"/>
      <c r="FP38" s="1"/>
      <c r="FQ38" s="1"/>
      <c r="FR38" s="1"/>
      <c r="FS38" s="1"/>
      <c r="FT38" s="1"/>
      <c r="FU38" s="1"/>
      <c r="FV38" s="1"/>
      <c r="FW38" s="1"/>
      <c r="FX38" s="1"/>
      <c r="FY38" s="1"/>
      <c r="FZ38" s="1"/>
      <c r="GA38" s="1"/>
      <c r="GB38" s="1"/>
      <c r="GC38" s="1"/>
      <c r="GD38" s="1"/>
      <c r="GE38" s="1"/>
      <c r="GF38" s="1"/>
      <c r="GG38" s="1"/>
      <c r="GH38" s="1"/>
      <c r="GI38" s="1"/>
      <c r="GJ38" s="1"/>
      <c r="GK38" s="1"/>
      <c r="GL38" s="1"/>
      <c r="GM38" s="1"/>
      <c r="GN38" s="1"/>
      <c r="GO38" s="1"/>
      <c r="GP38" s="1"/>
      <c r="GQ38" s="1"/>
      <c r="GR38" s="1"/>
      <c r="GS38" s="1"/>
      <c r="GT38" s="1"/>
      <c r="GU38" s="1"/>
      <c r="GV38" s="1"/>
      <c r="GW38" s="1"/>
      <c r="GX38" s="1"/>
      <c r="GY38" s="1"/>
      <c r="GZ38" s="1"/>
      <c r="HA38" s="1"/>
      <c r="HB38" s="1"/>
      <c r="HC38" s="1"/>
      <c r="HD38" s="1"/>
      <c r="HE38" s="1"/>
      <c r="HF38" s="1"/>
      <c r="HG38" s="1"/>
      <c r="HH38" s="1"/>
      <c r="HI38" s="1"/>
      <c r="HJ38" s="1"/>
      <c r="HK38" s="1"/>
      <c r="HL38" s="1"/>
      <c r="HM38" s="1"/>
      <c r="HN38" s="1"/>
      <c r="HO38" s="1"/>
      <c r="HP38" s="1"/>
      <c r="HQ38" s="1"/>
      <c r="HR38" s="1"/>
      <c r="HS38" s="1"/>
      <c r="HT38" s="1"/>
      <c r="HU38" s="1"/>
      <c r="HV38" s="1"/>
      <c r="HW38" s="1"/>
      <c r="HX38" s="1"/>
      <c r="HY38" s="1"/>
      <c r="HZ38" s="1"/>
      <c r="IA38" s="1"/>
      <c r="IB38" s="1"/>
      <c r="IC38" s="1"/>
      <c r="ID38" s="1"/>
      <c r="IE38" s="1"/>
      <c r="IF38" s="1"/>
      <c r="IG38" s="1"/>
      <c r="IH38" s="1"/>
      <c r="II38" s="1"/>
      <c r="IJ38" s="1"/>
      <c r="IK38" s="1"/>
      <c r="IL38" s="1"/>
      <c r="IM38" s="1"/>
      <c r="IN38" s="1"/>
      <c r="IO38" s="1"/>
      <c r="IP38" s="1"/>
      <c r="IQ38" s="1"/>
      <c r="IR38" s="1"/>
      <c r="IS38" s="1"/>
      <c r="IT38" s="1"/>
      <c r="IU38" s="1"/>
      <c r="IV38" s="1"/>
      <c r="IW38" s="1"/>
      <c r="IX38" s="1"/>
      <c r="IY38" s="1"/>
      <c r="IZ38" s="1"/>
      <c r="JA38" s="1"/>
      <c r="JB38" s="1"/>
      <c r="JC38" s="1"/>
      <c r="JD38" s="1"/>
    </row>
    <row r="39" spans="1:264" s="347" customFormat="1" x14ac:dyDescent="0.2">
      <c r="A39" s="422" t="s">
        <v>58</v>
      </c>
      <c r="B39" s="348"/>
      <c r="BH39" s="398">
        <f>-10-109</f>
        <v>-119</v>
      </c>
      <c r="BI39" s="398">
        <f>37-60</f>
        <v>-23</v>
      </c>
      <c r="BJ39" s="351">
        <f>+BH39+BI39</f>
        <v>-142</v>
      </c>
      <c r="BK39" s="348"/>
      <c r="BL39" s="398">
        <f>-5-56</f>
        <v>-61</v>
      </c>
      <c r="BM39" s="398">
        <f>-13+11-26+25+15</f>
        <v>12</v>
      </c>
      <c r="BN39" s="351">
        <f>+BL39+BM39</f>
        <v>-49</v>
      </c>
      <c r="BO39" s="348"/>
      <c r="BP39" s="398">
        <f>-42-46</f>
        <v>-88</v>
      </c>
      <c r="BQ39" s="398">
        <f>48-34</f>
        <v>14</v>
      </c>
      <c r="BR39" s="351">
        <f>+BP39+BQ39</f>
        <v>-74</v>
      </c>
      <c r="BT39" s="398">
        <f>-150-35</f>
        <v>-185</v>
      </c>
      <c r="BU39" s="398">
        <f>-49+12</f>
        <v>-37</v>
      </c>
      <c r="BV39" s="351">
        <f>+BT39+BU39</f>
        <v>-222</v>
      </c>
      <c r="BW39" s="400"/>
      <c r="BX39" s="398">
        <f>-20+8</f>
        <v>-12</v>
      </c>
      <c r="BY39" s="351">
        <f>BZ39-BX39</f>
        <v>59</v>
      </c>
      <c r="BZ39" s="399">
        <f>73-26</f>
        <v>47</v>
      </c>
      <c r="CB39" s="398">
        <f>-57+96-4</f>
        <v>35</v>
      </c>
      <c r="CC39" s="398">
        <f>-126+5+3</f>
        <v>-118</v>
      </c>
      <c r="CD39" s="351">
        <f>+CB39+CC39</f>
        <v>-83</v>
      </c>
      <c r="CF39" s="398">
        <f>-74-91-4</f>
        <v>-169</v>
      </c>
      <c r="CG39" s="398">
        <f>13+12+9</f>
        <v>34</v>
      </c>
      <c r="CH39" s="351">
        <f>+CF39+CG39</f>
        <v>-135</v>
      </c>
      <c r="CJ39" s="398">
        <v>1667</v>
      </c>
      <c r="CK39" s="398">
        <v>518</v>
      </c>
      <c r="CL39" s="351">
        <f>+CJ39+CK39</f>
        <v>2185</v>
      </c>
      <c r="CN39" s="398">
        <f>910-8</f>
        <v>902</v>
      </c>
      <c r="CO39" s="398">
        <f>463+15</f>
        <v>478</v>
      </c>
      <c r="CP39" s="351">
        <f>+CN39+CO39</f>
        <v>1380</v>
      </c>
      <c r="CR39" s="398">
        <f>1040-16</f>
        <v>1024</v>
      </c>
      <c r="CS39" s="398">
        <f>-85+124</f>
        <v>39</v>
      </c>
      <c r="CT39" s="351">
        <f>+CR39+CS39</f>
        <v>1063</v>
      </c>
      <c r="CU39" s="410">
        <f>CS36/CR36-1</f>
        <v>2.1702486304256308E-2</v>
      </c>
      <c r="CV39" s="398">
        <f>63-81</f>
        <v>-18</v>
      </c>
      <c r="CW39" s="398">
        <f>-39-35</f>
        <v>-74</v>
      </c>
      <c r="CX39" s="351">
        <f>+CV39+CW39</f>
        <v>-92</v>
      </c>
      <c r="CZ39" s="398">
        <f>-294+28</f>
        <v>-266</v>
      </c>
      <c r="DA39" s="398">
        <f>-173-14</f>
        <v>-187</v>
      </c>
      <c r="DB39" s="351">
        <f>+CZ39+DA39</f>
        <v>-453</v>
      </c>
      <c r="DD39" s="398">
        <f>10-9</f>
        <v>1</v>
      </c>
      <c r="DE39" s="398">
        <f>-129-9</f>
        <v>-138</v>
      </c>
      <c r="DF39" s="351">
        <f>+DD39+DE39</f>
        <v>-137</v>
      </c>
      <c r="DH39" s="398">
        <f>-63-15</f>
        <v>-78</v>
      </c>
      <c r="DI39" s="351">
        <f>DI918</f>
        <v>0</v>
      </c>
      <c r="DJ39" s="351">
        <f>+DH39+DI39</f>
        <v>-78</v>
      </c>
      <c r="DL39" s="351">
        <f>DL918</f>
        <v>0</v>
      </c>
      <c r="DM39" s="351">
        <f>DM918</f>
        <v>0</v>
      </c>
      <c r="DN39" s="351">
        <f>+DL39+DM39</f>
        <v>0</v>
      </c>
      <c r="DP39" s="351">
        <f>DP918</f>
        <v>0</v>
      </c>
      <c r="DQ39" s="351">
        <f>DQ918</f>
        <v>0</v>
      </c>
      <c r="DR39" s="351">
        <f>+DP39+DQ39</f>
        <v>0</v>
      </c>
      <c r="DT39" s="1"/>
      <c r="DU39" s="1"/>
      <c r="DV39" s="1"/>
      <c r="DW39" s="1"/>
      <c r="DX39" s="1"/>
      <c r="DY39" s="1"/>
      <c r="DZ39" s="1"/>
      <c r="EA39" s="1"/>
      <c r="EB39" s="1"/>
      <c r="EC39" s="1"/>
      <c r="ED39" s="1"/>
      <c r="EE39" s="1"/>
      <c r="EF39" s="1"/>
      <c r="EG39" s="1"/>
      <c r="EH39" s="1"/>
      <c r="EI39" s="1"/>
      <c r="EJ39" s="1"/>
      <c r="EK39" s="1"/>
      <c r="EL39" s="1"/>
      <c r="EM39" s="1"/>
      <c r="EN39" s="1"/>
      <c r="EO39" s="1"/>
      <c r="EP39" s="1"/>
      <c r="EQ39" s="1"/>
      <c r="ER39" s="1"/>
      <c r="ES39" s="1"/>
      <c r="ET39" s="1"/>
      <c r="EU39" s="1"/>
      <c r="EV39" s="1"/>
      <c r="EW39" s="1"/>
      <c r="EX39" s="1"/>
      <c r="EY39" s="1"/>
      <c r="EZ39" s="1"/>
      <c r="FA39" s="1"/>
      <c r="FB39" s="1"/>
      <c r="FC39" s="1"/>
      <c r="FD39" s="1"/>
      <c r="FE39" s="1"/>
      <c r="FF39" s="1"/>
      <c r="FG39" s="1"/>
      <c r="FH39" s="1"/>
      <c r="FI39" s="1"/>
      <c r="FJ39" s="1"/>
      <c r="FK39" s="1"/>
      <c r="FL39" s="1"/>
      <c r="FM39" s="1"/>
      <c r="FN39" s="1"/>
      <c r="FO39" s="1"/>
      <c r="FP39" s="1"/>
      <c r="FQ39" s="1"/>
      <c r="FR39" s="1"/>
      <c r="FS39" s="1"/>
      <c r="FT39" s="1"/>
      <c r="FU39" s="1"/>
      <c r="FV39" s="1"/>
      <c r="FW39" s="1"/>
      <c r="FX39" s="1"/>
      <c r="FY39" s="1"/>
      <c r="FZ39" s="1"/>
      <c r="GA39" s="1"/>
      <c r="GB39" s="1"/>
      <c r="GC39" s="1"/>
      <c r="GD39" s="1"/>
      <c r="GE39" s="1"/>
      <c r="GF39" s="1"/>
      <c r="GG39" s="1"/>
      <c r="GH39" s="1"/>
      <c r="GI39" s="1"/>
      <c r="GJ39" s="1"/>
      <c r="GK39" s="1"/>
      <c r="GL39" s="1"/>
      <c r="GM39" s="1"/>
      <c r="GN39" s="1"/>
      <c r="GO39" s="1"/>
      <c r="GP39" s="1"/>
      <c r="GQ39" s="1"/>
      <c r="GR39" s="1"/>
      <c r="GS39" s="1"/>
      <c r="GT39" s="1"/>
      <c r="GU39" s="1"/>
      <c r="GV39" s="1"/>
      <c r="GW39" s="1"/>
      <c r="GX39" s="1"/>
      <c r="GY39" s="1"/>
      <c r="GZ39" s="1"/>
      <c r="HA39" s="1"/>
      <c r="HB39" s="1"/>
      <c r="HC39" s="1"/>
      <c r="HD39" s="1"/>
      <c r="HE39" s="1"/>
      <c r="HF39" s="1"/>
      <c r="HG39" s="1"/>
      <c r="HH39" s="1"/>
      <c r="HI39" s="1"/>
      <c r="HJ39" s="1"/>
      <c r="HK39" s="1"/>
      <c r="HL39" s="1"/>
      <c r="HM39" s="1"/>
      <c r="HN39" s="1"/>
      <c r="HO39" s="1"/>
      <c r="HP39" s="1"/>
      <c r="HQ39" s="1"/>
      <c r="HR39" s="1"/>
      <c r="HS39" s="1"/>
      <c r="HT39" s="1"/>
      <c r="HU39" s="1"/>
      <c r="HV39" s="1"/>
      <c r="HW39" s="1"/>
      <c r="HX39" s="1"/>
      <c r="HY39" s="1"/>
      <c r="HZ39" s="1"/>
      <c r="IA39" s="1"/>
      <c r="IB39" s="1"/>
      <c r="IC39" s="1"/>
      <c r="ID39" s="1"/>
      <c r="IE39" s="1"/>
      <c r="IF39" s="1"/>
      <c r="IG39" s="1"/>
      <c r="IH39" s="1"/>
      <c r="II39" s="1"/>
      <c r="IJ39" s="1"/>
      <c r="IK39" s="1"/>
      <c r="IL39" s="1"/>
      <c r="IM39" s="1"/>
      <c r="IN39" s="1"/>
      <c r="IO39" s="1"/>
      <c r="IP39" s="1"/>
      <c r="IQ39" s="1"/>
      <c r="IR39" s="1"/>
      <c r="IS39" s="1"/>
      <c r="IT39" s="1"/>
      <c r="IU39" s="1"/>
      <c r="IV39" s="1"/>
      <c r="IW39" s="1"/>
      <c r="IX39" s="1"/>
      <c r="IY39" s="1"/>
      <c r="IZ39" s="1"/>
      <c r="JA39" s="1"/>
      <c r="JB39" s="1"/>
      <c r="JC39" s="1"/>
      <c r="JD39" s="1"/>
    </row>
    <row r="40" spans="1:264" s="411" customFormat="1" x14ac:dyDescent="0.2">
      <c r="A40" s="411" t="s">
        <v>60</v>
      </c>
      <c r="B40" s="423"/>
      <c r="BH40" s="397">
        <f>SUM(BH38:BH39)</f>
        <v>3631</v>
      </c>
      <c r="BI40" s="397">
        <f>SUM(BI38:BI39)</f>
        <v>3987</v>
      </c>
      <c r="BJ40" s="397">
        <f>SUM(BJ38:BJ39)</f>
        <v>7618</v>
      </c>
      <c r="BK40" s="348"/>
      <c r="BL40" s="397">
        <f>SUM(BL38:BL39)</f>
        <v>4207</v>
      </c>
      <c r="BM40" s="397">
        <f>SUM(BM38:BM39)</f>
        <v>4424</v>
      </c>
      <c r="BN40" s="397">
        <f>SUM(BN38:BN39)</f>
        <v>8631</v>
      </c>
      <c r="BO40" s="423"/>
      <c r="BP40" s="397">
        <f>SUM(BP38:BP39)</f>
        <v>4531</v>
      </c>
      <c r="BQ40" s="397">
        <f>SUM(BQ38:BQ39)</f>
        <v>4532</v>
      </c>
      <c r="BR40" s="397">
        <f>SUM(BR38:BR39)</f>
        <v>9063</v>
      </c>
      <c r="BT40" s="397">
        <f>SUM(BT38:BT39)</f>
        <v>4623</v>
      </c>
      <c r="BU40" s="397">
        <f>SUM(BU38:BU39)</f>
        <v>4600</v>
      </c>
      <c r="BV40" s="397">
        <f>SUM(BV38:BV39)</f>
        <v>9223</v>
      </c>
      <c r="BX40" s="397">
        <f>SUM(BX38:BX39)</f>
        <v>4895</v>
      </c>
      <c r="BY40" s="397">
        <f>SUM(BY38:BY39)</f>
        <v>5033</v>
      </c>
      <c r="BZ40" s="397">
        <f>SUM(BZ38:BZ39)</f>
        <v>9928</v>
      </c>
      <c r="CB40" s="397">
        <f>SUM(CB38:CB39)</f>
        <v>4906</v>
      </c>
      <c r="CC40" s="397">
        <f>SUM(CC38:CC39)</f>
        <v>4423</v>
      </c>
      <c r="CD40" s="397">
        <f>SUM(CD38:CD39)</f>
        <v>9329</v>
      </c>
      <c r="CF40" s="397">
        <f>SUM(CF38:CF39)</f>
        <v>4642</v>
      </c>
      <c r="CG40" s="397">
        <f>SUM(CG38:CG39)</f>
        <v>3929</v>
      </c>
      <c r="CH40" s="397">
        <f>SUM(CH38:CH39)</f>
        <v>8571</v>
      </c>
      <c r="CJ40" s="397">
        <f>SUM(CJ38:CJ39)</f>
        <v>6139</v>
      </c>
      <c r="CK40" s="397">
        <f>SUM(CK38:CK39)</f>
        <v>3453</v>
      </c>
      <c r="CL40" s="397">
        <f>SUM(CL38:CL39)</f>
        <v>9592</v>
      </c>
      <c r="CN40" s="397">
        <f>SUM(CN38:CN39)</f>
        <v>4869</v>
      </c>
      <c r="CO40" s="397">
        <f>SUM(CO38:CO39)</f>
        <v>5312</v>
      </c>
      <c r="CP40" s="397">
        <f>SUM(CP38:CP39)</f>
        <v>10181</v>
      </c>
      <c r="CR40" s="397">
        <f>SUM(CR38:CR39)</f>
        <v>5870</v>
      </c>
      <c r="CS40" s="397">
        <f>SUM(CS38:CS39)</f>
        <v>4901</v>
      </c>
      <c r="CT40" s="397">
        <f>SUM(CT38:CT39)</f>
        <v>10771</v>
      </c>
      <c r="CV40" s="397">
        <f>SUM(CV38:CV39)</f>
        <v>5172</v>
      </c>
      <c r="CW40" s="397">
        <f>SUM(CW38:CW39)</f>
        <v>4826</v>
      </c>
      <c r="CX40" s="397">
        <f>SUM(CX38:CX39)</f>
        <v>9998</v>
      </c>
      <c r="CZ40" s="397">
        <f>SUM(CZ38:CZ39)</f>
        <v>4759</v>
      </c>
      <c r="DA40" s="397">
        <f>SUM(DA38:DA39)</f>
        <v>4635</v>
      </c>
      <c r="DB40" s="397">
        <f>SUM(DB38:DB39)</f>
        <v>9394</v>
      </c>
      <c r="DD40" s="397">
        <f>SUM(DD38:DD39)</f>
        <v>5134</v>
      </c>
      <c r="DE40" s="397">
        <f>SUM(DE38:DE39)</f>
        <v>4982</v>
      </c>
      <c r="DF40" s="397">
        <f>SUM(DF38:DF39)</f>
        <v>10116</v>
      </c>
      <c r="DH40" s="397">
        <f>SUM(DH38:DH39)</f>
        <v>5367</v>
      </c>
      <c r="DI40" s="397">
        <f>SUM(DI38:DI39)</f>
        <v>5624.6533908786996</v>
      </c>
      <c r="DJ40" s="397">
        <f>SUM(DJ38:DJ39)</f>
        <v>10991.653390878699</v>
      </c>
      <c r="DL40" s="397">
        <f>SUM(DL38:DL39)</f>
        <v>5925.752202661316</v>
      </c>
      <c r="DM40" s="397">
        <f>SUM(DM38:DM39)</f>
        <v>5875.5559828987753</v>
      </c>
      <c r="DN40" s="397">
        <f>SUM(DN38:DN39)</f>
        <v>11801.308185560092</v>
      </c>
      <c r="DP40" s="397">
        <f>SUM(DP38:DP39)</f>
        <v>6138.004567935679</v>
      </c>
      <c r="DQ40" s="397">
        <f>SUM(DQ38:DQ39)</f>
        <v>6120.7022288395801</v>
      </c>
      <c r="DR40" s="397">
        <f>SUM(DR38:DR39)</f>
        <v>12258.706796775259</v>
      </c>
      <c r="DT40" s="1"/>
      <c r="DU40" s="1"/>
      <c r="DV40" s="1"/>
      <c r="DW40" s="1"/>
      <c r="DX40" s="1"/>
      <c r="DY40" s="1"/>
      <c r="DZ40" s="1"/>
      <c r="EA40" s="1"/>
      <c r="EB40" s="1"/>
      <c r="EC40" s="1"/>
      <c r="ED40" s="1"/>
      <c r="EE40" s="1"/>
      <c r="EF40" s="1"/>
      <c r="EG40" s="1"/>
      <c r="EH40" s="1"/>
      <c r="EI40" s="1"/>
      <c r="EJ40" s="1"/>
      <c r="EK40" s="1"/>
      <c r="EL40" s="1"/>
      <c r="EM40" s="1"/>
      <c r="EN40" s="1"/>
      <c r="EO40" s="1"/>
      <c r="EP40" s="1"/>
      <c r="EQ40" s="1"/>
      <c r="ER40" s="1"/>
      <c r="ES40" s="1"/>
      <c r="ET40" s="1"/>
      <c r="EU40" s="1"/>
      <c r="EV40" s="1"/>
      <c r="EW40" s="1"/>
      <c r="EX40" s="1"/>
      <c r="EY40" s="1"/>
      <c r="EZ40" s="1"/>
      <c r="FA40" s="1"/>
      <c r="FB40" s="1"/>
      <c r="FC40" s="1"/>
      <c r="FD40" s="1"/>
      <c r="FE40" s="1"/>
      <c r="FF40" s="1"/>
      <c r="FG40" s="1"/>
      <c r="FH40" s="1"/>
      <c r="FI40" s="1"/>
      <c r="FJ40" s="1"/>
      <c r="FK40" s="1"/>
      <c r="FL40" s="1"/>
      <c r="FM40" s="1"/>
      <c r="FN40" s="1"/>
      <c r="FO40" s="1"/>
      <c r="FP40" s="1"/>
      <c r="FQ40" s="1"/>
      <c r="FR40" s="1"/>
      <c r="FS40" s="1"/>
      <c r="FT40" s="1"/>
      <c r="FU40" s="1"/>
      <c r="FV40" s="1"/>
      <c r="FW40" s="1"/>
      <c r="FX40" s="1"/>
      <c r="FY40" s="1"/>
      <c r="FZ40" s="1"/>
      <c r="GA40" s="1"/>
      <c r="GB40" s="1"/>
      <c r="GC40" s="1"/>
      <c r="GD40" s="1"/>
      <c r="GE40" s="1"/>
      <c r="GF40" s="1"/>
      <c r="GG40" s="1"/>
      <c r="GH40" s="1"/>
      <c r="GI40" s="1"/>
      <c r="GJ40" s="1"/>
      <c r="GK40" s="1"/>
      <c r="GL40" s="1"/>
      <c r="GM40" s="1"/>
      <c r="GN40" s="1"/>
      <c r="GO40" s="1"/>
      <c r="GP40" s="1"/>
      <c r="GQ40" s="1"/>
      <c r="GR40" s="1"/>
      <c r="GS40" s="1"/>
      <c r="GT40" s="1"/>
      <c r="GU40" s="1"/>
      <c r="GV40" s="1"/>
      <c r="GW40" s="1"/>
      <c r="GX40" s="1"/>
      <c r="GY40" s="1"/>
      <c r="GZ40" s="1"/>
      <c r="HA40" s="1"/>
      <c r="HB40" s="1"/>
      <c r="HC40" s="1"/>
      <c r="HD40" s="1"/>
      <c r="HE40" s="1"/>
      <c r="HF40" s="1"/>
      <c r="HG40" s="1"/>
      <c r="HH40" s="1"/>
      <c r="HI40" s="1"/>
      <c r="HJ40" s="1"/>
      <c r="HK40" s="1"/>
      <c r="HL40" s="1"/>
      <c r="HM40" s="1"/>
      <c r="HN40" s="1"/>
      <c r="HO40" s="1"/>
      <c r="HP40" s="1"/>
      <c r="HQ40" s="1"/>
      <c r="HR40" s="1"/>
      <c r="HS40" s="1"/>
      <c r="HT40" s="1"/>
      <c r="HU40" s="1"/>
      <c r="HV40" s="1"/>
      <c r="HW40" s="1"/>
      <c r="HX40" s="1"/>
      <c r="HY40" s="1"/>
      <c r="HZ40" s="1"/>
      <c r="IA40" s="1"/>
      <c r="IB40" s="1"/>
      <c r="IC40" s="1"/>
      <c r="ID40" s="1"/>
      <c r="IE40" s="1"/>
      <c r="IF40" s="1"/>
      <c r="IG40" s="1"/>
      <c r="IH40" s="1"/>
      <c r="II40" s="1"/>
      <c r="IJ40" s="1"/>
      <c r="IK40" s="1"/>
      <c r="IL40" s="1"/>
      <c r="IM40" s="1"/>
      <c r="IN40" s="1"/>
      <c r="IO40" s="1"/>
      <c r="IP40" s="1"/>
      <c r="IQ40" s="1"/>
      <c r="IR40" s="1"/>
      <c r="IS40" s="1"/>
      <c r="IT40" s="1"/>
      <c r="IU40" s="1"/>
      <c r="IV40" s="1"/>
      <c r="IW40" s="1"/>
      <c r="IX40" s="1"/>
      <c r="IY40" s="1"/>
      <c r="IZ40" s="1"/>
      <c r="JA40" s="1"/>
      <c r="JB40" s="1"/>
      <c r="JC40" s="1"/>
      <c r="JD40" s="1"/>
    </row>
    <row r="41" spans="1:264" s="347" customFormat="1" x14ac:dyDescent="0.2">
      <c r="B41" s="348"/>
      <c r="BH41" s="348"/>
      <c r="BI41" s="348"/>
      <c r="BJ41" s="348"/>
      <c r="BK41" s="348"/>
      <c r="BL41" s="348"/>
      <c r="BM41" s="348"/>
      <c r="BN41" s="348"/>
      <c r="BO41" s="348"/>
      <c r="BP41" s="348"/>
      <c r="BQ41" s="348"/>
      <c r="BR41" s="348"/>
      <c r="BT41" s="348"/>
      <c r="BU41" s="348"/>
      <c r="BV41" s="348"/>
      <c r="BX41" s="348"/>
      <c r="BY41" s="348"/>
      <c r="BZ41" s="348"/>
      <c r="CB41" s="348"/>
      <c r="CC41" s="348"/>
      <c r="CD41" s="348"/>
      <c r="CF41" s="348"/>
      <c r="CG41" s="348"/>
      <c r="CH41" s="348"/>
      <c r="CJ41" s="348"/>
      <c r="CK41" s="348"/>
      <c r="CL41" s="348"/>
      <c r="CN41" s="348"/>
      <c r="CO41" s="351"/>
      <c r="CP41" s="348"/>
      <c r="CR41" s="348"/>
      <c r="CS41" s="351"/>
      <c r="CT41" s="348"/>
      <c r="CV41" s="348"/>
      <c r="CW41" s="351"/>
      <c r="CX41" s="348"/>
      <c r="CZ41" s="406">
        <v>4759</v>
      </c>
      <c r="DA41" s="406">
        <v>4635</v>
      </c>
      <c r="DB41" s="348"/>
      <c r="DD41" s="406">
        <v>5134</v>
      </c>
      <c r="DE41" s="406">
        <v>4982</v>
      </c>
      <c r="DF41" s="348"/>
      <c r="DH41" s="406">
        <v>5367</v>
      </c>
      <c r="DI41" s="348"/>
      <c r="DJ41" s="348"/>
      <c r="DL41" s="348"/>
      <c r="DM41" s="348"/>
      <c r="DN41" s="348"/>
      <c r="DP41" s="348"/>
      <c r="DQ41" s="348"/>
      <c r="DR41" s="348"/>
      <c r="DT41" s="1"/>
      <c r="DU41" s="1"/>
      <c r="DV41" s="1"/>
      <c r="DW41" s="1"/>
      <c r="DX41" s="1"/>
      <c r="DY41" s="1"/>
      <c r="DZ41" s="1"/>
      <c r="EA41" s="1"/>
      <c r="EB41" s="1"/>
      <c r="EC41" s="1"/>
      <c r="ED41" s="1"/>
      <c r="EE41" s="1"/>
      <c r="EF41" s="1"/>
      <c r="EG41" s="1"/>
      <c r="EH41" s="1"/>
      <c r="EI41" s="1"/>
      <c r="EJ41" s="1"/>
      <c r="EK41" s="1"/>
      <c r="EL41" s="1"/>
      <c r="EM41" s="1"/>
      <c r="EN41" s="1"/>
      <c r="EO41" s="1"/>
      <c r="EP41" s="1"/>
      <c r="EQ41" s="1"/>
      <c r="ER41" s="1"/>
      <c r="ES41" s="1"/>
      <c r="ET41" s="1"/>
      <c r="EU41" s="1"/>
      <c r="EV41" s="1"/>
      <c r="EW41" s="1"/>
      <c r="EX41" s="1"/>
      <c r="EY41" s="1"/>
      <c r="EZ41" s="1"/>
      <c r="FA41" s="1"/>
      <c r="FB41" s="1"/>
      <c r="FC41" s="1"/>
      <c r="FD41" s="1"/>
      <c r="FE41" s="1"/>
      <c r="FF41" s="1"/>
      <c r="FG41" s="1"/>
      <c r="FH41" s="1"/>
      <c r="FI41" s="1"/>
      <c r="FJ41" s="1"/>
      <c r="FK41" s="1"/>
      <c r="FL41" s="1"/>
      <c r="FM41" s="1"/>
      <c r="FN41" s="1"/>
      <c r="FO41" s="1"/>
      <c r="FP41" s="1"/>
      <c r="FQ41" s="1"/>
      <c r="FR41" s="1"/>
      <c r="FS41" s="1"/>
      <c r="FT41" s="1"/>
      <c r="FU41" s="1"/>
      <c r="FV41" s="1"/>
      <c r="FW41" s="1"/>
      <c r="FX41" s="1"/>
      <c r="FY41" s="1"/>
      <c r="FZ41" s="1"/>
      <c r="GA41" s="1"/>
      <c r="GB41" s="1"/>
      <c r="GC41" s="1"/>
      <c r="GD41" s="1"/>
      <c r="GE41" s="1"/>
      <c r="GF41" s="1"/>
      <c r="GG41" s="1"/>
      <c r="GH41" s="1"/>
      <c r="GI41" s="1"/>
      <c r="GJ41" s="1"/>
      <c r="GK41" s="1"/>
      <c r="GL41" s="1"/>
      <c r="GM41" s="1"/>
      <c r="GN41" s="1"/>
      <c r="GO41" s="1"/>
      <c r="GP41" s="1"/>
      <c r="GQ41" s="1"/>
      <c r="GR41" s="1"/>
      <c r="GS41" s="1"/>
      <c r="GT41" s="1"/>
      <c r="GU41" s="1"/>
      <c r="GV41" s="1"/>
      <c r="GW41" s="1"/>
      <c r="GX41" s="1"/>
      <c r="GY41" s="1"/>
      <c r="GZ41" s="1"/>
      <c r="HA41" s="1"/>
      <c r="HB41" s="1"/>
      <c r="HC41" s="1"/>
      <c r="HD41" s="1"/>
      <c r="HE41" s="1"/>
      <c r="HF41" s="1"/>
      <c r="HG41" s="1"/>
      <c r="HH41" s="1"/>
      <c r="HI41" s="1"/>
      <c r="HJ41" s="1"/>
      <c r="HK41" s="1"/>
      <c r="HL41" s="1"/>
      <c r="HM41" s="1"/>
      <c r="HN41" s="1"/>
      <c r="HO41" s="1"/>
      <c r="HP41" s="1"/>
      <c r="HQ41" s="1"/>
      <c r="HR41" s="1"/>
      <c r="HS41" s="1"/>
      <c r="HT41" s="1"/>
      <c r="HU41" s="1"/>
      <c r="HV41" s="1"/>
      <c r="HW41" s="1"/>
      <c r="HX41" s="1"/>
      <c r="HY41" s="1"/>
      <c r="HZ41" s="1"/>
      <c r="IA41" s="1"/>
      <c r="IB41" s="1"/>
      <c r="IC41" s="1"/>
      <c r="ID41" s="1"/>
      <c r="IE41" s="1"/>
      <c r="IF41" s="1"/>
      <c r="IG41" s="1"/>
      <c r="IH41" s="1"/>
      <c r="II41" s="1"/>
      <c r="IJ41" s="1"/>
      <c r="IK41" s="1"/>
      <c r="IL41" s="1"/>
      <c r="IM41" s="1"/>
      <c r="IN41" s="1"/>
      <c r="IO41" s="1"/>
      <c r="IP41" s="1"/>
      <c r="IQ41" s="1"/>
      <c r="IR41" s="1"/>
      <c r="IS41" s="1"/>
      <c r="IT41" s="1"/>
      <c r="IU41" s="1"/>
      <c r="IV41" s="1"/>
      <c r="IW41" s="1"/>
      <c r="IX41" s="1"/>
      <c r="IY41" s="1"/>
      <c r="IZ41" s="1"/>
      <c r="JA41" s="1"/>
      <c r="JB41" s="1"/>
      <c r="JC41" s="1"/>
      <c r="JD41" s="1"/>
    </row>
    <row r="42" spans="1:264" s="347" customFormat="1" x14ac:dyDescent="0.2">
      <c r="A42" s="347" t="s">
        <v>56</v>
      </c>
      <c r="B42" s="348"/>
      <c r="BH42" s="351">
        <f>BH36</f>
        <v>3750</v>
      </c>
      <c r="BI42" s="351">
        <f>BI36</f>
        <v>4010</v>
      </c>
      <c r="BJ42" s="351">
        <f>BJ36</f>
        <v>7760</v>
      </c>
      <c r="BL42" s="351">
        <f>BL36</f>
        <v>4268</v>
      </c>
      <c r="BM42" s="351">
        <f>BM36</f>
        <v>4412</v>
      </c>
      <c r="BN42" s="351">
        <f>BN36</f>
        <v>8680</v>
      </c>
      <c r="BP42" s="351">
        <f>BP36</f>
        <v>4619</v>
      </c>
      <c r="BQ42" s="351">
        <f>BQ36</f>
        <v>4518</v>
      </c>
      <c r="BR42" s="351">
        <f>BR36</f>
        <v>9137</v>
      </c>
      <c r="BT42" s="351">
        <f>BT36</f>
        <v>4808</v>
      </c>
      <c r="BU42" s="351">
        <f>BU36</f>
        <v>4637</v>
      </c>
      <c r="BV42" s="351">
        <f>BV36</f>
        <v>9445</v>
      </c>
      <c r="BX42" s="351">
        <f>BX36</f>
        <v>4828</v>
      </c>
      <c r="BY42" s="351">
        <f>BY36</f>
        <v>4868</v>
      </c>
      <c r="BZ42" s="351">
        <f>BZ36</f>
        <v>9696</v>
      </c>
      <c r="CB42" s="351">
        <f>CB36</f>
        <v>4598</v>
      </c>
      <c r="CC42" s="351">
        <f>CC36</f>
        <v>4317</v>
      </c>
      <c r="CD42" s="351">
        <f>CD36</f>
        <v>8915</v>
      </c>
      <c r="CF42" s="351">
        <f>CF36</f>
        <v>4550</v>
      </c>
      <c r="CG42" s="351">
        <f>CG36</f>
        <v>3671</v>
      </c>
      <c r="CH42" s="351">
        <f>CH36</f>
        <v>8221</v>
      </c>
      <c r="CJ42" s="351">
        <f>CJ36</f>
        <v>4320</v>
      </c>
      <c r="CK42" s="351">
        <f>CK36</f>
        <v>2905</v>
      </c>
      <c r="CL42" s="351">
        <f>CL36</f>
        <v>7225</v>
      </c>
      <c r="CN42" s="351">
        <f>CN36</f>
        <v>3868</v>
      </c>
      <c r="CO42" s="351">
        <f>CO36</f>
        <v>4785</v>
      </c>
      <c r="CP42" s="351">
        <f>CP36</f>
        <v>8653</v>
      </c>
      <c r="CR42" s="351">
        <f>CR36</f>
        <v>4746</v>
      </c>
      <c r="CS42" s="351">
        <f>CS36</f>
        <v>4849</v>
      </c>
      <c r="CT42" s="351">
        <f>CT36</f>
        <v>9595</v>
      </c>
      <c r="CV42" s="351">
        <f>CV36</f>
        <v>5180</v>
      </c>
      <c r="CW42" s="351">
        <f>CW36</f>
        <v>4892</v>
      </c>
      <c r="CX42" s="351">
        <f>CX36</f>
        <v>10072</v>
      </c>
      <c r="CZ42" s="351">
        <f>CZ36</f>
        <v>5019</v>
      </c>
      <c r="DA42" s="351">
        <f>DA36</f>
        <v>4817</v>
      </c>
      <c r="DB42" s="351">
        <f>DB36</f>
        <v>9836</v>
      </c>
      <c r="DD42" s="351">
        <f>DD36</f>
        <v>5132</v>
      </c>
      <c r="DE42" s="351">
        <f>DE36</f>
        <v>5120</v>
      </c>
      <c r="DF42" s="351">
        <f>DF36</f>
        <v>10252</v>
      </c>
      <c r="DH42" s="351">
        <f>DH36</f>
        <v>5445</v>
      </c>
      <c r="DI42" s="351">
        <f>DI36</f>
        <v>5624.6533908786996</v>
      </c>
      <c r="DJ42" s="351">
        <f>DJ36</f>
        <v>11069.653390878699</v>
      </c>
      <c r="DL42" s="351">
        <f>DL36</f>
        <v>5925.752202661316</v>
      </c>
      <c r="DM42" s="351">
        <f>DM36</f>
        <v>5875.5559828987753</v>
      </c>
      <c r="DN42" s="351">
        <f>DN36</f>
        <v>11801.308185560092</v>
      </c>
      <c r="DP42" s="351">
        <f>DP36</f>
        <v>6138.004567935679</v>
      </c>
      <c r="DQ42" s="351">
        <f>DQ36</f>
        <v>6120.7022288395801</v>
      </c>
      <c r="DR42" s="351">
        <f>DR36</f>
        <v>12258.706796775259</v>
      </c>
      <c r="DT42" s="1"/>
      <c r="DU42" s="1"/>
      <c r="DV42" s="1"/>
      <c r="DW42" s="1"/>
      <c r="DX42" s="1"/>
      <c r="DY42" s="1"/>
      <c r="DZ42" s="1"/>
      <c r="EA42" s="1"/>
      <c r="EB42" s="1"/>
      <c r="EC42" s="1"/>
      <c r="ED42" s="1"/>
      <c r="EE42" s="1"/>
      <c r="EF42" s="1"/>
      <c r="EG42" s="1"/>
      <c r="EH42" s="1"/>
      <c r="EI42" s="1"/>
      <c r="EJ42" s="1"/>
      <c r="EK42" s="1"/>
      <c r="EL42" s="1"/>
      <c r="EM42" s="1"/>
      <c r="EN42" s="1"/>
      <c r="EO42" s="1"/>
      <c r="EP42" s="1"/>
      <c r="EQ42" s="1"/>
      <c r="ER42" s="1"/>
      <c r="ES42" s="1"/>
      <c r="ET42" s="1"/>
      <c r="EU42" s="1"/>
      <c r="EV42" s="1"/>
      <c r="EW42" s="1"/>
      <c r="EX42" s="1"/>
      <c r="EY42" s="1"/>
      <c r="EZ42" s="1"/>
      <c r="FA42" s="1"/>
      <c r="FB42" s="1"/>
      <c r="FC42" s="1"/>
      <c r="FD42" s="1"/>
      <c r="FE42" s="1"/>
      <c r="FF42" s="1"/>
      <c r="FG42" s="1"/>
      <c r="FH42" s="1"/>
      <c r="FI42" s="1"/>
      <c r="FJ42" s="1"/>
      <c r="FK42" s="1"/>
      <c r="FL42" s="1"/>
      <c r="FM42" s="1"/>
      <c r="FN42" s="1"/>
      <c r="FO42" s="1"/>
      <c r="FP42" s="1"/>
      <c r="FQ42" s="1"/>
      <c r="FR42" s="1"/>
      <c r="FS42" s="1"/>
      <c r="FT42" s="1"/>
      <c r="FU42" s="1"/>
      <c r="FV42" s="1"/>
      <c r="FW42" s="1"/>
      <c r="FX42" s="1"/>
      <c r="FY42" s="1"/>
      <c r="FZ42" s="1"/>
      <c r="GA42" s="1"/>
      <c r="GB42" s="1"/>
      <c r="GC42" s="1"/>
      <c r="GD42" s="1"/>
      <c r="GE42" s="1"/>
      <c r="GF42" s="1"/>
      <c r="GG42" s="1"/>
      <c r="GH42" s="1"/>
      <c r="GI42" s="1"/>
      <c r="GJ42" s="1"/>
      <c r="GK42" s="1"/>
      <c r="GL42" s="1"/>
      <c r="GM42" s="1"/>
      <c r="GN42" s="1"/>
      <c r="GO42" s="1"/>
      <c r="GP42" s="1"/>
      <c r="GQ42" s="1"/>
      <c r="GR42" s="1"/>
      <c r="GS42" s="1"/>
      <c r="GT42" s="1"/>
      <c r="GU42" s="1"/>
      <c r="GV42" s="1"/>
      <c r="GW42" s="1"/>
      <c r="GX42" s="1"/>
      <c r="GY42" s="1"/>
      <c r="GZ42" s="1"/>
      <c r="HA42" s="1"/>
      <c r="HB42" s="1"/>
      <c r="HC42" s="1"/>
      <c r="HD42" s="1"/>
      <c r="HE42" s="1"/>
      <c r="HF42" s="1"/>
      <c r="HG42" s="1"/>
      <c r="HH42" s="1"/>
      <c r="HI42" s="1"/>
      <c r="HJ42" s="1"/>
      <c r="HK42" s="1"/>
      <c r="HL42" s="1"/>
      <c r="HM42" s="1"/>
      <c r="HN42" s="1"/>
      <c r="HO42" s="1"/>
      <c r="HP42" s="1"/>
      <c r="HQ42" s="1"/>
      <c r="HR42" s="1"/>
      <c r="HS42" s="1"/>
      <c r="HT42" s="1"/>
      <c r="HU42" s="1"/>
      <c r="HV42" s="1"/>
      <c r="HW42" s="1"/>
      <c r="HX42" s="1"/>
      <c r="HY42" s="1"/>
      <c r="HZ42" s="1"/>
      <c r="IA42" s="1"/>
      <c r="IB42" s="1"/>
      <c r="IC42" s="1"/>
      <c r="ID42" s="1"/>
      <c r="IE42" s="1"/>
      <c r="IF42" s="1"/>
      <c r="IG42" s="1"/>
      <c r="IH42" s="1"/>
      <c r="II42" s="1"/>
      <c r="IJ42" s="1"/>
      <c r="IK42" s="1"/>
      <c r="IL42" s="1"/>
      <c r="IM42" s="1"/>
      <c r="IN42" s="1"/>
      <c r="IO42" s="1"/>
      <c r="IP42" s="1"/>
      <c r="IQ42" s="1"/>
      <c r="IR42" s="1"/>
      <c r="IS42" s="1"/>
      <c r="IT42" s="1"/>
      <c r="IU42" s="1"/>
      <c r="IV42" s="1"/>
      <c r="IW42" s="1"/>
      <c r="IX42" s="1"/>
      <c r="IY42" s="1"/>
      <c r="IZ42" s="1"/>
      <c r="JA42" s="1"/>
      <c r="JB42" s="1"/>
      <c r="JC42" s="1"/>
      <c r="JD42" s="1"/>
    </row>
    <row r="43" spans="1:264" s="347" customFormat="1" x14ac:dyDescent="0.2">
      <c r="A43" s="391" t="s">
        <v>231</v>
      </c>
      <c r="B43" s="348"/>
      <c r="BH43" s="398">
        <v>-20</v>
      </c>
      <c r="BI43" s="398">
        <v>-20</v>
      </c>
      <c r="BJ43" s="351">
        <f>+BH43+BI43</f>
        <v>-40</v>
      </c>
      <c r="BK43" s="348"/>
      <c r="BL43" s="398">
        <v>-23</v>
      </c>
      <c r="BM43" s="398">
        <v>-22</v>
      </c>
      <c r="BN43" s="351">
        <f>+BL43+BM43</f>
        <v>-45</v>
      </c>
      <c r="BO43" s="348"/>
      <c r="BP43" s="398">
        <v>-24</v>
      </c>
      <c r="BQ43" s="398">
        <v>-28</v>
      </c>
      <c r="BR43" s="351">
        <f>+BP43+BQ43</f>
        <v>-52</v>
      </c>
      <c r="BT43" s="398">
        <v>-32</v>
      </c>
      <c r="BU43" s="398">
        <v>-18</v>
      </c>
      <c r="BV43" s="351">
        <f>+BT43+BU43</f>
        <v>-50</v>
      </c>
      <c r="BX43" s="398">
        <v>0</v>
      </c>
      <c r="BY43" s="398">
        <v>0</v>
      </c>
      <c r="BZ43" s="351">
        <f>+BX43+BY43</f>
        <v>0</v>
      </c>
      <c r="CB43" s="398">
        <v>0</v>
      </c>
      <c r="CC43" s="398">
        <v>0</v>
      </c>
      <c r="CD43" s="351">
        <f>+CB43+CC43</f>
        <v>0</v>
      </c>
      <c r="CF43" s="398">
        <v>0</v>
      </c>
      <c r="CG43" s="398">
        <v>0</v>
      </c>
      <c r="CH43" s="351">
        <f>+CF43+CG43</f>
        <v>0</v>
      </c>
      <c r="CJ43" s="398">
        <v>0</v>
      </c>
      <c r="CK43" s="398">
        <v>0</v>
      </c>
      <c r="CL43" s="351">
        <f>+CJ43+CK43</f>
        <v>0</v>
      </c>
      <c r="CN43" s="398">
        <v>0</v>
      </c>
      <c r="CO43" s="398">
        <v>0</v>
      </c>
      <c r="CP43" s="351">
        <f>+CN43+CO43</f>
        <v>0</v>
      </c>
      <c r="CR43" s="398">
        <v>0</v>
      </c>
      <c r="CS43" s="398">
        <v>0</v>
      </c>
      <c r="CT43" s="351">
        <f>+CR43+CS43</f>
        <v>0</v>
      </c>
      <c r="CV43" s="398">
        <v>0</v>
      </c>
      <c r="CW43" s="398">
        <v>0</v>
      </c>
      <c r="CX43" s="351">
        <f>+CV43+CW43</f>
        <v>0</v>
      </c>
      <c r="CZ43" s="398">
        <v>0</v>
      </c>
      <c r="DA43" s="398">
        <v>0</v>
      </c>
      <c r="DB43" s="351">
        <f>+CZ43+DA43</f>
        <v>0</v>
      </c>
      <c r="DD43" s="398">
        <v>0</v>
      </c>
      <c r="DE43" s="398">
        <v>0</v>
      </c>
      <c r="DF43" s="351">
        <f>+DD43+DE43</f>
        <v>0</v>
      </c>
      <c r="DH43" s="398">
        <v>0</v>
      </c>
      <c r="DI43" s="351">
        <f>DI927</f>
        <v>0</v>
      </c>
      <c r="DJ43" s="351">
        <f>+DH43+DI43</f>
        <v>0</v>
      </c>
      <c r="DL43" s="351">
        <f>DL927</f>
        <v>0</v>
      </c>
      <c r="DM43" s="351">
        <f>DM927</f>
        <v>0</v>
      </c>
      <c r="DN43" s="351">
        <f>+DL43+DM43</f>
        <v>0</v>
      </c>
      <c r="DP43" s="351">
        <f>DP927</f>
        <v>0</v>
      </c>
      <c r="DQ43" s="351">
        <f>DQ927</f>
        <v>0</v>
      </c>
      <c r="DR43" s="351">
        <f>+DP43+DQ43</f>
        <v>0</v>
      </c>
      <c r="DT43" s="1"/>
      <c r="DU43" s="1"/>
      <c r="DV43" s="1"/>
      <c r="DW43" s="1"/>
      <c r="DX43" s="1"/>
      <c r="DY43" s="1"/>
      <c r="DZ43" s="1"/>
      <c r="EA43" s="1"/>
      <c r="EB43" s="1"/>
      <c r="EC43" s="1"/>
      <c r="ED43" s="1"/>
      <c r="EE43" s="1"/>
      <c r="EF43" s="1"/>
      <c r="EG43" s="1"/>
      <c r="EH43" s="1"/>
      <c r="EI43" s="1"/>
      <c r="EJ43" s="1"/>
      <c r="EK43" s="1"/>
      <c r="EL43" s="1"/>
      <c r="EM43" s="1"/>
      <c r="EN43" s="1"/>
      <c r="EO43" s="1"/>
      <c r="EP43" s="1"/>
      <c r="EQ43" s="1"/>
      <c r="ER43" s="1"/>
      <c r="ES43" s="1"/>
      <c r="ET43" s="1"/>
      <c r="EU43" s="1"/>
      <c r="EV43" s="1"/>
      <c r="EW43" s="1"/>
      <c r="EX43" s="1"/>
      <c r="EY43" s="1"/>
      <c r="EZ43" s="1"/>
      <c r="FA43" s="1"/>
      <c r="FB43" s="1"/>
      <c r="FC43" s="1"/>
      <c r="FD43" s="1"/>
      <c r="FE43" s="1"/>
      <c r="FF43" s="1"/>
      <c r="FG43" s="1"/>
      <c r="FH43" s="1"/>
      <c r="FI43" s="1"/>
      <c r="FJ43" s="1"/>
      <c r="FK43" s="1"/>
      <c r="FL43" s="1"/>
      <c r="FM43" s="1"/>
      <c r="FN43" s="1"/>
      <c r="FO43" s="1"/>
      <c r="FP43" s="1"/>
      <c r="FQ43" s="1"/>
      <c r="FR43" s="1"/>
      <c r="FS43" s="1"/>
      <c r="FT43" s="1"/>
      <c r="FU43" s="1"/>
      <c r="FV43" s="1"/>
      <c r="FW43" s="1"/>
      <c r="FX43" s="1"/>
      <c r="FY43" s="1"/>
      <c r="FZ43" s="1"/>
      <c r="GA43" s="1"/>
      <c r="GB43" s="1"/>
      <c r="GC43" s="1"/>
      <c r="GD43" s="1"/>
      <c r="GE43" s="1"/>
      <c r="GF43" s="1"/>
      <c r="GG43" s="1"/>
      <c r="GH43" s="1"/>
      <c r="GI43" s="1"/>
      <c r="GJ43" s="1"/>
      <c r="GK43" s="1"/>
      <c r="GL43" s="1"/>
      <c r="GM43" s="1"/>
      <c r="GN43" s="1"/>
      <c r="GO43" s="1"/>
      <c r="GP43" s="1"/>
      <c r="GQ43" s="1"/>
      <c r="GR43" s="1"/>
      <c r="GS43" s="1"/>
      <c r="GT43" s="1"/>
      <c r="GU43" s="1"/>
      <c r="GV43" s="1"/>
      <c r="GW43" s="1"/>
      <c r="GX43" s="1"/>
      <c r="GY43" s="1"/>
      <c r="GZ43" s="1"/>
      <c r="HA43" s="1"/>
      <c r="HB43" s="1"/>
      <c r="HC43" s="1"/>
      <c r="HD43" s="1"/>
      <c r="HE43" s="1"/>
      <c r="HF43" s="1"/>
      <c r="HG43" s="1"/>
      <c r="HH43" s="1"/>
      <c r="HI43" s="1"/>
      <c r="HJ43" s="1"/>
      <c r="HK43" s="1"/>
      <c r="HL43" s="1"/>
      <c r="HM43" s="1"/>
      <c r="HN43" s="1"/>
      <c r="HO43" s="1"/>
      <c r="HP43" s="1"/>
      <c r="HQ43" s="1"/>
      <c r="HR43" s="1"/>
      <c r="HS43" s="1"/>
      <c r="HT43" s="1"/>
      <c r="HU43" s="1"/>
      <c r="HV43" s="1"/>
      <c r="HW43" s="1"/>
      <c r="HX43" s="1"/>
      <c r="HY43" s="1"/>
      <c r="HZ43" s="1"/>
      <c r="IA43" s="1"/>
      <c r="IB43" s="1"/>
      <c r="IC43" s="1"/>
      <c r="ID43" s="1"/>
      <c r="IE43" s="1"/>
      <c r="IF43" s="1"/>
      <c r="IG43" s="1"/>
      <c r="IH43" s="1"/>
      <c r="II43" s="1"/>
      <c r="IJ43" s="1"/>
      <c r="IK43" s="1"/>
      <c r="IL43" s="1"/>
      <c r="IM43" s="1"/>
      <c r="IN43" s="1"/>
      <c r="IO43" s="1"/>
      <c r="IP43" s="1"/>
      <c r="IQ43" s="1"/>
      <c r="IR43" s="1"/>
      <c r="IS43" s="1"/>
      <c r="IT43" s="1"/>
      <c r="IU43" s="1"/>
      <c r="IV43" s="1"/>
      <c r="IW43" s="1"/>
      <c r="IX43" s="1"/>
      <c r="IY43" s="1"/>
      <c r="IZ43" s="1"/>
      <c r="JA43" s="1"/>
      <c r="JB43" s="1"/>
      <c r="JC43" s="1"/>
      <c r="JD43" s="1"/>
    </row>
    <row r="44" spans="1:264" s="347" customFormat="1" x14ac:dyDescent="0.2">
      <c r="A44" s="411" t="s">
        <v>232</v>
      </c>
      <c r="B44" s="348"/>
      <c r="BH44" s="397">
        <f>SUM(BH42:BH43)</f>
        <v>3730</v>
      </c>
      <c r="BI44" s="397">
        <f>SUM(BI42:BI43)</f>
        <v>3990</v>
      </c>
      <c r="BJ44" s="397">
        <f>SUM(BJ42:BJ43)</f>
        <v>7720</v>
      </c>
      <c r="BK44" s="348"/>
      <c r="BL44" s="397">
        <f>SUM(BL42:BL43)</f>
        <v>4245</v>
      </c>
      <c r="BM44" s="397">
        <f>SUM(BM42:BM43)</f>
        <v>4390</v>
      </c>
      <c r="BN44" s="397">
        <f>SUM(BN42:BN43)</f>
        <v>8635</v>
      </c>
      <c r="BO44" s="348"/>
      <c r="BP44" s="397">
        <f>SUM(BP42:BP43)</f>
        <v>4595</v>
      </c>
      <c r="BQ44" s="397">
        <f>SUM(BQ42:BQ43)</f>
        <v>4490</v>
      </c>
      <c r="BR44" s="397">
        <f>SUM(BR42:BR43)</f>
        <v>9085</v>
      </c>
      <c r="BT44" s="397">
        <f>SUM(BT42:BT43)</f>
        <v>4776</v>
      </c>
      <c r="BU44" s="397">
        <f>SUM(BU42:BU43)</f>
        <v>4619</v>
      </c>
      <c r="BV44" s="397">
        <f>SUM(BV42:BV43)</f>
        <v>9395</v>
      </c>
      <c r="BX44" s="397">
        <f>SUM(BX42:BX43)</f>
        <v>4828</v>
      </c>
      <c r="BY44" s="397">
        <f>SUM(BY42:BY43)</f>
        <v>4868</v>
      </c>
      <c r="BZ44" s="397">
        <f>SUM(BZ42:BZ43)</f>
        <v>9696</v>
      </c>
      <c r="CB44" s="397">
        <f>SUM(CB42:CB43)</f>
        <v>4598</v>
      </c>
      <c r="CC44" s="397">
        <f>SUM(CC42:CC43)</f>
        <v>4317</v>
      </c>
      <c r="CD44" s="397">
        <f>SUM(CD42:CD43)</f>
        <v>8915</v>
      </c>
      <c r="CF44" s="397">
        <f>SUM(CF42:CF43)</f>
        <v>4550</v>
      </c>
      <c r="CG44" s="397">
        <f>SUM(CG42:CG43)</f>
        <v>3671</v>
      </c>
      <c r="CH44" s="397">
        <f>SUM(CH42:CH43)</f>
        <v>8221</v>
      </c>
      <c r="CJ44" s="397">
        <f>SUM(CJ42:CJ43)</f>
        <v>4320</v>
      </c>
      <c r="CK44" s="397">
        <f>SUM(CK42:CK43)</f>
        <v>2905</v>
      </c>
      <c r="CL44" s="397">
        <f>SUM(CL42:CL43)</f>
        <v>7225</v>
      </c>
      <c r="CN44" s="397">
        <f>SUM(CN42:CN43)</f>
        <v>3868</v>
      </c>
      <c r="CO44" s="397">
        <f>SUM(CO42:CO43)</f>
        <v>4785</v>
      </c>
      <c r="CP44" s="397">
        <f>SUM(CP42:CP43)</f>
        <v>8653</v>
      </c>
      <c r="CR44" s="397">
        <f>SUM(CR42:CR43)</f>
        <v>4746</v>
      </c>
      <c r="CS44" s="397">
        <f>SUM(CS42:CS43)</f>
        <v>4849</v>
      </c>
      <c r="CT44" s="397">
        <f>SUM(CT42:CT43)</f>
        <v>9595</v>
      </c>
      <c r="CV44" s="397">
        <f>SUM(CV42:CV43)</f>
        <v>5180</v>
      </c>
      <c r="CW44" s="397">
        <f>SUM(CW42:CW43)</f>
        <v>4892</v>
      </c>
      <c r="CX44" s="397">
        <f>SUM(CX42:CX43)</f>
        <v>10072</v>
      </c>
      <c r="CZ44" s="397">
        <f>SUM(CZ42:CZ43)</f>
        <v>5019</v>
      </c>
      <c r="DA44" s="397">
        <f>SUM(DA42:DA43)</f>
        <v>4817</v>
      </c>
      <c r="DB44" s="397">
        <f>SUM(DB42:DB43)</f>
        <v>9836</v>
      </c>
      <c r="DD44" s="397">
        <f>SUM(DD42:DD43)</f>
        <v>5132</v>
      </c>
      <c r="DE44" s="397">
        <f>SUM(DE42:DE43)</f>
        <v>5120</v>
      </c>
      <c r="DF44" s="397">
        <f>SUM(DF42:DF43)</f>
        <v>10252</v>
      </c>
      <c r="DH44" s="397">
        <f>SUM(DH42:DH43)</f>
        <v>5445</v>
      </c>
      <c r="DI44" s="397">
        <f>SUM(DI42:DI43)</f>
        <v>5624.6533908786996</v>
      </c>
      <c r="DJ44" s="397">
        <f>SUM(DJ42:DJ43)</f>
        <v>11069.653390878699</v>
      </c>
      <c r="DL44" s="397">
        <f>SUM(DL42:DL43)</f>
        <v>5925.752202661316</v>
      </c>
      <c r="DM44" s="397">
        <f>SUM(DM42:DM43)</f>
        <v>5875.5559828987753</v>
      </c>
      <c r="DN44" s="397">
        <f>SUM(DN42:DN43)</f>
        <v>11801.308185560092</v>
      </c>
      <c r="DP44" s="397">
        <f>SUM(DP42:DP43)</f>
        <v>6138.004567935679</v>
      </c>
      <c r="DQ44" s="397">
        <f>SUM(DQ42:DQ43)</f>
        <v>6120.7022288395801</v>
      </c>
      <c r="DR44" s="397">
        <f>SUM(DR42:DR43)</f>
        <v>12258.706796775259</v>
      </c>
      <c r="DT44" s="1"/>
      <c r="DU44" s="1"/>
      <c r="DV44" s="1"/>
      <c r="DW44" s="1"/>
      <c r="DX44" s="1"/>
      <c r="DY44" s="1"/>
      <c r="DZ44" s="1"/>
      <c r="EA44" s="1"/>
      <c r="EB44" s="1"/>
      <c r="EC44" s="1"/>
      <c r="ED44" s="1"/>
      <c r="EE44" s="1"/>
      <c r="EF44" s="1"/>
      <c r="EG44" s="1"/>
      <c r="EH44" s="1"/>
      <c r="EI44" s="1"/>
      <c r="EJ44" s="1"/>
      <c r="EK44" s="1"/>
      <c r="EL44" s="1"/>
      <c r="EM44" s="1"/>
      <c r="EN44" s="1"/>
      <c r="EO44" s="1"/>
      <c r="EP44" s="1"/>
      <c r="EQ44" s="1"/>
      <c r="ER44" s="1"/>
      <c r="ES44" s="1"/>
      <c r="ET44" s="1"/>
      <c r="EU44" s="1"/>
      <c r="EV44" s="1"/>
      <c r="EW44" s="1"/>
      <c r="EX44" s="1"/>
      <c r="EY44" s="1"/>
      <c r="EZ44" s="1"/>
      <c r="FA44" s="1"/>
      <c r="FB44" s="1"/>
      <c r="FC44" s="1"/>
      <c r="FD44" s="1"/>
      <c r="FE44" s="1"/>
      <c r="FF44" s="1"/>
      <c r="FG44" s="1"/>
      <c r="FH44" s="1"/>
      <c r="FI44" s="1"/>
      <c r="FJ44" s="1"/>
      <c r="FK44" s="1"/>
      <c r="FL44" s="1"/>
      <c r="FM44" s="1"/>
      <c r="FN44" s="1"/>
      <c r="FO44" s="1"/>
      <c r="FP44" s="1"/>
      <c r="FQ44" s="1"/>
      <c r="FR44" s="1"/>
      <c r="FS44" s="1"/>
      <c r="FT44" s="1"/>
      <c r="FU44" s="1"/>
      <c r="FV44" s="1"/>
      <c r="FW44" s="1"/>
      <c r="FX44" s="1"/>
      <c r="FY44" s="1"/>
      <c r="FZ44" s="1"/>
      <c r="GA44" s="1"/>
      <c r="GB44" s="1"/>
      <c r="GC44" s="1"/>
      <c r="GD44" s="1"/>
      <c r="GE44" s="1"/>
      <c r="GF44" s="1"/>
      <c r="GG44" s="1"/>
      <c r="GH44" s="1"/>
      <c r="GI44" s="1"/>
      <c r="GJ44" s="1"/>
      <c r="GK44" s="1"/>
      <c r="GL44" s="1"/>
      <c r="GM44" s="1"/>
      <c r="GN44" s="1"/>
      <c r="GO44" s="1"/>
      <c r="GP44" s="1"/>
      <c r="GQ44" s="1"/>
      <c r="GR44" s="1"/>
      <c r="GS44" s="1"/>
      <c r="GT44" s="1"/>
      <c r="GU44" s="1"/>
      <c r="GV44" s="1"/>
      <c r="GW44" s="1"/>
      <c r="GX44" s="1"/>
      <c r="GY44" s="1"/>
      <c r="GZ44" s="1"/>
      <c r="HA44" s="1"/>
      <c r="HB44" s="1"/>
      <c r="HC44" s="1"/>
      <c r="HD44" s="1"/>
      <c r="HE44" s="1"/>
      <c r="HF44" s="1"/>
      <c r="HG44" s="1"/>
      <c r="HH44" s="1"/>
      <c r="HI44" s="1"/>
      <c r="HJ44" s="1"/>
      <c r="HK44" s="1"/>
      <c r="HL44" s="1"/>
      <c r="HM44" s="1"/>
      <c r="HN44" s="1"/>
      <c r="HO44" s="1"/>
      <c r="HP44" s="1"/>
      <c r="HQ44" s="1"/>
      <c r="HR44" s="1"/>
      <c r="HS44" s="1"/>
      <c r="HT44" s="1"/>
      <c r="HU44" s="1"/>
      <c r="HV44" s="1"/>
      <c r="HW44" s="1"/>
      <c r="HX44" s="1"/>
      <c r="HY44" s="1"/>
      <c r="HZ44" s="1"/>
      <c r="IA44" s="1"/>
      <c r="IB44" s="1"/>
      <c r="IC44" s="1"/>
      <c r="ID44" s="1"/>
      <c r="IE44" s="1"/>
      <c r="IF44" s="1"/>
      <c r="IG44" s="1"/>
      <c r="IH44" s="1"/>
      <c r="II44" s="1"/>
      <c r="IJ44" s="1"/>
      <c r="IK44" s="1"/>
      <c r="IL44" s="1"/>
      <c r="IM44" s="1"/>
      <c r="IN44" s="1"/>
      <c r="IO44" s="1"/>
      <c r="IP44" s="1"/>
      <c r="IQ44" s="1"/>
      <c r="IR44" s="1"/>
      <c r="IS44" s="1"/>
      <c r="IT44" s="1"/>
      <c r="IU44" s="1"/>
      <c r="IV44" s="1"/>
      <c r="IW44" s="1"/>
      <c r="IX44" s="1"/>
      <c r="IY44" s="1"/>
      <c r="IZ44" s="1"/>
      <c r="JA44" s="1"/>
      <c r="JB44" s="1"/>
      <c r="JC44" s="1"/>
      <c r="JD44" s="1"/>
    </row>
    <row r="45" spans="1:264" s="347" customFormat="1" x14ac:dyDescent="0.2">
      <c r="B45" s="348"/>
      <c r="BH45" s="348"/>
      <c r="BI45" s="348"/>
      <c r="BJ45" s="348"/>
      <c r="BK45" s="348"/>
      <c r="BL45" s="348"/>
      <c r="BM45" s="348"/>
      <c r="BN45" s="348"/>
      <c r="BO45" s="348"/>
      <c r="BP45" s="348"/>
      <c r="BQ45" s="348"/>
      <c r="BR45" s="348"/>
      <c r="BT45" s="348"/>
      <c r="BU45" s="348"/>
      <c r="BV45" s="348"/>
      <c r="BX45" s="348"/>
      <c r="CB45" s="348"/>
      <c r="CF45" s="348"/>
      <c r="CJ45" s="348"/>
      <c r="CN45" s="348"/>
      <c r="CR45" s="348"/>
      <c r="CV45" s="348"/>
      <c r="CZ45" s="348"/>
      <c r="DD45" s="348"/>
      <c r="DH45" s="348"/>
      <c r="DL45" s="348"/>
      <c r="DP45" s="348"/>
      <c r="DT45" s="1"/>
      <c r="DU45" s="1"/>
      <c r="DV45" s="1"/>
      <c r="DW45" s="1"/>
      <c r="DX45" s="1"/>
      <c r="DY45" s="1"/>
      <c r="DZ45" s="1"/>
      <c r="EA45" s="1"/>
      <c r="EB45" s="1"/>
      <c r="EC45" s="1"/>
      <c r="ED45" s="1"/>
      <c r="EE45" s="1"/>
      <c r="EF45" s="1"/>
      <c r="EG45" s="1"/>
      <c r="EH45" s="1"/>
      <c r="EI45" s="1"/>
      <c r="EJ45" s="1"/>
      <c r="EK45" s="1"/>
      <c r="EL45" s="1"/>
      <c r="EM45" s="1"/>
      <c r="EN45" s="1"/>
      <c r="EO45" s="1"/>
      <c r="EP45" s="1"/>
      <c r="EQ45" s="1"/>
      <c r="ER45" s="1"/>
      <c r="ES45" s="1"/>
      <c r="ET45" s="1"/>
      <c r="EU45" s="1"/>
      <c r="EV45" s="1"/>
      <c r="EW45" s="1"/>
      <c r="EX45" s="1"/>
      <c r="EY45" s="1"/>
      <c r="EZ45" s="1"/>
      <c r="FA45" s="1"/>
      <c r="FB45" s="1"/>
      <c r="FC45" s="1"/>
      <c r="FD45" s="1"/>
      <c r="FE45" s="1"/>
      <c r="FF45" s="1"/>
      <c r="FG45" s="1"/>
      <c r="FH45" s="1"/>
      <c r="FI45" s="1"/>
      <c r="FJ45" s="1"/>
      <c r="FK45" s="1"/>
      <c r="FL45" s="1"/>
      <c r="FM45" s="1"/>
      <c r="FN45" s="1"/>
      <c r="FO45" s="1"/>
      <c r="FP45" s="1"/>
      <c r="FQ45" s="1"/>
      <c r="FR45" s="1"/>
      <c r="FS45" s="1"/>
      <c r="FT45" s="1"/>
      <c r="FU45" s="1"/>
      <c r="FV45" s="1"/>
      <c r="FW45" s="1"/>
      <c r="FX45" s="1"/>
      <c r="FY45" s="1"/>
      <c r="FZ45" s="1"/>
      <c r="GA45" s="1"/>
      <c r="GB45" s="1"/>
      <c r="GC45" s="1"/>
      <c r="GD45" s="1"/>
      <c r="GE45" s="1"/>
      <c r="GF45" s="1"/>
      <c r="GG45" s="1"/>
      <c r="GH45" s="1"/>
      <c r="GI45" s="1"/>
      <c r="GJ45" s="1"/>
      <c r="GK45" s="1"/>
      <c r="GL45" s="1"/>
      <c r="GM45" s="1"/>
      <c r="GN45" s="1"/>
      <c r="GO45" s="1"/>
      <c r="GP45" s="1"/>
      <c r="GQ45" s="1"/>
      <c r="GR45" s="1"/>
      <c r="GS45" s="1"/>
      <c r="GT45" s="1"/>
      <c r="GU45" s="1"/>
      <c r="GV45" s="1"/>
      <c r="GW45" s="1"/>
      <c r="GX45" s="1"/>
      <c r="GY45" s="1"/>
      <c r="GZ45" s="1"/>
      <c r="HA45" s="1"/>
      <c r="HB45" s="1"/>
      <c r="HC45" s="1"/>
      <c r="HD45" s="1"/>
      <c r="HE45" s="1"/>
      <c r="HF45" s="1"/>
      <c r="HG45" s="1"/>
      <c r="HH45" s="1"/>
      <c r="HI45" s="1"/>
      <c r="HJ45" s="1"/>
      <c r="HK45" s="1"/>
      <c r="HL45" s="1"/>
      <c r="HM45" s="1"/>
      <c r="HN45" s="1"/>
      <c r="HO45" s="1"/>
      <c r="HP45" s="1"/>
      <c r="HQ45" s="1"/>
      <c r="HR45" s="1"/>
      <c r="HS45" s="1"/>
      <c r="HT45" s="1"/>
      <c r="HU45" s="1"/>
      <c r="HV45" s="1"/>
      <c r="HW45" s="1"/>
      <c r="HX45" s="1"/>
      <c r="HY45" s="1"/>
      <c r="HZ45" s="1"/>
      <c r="IA45" s="1"/>
      <c r="IB45" s="1"/>
      <c r="IC45" s="1"/>
      <c r="ID45" s="1"/>
      <c r="IE45" s="1"/>
      <c r="IF45" s="1"/>
      <c r="IG45" s="1"/>
      <c r="IH45" s="1"/>
      <c r="II45" s="1"/>
      <c r="IJ45" s="1"/>
      <c r="IK45" s="1"/>
      <c r="IL45" s="1"/>
      <c r="IM45" s="1"/>
      <c r="IN45" s="1"/>
      <c r="IO45" s="1"/>
      <c r="IP45" s="1"/>
      <c r="IQ45" s="1"/>
      <c r="IR45" s="1"/>
      <c r="IS45" s="1"/>
      <c r="IT45" s="1"/>
      <c r="IU45" s="1"/>
      <c r="IV45" s="1"/>
      <c r="IW45" s="1"/>
      <c r="IX45" s="1"/>
      <c r="IY45" s="1"/>
      <c r="IZ45" s="1"/>
      <c r="JA45" s="1"/>
      <c r="JB45" s="1"/>
      <c r="JC45" s="1"/>
      <c r="JD45" s="1"/>
    </row>
    <row r="46" spans="1:264" s="347" customFormat="1" x14ac:dyDescent="0.2">
      <c r="A46" s="424" t="s">
        <v>233</v>
      </c>
      <c r="B46" s="348"/>
      <c r="BH46" s="348"/>
      <c r="BI46" s="348"/>
      <c r="BJ46" s="348"/>
      <c r="BK46" s="348"/>
      <c r="BL46" s="348"/>
      <c r="BM46" s="348"/>
      <c r="BN46" s="348"/>
      <c r="BO46" s="348"/>
      <c r="BP46" s="348"/>
      <c r="BQ46" s="348"/>
      <c r="BR46" s="348"/>
      <c r="BT46" s="348"/>
      <c r="BU46" s="348"/>
      <c r="BV46" s="348"/>
      <c r="BX46" s="348"/>
      <c r="CB46" s="348"/>
      <c r="CF46" s="348"/>
      <c r="CJ46" s="348"/>
      <c r="CN46" s="348"/>
      <c r="CR46" s="348"/>
      <c r="CV46" s="348"/>
      <c r="CZ46" s="348"/>
      <c r="DD46" s="348"/>
      <c r="DH46" s="348"/>
      <c r="DL46" s="348"/>
      <c r="DP46" s="348"/>
      <c r="DT46" s="1"/>
      <c r="DU46" s="1"/>
      <c r="DV46" s="1"/>
      <c r="DW46" s="1"/>
      <c r="DX46" s="1"/>
      <c r="DY46" s="1"/>
      <c r="DZ46" s="1"/>
      <c r="EA46" s="1"/>
      <c r="EB46" s="1"/>
      <c r="EC46" s="1"/>
      <c r="ED46" s="1"/>
      <c r="EE46" s="1"/>
      <c r="EF46" s="1"/>
      <c r="EG46" s="1"/>
      <c r="EH46" s="1"/>
      <c r="EI46" s="1"/>
      <c r="EJ46" s="1"/>
      <c r="EK46" s="1"/>
      <c r="EL46" s="1"/>
      <c r="EM46" s="1"/>
      <c r="EN46" s="1"/>
      <c r="EO46" s="1"/>
      <c r="EP46" s="1"/>
      <c r="EQ46" s="1"/>
      <c r="ER46" s="1"/>
      <c r="ES46" s="1"/>
      <c r="ET46" s="1"/>
      <c r="EU46" s="1"/>
      <c r="EV46" s="1"/>
      <c r="EW46" s="1"/>
      <c r="EX46" s="1"/>
      <c r="EY46" s="1"/>
      <c r="EZ46" s="1"/>
      <c r="FA46" s="1"/>
      <c r="FB46" s="1"/>
      <c r="FC46" s="1"/>
      <c r="FD46" s="1"/>
      <c r="FE46" s="1"/>
      <c r="FF46" s="1"/>
      <c r="FG46" s="1"/>
      <c r="FH46" s="1"/>
      <c r="FI46" s="1"/>
      <c r="FJ46" s="1"/>
      <c r="FK46" s="1"/>
      <c r="FL46" s="1"/>
      <c r="FM46" s="1"/>
      <c r="FN46" s="1"/>
      <c r="FO46" s="1"/>
      <c r="FP46" s="1"/>
      <c r="FQ46" s="1"/>
      <c r="FR46" s="1"/>
      <c r="FS46" s="1"/>
      <c r="FT46" s="1"/>
      <c r="FU46" s="1"/>
      <c r="FV46" s="1"/>
      <c r="FW46" s="1"/>
      <c r="FX46" s="1"/>
      <c r="FY46" s="1"/>
      <c r="FZ46" s="1"/>
      <c r="GA46" s="1"/>
      <c r="GB46" s="1"/>
      <c r="GC46" s="1"/>
      <c r="GD46" s="1"/>
      <c r="GE46" s="1"/>
      <c r="GF46" s="1"/>
      <c r="GG46" s="1"/>
      <c r="GH46" s="1"/>
      <c r="GI46" s="1"/>
      <c r="GJ46" s="1"/>
      <c r="GK46" s="1"/>
      <c r="GL46" s="1"/>
      <c r="GM46" s="1"/>
      <c r="GN46" s="1"/>
      <c r="GO46" s="1"/>
      <c r="GP46" s="1"/>
      <c r="GQ46" s="1"/>
      <c r="GR46" s="1"/>
      <c r="GS46" s="1"/>
      <c r="GT46" s="1"/>
      <c r="GU46" s="1"/>
      <c r="GV46" s="1"/>
      <c r="GW46" s="1"/>
      <c r="GX46" s="1"/>
      <c r="GY46" s="1"/>
      <c r="GZ46" s="1"/>
      <c r="HA46" s="1"/>
      <c r="HB46" s="1"/>
      <c r="HC46" s="1"/>
      <c r="HD46" s="1"/>
      <c r="HE46" s="1"/>
      <c r="HF46" s="1"/>
      <c r="HG46" s="1"/>
      <c r="HH46" s="1"/>
      <c r="HI46" s="1"/>
      <c r="HJ46" s="1"/>
      <c r="HK46" s="1"/>
      <c r="HL46" s="1"/>
      <c r="HM46" s="1"/>
      <c r="HN46" s="1"/>
      <c r="HO46" s="1"/>
      <c r="HP46" s="1"/>
      <c r="HQ46" s="1"/>
      <c r="HR46" s="1"/>
      <c r="HS46" s="1"/>
      <c r="HT46" s="1"/>
      <c r="HU46" s="1"/>
      <c r="HV46" s="1"/>
      <c r="HW46" s="1"/>
      <c r="HX46" s="1"/>
      <c r="HY46" s="1"/>
      <c r="HZ46" s="1"/>
      <c r="IA46" s="1"/>
      <c r="IB46" s="1"/>
      <c r="IC46" s="1"/>
      <c r="ID46" s="1"/>
      <c r="IE46" s="1"/>
      <c r="IF46" s="1"/>
      <c r="IG46" s="1"/>
      <c r="IH46" s="1"/>
      <c r="II46" s="1"/>
      <c r="IJ46" s="1"/>
      <c r="IK46" s="1"/>
      <c r="IL46" s="1"/>
      <c r="IM46" s="1"/>
      <c r="IN46" s="1"/>
      <c r="IO46" s="1"/>
      <c r="IP46" s="1"/>
      <c r="IQ46" s="1"/>
      <c r="IR46" s="1"/>
      <c r="IS46" s="1"/>
      <c r="IT46" s="1"/>
      <c r="IU46" s="1"/>
      <c r="IV46" s="1"/>
      <c r="IW46" s="1"/>
      <c r="IX46" s="1"/>
      <c r="IY46" s="1"/>
      <c r="IZ46" s="1"/>
      <c r="JA46" s="1"/>
      <c r="JB46" s="1"/>
      <c r="JC46" s="1"/>
      <c r="JD46" s="1"/>
    </row>
    <row r="47" spans="1:264" s="347" customFormat="1" x14ac:dyDescent="0.2">
      <c r="A47" s="425" t="str">
        <f>A14</f>
        <v>Net Interest Income</v>
      </c>
      <c r="B47" s="348"/>
      <c r="BH47" s="393"/>
      <c r="BI47" s="393"/>
      <c r="BJ47" s="393"/>
      <c r="BK47" s="348"/>
      <c r="BL47" s="393">
        <f>BL14/BH14-1</f>
        <v>8.481492276304281E-2</v>
      </c>
      <c r="BM47" s="393">
        <f>BM14/BI14-1</f>
        <v>7.9779723242022094E-2</v>
      </c>
      <c r="BN47" s="393">
        <f>BN14/BJ14-1</f>
        <v>8.2257601835915128E-2</v>
      </c>
      <c r="BO47" s="348"/>
      <c r="BP47" s="393">
        <f>BP14/BL14-1</f>
        <v>6.1391724879097165E-2</v>
      </c>
      <c r="BQ47" s="393">
        <f>BQ14/BM14-1</f>
        <v>3.6484896037661807E-2</v>
      </c>
      <c r="BR47" s="393">
        <f>BR14/BN14-1</f>
        <v>4.8770790537406405E-2</v>
      </c>
      <c r="BT47" s="393">
        <f>BT14/BP14-1</f>
        <v>6.6573851411213747E-2</v>
      </c>
      <c r="BU47" s="393">
        <f>BU14/BQ14-1</f>
        <v>7.3429220287660968E-2</v>
      </c>
      <c r="BV47" s="393">
        <f>BV14/BR14-1</f>
        <v>7.0006950148480351E-2</v>
      </c>
      <c r="BX47" s="393">
        <f>BX14/BT14-1</f>
        <v>3.3582532336537296E-2</v>
      </c>
      <c r="BY47" s="393">
        <f>BY14/BU14-1</f>
        <v>3.8199341795956743E-2</v>
      </c>
      <c r="BZ47" s="393">
        <f>BZ14/BV14-1</f>
        <v>3.5901978151756664E-2</v>
      </c>
      <c r="CB47" s="393">
        <f>CB14/BX14-1</f>
        <v>6.2801377726750873E-2</v>
      </c>
      <c r="CC47" s="393">
        <f>CC14/BY14-1</f>
        <v>2.8529378467111899E-2</v>
      </c>
      <c r="CD47" s="393">
        <f>CD14/BZ14-1</f>
        <v>4.5545231716354051E-2</v>
      </c>
      <c r="CF47" s="393">
        <f>CF14/CB14-1</f>
        <v>-7.453818731770534E-3</v>
      </c>
      <c r="CG47" s="393">
        <f>CG14/CC14-1</f>
        <v>-5.3935057787561913E-3</v>
      </c>
      <c r="CH47" s="393">
        <f>CH14/CD14-1</f>
        <v>-6.4333224293969815E-3</v>
      </c>
      <c r="CJ47" s="393">
        <f>CJ14/CF14-1</f>
        <v>1.7631693513278091E-2</v>
      </c>
      <c r="CK47" s="393">
        <f>CK14/CG14-1</f>
        <v>2.4789729969012742E-2</v>
      </c>
      <c r="CL47" s="393">
        <f>CL14/CH14-1</f>
        <v>2.1180860403863022E-2</v>
      </c>
      <c r="CN47" s="393">
        <f>CN14/CJ14-1</f>
        <v>2.673796791443861E-2</v>
      </c>
      <c r="CO47" s="393">
        <f>CO14/CK14-1</f>
        <v>4.7732181425485853E-2</v>
      </c>
      <c r="CP47" s="393">
        <f>CP14/CL14-1</f>
        <v>3.718430951101559E-2</v>
      </c>
      <c r="CR47" s="393">
        <f>CR14/CN14-1</f>
        <v>1.5416666666666634E-2</v>
      </c>
      <c r="CS47" s="393">
        <f>CS14/CO14-1</f>
        <v>2.3706452277880707E-3</v>
      </c>
      <c r="CT47" s="393">
        <f>CT14/CP14-1</f>
        <v>8.85918557662424E-3</v>
      </c>
      <c r="CV47" s="393">
        <f>CV14/CR14-1</f>
        <v>0.193783340172343</v>
      </c>
      <c r="CW47" s="393">
        <f>CW14/CS14-1</f>
        <v>0.17419023136246792</v>
      </c>
      <c r="CX47" s="393">
        <f>CX14/CT14-1</f>
        <v>0.18399835669901909</v>
      </c>
      <c r="CZ47" s="393">
        <f>CZ14/CV14-1</f>
        <v>-2.0022342528142945E-2</v>
      </c>
      <c r="DA47" s="393">
        <f>DA14/CW14-1</f>
        <v>8.7573342674396315E-5</v>
      </c>
      <c r="DB47" s="393">
        <f>DB14/CX14-1</f>
        <v>-1.0062456627342176E-2</v>
      </c>
      <c r="DD47" s="393">
        <f>DD14/CZ14-1</f>
        <v>4.6474921080322584E-2</v>
      </c>
      <c r="DE47" s="393">
        <f>DE14/DA14-1</f>
        <v>5.8581436077057791E-2</v>
      </c>
      <c r="DF47" s="393">
        <f>DF14/DB14-1</f>
        <v>5.2532422011917213E-2</v>
      </c>
      <c r="DH47" s="393">
        <f>DH14/DD14-1</f>
        <v>6.3767387296798983E-2</v>
      </c>
      <c r="DI47" s="393">
        <f>DI14/DE14-1</f>
        <v>7.3091604946193156E-2</v>
      </c>
      <c r="DJ47" s="393">
        <f>DJ14/DF14-1</f>
        <v>6.8459576747056161E-2</v>
      </c>
      <c r="DL47" s="393">
        <f>DL14/DH14-1</f>
        <v>7.2101451823904483E-2</v>
      </c>
      <c r="DM47" s="393">
        <f>DM14/DI14-1</f>
        <v>5.8079838519078386E-2</v>
      </c>
      <c r="DN47" s="393">
        <f>DN14/DJ14-1</f>
        <v>6.5014820765423087E-2</v>
      </c>
      <c r="DP47" s="393">
        <f>DP14/DL14-1</f>
        <v>4.5078667423954943E-2</v>
      </c>
      <c r="DQ47" s="393">
        <f>DQ14/DM14-1</f>
        <v>4.4713642664547359E-2</v>
      </c>
      <c r="DR47" s="393">
        <f>DR14/DN14-1</f>
        <v>4.4895382413545626E-2</v>
      </c>
      <c r="DT47" s="1"/>
      <c r="DU47" s="1"/>
      <c r="DV47" s="1"/>
      <c r="DW47" s="1"/>
      <c r="DX47" s="1"/>
      <c r="DY47" s="1"/>
      <c r="DZ47" s="1"/>
      <c r="EA47" s="1"/>
      <c r="EB47" s="1"/>
      <c r="EC47" s="1"/>
      <c r="ED47" s="1"/>
      <c r="EE47" s="1"/>
      <c r="EF47" s="1"/>
      <c r="EG47" s="1"/>
      <c r="EH47" s="1"/>
      <c r="EI47" s="1"/>
      <c r="EJ47" s="1"/>
      <c r="EK47" s="1"/>
      <c r="EL47" s="1"/>
      <c r="EM47" s="1"/>
      <c r="EN47" s="1"/>
      <c r="EO47" s="1"/>
      <c r="EP47" s="1"/>
      <c r="EQ47" s="1"/>
      <c r="ER47" s="1"/>
      <c r="ES47" s="1"/>
      <c r="ET47" s="1"/>
      <c r="EU47" s="1"/>
      <c r="EV47" s="1"/>
      <c r="EW47" s="1"/>
      <c r="EX47" s="1"/>
      <c r="EY47" s="1"/>
      <c r="EZ47" s="1"/>
      <c r="FA47" s="1"/>
      <c r="FB47" s="1"/>
      <c r="FC47" s="1"/>
      <c r="FD47" s="1"/>
      <c r="FE47" s="1"/>
      <c r="FF47" s="1"/>
      <c r="FG47" s="1"/>
      <c r="FH47" s="1"/>
      <c r="FI47" s="1"/>
      <c r="FJ47" s="1"/>
      <c r="FK47" s="1"/>
      <c r="FL47" s="1"/>
      <c r="FM47" s="1"/>
      <c r="FN47" s="1"/>
      <c r="FO47" s="1"/>
      <c r="FP47" s="1"/>
      <c r="FQ47" s="1"/>
      <c r="FR47" s="1"/>
      <c r="FS47" s="1"/>
      <c r="FT47" s="1"/>
      <c r="FU47" s="1"/>
      <c r="FV47" s="1"/>
      <c r="FW47" s="1"/>
      <c r="FX47" s="1"/>
      <c r="FY47" s="1"/>
      <c r="FZ47" s="1"/>
      <c r="GA47" s="1"/>
      <c r="GB47" s="1"/>
      <c r="GC47" s="1"/>
      <c r="GD47" s="1"/>
      <c r="GE47" s="1"/>
      <c r="GF47" s="1"/>
      <c r="GG47" s="1"/>
      <c r="GH47" s="1"/>
      <c r="GI47" s="1"/>
      <c r="GJ47" s="1"/>
      <c r="GK47" s="1"/>
      <c r="GL47" s="1"/>
      <c r="GM47" s="1"/>
      <c r="GN47" s="1"/>
      <c r="GO47" s="1"/>
      <c r="GP47" s="1"/>
      <c r="GQ47" s="1"/>
      <c r="GR47" s="1"/>
      <c r="GS47" s="1"/>
      <c r="GT47" s="1"/>
      <c r="GU47" s="1"/>
      <c r="GV47" s="1"/>
      <c r="GW47" s="1"/>
      <c r="GX47" s="1"/>
      <c r="GY47" s="1"/>
      <c r="GZ47" s="1"/>
      <c r="HA47" s="1"/>
      <c r="HB47" s="1"/>
      <c r="HC47" s="1"/>
      <c r="HD47" s="1"/>
      <c r="HE47" s="1"/>
      <c r="HF47" s="1"/>
      <c r="HG47" s="1"/>
      <c r="HH47" s="1"/>
      <c r="HI47" s="1"/>
      <c r="HJ47" s="1"/>
      <c r="HK47" s="1"/>
      <c r="HL47" s="1"/>
      <c r="HM47" s="1"/>
      <c r="HN47" s="1"/>
      <c r="HO47" s="1"/>
      <c r="HP47" s="1"/>
      <c r="HQ47" s="1"/>
      <c r="HR47" s="1"/>
      <c r="HS47" s="1"/>
      <c r="HT47" s="1"/>
      <c r="HU47" s="1"/>
      <c r="HV47" s="1"/>
      <c r="HW47" s="1"/>
      <c r="HX47" s="1"/>
      <c r="HY47" s="1"/>
      <c r="HZ47" s="1"/>
      <c r="IA47" s="1"/>
      <c r="IB47" s="1"/>
      <c r="IC47" s="1"/>
      <c r="ID47" s="1"/>
      <c r="IE47" s="1"/>
      <c r="IF47" s="1"/>
      <c r="IG47" s="1"/>
      <c r="IH47" s="1"/>
      <c r="II47" s="1"/>
      <c r="IJ47" s="1"/>
      <c r="IK47" s="1"/>
      <c r="IL47" s="1"/>
      <c r="IM47" s="1"/>
      <c r="IN47" s="1"/>
      <c r="IO47" s="1"/>
      <c r="IP47" s="1"/>
      <c r="IQ47" s="1"/>
      <c r="IR47" s="1"/>
      <c r="IS47" s="1"/>
      <c r="IT47" s="1"/>
      <c r="IU47" s="1"/>
      <c r="IV47" s="1"/>
      <c r="IW47" s="1"/>
      <c r="IX47" s="1"/>
      <c r="IY47" s="1"/>
      <c r="IZ47" s="1"/>
      <c r="JA47" s="1"/>
      <c r="JB47" s="1"/>
      <c r="JC47" s="1"/>
      <c r="JD47" s="1"/>
    </row>
    <row r="48" spans="1:264" s="347" customFormat="1" x14ac:dyDescent="0.2">
      <c r="A48" s="426" t="str">
        <f t="shared" ref="A48:A53" si="14">A18</f>
        <v>Banking Non Interest Income</v>
      </c>
      <c r="B48" s="348"/>
      <c r="BH48" s="393"/>
      <c r="BI48" s="393"/>
      <c r="BJ48" s="393"/>
      <c r="BK48" s="348"/>
      <c r="BL48" s="393">
        <f t="shared" ref="BL48:BN53" si="15">BL18/BH18-1</f>
        <v>6.1282660332541594E-2</v>
      </c>
      <c r="BM48" s="393">
        <f t="shared" si="15"/>
        <v>1.8527547537786404E-2</v>
      </c>
      <c r="BN48" s="393">
        <f t="shared" si="15"/>
        <v>4.0182868142444761E-2</v>
      </c>
      <c r="BO48" s="348"/>
      <c r="BP48" s="393">
        <f t="shared" ref="BP48:BR53" si="16">BP18/BL18-1</f>
        <v>5.4610564010743046E-2</v>
      </c>
      <c r="BQ48" s="393">
        <f t="shared" si="16"/>
        <v>0.1752034466251795</v>
      </c>
      <c r="BR48" s="393">
        <f t="shared" si="16"/>
        <v>0.11288457089983805</v>
      </c>
      <c r="BT48" s="393">
        <f t="shared" ref="BT48:BV53" si="17">BT18/BP18-1</f>
        <v>2.5466893039049143E-2</v>
      </c>
      <c r="BU48" s="393">
        <f t="shared" si="17"/>
        <v>-4.4806517311608562E-3</v>
      </c>
      <c r="BV48" s="393">
        <f t="shared" si="17"/>
        <v>1.0184992725005282E-2</v>
      </c>
      <c r="BX48" s="393">
        <f t="shared" ref="BX48:BZ53" si="18">BX18/BT18-1</f>
        <v>0.2491721854304636</v>
      </c>
      <c r="BY48" s="393">
        <f t="shared" si="18"/>
        <v>4.7463175122749668E-2</v>
      </c>
      <c r="BZ48" s="393">
        <f t="shared" si="18"/>
        <v>0.14773662551440325</v>
      </c>
      <c r="CB48" s="393">
        <f t="shared" ref="CB48:CD53" si="19">CB18/BX18-1</f>
        <v>-0.10337972166998011</v>
      </c>
      <c r="CC48" s="393">
        <f t="shared" si="19"/>
        <v>-1.9921874999999978E-2</v>
      </c>
      <c r="CD48" s="393">
        <f t="shared" si="19"/>
        <v>-6.5077088562208729E-2</v>
      </c>
      <c r="CF48" s="393">
        <f t="shared" ref="CF48:CH53" si="20">CF18/CB18-1</f>
        <v>-4.8041389504804188E-2</v>
      </c>
      <c r="CG48" s="393">
        <f t="shared" si="20"/>
        <v>-5.3407732164208799E-2</v>
      </c>
      <c r="CH48" s="393">
        <f t="shared" si="20"/>
        <v>-5.0623202301054659E-2</v>
      </c>
      <c r="CJ48" s="393">
        <f t="shared" ref="CJ48:CL51" si="21">CJ18/CF18-1</f>
        <v>-1.2810559006211197E-2</v>
      </c>
      <c r="CK48" s="393">
        <f t="shared" si="21"/>
        <v>-3.410526315789475E-2</v>
      </c>
      <c r="CL48" s="393">
        <f t="shared" si="21"/>
        <v>-2.3025651383558832E-2</v>
      </c>
      <c r="CN48" s="393">
        <f t="shared" ref="CN48:CP51" si="22">CN18/CJ18-1</f>
        <v>-0.13881242626818713</v>
      </c>
      <c r="CO48" s="393">
        <f t="shared" si="22"/>
        <v>2.6155187445509931E-2</v>
      </c>
      <c r="CP48" s="393">
        <f t="shared" si="22"/>
        <v>-6.0574736406863727E-2</v>
      </c>
      <c r="CR48" s="393">
        <f t="shared" ref="CR48:CX51" si="23">CR18/CN18-1</f>
        <v>3.2420091324200984E-2</v>
      </c>
      <c r="CS48" s="393">
        <f t="shared" si="23"/>
        <v>0.16694987255734928</v>
      </c>
      <c r="CT48" s="393">
        <f t="shared" si="23"/>
        <v>0.102112676056338</v>
      </c>
      <c r="CV48" s="393">
        <f t="shared" si="23"/>
        <v>-0.13401149933657674</v>
      </c>
      <c r="CW48" s="393">
        <f t="shared" si="23"/>
        <v>-0.25773571168547504</v>
      </c>
      <c r="CX48" s="393">
        <f t="shared" si="23"/>
        <v>-0.20187699680511184</v>
      </c>
      <c r="CZ48" s="393">
        <f t="shared" ref="CZ48:DD50" si="24">CZ18/CV18-1</f>
        <v>0.11848825331971402</v>
      </c>
      <c r="DA48" s="393">
        <f t="shared" si="24"/>
        <v>4.9043648847473253E-3</v>
      </c>
      <c r="DB48" s="393">
        <f t="shared" si="24"/>
        <v>6.054540905679251E-2</v>
      </c>
      <c r="DD48" s="393">
        <f t="shared" si="24"/>
        <v>-3.9726027397260277E-2</v>
      </c>
      <c r="DE48" s="393">
        <f t="shared" ref="DE48:DE50" si="25">DE18/DA18-1</f>
        <v>8.1991215226939973E-2</v>
      </c>
      <c r="DF48" s="393">
        <f t="shared" ref="DF48:DF50" si="26">DF18/DB18-1</f>
        <v>1.9108280254777066E-2</v>
      </c>
      <c r="DH48" s="393">
        <f t="shared" ref="DH48:DH50" si="27">DH18/DD18-1</f>
        <v>7.41797432239657E-2</v>
      </c>
      <c r="DI48" s="393">
        <f t="shared" ref="DI48:DJ50" si="28">DI18/DE18-1</f>
        <v>-1.6309427153811451E-2</v>
      </c>
      <c r="DJ48" s="393">
        <f t="shared" si="28"/>
        <v>2.7741203703703921E-2</v>
      </c>
      <c r="DL48" s="393">
        <f t="shared" ref="DL48:DN50" si="29">DL18/DH18-1</f>
        <v>1.5223727312970503E-2</v>
      </c>
      <c r="DM48" s="393">
        <f t="shared" si="29"/>
        <v>2.7262468349380731E-2</v>
      </c>
      <c r="DN48" s="393">
        <f t="shared" si="29"/>
        <v>2.1137134159278537E-2</v>
      </c>
      <c r="DP48" s="393">
        <f t="shared" ref="DP48:DP50" si="30">DP18/DL18-1</f>
        <v>2.6855830572936945E-2</v>
      </c>
      <c r="DQ48" s="393">
        <f t="shared" ref="DQ48:DQ50" si="31">DQ18/DM18-1</f>
        <v>3.2617912439450558E-2</v>
      </c>
      <c r="DR48" s="393">
        <f t="shared" ref="DR48:DR50" si="32">DR18/DN18-1</f>
        <v>2.9703132112896435E-2</v>
      </c>
      <c r="DT48" s="1"/>
      <c r="DU48" s="1"/>
      <c r="DV48" s="1"/>
      <c r="DW48" s="1"/>
      <c r="DX48" s="1"/>
      <c r="DY48" s="1"/>
      <c r="DZ48" s="1"/>
      <c r="EA48" s="1"/>
      <c r="EB48" s="1"/>
      <c r="EC48" s="1"/>
      <c r="ED48" s="1"/>
      <c r="EE48" s="1"/>
      <c r="EF48" s="1"/>
      <c r="EG48" s="1"/>
      <c r="EH48" s="1"/>
      <c r="EI48" s="1"/>
      <c r="EJ48" s="1"/>
      <c r="EK48" s="1"/>
      <c r="EL48" s="1"/>
      <c r="EM48" s="1"/>
      <c r="EN48" s="1"/>
      <c r="EO48" s="1"/>
      <c r="EP48" s="1"/>
      <c r="EQ48" s="1"/>
      <c r="ER48" s="1"/>
      <c r="ES48" s="1"/>
      <c r="ET48" s="1"/>
      <c r="EU48" s="1"/>
      <c r="EV48" s="1"/>
      <c r="EW48" s="1"/>
      <c r="EX48" s="1"/>
      <c r="EY48" s="1"/>
      <c r="EZ48" s="1"/>
      <c r="FA48" s="1"/>
      <c r="FB48" s="1"/>
      <c r="FC48" s="1"/>
      <c r="FD48" s="1"/>
      <c r="FE48" s="1"/>
      <c r="FF48" s="1"/>
      <c r="FG48" s="1"/>
      <c r="FH48" s="1"/>
      <c r="FI48" s="1"/>
      <c r="FJ48" s="1"/>
      <c r="FK48" s="1"/>
      <c r="FL48" s="1"/>
      <c r="FM48" s="1"/>
      <c r="FN48" s="1"/>
      <c r="FO48" s="1"/>
      <c r="FP48" s="1"/>
      <c r="FQ48" s="1"/>
      <c r="FR48" s="1"/>
      <c r="FS48" s="1"/>
      <c r="FT48" s="1"/>
      <c r="FU48" s="1"/>
      <c r="FV48" s="1"/>
      <c r="FW48" s="1"/>
      <c r="FX48" s="1"/>
      <c r="FY48" s="1"/>
      <c r="FZ48" s="1"/>
      <c r="GA48" s="1"/>
      <c r="GB48" s="1"/>
      <c r="GC48" s="1"/>
      <c r="GD48" s="1"/>
      <c r="GE48" s="1"/>
      <c r="GF48" s="1"/>
      <c r="GG48" s="1"/>
      <c r="GH48" s="1"/>
      <c r="GI48" s="1"/>
      <c r="GJ48" s="1"/>
      <c r="GK48" s="1"/>
      <c r="GL48" s="1"/>
      <c r="GM48" s="1"/>
      <c r="GN48" s="1"/>
      <c r="GO48" s="1"/>
      <c r="GP48" s="1"/>
      <c r="GQ48" s="1"/>
      <c r="GR48" s="1"/>
      <c r="GS48" s="1"/>
      <c r="GT48" s="1"/>
      <c r="GU48" s="1"/>
      <c r="GV48" s="1"/>
      <c r="GW48" s="1"/>
      <c r="GX48" s="1"/>
      <c r="GY48" s="1"/>
      <c r="GZ48" s="1"/>
      <c r="HA48" s="1"/>
      <c r="HB48" s="1"/>
      <c r="HC48" s="1"/>
      <c r="HD48" s="1"/>
      <c r="HE48" s="1"/>
      <c r="HF48" s="1"/>
      <c r="HG48" s="1"/>
      <c r="HH48" s="1"/>
      <c r="HI48" s="1"/>
      <c r="HJ48" s="1"/>
      <c r="HK48" s="1"/>
      <c r="HL48" s="1"/>
      <c r="HM48" s="1"/>
      <c r="HN48" s="1"/>
      <c r="HO48" s="1"/>
      <c r="HP48" s="1"/>
      <c r="HQ48" s="1"/>
      <c r="HR48" s="1"/>
      <c r="HS48" s="1"/>
      <c r="HT48" s="1"/>
      <c r="HU48" s="1"/>
      <c r="HV48" s="1"/>
      <c r="HW48" s="1"/>
      <c r="HX48" s="1"/>
      <c r="HY48" s="1"/>
      <c r="HZ48" s="1"/>
      <c r="IA48" s="1"/>
      <c r="IB48" s="1"/>
      <c r="IC48" s="1"/>
      <c r="ID48" s="1"/>
      <c r="IE48" s="1"/>
      <c r="IF48" s="1"/>
      <c r="IG48" s="1"/>
      <c r="IH48" s="1"/>
      <c r="II48" s="1"/>
      <c r="IJ48" s="1"/>
      <c r="IK48" s="1"/>
      <c r="IL48" s="1"/>
      <c r="IM48" s="1"/>
      <c r="IN48" s="1"/>
      <c r="IO48" s="1"/>
      <c r="IP48" s="1"/>
      <c r="IQ48" s="1"/>
      <c r="IR48" s="1"/>
      <c r="IS48" s="1"/>
      <c r="IT48" s="1"/>
      <c r="IU48" s="1"/>
      <c r="IV48" s="1"/>
      <c r="IW48" s="1"/>
      <c r="IX48" s="1"/>
      <c r="IY48" s="1"/>
      <c r="IZ48" s="1"/>
      <c r="JA48" s="1"/>
      <c r="JB48" s="1"/>
      <c r="JC48" s="1"/>
      <c r="JD48" s="1"/>
    </row>
    <row r="49" spans="1:264" s="411" customFormat="1" x14ac:dyDescent="0.2">
      <c r="A49" s="427" t="str">
        <f t="shared" si="14"/>
        <v>Banking Income</v>
      </c>
      <c r="B49" s="423"/>
      <c r="BH49" s="428"/>
      <c r="BI49" s="428"/>
      <c r="BJ49" s="428"/>
      <c r="BK49" s="423"/>
      <c r="BL49" s="428">
        <f t="shared" si="15"/>
        <v>7.9290732686517318E-2</v>
      </c>
      <c r="BM49" s="428">
        <f t="shared" si="15"/>
        <v>6.6024307456476583E-2</v>
      </c>
      <c r="BN49" s="428">
        <f t="shared" si="15"/>
        <v>7.259668508287298E-2</v>
      </c>
      <c r="BO49" s="423"/>
      <c r="BP49" s="428">
        <f t="shared" si="16"/>
        <v>5.9826410415375175E-2</v>
      </c>
      <c r="BQ49" s="428">
        <f t="shared" si="16"/>
        <v>6.6248972884141333E-2</v>
      </c>
      <c r="BR49" s="428">
        <f t="shared" si="16"/>
        <v>6.3047285464097991E-2</v>
      </c>
      <c r="BT49" s="428">
        <f t="shared" si="17"/>
        <v>5.7131714926391686E-2</v>
      </c>
      <c r="BU49" s="428">
        <f t="shared" si="17"/>
        <v>5.5004334842500668E-2</v>
      </c>
      <c r="BV49" s="428">
        <f t="shared" si="17"/>
        <v>5.6061633879251893E-2</v>
      </c>
      <c r="BX49" s="428">
        <f t="shared" si="18"/>
        <v>8.1619478004242296E-2</v>
      </c>
      <c r="BY49" s="428">
        <f t="shared" si="18"/>
        <v>4.0266617969320739E-2</v>
      </c>
      <c r="BZ49" s="428">
        <f t="shared" si="18"/>
        <v>6.0839642119752346E-2</v>
      </c>
      <c r="CB49" s="428">
        <f t="shared" si="19"/>
        <v>2.0037517053206111E-2</v>
      </c>
      <c r="CC49" s="428">
        <f t="shared" si="19"/>
        <v>1.7642412007373043E-2</v>
      </c>
      <c r="CD49" s="428">
        <f t="shared" si="19"/>
        <v>1.8857315860040691E-2</v>
      </c>
      <c r="CF49" s="428">
        <f t="shared" si="20"/>
        <v>-1.6634623422218553E-2</v>
      </c>
      <c r="CG49" s="428">
        <f t="shared" si="20"/>
        <v>-1.5784026220458824E-2</v>
      </c>
      <c r="CH49" s="428">
        <f t="shared" si="20"/>
        <v>-1.6215986755529155E-2</v>
      </c>
      <c r="CJ49" s="428">
        <f t="shared" si="21"/>
        <v>1.0965657939476348E-2</v>
      </c>
      <c r="CK49" s="428">
        <f t="shared" si="21"/>
        <v>1.2531767592673715E-2</v>
      </c>
      <c r="CL49" s="428">
        <f t="shared" si="21"/>
        <v>1.1736785329018229E-2</v>
      </c>
      <c r="CN49" s="428">
        <f t="shared" si="22"/>
        <v>-8.6605566299503556E-3</v>
      </c>
      <c r="CO49" s="428">
        <f t="shared" si="22"/>
        <v>4.3448156482603473E-2</v>
      </c>
      <c r="CP49" s="428">
        <f t="shared" si="22"/>
        <v>1.7017102401160056E-2</v>
      </c>
      <c r="CR49" s="428">
        <f t="shared" si="23"/>
        <v>1.8575063613231579E-2</v>
      </c>
      <c r="CS49" s="428">
        <f t="shared" si="23"/>
        <v>3.4505640345056321E-2</v>
      </c>
      <c r="CT49" s="428">
        <f t="shared" si="23"/>
        <v>2.6629204059380962E-2</v>
      </c>
      <c r="CV49" s="428">
        <f t="shared" si="23"/>
        <v>0.13206761595470073</v>
      </c>
      <c r="CW49" s="428">
        <f t="shared" si="23"/>
        <v>7.9057087876844179E-2</v>
      </c>
      <c r="CX49" s="428">
        <f t="shared" si="23"/>
        <v>0.10506106776683954</v>
      </c>
      <c r="CZ49" s="428">
        <f t="shared" si="24"/>
        <v>-7.3556454578849184E-5</v>
      </c>
      <c r="DA49" s="428">
        <f t="shared" si="24"/>
        <v>8.1735770545399156E-4</v>
      </c>
      <c r="DB49" s="428">
        <f t="shared" si="24"/>
        <v>3.6964477137479967E-4</v>
      </c>
      <c r="DD49" s="428">
        <f t="shared" si="24"/>
        <v>3.258790642930709E-2</v>
      </c>
      <c r="DE49" s="428">
        <f t="shared" si="25"/>
        <v>6.214269804736805E-2</v>
      </c>
      <c r="DF49" s="428">
        <f t="shared" si="26"/>
        <v>4.7297047629605071E-2</v>
      </c>
      <c r="DH49" s="428">
        <f t="shared" si="27"/>
        <v>6.5327349148678548E-2</v>
      </c>
      <c r="DI49" s="428">
        <f t="shared" si="28"/>
        <v>5.9237132125998126E-2</v>
      </c>
      <c r="DJ49" s="428">
        <f t="shared" si="28"/>
        <v>6.2253339879142278E-2</v>
      </c>
      <c r="DL49" s="428">
        <f t="shared" si="29"/>
        <v>6.3509317300017853E-2</v>
      </c>
      <c r="DM49" s="428">
        <f t="shared" si="29"/>
        <v>5.3644688034661936E-2</v>
      </c>
      <c r="DN49" s="428">
        <f t="shared" si="29"/>
        <v>5.854432860910741E-2</v>
      </c>
      <c r="DP49" s="428">
        <f t="shared" si="30"/>
        <v>4.2450849310899041E-2</v>
      </c>
      <c r="DQ49" s="428">
        <f t="shared" si="31"/>
        <v>4.3016446208473669E-2</v>
      </c>
      <c r="DR49" s="428">
        <f t="shared" si="32"/>
        <v>4.2734203505718771E-2</v>
      </c>
      <c r="DT49" s="1"/>
      <c r="DU49" s="1"/>
      <c r="DV49" s="1"/>
      <c r="DW49" s="1"/>
      <c r="DX49" s="1"/>
      <c r="DY49" s="1"/>
      <c r="DZ49" s="1"/>
      <c r="EA49" s="1"/>
      <c r="EB49" s="1"/>
      <c r="EC49" s="1"/>
      <c r="ED49" s="1"/>
      <c r="EE49" s="1"/>
      <c r="EF49" s="1"/>
      <c r="EG49" s="1"/>
      <c r="EH49" s="1"/>
      <c r="EI49" s="1"/>
      <c r="EJ49" s="1"/>
      <c r="EK49" s="1"/>
      <c r="EL49" s="1"/>
      <c r="EM49" s="1"/>
      <c r="EN49" s="1"/>
      <c r="EO49" s="1"/>
      <c r="EP49" s="1"/>
      <c r="EQ49" s="1"/>
      <c r="ER49" s="1"/>
      <c r="ES49" s="1"/>
      <c r="ET49" s="1"/>
      <c r="EU49" s="1"/>
      <c r="EV49" s="1"/>
      <c r="EW49" s="1"/>
      <c r="EX49" s="1"/>
      <c r="EY49" s="1"/>
      <c r="EZ49" s="1"/>
      <c r="FA49" s="1"/>
      <c r="FB49" s="1"/>
      <c r="FC49" s="1"/>
      <c r="FD49" s="1"/>
      <c r="FE49" s="1"/>
      <c r="FF49" s="1"/>
      <c r="FG49" s="1"/>
      <c r="FH49" s="1"/>
      <c r="FI49" s="1"/>
      <c r="FJ49" s="1"/>
      <c r="FK49" s="1"/>
      <c r="FL49" s="1"/>
      <c r="FM49" s="1"/>
      <c r="FN49" s="1"/>
      <c r="FO49" s="1"/>
      <c r="FP49" s="1"/>
      <c r="FQ49" s="1"/>
      <c r="FR49" s="1"/>
      <c r="FS49" s="1"/>
      <c r="FT49" s="1"/>
      <c r="FU49" s="1"/>
      <c r="FV49" s="1"/>
      <c r="FW49" s="1"/>
      <c r="FX49" s="1"/>
      <c r="FY49" s="1"/>
      <c r="FZ49" s="1"/>
      <c r="GA49" s="1"/>
      <c r="GB49" s="1"/>
      <c r="GC49" s="1"/>
      <c r="GD49" s="1"/>
      <c r="GE49" s="1"/>
      <c r="GF49" s="1"/>
      <c r="GG49" s="1"/>
      <c r="GH49" s="1"/>
      <c r="GI49" s="1"/>
      <c r="GJ49" s="1"/>
      <c r="GK49" s="1"/>
      <c r="GL49" s="1"/>
      <c r="GM49" s="1"/>
      <c r="GN49" s="1"/>
      <c r="GO49" s="1"/>
      <c r="GP49" s="1"/>
      <c r="GQ49" s="1"/>
      <c r="GR49" s="1"/>
      <c r="GS49" s="1"/>
      <c r="GT49" s="1"/>
      <c r="GU49" s="1"/>
      <c r="GV49" s="1"/>
      <c r="GW49" s="1"/>
      <c r="GX49" s="1"/>
      <c r="GY49" s="1"/>
      <c r="GZ49" s="1"/>
      <c r="HA49" s="1"/>
      <c r="HB49" s="1"/>
      <c r="HC49" s="1"/>
      <c r="HD49" s="1"/>
      <c r="HE49" s="1"/>
      <c r="HF49" s="1"/>
      <c r="HG49" s="1"/>
      <c r="HH49" s="1"/>
      <c r="HI49" s="1"/>
      <c r="HJ49" s="1"/>
      <c r="HK49" s="1"/>
      <c r="HL49" s="1"/>
      <c r="HM49" s="1"/>
      <c r="HN49" s="1"/>
      <c r="HO49" s="1"/>
      <c r="HP49" s="1"/>
      <c r="HQ49" s="1"/>
      <c r="HR49" s="1"/>
      <c r="HS49" s="1"/>
      <c r="HT49" s="1"/>
      <c r="HU49" s="1"/>
      <c r="HV49" s="1"/>
      <c r="HW49" s="1"/>
      <c r="HX49" s="1"/>
      <c r="HY49" s="1"/>
      <c r="HZ49" s="1"/>
      <c r="IA49" s="1"/>
      <c r="IB49" s="1"/>
      <c r="IC49" s="1"/>
      <c r="ID49" s="1"/>
      <c r="IE49" s="1"/>
      <c r="IF49" s="1"/>
      <c r="IG49" s="1"/>
      <c r="IH49" s="1"/>
      <c r="II49" s="1"/>
      <c r="IJ49" s="1"/>
      <c r="IK49" s="1"/>
      <c r="IL49" s="1"/>
      <c r="IM49" s="1"/>
      <c r="IN49" s="1"/>
      <c r="IO49" s="1"/>
      <c r="IP49" s="1"/>
      <c r="IQ49" s="1"/>
      <c r="IR49" s="1"/>
      <c r="IS49" s="1"/>
      <c r="IT49" s="1"/>
      <c r="IU49" s="1"/>
      <c r="IV49" s="1"/>
      <c r="IW49" s="1"/>
      <c r="IX49" s="1"/>
      <c r="IY49" s="1"/>
      <c r="IZ49" s="1"/>
      <c r="JA49" s="1"/>
      <c r="JB49" s="1"/>
      <c r="JC49" s="1"/>
      <c r="JD49" s="1"/>
    </row>
    <row r="50" spans="1:264" s="347" customFormat="1" x14ac:dyDescent="0.2">
      <c r="A50" s="426" t="str">
        <f t="shared" si="14"/>
        <v>Funds Management Income</v>
      </c>
      <c r="B50" s="348"/>
      <c r="BH50" s="393"/>
      <c r="BI50" s="393"/>
      <c r="BJ50" s="393"/>
      <c r="BK50" s="348"/>
      <c r="BL50" s="393">
        <f t="shared" si="15"/>
        <v>0.13461538461538458</v>
      </c>
      <c r="BM50" s="393">
        <f t="shared" si="15"/>
        <v>-1.4830508474576232E-2</v>
      </c>
      <c r="BN50" s="393">
        <f t="shared" si="15"/>
        <v>5.7439824945295426E-2</v>
      </c>
      <c r="BO50" s="348"/>
      <c r="BP50" s="393">
        <f t="shared" si="16"/>
        <v>-3.2901296111665035E-2</v>
      </c>
      <c r="BQ50" s="393">
        <f t="shared" si="16"/>
        <v>4.086021505376336E-2</v>
      </c>
      <c r="BR50" s="393">
        <f t="shared" si="16"/>
        <v>2.586652871184647E-3</v>
      </c>
      <c r="BT50" s="393">
        <f t="shared" si="17"/>
        <v>6.3917525773195871E-2</v>
      </c>
      <c r="BU50" s="393">
        <f t="shared" si="17"/>
        <v>1.6528925619834656E-2</v>
      </c>
      <c r="BV50" s="393">
        <f t="shared" si="17"/>
        <v>4.0247678018575872E-2</v>
      </c>
      <c r="BX50" s="393">
        <f t="shared" si="18"/>
        <v>-8.6240310077519422E-2</v>
      </c>
      <c r="BY50" s="393">
        <f t="shared" si="18"/>
        <v>-1.4227642276422814E-2</v>
      </c>
      <c r="BZ50" s="393">
        <f t="shared" si="18"/>
        <v>-5.1091269841269882E-2</v>
      </c>
      <c r="CB50" s="393">
        <f t="shared" si="19"/>
        <v>-0.39766702014846234</v>
      </c>
      <c r="CC50" s="393">
        <f t="shared" si="19"/>
        <v>-0.43195876288659796</v>
      </c>
      <c r="CD50" s="393">
        <f t="shared" si="19"/>
        <v>-0.41505488761108211</v>
      </c>
      <c r="CF50" s="393">
        <f t="shared" si="20"/>
        <v>-0.727112676056338</v>
      </c>
      <c r="CG50" s="393">
        <f t="shared" si="20"/>
        <v>-0.81851179673321228</v>
      </c>
      <c r="CH50" s="393">
        <f t="shared" si="20"/>
        <v>-0.77211796246648789</v>
      </c>
      <c r="CJ50" s="393">
        <f t="shared" si="21"/>
        <v>-0.36774193548387102</v>
      </c>
      <c r="CK50" s="393">
        <f t="shared" si="21"/>
        <v>-0.25</v>
      </c>
      <c r="CL50" s="393">
        <f t="shared" si="21"/>
        <v>-0.32156862745098036</v>
      </c>
      <c r="CN50" s="393">
        <f t="shared" si="22"/>
        <v>-0.18367346938775508</v>
      </c>
      <c r="CO50" s="393">
        <f t="shared" si="22"/>
        <v>0.1333333333333333</v>
      </c>
      <c r="CP50" s="393">
        <f t="shared" si="22"/>
        <v>-4.6242774566473965E-2</v>
      </c>
      <c r="CR50" s="393">
        <f t="shared" si="23"/>
        <v>0</v>
      </c>
      <c r="CS50" s="393">
        <f t="shared" si="23"/>
        <v>-0.3529411764705882</v>
      </c>
      <c r="CT50" s="393">
        <f t="shared" si="23"/>
        <v>-0.18181818181818177</v>
      </c>
      <c r="CV50" s="393">
        <f t="shared" si="23"/>
        <v>-0.65</v>
      </c>
      <c r="CW50" s="393">
        <f t="shared" si="23"/>
        <v>-1.8181818181818188E-2</v>
      </c>
      <c r="CX50" s="393">
        <f t="shared" si="23"/>
        <v>-0.3925925925925926</v>
      </c>
      <c r="CZ50" s="393">
        <f t="shared" si="24"/>
        <v>0.96428571428571419</v>
      </c>
      <c r="DA50" s="393">
        <f t="shared" si="24"/>
        <v>3.7037037037036979E-2</v>
      </c>
      <c r="DB50" s="393">
        <f t="shared" si="24"/>
        <v>0.35365853658536595</v>
      </c>
      <c r="DD50" s="393">
        <f t="shared" si="24"/>
        <v>9.0909090909090828E-2</v>
      </c>
      <c r="DE50" s="393">
        <f t="shared" si="25"/>
        <v>0.10714285714285721</v>
      </c>
      <c r="DF50" s="393">
        <f t="shared" si="26"/>
        <v>9.9099099099099197E-2</v>
      </c>
      <c r="DH50" s="393">
        <f t="shared" si="27"/>
        <v>0.1166666666666667</v>
      </c>
      <c r="DI50" s="393">
        <f t="shared" si="28"/>
        <v>0.10225806451612907</v>
      </c>
      <c r="DJ50" s="393">
        <f t="shared" si="28"/>
        <v>0.10934426229508198</v>
      </c>
      <c r="DL50" s="393">
        <f t="shared" si="29"/>
        <v>4.0399999999999991E-2</v>
      </c>
      <c r="DM50" s="393">
        <f t="shared" si="29"/>
        <v>4.0399999999999991E-2</v>
      </c>
      <c r="DN50" s="393">
        <f t="shared" si="29"/>
        <v>4.0399999999999991E-2</v>
      </c>
      <c r="DP50" s="393">
        <f t="shared" si="30"/>
        <v>4.0399999999999991E-2</v>
      </c>
      <c r="DQ50" s="393">
        <f t="shared" si="31"/>
        <v>4.0399999999999991E-2</v>
      </c>
      <c r="DR50" s="393">
        <f t="shared" si="32"/>
        <v>4.0399999999999991E-2</v>
      </c>
      <c r="DT50" s="1"/>
      <c r="DU50" s="1"/>
      <c r="DV50" s="1"/>
      <c r="DW50" s="1"/>
      <c r="DX50" s="1"/>
      <c r="DY50" s="1"/>
      <c r="DZ50" s="1"/>
      <c r="EA50" s="1"/>
      <c r="EB50" s="1"/>
      <c r="EC50" s="1"/>
      <c r="ED50" s="1"/>
      <c r="EE50" s="1"/>
      <c r="EF50" s="1"/>
      <c r="EG50" s="1"/>
      <c r="EH50" s="1"/>
      <c r="EI50" s="1"/>
      <c r="EJ50" s="1"/>
      <c r="EK50" s="1"/>
      <c r="EL50" s="1"/>
      <c r="EM50" s="1"/>
      <c r="EN50" s="1"/>
      <c r="EO50" s="1"/>
      <c r="EP50" s="1"/>
      <c r="EQ50" s="1"/>
      <c r="ER50" s="1"/>
      <c r="ES50" s="1"/>
      <c r="ET50" s="1"/>
      <c r="EU50" s="1"/>
      <c r="EV50" s="1"/>
      <c r="EW50" s="1"/>
      <c r="EX50" s="1"/>
      <c r="EY50" s="1"/>
      <c r="EZ50" s="1"/>
      <c r="FA50" s="1"/>
      <c r="FB50" s="1"/>
      <c r="FC50" s="1"/>
      <c r="FD50" s="1"/>
      <c r="FE50" s="1"/>
      <c r="FF50" s="1"/>
      <c r="FG50" s="1"/>
      <c r="FH50" s="1"/>
      <c r="FI50" s="1"/>
      <c r="FJ50" s="1"/>
      <c r="FK50" s="1"/>
      <c r="FL50" s="1"/>
      <c r="FM50" s="1"/>
      <c r="FN50" s="1"/>
      <c r="FO50" s="1"/>
      <c r="FP50" s="1"/>
      <c r="FQ50" s="1"/>
      <c r="FR50" s="1"/>
      <c r="FS50" s="1"/>
      <c r="FT50" s="1"/>
      <c r="FU50" s="1"/>
      <c r="FV50" s="1"/>
      <c r="FW50" s="1"/>
      <c r="FX50" s="1"/>
      <c r="FY50" s="1"/>
      <c r="FZ50" s="1"/>
      <c r="GA50" s="1"/>
      <c r="GB50" s="1"/>
      <c r="GC50" s="1"/>
      <c r="GD50" s="1"/>
      <c r="GE50" s="1"/>
      <c r="GF50" s="1"/>
      <c r="GG50" s="1"/>
      <c r="GH50" s="1"/>
      <c r="GI50" s="1"/>
      <c r="GJ50" s="1"/>
      <c r="GK50" s="1"/>
      <c r="GL50" s="1"/>
      <c r="GM50" s="1"/>
      <c r="GN50" s="1"/>
      <c r="GO50" s="1"/>
      <c r="GP50" s="1"/>
      <c r="GQ50" s="1"/>
      <c r="GR50" s="1"/>
      <c r="GS50" s="1"/>
      <c r="GT50" s="1"/>
      <c r="GU50" s="1"/>
      <c r="GV50" s="1"/>
      <c r="GW50" s="1"/>
      <c r="GX50" s="1"/>
      <c r="GY50" s="1"/>
      <c r="GZ50" s="1"/>
      <c r="HA50" s="1"/>
      <c r="HB50" s="1"/>
      <c r="HC50" s="1"/>
      <c r="HD50" s="1"/>
      <c r="HE50" s="1"/>
      <c r="HF50" s="1"/>
      <c r="HG50" s="1"/>
      <c r="HH50" s="1"/>
      <c r="HI50" s="1"/>
      <c r="HJ50" s="1"/>
      <c r="HK50" s="1"/>
      <c r="HL50" s="1"/>
      <c r="HM50" s="1"/>
      <c r="HN50" s="1"/>
      <c r="HO50" s="1"/>
      <c r="HP50" s="1"/>
      <c r="HQ50" s="1"/>
      <c r="HR50" s="1"/>
      <c r="HS50" s="1"/>
      <c r="HT50" s="1"/>
      <c r="HU50" s="1"/>
      <c r="HV50" s="1"/>
      <c r="HW50" s="1"/>
      <c r="HX50" s="1"/>
      <c r="HY50" s="1"/>
      <c r="HZ50" s="1"/>
      <c r="IA50" s="1"/>
      <c r="IB50" s="1"/>
      <c r="IC50" s="1"/>
      <c r="ID50" s="1"/>
      <c r="IE50" s="1"/>
      <c r="IF50" s="1"/>
      <c r="IG50" s="1"/>
      <c r="IH50" s="1"/>
      <c r="II50" s="1"/>
      <c r="IJ50" s="1"/>
      <c r="IK50" s="1"/>
      <c r="IL50" s="1"/>
      <c r="IM50" s="1"/>
      <c r="IN50" s="1"/>
      <c r="IO50" s="1"/>
      <c r="IP50" s="1"/>
      <c r="IQ50" s="1"/>
      <c r="IR50" s="1"/>
      <c r="IS50" s="1"/>
      <c r="IT50" s="1"/>
      <c r="IU50" s="1"/>
      <c r="IV50" s="1"/>
      <c r="IW50" s="1"/>
      <c r="IX50" s="1"/>
      <c r="IY50" s="1"/>
      <c r="IZ50" s="1"/>
      <c r="JA50" s="1"/>
      <c r="JB50" s="1"/>
      <c r="JC50" s="1"/>
      <c r="JD50" s="1"/>
    </row>
    <row r="51" spans="1:264" s="347" customFormat="1" x14ac:dyDescent="0.2">
      <c r="A51" s="426" t="str">
        <f t="shared" si="14"/>
        <v>Insurance Income</v>
      </c>
      <c r="B51" s="348"/>
      <c r="BH51" s="393"/>
      <c r="BI51" s="393"/>
      <c r="BJ51" s="393"/>
      <c r="BK51" s="348"/>
      <c r="BL51" s="393">
        <f t="shared" si="15"/>
        <v>9.0395480225988756E-2</v>
      </c>
      <c r="BM51" s="393">
        <f t="shared" si="15"/>
        <v>0.12467532467532472</v>
      </c>
      <c r="BN51" s="393">
        <f t="shared" si="15"/>
        <v>0.10825439783491198</v>
      </c>
      <c r="BO51" s="348"/>
      <c r="BP51" s="393">
        <f t="shared" si="16"/>
        <v>7.7720207253886064E-2</v>
      </c>
      <c r="BQ51" s="393">
        <f t="shared" si="16"/>
        <v>-0.13163972286374137</v>
      </c>
      <c r="BR51" s="393">
        <f t="shared" si="16"/>
        <v>-3.2967032967032961E-2</v>
      </c>
      <c r="BT51" s="393">
        <f t="shared" si="17"/>
        <v>0.17067307692307687</v>
      </c>
      <c r="BU51" s="393">
        <f t="shared" si="17"/>
        <v>-0.18085106382978722</v>
      </c>
      <c r="BV51" s="393">
        <f t="shared" si="17"/>
        <v>3.7878787878788955E-3</v>
      </c>
      <c r="BX51" s="393">
        <f t="shared" si="18"/>
        <v>-0.66735112936344976</v>
      </c>
      <c r="BY51" s="393">
        <f t="shared" si="18"/>
        <v>-0.80194805194805197</v>
      </c>
      <c r="BZ51" s="393">
        <f t="shared" si="18"/>
        <v>-0.71949685534591201</v>
      </c>
      <c r="CB51" s="393">
        <f t="shared" si="19"/>
        <v>-0.30864197530864201</v>
      </c>
      <c r="CC51" s="393">
        <f t="shared" si="19"/>
        <v>1.0655737704918034</v>
      </c>
      <c r="CD51" s="393">
        <f t="shared" si="19"/>
        <v>6.7264573991031362E-2</v>
      </c>
      <c r="CF51" s="393">
        <f t="shared" si="20"/>
        <v>-0.3660714285714286</v>
      </c>
      <c r="CG51" s="393">
        <f t="shared" si="20"/>
        <v>-0.38095238095238093</v>
      </c>
      <c r="CH51" s="393">
        <f t="shared" si="20"/>
        <v>-0.37394957983193278</v>
      </c>
      <c r="CJ51" s="393">
        <f t="shared" si="21"/>
        <v>-0.54929577464788726</v>
      </c>
      <c r="CK51" s="393">
        <f t="shared" si="21"/>
        <v>0.39743589743589736</v>
      </c>
      <c r="CL51" s="393">
        <f t="shared" si="21"/>
        <v>-5.3691275167785268E-2</v>
      </c>
      <c r="CN51" s="393">
        <f t="shared" si="22"/>
        <v>1.84375</v>
      </c>
      <c r="CO51" s="393">
        <f t="shared" si="22"/>
        <v>-0.50458715596330272</v>
      </c>
      <c r="CP51" s="393">
        <f t="shared" si="22"/>
        <v>2.8368794326241176E-2</v>
      </c>
      <c r="CR51" s="393">
        <f t="shared" si="23"/>
        <v>-0.80219780219780223</v>
      </c>
      <c r="CS51" s="393">
        <f t="shared" si="23"/>
        <v>1.8518518518518601E-2</v>
      </c>
      <c r="CT51" s="393">
        <f t="shared" si="23"/>
        <v>-0.49655172413793103</v>
      </c>
      <c r="CV51" s="393">
        <f t="shared" si="23"/>
        <v>-1</v>
      </c>
      <c r="CW51" s="393">
        <f t="shared" si="23"/>
        <v>-1</v>
      </c>
      <c r="CX51" s="393">
        <f t="shared" si="23"/>
        <v>-1</v>
      </c>
      <c r="CZ51" s="393"/>
      <c r="DA51" s="393"/>
      <c r="DB51" s="393"/>
      <c r="DD51" s="393"/>
      <c r="DE51" s="393"/>
      <c r="DF51" s="393"/>
      <c r="DH51" s="393"/>
      <c r="DI51" s="393"/>
      <c r="DJ51" s="393"/>
      <c r="DL51" s="393"/>
      <c r="DM51" s="393"/>
      <c r="DN51" s="393"/>
      <c r="DP51" s="393"/>
      <c r="DQ51" s="393"/>
      <c r="DR51" s="393"/>
      <c r="DT51" s="1"/>
      <c r="DU51" s="1"/>
      <c r="DV51" s="1"/>
      <c r="DW51" s="1"/>
      <c r="DX51" s="1"/>
      <c r="DY51" s="1"/>
      <c r="DZ51" s="1"/>
      <c r="EA51" s="1"/>
      <c r="EB51" s="1"/>
      <c r="EC51" s="1"/>
      <c r="ED51" s="1"/>
      <c r="EE51" s="1"/>
      <c r="EF51" s="1"/>
      <c r="EG51" s="1"/>
      <c r="EH51" s="1"/>
      <c r="EI51" s="1"/>
      <c r="EJ51" s="1"/>
      <c r="EK51" s="1"/>
      <c r="EL51" s="1"/>
      <c r="EM51" s="1"/>
      <c r="EN51" s="1"/>
      <c r="EO51" s="1"/>
      <c r="EP51" s="1"/>
      <c r="EQ51" s="1"/>
      <c r="ER51" s="1"/>
      <c r="ES51" s="1"/>
      <c r="ET51" s="1"/>
      <c r="EU51" s="1"/>
      <c r="EV51" s="1"/>
      <c r="EW51" s="1"/>
      <c r="EX51" s="1"/>
      <c r="EY51" s="1"/>
      <c r="EZ51" s="1"/>
      <c r="FA51" s="1"/>
      <c r="FB51" s="1"/>
      <c r="FC51" s="1"/>
      <c r="FD51" s="1"/>
      <c r="FE51" s="1"/>
      <c r="FF51" s="1"/>
      <c r="FG51" s="1"/>
      <c r="FH51" s="1"/>
      <c r="FI51" s="1"/>
      <c r="FJ51" s="1"/>
      <c r="FK51" s="1"/>
      <c r="FL51" s="1"/>
      <c r="FM51" s="1"/>
      <c r="FN51" s="1"/>
      <c r="FO51" s="1"/>
      <c r="FP51" s="1"/>
      <c r="FQ51" s="1"/>
      <c r="FR51" s="1"/>
      <c r="FS51" s="1"/>
      <c r="FT51" s="1"/>
      <c r="FU51" s="1"/>
      <c r="FV51" s="1"/>
      <c r="FW51" s="1"/>
      <c r="FX51" s="1"/>
      <c r="FY51" s="1"/>
      <c r="FZ51" s="1"/>
      <c r="GA51" s="1"/>
      <c r="GB51" s="1"/>
      <c r="GC51" s="1"/>
      <c r="GD51" s="1"/>
      <c r="GE51" s="1"/>
      <c r="GF51" s="1"/>
      <c r="GG51" s="1"/>
      <c r="GH51" s="1"/>
      <c r="GI51" s="1"/>
      <c r="GJ51" s="1"/>
      <c r="GK51" s="1"/>
      <c r="GL51" s="1"/>
      <c r="GM51" s="1"/>
      <c r="GN51" s="1"/>
      <c r="GO51" s="1"/>
      <c r="GP51" s="1"/>
      <c r="GQ51" s="1"/>
      <c r="GR51" s="1"/>
      <c r="GS51" s="1"/>
      <c r="GT51" s="1"/>
      <c r="GU51" s="1"/>
      <c r="GV51" s="1"/>
      <c r="GW51" s="1"/>
      <c r="GX51" s="1"/>
      <c r="GY51" s="1"/>
      <c r="GZ51" s="1"/>
      <c r="HA51" s="1"/>
      <c r="HB51" s="1"/>
      <c r="HC51" s="1"/>
      <c r="HD51" s="1"/>
      <c r="HE51" s="1"/>
      <c r="HF51" s="1"/>
      <c r="HG51" s="1"/>
      <c r="HH51" s="1"/>
      <c r="HI51" s="1"/>
      <c r="HJ51" s="1"/>
      <c r="HK51" s="1"/>
      <c r="HL51" s="1"/>
      <c r="HM51" s="1"/>
      <c r="HN51" s="1"/>
      <c r="HO51" s="1"/>
      <c r="HP51" s="1"/>
      <c r="HQ51" s="1"/>
      <c r="HR51" s="1"/>
      <c r="HS51" s="1"/>
      <c r="HT51" s="1"/>
      <c r="HU51" s="1"/>
      <c r="HV51" s="1"/>
      <c r="HW51" s="1"/>
      <c r="HX51" s="1"/>
      <c r="HY51" s="1"/>
      <c r="HZ51" s="1"/>
      <c r="IA51" s="1"/>
      <c r="IB51" s="1"/>
      <c r="IC51" s="1"/>
      <c r="ID51" s="1"/>
      <c r="IE51" s="1"/>
      <c r="IF51" s="1"/>
      <c r="IG51" s="1"/>
      <c r="IH51" s="1"/>
      <c r="II51" s="1"/>
      <c r="IJ51" s="1"/>
      <c r="IK51" s="1"/>
      <c r="IL51" s="1"/>
      <c r="IM51" s="1"/>
      <c r="IN51" s="1"/>
      <c r="IO51" s="1"/>
      <c r="IP51" s="1"/>
      <c r="IQ51" s="1"/>
      <c r="IR51" s="1"/>
      <c r="IS51" s="1"/>
      <c r="IT51" s="1"/>
      <c r="IU51" s="1"/>
      <c r="IV51" s="1"/>
      <c r="IW51" s="1"/>
      <c r="IX51" s="1"/>
      <c r="IY51" s="1"/>
      <c r="IZ51" s="1"/>
      <c r="JA51" s="1"/>
      <c r="JB51" s="1"/>
      <c r="JC51" s="1"/>
      <c r="JD51" s="1"/>
    </row>
    <row r="52" spans="1:264" s="347" customFormat="1" ht="10.5" customHeight="1" x14ac:dyDescent="0.2">
      <c r="A52" s="426" t="str">
        <f t="shared" si="14"/>
        <v>Investment Experience</v>
      </c>
      <c r="B52" s="348"/>
      <c r="BH52" s="393"/>
      <c r="BI52" s="393"/>
      <c r="BJ52" s="393"/>
      <c r="BK52" s="348"/>
      <c r="BL52" s="393">
        <f t="shared" si="15"/>
        <v>-3.5714285714285698E-2</v>
      </c>
      <c r="BM52" s="393">
        <f t="shared" si="15"/>
        <v>1.2000000000000002</v>
      </c>
      <c r="BN52" s="393">
        <f t="shared" si="15"/>
        <v>0.52597402597402598</v>
      </c>
      <c r="BO52" s="348"/>
      <c r="BP52" s="393">
        <f t="shared" si="16"/>
        <v>-1.2345679012345734E-2</v>
      </c>
      <c r="BQ52" s="393">
        <f t="shared" si="16"/>
        <v>-0.1558441558441559</v>
      </c>
      <c r="BR52" s="393">
        <f t="shared" si="16"/>
        <v>-0.1063829787234043</v>
      </c>
      <c r="BT52" s="393">
        <f t="shared" si="17"/>
        <v>-0.27500000000000002</v>
      </c>
      <c r="BU52" s="393">
        <f t="shared" si="17"/>
        <v>-0.36153846153846159</v>
      </c>
      <c r="BV52" s="393">
        <f t="shared" si="17"/>
        <v>-0.32857142857142863</v>
      </c>
      <c r="BX52" s="393">
        <f t="shared" si="18"/>
        <v>-0.96551724137931039</v>
      </c>
      <c r="BY52" s="393">
        <f t="shared" si="18"/>
        <v>-0.74698795180722888</v>
      </c>
      <c r="BZ52" s="393">
        <f t="shared" si="18"/>
        <v>-0.83687943262411346</v>
      </c>
      <c r="CB52" s="393">
        <f t="shared" si="19"/>
        <v>2</v>
      </c>
      <c r="CC52" s="393">
        <f t="shared" si="19"/>
        <v>-0.90476190476190477</v>
      </c>
      <c r="CD52" s="393">
        <f t="shared" si="19"/>
        <v>-0.65217391304347827</v>
      </c>
      <c r="CF52" s="393">
        <f t="shared" si="20"/>
        <v>-1</v>
      </c>
      <c r="CG52" s="393">
        <f t="shared" si="20"/>
        <v>-1</v>
      </c>
      <c r="CH52" s="393">
        <f t="shared" si="20"/>
        <v>-1</v>
      </c>
      <c r="CJ52" s="393"/>
      <c r="CK52" s="393"/>
      <c r="CL52" s="393"/>
      <c r="CN52" s="393"/>
      <c r="CO52" s="393"/>
      <c r="CP52" s="393"/>
      <c r="CR52" s="393"/>
      <c r="CS52" s="393"/>
      <c r="CT52" s="393"/>
      <c r="CV52" s="393"/>
      <c r="CW52" s="393"/>
      <c r="CX52" s="393"/>
      <c r="CZ52" s="393"/>
      <c r="DA52" s="393"/>
      <c r="DB52" s="393"/>
      <c r="DD52" s="393"/>
      <c r="DE52" s="393"/>
      <c r="DF52" s="393"/>
      <c r="DH52" s="393"/>
      <c r="DI52" s="393"/>
      <c r="DJ52" s="393"/>
      <c r="DL52" s="393"/>
      <c r="DM52" s="393"/>
      <c r="DN52" s="393"/>
      <c r="DP52" s="393"/>
      <c r="DQ52" s="393"/>
      <c r="DR52" s="393"/>
      <c r="DT52" s="1"/>
      <c r="DU52" s="1"/>
      <c r="DV52" s="1"/>
      <c r="DW52" s="1"/>
      <c r="DX52" s="1"/>
      <c r="DY52" s="1"/>
      <c r="DZ52" s="1"/>
      <c r="EA52" s="1"/>
      <c r="EB52" s="1"/>
      <c r="EC52" s="1"/>
      <c r="ED52" s="1"/>
      <c r="EE52" s="1"/>
      <c r="EF52" s="1"/>
      <c r="EG52" s="1"/>
      <c r="EH52" s="1"/>
      <c r="EI52" s="1"/>
      <c r="EJ52" s="1"/>
      <c r="EK52" s="1"/>
      <c r="EL52" s="1"/>
      <c r="EM52" s="1"/>
      <c r="EN52" s="1"/>
      <c r="EO52" s="1"/>
      <c r="EP52" s="1"/>
      <c r="EQ52" s="1"/>
      <c r="ER52" s="1"/>
      <c r="ES52" s="1"/>
      <c r="ET52" s="1"/>
      <c r="EU52" s="1"/>
      <c r="EV52" s="1"/>
      <c r="EW52" s="1"/>
      <c r="EX52" s="1"/>
      <c r="EY52" s="1"/>
      <c r="EZ52" s="1"/>
      <c r="FA52" s="1"/>
      <c r="FB52" s="1"/>
      <c r="FC52" s="1"/>
      <c r="FD52" s="1"/>
      <c r="FE52" s="1"/>
      <c r="FF52" s="1"/>
      <c r="FG52" s="1"/>
      <c r="FH52" s="1"/>
      <c r="FI52" s="1"/>
      <c r="FJ52" s="1"/>
      <c r="FK52" s="1"/>
      <c r="FL52" s="1"/>
      <c r="FM52" s="1"/>
      <c r="FN52" s="1"/>
      <c r="FO52" s="1"/>
      <c r="FP52" s="1"/>
      <c r="FQ52" s="1"/>
      <c r="FR52" s="1"/>
      <c r="FS52" s="1"/>
      <c r="FT52" s="1"/>
      <c r="FU52" s="1"/>
      <c r="FV52" s="1"/>
      <c r="FW52" s="1"/>
      <c r="FX52" s="1"/>
      <c r="FY52" s="1"/>
      <c r="FZ52" s="1"/>
      <c r="GA52" s="1"/>
      <c r="GB52" s="1"/>
      <c r="GC52" s="1"/>
      <c r="GD52" s="1"/>
      <c r="GE52" s="1"/>
      <c r="GF52" s="1"/>
      <c r="GG52" s="1"/>
      <c r="GH52" s="1"/>
      <c r="GI52" s="1"/>
      <c r="GJ52" s="1"/>
      <c r="GK52" s="1"/>
      <c r="GL52" s="1"/>
      <c r="GM52" s="1"/>
      <c r="GN52" s="1"/>
      <c r="GO52" s="1"/>
      <c r="GP52" s="1"/>
      <c r="GQ52" s="1"/>
      <c r="GR52" s="1"/>
      <c r="GS52" s="1"/>
      <c r="GT52" s="1"/>
      <c r="GU52" s="1"/>
      <c r="GV52" s="1"/>
      <c r="GW52" s="1"/>
      <c r="GX52" s="1"/>
      <c r="GY52" s="1"/>
      <c r="GZ52" s="1"/>
      <c r="HA52" s="1"/>
      <c r="HB52" s="1"/>
      <c r="HC52" s="1"/>
      <c r="HD52" s="1"/>
      <c r="HE52" s="1"/>
      <c r="HF52" s="1"/>
      <c r="HG52" s="1"/>
      <c r="HH52" s="1"/>
      <c r="HI52" s="1"/>
      <c r="HJ52" s="1"/>
      <c r="HK52" s="1"/>
      <c r="HL52" s="1"/>
      <c r="HM52" s="1"/>
      <c r="HN52" s="1"/>
      <c r="HO52" s="1"/>
      <c r="HP52" s="1"/>
      <c r="HQ52" s="1"/>
      <c r="HR52" s="1"/>
      <c r="HS52" s="1"/>
      <c r="HT52" s="1"/>
      <c r="HU52" s="1"/>
      <c r="HV52" s="1"/>
      <c r="HW52" s="1"/>
      <c r="HX52" s="1"/>
      <c r="HY52" s="1"/>
      <c r="HZ52" s="1"/>
      <c r="IA52" s="1"/>
      <c r="IB52" s="1"/>
      <c r="IC52" s="1"/>
      <c r="ID52" s="1"/>
      <c r="IE52" s="1"/>
      <c r="IF52" s="1"/>
      <c r="IG52" s="1"/>
      <c r="IH52" s="1"/>
      <c r="II52" s="1"/>
      <c r="IJ52" s="1"/>
      <c r="IK52" s="1"/>
      <c r="IL52" s="1"/>
      <c r="IM52" s="1"/>
      <c r="IN52" s="1"/>
      <c r="IO52" s="1"/>
      <c r="IP52" s="1"/>
      <c r="IQ52" s="1"/>
      <c r="IR52" s="1"/>
      <c r="IS52" s="1"/>
      <c r="IT52" s="1"/>
      <c r="IU52" s="1"/>
      <c r="IV52" s="1"/>
      <c r="IW52" s="1"/>
      <c r="IX52" s="1"/>
      <c r="IY52" s="1"/>
      <c r="IZ52" s="1"/>
      <c r="JA52" s="1"/>
      <c r="JB52" s="1"/>
      <c r="JC52" s="1"/>
      <c r="JD52" s="1"/>
    </row>
    <row r="53" spans="1:264" s="411" customFormat="1" x14ac:dyDescent="0.2">
      <c r="A53" s="427" t="str">
        <f t="shared" si="14"/>
        <v>Wealth Management Income</v>
      </c>
      <c r="B53" s="423"/>
      <c r="BH53" s="428"/>
      <c r="BI53" s="428"/>
      <c r="BJ53" s="428"/>
      <c r="BK53" s="423"/>
      <c r="BL53" s="428">
        <f t="shared" si="15"/>
        <v>0.11195158850226927</v>
      </c>
      <c r="BM53" s="428">
        <f t="shared" si="15"/>
        <v>8.4345961401000702E-2</v>
      </c>
      <c r="BN53" s="428">
        <f t="shared" si="15"/>
        <v>9.7758177140757185E-2</v>
      </c>
      <c r="BO53" s="423"/>
      <c r="BP53" s="428">
        <f t="shared" si="16"/>
        <v>-2.7210884353741083E-3</v>
      </c>
      <c r="BQ53" s="428">
        <f t="shared" si="16"/>
        <v>-2.8345418589321048E-2</v>
      </c>
      <c r="BR53" s="428">
        <f t="shared" si="16"/>
        <v>-1.5734851021091401E-2</v>
      </c>
      <c r="BT53" s="428">
        <f t="shared" si="17"/>
        <v>7.5716234652114522E-2</v>
      </c>
      <c r="BU53" s="428">
        <f t="shared" si="17"/>
        <v>-6.7164179104477584E-2</v>
      </c>
      <c r="BV53" s="428">
        <f t="shared" si="17"/>
        <v>4.0816326530612734E-3</v>
      </c>
      <c r="BX53" s="428">
        <f t="shared" si="18"/>
        <v>-0.29803424223208619</v>
      </c>
      <c r="BY53" s="428">
        <f t="shared" si="18"/>
        <v>-0.23490909090909096</v>
      </c>
      <c r="BZ53" s="428">
        <f t="shared" si="18"/>
        <v>-0.26863143631436315</v>
      </c>
      <c r="CB53" s="428">
        <f t="shared" si="19"/>
        <v>-0.38030713640469738</v>
      </c>
      <c r="CC53" s="428">
        <f t="shared" si="19"/>
        <v>-0.3545627376425855</v>
      </c>
      <c r="CD53" s="428">
        <f t="shared" si="19"/>
        <v>-0.36776285317276514</v>
      </c>
      <c r="CF53" s="428">
        <f t="shared" si="20"/>
        <v>-0.67055393586005829</v>
      </c>
      <c r="CG53" s="428">
        <f t="shared" si="20"/>
        <v>-0.73784977908689253</v>
      </c>
      <c r="CH53" s="428">
        <f t="shared" si="20"/>
        <v>-0.70402930402930397</v>
      </c>
      <c r="CJ53" s="428">
        <f>CJ23/CF23-1</f>
        <v>-0.4247787610619469</v>
      </c>
      <c r="CK53" s="428">
        <f>CK23/CG23-1</f>
        <v>3.3707865168539408E-2</v>
      </c>
      <c r="CL53" s="428">
        <f>CL23/CH23-1</f>
        <v>-0.22277227722772275</v>
      </c>
      <c r="CN53" s="428">
        <f>CN23/CJ23-1</f>
        <v>0.31538461538461537</v>
      </c>
      <c r="CO53" s="428">
        <f>CO23/CK23-1</f>
        <v>-0.24456521739130432</v>
      </c>
      <c r="CP53" s="428">
        <f>CP23/CL23-1</f>
        <v>-1.2738853503184711E-2</v>
      </c>
      <c r="CR53" s="428">
        <f>CR23/CN23-1</f>
        <v>-0.42690058479532167</v>
      </c>
      <c r="CS53" s="428">
        <f>CS23/CO23-1</f>
        <v>-0.20863309352517989</v>
      </c>
      <c r="CT53" s="428">
        <f>CT23/CP23-1</f>
        <v>-0.32903225806451608</v>
      </c>
      <c r="CV53" s="428">
        <f>CV23/CR23-1</f>
        <v>-0.7142857142857143</v>
      </c>
      <c r="CW53" s="428">
        <f>CW23/CS23-1</f>
        <v>-0.50909090909090904</v>
      </c>
      <c r="CX53" s="428">
        <f>CX23/CT23-1</f>
        <v>-0.60576923076923084</v>
      </c>
      <c r="CZ53" s="428">
        <f>CZ23/CV23-1</f>
        <v>0.96428571428571419</v>
      </c>
      <c r="DA53" s="428">
        <f>DA23/CW23-1</f>
        <v>3.7037037037036979E-2</v>
      </c>
      <c r="DB53" s="428">
        <f>DB23/CX23-1</f>
        <v>0.35365853658536595</v>
      </c>
      <c r="DD53" s="428">
        <f>DD23/CZ23-1</f>
        <v>9.0909090909090828E-2</v>
      </c>
      <c r="DE53" s="428">
        <f>DE23/DA23-1</f>
        <v>0.10714285714285721</v>
      </c>
      <c r="DF53" s="428">
        <f>DF23/DB23-1</f>
        <v>9.9099099099099197E-2</v>
      </c>
      <c r="DH53" s="428">
        <f>DH23/DD23-1</f>
        <v>0.1166666666666667</v>
      </c>
      <c r="DI53" s="428">
        <f>DI23/DE23-1</f>
        <v>0.10225806451612907</v>
      </c>
      <c r="DJ53" s="428">
        <f>DJ23/DF23-1</f>
        <v>0.10934426229508198</v>
      </c>
      <c r="DL53" s="428">
        <f>DL23/DH23-1</f>
        <v>4.0399999999999991E-2</v>
      </c>
      <c r="DM53" s="428">
        <f>DM23/DI23-1</f>
        <v>4.0399999999999991E-2</v>
      </c>
      <c r="DN53" s="428">
        <f>DN23/DJ23-1</f>
        <v>4.0399999999999991E-2</v>
      </c>
      <c r="DP53" s="428">
        <f>DP23/DL23-1</f>
        <v>4.0399999999999991E-2</v>
      </c>
      <c r="DQ53" s="428">
        <f>DQ23/DM23-1</f>
        <v>4.0399999999999991E-2</v>
      </c>
      <c r="DR53" s="428">
        <f>DR23/DN23-1</f>
        <v>4.0399999999999991E-2</v>
      </c>
      <c r="DT53" s="1"/>
      <c r="DU53" s="1"/>
      <c r="DV53" s="1"/>
      <c r="DW53" s="1"/>
      <c r="DX53" s="1"/>
      <c r="DY53" s="1"/>
      <c r="DZ53" s="1"/>
      <c r="EA53" s="1"/>
      <c r="EB53" s="1"/>
      <c r="EC53" s="1"/>
      <c r="ED53" s="1"/>
      <c r="EE53" s="1"/>
      <c r="EF53" s="1"/>
      <c r="EG53" s="1"/>
      <c r="EH53" s="1"/>
      <c r="EI53" s="1"/>
      <c r="EJ53" s="1"/>
      <c r="EK53" s="1"/>
      <c r="EL53" s="1"/>
      <c r="EM53" s="1"/>
      <c r="EN53" s="1"/>
      <c r="EO53" s="1"/>
      <c r="EP53" s="1"/>
      <c r="EQ53" s="1"/>
      <c r="ER53" s="1"/>
      <c r="ES53" s="1"/>
      <c r="ET53" s="1"/>
      <c r="EU53" s="1"/>
      <c r="EV53" s="1"/>
      <c r="EW53" s="1"/>
      <c r="EX53" s="1"/>
      <c r="EY53" s="1"/>
      <c r="EZ53" s="1"/>
      <c r="FA53" s="1"/>
      <c r="FB53" s="1"/>
      <c r="FC53" s="1"/>
      <c r="FD53" s="1"/>
      <c r="FE53" s="1"/>
      <c r="FF53" s="1"/>
      <c r="FG53" s="1"/>
      <c r="FH53" s="1"/>
      <c r="FI53" s="1"/>
      <c r="FJ53" s="1"/>
      <c r="FK53" s="1"/>
      <c r="FL53" s="1"/>
      <c r="FM53" s="1"/>
      <c r="FN53" s="1"/>
      <c r="FO53" s="1"/>
      <c r="FP53" s="1"/>
      <c r="FQ53" s="1"/>
      <c r="FR53" s="1"/>
      <c r="FS53" s="1"/>
      <c r="FT53" s="1"/>
      <c r="FU53" s="1"/>
      <c r="FV53" s="1"/>
      <c r="FW53" s="1"/>
      <c r="FX53" s="1"/>
      <c r="FY53" s="1"/>
      <c r="FZ53" s="1"/>
      <c r="GA53" s="1"/>
      <c r="GB53" s="1"/>
      <c r="GC53" s="1"/>
      <c r="GD53" s="1"/>
      <c r="GE53" s="1"/>
      <c r="GF53" s="1"/>
      <c r="GG53" s="1"/>
      <c r="GH53" s="1"/>
      <c r="GI53" s="1"/>
      <c r="GJ53" s="1"/>
      <c r="GK53" s="1"/>
      <c r="GL53" s="1"/>
      <c r="GM53" s="1"/>
      <c r="GN53" s="1"/>
      <c r="GO53" s="1"/>
      <c r="GP53" s="1"/>
      <c r="GQ53" s="1"/>
      <c r="GR53" s="1"/>
      <c r="GS53" s="1"/>
      <c r="GT53" s="1"/>
      <c r="GU53" s="1"/>
      <c r="GV53" s="1"/>
      <c r="GW53" s="1"/>
      <c r="GX53" s="1"/>
      <c r="GY53" s="1"/>
      <c r="GZ53" s="1"/>
      <c r="HA53" s="1"/>
      <c r="HB53" s="1"/>
      <c r="HC53" s="1"/>
      <c r="HD53" s="1"/>
      <c r="HE53" s="1"/>
      <c r="HF53" s="1"/>
      <c r="HG53" s="1"/>
      <c r="HH53" s="1"/>
      <c r="HI53" s="1"/>
      <c r="HJ53" s="1"/>
      <c r="HK53" s="1"/>
      <c r="HL53" s="1"/>
      <c r="HM53" s="1"/>
      <c r="HN53" s="1"/>
      <c r="HO53" s="1"/>
      <c r="HP53" s="1"/>
      <c r="HQ53" s="1"/>
      <c r="HR53" s="1"/>
      <c r="HS53" s="1"/>
      <c r="HT53" s="1"/>
      <c r="HU53" s="1"/>
      <c r="HV53" s="1"/>
      <c r="HW53" s="1"/>
      <c r="HX53" s="1"/>
      <c r="HY53" s="1"/>
      <c r="HZ53" s="1"/>
      <c r="IA53" s="1"/>
      <c r="IB53" s="1"/>
      <c r="IC53" s="1"/>
      <c r="ID53" s="1"/>
      <c r="IE53" s="1"/>
      <c r="IF53" s="1"/>
      <c r="IG53" s="1"/>
      <c r="IH53" s="1"/>
      <c r="II53" s="1"/>
      <c r="IJ53" s="1"/>
      <c r="IK53" s="1"/>
      <c r="IL53" s="1"/>
      <c r="IM53" s="1"/>
      <c r="IN53" s="1"/>
      <c r="IO53" s="1"/>
      <c r="IP53" s="1"/>
      <c r="IQ53" s="1"/>
      <c r="IR53" s="1"/>
      <c r="IS53" s="1"/>
      <c r="IT53" s="1"/>
      <c r="IU53" s="1"/>
      <c r="IV53" s="1"/>
      <c r="IW53" s="1"/>
      <c r="IX53" s="1"/>
      <c r="IY53" s="1"/>
      <c r="IZ53" s="1"/>
      <c r="JA53" s="1"/>
      <c r="JB53" s="1"/>
      <c r="JC53" s="1"/>
      <c r="JD53" s="1"/>
    </row>
    <row r="54" spans="1:264" s="411" customFormat="1" x14ac:dyDescent="0.2">
      <c r="A54" s="424" t="str">
        <f t="shared" ref="A54" si="33">A25</f>
        <v>Total Income</v>
      </c>
      <c r="B54" s="423"/>
      <c r="BH54" s="428"/>
      <c r="BI54" s="428"/>
      <c r="BJ54" s="428"/>
      <c r="BK54" s="423"/>
      <c r="BL54" s="428">
        <f t="shared" ref="BL54:BN54" si="34">BL25/BH25-1</f>
        <v>8.348721936048209E-2</v>
      </c>
      <c r="BM54" s="428">
        <f t="shared" si="34"/>
        <v>6.8458032662362278E-2</v>
      </c>
      <c r="BN54" s="428">
        <f t="shared" si="34"/>
        <v>7.5884923874933952E-2</v>
      </c>
      <c r="BO54" s="423"/>
      <c r="BP54" s="428">
        <f t="shared" ref="BP54:BR54" si="35">BP25/BL25-1</f>
        <v>5.1578758521708012E-2</v>
      </c>
      <c r="BQ54" s="428">
        <f t="shared" si="35"/>
        <v>5.3496845285701644E-2</v>
      </c>
      <c r="BR54" s="428">
        <f t="shared" si="35"/>
        <v>5.2542297218874268E-2</v>
      </c>
      <c r="BT54" s="428">
        <f t="shared" ref="BT54:BV54" si="36">BT25/BP25-1</f>
        <v>5.9455770707156796E-2</v>
      </c>
      <c r="BU54" s="428">
        <f t="shared" si="36"/>
        <v>3.9814424293546979E-2</v>
      </c>
      <c r="BV54" s="428">
        <f t="shared" si="36"/>
        <v>4.9580117058274586E-2</v>
      </c>
      <c r="BX54" s="428">
        <f t="shared" ref="BX54:BZ54" si="37">BX25/BT25-1</f>
        <v>3.3413848631239862E-2</v>
      </c>
      <c r="BY54" s="428">
        <f t="shared" si="37"/>
        <v>9.5724831670316313E-3</v>
      </c>
      <c r="BZ54" s="428">
        <f t="shared" si="37"/>
        <v>2.1537964197680504E-2</v>
      </c>
      <c r="CB54" s="428">
        <f t="shared" ref="CB54:CD54" si="38">CB25/BX25-1</f>
        <v>-1.4491624464355257E-2</v>
      </c>
      <c r="CC54" s="428">
        <f t="shared" si="38"/>
        <v>-1.3820811570911973E-2</v>
      </c>
      <c r="CD54" s="428">
        <f t="shared" si="38"/>
        <v>-1.4161392405063311E-2</v>
      </c>
      <c r="CF54" s="428">
        <f t="shared" ref="CF54:CH54" si="39">CF25/CB25-1</f>
        <v>-5.2098980156534136E-2</v>
      </c>
      <c r="CG54" s="428">
        <f t="shared" si="39"/>
        <v>-5.5732094842336877E-2</v>
      </c>
      <c r="CH54" s="428">
        <f t="shared" si="39"/>
        <v>-5.3888130968622105E-2</v>
      </c>
      <c r="CJ54" s="428">
        <f t="shared" ref="CJ54:CP54" si="40">CJ25/CF25-1</f>
        <v>2.7522935779815683E-3</v>
      </c>
      <c r="CK54" s="428">
        <f t="shared" si="40"/>
        <v>1.2857019587539931E-2</v>
      </c>
      <c r="CL54" s="428">
        <f t="shared" si="40"/>
        <v>7.7187327706857989E-3</v>
      </c>
      <c r="CN54" s="428">
        <f t="shared" si="40"/>
        <v>-5.1567828329035503E-3</v>
      </c>
      <c r="CO54" s="428">
        <f t="shared" si="40"/>
        <v>3.8933378769807403E-2</v>
      </c>
      <c r="CP54" s="428">
        <f t="shared" si="40"/>
        <v>1.6623879466352465E-2</v>
      </c>
      <c r="CR54" s="428">
        <f t="shared" ref="CR54:CX54" si="41">CR25/CN25-1</f>
        <v>1.2206337262770761E-2</v>
      </c>
      <c r="CS54" s="428">
        <f t="shared" si="41"/>
        <v>3.1734317343173446E-2</v>
      </c>
      <c r="CT54" s="428">
        <f t="shared" si="41"/>
        <v>2.2064911409173771E-2</v>
      </c>
      <c r="CV54" s="428">
        <f t="shared" si="41"/>
        <v>0.12521681671760132</v>
      </c>
      <c r="CW54" s="428">
        <f t="shared" si="41"/>
        <v>7.3915116833571659E-2</v>
      </c>
      <c r="CX54" s="428">
        <f t="shared" si="41"/>
        <v>9.9072461420065538E-2</v>
      </c>
      <c r="CZ54" s="428">
        <f t="shared" ref="CZ54:DD54" si="42">CZ25/CV25-1</f>
        <v>1.9085370329590123E-3</v>
      </c>
      <c r="DA54" s="428">
        <f t="shared" si="42"/>
        <v>9.6210775606864196E-4</v>
      </c>
      <c r="DB54" s="428">
        <f t="shared" si="42"/>
        <v>1.4372581536761242E-3</v>
      </c>
      <c r="DD54" s="428">
        <f t="shared" si="42"/>
        <v>3.2822917429848442E-2</v>
      </c>
      <c r="DE54" s="428">
        <f t="shared" ref="DE54" si="43">DE25/DA25-1</f>
        <v>6.2329020332717144E-2</v>
      </c>
      <c r="DF54" s="428">
        <f t="shared" ref="DF54" si="44">DF25/DB25-1</f>
        <v>4.7508647972326568E-2</v>
      </c>
      <c r="DH54" s="428">
        <f t="shared" ref="DH54" si="45">DH25/DD25-1</f>
        <v>6.5545860821451418E-2</v>
      </c>
      <c r="DI54" s="428">
        <f t="shared" ref="DI54:DJ54" si="46">DI25/DE25-1</f>
        <v>5.942277367723614E-2</v>
      </c>
      <c r="DJ54" s="428">
        <f t="shared" si="46"/>
        <v>6.2455169934815702E-2</v>
      </c>
      <c r="DL54" s="428">
        <f t="shared" ref="DL54:DN54" si="47">DL25/DH25-1</f>
        <v>6.3406239990977165E-2</v>
      </c>
      <c r="DM54" s="428">
        <f t="shared" si="47"/>
        <v>5.358522445031122E-2</v>
      </c>
      <c r="DN54" s="428">
        <f t="shared" si="47"/>
        <v>5.846313062025521E-2</v>
      </c>
      <c r="DP54" s="428">
        <f t="shared" ref="DP54" si="48">DP25/DL25-1</f>
        <v>4.2441899562077223E-2</v>
      </c>
      <c r="DQ54" s="428">
        <f t="shared" ref="DQ54" si="49">DQ25/DM25-1</f>
        <v>4.3004846372896699E-2</v>
      </c>
      <c r="DR54" s="428">
        <f t="shared" ref="DR54" si="50">DR25/DN25-1</f>
        <v>4.2723935935171875E-2</v>
      </c>
      <c r="DT54" s="1"/>
      <c r="DU54" s="1"/>
      <c r="DV54" s="1"/>
      <c r="DW54" s="1"/>
      <c r="DX54" s="1"/>
      <c r="DY54" s="1"/>
      <c r="DZ54" s="1"/>
      <c r="EA54" s="1"/>
      <c r="EB54" s="1"/>
      <c r="EC54" s="1"/>
      <c r="ED54" s="1"/>
      <c r="EE54" s="1"/>
      <c r="EF54" s="1"/>
      <c r="EG54" s="1"/>
      <c r="EH54" s="1"/>
      <c r="EI54" s="1"/>
      <c r="EJ54" s="1"/>
      <c r="EK54" s="1"/>
      <c r="EL54" s="1"/>
      <c r="EM54" s="1"/>
      <c r="EN54" s="1"/>
      <c r="EO54" s="1"/>
      <c r="EP54" s="1"/>
      <c r="EQ54" s="1"/>
      <c r="ER54" s="1"/>
      <c r="ES54" s="1"/>
      <c r="ET54" s="1"/>
      <c r="EU54" s="1"/>
      <c r="EV54" s="1"/>
      <c r="EW54" s="1"/>
      <c r="EX54" s="1"/>
      <c r="EY54" s="1"/>
      <c r="EZ54" s="1"/>
      <c r="FA54" s="1"/>
      <c r="FB54" s="1"/>
      <c r="FC54" s="1"/>
      <c r="FD54" s="1"/>
      <c r="FE54" s="1"/>
      <c r="FF54" s="1"/>
      <c r="FG54" s="1"/>
      <c r="FH54" s="1"/>
      <c r="FI54" s="1"/>
      <c r="FJ54" s="1"/>
      <c r="FK54" s="1"/>
      <c r="FL54" s="1"/>
      <c r="FM54" s="1"/>
      <c r="FN54" s="1"/>
      <c r="FO54" s="1"/>
      <c r="FP54" s="1"/>
      <c r="FQ54" s="1"/>
      <c r="FR54" s="1"/>
      <c r="FS54" s="1"/>
      <c r="FT54" s="1"/>
      <c r="FU54" s="1"/>
      <c r="FV54" s="1"/>
      <c r="FW54" s="1"/>
      <c r="FX54" s="1"/>
      <c r="FY54" s="1"/>
      <c r="FZ54" s="1"/>
      <c r="GA54" s="1"/>
      <c r="GB54" s="1"/>
      <c r="GC54" s="1"/>
      <c r="GD54" s="1"/>
      <c r="GE54" s="1"/>
      <c r="GF54" s="1"/>
      <c r="GG54" s="1"/>
      <c r="GH54" s="1"/>
      <c r="GI54" s="1"/>
      <c r="GJ54" s="1"/>
      <c r="GK54" s="1"/>
      <c r="GL54" s="1"/>
      <c r="GM54" s="1"/>
      <c r="GN54" s="1"/>
      <c r="GO54" s="1"/>
      <c r="GP54" s="1"/>
      <c r="GQ54" s="1"/>
      <c r="GR54" s="1"/>
      <c r="GS54" s="1"/>
      <c r="GT54" s="1"/>
      <c r="GU54" s="1"/>
      <c r="GV54" s="1"/>
      <c r="GW54" s="1"/>
      <c r="GX54" s="1"/>
      <c r="GY54" s="1"/>
      <c r="GZ54" s="1"/>
      <c r="HA54" s="1"/>
      <c r="HB54" s="1"/>
      <c r="HC54" s="1"/>
      <c r="HD54" s="1"/>
      <c r="HE54" s="1"/>
      <c r="HF54" s="1"/>
      <c r="HG54" s="1"/>
      <c r="HH54" s="1"/>
      <c r="HI54" s="1"/>
      <c r="HJ54" s="1"/>
      <c r="HK54" s="1"/>
      <c r="HL54" s="1"/>
      <c r="HM54" s="1"/>
      <c r="HN54" s="1"/>
      <c r="HO54" s="1"/>
      <c r="HP54" s="1"/>
      <c r="HQ54" s="1"/>
      <c r="HR54" s="1"/>
      <c r="HS54" s="1"/>
      <c r="HT54" s="1"/>
      <c r="HU54" s="1"/>
      <c r="HV54" s="1"/>
      <c r="HW54" s="1"/>
      <c r="HX54" s="1"/>
      <c r="HY54" s="1"/>
      <c r="HZ54" s="1"/>
      <c r="IA54" s="1"/>
      <c r="IB54" s="1"/>
      <c r="IC54" s="1"/>
      <c r="ID54" s="1"/>
      <c r="IE54" s="1"/>
      <c r="IF54" s="1"/>
      <c r="IG54" s="1"/>
      <c r="IH54" s="1"/>
      <c r="II54" s="1"/>
      <c r="IJ54" s="1"/>
      <c r="IK54" s="1"/>
      <c r="IL54" s="1"/>
      <c r="IM54" s="1"/>
      <c r="IN54" s="1"/>
      <c r="IO54" s="1"/>
      <c r="IP54" s="1"/>
      <c r="IQ54" s="1"/>
      <c r="IR54" s="1"/>
      <c r="IS54" s="1"/>
      <c r="IT54" s="1"/>
      <c r="IU54" s="1"/>
      <c r="IV54" s="1"/>
      <c r="IW54" s="1"/>
      <c r="IX54" s="1"/>
      <c r="IY54" s="1"/>
      <c r="IZ54" s="1"/>
      <c r="JA54" s="1"/>
      <c r="JB54" s="1"/>
      <c r="JC54" s="1"/>
      <c r="JD54" s="1"/>
    </row>
    <row r="55" spans="1:264" s="347" customFormat="1" x14ac:dyDescent="0.2">
      <c r="A55" s="426" t="str">
        <f>A30</f>
        <v>Total Operating Expenses</v>
      </c>
      <c r="B55" s="348"/>
      <c r="BH55" s="393"/>
      <c r="BI55" s="393"/>
      <c r="BJ55" s="393"/>
      <c r="BK55" s="348"/>
      <c r="BL55" s="393">
        <f t="shared" ref="BL55:BN59" si="51">BL30/BH30-1</f>
        <v>6.3577344974255601E-2</v>
      </c>
      <c r="BM55" s="393">
        <f t="shared" si="51"/>
        <v>4.512436715826551E-2</v>
      </c>
      <c r="BN55" s="393">
        <f t="shared" si="51"/>
        <v>5.4273029966703579E-2</v>
      </c>
      <c r="BO55" s="348"/>
      <c r="BP55" s="393">
        <f t="shared" ref="BP55:BR59" si="52">BP30/BL30-1</f>
        <v>3.4308566617554215E-2</v>
      </c>
      <c r="BQ55" s="393">
        <f t="shared" si="52"/>
        <v>6.9713563605728668E-2</v>
      </c>
      <c r="BR55" s="393">
        <f t="shared" si="52"/>
        <v>5.2005474260448548E-2</v>
      </c>
      <c r="BT55" s="393">
        <f t="shared" ref="BT55:BV59" si="53">BT30/BP30-1</f>
        <v>6.0236060236060318E-2</v>
      </c>
      <c r="BU55" s="393">
        <f t="shared" si="53"/>
        <v>2.8548926954124809E-2</v>
      </c>
      <c r="BV55" s="393">
        <f t="shared" si="53"/>
        <v>4.413089162413697E-2</v>
      </c>
      <c r="BX55" s="393">
        <f t="shared" ref="BX55:BZ59" si="54">BX30/BT30-1</f>
        <v>5.0671785028790772E-2</v>
      </c>
      <c r="BY55" s="393">
        <f t="shared" si="54"/>
        <v>-1.4548238897396648E-2</v>
      </c>
      <c r="BZ55" s="393">
        <f t="shared" si="54"/>
        <v>1.8018018018018056E-2</v>
      </c>
      <c r="CB55" s="393">
        <f t="shared" ref="CB55:CH59" si="55">CB30/BX30-1</f>
        <v>-3.2882718304713121E-3</v>
      </c>
      <c r="CC55" s="393">
        <f t="shared" si="55"/>
        <v>7.5951825951825924E-2</v>
      </c>
      <c r="CD55" s="393">
        <f t="shared" si="55"/>
        <v>3.5115797401619187E-2</v>
      </c>
      <c r="CF55" s="393">
        <f t="shared" si="55"/>
        <v>-7.1480938416422335E-2</v>
      </c>
      <c r="CG55" s="393">
        <f t="shared" si="55"/>
        <v>3.9537822711680715E-2</v>
      </c>
      <c r="CH55" s="393">
        <f t="shared" si="55"/>
        <v>-1.5552523874488355E-2</v>
      </c>
      <c r="CJ55" s="393">
        <f>CJ30/CF30-1</f>
        <v>3.7702329253849198E-2</v>
      </c>
      <c r="CK55" s="393">
        <f t="shared" ref="CK55:CL59" si="56">CK30/CG30-1</f>
        <v>-3.2997568600208194E-3</v>
      </c>
      <c r="CL55" s="393">
        <f t="shared" si="56"/>
        <v>1.5890613451589042E-2</v>
      </c>
      <c r="CN55" s="393">
        <f>CN30/CJ30-1</f>
        <v>6.3534335172151346E-2</v>
      </c>
      <c r="CO55" s="393">
        <f t="shared" ref="CO55:CP59" si="57">CO30/CK30-1</f>
        <v>5.0531451472382027E-3</v>
      </c>
      <c r="CP55" s="393">
        <f t="shared" si="57"/>
        <v>3.3012004365223779E-2</v>
      </c>
      <c r="CR55" s="393">
        <f>CR30/CN30-1</f>
        <v>-1.8064746914684293E-2</v>
      </c>
      <c r="CS55" s="393">
        <f t="shared" ref="CS55:CT59" si="58">CS30/CO30-1</f>
        <v>2.9472954230235882E-2</v>
      </c>
      <c r="CT55" s="393">
        <f t="shared" si="58"/>
        <v>6.0744783871820029E-3</v>
      </c>
      <c r="CV55" s="393">
        <f>CV30/CR30-1</f>
        <v>5.1548269581056516E-2</v>
      </c>
      <c r="CW55" s="393">
        <f t="shared" ref="CW55:CX59" si="59">CW30/CS30-1</f>
        <v>2.4755810037049519E-2</v>
      </c>
      <c r="CX55" s="393">
        <f t="shared" si="59"/>
        <v>3.762688134406722E-2</v>
      </c>
      <c r="CZ55" s="393">
        <f>CZ30/CV30-1</f>
        <v>4.1226398752814752E-2</v>
      </c>
      <c r="DA55" s="393">
        <f t="shared" ref="DA55:DB59" si="60">DA30/CW30-1</f>
        <v>2.0049301561216204E-2</v>
      </c>
      <c r="DB55" s="393">
        <f t="shared" si="60"/>
        <v>3.0359251138471821E-2</v>
      </c>
      <c r="DD55" s="393">
        <f>DD30/CZ30-1</f>
        <v>6.0056562967892191E-2</v>
      </c>
      <c r="DE55" s="393">
        <f t="shared" ref="DE55:DE59" si="61">DE30/DA30-1</f>
        <v>6.7182213629772836E-2</v>
      </c>
      <c r="DF55" s="393">
        <f t="shared" ref="DF55:DF59" si="62">DF30/DB30-1</f>
        <v>6.3676542805696457E-2</v>
      </c>
      <c r="DH55" s="393">
        <f>DH30/DD30-1</f>
        <v>8.1293157564344076E-2</v>
      </c>
      <c r="DI55" s="393">
        <f t="shared" ref="DI55:DJ59" si="63">DI30/DE30-1</f>
        <v>2.5090670505328871E-2</v>
      </c>
      <c r="DJ55" s="393">
        <f t="shared" si="63"/>
        <v>5.2647014575815554E-2</v>
      </c>
      <c r="DL55" s="393">
        <f t="shared" ref="DL55:DN59" si="64">DL30/DH30-1</f>
        <v>1.6124606186552537E-2</v>
      </c>
      <c r="DM55" s="393">
        <f t="shared" si="64"/>
        <v>4.1566825554119724E-2</v>
      </c>
      <c r="DN55" s="393">
        <f t="shared" si="64"/>
        <v>2.875291320372253E-2</v>
      </c>
      <c r="DP55" s="393">
        <f t="shared" ref="DP55:DP59" si="65">DP30/DL30-1</f>
        <v>4.1266272166461393E-2</v>
      </c>
      <c r="DQ55" s="393">
        <f t="shared" ref="DQ55:DQ59" si="66">DQ30/DM30-1</f>
        <v>4.3798333276386048E-2</v>
      </c>
      <c r="DR55" s="393">
        <f t="shared" ref="DR55:DR59" si="67">DR30/DN30-1</f>
        <v>4.2538721160733317E-2</v>
      </c>
      <c r="DT55" s="1"/>
      <c r="DU55" s="1"/>
      <c r="DV55" s="1"/>
      <c r="DW55" s="1"/>
      <c r="DX55" s="1"/>
      <c r="DY55" s="1"/>
      <c r="DZ55" s="1"/>
      <c r="EA55" s="1"/>
      <c r="EB55" s="1"/>
      <c r="EC55" s="1"/>
      <c r="ED55" s="1"/>
      <c r="EE55" s="1"/>
      <c r="EF55" s="1"/>
      <c r="EG55" s="1"/>
      <c r="EH55" s="1"/>
      <c r="EI55" s="1"/>
      <c r="EJ55" s="1"/>
      <c r="EK55" s="1"/>
      <c r="EL55" s="1"/>
      <c r="EM55" s="1"/>
      <c r="EN55" s="1"/>
      <c r="EO55" s="1"/>
      <c r="EP55" s="1"/>
      <c r="EQ55" s="1"/>
      <c r="ER55" s="1"/>
      <c r="ES55" s="1"/>
      <c r="ET55" s="1"/>
      <c r="EU55" s="1"/>
      <c r="EV55" s="1"/>
      <c r="EW55" s="1"/>
      <c r="EX55" s="1"/>
      <c r="EY55" s="1"/>
      <c r="EZ55" s="1"/>
      <c r="FA55" s="1"/>
      <c r="FB55" s="1"/>
      <c r="FC55" s="1"/>
      <c r="FD55" s="1"/>
      <c r="FE55" s="1"/>
      <c r="FF55" s="1"/>
      <c r="FG55" s="1"/>
      <c r="FH55" s="1"/>
      <c r="FI55" s="1"/>
      <c r="FJ55" s="1"/>
      <c r="FK55" s="1"/>
      <c r="FL55" s="1"/>
      <c r="FM55" s="1"/>
      <c r="FN55" s="1"/>
      <c r="FO55" s="1"/>
      <c r="FP55" s="1"/>
      <c r="FQ55" s="1"/>
      <c r="FR55" s="1"/>
      <c r="FS55" s="1"/>
      <c r="FT55" s="1"/>
      <c r="FU55" s="1"/>
      <c r="FV55" s="1"/>
      <c r="FW55" s="1"/>
      <c r="FX55" s="1"/>
      <c r="FY55" s="1"/>
      <c r="FZ55" s="1"/>
      <c r="GA55" s="1"/>
      <c r="GB55" s="1"/>
      <c r="GC55" s="1"/>
      <c r="GD55" s="1"/>
      <c r="GE55" s="1"/>
      <c r="GF55" s="1"/>
      <c r="GG55" s="1"/>
      <c r="GH55" s="1"/>
      <c r="GI55" s="1"/>
      <c r="GJ55" s="1"/>
      <c r="GK55" s="1"/>
      <c r="GL55" s="1"/>
      <c r="GM55" s="1"/>
      <c r="GN55" s="1"/>
      <c r="GO55" s="1"/>
      <c r="GP55" s="1"/>
      <c r="GQ55" s="1"/>
      <c r="GR55" s="1"/>
      <c r="GS55" s="1"/>
      <c r="GT55" s="1"/>
      <c r="GU55" s="1"/>
      <c r="GV55" s="1"/>
      <c r="GW55" s="1"/>
      <c r="GX55" s="1"/>
      <c r="GY55" s="1"/>
      <c r="GZ55" s="1"/>
      <c r="HA55" s="1"/>
      <c r="HB55" s="1"/>
      <c r="HC55" s="1"/>
      <c r="HD55" s="1"/>
      <c r="HE55" s="1"/>
      <c r="HF55" s="1"/>
      <c r="HG55" s="1"/>
      <c r="HH55" s="1"/>
      <c r="HI55" s="1"/>
      <c r="HJ55" s="1"/>
      <c r="HK55" s="1"/>
      <c r="HL55" s="1"/>
      <c r="HM55" s="1"/>
      <c r="HN55" s="1"/>
      <c r="HO55" s="1"/>
      <c r="HP55" s="1"/>
      <c r="HQ55" s="1"/>
      <c r="HR55" s="1"/>
      <c r="HS55" s="1"/>
      <c r="HT55" s="1"/>
      <c r="HU55" s="1"/>
      <c r="HV55" s="1"/>
      <c r="HW55" s="1"/>
      <c r="HX55" s="1"/>
      <c r="HY55" s="1"/>
      <c r="HZ55" s="1"/>
      <c r="IA55" s="1"/>
      <c r="IB55" s="1"/>
      <c r="IC55" s="1"/>
      <c r="ID55" s="1"/>
      <c r="IE55" s="1"/>
      <c r="IF55" s="1"/>
      <c r="IG55" s="1"/>
      <c r="IH55" s="1"/>
      <c r="II55" s="1"/>
      <c r="IJ55" s="1"/>
      <c r="IK55" s="1"/>
      <c r="IL55" s="1"/>
      <c r="IM55" s="1"/>
      <c r="IN55" s="1"/>
      <c r="IO55" s="1"/>
      <c r="IP55" s="1"/>
      <c r="IQ55" s="1"/>
      <c r="IR55" s="1"/>
      <c r="IS55" s="1"/>
      <c r="IT55" s="1"/>
      <c r="IU55" s="1"/>
      <c r="IV55" s="1"/>
      <c r="IW55" s="1"/>
      <c r="IX55" s="1"/>
      <c r="IY55" s="1"/>
      <c r="IZ55" s="1"/>
      <c r="JA55" s="1"/>
      <c r="JB55" s="1"/>
      <c r="JC55" s="1"/>
      <c r="JD55" s="1"/>
    </row>
    <row r="56" spans="1:264" s="411" customFormat="1" x14ac:dyDescent="0.2">
      <c r="A56" s="424" t="str">
        <f>A31</f>
        <v>Pre-Provision Profit</v>
      </c>
      <c r="B56" s="423"/>
      <c r="BH56" s="428"/>
      <c r="BI56" s="428"/>
      <c r="BJ56" s="428"/>
      <c r="BK56" s="423"/>
      <c r="BL56" s="428">
        <f t="shared" si="51"/>
        <v>9.8763311576777646E-2</v>
      </c>
      <c r="BM56" s="428">
        <f t="shared" si="51"/>
        <v>8.6157956253130719E-2</v>
      </c>
      <c r="BN56" s="428">
        <f t="shared" si="51"/>
        <v>9.2371518076369563E-2</v>
      </c>
      <c r="BO56" s="423"/>
      <c r="BP56" s="428">
        <f t="shared" si="52"/>
        <v>6.4405189932780882E-2</v>
      </c>
      <c r="BQ56" s="428">
        <f t="shared" si="52"/>
        <v>4.1660261337432836E-2</v>
      </c>
      <c r="BR56" s="428">
        <f t="shared" si="52"/>
        <v>5.2937529065261169E-2</v>
      </c>
      <c r="BT56" s="428">
        <f t="shared" si="53"/>
        <v>5.889264209134959E-2</v>
      </c>
      <c r="BU56" s="428">
        <f t="shared" si="53"/>
        <v>4.8258559622196051E-2</v>
      </c>
      <c r="BV56" s="428">
        <f t="shared" si="53"/>
        <v>5.3588516746411408E-2</v>
      </c>
      <c r="BX56" s="428">
        <f t="shared" si="54"/>
        <v>2.0943134535367447E-2</v>
      </c>
      <c r="BY56" s="428">
        <f t="shared" si="54"/>
        <v>2.731240320991124E-2</v>
      </c>
      <c r="BZ56" s="428">
        <f t="shared" si="54"/>
        <v>2.410396143366178E-2</v>
      </c>
      <c r="CB56" s="428">
        <f t="shared" si="55"/>
        <v>-2.282298600733601E-2</v>
      </c>
      <c r="CC56" s="428">
        <f t="shared" si="55"/>
        <v>-7.7154995203508325E-2</v>
      </c>
      <c r="CD56" s="428">
        <f t="shared" si="55"/>
        <v>-4.9870377950607225E-2</v>
      </c>
      <c r="CF56" s="428">
        <f t="shared" si="55"/>
        <v>-3.7397469762268876E-2</v>
      </c>
      <c r="CG56" s="428">
        <f t="shared" si="55"/>
        <v>-0.13409563409563408</v>
      </c>
      <c r="CH56" s="428">
        <f t="shared" si="55"/>
        <v>-8.4153083937675066E-2</v>
      </c>
      <c r="CJ56" s="428">
        <f>CJ31/CF31-1</f>
        <v>-2.281917966493352E-2</v>
      </c>
      <c r="CK56" s="428">
        <f t="shared" si="56"/>
        <v>2.881152460984393E-2</v>
      </c>
      <c r="CL56" s="428">
        <f t="shared" si="56"/>
        <v>7.8400627205010842E-4</v>
      </c>
      <c r="CN56" s="428">
        <f>CN31/CJ31-1</f>
        <v>-5.8527933786579944E-2</v>
      </c>
      <c r="CO56" s="428">
        <f t="shared" si="57"/>
        <v>7.1345224204033997E-2</v>
      </c>
      <c r="CP56" s="428">
        <f t="shared" si="57"/>
        <v>2.5068546807678338E-3</v>
      </c>
      <c r="CR56" s="428">
        <f>CR31/CN31-1</f>
        <v>3.8775510204081653E-2</v>
      </c>
      <c r="CS56" s="428">
        <f t="shared" si="58"/>
        <v>3.3763808931072115E-2</v>
      </c>
      <c r="CT56" s="428">
        <f t="shared" si="58"/>
        <v>3.6258498085488755E-2</v>
      </c>
      <c r="CV56" s="428">
        <f>CV31/CR31-1</f>
        <v>0.1863382197370409</v>
      </c>
      <c r="CW56" s="428">
        <f t="shared" si="59"/>
        <v>0.11785069235400369</v>
      </c>
      <c r="CX56" s="428">
        <f t="shared" si="59"/>
        <v>0.15202473418294238</v>
      </c>
      <c r="CZ56" s="428">
        <f>CZ31/CV31-1</f>
        <v>-2.7006369426751609E-2</v>
      </c>
      <c r="DA56" s="428">
        <f t="shared" si="60"/>
        <v>-1.4676181499932661E-2</v>
      </c>
      <c r="DB56" s="428">
        <f t="shared" si="60"/>
        <v>-2.1011978791647623E-2</v>
      </c>
      <c r="DD56" s="428">
        <f>DD31/CZ31-1</f>
        <v>1.1390416339355891E-2</v>
      </c>
      <c r="DE56" s="428">
        <f t="shared" si="61"/>
        <v>5.8212626400655942E-2</v>
      </c>
      <c r="DF56" s="428">
        <f t="shared" si="62"/>
        <v>3.4300615137737411E-2</v>
      </c>
      <c r="DH56" s="428">
        <f>DH31/DD31-1</f>
        <v>5.2556634304207206E-2</v>
      </c>
      <c r="DI56" s="428">
        <f t="shared" si="63"/>
        <v>8.8789490026760287E-2</v>
      </c>
      <c r="DJ56" s="428">
        <f t="shared" si="63"/>
        <v>7.0695313903111456E-2</v>
      </c>
      <c r="DL56" s="428">
        <f t="shared" si="64"/>
        <v>0.10347147881922525</v>
      </c>
      <c r="DM56" s="428">
        <f t="shared" si="64"/>
        <v>6.3263989660634845E-2</v>
      </c>
      <c r="DN56" s="428">
        <f t="shared" si="64"/>
        <v>8.3002881768651227E-2</v>
      </c>
      <c r="DP56" s="428">
        <f t="shared" si="65"/>
        <v>4.3359240583112912E-2</v>
      </c>
      <c r="DQ56" s="428">
        <f t="shared" si="66"/>
        <v>4.2378868276726545E-2</v>
      </c>
      <c r="DR56" s="428">
        <f t="shared" si="67"/>
        <v>4.2869254606125562E-2</v>
      </c>
      <c r="DT56" s="1"/>
      <c r="DU56" s="1"/>
      <c r="DV56" s="1"/>
      <c r="DW56" s="1"/>
      <c r="DX56" s="1"/>
      <c r="DY56" s="1"/>
      <c r="DZ56" s="1"/>
      <c r="EA56" s="1"/>
      <c r="EB56" s="1"/>
      <c r="EC56" s="1"/>
      <c r="ED56" s="1"/>
      <c r="EE56" s="1"/>
      <c r="EF56" s="1"/>
      <c r="EG56" s="1"/>
      <c r="EH56" s="1"/>
      <c r="EI56" s="1"/>
      <c r="EJ56" s="1"/>
      <c r="EK56" s="1"/>
      <c r="EL56" s="1"/>
      <c r="EM56" s="1"/>
      <c r="EN56" s="1"/>
      <c r="EO56" s="1"/>
      <c r="EP56" s="1"/>
      <c r="EQ56" s="1"/>
      <c r="ER56" s="1"/>
      <c r="ES56" s="1"/>
      <c r="ET56" s="1"/>
      <c r="EU56" s="1"/>
      <c r="EV56" s="1"/>
      <c r="EW56" s="1"/>
      <c r="EX56" s="1"/>
      <c r="EY56" s="1"/>
      <c r="EZ56" s="1"/>
      <c r="FA56" s="1"/>
      <c r="FB56" s="1"/>
      <c r="FC56" s="1"/>
      <c r="FD56" s="1"/>
      <c r="FE56" s="1"/>
      <c r="FF56" s="1"/>
      <c r="FG56" s="1"/>
      <c r="FH56" s="1"/>
      <c r="FI56" s="1"/>
      <c r="FJ56" s="1"/>
      <c r="FK56" s="1"/>
      <c r="FL56" s="1"/>
      <c r="FM56" s="1"/>
      <c r="FN56" s="1"/>
      <c r="FO56" s="1"/>
      <c r="FP56" s="1"/>
      <c r="FQ56" s="1"/>
      <c r="FR56" s="1"/>
      <c r="FS56" s="1"/>
      <c r="FT56" s="1"/>
      <c r="FU56" s="1"/>
      <c r="FV56" s="1"/>
      <c r="FW56" s="1"/>
      <c r="FX56" s="1"/>
      <c r="FY56" s="1"/>
      <c r="FZ56" s="1"/>
      <c r="GA56" s="1"/>
      <c r="GB56" s="1"/>
      <c r="GC56" s="1"/>
      <c r="GD56" s="1"/>
      <c r="GE56" s="1"/>
      <c r="GF56" s="1"/>
      <c r="GG56" s="1"/>
      <c r="GH56" s="1"/>
      <c r="GI56" s="1"/>
      <c r="GJ56" s="1"/>
      <c r="GK56" s="1"/>
      <c r="GL56" s="1"/>
      <c r="GM56" s="1"/>
      <c r="GN56" s="1"/>
      <c r="GO56" s="1"/>
      <c r="GP56" s="1"/>
      <c r="GQ56" s="1"/>
      <c r="GR56" s="1"/>
      <c r="GS56" s="1"/>
      <c r="GT56" s="1"/>
      <c r="GU56" s="1"/>
      <c r="GV56" s="1"/>
      <c r="GW56" s="1"/>
      <c r="GX56" s="1"/>
      <c r="GY56" s="1"/>
      <c r="GZ56" s="1"/>
      <c r="HA56" s="1"/>
      <c r="HB56" s="1"/>
      <c r="HC56" s="1"/>
      <c r="HD56" s="1"/>
      <c r="HE56" s="1"/>
      <c r="HF56" s="1"/>
      <c r="HG56" s="1"/>
      <c r="HH56" s="1"/>
      <c r="HI56" s="1"/>
      <c r="HJ56" s="1"/>
      <c r="HK56" s="1"/>
      <c r="HL56" s="1"/>
      <c r="HM56" s="1"/>
      <c r="HN56" s="1"/>
      <c r="HO56" s="1"/>
      <c r="HP56" s="1"/>
      <c r="HQ56" s="1"/>
      <c r="HR56" s="1"/>
      <c r="HS56" s="1"/>
      <c r="HT56" s="1"/>
      <c r="HU56" s="1"/>
      <c r="HV56" s="1"/>
      <c r="HW56" s="1"/>
      <c r="HX56" s="1"/>
      <c r="HY56" s="1"/>
      <c r="HZ56" s="1"/>
      <c r="IA56" s="1"/>
      <c r="IB56" s="1"/>
      <c r="IC56" s="1"/>
      <c r="ID56" s="1"/>
      <c r="IE56" s="1"/>
      <c r="IF56" s="1"/>
      <c r="IG56" s="1"/>
      <c r="IH56" s="1"/>
      <c r="II56" s="1"/>
      <c r="IJ56" s="1"/>
      <c r="IK56" s="1"/>
      <c r="IL56" s="1"/>
      <c r="IM56" s="1"/>
      <c r="IN56" s="1"/>
      <c r="IO56" s="1"/>
      <c r="IP56" s="1"/>
      <c r="IQ56" s="1"/>
      <c r="IR56" s="1"/>
      <c r="IS56" s="1"/>
      <c r="IT56" s="1"/>
      <c r="IU56" s="1"/>
      <c r="IV56" s="1"/>
      <c r="IW56" s="1"/>
      <c r="IX56" s="1"/>
      <c r="IY56" s="1"/>
      <c r="IZ56" s="1"/>
      <c r="JA56" s="1"/>
      <c r="JB56" s="1"/>
      <c r="JC56" s="1"/>
      <c r="JD56" s="1"/>
    </row>
    <row r="57" spans="1:264" s="347" customFormat="1" x14ac:dyDescent="0.2">
      <c r="A57" s="429" t="str">
        <f>A32</f>
        <v>Impairment Charges</v>
      </c>
      <c r="B57" s="348"/>
      <c r="BH57" s="393"/>
      <c r="BI57" s="393"/>
      <c r="BJ57" s="393"/>
      <c r="BK57" s="348"/>
      <c r="BL57" s="393">
        <f t="shared" si="51"/>
        <v>-0.25811688311688308</v>
      </c>
      <c r="BM57" s="393">
        <f t="shared" si="51"/>
        <v>6.4377682403433445E-2</v>
      </c>
      <c r="BN57" s="393">
        <f t="shared" si="51"/>
        <v>-0.11922365988909422</v>
      </c>
      <c r="BO57" s="348"/>
      <c r="BP57" s="393">
        <f t="shared" si="52"/>
        <v>-3.7199124726477018E-2</v>
      </c>
      <c r="BQ57" s="393">
        <f t="shared" si="52"/>
        <v>0.10483870967741926</v>
      </c>
      <c r="BR57" s="393">
        <f t="shared" si="52"/>
        <v>3.6726128016788984E-2</v>
      </c>
      <c r="BT57" s="393">
        <f t="shared" si="53"/>
        <v>0.28181818181818175</v>
      </c>
      <c r="BU57" s="393">
        <f t="shared" si="53"/>
        <v>0.26277372262773713</v>
      </c>
      <c r="BV57" s="393">
        <f t="shared" si="53"/>
        <v>0.27125506072874495</v>
      </c>
      <c r="BX57" s="393">
        <f t="shared" si="54"/>
        <v>6.2056737588652489E-2</v>
      </c>
      <c r="BY57" s="393">
        <f t="shared" si="54"/>
        <v>-0.2832369942196532</v>
      </c>
      <c r="BZ57" s="393">
        <f t="shared" si="54"/>
        <v>-0.12818471337579618</v>
      </c>
      <c r="CB57" s="393">
        <f t="shared" si="55"/>
        <v>-5.008347245408995E-3</v>
      </c>
      <c r="CC57" s="393">
        <f t="shared" si="55"/>
        <v>-2.6209677419354871E-2</v>
      </c>
      <c r="CD57" s="393">
        <f t="shared" si="55"/>
        <v>-1.4611872146118698E-2</v>
      </c>
      <c r="CF57" s="393">
        <f t="shared" si="55"/>
        <v>-3.187919463087252E-2</v>
      </c>
      <c r="CG57" s="393">
        <f t="shared" si="55"/>
        <v>0.29192546583850931</v>
      </c>
      <c r="CH57" s="393">
        <f t="shared" si="55"/>
        <v>0.11306765523632989</v>
      </c>
      <c r="CJ57" s="393">
        <f>CJ32/CF32-1</f>
        <v>0.12478336221837094</v>
      </c>
      <c r="CK57" s="393">
        <f t="shared" si="56"/>
        <v>1.9951923076923075</v>
      </c>
      <c r="CL57" s="393">
        <f t="shared" si="56"/>
        <v>1.0965861781848458</v>
      </c>
      <c r="CN57" s="393">
        <f>CN32/CJ32-1</f>
        <v>0.35901386748844377</v>
      </c>
      <c r="CO57" s="393">
        <f t="shared" si="57"/>
        <v>-1.1754949170679507</v>
      </c>
      <c r="CP57" s="393">
        <f t="shared" si="57"/>
        <v>-0.77998411437648929</v>
      </c>
      <c r="CR57" s="393">
        <f>CR32/CN32-1</f>
        <v>-1.0850340136054422</v>
      </c>
      <c r="CS57" s="393">
        <f t="shared" si="58"/>
        <v>-0.1402439024390244</v>
      </c>
      <c r="CT57" s="393">
        <f t="shared" si="58"/>
        <v>-1.644404332129964</v>
      </c>
      <c r="CV57" s="393">
        <f>CV32/CR32-1</f>
        <v>-7.8133333333333335</v>
      </c>
      <c r="CW57" s="393">
        <f t="shared" si="59"/>
        <v>-3.1170212765957448</v>
      </c>
      <c r="CX57" s="393">
        <f t="shared" si="59"/>
        <v>-4.1036414565826327</v>
      </c>
      <c r="CZ57" s="393">
        <f>CZ32/CV32-1</f>
        <v>-0.18786692759295498</v>
      </c>
      <c r="DA57" s="393">
        <f t="shared" si="60"/>
        <v>-0.35175879396984921</v>
      </c>
      <c r="DB57" s="393">
        <f t="shared" si="60"/>
        <v>-0.276173285198556</v>
      </c>
      <c r="DD57" s="393">
        <f>DD32/CZ32-1</f>
        <v>-0.22891566265060237</v>
      </c>
      <c r="DE57" s="393">
        <f t="shared" si="61"/>
        <v>4.9095607235142058E-2</v>
      </c>
      <c r="DF57" s="393">
        <f t="shared" si="62"/>
        <v>-9.4763092269326665E-2</v>
      </c>
      <c r="DH57" s="393">
        <f>DH32/DD32-1</f>
        <v>-3.1250000000000444E-3</v>
      </c>
      <c r="DI57" s="393">
        <f t="shared" si="63"/>
        <v>6.072999632351439E-2</v>
      </c>
      <c r="DJ57" s="393">
        <f t="shared" si="63"/>
        <v>3.2584543398549437E-2</v>
      </c>
      <c r="DL57" s="393">
        <f t="shared" si="64"/>
        <v>0.5892360650876316</v>
      </c>
      <c r="DM57" s="393">
        <f t="shared" si="64"/>
        <v>0.32669616124474232</v>
      </c>
      <c r="DN57" s="393">
        <f t="shared" si="64"/>
        <v>0.43841431869260972</v>
      </c>
      <c r="DP57" s="393">
        <f t="shared" si="65"/>
        <v>0.16927279369005777</v>
      </c>
      <c r="DQ57" s="393">
        <f t="shared" si="66"/>
        <v>5.2013107994089314E-2</v>
      </c>
      <c r="DR57" s="393">
        <f t="shared" si="67"/>
        <v>0.10714229433875788</v>
      </c>
      <c r="DT57" s="1"/>
      <c r="DU57" s="1"/>
      <c r="DV57" s="1"/>
      <c r="DW57" s="1"/>
      <c r="DX57" s="1"/>
      <c r="DY57" s="1"/>
      <c r="DZ57" s="1"/>
      <c r="EA57" s="1"/>
      <c r="EB57" s="1"/>
      <c r="EC57" s="1"/>
      <c r="ED57" s="1"/>
      <c r="EE57" s="1"/>
      <c r="EF57" s="1"/>
      <c r="EG57" s="1"/>
      <c r="EH57" s="1"/>
      <c r="EI57" s="1"/>
      <c r="EJ57" s="1"/>
      <c r="EK57" s="1"/>
      <c r="EL57" s="1"/>
      <c r="EM57" s="1"/>
      <c r="EN57" s="1"/>
      <c r="EO57" s="1"/>
      <c r="EP57" s="1"/>
      <c r="EQ57" s="1"/>
      <c r="ER57" s="1"/>
      <c r="ES57" s="1"/>
      <c r="ET57" s="1"/>
      <c r="EU57" s="1"/>
      <c r="EV57" s="1"/>
      <c r="EW57" s="1"/>
      <c r="EX57" s="1"/>
      <c r="EY57" s="1"/>
      <c r="EZ57" s="1"/>
      <c r="FA57" s="1"/>
      <c r="FB57" s="1"/>
      <c r="FC57" s="1"/>
      <c r="FD57" s="1"/>
      <c r="FE57" s="1"/>
      <c r="FF57" s="1"/>
      <c r="FG57" s="1"/>
      <c r="FH57" s="1"/>
      <c r="FI57" s="1"/>
      <c r="FJ57" s="1"/>
      <c r="FK57" s="1"/>
      <c r="FL57" s="1"/>
      <c r="FM57" s="1"/>
      <c r="FN57" s="1"/>
      <c r="FO57" s="1"/>
      <c r="FP57" s="1"/>
      <c r="FQ57" s="1"/>
      <c r="FR57" s="1"/>
      <c r="FS57" s="1"/>
      <c r="FT57" s="1"/>
      <c r="FU57" s="1"/>
      <c r="FV57" s="1"/>
      <c r="FW57" s="1"/>
      <c r="FX57" s="1"/>
      <c r="FY57" s="1"/>
      <c r="FZ57" s="1"/>
      <c r="GA57" s="1"/>
      <c r="GB57" s="1"/>
      <c r="GC57" s="1"/>
      <c r="GD57" s="1"/>
      <c r="GE57" s="1"/>
      <c r="GF57" s="1"/>
      <c r="GG57" s="1"/>
      <c r="GH57" s="1"/>
      <c r="GI57" s="1"/>
      <c r="GJ57" s="1"/>
      <c r="GK57" s="1"/>
      <c r="GL57" s="1"/>
      <c r="GM57" s="1"/>
      <c r="GN57" s="1"/>
      <c r="GO57" s="1"/>
      <c r="GP57" s="1"/>
      <c r="GQ57" s="1"/>
      <c r="GR57" s="1"/>
      <c r="GS57" s="1"/>
      <c r="GT57" s="1"/>
      <c r="GU57" s="1"/>
      <c r="GV57" s="1"/>
      <c r="GW57" s="1"/>
      <c r="GX57" s="1"/>
      <c r="GY57" s="1"/>
      <c r="GZ57" s="1"/>
      <c r="HA57" s="1"/>
      <c r="HB57" s="1"/>
      <c r="HC57" s="1"/>
      <c r="HD57" s="1"/>
      <c r="HE57" s="1"/>
      <c r="HF57" s="1"/>
      <c r="HG57" s="1"/>
      <c r="HH57" s="1"/>
      <c r="HI57" s="1"/>
      <c r="HJ57" s="1"/>
      <c r="HK57" s="1"/>
      <c r="HL57" s="1"/>
      <c r="HM57" s="1"/>
      <c r="HN57" s="1"/>
      <c r="HO57" s="1"/>
      <c r="HP57" s="1"/>
      <c r="HQ57" s="1"/>
      <c r="HR57" s="1"/>
      <c r="HS57" s="1"/>
      <c r="HT57" s="1"/>
      <c r="HU57" s="1"/>
      <c r="HV57" s="1"/>
      <c r="HW57" s="1"/>
      <c r="HX57" s="1"/>
      <c r="HY57" s="1"/>
      <c r="HZ57" s="1"/>
      <c r="IA57" s="1"/>
      <c r="IB57" s="1"/>
      <c r="IC57" s="1"/>
      <c r="ID57" s="1"/>
      <c r="IE57" s="1"/>
      <c r="IF57" s="1"/>
      <c r="IG57" s="1"/>
      <c r="IH57" s="1"/>
      <c r="II57" s="1"/>
      <c r="IJ57" s="1"/>
      <c r="IK57" s="1"/>
      <c r="IL57" s="1"/>
      <c r="IM57" s="1"/>
      <c r="IN57" s="1"/>
      <c r="IO57" s="1"/>
      <c r="IP57" s="1"/>
      <c r="IQ57" s="1"/>
      <c r="IR57" s="1"/>
      <c r="IS57" s="1"/>
      <c r="IT57" s="1"/>
      <c r="IU57" s="1"/>
      <c r="IV57" s="1"/>
      <c r="IW57" s="1"/>
      <c r="IX57" s="1"/>
      <c r="IY57" s="1"/>
      <c r="IZ57" s="1"/>
      <c r="JA57" s="1"/>
      <c r="JB57" s="1"/>
      <c r="JC57" s="1"/>
      <c r="JD57" s="1"/>
    </row>
    <row r="58" spans="1:264" s="411" customFormat="1" x14ac:dyDescent="0.2">
      <c r="A58" s="427" t="str">
        <f>A33</f>
        <v>Pre-Tax Operating Profit</v>
      </c>
      <c r="B58" s="423"/>
      <c r="BH58" s="428"/>
      <c r="BI58" s="428"/>
      <c r="BJ58" s="428"/>
      <c r="BK58" s="423"/>
      <c r="BL58" s="428">
        <f t="shared" si="51"/>
        <v>0.14099116404149048</v>
      </c>
      <c r="BM58" s="428">
        <f t="shared" si="51"/>
        <v>8.7995654535578449E-2</v>
      </c>
      <c r="BN58" s="428">
        <f t="shared" si="51"/>
        <v>0.11371050424084261</v>
      </c>
      <c r="BO58" s="423"/>
      <c r="BP58" s="428">
        <f t="shared" si="52"/>
        <v>7.2222222222222188E-2</v>
      </c>
      <c r="BQ58" s="428">
        <f t="shared" si="52"/>
        <v>3.6445332001997066E-2</v>
      </c>
      <c r="BR58" s="428">
        <f t="shared" si="52"/>
        <v>5.4230479538036613E-2</v>
      </c>
      <c r="BT58" s="428">
        <f t="shared" si="53"/>
        <v>4.3491913958235262E-2</v>
      </c>
      <c r="BU58" s="428">
        <f t="shared" si="53"/>
        <v>2.9383429672447114E-2</v>
      </c>
      <c r="BV58" s="428">
        <f t="shared" si="53"/>
        <v>3.6516630943875583E-2</v>
      </c>
      <c r="BX58" s="428">
        <f t="shared" si="54"/>
        <v>1.7454107733975377E-2</v>
      </c>
      <c r="BY58" s="428">
        <f t="shared" si="54"/>
        <v>6.0832943378568149E-2</v>
      </c>
      <c r="BZ58" s="428">
        <f t="shared" si="54"/>
        <v>3.8753159224936828E-2</v>
      </c>
      <c r="CB58" s="428">
        <f t="shared" si="55"/>
        <v>-2.4401064773735603E-2</v>
      </c>
      <c r="CC58" s="428">
        <f t="shared" si="55"/>
        <v>-8.0870460226437291E-2</v>
      </c>
      <c r="CD58" s="428">
        <f t="shared" si="55"/>
        <v>-5.2716950527169515E-2</v>
      </c>
      <c r="CF58" s="428">
        <f t="shared" si="55"/>
        <v>-3.7896013339396739E-2</v>
      </c>
      <c r="CG58" s="428">
        <f t="shared" si="55"/>
        <v>-0.16701327787553988</v>
      </c>
      <c r="CH58" s="428">
        <f t="shared" si="55"/>
        <v>-0.10071606475716066</v>
      </c>
      <c r="CJ58" s="428">
        <f>CJ33/CF33-1</f>
        <v>-3.6237592563415744E-2</v>
      </c>
      <c r="CK58" s="428">
        <f t="shared" si="56"/>
        <v>-0.20683695025926641</v>
      </c>
      <c r="CL58" s="428">
        <f t="shared" si="56"/>
        <v>-0.11312099705729617</v>
      </c>
      <c r="CN58" s="428">
        <f>CN33/CJ33-1</f>
        <v>-0.10282818375020431</v>
      </c>
      <c r="CO58" s="428">
        <f t="shared" si="57"/>
        <v>0.63559322033898313</v>
      </c>
      <c r="CP58" s="428">
        <f t="shared" si="57"/>
        <v>0.19478871864936087</v>
      </c>
      <c r="CR58" s="428">
        <f>CR33/CN33-1</f>
        <v>0.21938775510204089</v>
      </c>
      <c r="CS58" s="428">
        <f t="shared" si="58"/>
        <v>2.5314581791265667E-2</v>
      </c>
      <c r="CT58" s="428">
        <f t="shared" si="58"/>
        <v>0.11230907457322559</v>
      </c>
      <c r="CV58" s="428">
        <f>CV33/CR33-1</f>
        <v>9.6682606096831991E-2</v>
      </c>
      <c r="CW58" s="428">
        <f t="shared" si="59"/>
        <v>-1.3860814322841475E-2</v>
      </c>
      <c r="CX58" s="428">
        <f t="shared" si="59"/>
        <v>4.0461154354530793E-2</v>
      </c>
      <c r="CZ58" s="428">
        <f>CZ33/CV33-1</f>
        <v>-1.5805968115547131E-2</v>
      </c>
      <c r="DA58" s="428">
        <f t="shared" si="60"/>
        <v>1.4787701317716007E-2</v>
      </c>
      <c r="DB58" s="428">
        <f t="shared" si="60"/>
        <v>-1.058649163667158E-3</v>
      </c>
      <c r="DD58" s="428">
        <f>DD33/CZ33-1</f>
        <v>2.5197286446074996E-2</v>
      </c>
      <c r="DE58" s="428">
        <f t="shared" si="61"/>
        <v>5.8721685182513417E-2</v>
      </c>
      <c r="DF58" s="428">
        <f t="shared" si="62"/>
        <v>4.1613678112194519E-2</v>
      </c>
      <c r="DH58" s="428">
        <f>DH33/DD33-1</f>
        <v>5.4962862930452383E-2</v>
      </c>
      <c r="DI58" s="428">
        <f t="shared" si="63"/>
        <v>9.0341977686002384E-2</v>
      </c>
      <c r="DJ58" s="428">
        <f t="shared" si="63"/>
        <v>7.2572029590984632E-2</v>
      </c>
      <c r="DL58" s="428">
        <f t="shared" si="64"/>
        <v>8.363546972813185E-2</v>
      </c>
      <c r="DM58" s="428">
        <f t="shared" si="64"/>
        <v>4.9084543890333565E-2</v>
      </c>
      <c r="DN58" s="428">
        <f t="shared" si="64"/>
        <v>6.6153603345834311E-2</v>
      </c>
      <c r="DP58" s="428">
        <f t="shared" si="65"/>
        <v>3.5818636692070527E-2</v>
      </c>
      <c r="DQ58" s="428">
        <f t="shared" si="66"/>
        <v>4.1723072106592207E-2</v>
      </c>
      <c r="DR58" s="428">
        <f t="shared" si="67"/>
        <v>3.8758297302567968E-2</v>
      </c>
      <c r="DT58" s="1"/>
      <c r="DU58" s="1"/>
      <c r="DV58" s="1"/>
      <c r="DW58" s="1"/>
      <c r="DX58" s="1"/>
      <c r="DY58" s="1"/>
      <c r="DZ58" s="1"/>
      <c r="EA58" s="1"/>
      <c r="EB58" s="1"/>
      <c r="EC58" s="1"/>
      <c r="ED58" s="1"/>
      <c r="EE58" s="1"/>
      <c r="EF58" s="1"/>
      <c r="EG58" s="1"/>
      <c r="EH58" s="1"/>
      <c r="EI58" s="1"/>
      <c r="EJ58" s="1"/>
      <c r="EK58" s="1"/>
      <c r="EL58" s="1"/>
      <c r="EM58" s="1"/>
      <c r="EN58" s="1"/>
      <c r="EO58" s="1"/>
      <c r="EP58" s="1"/>
      <c r="EQ58" s="1"/>
      <c r="ER58" s="1"/>
      <c r="ES58" s="1"/>
      <c r="ET58" s="1"/>
      <c r="EU58" s="1"/>
      <c r="EV58" s="1"/>
      <c r="EW58" s="1"/>
      <c r="EX58" s="1"/>
      <c r="EY58" s="1"/>
      <c r="EZ58" s="1"/>
      <c r="FA58" s="1"/>
      <c r="FB58" s="1"/>
      <c r="FC58" s="1"/>
      <c r="FD58" s="1"/>
      <c r="FE58" s="1"/>
      <c r="FF58" s="1"/>
      <c r="FG58" s="1"/>
      <c r="FH58" s="1"/>
      <c r="FI58" s="1"/>
      <c r="FJ58" s="1"/>
      <c r="FK58" s="1"/>
      <c r="FL58" s="1"/>
      <c r="FM58" s="1"/>
      <c r="FN58" s="1"/>
      <c r="FO58" s="1"/>
      <c r="FP58" s="1"/>
      <c r="FQ58" s="1"/>
      <c r="FR58" s="1"/>
      <c r="FS58" s="1"/>
      <c r="FT58" s="1"/>
      <c r="FU58" s="1"/>
      <c r="FV58" s="1"/>
      <c r="FW58" s="1"/>
      <c r="FX58" s="1"/>
      <c r="FY58" s="1"/>
      <c r="FZ58" s="1"/>
      <c r="GA58" s="1"/>
      <c r="GB58" s="1"/>
      <c r="GC58" s="1"/>
      <c r="GD58" s="1"/>
      <c r="GE58" s="1"/>
      <c r="GF58" s="1"/>
      <c r="GG58" s="1"/>
      <c r="GH58" s="1"/>
      <c r="GI58" s="1"/>
      <c r="GJ58" s="1"/>
      <c r="GK58" s="1"/>
      <c r="GL58" s="1"/>
      <c r="GM58" s="1"/>
      <c r="GN58" s="1"/>
      <c r="GO58" s="1"/>
      <c r="GP58" s="1"/>
      <c r="GQ58" s="1"/>
      <c r="GR58" s="1"/>
      <c r="GS58" s="1"/>
      <c r="GT58" s="1"/>
      <c r="GU58" s="1"/>
      <c r="GV58" s="1"/>
      <c r="GW58" s="1"/>
      <c r="GX58" s="1"/>
      <c r="GY58" s="1"/>
      <c r="GZ58" s="1"/>
      <c r="HA58" s="1"/>
      <c r="HB58" s="1"/>
      <c r="HC58" s="1"/>
      <c r="HD58" s="1"/>
      <c r="HE58" s="1"/>
      <c r="HF58" s="1"/>
      <c r="HG58" s="1"/>
      <c r="HH58" s="1"/>
      <c r="HI58" s="1"/>
      <c r="HJ58" s="1"/>
      <c r="HK58" s="1"/>
      <c r="HL58" s="1"/>
      <c r="HM58" s="1"/>
      <c r="HN58" s="1"/>
      <c r="HO58" s="1"/>
      <c r="HP58" s="1"/>
      <c r="HQ58" s="1"/>
      <c r="HR58" s="1"/>
      <c r="HS58" s="1"/>
      <c r="HT58" s="1"/>
      <c r="HU58" s="1"/>
      <c r="HV58" s="1"/>
      <c r="HW58" s="1"/>
      <c r="HX58" s="1"/>
      <c r="HY58" s="1"/>
      <c r="HZ58" s="1"/>
      <c r="IA58" s="1"/>
      <c r="IB58" s="1"/>
      <c r="IC58" s="1"/>
      <c r="ID58" s="1"/>
      <c r="IE58" s="1"/>
      <c r="IF58" s="1"/>
      <c r="IG58" s="1"/>
      <c r="IH58" s="1"/>
      <c r="II58" s="1"/>
      <c r="IJ58" s="1"/>
      <c r="IK58" s="1"/>
      <c r="IL58" s="1"/>
      <c r="IM58" s="1"/>
      <c r="IN58" s="1"/>
      <c r="IO58" s="1"/>
      <c r="IP58" s="1"/>
      <c r="IQ58" s="1"/>
      <c r="IR58" s="1"/>
      <c r="IS58" s="1"/>
      <c r="IT58" s="1"/>
      <c r="IU58" s="1"/>
      <c r="IV58" s="1"/>
      <c r="IW58" s="1"/>
      <c r="IX58" s="1"/>
      <c r="IY58" s="1"/>
      <c r="IZ58" s="1"/>
      <c r="JA58" s="1"/>
      <c r="JB58" s="1"/>
      <c r="JC58" s="1"/>
      <c r="JD58" s="1"/>
    </row>
    <row r="59" spans="1:264" s="347" customFormat="1" x14ac:dyDescent="0.2">
      <c r="A59" s="430" t="str">
        <f>A34</f>
        <v>Tax Expense</v>
      </c>
      <c r="B59" s="348"/>
      <c r="BH59" s="393"/>
      <c r="BI59" s="393"/>
      <c r="BJ59" s="393"/>
      <c r="BK59" s="348"/>
      <c r="BL59" s="393">
        <f t="shared" si="51"/>
        <v>0.14779005524861888</v>
      </c>
      <c r="BM59" s="393">
        <f t="shared" si="51"/>
        <v>5.5149501661129641E-2</v>
      </c>
      <c r="BN59" s="393">
        <f t="shared" si="51"/>
        <v>0.10057568574331199</v>
      </c>
      <c r="BO59" s="348"/>
      <c r="BP59" s="393">
        <f t="shared" si="52"/>
        <v>4.6931407942238268E-2</v>
      </c>
      <c r="BQ59" s="393">
        <f t="shared" si="52"/>
        <v>6.9899244332493726E-2</v>
      </c>
      <c r="BR59" s="393">
        <f t="shared" si="52"/>
        <v>5.8153846153846223E-2</v>
      </c>
      <c r="BT59" s="393">
        <f t="shared" si="53"/>
        <v>5.0000000000000044E-2</v>
      </c>
      <c r="BU59" s="393">
        <f t="shared" si="53"/>
        <v>3.8846380223660937E-2</v>
      </c>
      <c r="BV59" s="393">
        <f t="shared" si="53"/>
        <v>4.4489677231753344E-2</v>
      </c>
      <c r="BX59" s="393">
        <f t="shared" si="54"/>
        <v>5.3639846743295028E-2</v>
      </c>
      <c r="BY59" s="393">
        <f t="shared" si="54"/>
        <v>8.8951841359773409E-2</v>
      </c>
      <c r="BZ59" s="393">
        <f t="shared" si="54"/>
        <v>7.0991091314031252E-2</v>
      </c>
      <c r="CB59" s="393">
        <f t="shared" si="55"/>
        <v>3.5324675324675425E-2</v>
      </c>
      <c r="CC59" s="393">
        <f t="shared" si="55"/>
        <v>2.601456815816805E-3</v>
      </c>
      <c r="CD59" s="393">
        <f t="shared" si="55"/>
        <v>1.8975825318430006E-2</v>
      </c>
      <c r="CF59" s="393">
        <f t="shared" si="55"/>
        <v>-0.10135474159558455</v>
      </c>
      <c r="CG59" s="393">
        <f t="shared" si="55"/>
        <v>-0.20601971977166578</v>
      </c>
      <c r="CH59" s="393">
        <f t="shared" si="55"/>
        <v>-0.15280612244897962</v>
      </c>
      <c r="CJ59" s="393">
        <f>CJ34/CF34-1</f>
        <v>3.3500837520938909E-3</v>
      </c>
      <c r="CK59" s="393">
        <f t="shared" si="56"/>
        <v>-0.19934640522875813</v>
      </c>
      <c r="CL59" s="393">
        <f t="shared" si="56"/>
        <v>-9.0033122553447753E-2</v>
      </c>
      <c r="CN59" s="393">
        <f>CN34/CJ34-1</f>
        <v>-9.8497495826377346E-2</v>
      </c>
      <c r="CO59" s="393">
        <f t="shared" si="57"/>
        <v>0.60816326530612241</v>
      </c>
      <c r="CP59" s="393">
        <f t="shared" si="57"/>
        <v>0.18795499669093307</v>
      </c>
      <c r="CR59" s="393">
        <f>CR34/CN34-1</f>
        <v>0.20123456790123462</v>
      </c>
      <c r="CS59" s="393">
        <f t="shared" si="58"/>
        <v>5.4314720812182804E-2</v>
      </c>
      <c r="CT59" s="393">
        <f t="shared" si="58"/>
        <v>0.12061281337047358</v>
      </c>
      <c r="CV59" s="393">
        <f>CV34/CR34-1</f>
        <v>0.1094552929085304</v>
      </c>
      <c r="CW59" s="393">
        <f t="shared" si="59"/>
        <v>-6.692344727973043E-2</v>
      </c>
      <c r="CX59" s="393">
        <f t="shared" si="59"/>
        <v>1.8394233159333861E-2</v>
      </c>
      <c r="CZ59" s="393">
        <f>CZ34/CV34-1</f>
        <v>2.0842982862436354E-2</v>
      </c>
      <c r="DA59" s="393">
        <f t="shared" si="60"/>
        <v>9.0815273477812264E-2</v>
      </c>
      <c r="DB59" s="393">
        <f t="shared" si="60"/>
        <v>5.3941908713692976E-2</v>
      </c>
      <c r="DD59" s="393">
        <f>DD34/CZ34-1</f>
        <v>3.1306715063520896E-2</v>
      </c>
      <c r="DE59" s="393">
        <f t="shared" si="61"/>
        <v>4.9195837275307408E-2</v>
      </c>
      <c r="DF59" s="393">
        <f t="shared" si="62"/>
        <v>4.0064844835572044E-2</v>
      </c>
      <c r="DH59" s="393">
        <f>DH34/DD34-1</f>
        <v>4.1355037395512495E-2</v>
      </c>
      <c r="DI59" s="393">
        <f t="shared" si="63"/>
        <v>7.135980224580063E-2</v>
      </c>
      <c r="DJ59" s="393">
        <f t="shared" si="63"/>
        <v>5.6173689908970204E-2</v>
      </c>
      <c r="DL59" s="393">
        <f t="shared" si="64"/>
        <v>7.2922723639564646E-2</v>
      </c>
      <c r="DM59" s="393">
        <f t="shared" si="64"/>
        <v>5.9681357464983265E-2</v>
      </c>
      <c r="DN59" s="393">
        <f t="shared" si="64"/>
        <v>6.6289093017752876E-2</v>
      </c>
      <c r="DP59" s="393">
        <f t="shared" si="65"/>
        <v>3.5818636692070527E-2</v>
      </c>
      <c r="DQ59" s="393">
        <f t="shared" si="66"/>
        <v>4.1723072106592429E-2</v>
      </c>
      <c r="DR59" s="393">
        <f t="shared" si="67"/>
        <v>3.8758297302567968E-2</v>
      </c>
      <c r="DT59" s="1"/>
      <c r="DU59" s="1"/>
      <c r="DV59" s="1"/>
      <c r="DW59" s="1"/>
      <c r="DX59" s="1"/>
      <c r="DY59" s="1"/>
      <c r="DZ59" s="1"/>
      <c r="EA59" s="1"/>
      <c r="EB59" s="1"/>
      <c r="EC59" s="1"/>
      <c r="ED59" s="1"/>
      <c r="EE59" s="1"/>
      <c r="EF59" s="1"/>
      <c r="EG59" s="1"/>
      <c r="EH59" s="1"/>
      <c r="EI59" s="1"/>
      <c r="EJ59" s="1"/>
      <c r="EK59" s="1"/>
      <c r="EL59" s="1"/>
      <c r="EM59" s="1"/>
      <c r="EN59" s="1"/>
      <c r="EO59" s="1"/>
      <c r="EP59" s="1"/>
      <c r="EQ59" s="1"/>
      <c r="ER59" s="1"/>
      <c r="ES59" s="1"/>
      <c r="ET59" s="1"/>
      <c r="EU59" s="1"/>
      <c r="EV59" s="1"/>
      <c r="EW59" s="1"/>
      <c r="EX59" s="1"/>
      <c r="EY59" s="1"/>
      <c r="EZ59" s="1"/>
      <c r="FA59" s="1"/>
      <c r="FB59" s="1"/>
      <c r="FC59" s="1"/>
      <c r="FD59" s="1"/>
      <c r="FE59" s="1"/>
      <c r="FF59" s="1"/>
      <c r="FG59" s="1"/>
      <c r="FH59" s="1"/>
      <c r="FI59" s="1"/>
      <c r="FJ59" s="1"/>
      <c r="FK59" s="1"/>
      <c r="FL59" s="1"/>
      <c r="FM59" s="1"/>
      <c r="FN59" s="1"/>
      <c r="FO59" s="1"/>
      <c r="FP59" s="1"/>
      <c r="FQ59" s="1"/>
      <c r="FR59" s="1"/>
      <c r="FS59" s="1"/>
      <c r="FT59" s="1"/>
      <c r="FU59" s="1"/>
      <c r="FV59" s="1"/>
      <c r="FW59" s="1"/>
      <c r="FX59" s="1"/>
      <c r="FY59" s="1"/>
      <c r="FZ59" s="1"/>
      <c r="GA59" s="1"/>
      <c r="GB59" s="1"/>
      <c r="GC59" s="1"/>
      <c r="GD59" s="1"/>
      <c r="GE59" s="1"/>
      <c r="GF59" s="1"/>
      <c r="GG59" s="1"/>
      <c r="GH59" s="1"/>
      <c r="GI59" s="1"/>
      <c r="GJ59" s="1"/>
      <c r="GK59" s="1"/>
      <c r="GL59" s="1"/>
      <c r="GM59" s="1"/>
      <c r="GN59" s="1"/>
      <c r="GO59" s="1"/>
      <c r="GP59" s="1"/>
      <c r="GQ59" s="1"/>
      <c r="GR59" s="1"/>
      <c r="GS59" s="1"/>
      <c r="GT59" s="1"/>
      <c r="GU59" s="1"/>
      <c r="GV59" s="1"/>
      <c r="GW59" s="1"/>
      <c r="GX59" s="1"/>
      <c r="GY59" s="1"/>
      <c r="GZ59" s="1"/>
      <c r="HA59" s="1"/>
      <c r="HB59" s="1"/>
      <c r="HC59" s="1"/>
      <c r="HD59" s="1"/>
      <c r="HE59" s="1"/>
      <c r="HF59" s="1"/>
      <c r="HG59" s="1"/>
      <c r="HH59" s="1"/>
      <c r="HI59" s="1"/>
      <c r="HJ59" s="1"/>
      <c r="HK59" s="1"/>
      <c r="HL59" s="1"/>
      <c r="HM59" s="1"/>
      <c r="HN59" s="1"/>
      <c r="HO59" s="1"/>
      <c r="HP59" s="1"/>
      <c r="HQ59" s="1"/>
      <c r="HR59" s="1"/>
      <c r="HS59" s="1"/>
      <c r="HT59" s="1"/>
      <c r="HU59" s="1"/>
      <c r="HV59" s="1"/>
      <c r="HW59" s="1"/>
      <c r="HX59" s="1"/>
      <c r="HY59" s="1"/>
      <c r="HZ59" s="1"/>
      <c r="IA59" s="1"/>
      <c r="IB59" s="1"/>
      <c r="IC59" s="1"/>
      <c r="ID59" s="1"/>
      <c r="IE59" s="1"/>
      <c r="IF59" s="1"/>
      <c r="IG59" s="1"/>
      <c r="IH59" s="1"/>
      <c r="II59" s="1"/>
      <c r="IJ59" s="1"/>
      <c r="IK59" s="1"/>
      <c r="IL59" s="1"/>
      <c r="IM59" s="1"/>
      <c r="IN59" s="1"/>
      <c r="IO59" s="1"/>
      <c r="IP59" s="1"/>
      <c r="IQ59" s="1"/>
      <c r="IR59" s="1"/>
      <c r="IS59" s="1"/>
      <c r="IT59" s="1"/>
      <c r="IU59" s="1"/>
      <c r="IV59" s="1"/>
      <c r="IW59" s="1"/>
      <c r="IX59" s="1"/>
      <c r="IY59" s="1"/>
      <c r="IZ59" s="1"/>
      <c r="JA59" s="1"/>
      <c r="JB59" s="1"/>
      <c r="JC59" s="1"/>
      <c r="JD59" s="1"/>
    </row>
    <row r="60" spans="1:264" s="411" customFormat="1" x14ac:dyDescent="0.2">
      <c r="A60" s="431" t="str">
        <f>A36</f>
        <v>Continuing Cash Profit</v>
      </c>
      <c r="B60" s="432"/>
      <c r="C60" s="433"/>
      <c r="D60" s="433"/>
      <c r="E60" s="433"/>
      <c r="F60" s="433"/>
      <c r="G60" s="433"/>
      <c r="H60" s="433"/>
      <c r="I60" s="433"/>
      <c r="J60" s="433"/>
      <c r="K60" s="433"/>
      <c r="L60" s="433"/>
      <c r="M60" s="433"/>
      <c r="N60" s="433"/>
      <c r="O60" s="433"/>
      <c r="P60" s="433"/>
      <c r="Q60" s="433"/>
      <c r="R60" s="433"/>
      <c r="S60" s="433"/>
      <c r="T60" s="433"/>
      <c r="U60" s="433"/>
      <c r="V60" s="433"/>
      <c r="W60" s="433"/>
      <c r="X60" s="433"/>
      <c r="Y60" s="433"/>
      <c r="Z60" s="433"/>
      <c r="AA60" s="433"/>
      <c r="AB60" s="433"/>
      <c r="AC60" s="433"/>
      <c r="AD60" s="433"/>
      <c r="AE60" s="433"/>
      <c r="AF60" s="433"/>
      <c r="AG60" s="433"/>
      <c r="AH60" s="433"/>
      <c r="AI60" s="433"/>
      <c r="AJ60" s="433"/>
      <c r="AK60" s="433"/>
      <c r="AL60" s="433"/>
      <c r="AM60" s="433"/>
      <c r="AN60" s="433"/>
      <c r="AO60" s="433"/>
      <c r="AP60" s="433"/>
      <c r="AQ60" s="433"/>
      <c r="AR60" s="433"/>
      <c r="AS60" s="433"/>
      <c r="AT60" s="433"/>
      <c r="AU60" s="433"/>
      <c r="AV60" s="433"/>
      <c r="AW60" s="433"/>
      <c r="AX60" s="433"/>
      <c r="AY60" s="433"/>
      <c r="AZ60" s="433"/>
      <c r="BA60" s="433"/>
      <c r="BB60" s="433"/>
      <c r="BC60" s="433"/>
      <c r="BD60" s="433"/>
      <c r="BE60" s="433"/>
      <c r="BF60" s="433"/>
      <c r="BG60" s="433"/>
      <c r="BH60" s="434"/>
      <c r="BI60" s="434"/>
      <c r="BJ60" s="434"/>
      <c r="BK60" s="432"/>
      <c r="BL60" s="434">
        <f>BL36/BH36-1</f>
        <v>0.13813333333333344</v>
      </c>
      <c r="BM60" s="434">
        <f>BM36/BI36-1</f>
        <v>0.10024937655860344</v>
      </c>
      <c r="BN60" s="434">
        <f>BN36/BJ36-1</f>
        <v>0.11855670103092786</v>
      </c>
      <c r="BO60" s="432"/>
      <c r="BP60" s="434">
        <f>BP36/BL36-1</f>
        <v>8.2239925023430249E-2</v>
      </c>
      <c r="BQ60" s="434">
        <f>BQ36/BM36-1</f>
        <v>2.402538531278342E-2</v>
      </c>
      <c r="BR60" s="434">
        <f>BR36/BN36-1</f>
        <v>5.264976958525347E-2</v>
      </c>
      <c r="BS60" s="433"/>
      <c r="BT60" s="434">
        <f>BT36/BP36-1</f>
        <v>4.0917947607707283E-2</v>
      </c>
      <c r="BU60" s="434">
        <f>BU36/BQ36-1</f>
        <v>2.6339088092076191E-2</v>
      </c>
      <c r="BV60" s="434">
        <f>BV36/BR36-1</f>
        <v>3.370909488891316E-2</v>
      </c>
      <c r="BW60" s="433"/>
      <c r="BX60" s="434">
        <f>BX36/BT36-1</f>
        <v>4.1597337770382659E-3</v>
      </c>
      <c r="BY60" s="434">
        <f>BY36/BU36-1</f>
        <v>4.9816691826612081E-2</v>
      </c>
      <c r="BZ60" s="434">
        <f>BZ36/BV36-1</f>
        <v>2.6574907358390742E-2</v>
      </c>
      <c r="CA60" s="433"/>
      <c r="CB60" s="434">
        <f>CB36/BX36-1</f>
        <v>-4.7638773819386859E-2</v>
      </c>
      <c r="CC60" s="434">
        <f>CC36/BY36-1</f>
        <v>-0.11318816762530814</v>
      </c>
      <c r="CD60" s="434">
        <f>CD36/BZ36-1</f>
        <v>-8.054867986798675E-2</v>
      </c>
      <c r="CE60" s="433"/>
      <c r="CF60" s="434">
        <f>CF36/CB36-1</f>
        <v>-1.0439321444106087E-2</v>
      </c>
      <c r="CG60" s="434">
        <f>CG36/CC36-1</f>
        <v>-0.14964095436645819</v>
      </c>
      <c r="CH60" s="434">
        <f>CH36/CD36-1</f>
        <v>-7.7846326416152523E-2</v>
      </c>
      <c r="CI60" s="433"/>
      <c r="CJ60" s="434">
        <f>CJ36/CF36-1</f>
        <v>-5.0549450549450592E-2</v>
      </c>
      <c r="CK60" s="434">
        <f>CK36/CG36-1</f>
        <v>-0.20866248978479973</v>
      </c>
      <c r="CL60" s="434">
        <f>CL36/CH36-1</f>
        <v>-0.12115314438632774</v>
      </c>
      <c r="CM60" s="433"/>
      <c r="CN60" s="434">
        <f>CN36/CJ36-1</f>
        <v>-0.10462962962962963</v>
      </c>
      <c r="CO60" s="434">
        <f>CO36/CK36-1</f>
        <v>0.64716006884681576</v>
      </c>
      <c r="CP60" s="434">
        <f>CP36/CL36-1</f>
        <v>0.19764705882352951</v>
      </c>
      <c r="CQ60" s="433"/>
      <c r="CR60" s="434">
        <f>CR36/CN36-1</f>
        <v>0.22699069286452955</v>
      </c>
      <c r="CS60" s="434">
        <f>CS36/CO36-1</f>
        <v>1.3375130616509967E-2</v>
      </c>
      <c r="CT60" s="434">
        <f>CT36/CP36-1</f>
        <v>0.10886397781116375</v>
      </c>
      <c r="CU60" s="433"/>
      <c r="CV60" s="434">
        <f>CV36/CR36-1</f>
        <v>9.1445427728613637E-2</v>
      </c>
      <c r="CW60" s="434">
        <f>CW36/CS36-1</f>
        <v>8.8678077954218448E-3</v>
      </c>
      <c r="CX60" s="434">
        <f>CX36/CT36-1</f>
        <v>4.971339239187067E-2</v>
      </c>
      <c r="CY60" s="433"/>
      <c r="CZ60" s="434">
        <f>CZ36/CV36-1</f>
        <v>-3.1081081081081097E-2</v>
      </c>
      <c r="DA60" s="434">
        <f>DA36/CW36-1</f>
        <v>-1.5331152902698264E-2</v>
      </c>
      <c r="DB60" s="434">
        <f>DB36/CX36-1</f>
        <v>-2.3431294678316172E-2</v>
      </c>
      <c r="DC60" s="433"/>
      <c r="DD60" s="434">
        <f>DD36/CZ36-1</f>
        <v>2.2514445108587466E-2</v>
      </c>
      <c r="DE60" s="434">
        <f>DE36/DA36-1</f>
        <v>6.2902221299564021E-2</v>
      </c>
      <c r="DF60" s="434">
        <f>DF36/DB36-1</f>
        <v>4.2293615290768694E-2</v>
      </c>
      <c r="DG60" s="433"/>
      <c r="DH60" s="434">
        <f>DH36/DD36-1</f>
        <v>6.0989867498051353E-2</v>
      </c>
      <c r="DI60" s="434">
        <f>DI36/DE36-1</f>
        <v>9.8565115405996107E-2</v>
      </c>
      <c r="DJ60" s="434">
        <f>DJ36/DF36-1</f>
        <v>7.975550047587765E-2</v>
      </c>
      <c r="DK60" s="433"/>
      <c r="DL60" s="434">
        <f>DL36/DH36-1</f>
        <v>8.829241554845102E-2</v>
      </c>
      <c r="DM60" s="434">
        <f>DM36/DI36-1</f>
        <v>4.4607653944855663E-2</v>
      </c>
      <c r="DN60" s="434">
        <f>DN36/DJ36-1</f>
        <v>6.6095546883542911E-2</v>
      </c>
      <c r="DO60" s="433"/>
      <c r="DP60" s="434">
        <f>DP36/DL36-1</f>
        <v>3.5818636692070527E-2</v>
      </c>
      <c r="DQ60" s="434">
        <f>DQ36/DM36-1</f>
        <v>4.1723072106592207E-2</v>
      </c>
      <c r="DR60" s="434">
        <f>DR36/DN36-1</f>
        <v>3.8758297302567968E-2</v>
      </c>
      <c r="DS60" s="433"/>
      <c r="DT60" s="1"/>
      <c r="DU60" s="1"/>
      <c r="DV60" s="1"/>
      <c r="DW60" s="1"/>
      <c r="DX60" s="1"/>
      <c r="DY60" s="1"/>
      <c r="DZ60" s="1"/>
      <c r="EA60" s="1"/>
      <c r="EB60" s="1"/>
      <c r="EC60" s="1"/>
      <c r="ED60" s="1"/>
      <c r="EE60" s="1"/>
      <c r="EF60" s="1"/>
      <c r="EG60" s="1"/>
      <c r="EH60" s="1"/>
      <c r="EI60" s="1"/>
      <c r="EJ60" s="1"/>
      <c r="EK60" s="1"/>
      <c r="EL60" s="1"/>
      <c r="EM60" s="1"/>
      <c r="EN60" s="1"/>
      <c r="EO60" s="1"/>
      <c r="EP60" s="1"/>
      <c r="EQ60" s="1"/>
      <c r="ER60" s="1"/>
      <c r="ES60" s="1"/>
      <c r="ET60" s="1"/>
      <c r="EU60" s="1"/>
      <c r="EV60" s="1"/>
      <c r="EW60" s="1"/>
      <c r="EX60" s="1"/>
      <c r="EY60" s="1"/>
      <c r="EZ60" s="1"/>
      <c r="FA60" s="1"/>
      <c r="FB60" s="1"/>
      <c r="FC60" s="1"/>
      <c r="FD60" s="1"/>
      <c r="FE60" s="1"/>
      <c r="FF60" s="1"/>
      <c r="FG60" s="1"/>
      <c r="FH60" s="1"/>
      <c r="FI60" s="1"/>
      <c r="FJ60" s="1"/>
      <c r="FK60" s="1"/>
      <c r="FL60" s="1"/>
      <c r="FM60" s="1"/>
      <c r="FN60" s="1"/>
      <c r="FO60" s="1"/>
      <c r="FP60" s="1"/>
      <c r="FQ60" s="1"/>
      <c r="FR60" s="1"/>
      <c r="FS60" s="1"/>
      <c r="FT60" s="1"/>
      <c r="FU60" s="1"/>
      <c r="FV60" s="1"/>
      <c r="FW60" s="1"/>
      <c r="FX60" s="1"/>
      <c r="FY60" s="1"/>
      <c r="FZ60" s="1"/>
      <c r="GA60" s="1"/>
      <c r="GB60" s="1"/>
      <c r="GC60" s="1"/>
      <c r="GD60" s="1"/>
      <c r="GE60" s="1"/>
      <c r="GF60" s="1"/>
      <c r="GG60" s="1"/>
      <c r="GH60" s="1"/>
      <c r="GI60" s="1"/>
      <c r="GJ60" s="1"/>
      <c r="GK60" s="1"/>
      <c r="GL60" s="1"/>
      <c r="GM60" s="1"/>
      <c r="GN60" s="1"/>
      <c r="GO60" s="1"/>
      <c r="GP60" s="1"/>
      <c r="GQ60" s="1"/>
      <c r="GR60" s="1"/>
      <c r="GS60" s="1"/>
      <c r="GT60" s="1"/>
      <c r="GU60" s="1"/>
      <c r="GV60" s="1"/>
      <c r="GW60" s="1"/>
      <c r="GX60" s="1"/>
      <c r="GY60" s="1"/>
      <c r="GZ60" s="1"/>
      <c r="HA60" s="1"/>
      <c r="HB60" s="1"/>
      <c r="HC60" s="1"/>
      <c r="HD60" s="1"/>
      <c r="HE60" s="1"/>
      <c r="HF60" s="1"/>
      <c r="HG60" s="1"/>
      <c r="HH60" s="1"/>
      <c r="HI60" s="1"/>
      <c r="HJ60" s="1"/>
      <c r="HK60" s="1"/>
      <c r="HL60" s="1"/>
      <c r="HM60" s="1"/>
      <c r="HN60" s="1"/>
      <c r="HO60" s="1"/>
      <c r="HP60" s="1"/>
      <c r="HQ60" s="1"/>
      <c r="HR60" s="1"/>
      <c r="HS60" s="1"/>
      <c r="HT60" s="1"/>
      <c r="HU60" s="1"/>
      <c r="HV60" s="1"/>
      <c r="HW60" s="1"/>
      <c r="HX60" s="1"/>
      <c r="HY60" s="1"/>
      <c r="HZ60" s="1"/>
      <c r="IA60" s="1"/>
      <c r="IB60" s="1"/>
      <c r="IC60" s="1"/>
      <c r="ID60" s="1"/>
      <c r="IE60" s="1"/>
      <c r="IF60" s="1"/>
      <c r="IG60" s="1"/>
      <c r="IH60" s="1"/>
      <c r="II60" s="1"/>
      <c r="IJ60" s="1"/>
      <c r="IK60" s="1"/>
      <c r="IL60" s="1"/>
      <c r="IM60" s="1"/>
      <c r="IN60" s="1"/>
      <c r="IO60" s="1"/>
      <c r="IP60" s="1"/>
      <c r="IQ60" s="1"/>
      <c r="IR60" s="1"/>
      <c r="IS60" s="1"/>
      <c r="IT60" s="1"/>
      <c r="IU60" s="1"/>
      <c r="IV60" s="1"/>
      <c r="IW60" s="1"/>
      <c r="IX60" s="1"/>
      <c r="IY60" s="1"/>
      <c r="IZ60" s="1"/>
      <c r="JA60" s="1"/>
      <c r="JB60" s="1"/>
      <c r="JC60" s="1"/>
      <c r="JD60" s="1"/>
    </row>
    <row r="61" spans="1:264" s="347" customFormat="1" x14ac:dyDescent="0.2">
      <c r="A61" s="435"/>
      <c r="B61" s="348"/>
      <c r="BH61" s="348"/>
      <c r="BI61" s="348"/>
      <c r="BJ61" s="348"/>
      <c r="BK61" s="348"/>
      <c r="BL61" s="348"/>
      <c r="BM61" s="348"/>
      <c r="BN61" s="348"/>
      <c r="BO61" s="348"/>
      <c r="BP61" s="348"/>
      <c r="BQ61" s="348"/>
      <c r="BR61" s="348"/>
      <c r="BT61" s="348"/>
      <c r="BU61" s="348"/>
      <c r="BV61" s="348"/>
      <c r="BX61" s="348"/>
      <c r="CB61" s="348"/>
      <c r="CF61" s="348"/>
      <c r="CJ61" s="348"/>
      <c r="CN61" s="348"/>
      <c r="CR61" s="348"/>
      <c r="CV61" s="348"/>
      <c r="CZ61" s="348"/>
      <c r="DD61" s="348"/>
      <c r="DH61" s="348"/>
      <c r="DL61" s="348"/>
      <c r="DP61" s="348"/>
      <c r="DT61" s="1"/>
      <c r="DU61" s="1"/>
      <c r="DV61" s="1"/>
      <c r="DW61" s="1"/>
      <c r="DX61" s="1"/>
      <c r="DY61" s="1"/>
      <c r="DZ61" s="1"/>
      <c r="EA61" s="1"/>
      <c r="EB61" s="1"/>
      <c r="EC61" s="1"/>
      <c r="ED61" s="1"/>
      <c r="EE61" s="1"/>
      <c r="EF61" s="1"/>
      <c r="EG61" s="1"/>
      <c r="EH61" s="1"/>
      <c r="EI61" s="1"/>
      <c r="EJ61" s="1"/>
      <c r="EK61" s="1"/>
      <c r="EL61" s="1"/>
      <c r="EM61" s="1"/>
      <c r="EN61" s="1"/>
      <c r="EO61" s="1"/>
      <c r="EP61" s="1"/>
      <c r="EQ61" s="1"/>
      <c r="ER61" s="1"/>
      <c r="ES61" s="1"/>
      <c r="ET61" s="1"/>
      <c r="EU61" s="1"/>
      <c r="EV61" s="1"/>
      <c r="EW61" s="1"/>
      <c r="EX61" s="1"/>
      <c r="EY61" s="1"/>
      <c r="EZ61" s="1"/>
      <c r="FA61" s="1"/>
      <c r="FB61" s="1"/>
      <c r="FC61" s="1"/>
      <c r="FD61" s="1"/>
      <c r="FE61" s="1"/>
      <c r="FF61" s="1"/>
      <c r="FG61" s="1"/>
      <c r="FH61" s="1"/>
      <c r="FI61" s="1"/>
      <c r="FJ61" s="1"/>
      <c r="FK61" s="1"/>
      <c r="FL61" s="1"/>
      <c r="FM61" s="1"/>
      <c r="FN61" s="1"/>
      <c r="FO61" s="1"/>
      <c r="FP61" s="1"/>
      <c r="FQ61" s="1"/>
      <c r="FR61" s="1"/>
      <c r="FS61" s="1"/>
      <c r="FT61" s="1"/>
      <c r="FU61" s="1"/>
      <c r="FV61" s="1"/>
      <c r="FW61" s="1"/>
      <c r="FX61" s="1"/>
      <c r="FY61" s="1"/>
      <c r="FZ61" s="1"/>
      <c r="GA61" s="1"/>
      <c r="GB61" s="1"/>
      <c r="GC61" s="1"/>
      <c r="GD61" s="1"/>
      <c r="GE61" s="1"/>
      <c r="GF61" s="1"/>
      <c r="GG61" s="1"/>
      <c r="GH61" s="1"/>
      <c r="GI61" s="1"/>
      <c r="GJ61" s="1"/>
      <c r="GK61" s="1"/>
      <c r="GL61" s="1"/>
      <c r="GM61" s="1"/>
      <c r="GN61" s="1"/>
      <c r="GO61" s="1"/>
      <c r="GP61" s="1"/>
      <c r="GQ61" s="1"/>
      <c r="GR61" s="1"/>
      <c r="GS61" s="1"/>
      <c r="GT61" s="1"/>
      <c r="GU61" s="1"/>
      <c r="GV61" s="1"/>
      <c r="GW61" s="1"/>
      <c r="GX61" s="1"/>
      <c r="GY61" s="1"/>
      <c r="GZ61" s="1"/>
      <c r="HA61" s="1"/>
      <c r="HB61" s="1"/>
      <c r="HC61" s="1"/>
      <c r="HD61" s="1"/>
      <c r="HE61" s="1"/>
      <c r="HF61" s="1"/>
      <c r="HG61" s="1"/>
      <c r="HH61" s="1"/>
      <c r="HI61" s="1"/>
      <c r="HJ61" s="1"/>
      <c r="HK61" s="1"/>
      <c r="HL61" s="1"/>
      <c r="HM61" s="1"/>
      <c r="HN61" s="1"/>
      <c r="HO61" s="1"/>
      <c r="HP61" s="1"/>
      <c r="HQ61" s="1"/>
      <c r="HR61" s="1"/>
      <c r="HS61" s="1"/>
      <c r="HT61" s="1"/>
      <c r="HU61" s="1"/>
      <c r="HV61" s="1"/>
      <c r="HW61" s="1"/>
      <c r="HX61" s="1"/>
      <c r="HY61" s="1"/>
      <c r="HZ61" s="1"/>
      <c r="IA61" s="1"/>
      <c r="IB61" s="1"/>
      <c r="IC61" s="1"/>
      <c r="ID61" s="1"/>
      <c r="IE61" s="1"/>
      <c r="IF61" s="1"/>
      <c r="IG61" s="1"/>
      <c r="IH61" s="1"/>
      <c r="II61" s="1"/>
      <c r="IJ61" s="1"/>
      <c r="IK61" s="1"/>
      <c r="IL61" s="1"/>
      <c r="IM61" s="1"/>
      <c r="IN61" s="1"/>
      <c r="IO61" s="1"/>
      <c r="IP61" s="1"/>
      <c r="IQ61" s="1"/>
      <c r="IR61" s="1"/>
      <c r="IS61" s="1"/>
      <c r="IT61" s="1"/>
      <c r="IU61" s="1"/>
      <c r="IV61" s="1"/>
      <c r="IW61" s="1"/>
      <c r="IX61" s="1"/>
      <c r="IY61" s="1"/>
      <c r="IZ61" s="1"/>
      <c r="JA61" s="1"/>
      <c r="JB61" s="1"/>
      <c r="JC61" s="1"/>
      <c r="JD61" s="1"/>
    </row>
    <row r="62" spans="1:264" s="386" customFormat="1" x14ac:dyDescent="0.2">
      <c r="A62" s="383" t="s">
        <v>234</v>
      </c>
      <c r="B62" s="384"/>
      <c r="C62" s="385"/>
      <c r="D62" s="385"/>
      <c r="E62" s="385"/>
      <c r="F62" s="385"/>
      <c r="G62" s="385"/>
      <c r="H62" s="385"/>
      <c r="I62" s="385"/>
      <c r="J62" s="385"/>
      <c r="K62" s="385"/>
      <c r="L62" s="385"/>
      <c r="M62" s="385"/>
      <c r="N62" s="385"/>
      <c r="O62" s="385"/>
      <c r="P62" s="385"/>
      <c r="Q62" s="385"/>
      <c r="R62" s="385"/>
      <c r="S62" s="385"/>
      <c r="T62" s="385"/>
      <c r="U62" s="385"/>
      <c r="V62" s="385"/>
      <c r="W62" s="385"/>
      <c r="X62" s="385"/>
      <c r="Y62" s="385"/>
      <c r="Z62" s="385"/>
      <c r="AA62" s="385"/>
      <c r="AB62" s="385"/>
      <c r="AC62" s="385"/>
      <c r="AD62" s="385"/>
      <c r="AE62" s="385"/>
      <c r="AF62" s="385"/>
      <c r="AG62" s="385"/>
      <c r="AH62" s="385"/>
      <c r="AI62" s="385"/>
      <c r="AJ62" s="385"/>
      <c r="AK62" s="385"/>
      <c r="AL62" s="385"/>
      <c r="AM62" s="385"/>
      <c r="AN62" s="385"/>
      <c r="AO62" s="385"/>
      <c r="AP62" s="385"/>
      <c r="AQ62" s="385"/>
      <c r="AR62" s="385"/>
      <c r="AS62" s="385"/>
      <c r="AT62" s="385"/>
      <c r="AU62" s="385"/>
      <c r="AV62" s="385"/>
      <c r="AW62" s="385"/>
      <c r="AX62" s="385"/>
      <c r="AY62" s="385"/>
      <c r="AZ62" s="385"/>
      <c r="BA62" s="385"/>
      <c r="BB62" s="385"/>
      <c r="BC62" s="385"/>
      <c r="BD62" s="385"/>
      <c r="BE62" s="385"/>
      <c r="BF62" s="385"/>
      <c r="BG62" s="385"/>
      <c r="BH62" s="384"/>
      <c r="BI62" s="384"/>
      <c r="BJ62" s="384"/>
      <c r="BK62" s="384"/>
      <c r="BL62" s="384"/>
      <c r="BM62" s="384"/>
      <c r="BN62" s="384"/>
      <c r="BO62" s="384"/>
      <c r="BP62" s="384"/>
      <c r="BQ62" s="384"/>
      <c r="BR62" s="384"/>
      <c r="BS62" s="385"/>
      <c r="BT62" s="384"/>
      <c r="BU62" s="384"/>
      <c r="BV62" s="384"/>
      <c r="BW62" s="385"/>
      <c r="BX62" s="384"/>
      <c r="BY62" s="385"/>
      <c r="BZ62" s="385"/>
      <c r="CA62" s="385"/>
      <c r="CB62" s="384"/>
      <c r="CC62" s="385"/>
      <c r="CD62" s="385"/>
      <c r="CE62" s="385"/>
      <c r="CF62" s="384"/>
      <c r="CG62" s="385"/>
      <c r="CH62" s="385"/>
      <c r="CI62" s="385"/>
      <c r="CJ62" s="384"/>
      <c r="CK62" s="385"/>
      <c r="CL62" s="385"/>
      <c r="CM62" s="385"/>
      <c r="CN62" s="384"/>
      <c r="CO62" s="385"/>
      <c r="CP62" s="385"/>
      <c r="CQ62" s="385"/>
      <c r="CR62" s="384"/>
      <c r="CS62" s="385"/>
      <c r="CT62" s="385"/>
      <c r="CU62" s="385"/>
      <c r="CV62" s="384"/>
      <c r="CW62" s="385"/>
      <c r="CX62" s="385"/>
      <c r="CY62" s="385"/>
      <c r="CZ62" s="384"/>
      <c r="DA62" s="385"/>
      <c r="DB62" s="385"/>
      <c r="DC62" s="385"/>
      <c r="DD62" s="384"/>
      <c r="DE62" s="385"/>
      <c r="DF62" s="385"/>
      <c r="DG62" s="385"/>
      <c r="DH62" s="384"/>
      <c r="DI62" s="385"/>
      <c r="DJ62" s="385"/>
      <c r="DK62" s="385"/>
      <c r="DL62" s="384"/>
      <c r="DM62" s="385"/>
      <c r="DN62" s="385"/>
      <c r="DO62" s="385"/>
      <c r="DP62" s="384"/>
      <c r="DQ62" s="385"/>
      <c r="DR62" s="385"/>
      <c r="DS62" s="385"/>
      <c r="DT62" s="1"/>
      <c r="DU62" s="1"/>
      <c r="DV62" s="1"/>
      <c r="DW62" s="1"/>
      <c r="DX62" s="1"/>
      <c r="DY62" s="1"/>
      <c r="DZ62" s="1"/>
      <c r="EA62" s="1"/>
      <c r="EB62" s="1"/>
      <c r="EC62" s="1"/>
      <c r="ED62" s="1"/>
      <c r="EE62" s="1"/>
      <c r="EF62" s="1"/>
      <c r="EG62" s="1"/>
      <c r="EH62" s="1"/>
      <c r="EI62" s="1"/>
      <c r="EJ62" s="1"/>
      <c r="EK62" s="1"/>
      <c r="EL62" s="1"/>
      <c r="EM62" s="1"/>
      <c r="EN62" s="1"/>
      <c r="EO62" s="1"/>
      <c r="EP62" s="1"/>
      <c r="EQ62" s="1"/>
      <c r="ER62" s="1"/>
      <c r="ES62" s="1"/>
      <c r="ET62" s="1"/>
      <c r="EU62" s="1"/>
      <c r="EV62" s="1"/>
      <c r="EW62" s="1"/>
      <c r="EX62" s="1"/>
      <c r="EY62" s="1"/>
      <c r="EZ62" s="1"/>
      <c r="FA62" s="1"/>
      <c r="FB62" s="1"/>
      <c r="FC62" s="1"/>
      <c r="FD62" s="1"/>
      <c r="FE62" s="1"/>
      <c r="FF62" s="1"/>
      <c r="FG62" s="1"/>
      <c r="FH62" s="1"/>
      <c r="FI62" s="1"/>
      <c r="FJ62" s="1"/>
      <c r="FK62" s="1"/>
      <c r="FL62" s="1"/>
      <c r="FM62" s="1"/>
      <c r="FN62" s="1"/>
      <c r="FO62" s="1"/>
      <c r="FP62" s="1"/>
      <c r="FQ62" s="1"/>
      <c r="FR62" s="1"/>
      <c r="FS62" s="1"/>
      <c r="FT62" s="1"/>
      <c r="FU62" s="1"/>
      <c r="FV62" s="1"/>
      <c r="FW62" s="1"/>
      <c r="FX62" s="1"/>
      <c r="FY62" s="1"/>
      <c r="FZ62" s="1"/>
      <c r="GA62" s="1"/>
      <c r="GB62" s="1"/>
      <c r="GC62" s="1"/>
      <c r="GD62" s="1"/>
      <c r="GE62" s="1"/>
      <c r="GF62" s="1"/>
      <c r="GG62" s="1"/>
      <c r="GH62" s="1"/>
      <c r="GI62" s="1"/>
      <c r="GJ62" s="1"/>
      <c r="GK62" s="1"/>
      <c r="GL62" s="1"/>
      <c r="GM62" s="1"/>
      <c r="GN62" s="1"/>
      <c r="GO62" s="1"/>
      <c r="GP62" s="1"/>
      <c r="GQ62" s="1"/>
      <c r="GR62" s="1"/>
      <c r="GS62" s="1"/>
      <c r="GT62" s="1"/>
      <c r="GU62" s="1"/>
      <c r="GV62" s="1"/>
      <c r="GW62" s="1"/>
      <c r="GX62" s="1"/>
      <c r="GY62" s="1"/>
      <c r="GZ62" s="1"/>
      <c r="HA62" s="1"/>
      <c r="HB62" s="1"/>
      <c r="HC62" s="1"/>
      <c r="HD62" s="1"/>
      <c r="HE62" s="1"/>
      <c r="HF62" s="1"/>
      <c r="HG62" s="1"/>
      <c r="HH62" s="1"/>
      <c r="HI62" s="1"/>
      <c r="HJ62" s="1"/>
      <c r="HK62" s="1"/>
      <c r="HL62" s="1"/>
      <c r="HM62" s="1"/>
      <c r="HN62" s="1"/>
      <c r="HO62" s="1"/>
      <c r="HP62" s="1"/>
      <c r="HQ62" s="1"/>
      <c r="HR62" s="1"/>
      <c r="HS62" s="1"/>
      <c r="HT62" s="1"/>
      <c r="HU62" s="1"/>
      <c r="HV62" s="1"/>
      <c r="HW62" s="1"/>
      <c r="HX62" s="1"/>
      <c r="HY62" s="1"/>
      <c r="HZ62" s="1"/>
      <c r="IA62" s="1"/>
      <c r="IB62" s="1"/>
      <c r="IC62" s="1"/>
      <c r="ID62" s="1"/>
      <c r="IE62" s="1"/>
      <c r="IF62" s="1"/>
      <c r="IG62" s="1"/>
      <c r="IH62" s="1"/>
      <c r="II62" s="1"/>
      <c r="IJ62" s="1"/>
      <c r="IK62" s="1"/>
      <c r="IL62" s="1"/>
      <c r="IM62" s="1"/>
      <c r="IN62" s="1"/>
      <c r="IO62" s="1"/>
      <c r="IP62" s="1"/>
      <c r="IQ62" s="1"/>
      <c r="IR62" s="1"/>
      <c r="IS62" s="1"/>
      <c r="IT62" s="1"/>
      <c r="IU62" s="1"/>
      <c r="IV62" s="1"/>
      <c r="IW62" s="1"/>
      <c r="IX62" s="1"/>
      <c r="IY62" s="1"/>
      <c r="IZ62" s="1"/>
      <c r="JA62" s="1"/>
      <c r="JB62" s="1"/>
      <c r="JC62" s="1"/>
      <c r="JD62" s="1"/>
    </row>
    <row r="63" spans="1:264" s="347" customFormat="1" ht="13.5" thickBot="1" x14ac:dyDescent="0.25">
      <c r="A63" s="435"/>
      <c r="B63" s="348"/>
      <c r="BH63" s="348"/>
      <c r="BI63" s="348"/>
      <c r="BJ63" s="348"/>
      <c r="BK63" s="348"/>
      <c r="BL63" s="348"/>
      <c r="BM63" s="348"/>
      <c r="BN63" s="348"/>
      <c r="BO63" s="348"/>
      <c r="BP63" s="348"/>
      <c r="BQ63" s="348"/>
      <c r="BR63" s="348"/>
      <c r="BT63" s="348"/>
      <c r="BU63" s="348"/>
      <c r="BV63" s="348"/>
      <c r="BX63" s="348"/>
      <c r="CB63" s="348"/>
      <c r="CF63" s="348"/>
      <c r="CJ63" s="348"/>
      <c r="CN63" s="348"/>
      <c r="CR63" s="348"/>
      <c r="CV63" s="348"/>
      <c r="CZ63" s="348"/>
      <c r="DD63" s="348"/>
      <c r="DH63" s="348"/>
      <c r="DL63" s="348"/>
      <c r="DP63" s="348"/>
      <c r="DT63" s="1"/>
      <c r="DU63" s="1"/>
      <c r="DV63" s="1"/>
      <c r="DW63" s="1"/>
      <c r="DX63" s="1"/>
      <c r="DY63" s="1"/>
      <c r="DZ63" s="1"/>
      <c r="EA63" s="1"/>
      <c r="EB63" s="1"/>
      <c r="EC63" s="1"/>
      <c r="ED63" s="1"/>
      <c r="EE63" s="1"/>
      <c r="EF63" s="1"/>
      <c r="EG63" s="1"/>
      <c r="EH63" s="1"/>
      <c r="EI63" s="1"/>
      <c r="EJ63" s="1"/>
      <c r="EK63" s="1"/>
      <c r="EL63" s="1"/>
      <c r="EM63" s="1"/>
      <c r="EN63" s="1"/>
      <c r="EO63" s="1"/>
      <c r="EP63" s="1"/>
      <c r="EQ63" s="1"/>
      <c r="ER63" s="1"/>
      <c r="ES63" s="1"/>
      <c r="ET63" s="1"/>
      <c r="EU63" s="1"/>
      <c r="EV63" s="1"/>
      <c r="EW63" s="1"/>
      <c r="EX63" s="1"/>
      <c r="EY63" s="1"/>
      <c r="EZ63" s="1"/>
      <c r="FA63" s="1"/>
      <c r="FB63" s="1"/>
      <c r="FC63" s="1"/>
      <c r="FD63" s="1"/>
      <c r="FE63" s="1"/>
      <c r="FF63" s="1"/>
      <c r="FG63" s="1"/>
      <c r="FH63" s="1"/>
      <c r="FI63" s="1"/>
      <c r="FJ63" s="1"/>
      <c r="FK63" s="1"/>
      <c r="FL63" s="1"/>
      <c r="FM63" s="1"/>
      <c r="FN63" s="1"/>
      <c r="FO63" s="1"/>
      <c r="FP63" s="1"/>
      <c r="FQ63" s="1"/>
      <c r="FR63" s="1"/>
      <c r="FS63" s="1"/>
      <c r="FT63" s="1"/>
      <c r="FU63" s="1"/>
      <c r="FV63" s="1"/>
      <c r="FW63" s="1"/>
      <c r="FX63" s="1"/>
      <c r="FY63" s="1"/>
      <c r="FZ63" s="1"/>
      <c r="GA63" s="1"/>
      <c r="GB63" s="1"/>
      <c r="GC63" s="1"/>
      <c r="GD63" s="1"/>
      <c r="GE63" s="1"/>
      <c r="GF63" s="1"/>
      <c r="GG63" s="1"/>
      <c r="GH63" s="1"/>
      <c r="GI63" s="1"/>
      <c r="GJ63" s="1"/>
      <c r="GK63" s="1"/>
      <c r="GL63" s="1"/>
      <c r="GM63" s="1"/>
      <c r="GN63" s="1"/>
      <c r="GO63" s="1"/>
      <c r="GP63" s="1"/>
      <c r="GQ63" s="1"/>
      <c r="GR63" s="1"/>
      <c r="GS63" s="1"/>
      <c r="GT63" s="1"/>
      <c r="GU63" s="1"/>
      <c r="GV63" s="1"/>
      <c r="GW63" s="1"/>
      <c r="GX63" s="1"/>
      <c r="GY63" s="1"/>
      <c r="GZ63" s="1"/>
      <c r="HA63" s="1"/>
      <c r="HB63" s="1"/>
      <c r="HC63" s="1"/>
      <c r="HD63" s="1"/>
      <c r="HE63" s="1"/>
      <c r="HF63" s="1"/>
      <c r="HG63" s="1"/>
      <c r="HH63" s="1"/>
      <c r="HI63" s="1"/>
      <c r="HJ63" s="1"/>
      <c r="HK63" s="1"/>
      <c r="HL63" s="1"/>
      <c r="HM63" s="1"/>
      <c r="HN63" s="1"/>
      <c r="HO63" s="1"/>
      <c r="HP63" s="1"/>
      <c r="HQ63" s="1"/>
      <c r="HR63" s="1"/>
      <c r="HS63" s="1"/>
      <c r="HT63" s="1"/>
      <c r="HU63" s="1"/>
      <c r="HV63" s="1"/>
      <c r="HW63" s="1"/>
      <c r="HX63" s="1"/>
      <c r="HY63" s="1"/>
      <c r="HZ63" s="1"/>
      <c r="IA63" s="1"/>
      <c r="IB63" s="1"/>
      <c r="IC63" s="1"/>
      <c r="ID63" s="1"/>
      <c r="IE63" s="1"/>
      <c r="IF63" s="1"/>
      <c r="IG63" s="1"/>
      <c r="IH63" s="1"/>
      <c r="II63" s="1"/>
      <c r="IJ63" s="1"/>
      <c r="IK63" s="1"/>
      <c r="IL63" s="1"/>
      <c r="IM63" s="1"/>
      <c r="IN63" s="1"/>
      <c r="IO63" s="1"/>
      <c r="IP63" s="1"/>
      <c r="IQ63" s="1"/>
      <c r="IR63" s="1"/>
      <c r="IS63" s="1"/>
      <c r="IT63" s="1"/>
      <c r="IU63" s="1"/>
      <c r="IV63" s="1"/>
      <c r="IW63" s="1"/>
      <c r="IX63" s="1"/>
      <c r="IY63" s="1"/>
      <c r="IZ63" s="1"/>
      <c r="JA63" s="1"/>
      <c r="JB63" s="1"/>
      <c r="JC63" s="1"/>
      <c r="JD63" s="1"/>
    </row>
    <row r="64" spans="1:264" s="429" customFormat="1" ht="13.5" thickBot="1" x14ac:dyDescent="0.25">
      <c r="A64" s="436" t="s">
        <v>235</v>
      </c>
      <c r="B64" s="437" t="s">
        <v>236</v>
      </c>
      <c r="C64" s="436"/>
      <c r="D64" s="436"/>
      <c r="E64" s="436"/>
      <c r="F64" s="436"/>
      <c r="G64" s="436"/>
      <c r="H64" s="436"/>
      <c r="I64" s="436"/>
      <c r="J64" s="436"/>
      <c r="K64" s="436"/>
      <c r="L64" s="436"/>
      <c r="M64" s="436"/>
      <c r="N64" s="436"/>
      <c r="O64" s="436"/>
      <c r="P64" s="436"/>
      <c r="Q64" s="436"/>
      <c r="R64" s="436"/>
      <c r="S64" s="436"/>
      <c r="T64" s="436"/>
      <c r="U64" s="436"/>
      <c r="V64" s="436"/>
      <c r="W64" s="436"/>
      <c r="X64" s="436"/>
      <c r="Y64" s="436"/>
      <c r="Z64" s="436"/>
      <c r="AA64" s="436"/>
      <c r="AB64" s="436"/>
      <c r="AC64" s="436"/>
      <c r="AD64" s="436"/>
      <c r="AE64" s="436"/>
      <c r="AF64" s="436"/>
      <c r="AG64" s="436"/>
      <c r="AH64" s="436"/>
      <c r="AI64" s="436"/>
      <c r="AJ64" s="436"/>
      <c r="AK64" s="436"/>
      <c r="AL64" s="436"/>
      <c r="AM64" s="436"/>
      <c r="AN64" s="436"/>
      <c r="AO64" s="436"/>
      <c r="AP64" s="436"/>
      <c r="AQ64" s="436"/>
      <c r="AR64" s="436"/>
      <c r="AS64" s="436"/>
      <c r="AT64" s="436"/>
      <c r="AU64" s="436"/>
      <c r="AV64" s="436"/>
      <c r="AW64" s="436"/>
      <c r="AX64" s="436"/>
      <c r="AY64" s="436"/>
      <c r="AZ64" s="436"/>
      <c r="BA64" s="436"/>
      <c r="BB64" s="436"/>
      <c r="BC64" s="436"/>
      <c r="BD64" s="436"/>
      <c r="BE64" s="436"/>
      <c r="BF64" s="436"/>
      <c r="BG64" s="436"/>
      <c r="BH64" s="438">
        <v>1.2609999999999999</v>
      </c>
      <c r="BI64" s="438">
        <v>1.1859999999999999</v>
      </c>
      <c r="BJ64" s="439">
        <f>BI64</f>
        <v>1.1859999999999999</v>
      </c>
      <c r="BK64" s="437"/>
      <c r="BL64" s="438">
        <v>1.0867</v>
      </c>
      <c r="BM64" s="438">
        <v>1.0762</v>
      </c>
      <c r="BN64" s="439">
        <f>BM64</f>
        <v>1.0762</v>
      </c>
      <c r="BO64" s="437"/>
      <c r="BP64" s="438">
        <v>1.0449999999999999</v>
      </c>
      <c r="BQ64" s="438">
        <v>1.0762</v>
      </c>
      <c r="BR64" s="439">
        <f>BQ64</f>
        <v>1.0762</v>
      </c>
      <c r="BS64" s="436"/>
      <c r="BT64" s="438">
        <v>1.0660000000000001</v>
      </c>
      <c r="BU64" s="438">
        <v>1.0469999999999999</v>
      </c>
      <c r="BV64" s="439">
        <f>BU64</f>
        <v>1.0469999999999999</v>
      </c>
      <c r="BW64" s="436"/>
      <c r="BX64" s="438">
        <v>1.0392999999999999</v>
      </c>
      <c r="BY64" s="438">
        <v>1.0492999999999999</v>
      </c>
      <c r="BZ64" s="439">
        <f>BY64</f>
        <v>1.0492999999999999</v>
      </c>
      <c r="CA64" s="436"/>
      <c r="CB64" s="438">
        <v>1.0983000000000001</v>
      </c>
      <c r="CC64" s="438">
        <v>1.0909</v>
      </c>
      <c r="CD64" s="439">
        <f>CC64</f>
        <v>1.0909</v>
      </c>
      <c r="CE64" s="436"/>
      <c r="CF64" s="438">
        <v>1.0515000000000001</v>
      </c>
      <c r="CG64" s="438">
        <v>1.046</v>
      </c>
      <c r="CH64" s="439">
        <f>CG64</f>
        <v>1.046</v>
      </c>
      <c r="CI64" s="436"/>
      <c r="CJ64" s="438">
        <v>1.0408999999999999</v>
      </c>
      <c r="CK64" s="438">
        <v>1.0705</v>
      </c>
      <c r="CL64" s="439">
        <f>CK64</f>
        <v>1.0705</v>
      </c>
      <c r="CM64" s="436"/>
      <c r="CN64" s="438">
        <v>1.0667</v>
      </c>
      <c r="CO64" s="438">
        <v>1.0740000000000001</v>
      </c>
      <c r="CP64" s="439">
        <f>CO64</f>
        <v>1.0740000000000001</v>
      </c>
      <c r="CQ64" s="436"/>
      <c r="CR64" s="438">
        <v>1.0628</v>
      </c>
      <c r="CS64" s="438">
        <v>1.1073</v>
      </c>
      <c r="CT64" s="439">
        <f>CS64</f>
        <v>1.1073</v>
      </c>
      <c r="CU64" s="436"/>
      <c r="CV64" s="438">
        <v>1.0713999999999999</v>
      </c>
      <c r="CW64" s="438">
        <v>1.0887</v>
      </c>
      <c r="CX64" s="439">
        <f>CW64</f>
        <v>1.0887</v>
      </c>
      <c r="CY64" s="436"/>
      <c r="CZ64" s="438">
        <v>1.0764</v>
      </c>
      <c r="DA64" s="438">
        <v>1.0929</v>
      </c>
      <c r="DB64" s="439">
        <f>DA64</f>
        <v>1.0929</v>
      </c>
      <c r="DC64" s="436"/>
      <c r="DD64" s="438">
        <v>1.1042000000000001</v>
      </c>
      <c r="DE64" s="438">
        <v>1.0766</v>
      </c>
      <c r="DF64" s="439">
        <f>DE64</f>
        <v>1.0766</v>
      </c>
      <c r="DG64" s="436"/>
      <c r="DH64" s="438">
        <v>1.159</v>
      </c>
      <c r="DI64" s="440">
        <v>1.17</v>
      </c>
      <c r="DJ64" s="439">
        <f>DI64</f>
        <v>1.17</v>
      </c>
      <c r="DK64" s="436"/>
      <c r="DL64" s="441">
        <f>DI64</f>
        <v>1.17</v>
      </c>
      <c r="DM64" s="441">
        <f>DL64</f>
        <v>1.17</v>
      </c>
      <c r="DN64" s="439">
        <f>DM64</f>
        <v>1.17</v>
      </c>
      <c r="DO64" s="436"/>
      <c r="DP64" s="441">
        <f>DM64</f>
        <v>1.17</v>
      </c>
      <c r="DQ64" s="441">
        <f>DP64</f>
        <v>1.17</v>
      </c>
      <c r="DR64" s="439">
        <f>DQ64</f>
        <v>1.17</v>
      </c>
      <c r="DS64" s="436"/>
      <c r="DT64" s="1"/>
      <c r="DU64" s="1"/>
      <c r="DV64" s="1"/>
      <c r="DW64" s="1"/>
      <c r="DX64" s="1"/>
      <c r="DY64" s="1"/>
      <c r="DZ64" s="1"/>
      <c r="EA64" s="1"/>
      <c r="EB64" s="1"/>
      <c r="EC64" s="1"/>
      <c r="ED64" s="1"/>
      <c r="EE64" s="1"/>
      <c r="EF64" s="1"/>
      <c r="EG64" s="1"/>
      <c r="EH64" s="1"/>
      <c r="EI64" s="1"/>
      <c r="EJ64" s="1"/>
      <c r="EK64" s="1"/>
      <c r="EL64" s="1"/>
      <c r="EM64" s="1"/>
      <c r="EN64" s="1"/>
      <c r="EO64" s="1"/>
      <c r="EP64" s="1"/>
      <c r="EQ64" s="1"/>
      <c r="ER64" s="1"/>
      <c r="ES64" s="1"/>
      <c r="ET64" s="1"/>
      <c r="EU64" s="1"/>
      <c r="EV64" s="1"/>
      <c r="EW64" s="1"/>
      <c r="EX64" s="1"/>
      <c r="EY64" s="1"/>
      <c r="EZ64" s="1"/>
      <c r="FA64" s="1"/>
      <c r="FB64" s="1"/>
      <c r="FC64" s="1"/>
      <c r="FD64" s="1"/>
      <c r="FE64" s="1"/>
      <c r="FF64" s="1"/>
      <c r="FG64" s="1"/>
      <c r="FH64" s="1"/>
      <c r="FI64" s="1"/>
      <c r="FJ64" s="1"/>
      <c r="FK64" s="1"/>
      <c r="FL64" s="1"/>
      <c r="FM64" s="1"/>
      <c r="FN64" s="1"/>
      <c r="FO64" s="1"/>
      <c r="FP64" s="1"/>
      <c r="FQ64" s="1"/>
      <c r="FR64" s="1"/>
      <c r="FS64" s="1"/>
      <c r="FT64" s="1"/>
      <c r="FU64" s="1"/>
      <c r="FV64" s="1"/>
      <c r="FW64" s="1"/>
      <c r="FX64" s="1"/>
      <c r="FY64" s="1"/>
      <c r="FZ64" s="1"/>
      <c r="GA64" s="1"/>
      <c r="GB64" s="1"/>
      <c r="GC64" s="1"/>
      <c r="GD64" s="1"/>
      <c r="GE64" s="1"/>
      <c r="GF64" s="1"/>
      <c r="GG64" s="1"/>
      <c r="GH64" s="1"/>
      <c r="GI64" s="1"/>
      <c r="GJ64" s="1"/>
      <c r="GK64" s="1"/>
      <c r="GL64" s="1"/>
      <c r="GM64" s="1"/>
      <c r="GN64" s="1"/>
      <c r="GO64" s="1"/>
      <c r="GP64" s="1"/>
      <c r="GQ64" s="1"/>
      <c r="GR64" s="1"/>
      <c r="GS64" s="1"/>
      <c r="GT64" s="1"/>
      <c r="GU64" s="1"/>
      <c r="GV64" s="1"/>
      <c r="GW64" s="1"/>
      <c r="GX64" s="1"/>
      <c r="GY64" s="1"/>
      <c r="GZ64" s="1"/>
      <c r="HA64" s="1"/>
      <c r="HB64" s="1"/>
      <c r="HC64" s="1"/>
      <c r="HD64" s="1"/>
      <c r="HE64" s="1"/>
      <c r="HF64" s="1"/>
      <c r="HG64" s="1"/>
      <c r="HH64" s="1"/>
      <c r="HI64" s="1"/>
      <c r="HJ64" s="1"/>
      <c r="HK64" s="1"/>
      <c r="HL64" s="1"/>
      <c r="HM64" s="1"/>
      <c r="HN64" s="1"/>
      <c r="HO64" s="1"/>
      <c r="HP64" s="1"/>
      <c r="HQ64" s="1"/>
      <c r="HR64" s="1"/>
      <c r="HS64" s="1"/>
      <c r="HT64" s="1"/>
      <c r="HU64" s="1"/>
      <c r="HV64" s="1"/>
      <c r="HW64" s="1"/>
      <c r="HX64" s="1"/>
      <c r="HY64" s="1"/>
      <c r="HZ64" s="1"/>
      <c r="IA64" s="1"/>
      <c r="IB64" s="1"/>
      <c r="IC64" s="1"/>
      <c r="ID64" s="1"/>
      <c r="IE64" s="1"/>
      <c r="IF64" s="1"/>
      <c r="IG64" s="1"/>
      <c r="IH64" s="1"/>
      <c r="II64" s="1"/>
      <c r="IJ64" s="1"/>
      <c r="IK64" s="1"/>
      <c r="IL64" s="1"/>
      <c r="IM64" s="1"/>
      <c r="IN64" s="1"/>
      <c r="IO64" s="1"/>
      <c r="IP64" s="1"/>
      <c r="IQ64" s="1"/>
      <c r="IR64" s="1"/>
      <c r="IS64" s="1"/>
      <c r="IT64" s="1"/>
      <c r="IU64" s="1"/>
      <c r="IV64" s="1"/>
      <c r="IW64" s="1"/>
      <c r="IX64" s="1"/>
      <c r="IY64" s="1"/>
      <c r="IZ64" s="1"/>
      <c r="JA64" s="1"/>
      <c r="JB64" s="1"/>
      <c r="JC64" s="1"/>
      <c r="JD64" s="1"/>
    </row>
    <row r="65" spans="1:264" s="429" customFormat="1" ht="13.5" thickBot="1" x14ac:dyDescent="0.25">
      <c r="A65" s="429" t="s">
        <v>237</v>
      </c>
      <c r="B65" s="408"/>
      <c r="BH65" s="442">
        <f>AVERAGE(BH64,BE64)</f>
        <v>1.2609999999999999</v>
      </c>
      <c r="BI65" s="442">
        <f>AVERAGE(BH64,BI64)</f>
        <v>1.2235</v>
      </c>
      <c r="BJ65" s="442">
        <f>AVERAGE(BH65:BI65)</f>
        <v>1.2422499999999999</v>
      </c>
      <c r="BK65" s="408"/>
      <c r="BL65" s="442">
        <f>AVERAGE(BL64,BI64)</f>
        <v>1.13635</v>
      </c>
      <c r="BM65" s="442">
        <f>AVERAGE(BL64,BM64)</f>
        <v>1.08145</v>
      </c>
      <c r="BN65" s="442">
        <f>AVERAGE(BL65:BM65)</f>
        <v>1.1089</v>
      </c>
      <c r="BO65" s="408"/>
      <c r="BP65" s="442">
        <f>AVERAGE(BP64,BM64)</f>
        <v>1.0606</v>
      </c>
      <c r="BQ65" s="442">
        <f>AVERAGE(BP64,BQ64)</f>
        <v>1.0606</v>
      </c>
      <c r="BR65" s="442">
        <f>AVERAGE(BP65:BQ65)</f>
        <v>1.0606</v>
      </c>
      <c r="BT65" s="442">
        <f>AVERAGE(BT64,BQ64)</f>
        <v>1.0710999999999999</v>
      </c>
      <c r="BU65" s="442">
        <f>AVERAGE(BT64,BU64)</f>
        <v>1.0565</v>
      </c>
      <c r="BV65" s="442">
        <f>AVERAGE(BT65:BU65)</f>
        <v>1.0638000000000001</v>
      </c>
      <c r="BX65" s="442">
        <f>AVERAGE(BX64,BU64)</f>
        <v>1.0431499999999998</v>
      </c>
      <c r="BY65" s="442">
        <f>AVERAGE(BX64,BY64)</f>
        <v>1.0442999999999998</v>
      </c>
      <c r="BZ65" s="442">
        <f>AVERAGE(BX65:BY65)</f>
        <v>1.0437249999999998</v>
      </c>
      <c r="CB65" s="442">
        <f>AVERAGE(CB64,BY64)</f>
        <v>1.0737999999999999</v>
      </c>
      <c r="CC65" s="442">
        <f>AVERAGE(CB64,CC64)</f>
        <v>1.0946</v>
      </c>
      <c r="CD65" s="442">
        <f>AVERAGE(CB65:CC65)</f>
        <v>1.0842000000000001</v>
      </c>
      <c r="CF65" s="443">
        <v>1.0822000000000001</v>
      </c>
      <c r="CG65" s="443">
        <v>1.0510999999999999</v>
      </c>
      <c r="CH65" s="443">
        <v>1.0668</v>
      </c>
      <c r="CJ65" s="443">
        <v>1.0589</v>
      </c>
      <c r="CK65" s="443">
        <v>1.0497000000000001</v>
      </c>
      <c r="CL65" s="443">
        <v>1.0589</v>
      </c>
      <c r="CN65" s="443">
        <v>1.0727</v>
      </c>
      <c r="CO65" s="443">
        <v>1.0755999999999999</v>
      </c>
      <c r="CP65" s="443">
        <v>1.0742</v>
      </c>
      <c r="CR65" s="443">
        <v>1.0488999999999999</v>
      </c>
      <c r="CS65" s="443">
        <v>1.0849</v>
      </c>
      <c r="CT65" s="443">
        <v>1.0667</v>
      </c>
      <c r="CV65" s="443">
        <v>1.1019000000000001</v>
      </c>
      <c r="CW65" s="443">
        <v>1.083</v>
      </c>
      <c r="CX65" s="443">
        <v>1.0926</v>
      </c>
      <c r="CZ65" s="443">
        <v>1.0804</v>
      </c>
      <c r="DA65" s="443">
        <v>1.0812999999999999</v>
      </c>
      <c r="DB65" s="443">
        <v>1.0808</v>
      </c>
      <c r="DD65" s="443">
        <v>1.0998000000000001</v>
      </c>
      <c r="DE65" s="443">
        <v>1.0929</v>
      </c>
      <c r="DF65" s="443">
        <v>1.0963000000000001</v>
      </c>
      <c r="DH65" s="443">
        <v>1.1236999999999999</v>
      </c>
      <c r="DI65" s="442">
        <f>AVERAGE(DH64,DI64)</f>
        <v>1.1644999999999999</v>
      </c>
      <c r="DJ65" s="442">
        <f>AVERAGE(DH65:DI65)</f>
        <v>1.1440999999999999</v>
      </c>
      <c r="DL65" s="442">
        <f>AVERAGE(DL64,DI64)</f>
        <v>1.17</v>
      </c>
      <c r="DM65" s="442">
        <f>AVERAGE(DL64,DM64)</f>
        <v>1.17</v>
      </c>
      <c r="DN65" s="442">
        <f>AVERAGE(DL65:DM65)</f>
        <v>1.17</v>
      </c>
      <c r="DP65" s="442">
        <f>AVERAGE(DP64,DM64)</f>
        <v>1.17</v>
      </c>
      <c r="DQ65" s="442">
        <f>AVERAGE(DP64,DQ64)</f>
        <v>1.17</v>
      </c>
      <c r="DR65" s="442">
        <f>AVERAGE(DP65:DQ65)</f>
        <v>1.17</v>
      </c>
      <c r="DT65" s="1"/>
      <c r="DU65" s="1"/>
      <c r="DV65" s="1"/>
      <c r="DW65" s="1"/>
      <c r="DX65" s="1"/>
      <c r="DY65" s="1"/>
      <c r="DZ65" s="1"/>
      <c r="EA65" s="1"/>
      <c r="EB65" s="1"/>
      <c r="EC65" s="1"/>
      <c r="ED65" s="1"/>
      <c r="EE65" s="1"/>
      <c r="EF65" s="1"/>
      <c r="EG65" s="1"/>
      <c r="EH65" s="1"/>
      <c r="EI65" s="1"/>
      <c r="EJ65" s="1"/>
      <c r="EK65" s="1"/>
      <c r="EL65" s="1"/>
      <c r="EM65" s="1"/>
      <c r="EN65" s="1"/>
      <c r="EO65" s="1"/>
      <c r="EP65" s="1"/>
      <c r="EQ65" s="1"/>
      <c r="ER65" s="1"/>
      <c r="ES65" s="1"/>
      <c r="ET65" s="1"/>
      <c r="EU65" s="1"/>
      <c r="EV65" s="1"/>
      <c r="EW65" s="1"/>
      <c r="EX65" s="1"/>
      <c r="EY65" s="1"/>
      <c r="EZ65" s="1"/>
      <c r="FA65" s="1"/>
      <c r="FB65" s="1"/>
      <c r="FC65" s="1"/>
      <c r="FD65" s="1"/>
      <c r="FE65" s="1"/>
      <c r="FF65" s="1"/>
      <c r="FG65" s="1"/>
      <c r="FH65" s="1"/>
      <c r="FI65" s="1"/>
      <c r="FJ65" s="1"/>
      <c r="FK65" s="1"/>
      <c r="FL65" s="1"/>
      <c r="FM65" s="1"/>
      <c r="FN65" s="1"/>
      <c r="FO65" s="1"/>
      <c r="FP65" s="1"/>
      <c r="FQ65" s="1"/>
      <c r="FR65" s="1"/>
      <c r="FS65" s="1"/>
      <c r="FT65" s="1"/>
      <c r="FU65" s="1"/>
      <c r="FV65" s="1"/>
      <c r="FW65" s="1"/>
      <c r="FX65" s="1"/>
      <c r="FY65" s="1"/>
      <c r="FZ65" s="1"/>
      <c r="GA65" s="1"/>
      <c r="GB65" s="1"/>
      <c r="GC65" s="1"/>
      <c r="GD65" s="1"/>
      <c r="GE65" s="1"/>
      <c r="GF65" s="1"/>
      <c r="GG65" s="1"/>
      <c r="GH65" s="1"/>
      <c r="GI65" s="1"/>
      <c r="GJ65" s="1"/>
      <c r="GK65" s="1"/>
      <c r="GL65" s="1"/>
      <c r="GM65" s="1"/>
      <c r="GN65" s="1"/>
      <c r="GO65" s="1"/>
      <c r="GP65" s="1"/>
      <c r="GQ65" s="1"/>
      <c r="GR65" s="1"/>
      <c r="GS65" s="1"/>
      <c r="GT65" s="1"/>
      <c r="GU65" s="1"/>
      <c r="GV65" s="1"/>
      <c r="GW65" s="1"/>
      <c r="GX65" s="1"/>
      <c r="GY65" s="1"/>
      <c r="GZ65" s="1"/>
      <c r="HA65" s="1"/>
      <c r="HB65" s="1"/>
      <c r="HC65" s="1"/>
      <c r="HD65" s="1"/>
      <c r="HE65" s="1"/>
      <c r="HF65" s="1"/>
      <c r="HG65" s="1"/>
      <c r="HH65" s="1"/>
      <c r="HI65" s="1"/>
      <c r="HJ65" s="1"/>
      <c r="HK65" s="1"/>
      <c r="HL65" s="1"/>
      <c r="HM65" s="1"/>
      <c r="HN65" s="1"/>
      <c r="HO65" s="1"/>
      <c r="HP65" s="1"/>
      <c r="HQ65" s="1"/>
      <c r="HR65" s="1"/>
      <c r="HS65" s="1"/>
      <c r="HT65" s="1"/>
      <c r="HU65" s="1"/>
      <c r="HV65" s="1"/>
      <c r="HW65" s="1"/>
      <c r="HX65" s="1"/>
      <c r="HY65" s="1"/>
      <c r="HZ65" s="1"/>
      <c r="IA65" s="1"/>
      <c r="IB65" s="1"/>
      <c r="IC65" s="1"/>
      <c r="ID65" s="1"/>
      <c r="IE65" s="1"/>
      <c r="IF65" s="1"/>
      <c r="IG65" s="1"/>
      <c r="IH65" s="1"/>
      <c r="II65" s="1"/>
      <c r="IJ65" s="1"/>
      <c r="IK65" s="1"/>
      <c r="IL65" s="1"/>
      <c r="IM65" s="1"/>
      <c r="IN65" s="1"/>
      <c r="IO65" s="1"/>
      <c r="IP65" s="1"/>
      <c r="IQ65" s="1"/>
      <c r="IR65" s="1"/>
      <c r="IS65" s="1"/>
      <c r="IT65" s="1"/>
      <c r="IU65" s="1"/>
      <c r="IV65" s="1"/>
      <c r="IW65" s="1"/>
      <c r="IX65" s="1"/>
      <c r="IY65" s="1"/>
      <c r="IZ65" s="1"/>
      <c r="JA65" s="1"/>
      <c r="JB65" s="1"/>
      <c r="JC65" s="1"/>
      <c r="JD65" s="1"/>
    </row>
    <row r="66" spans="1:264" s="429" customFormat="1" ht="13.5" thickBot="1" x14ac:dyDescent="0.25">
      <c r="A66" s="436" t="s">
        <v>238</v>
      </c>
      <c r="B66" s="437" t="s">
        <v>236</v>
      </c>
      <c r="C66" s="436"/>
      <c r="D66" s="436"/>
      <c r="E66" s="436"/>
      <c r="F66" s="436"/>
      <c r="G66" s="436"/>
      <c r="H66" s="436"/>
      <c r="I66" s="436"/>
      <c r="J66" s="436"/>
      <c r="K66" s="436"/>
      <c r="L66" s="436"/>
      <c r="M66" s="436"/>
      <c r="N66" s="436"/>
      <c r="O66" s="436"/>
      <c r="P66" s="436"/>
      <c r="Q66" s="436"/>
      <c r="R66" s="436"/>
      <c r="S66" s="436"/>
      <c r="T66" s="436"/>
      <c r="U66" s="436"/>
      <c r="V66" s="436"/>
      <c r="W66" s="436"/>
      <c r="X66" s="436"/>
      <c r="Y66" s="436"/>
      <c r="Z66" s="436"/>
      <c r="AA66" s="436"/>
      <c r="AB66" s="436"/>
      <c r="AC66" s="436"/>
      <c r="AD66" s="436"/>
      <c r="AE66" s="436"/>
      <c r="AF66" s="436"/>
      <c r="AG66" s="436"/>
      <c r="AH66" s="436"/>
      <c r="AI66" s="436"/>
      <c r="AJ66" s="436"/>
      <c r="AK66" s="436"/>
      <c r="AL66" s="436"/>
      <c r="AM66" s="436"/>
      <c r="AN66" s="436"/>
      <c r="AO66" s="436"/>
      <c r="AP66" s="436"/>
      <c r="AQ66" s="436"/>
      <c r="AR66" s="436"/>
      <c r="AS66" s="436"/>
      <c r="AT66" s="436"/>
      <c r="AU66" s="436"/>
      <c r="AV66" s="436"/>
      <c r="AW66" s="436"/>
      <c r="AX66" s="436"/>
      <c r="AY66" s="436"/>
      <c r="AZ66" s="436"/>
      <c r="BA66" s="436"/>
      <c r="BB66" s="436"/>
      <c r="BC66" s="436"/>
      <c r="BD66" s="436"/>
      <c r="BE66" s="436"/>
      <c r="BF66" s="436"/>
      <c r="BG66" s="436"/>
      <c r="BH66" s="438">
        <v>1.0386</v>
      </c>
      <c r="BI66" s="438">
        <v>0.92679999999999996</v>
      </c>
      <c r="BJ66" s="439">
        <f>BI66</f>
        <v>0.92679999999999996</v>
      </c>
      <c r="BK66" s="437"/>
      <c r="BL66" s="438">
        <v>0.89390000000000003</v>
      </c>
      <c r="BM66" s="438">
        <v>0.9405</v>
      </c>
      <c r="BN66" s="439">
        <f>BM66</f>
        <v>0.9405</v>
      </c>
      <c r="BO66" s="437"/>
      <c r="BP66" s="438">
        <v>0.81879999999999997</v>
      </c>
      <c r="BQ66" s="438">
        <v>0.7681</v>
      </c>
      <c r="BR66" s="439">
        <f>BQ66</f>
        <v>0.7681</v>
      </c>
      <c r="BS66" s="436"/>
      <c r="BT66" s="438">
        <v>0.73080000000000001</v>
      </c>
      <c r="BU66" s="438">
        <v>0.74309999999999998</v>
      </c>
      <c r="BV66" s="439">
        <f>BU66</f>
        <v>0.74309999999999998</v>
      </c>
      <c r="BW66" s="436"/>
      <c r="BX66" s="438">
        <v>0.72360000000000002</v>
      </c>
      <c r="BY66" s="438">
        <v>0.76839999999999997</v>
      </c>
      <c r="BZ66" s="439">
        <f>BY66</f>
        <v>0.76839999999999997</v>
      </c>
      <c r="CA66" s="436"/>
      <c r="CB66" s="438">
        <v>0.77990000000000004</v>
      </c>
      <c r="CC66" s="438">
        <v>0.73870000000000002</v>
      </c>
      <c r="CD66" s="439">
        <f>CC66</f>
        <v>0.73870000000000002</v>
      </c>
      <c r="CE66" s="436"/>
      <c r="CF66" s="438">
        <v>0.70569999999999999</v>
      </c>
      <c r="CG66" s="438">
        <v>0.70130000000000003</v>
      </c>
      <c r="CH66" s="439">
        <f>CG66</f>
        <v>0.70130000000000003</v>
      </c>
      <c r="CI66" s="436"/>
      <c r="CJ66" s="438">
        <v>0.70040000000000002</v>
      </c>
      <c r="CK66" s="438">
        <v>0.68540000000000001</v>
      </c>
      <c r="CL66" s="439">
        <f>CK66</f>
        <v>0.68540000000000001</v>
      </c>
      <c r="CM66" s="436"/>
      <c r="CN66" s="438">
        <v>0.77049999999999996</v>
      </c>
      <c r="CO66" s="438">
        <v>0.75209999999999999</v>
      </c>
      <c r="CP66" s="439">
        <f>CO66</f>
        <v>0.75209999999999999</v>
      </c>
      <c r="CQ66" s="436"/>
      <c r="CR66" s="438">
        <v>0.72599999999999998</v>
      </c>
      <c r="CS66" s="438">
        <v>0.68789999999999996</v>
      </c>
      <c r="CT66" s="439">
        <f>CS66</f>
        <v>0.68789999999999996</v>
      </c>
      <c r="CU66" s="436"/>
      <c r="CV66" s="438">
        <v>0.67789999999999995</v>
      </c>
      <c r="CW66" s="438">
        <v>0.66269999999999996</v>
      </c>
      <c r="CX66" s="439">
        <f>CW66</f>
        <v>0.66269999999999996</v>
      </c>
      <c r="CY66" s="436"/>
      <c r="CZ66" s="438">
        <v>0.68389999999999995</v>
      </c>
      <c r="DA66" s="438">
        <v>0.66279999999999994</v>
      </c>
      <c r="DB66" s="439">
        <f>DA66</f>
        <v>0.66279999999999994</v>
      </c>
      <c r="DC66" s="436"/>
      <c r="DD66" s="438">
        <v>0.62190000000000001</v>
      </c>
      <c r="DE66" s="438">
        <v>0.65449999999999997</v>
      </c>
      <c r="DF66" s="439">
        <f>DE66</f>
        <v>0.65449999999999997</v>
      </c>
      <c r="DG66" s="436"/>
      <c r="DH66" s="438">
        <v>0.66900000000000004</v>
      </c>
      <c r="DI66" s="440">
        <v>0.71</v>
      </c>
      <c r="DJ66" s="439">
        <f>DI66</f>
        <v>0.71</v>
      </c>
      <c r="DK66" s="436"/>
      <c r="DL66" s="441">
        <f>DI66</f>
        <v>0.71</v>
      </c>
      <c r="DM66" s="441">
        <f>DL66</f>
        <v>0.71</v>
      </c>
      <c r="DN66" s="439">
        <f>DM66</f>
        <v>0.71</v>
      </c>
      <c r="DO66" s="436"/>
      <c r="DP66" s="441">
        <f>DM66</f>
        <v>0.71</v>
      </c>
      <c r="DQ66" s="441">
        <f>DP66</f>
        <v>0.71</v>
      </c>
      <c r="DR66" s="439">
        <f>DQ66</f>
        <v>0.71</v>
      </c>
      <c r="DS66" s="436"/>
      <c r="DT66" s="1"/>
      <c r="DU66" s="1"/>
      <c r="DV66" s="1"/>
      <c r="DW66" s="1"/>
      <c r="DX66" s="1"/>
      <c r="DY66" s="1"/>
      <c r="DZ66" s="1"/>
      <c r="EA66" s="1"/>
      <c r="EB66" s="1"/>
      <c r="EC66" s="1"/>
      <c r="ED66" s="1"/>
      <c r="EE66" s="1"/>
      <c r="EF66" s="1"/>
      <c r="EG66" s="1"/>
      <c r="EH66" s="1"/>
      <c r="EI66" s="1"/>
      <c r="EJ66" s="1"/>
      <c r="EK66" s="1"/>
      <c r="EL66" s="1"/>
      <c r="EM66" s="1"/>
      <c r="EN66" s="1"/>
      <c r="EO66" s="1"/>
      <c r="EP66" s="1"/>
      <c r="EQ66" s="1"/>
      <c r="ER66" s="1"/>
      <c r="ES66" s="1"/>
      <c r="ET66" s="1"/>
      <c r="EU66" s="1"/>
      <c r="EV66" s="1"/>
      <c r="EW66" s="1"/>
      <c r="EX66" s="1"/>
      <c r="EY66" s="1"/>
      <c r="EZ66" s="1"/>
      <c r="FA66" s="1"/>
      <c r="FB66" s="1"/>
      <c r="FC66" s="1"/>
      <c r="FD66" s="1"/>
      <c r="FE66" s="1"/>
      <c r="FF66" s="1"/>
      <c r="FG66" s="1"/>
      <c r="FH66" s="1"/>
      <c r="FI66" s="1"/>
      <c r="FJ66" s="1"/>
      <c r="FK66" s="1"/>
      <c r="FL66" s="1"/>
      <c r="FM66" s="1"/>
      <c r="FN66" s="1"/>
      <c r="FO66" s="1"/>
      <c r="FP66" s="1"/>
      <c r="FQ66" s="1"/>
      <c r="FR66" s="1"/>
      <c r="FS66" s="1"/>
      <c r="FT66" s="1"/>
      <c r="FU66" s="1"/>
      <c r="FV66" s="1"/>
      <c r="FW66" s="1"/>
      <c r="FX66" s="1"/>
      <c r="FY66" s="1"/>
      <c r="FZ66" s="1"/>
      <c r="GA66" s="1"/>
      <c r="GB66" s="1"/>
      <c r="GC66" s="1"/>
      <c r="GD66" s="1"/>
      <c r="GE66" s="1"/>
      <c r="GF66" s="1"/>
      <c r="GG66" s="1"/>
      <c r="GH66" s="1"/>
      <c r="GI66" s="1"/>
      <c r="GJ66" s="1"/>
      <c r="GK66" s="1"/>
      <c r="GL66" s="1"/>
      <c r="GM66" s="1"/>
      <c r="GN66" s="1"/>
      <c r="GO66" s="1"/>
      <c r="GP66" s="1"/>
      <c r="GQ66" s="1"/>
      <c r="GR66" s="1"/>
      <c r="GS66" s="1"/>
      <c r="GT66" s="1"/>
      <c r="GU66" s="1"/>
      <c r="GV66" s="1"/>
      <c r="GW66" s="1"/>
      <c r="GX66" s="1"/>
      <c r="GY66" s="1"/>
      <c r="GZ66" s="1"/>
      <c r="HA66" s="1"/>
      <c r="HB66" s="1"/>
      <c r="HC66" s="1"/>
      <c r="HD66" s="1"/>
      <c r="HE66" s="1"/>
      <c r="HF66" s="1"/>
      <c r="HG66" s="1"/>
      <c r="HH66" s="1"/>
      <c r="HI66" s="1"/>
      <c r="HJ66" s="1"/>
      <c r="HK66" s="1"/>
      <c r="HL66" s="1"/>
      <c r="HM66" s="1"/>
      <c r="HN66" s="1"/>
      <c r="HO66" s="1"/>
      <c r="HP66" s="1"/>
      <c r="HQ66" s="1"/>
      <c r="HR66" s="1"/>
      <c r="HS66" s="1"/>
      <c r="HT66" s="1"/>
      <c r="HU66" s="1"/>
      <c r="HV66" s="1"/>
      <c r="HW66" s="1"/>
      <c r="HX66" s="1"/>
      <c r="HY66" s="1"/>
      <c r="HZ66" s="1"/>
      <c r="IA66" s="1"/>
      <c r="IB66" s="1"/>
      <c r="IC66" s="1"/>
      <c r="ID66" s="1"/>
      <c r="IE66" s="1"/>
      <c r="IF66" s="1"/>
      <c r="IG66" s="1"/>
      <c r="IH66" s="1"/>
      <c r="II66" s="1"/>
      <c r="IJ66" s="1"/>
      <c r="IK66" s="1"/>
      <c r="IL66" s="1"/>
      <c r="IM66" s="1"/>
      <c r="IN66" s="1"/>
      <c r="IO66" s="1"/>
      <c r="IP66" s="1"/>
      <c r="IQ66" s="1"/>
      <c r="IR66" s="1"/>
      <c r="IS66" s="1"/>
      <c r="IT66" s="1"/>
      <c r="IU66" s="1"/>
      <c r="IV66" s="1"/>
      <c r="IW66" s="1"/>
      <c r="IX66" s="1"/>
      <c r="IY66" s="1"/>
      <c r="IZ66" s="1"/>
      <c r="JA66" s="1"/>
      <c r="JB66" s="1"/>
      <c r="JC66" s="1"/>
      <c r="JD66" s="1"/>
    </row>
    <row r="67" spans="1:264" s="429" customFormat="1" x14ac:dyDescent="0.2">
      <c r="A67" s="429" t="s">
        <v>239</v>
      </c>
      <c r="B67" s="408"/>
      <c r="BH67" s="442">
        <f>AVERAGE(BH66,BE66)</f>
        <v>1.0386</v>
      </c>
      <c r="BI67" s="442">
        <f>AVERAGE(BH66,BI66)</f>
        <v>0.98269999999999991</v>
      </c>
      <c r="BJ67" s="442">
        <f>AVERAGE(BH67:BI67)</f>
        <v>1.01065</v>
      </c>
      <c r="BK67" s="408"/>
      <c r="BL67" s="442">
        <f>AVERAGE(BL66,BI66)</f>
        <v>0.91034999999999999</v>
      </c>
      <c r="BM67" s="442">
        <f>AVERAGE(BL66,BM66)</f>
        <v>0.91720000000000002</v>
      </c>
      <c r="BN67" s="442">
        <f>AVERAGE(BL67:BM67)</f>
        <v>0.913775</v>
      </c>
      <c r="BO67" s="408"/>
      <c r="BP67" s="442">
        <f>AVERAGE(BP66,BM66)</f>
        <v>0.87965000000000004</v>
      </c>
      <c r="BQ67" s="442">
        <f>AVERAGE(BP66,BQ66)</f>
        <v>0.79344999999999999</v>
      </c>
      <c r="BR67" s="442">
        <f>AVERAGE(BP67:BQ67)</f>
        <v>0.83655000000000002</v>
      </c>
      <c r="BT67" s="442">
        <f>AVERAGE(BT66,BQ66)</f>
        <v>0.74944999999999995</v>
      </c>
      <c r="BU67" s="442">
        <f>AVERAGE(BT66,BU66)</f>
        <v>0.73694999999999999</v>
      </c>
      <c r="BV67" s="442">
        <f>AVERAGE(BT67:BU67)</f>
        <v>0.74319999999999997</v>
      </c>
      <c r="BX67" s="442">
        <f>AVERAGE(BX66,BU66)</f>
        <v>0.73334999999999995</v>
      </c>
      <c r="BY67" s="442">
        <f>AVERAGE(BX66,BY66)</f>
        <v>0.746</v>
      </c>
      <c r="BZ67" s="442">
        <f>AVERAGE(BX67:BY67)</f>
        <v>0.73967499999999997</v>
      </c>
      <c r="CB67" s="442">
        <f>AVERAGE(CB66,BY66)</f>
        <v>0.77415</v>
      </c>
      <c r="CC67" s="442">
        <f>AVERAGE(CB66,CC66)</f>
        <v>0.75930000000000009</v>
      </c>
      <c r="CD67" s="442">
        <f>AVERAGE(CB67:CC67)</f>
        <v>0.7667250000000001</v>
      </c>
      <c r="CF67" s="443">
        <v>0.72450000000000003</v>
      </c>
      <c r="CG67" s="443">
        <v>0.70620000000000005</v>
      </c>
      <c r="CH67" s="443">
        <v>0.71540000000000004</v>
      </c>
      <c r="CJ67" s="443">
        <v>0.68459999999999999</v>
      </c>
      <c r="CK67" s="443">
        <v>0.65849999999999997</v>
      </c>
      <c r="CL67" s="443">
        <v>0.67149999999999999</v>
      </c>
      <c r="CN67" s="443">
        <v>0.7228</v>
      </c>
      <c r="CO67" s="443">
        <v>0.77139999999999997</v>
      </c>
      <c r="CP67" s="443">
        <v>0.74670000000000003</v>
      </c>
      <c r="CR67" s="443">
        <v>0.73180000000000001</v>
      </c>
      <c r="CS67" s="443">
        <v>0.71960000000000002</v>
      </c>
      <c r="CT67" s="443">
        <v>0.72570000000000001</v>
      </c>
      <c r="CV67" s="443">
        <v>0.67049999999999998</v>
      </c>
      <c r="CW67" s="443">
        <v>0.67630000000000001</v>
      </c>
      <c r="CX67" s="443">
        <v>0.6734</v>
      </c>
      <c r="CZ67" s="443">
        <v>0.65290000000000004</v>
      </c>
      <c r="DA67" s="443">
        <v>0.65880000000000005</v>
      </c>
      <c r="DB67" s="443">
        <v>0.65569999999999995</v>
      </c>
      <c r="DD67" s="443">
        <v>0.6613</v>
      </c>
      <c r="DE67" s="443">
        <v>0.6341</v>
      </c>
      <c r="DF67" s="443">
        <v>0.64800000000000002</v>
      </c>
      <c r="DH67" s="443">
        <v>0.65549999999999997</v>
      </c>
      <c r="DI67" s="442">
        <f>AVERAGE(DH66,DI66)</f>
        <v>0.6895</v>
      </c>
      <c r="DJ67" s="442">
        <f>AVERAGE(DH67:DI67)</f>
        <v>0.67249999999999999</v>
      </c>
      <c r="DL67" s="442">
        <f>AVERAGE(DL66,DI66)</f>
        <v>0.71</v>
      </c>
      <c r="DM67" s="442">
        <f>AVERAGE(DL66,DM66)</f>
        <v>0.71</v>
      </c>
      <c r="DN67" s="442">
        <f>AVERAGE(DL67:DM67)</f>
        <v>0.71</v>
      </c>
      <c r="DP67" s="442">
        <f>AVERAGE(DP66,DM66)</f>
        <v>0.71</v>
      </c>
      <c r="DQ67" s="442">
        <f>AVERAGE(DP66,DQ66)</f>
        <v>0.71</v>
      </c>
      <c r="DR67" s="442">
        <f>AVERAGE(DP67:DQ67)</f>
        <v>0.71</v>
      </c>
      <c r="DT67" s="1"/>
      <c r="DU67" s="1"/>
      <c r="DV67" s="1"/>
      <c r="DW67" s="1"/>
      <c r="DX67" s="1"/>
      <c r="DY67" s="1"/>
      <c r="DZ67" s="1"/>
      <c r="EA67" s="1"/>
      <c r="EB67" s="1"/>
      <c r="EC67" s="1"/>
      <c r="ED67" s="1"/>
      <c r="EE67" s="1"/>
      <c r="EF67" s="1"/>
      <c r="EG67" s="1"/>
      <c r="EH67" s="1"/>
      <c r="EI67" s="1"/>
      <c r="EJ67" s="1"/>
      <c r="EK67" s="1"/>
      <c r="EL67" s="1"/>
      <c r="EM67" s="1"/>
      <c r="EN67" s="1"/>
      <c r="EO67" s="1"/>
      <c r="EP67" s="1"/>
      <c r="EQ67" s="1"/>
      <c r="ER67" s="1"/>
      <c r="ES67" s="1"/>
      <c r="ET67" s="1"/>
      <c r="EU67" s="1"/>
      <c r="EV67" s="1"/>
      <c r="EW67" s="1"/>
      <c r="EX67" s="1"/>
      <c r="EY67" s="1"/>
      <c r="EZ67" s="1"/>
      <c r="FA67" s="1"/>
      <c r="FB67" s="1"/>
      <c r="FC67" s="1"/>
      <c r="FD67" s="1"/>
      <c r="FE67" s="1"/>
      <c r="FF67" s="1"/>
      <c r="FG67" s="1"/>
      <c r="FH67" s="1"/>
      <c r="FI67" s="1"/>
      <c r="FJ67" s="1"/>
      <c r="FK67" s="1"/>
      <c r="FL67" s="1"/>
      <c r="FM67" s="1"/>
      <c r="FN67" s="1"/>
      <c r="FO67" s="1"/>
      <c r="FP67" s="1"/>
      <c r="FQ67" s="1"/>
      <c r="FR67" s="1"/>
      <c r="FS67" s="1"/>
      <c r="FT67" s="1"/>
      <c r="FU67" s="1"/>
      <c r="FV67" s="1"/>
      <c r="FW67" s="1"/>
      <c r="FX67" s="1"/>
      <c r="FY67" s="1"/>
      <c r="FZ67" s="1"/>
      <c r="GA67" s="1"/>
      <c r="GB67" s="1"/>
      <c r="GC67" s="1"/>
      <c r="GD67" s="1"/>
      <c r="GE67" s="1"/>
      <c r="GF67" s="1"/>
      <c r="GG67" s="1"/>
      <c r="GH67" s="1"/>
      <c r="GI67" s="1"/>
      <c r="GJ67" s="1"/>
      <c r="GK67" s="1"/>
      <c r="GL67" s="1"/>
      <c r="GM67" s="1"/>
      <c r="GN67" s="1"/>
      <c r="GO67" s="1"/>
      <c r="GP67" s="1"/>
      <c r="GQ67" s="1"/>
      <c r="GR67" s="1"/>
      <c r="GS67" s="1"/>
      <c r="GT67" s="1"/>
      <c r="GU67" s="1"/>
      <c r="GV67" s="1"/>
      <c r="GW67" s="1"/>
      <c r="GX67" s="1"/>
      <c r="GY67" s="1"/>
      <c r="GZ67" s="1"/>
      <c r="HA67" s="1"/>
      <c r="HB67" s="1"/>
      <c r="HC67" s="1"/>
      <c r="HD67" s="1"/>
      <c r="HE67" s="1"/>
      <c r="HF67" s="1"/>
      <c r="HG67" s="1"/>
      <c r="HH67" s="1"/>
      <c r="HI67" s="1"/>
      <c r="HJ67" s="1"/>
      <c r="HK67" s="1"/>
      <c r="HL67" s="1"/>
      <c r="HM67" s="1"/>
      <c r="HN67" s="1"/>
      <c r="HO67" s="1"/>
      <c r="HP67" s="1"/>
      <c r="HQ67" s="1"/>
      <c r="HR67" s="1"/>
      <c r="HS67" s="1"/>
      <c r="HT67" s="1"/>
      <c r="HU67" s="1"/>
      <c r="HV67" s="1"/>
      <c r="HW67" s="1"/>
      <c r="HX67" s="1"/>
      <c r="HY67" s="1"/>
      <c r="HZ67" s="1"/>
      <c r="IA67" s="1"/>
      <c r="IB67" s="1"/>
      <c r="IC67" s="1"/>
      <c r="ID67" s="1"/>
      <c r="IE67" s="1"/>
      <c r="IF67" s="1"/>
      <c r="IG67" s="1"/>
      <c r="IH67" s="1"/>
      <c r="II67" s="1"/>
      <c r="IJ67" s="1"/>
      <c r="IK67" s="1"/>
      <c r="IL67" s="1"/>
      <c r="IM67" s="1"/>
      <c r="IN67" s="1"/>
      <c r="IO67" s="1"/>
      <c r="IP67" s="1"/>
      <c r="IQ67" s="1"/>
      <c r="IR67" s="1"/>
      <c r="IS67" s="1"/>
      <c r="IT67" s="1"/>
      <c r="IU67" s="1"/>
      <c r="IV67" s="1"/>
      <c r="IW67" s="1"/>
      <c r="IX67" s="1"/>
      <c r="IY67" s="1"/>
      <c r="IZ67" s="1"/>
      <c r="JA67" s="1"/>
      <c r="JB67" s="1"/>
      <c r="JC67" s="1"/>
      <c r="JD67" s="1"/>
    </row>
    <row r="68" spans="1:264" s="347" customFormat="1" x14ac:dyDescent="0.2">
      <c r="A68" s="435"/>
      <c r="B68" s="348"/>
      <c r="BH68" s="348"/>
      <c r="BI68" s="348"/>
      <c r="BJ68" s="348"/>
      <c r="BK68" s="348"/>
      <c r="BL68" s="348"/>
      <c r="BM68" s="348"/>
      <c r="BN68" s="348"/>
      <c r="BO68" s="348"/>
      <c r="BP68" s="348"/>
      <c r="BT68" s="348"/>
      <c r="BX68" s="348"/>
      <c r="CB68" s="348"/>
      <c r="CF68" s="348"/>
      <c r="CJ68" s="348"/>
      <c r="CN68" s="348"/>
      <c r="CR68" s="348"/>
      <c r="CV68" s="348"/>
      <c r="CZ68" s="348"/>
      <c r="DD68" s="348"/>
      <c r="DH68" s="348"/>
      <c r="DL68" s="348"/>
      <c r="DP68" s="348"/>
      <c r="DT68" s="1"/>
      <c r="DU68" s="1"/>
      <c r="DV68" s="1"/>
      <c r="DW68" s="1"/>
      <c r="DX68" s="1"/>
      <c r="DY68" s="1"/>
      <c r="DZ68" s="1"/>
      <c r="EA68" s="1"/>
      <c r="EB68" s="1"/>
      <c r="EC68" s="1"/>
      <c r="ED68" s="1"/>
      <c r="EE68" s="1"/>
      <c r="EF68" s="1"/>
      <c r="EG68" s="1"/>
      <c r="EH68" s="1"/>
      <c r="EI68" s="1"/>
      <c r="EJ68" s="1"/>
      <c r="EK68" s="1"/>
      <c r="EL68" s="1"/>
      <c r="EM68" s="1"/>
      <c r="EN68" s="1"/>
      <c r="EO68" s="1"/>
      <c r="EP68" s="1"/>
      <c r="EQ68" s="1"/>
      <c r="ER68" s="1"/>
      <c r="ES68" s="1"/>
      <c r="ET68" s="1"/>
      <c r="EU68" s="1"/>
      <c r="EV68" s="1"/>
      <c r="EW68" s="1"/>
      <c r="EX68" s="1"/>
      <c r="EY68" s="1"/>
      <c r="EZ68" s="1"/>
      <c r="FA68" s="1"/>
      <c r="FB68" s="1"/>
      <c r="FC68" s="1"/>
      <c r="FD68" s="1"/>
      <c r="FE68" s="1"/>
      <c r="FF68" s="1"/>
      <c r="FG68" s="1"/>
      <c r="FH68" s="1"/>
      <c r="FI68" s="1"/>
      <c r="FJ68" s="1"/>
      <c r="FK68" s="1"/>
      <c r="FL68" s="1"/>
      <c r="FM68" s="1"/>
      <c r="FN68" s="1"/>
      <c r="FO68" s="1"/>
      <c r="FP68" s="1"/>
      <c r="FQ68" s="1"/>
      <c r="FR68" s="1"/>
      <c r="FS68" s="1"/>
      <c r="FT68" s="1"/>
      <c r="FU68" s="1"/>
      <c r="FV68" s="1"/>
      <c r="FW68" s="1"/>
      <c r="FX68" s="1"/>
      <c r="FY68" s="1"/>
      <c r="FZ68" s="1"/>
      <c r="GA68" s="1"/>
      <c r="GB68" s="1"/>
      <c r="GC68" s="1"/>
      <c r="GD68" s="1"/>
      <c r="GE68" s="1"/>
      <c r="GF68" s="1"/>
      <c r="GG68" s="1"/>
      <c r="GH68" s="1"/>
      <c r="GI68" s="1"/>
      <c r="GJ68" s="1"/>
      <c r="GK68" s="1"/>
      <c r="GL68" s="1"/>
      <c r="GM68" s="1"/>
      <c r="GN68" s="1"/>
      <c r="GO68" s="1"/>
      <c r="GP68" s="1"/>
      <c r="GQ68" s="1"/>
      <c r="GR68" s="1"/>
      <c r="GS68" s="1"/>
      <c r="GT68" s="1"/>
      <c r="GU68" s="1"/>
      <c r="GV68" s="1"/>
      <c r="GW68" s="1"/>
      <c r="GX68" s="1"/>
      <c r="GY68" s="1"/>
      <c r="GZ68" s="1"/>
      <c r="HA68" s="1"/>
      <c r="HB68" s="1"/>
      <c r="HC68" s="1"/>
      <c r="HD68" s="1"/>
      <c r="HE68" s="1"/>
      <c r="HF68" s="1"/>
      <c r="HG68" s="1"/>
      <c r="HH68" s="1"/>
      <c r="HI68" s="1"/>
      <c r="HJ68" s="1"/>
      <c r="HK68" s="1"/>
      <c r="HL68" s="1"/>
      <c r="HM68" s="1"/>
      <c r="HN68" s="1"/>
      <c r="HO68" s="1"/>
      <c r="HP68" s="1"/>
      <c r="HQ68" s="1"/>
      <c r="HR68" s="1"/>
      <c r="HS68" s="1"/>
      <c r="HT68" s="1"/>
      <c r="HU68" s="1"/>
      <c r="HV68" s="1"/>
      <c r="HW68" s="1"/>
      <c r="HX68" s="1"/>
      <c r="HY68" s="1"/>
      <c r="HZ68" s="1"/>
      <c r="IA68" s="1"/>
      <c r="IB68" s="1"/>
      <c r="IC68" s="1"/>
      <c r="ID68" s="1"/>
      <c r="IE68" s="1"/>
      <c r="IF68" s="1"/>
      <c r="IG68" s="1"/>
      <c r="IH68" s="1"/>
      <c r="II68" s="1"/>
      <c r="IJ68" s="1"/>
      <c r="IK68" s="1"/>
      <c r="IL68" s="1"/>
      <c r="IM68" s="1"/>
      <c r="IN68" s="1"/>
      <c r="IO68" s="1"/>
      <c r="IP68" s="1"/>
      <c r="IQ68" s="1"/>
      <c r="IR68" s="1"/>
      <c r="IS68" s="1"/>
      <c r="IT68" s="1"/>
      <c r="IU68" s="1"/>
      <c r="IV68" s="1"/>
      <c r="IW68" s="1"/>
      <c r="IX68" s="1"/>
      <c r="IY68" s="1"/>
      <c r="IZ68" s="1"/>
      <c r="JA68" s="1"/>
      <c r="JB68" s="1"/>
      <c r="JC68" s="1"/>
      <c r="JD68" s="1"/>
    </row>
    <row r="69" spans="1:264" s="347" customFormat="1" x14ac:dyDescent="0.2">
      <c r="A69" s="435"/>
      <c r="B69" s="348"/>
      <c r="BH69" s="348"/>
      <c r="BI69" s="348"/>
      <c r="BJ69" s="348"/>
      <c r="BK69" s="348"/>
      <c r="BL69" s="348"/>
      <c r="BM69" s="348"/>
      <c r="BN69" s="348"/>
      <c r="BO69" s="348"/>
      <c r="BP69" s="348"/>
      <c r="BT69" s="348"/>
      <c r="BX69" s="348"/>
      <c r="CB69" s="348"/>
      <c r="CF69" s="348"/>
      <c r="CJ69" s="348"/>
      <c r="CN69" s="348"/>
      <c r="CR69" s="348"/>
      <c r="CV69" s="348"/>
      <c r="CZ69" s="348"/>
      <c r="DD69" s="348"/>
      <c r="DH69" s="348"/>
      <c r="DL69" s="348"/>
      <c r="DP69" s="348"/>
      <c r="DT69" s="1"/>
      <c r="DU69" s="1"/>
      <c r="DV69" s="1"/>
      <c r="DW69" s="1"/>
      <c r="DX69" s="1"/>
      <c r="DY69" s="1"/>
      <c r="DZ69" s="1"/>
      <c r="EA69" s="1"/>
      <c r="EB69" s="1"/>
      <c r="EC69" s="1"/>
      <c r="ED69" s="1"/>
      <c r="EE69" s="1"/>
      <c r="EF69" s="1"/>
      <c r="EG69" s="1"/>
      <c r="EH69" s="1"/>
      <c r="EI69" s="1"/>
      <c r="EJ69" s="1"/>
      <c r="EK69" s="1"/>
      <c r="EL69" s="1"/>
      <c r="EM69" s="1"/>
      <c r="EN69" s="1"/>
      <c r="EO69" s="1"/>
      <c r="EP69" s="1"/>
      <c r="EQ69" s="1"/>
      <c r="ER69" s="1"/>
      <c r="ES69" s="1"/>
      <c r="ET69" s="1"/>
      <c r="EU69" s="1"/>
      <c r="EV69" s="1"/>
      <c r="EW69" s="1"/>
      <c r="EX69" s="1"/>
      <c r="EY69" s="1"/>
      <c r="EZ69" s="1"/>
      <c r="FA69" s="1"/>
      <c r="FB69" s="1"/>
      <c r="FC69" s="1"/>
      <c r="FD69" s="1"/>
      <c r="FE69" s="1"/>
      <c r="FF69" s="1"/>
      <c r="FG69" s="1"/>
      <c r="FH69" s="1"/>
      <c r="FI69" s="1"/>
      <c r="FJ69" s="1"/>
      <c r="FK69" s="1"/>
      <c r="FL69" s="1"/>
      <c r="FM69" s="1"/>
      <c r="FN69" s="1"/>
      <c r="FO69" s="1"/>
      <c r="FP69" s="1"/>
      <c r="FQ69" s="1"/>
      <c r="FR69" s="1"/>
      <c r="FS69" s="1"/>
      <c r="FT69" s="1"/>
      <c r="FU69" s="1"/>
      <c r="FV69" s="1"/>
      <c r="FW69" s="1"/>
      <c r="FX69" s="1"/>
      <c r="FY69" s="1"/>
      <c r="FZ69" s="1"/>
      <c r="GA69" s="1"/>
      <c r="GB69" s="1"/>
      <c r="GC69" s="1"/>
      <c r="GD69" s="1"/>
      <c r="GE69" s="1"/>
      <c r="GF69" s="1"/>
      <c r="GG69" s="1"/>
      <c r="GH69" s="1"/>
      <c r="GI69" s="1"/>
      <c r="GJ69" s="1"/>
      <c r="GK69" s="1"/>
      <c r="GL69" s="1"/>
      <c r="GM69" s="1"/>
      <c r="GN69" s="1"/>
      <c r="GO69" s="1"/>
      <c r="GP69" s="1"/>
      <c r="GQ69" s="1"/>
      <c r="GR69" s="1"/>
      <c r="GS69" s="1"/>
      <c r="GT69" s="1"/>
      <c r="GU69" s="1"/>
      <c r="GV69" s="1"/>
      <c r="GW69" s="1"/>
      <c r="GX69" s="1"/>
      <c r="GY69" s="1"/>
      <c r="GZ69" s="1"/>
      <c r="HA69" s="1"/>
      <c r="HB69" s="1"/>
      <c r="HC69" s="1"/>
      <c r="HD69" s="1"/>
      <c r="HE69" s="1"/>
      <c r="HF69" s="1"/>
      <c r="HG69" s="1"/>
      <c r="HH69" s="1"/>
      <c r="HI69" s="1"/>
      <c r="HJ69" s="1"/>
      <c r="HK69" s="1"/>
      <c r="HL69" s="1"/>
      <c r="HM69" s="1"/>
      <c r="HN69" s="1"/>
      <c r="HO69" s="1"/>
      <c r="HP69" s="1"/>
      <c r="HQ69" s="1"/>
      <c r="HR69" s="1"/>
      <c r="HS69" s="1"/>
      <c r="HT69" s="1"/>
      <c r="HU69" s="1"/>
      <c r="HV69" s="1"/>
      <c r="HW69" s="1"/>
      <c r="HX69" s="1"/>
      <c r="HY69" s="1"/>
      <c r="HZ69" s="1"/>
      <c r="IA69" s="1"/>
      <c r="IB69" s="1"/>
      <c r="IC69" s="1"/>
      <c r="ID69" s="1"/>
      <c r="IE69" s="1"/>
      <c r="IF69" s="1"/>
      <c r="IG69" s="1"/>
      <c r="IH69" s="1"/>
      <c r="II69" s="1"/>
      <c r="IJ69" s="1"/>
      <c r="IK69" s="1"/>
      <c r="IL69" s="1"/>
      <c r="IM69" s="1"/>
      <c r="IN69" s="1"/>
      <c r="IO69" s="1"/>
      <c r="IP69" s="1"/>
      <c r="IQ69" s="1"/>
      <c r="IR69" s="1"/>
      <c r="IS69" s="1"/>
      <c r="IT69" s="1"/>
      <c r="IU69" s="1"/>
      <c r="IV69" s="1"/>
      <c r="IW69" s="1"/>
      <c r="IX69" s="1"/>
      <c r="IY69" s="1"/>
      <c r="IZ69" s="1"/>
      <c r="JA69" s="1"/>
      <c r="JB69" s="1"/>
      <c r="JC69" s="1"/>
      <c r="JD69" s="1"/>
    </row>
    <row r="70" spans="1:264" s="386" customFormat="1" x14ac:dyDescent="0.2">
      <c r="A70" s="383" t="s">
        <v>240</v>
      </c>
      <c r="B70" s="384"/>
      <c r="C70" s="385"/>
      <c r="D70" s="385"/>
      <c r="E70" s="385"/>
      <c r="F70" s="385"/>
      <c r="G70" s="385"/>
      <c r="H70" s="385"/>
      <c r="I70" s="385"/>
      <c r="J70" s="385"/>
      <c r="K70" s="385"/>
      <c r="L70" s="385"/>
      <c r="M70" s="385"/>
      <c r="N70" s="385"/>
      <c r="O70" s="385"/>
      <c r="P70" s="385"/>
      <c r="Q70" s="385"/>
      <c r="R70" s="385"/>
      <c r="S70" s="385"/>
      <c r="T70" s="385"/>
      <c r="U70" s="385"/>
      <c r="V70" s="385"/>
      <c r="W70" s="385"/>
      <c r="X70" s="385"/>
      <c r="Y70" s="385"/>
      <c r="Z70" s="385"/>
      <c r="AA70" s="385"/>
      <c r="AB70" s="385"/>
      <c r="AC70" s="385"/>
      <c r="AD70" s="385"/>
      <c r="AE70" s="385"/>
      <c r="AF70" s="385"/>
      <c r="AG70" s="385"/>
      <c r="AH70" s="385"/>
      <c r="AI70" s="385"/>
      <c r="AJ70" s="385"/>
      <c r="AK70" s="385"/>
      <c r="AL70" s="385"/>
      <c r="AM70" s="385"/>
      <c r="AN70" s="385"/>
      <c r="AO70" s="385"/>
      <c r="AP70" s="385"/>
      <c r="AQ70" s="385"/>
      <c r="AR70" s="385"/>
      <c r="AS70" s="385"/>
      <c r="AT70" s="385"/>
      <c r="AU70" s="385"/>
      <c r="AV70" s="385"/>
      <c r="AW70" s="385"/>
      <c r="AX70" s="385"/>
      <c r="AY70" s="385"/>
      <c r="AZ70" s="385"/>
      <c r="BA70" s="385"/>
      <c r="BB70" s="385"/>
      <c r="BC70" s="385"/>
      <c r="BD70" s="385"/>
      <c r="BE70" s="385"/>
      <c r="BF70" s="385"/>
      <c r="BG70" s="385"/>
      <c r="BH70" s="384"/>
      <c r="BI70" s="384"/>
      <c r="BJ70" s="384"/>
      <c r="BK70" s="384"/>
      <c r="BL70" s="384"/>
      <c r="BM70" s="384"/>
      <c r="BN70" s="384"/>
      <c r="BO70" s="384"/>
      <c r="BP70" s="384"/>
      <c r="BQ70" s="385"/>
      <c r="BR70" s="385"/>
      <c r="BS70" s="385"/>
      <c r="BT70" s="384"/>
      <c r="BU70" s="385"/>
      <c r="BV70" s="385"/>
      <c r="BW70" s="385"/>
      <c r="BX70" s="384"/>
      <c r="BY70" s="385"/>
      <c r="BZ70" s="385"/>
      <c r="CA70" s="385"/>
      <c r="CB70" s="384"/>
      <c r="CC70" s="385"/>
      <c r="CD70" s="385"/>
      <c r="CE70" s="385"/>
      <c r="CF70" s="384"/>
      <c r="CG70" s="385"/>
      <c r="CH70" s="385"/>
      <c r="CI70" s="385"/>
      <c r="CJ70" s="384"/>
      <c r="CK70" s="385"/>
      <c r="CL70" s="385"/>
      <c r="CM70" s="385"/>
      <c r="CN70" s="384"/>
      <c r="CO70" s="385"/>
      <c r="CP70" s="385"/>
      <c r="CQ70" s="385"/>
      <c r="CR70" s="384"/>
      <c r="CS70" s="385"/>
      <c r="CT70" s="385"/>
      <c r="CU70" s="385"/>
      <c r="CV70" s="384"/>
      <c r="CW70" s="385"/>
      <c r="CX70" s="385"/>
      <c r="CY70" s="385"/>
      <c r="CZ70" s="384"/>
      <c r="DA70" s="385"/>
      <c r="DB70" s="385"/>
      <c r="DC70" s="385"/>
      <c r="DD70" s="384"/>
      <c r="DE70" s="385"/>
      <c r="DF70" s="385"/>
      <c r="DG70" s="385"/>
      <c r="DH70" s="384"/>
      <c r="DI70" s="385"/>
      <c r="DJ70" s="385"/>
      <c r="DK70" s="385"/>
      <c r="DL70" s="384"/>
      <c r="DM70" s="385"/>
      <c r="DN70" s="385"/>
      <c r="DO70" s="385"/>
      <c r="DP70" s="384"/>
      <c r="DQ70" s="385"/>
      <c r="DR70" s="385"/>
      <c r="DS70" s="385"/>
      <c r="DT70" s="1"/>
      <c r="DU70" s="1"/>
      <c r="DV70" s="1"/>
      <c r="DW70" s="1"/>
      <c r="DX70" s="1"/>
      <c r="DY70" s="1"/>
      <c r="DZ70" s="1"/>
      <c r="EA70" s="1"/>
      <c r="EB70" s="1"/>
      <c r="EC70" s="1"/>
      <c r="ED70" s="1"/>
      <c r="EE70" s="1"/>
      <c r="EF70" s="1"/>
      <c r="EG70" s="1"/>
      <c r="EH70" s="1"/>
      <c r="EI70" s="1"/>
      <c r="EJ70" s="1"/>
      <c r="EK70" s="1"/>
      <c r="EL70" s="1"/>
      <c r="EM70" s="1"/>
      <c r="EN70" s="1"/>
      <c r="EO70" s="1"/>
      <c r="EP70" s="1"/>
      <c r="EQ70" s="1"/>
      <c r="ER70" s="1"/>
      <c r="ES70" s="1"/>
      <c r="ET70" s="1"/>
      <c r="EU70" s="1"/>
      <c r="EV70" s="1"/>
      <c r="EW70" s="1"/>
      <c r="EX70" s="1"/>
      <c r="EY70" s="1"/>
      <c r="EZ70" s="1"/>
      <c r="FA70" s="1"/>
      <c r="FB70" s="1"/>
      <c r="FC70" s="1"/>
      <c r="FD70" s="1"/>
      <c r="FE70" s="1"/>
      <c r="FF70" s="1"/>
      <c r="FG70" s="1"/>
      <c r="FH70" s="1"/>
      <c r="FI70" s="1"/>
      <c r="FJ70" s="1"/>
      <c r="FK70" s="1"/>
      <c r="FL70" s="1"/>
      <c r="FM70" s="1"/>
      <c r="FN70" s="1"/>
      <c r="FO70" s="1"/>
      <c r="FP70" s="1"/>
      <c r="FQ70" s="1"/>
      <c r="FR70" s="1"/>
      <c r="FS70" s="1"/>
      <c r="FT70" s="1"/>
      <c r="FU70" s="1"/>
      <c r="FV70" s="1"/>
      <c r="FW70" s="1"/>
      <c r="FX70" s="1"/>
      <c r="FY70" s="1"/>
      <c r="FZ70" s="1"/>
      <c r="GA70" s="1"/>
      <c r="GB70" s="1"/>
      <c r="GC70" s="1"/>
      <c r="GD70" s="1"/>
      <c r="GE70" s="1"/>
      <c r="GF70" s="1"/>
      <c r="GG70" s="1"/>
      <c r="GH70" s="1"/>
      <c r="GI70" s="1"/>
      <c r="GJ70" s="1"/>
      <c r="GK70" s="1"/>
      <c r="GL70" s="1"/>
      <c r="GM70" s="1"/>
      <c r="GN70" s="1"/>
      <c r="GO70" s="1"/>
      <c r="GP70" s="1"/>
      <c r="GQ70" s="1"/>
      <c r="GR70" s="1"/>
      <c r="GS70" s="1"/>
      <c r="GT70" s="1"/>
      <c r="GU70" s="1"/>
      <c r="GV70" s="1"/>
      <c r="GW70" s="1"/>
      <c r="GX70" s="1"/>
      <c r="GY70" s="1"/>
      <c r="GZ70" s="1"/>
      <c r="HA70" s="1"/>
      <c r="HB70" s="1"/>
      <c r="HC70" s="1"/>
      <c r="HD70" s="1"/>
      <c r="HE70" s="1"/>
      <c r="HF70" s="1"/>
      <c r="HG70" s="1"/>
      <c r="HH70" s="1"/>
      <c r="HI70" s="1"/>
      <c r="HJ70" s="1"/>
      <c r="HK70" s="1"/>
      <c r="HL70" s="1"/>
      <c r="HM70" s="1"/>
      <c r="HN70" s="1"/>
      <c r="HO70" s="1"/>
      <c r="HP70" s="1"/>
      <c r="HQ70" s="1"/>
      <c r="HR70" s="1"/>
      <c r="HS70" s="1"/>
      <c r="HT70" s="1"/>
      <c r="HU70" s="1"/>
      <c r="HV70" s="1"/>
      <c r="HW70" s="1"/>
      <c r="HX70" s="1"/>
      <c r="HY70" s="1"/>
      <c r="HZ70" s="1"/>
      <c r="IA70" s="1"/>
      <c r="IB70" s="1"/>
      <c r="IC70" s="1"/>
      <c r="ID70" s="1"/>
      <c r="IE70" s="1"/>
      <c r="IF70" s="1"/>
      <c r="IG70" s="1"/>
      <c r="IH70" s="1"/>
      <c r="II70" s="1"/>
      <c r="IJ70" s="1"/>
      <c r="IK70" s="1"/>
      <c r="IL70" s="1"/>
      <c r="IM70" s="1"/>
      <c r="IN70" s="1"/>
      <c r="IO70" s="1"/>
      <c r="IP70" s="1"/>
      <c r="IQ70" s="1"/>
      <c r="IR70" s="1"/>
      <c r="IS70" s="1"/>
      <c r="IT70" s="1"/>
      <c r="IU70" s="1"/>
      <c r="IV70" s="1"/>
      <c r="IW70" s="1"/>
      <c r="IX70" s="1"/>
      <c r="IY70" s="1"/>
      <c r="IZ70" s="1"/>
      <c r="JA70" s="1"/>
      <c r="JB70" s="1"/>
      <c r="JC70" s="1"/>
      <c r="JD70" s="1"/>
    </row>
    <row r="71" spans="1:264" s="347" customFormat="1" x14ac:dyDescent="0.2">
      <c r="A71" s="435"/>
      <c r="B71" s="348"/>
      <c r="BH71" s="348"/>
      <c r="BI71" s="348"/>
      <c r="BJ71" s="348"/>
      <c r="BK71" s="348"/>
      <c r="BL71" s="348"/>
      <c r="BM71" s="348"/>
      <c r="BN71" s="348"/>
      <c r="BO71" s="348"/>
      <c r="BP71" s="348"/>
      <c r="BT71" s="348"/>
      <c r="BX71" s="348"/>
      <c r="CB71" s="348"/>
      <c r="CF71" s="348"/>
      <c r="CJ71" s="348"/>
      <c r="CN71" s="348"/>
      <c r="CR71" s="348"/>
      <c r="CV71" s="348"/>
      <c r="CZ71" s="348"/>
      <c r="DD71" s="348"/>
      <c r="DH71" s="348"/>
      <c r="DL71" s="348"/>
      <c r="DP71" s="348"/>
      <c r="DT71" s="1"/>
      <c r="DU71" s="1"/>
      <c r="DV71" s="1"/>
      <c r="DW71" s="1"/>
      <c r="DX71" s="1"/>
      <c r="DY71" s="1"/>
      <c r="DZ71" s="1"/>
      <c r="EA71" s="1"/>
      <c r="EB71" s="1"/>
      <c r="EC71" s="1"/>
      <c r="ED71" s="1"/>
      <c r="EE71" s="1"/>
      <c r="EF71" s="1"/>
      <c r="EG71" s="1"/>
      <c r="EH71" s="1"/>
      <c r="EI71" s="1"/>
      <c r="EJ71" s="1"/>
      <c r="EK71" s="1"/>
      <c r="EL71" s="1"/>
      <c r="EM71" s="1"/>
      <c r="EN71" s="1"/>
      <c r="EO71" s="1"/>
      <c r="EP71" s="1"/>
      <c r="EQ71" s="1"/>
      <c r="ER71" s="1"/>
      <c r="ES71" s="1"/>
      <c r="ET71" s="1"/>
      <c r="EU71" s="1"/>
      <c r="EV71" s="1"/>
      <c r="EW71" s="1"/>
      <c r="EX71" s="1"/>
      <c r="EY71" s="1"/>
      <c r="EZ71" s="1"/>
      <c r="FA71" s="1"/>
      <c r="FB71" s="1"/>
      <c r="FC71" s="1"/>
      <c r="FD71" s="1"/>
      <c r="FE71" s="1"/>
      <c r="FF71" s="1"/>
      <c r="FG71" s="1"/>
      <c r="FH71" s="1"/>
      <c r="FI71" s="1"/>
      <c r="FJ71" s="1"/>
      <c r="FK71" s="1"/>
      <c r="FL71" s="1"/>
      <c r="FM71" s="1"/>
      <c r="FN71" s="1"/>
      <c r="FO71" s="1"/>
      <c r="FP71" s="1"/>
      <c r="FQ71" s="1"/>
      <c r="FR71" s="1"/>
      <c r="FS71" s="1"/>
      <c r="FT71" s="1"/>
      <c r="FU71" s="1"/>
      <c r="FV71" s="1"/>
      <c r="FW71" s="1"/>
      <c r="FX71" s="1"/>
      <c r="FY71" s="1"/>
      <c r="FZ71" s="1"/>
      <c r="GA71" s="1"/>
      <c r="GB71" s="1"/>
      <c r="GC71" s="1"/>
      <c r="GD71" s="1"/>
      <c r="GE71" s="1"/>
      <c r="GF71" s="1"/>
      <c r="GG71" s="1"/>
      <c r="GH71" s="1"/>
      <c r="GI71" s="1"/>
      <c r="GJ71" s="1"/>
      <c r="GK71" s="1"/>
      <c r="GL71" s="1"/>
      <c r="GM71" s="1"/>
      <c r="GN71" s="1"/>
      <c r="GO71" s="1"/>
      <c r="GP71" s="1"/>
      <c r="GQ71" s="1"/>
      <c r="GR71" s="1"/>
      <c r="GS71" s="1"/>
      <c r="GT71" s="1"/>
      <c r="GU71" s="1"/>
      <c r="GV71" s="1"/>
      <c r="GW71" s="1"/>
      <c r="GX71" s="1"/>
      <c r="GY71" s="1"/>
      <c r="GZ71" s="1"/>
      <c r="HA71" s="1"/>
      <c r="HB71" s="1"/>
      <c r="HC71" s="1"/>
      <c r="HD71" s="1"/>
      <c r="HE71" s="1"/>
      <c r="HF71" s="1"/>
      <c r="HG71" s="1"/>
      <c r="HH71" s="1"/>
      <c r="HI71" s="1"/>
      <c r="HJ71" s="1"/>
      <c r="HK71" s="1"/>
      <c r="HL71" s="1"/>
      <c r="HM71" s="1"/>
      <c r="HN71" s="1"/>
      <c r="HO71" s="1"/>
      <c r="HP71" s="1"/>
      <c r="HQ71" s="1"/>
      <c r="HR71" s="1"/>
      <c r="HS71" s="1"/>
      <c r="HT71" s="1"/>
      <c r="HU71" s="1"/>
      <c r="HV71" s="1"/>
      <c r="HW71" s="1"/>
      <c r="HX71" s="1"/>
      <c r="HY71" s="1"/>
      <c r="HZ71" s="1"/>
      <c r="IA71" s="1"/>
      <c r="IB71" s="1"/>
      <c r="IC71" s="1"/>
      <c r="ID71" s="1"/>
      <c r="IE71" s="1"/>
      <c r="IF71" s="1"/>
      <c r="IG71" s="1"/>
      <c r="IH71" s="1"/>
      <c r="II71" s="1"/>
      <c r="IJ71" s="1"/>
      <c r="IK71" s="1"/>
      <c r="IL71" s="1"/>
      <c r="IM71" s="1"/>
      <c r="IN71" s="1"/>
      <c r="IO71" s="1"/>
      <c r="IP71" s="1"/>
      <c r="IQ71" s="1"/>
      <c r="IR71" s="1"/>
      <c r="IS71" s="1"/>
      <c r="IT71" s="1"/>
      <c r="IU71" s="1"/>
      <c r="IV71" s="1"/>
      <c r="IW71" s="1"/>
      <c r="IX71" s="1"/>
      <c r="IY71" s="1"/>
      <c r="IZ71" s="1"/>
      <c r="JA71" s="1"/>
      <c r="JB71" s="1"/>
      <c r="JC71" s="1"/>
      <c r="JD71" s="1"/>
    </row>
    <row r="72" spans="1:264" s="347" customFormat="1" x14ac:dyDescent="0.2">
      <c r="A72" s="444" t="s">
        <v>241</v>
      </c>
      <c r="B72" s="348"/>
      <c r="BH72" s="348"/>
      <c r="BI72" s="348"/>
      <c r="BJ72" s="348"/>
      <c r="BK72" s="348"/>
      <c r="BL72" s="348"/>
      <c r="BM72" s="348"/>
      <c r="BN72" s="348"/>
      <c r="BO72" s="348"/>
      <c r="BP72" s="348"/>
      <c r="BT72" s="348"/>
      <c r="BX72" s="348"/>
      <c r="CB72" s="348"/>
      <c r="CF72" s="348"/>
      <c r="CJ72" s="348"/>
      <c r="CN72" s="348"/>
      <c r="CR72" s="348"/>
      <c r="CV72" s="348"/>
      <c r="CZ72" s="348"/>
      <c r="DD72" s="348"/>
      <c r="DH72" s="348"/>
      <c r="DL72" s="348"/>
      <c r="DP72" s="348"/>
      <c r="DT72" s="1"/>
      <c r="DU72" s="1"/>
      <c r="DV72" s="1"/>
      <c r="DW72" s="1"/>
      <c r="DX72" s="1"/>
      <c r="DY72" s="1"/>
      <c r="DZ72" s="1"/>
      <c r="EA72" s="1"/>
      <c r="EB72" s="1"/>
      <c r="EC72" s="1"/>
      <c r="ED72" s="1"/>
      <c r="EE72" s="1"/>
      <c r="EF72" s="1"/>
      <c r="EG72" s="1"/>
      <c r="EH72" s="1"/>
      <c r="EI72" s="1"/>
      <c r="EJ72" s="1"/>
      <c r="EK72" s="1"/>
      <c r="EL72" s="1"/>
      <c r="EM72" s="1"/>
      <c r="EN72" s="1"/>
      <c r="EO72" s="1"/>
      <c r="EP72" s="1"/>
      <c r="EQ72" s="1"/>
      <c r="ER72" s="1"/>
      <c r="ES72" s="1"/>
      <c r="ET72" s="1"/>
      <c r="EU72" s="1"/>
      <c r="EV72" s="1"/>
      <c r="EW72" s="1"/>
      <c r="EX72" s="1"/>
      <c r="EY72" s="1"/>
      <c r="EZ72" s="1"/>
      <c r="FA72" s="1"/>
      <c r="FB72" s="1"/>
      <c r="FC72" s="1"/>
      <c r="FD72" s="1"/>
      <c r="FE72" s="1"/>
      <c r="FF72" s="1"/>
      <c r="FG72" s="1"/>
      <c r="FH72" s="1"/>
      <c r="FI72" s="1"/>
      <c r="FJ72" s="1"/>
      <c r="FK72" s="1"/>
      <c r="FL72" s="1"/>
      <c r="FM72" s="1"/>
      <c r="FN72" s="1"/>
      <c r="FO72" s="1"/>
      <c r="FP72" s="1"/>
      <c r="FQ72" s="1"/>
      <c r="FR72" s="1"/>
      <c r="FS72" s="1"/>
      <c r="FT72" s="1"/>
      <c r="FU72" s="1"/>
      <c r="FV72" s="1"/>
      <c r="FW72" s="1"/>
      <c r="FX72" s="1"/>
      <c r="FY72" s="1"/>
      <c r="FZ72" s="1"/>
      <c r="GA72" s="1"/>
      <c r="GB72" s="1"/>
      <c r="GC72" s="1"/>
      <c r="GD72" s="1"/>
      <c r="GE72" s="1"/>
      <c r="GF72" s="1"/>
      <c r="GG72" s="1"/>
      <c r="GH72" s="1"/>
      <c r="GI72" s="1"/>
      <c r="GJ72" s="1"/>
      <c r="GK72" s="1"/>
      <c r="GL72" s="1"/>
      <c r="GM72" s="1"/>
      <c r="GN72" s="1"/>
      <c r="GO72" s="1"/>
      <c r="GP72" s="1"/>
      <c r="GQ72" s="1"/>
      <c r="GR72" s="1"/>
      <c r="GS72" s="1"/>
      <c r="GT72" s="1"/>
      <c r="GU72" s="1"/>
      <c r="GV72" s="1"/>
      <c r="GW72" s="1"/>
      <c r="GX72" s="1"/>
      <c r="GY72" s="1"/>
      <c r="GZ72" s="1"/>
      <c r="HA72" s="1"/>
      <c r="HB72" s="1"/>
      <c r="HC72" s="1"/>
      <c r="HD72" s="1"/>
      <c r="HE72" s="1"/>
      <c r="HF72" s="1"/>
      <c r="HG72" s="1"/>
      <c r="HH72" s="1"/>
      <c r="HI72" s="1"/>
      <c r="HJ72" s="1"/>
      <c r="HK72" s="1"/>
      <c r="HL72" s="1"/>
      <c r="HM72" s="1"/>
      <c r="HN72" s="1"/>
      <c r="HO72" s="1"/>
      <c r="HP72" s="1"/>
      <c r="HQ72" s="1"/>
      <c r="HR72" s="1"/>
      <c r="HS72" s="1"/>
      <c r="HT72" s="1"/>
      <c r="HU72" s="1"/>
      <c r="HV72" s="1"/>
      <c r="HW72" s="1"/>
      <c r="HX72" s="1"/>
      <c r="HY72" s="1"/>
      <c r="HZ72" s="1"/>
      <c r="IA72" s="1"/>
      <c r="IB72" s="1"/>
      <c r="IC72" s="1"/>
      <c r="ID72" s="1"/>
      <c r="IE72" s="1"/>
      <c r="IF72" s="1"/>
      <c r="IG72" s="1"/>
      <c r="IH72" s="1"/>
      <c r="II72" s="1"/>
      <c r="IJ72" s="1"/>
      <c r="IK72" s="1"/>
      <c r="IL72" s="1"/>
      <c r="IM72" s="1"/>
      <c r="IN72" s="1"/>
      <c r="IO72" s="1"/>
      <c r="IP72" s="1"/>
      <c r="IQ72" s="1"/>
      <c r="IR72" s="1"/>
      <c r="IS72" s="1"/>
      <c r="IT72" s="1"/>
      <c r="IU72" s="1"/>
      <c r="IV72" s="1"/>
      <c r="IW72" s="1"/>
      <c r="IX72" s="1"/>
      <c r="IY72" s="1"/>
      <c r="IZ72" s="1"/>
      <c r="JA72" s="1"/>
      <c r="JB72" s="1"/>
      <c r="JC72" s="1"/>
      <c r="JD72" s="1"/>
    </row>
    <row r="73" spans="1:264" s="347" customFormat="1" x14ac:dyDescent="0.2">
      <c r="A73" s="444"/>
      <c r="B73" s="348"/>
      <c r="BH73" s="348"/>
      <c r="BI73" s="348"/>
      <c r="BJ73" s="348"/>
      <c r="BK73" s="348"/>
      <c r="BL73" s="348"/>
      <c r="BM73" s="348"/>
      <c r="BN73" s="348"/>
      <c r="BO73" s="348"/>
      <c r="BP73" s="348"/>
      <c r="BT73" s="348"/>
      <c r="BX73" s="348"/>
      <c r="CB73" s="348"/>
      <c r="CF73" s="348"/>
      <c r="CJ73" s="348"/>
      <c r="CN73" s="348"/>
      <c r="CR73" s="348"/>
      <c r="CV73" s="348"/>
      <c r="CZ73" s="348"/>
      <c r="DD73" s="348"/>
      <c r="DH73" s="348"/>
      <c r="DL73" s="348"/>
      <c r="DP73" s="348"/>
      <c r="DT73" s="1"/>
      <c r="DU73" s="1"/>
      <c r="DV73" s="1"/>
      <c r="DW73" s="1"/>
      <c r="DX73" s="1"/>
      <c r="DY73" s="1"/>
      <c r="DZ73" s="1"/>
      <c r="EA73" s="1"/>
      <c r="EB73" s="1"/>
      <c r="EC73" s="1"/>
      <c r="ED73" s="1"/>
      <c r="EE73" s="1"/>
      <c r="EF73" s="1"/>
      <c r="EG73" s="1"/>
      <c r="EH73" s="1"/>
      <c r="EI73" s="1"/>
      <c r="EJ73" s="1"/>
      <c r="EK73" s="1"/>
      <c r="EL73" s="1"/>
      <c r="EM73" s="1"/>
      <c r="EN73" s="1"/>
      <c r="EO73" s="1"/>
      <c r="EP73" s="1"/>
      <c r="EQ73" s="1"/>
      <c r="ER73" s="1"/>
      <c r="ES73" s="1"/>
      <c r="ET73" s="1"/>
      <c r="EU73" s="1"/>
      <c r="EV73" s="1"/>
      <c r="EW73" s="1"/>
      <c r="EX73" s="1"/>
      <c r="EY73" s="1"/>
      <c r="EZ73" s="1"/>
      <c r="FA73" s="1"/>
      <c r="FB73" s="1"/>
      <c r="FC73" s="1"/>
      <c r="FD73" s="1"/>
      <c r="FE73" s="1"/>
      <c r="FF73" s="1"/>
      <c r="FG73" s="1"/>
      <c r="FH73" s="1"/>
      <c r="FI73" s="1"/>
      <c r="FJ73" s="1"/>
      <c r="FK73" s="1"/>
      <c r="FL73" s="1"/>
      <c r="FM73" s="1"/>
      <c r="FN73" s="1"/>
      <c r="FO73" s="1"/>
      <c r="FP73" s="1"/>
      <c r="FQ73" s="1"/>
      <c r="FR73" s="1"/>
      <c r="FS73" s="1"/>
      <c r="FT73" s="1"/>
      <c r="FU73" s="1"/>
      <c r="FV73" s="1"/>
      <c r="FW73" s="1"/>
      <c r="FX73" s="1"/>
      <c r="FY73" s="1"/>
      <c r="FZ73" s="1"/>
      <c r="GA73" s="1"/>
      <c r="GB73" s="1"/>
      <c r="GC73" s="1"/>
      <c r="GD73" s="1"/>
      <c r="GE73" s="1"/>
      <c r="GF73" s="1"/>
      <c r="GG73" s="1"/>
      <c r="GH73" s="1"/>
      <c r="GI73" s="1"/>
      <c r="GJ73" s="1"/>
      <c r="GK73" s="1"/>
      <c r="GL73" s="1"/>
      <c r="GM73" s="1"/>
      <c r="GN73" s="1"/>
      <c r="GO73" s="1"/>
      <c r="GP73" s="1"/>
      <c r="GQ73" s="1"/>
      <c r="GR73" s="1"/>
      <c r="GS73" s="1"/>
      <c r="GT73" s="1"/>
      <c r="GU73" s="1"/>
      <c r="GV73" s="1"/>
      <c r="GW73" s="1"/>
      <c r="GX73" s="1"/>
      <c r="GY73" s="1"/>
      <c r="GZ73" s="1"/>
      <c r="HA73" s="1"/>
      <c r="HB73" s="1"/>
      <c r="HC73" s="1"/>
      <c r="HD73" s="1"/>
      <c r="HE73" s="1"/>
      <c r="HF73" s="1"/>
      <c r="HG73" s="1"/>
      <c r="HH73" s="1"/>
      <c r="HI73" s="1"/>
      <c r="HJ73" s="1"/>
      <c r="HK73" s="1"/>
      <c r="HL73" s="1"/>
      <c r="HM73" s="1"/>
      <c r="HN73" s="1"/>
      <c r="HO73" s="1"/>
      <c r="HP73" s="1"/>
      <c r="HQ73" s="1"/>
      <c r="HR73" s="1"/>
      <c r="HS73" s="1"/>
      <c r="HT73" s="1"/>
      <c r="HU73" s="1"/>
      <c r="HV73" s="1"/>
      <c r="HW73" s="1"/>
      <c r="HX73" s="1"/>
      <c r="HY73" s="1"/>
      <c r="HZ73" s="1"/>
      <c r="IA73" s="1"/>
      <c r="IB73" s="1"/>
      <c r="IC73" s="1"/>
      <c r="ID73" s="1"/>
      <c r="IE73" s="1"/>
      <c r="IF73" s="1"/>
      <c r="IG73" s="1"/>
      <c r="IH73" s="1"/>
      <c r="II73" s="1"/>
      <c r="IJ73" s="1"/>
      <c r="IK73" s="1"/>
      <c r="IL73" s="1"/>
      <c r="IM73" s="1"/>
      <c r="IN73" s="1"/>
      <c r="IO73" s="1"/>
      <c r="IP73" s="1"/>
      <c r="IQ73" s="1"/>
      <c r="IR73" s="1"/>
      <c r="IS73" s="1"/>
      <c r="IT73" s="1"/>
      <c r="IU73" s="1"/>
      <c r="IV73" s="1"/>
      <c r="IW73" s="1"/>
      <c r="IX73" s="1"/>
      <c r="IY73" s="1"/>
      <c r="IZ73" s="1"/>
      <c r="JA73" s="1"/>
      <c r="JB73" s="1"/>
      <c r="JC73" s="1"/>
      <c r="JD73" s="1"/>
    </row>
    <row r="74" spans="1:264" s="347" customFormat="1" x14ac:dyDescent="0.2">
      <c r="A74" s="435" t="s">
        <v>242</v>
      </c>
      <c r="B74" s="348"/>
      <c r="BH74" s="351">
        <f>BH25</f>
        <v>10289</v>
      </c>
      <c r="BI74" s="351">
        <f>BI25</f>
        <v>10532</v>
      </c>
      <c r="BJ74" s="351">
        <f>BJ25</f>
        <v>20821</v>
      </c>
      <c r="BK74" s="348"/>
      <c r="BL74" s="351">
        <f>BL25</f>
        <v>11148</v>
      </c>
      <c r="BM74" s="351">
        <f>BM25</f>
        <v>11253</v>
      </c>
      <c r="BN74" s="351">
        <f>BN25</f>
        <v>22401</v>
      </c>
      <c r="BO74" s="348"/>
      <c r="BP74" s="351">
        <f>BP25</f>
        <v>11723</v>
      </c>
      <c r="BQ74" s="351">
        <f>BQ25</f>
        <v>11855</v>
      </c>
      <c r="BR74" s="351">
        <f>BR25</f>
        <v>23578</v>
      </c>
      <c r="BT74" s="351">
        <f>BT25</f>
        <v>12420</v>
      </c>
      <c r="BU74" s="351">
        <f>BU25</f>
        <v>12327</v>
      </c>
      <c r="BV74" s="351">
        <f>BV25</f>
        <v>24747</v>
      </c>
      <c r="BX74" s="351">
        <f>BX25</f>
        <v>12835</v>
      </c>
      <c r="BY74" s="351">
        <f>BY25</f>
        <v>12445</v>
      </c>
      <c r="BZ74" s="351">
        <f>BZ25</f>
        <v>25280</v>
      </c>
      <c r="CB74" s="351">
        <f>CB25</f>
        <v>12649</v>
      </c>
      <c r="CC74" s="351">
        <f>CC25</f>
        <v>12273</v>
      </c>
      <c r="CD74" s="351">
        <f>CD25</f>
        <v>24922</v>
      </c>
      <c r="CF74" s="351">
        <f>CF25</f>
        <v>11990</v>
      </c>
      <c r="CG74" s="351">
        <f>CG25</f>
        <v>11589</v>
      </c>
      <c r="CH74" s="351">
        <f>CH25</f>
        <v>23579</v>
      </c>
      <c r="CJ74" s="351">
        <f>CJ25</f>
        <v>12023</v>
      </c>
      <c r="CK74" s="351">
        <f>CK25</f>
        <v>11738</v>
      </c>
      <c r="CL74" s="351">
        <f>CL25</f>
        <v>23761</v>
      </c>
      <c r="CN74" s="351">
        <f>CN25</f>
        <v>11961</v>
      </c>
      <c r="CO74" s="351">
        <f>CO25</f>
        <v>12195</v>
      </c>
      <c r="CP74" s="351">
        <f>CP25</f>
        <v>24156</v>
      </c>
      <c r="CR74" s="351">
        <f>CR25</f>
        <v>12107</v>
      </c>
      <c r="CS74" s="351">
        <f>CS25</f>
        <v>12582</v>
      </c>
      <c r="CT74" s="351">
        <f>CT25</f>
        <v>24689</v>
      </c>
      <c r="CV74" s="351">
        <f>CV25</f>
        <v>13623</v>
      </c>
      <c r="CW74" s="351">
        <f>CW25</f>
        <v>13512</v>
      </c>
      <c r="CX74" s="351">
        <f>CX25</f>
        <v>27135</v>
      </c>
      <c r="CZ74" s="351">
        <f>CZ25</f>
        <v>13649</v>
      </c>
      <c r="DA74" s="351">
        <f>DA25</f>
        <v>13525</v>
      </c>
      <c r="DB74" s="351">
        <f>DB25</f>
        <v>27174</v>
      </c>
      <c r="DD74" s="351">
        <f>DD25</f>
        <v>14097</v>
      </c>
      <c r="DE74" s="351">
        <f>DE25</f>
        <v>14368</v>
      </c>
      <c r="DF74" s="351">
        <f>DF25</f>
        <v>28465</v>
      </c>
      <c r="DH74" s="351">
        <f>DH25</f>
        <v>15021</v>
      </c>
      <c r="DI74" s="351">
        <f>DI25</f>
        <v>15221.786412194529</v>
      </c>
      <c r="DJ74" s="351">
        <f>DJ25</f>
        <v>30242.786412194531</v>
      </c>
      <c r="DL74" s="351">
        <f>DL25</f>
        <v>15973.425130904467</v>
      </c>
      <c r="DM74" s="351">
        <f>DM25</f>
        <v>16037.449253626672</v>
      </c>
      <c r="DN74" s="351">
        <f>DN25</f>
        <v>32010.87438453114</v>
      </c>
      <c r="DP74" s="351">
        <f>DP25</f>
        <v>16651.367635972674</v>
      </c>
      <c r="DQ74" s="351">
        <f>DQ25</f>
        <v>16727.137294992015</v>
      </c>
      <c r="DR74" s="351">
        <f>DR25</f>
        <v>33378.504930964686</v>
      </c>
      <c r="DT74" s="1"/>
      <c r="DU74" s="1"/>
      <c r="DV74" s="1"/>
      <c r="DW74" s="1"/>
      <c r="DX74" s="1"/>
      <c r="DY74" s="1"/>
      <c r="DZ74" s="1"/>
      <c r="EA74" s="1"/>
      <c r="EB74" s="1"/>
      <c r="EC74" s="1"/>
      <c r="ED74" s="1"/>
      <c r="EE74" s="1"/>
      <c r="EF74" s="1"/>
      <c r="EG74" s="1"/>
      <c r="EH74" s="1"/>
      <c r="EI74" s="1"/>
      <c r="EJ74" s="1"/>
      <c r="EK74" s="1"/>
      <c r="EL74" s="1"/>
      <c r="EM74" s="1"/>
      <c r="EN74" s="1"/>
      <c r="EO74" s="1"/>
      <c r="EP74" s="1"/>
      <c r="EQ74" s="1"/>
      <c r="ER74" s="1"/>
      <c r="ES74" s="1"/>
      <c r="ET74" s="1"/>
      <c r="EU74" s="1"/>
      <c r="EV74" s="1"/>
      <c r="EW74" s="1"/>
      <c r="EX74" s="1"/>
      <c r="EY74" s="1"/>
      <c r="EZ74" s="1"/>
      <c r="FA74" s="1"/>
      <c r="FB74" s="1"/>
      <c r="FC74" s="1"/>
      <c r="FD74" s="1"/>
      <c r="FE74" s="1"/>
      <c r="FF74" s="1"/>
      <c r="FG74" s="1"/>
      <c r="FH74" s="1"/>
      <c r="FI74" s="1"/>
      <c r="FJ74" s="1"/>
      <c r="FK74" s="1"/>
      <c r="FL74" s="1"/>
      <c r="FM74" s="1"/>
      <c r="FN74" s="1"/>
      <c r="FO74" s="1"/>
      <c r="FP74" s="1"/>
      <c r="FQ74" s="1"/>
      <c r="FR74" s="1"/>
      <c r="FS74" s="1"/>
      <c r="FT74" s="1"/>
      <c r="FU74" s="1"/>
      <c r="FV74" s="1"/>
      <c r="FW74" s="1"/>
      <c r="FX74" s="1"/>
      <c r="FY74" s="1"/>
      <c r="FZ74" s="1"/>
      <c r="GA74" s="1"/>
      <c r="GB74" s="1"/>
      <c r="GC74" s="1"/>
      <c r="GD74" s="1"/>
      <c r="GE74" s="1"/>
      <c r="GF74" s="1"/>
      <c r="GG74" s="1"/>
      <c r="GH74" s="1"/>
      <c r="GI74" s="1"/>
      <c r="GJ74" s="1"/>
      <c r="GK74" s="1"/>
      <c r="GL74" s="1"/>
      <c r="GM74" s="1"/>
      <c r="GN74" s="1"/>
      <c r="GO74" s="1"/>
      <c r="GP74" s="1"/>
      <c r="GQ74" s="1"/>
      <c r="GR74" s="1"/>
      <c r="GS74" s="1"/>
      <c r="GT74" s="1"/>
      <c r="GU74" s="1"/>
      <c r="GV74" s="1"/>
      <c r="GW74" s="1"/>
      <c r="GX74" s="1"/>
      <c r="GY74" s="1"/>
      <c r="GZ74" s="1"/>
      <c r="HA74" s="1"/>
      <c r="HB74" s="1"/>
      <c r="HC74" s="1"/>
      <c r="HD74" s="1"/>
      <c r="HE74" s="1"/>
      <c r="HF74" s="1"/>
      <c r="HG74" s="1"/>
      <c r="HH74" s="1"/>
      <c r="HI74" s="1"/>
      <c r="HJ74" s="1"/>
      <c r="HK74" s="1"/>
      <c r="HL74" s="1"/>
      <c r="HM74" s="1"/>
      <c r="HN74" s="1"/>
      <c r="HO74" s="1"/>
      <c r="HP74" s="1"/>
      <c r="HQ74" s="1"/>
      <c r="HR74" s="1"/>
      <c r="HS74" s="1"/>
      <c r="HT74" s="1"/>
      <c r="HU74" s="1"/>
      <c r="HV74" s="1"/>
      <c r="HW74" s="1"/>
      <c r="HX74" s="1"/>
      <c r="HY74" s="1"/>
      <c r="HZ74" s="1"/>
      <c r="IA74" s="1"/>
      <c r="IB74" s="1"/>
      <c r="IC74" s="1"/>
      <c r="ID74" s="1"/>
      <c r="IE74" s="1"/>
      <c r="IF74" s="1"/>
      <c r="IG74" s="1"/>
      <c r="IH74" s="1"/>
      <c r="II74" s="1"/>
      <c r="IJ74" s="1"/>
      <c r="IK74" s="1"/>
      <c r="IL74" s="1"/>
      <c r="IM74" s="1"/>
      <c r="IN74" s="1"/>
      <c r="IO74" s="1"/>
      <c r="IP74" s="1"/>
      <c r="IQ74" s="1"/>
      <c r="IR74" s="1"/>
      <c r="IS74" s="1"/>
      <c r="IT74" s="1"/>
      <c r="IU74" s="1"/>
      <c r="IV74" s="1"/>
      <c r="IW74" s="1"/>
      <c r="IX74" s="1"/>
      <c r="IY74" s="1"/>
      <c r="IZ74" s="1"/>
      <c r="JA74" s="1"/>
      <c r="JB74" s="1"/>
      <c r="JC74" s="1"/>
      <c r="JD74" s="1"/>
    </row>
    <row r="75" spans="1:264" s="347" customFormat="1" x14ac:dyDescent="0.2">
      <c r="A75" s="445" t="s">
        <v>243</v>
      </c>
      <c r="B75" s="446"/>
      <c r="C75" s="447"/>
      <c r="D75" s="447"/>
      <c r="E75" s="447"/>
      <c r="F75" s="447"/>
      <c r="G75" s="447"/>
      <c r="H75" s="447"/>
      <c r="I75" s="447"/>
      <c r="J75" s="447"/>
      <c r="K75" s="447"/>
      <c r="L75" s="447"/>
      <c r="M75" s="447"/>
      <c r="N75" s="447"/>
      <c r="O75" s="447"/>
      <c r="P75" s="447"/>
      <c r="Q75" s="447"/>
      <c r="R75" s="447"/>
      <c r="S75" s="447"/>
      <c r="T75" s="447"/>
      <c r="U75" s="447"/>
      <c r="V75" s="447"/>
      <c r="W75" s="447"/>
      <c r="X75" s="447"/>
      <c r="Y75" s="447"/>
      <c r="Z75" s="447"/>
      <c r="AA75" s="447"/>
      <c r="AB75" s="447"/>
      <c r="AC75" s="447"/>
      <c r="AD75" s="447"/>
      <c r="AE75" s="447"/>
      <c r="AF75" s="447"/>
      <c r="AG75" s="447"/>
      <c r="AH75" s="447"/>
      <c r="AI75" s="447"/>
      <c r="AJ75" s="447"/>
      <c r="AK75" s="447"/>
      <c r="AL75" s="447"/>
      <c r="AM75" s="447"/>
      <c r="AN75" s="447"/>
      <c r="AO75" s="447"/>
      <c r="AP75" s="447"/>
      <c r="AQ75" s="447"/>
      <c r="AR75" s="447"/>
      <c r="AS75" s="447"/>
      <c r="AT75" s="447"/>
      <c r="AU75" s="447"/>
      <c r="AV75" s="447"/>
      <c r="AW75" s="447"/>
      <c r="AX75" s="447"/>
      <c r="AY75" s="447"/>
      <c r="AZ75" s="447"/>
      <c r="BA75" s="447"/>
      <c r="BB75" s="447"/>
      <c r="BC75" s="447"/>
      <c r="BD75" s="447"/>
      <c r="BE75" s="447"/>
      <c r="BF75" s="447"/>
      <c r="BG75" s="447"/>
      <c r="BH75" s="448">
        <v>0</v>
      </c>
      <c r="BI75" s="448">
        <v>0</v>
      </c>
      <c r="BJ75" s="449">
        <f>+BH75+BI75</f>
        <v>0</v>
      </c>
      <c r="BK75" s="446"/>
      <c r="BL75" s="448">
        <v>0</v>
      </c>
      <c r="BM75" s="448">
        <v>0</v>
      </c>
      <c r="BN75" s="449">
        <f>+BL75+BM75</f>
        <v>0</v>
      </c>
      <c r="BO75" s="446"/>
      <c r="BP75" s="448">
        <v>0</v>
      </c>
      <c r="BQ75" s="448">
        <v>0</v>
      </c>
      <c r="BR75" s="449">
        <f>+BP75+BQ75</f>
        <v>0</v>
      </c>
      <c r="BS75" s="447"/>
      <c r="BT75" s="448">
        <v>0</v>
      </c>
      <c r="BU75" s="448">
        <v>0</v>
      </c>
      <c r="BV75" s="449">
        <f>+BT75+BU75</f>
        <v>0</v>
      </c>
      <c r="BW75" s="447"/>
      <c r="BX75" s="450">
        <v>397</v>
      </c>
      <c r="BY75" s="448">
        <v>0</v>
      </c>
      <c r="BZ75" s="449">
        <f>+BX75+BY75</f>
        <v>397</v>
      </c>
      <c r="CA75" s="447"/>
      <c r="CB75" s="448">
        <v>0</v>
      </c>
      <c r="CC75" s="448">
        <v>0</v>
      </c>
      <c r="CD75" s="449">
        <f>+CB75+CC75</f>
        <v>0</v>
      </c>
      <c r="CE75" s="447"/>
      <c r="CF75" s="448">
        <v>0</v>
      </c>
      <c r="CG75" s="448">
        <v>0</v>
      </c>
      <c r="CH75" s="449">
        <f>+CF75+CG75</f>
        <v>0</v>
      </c>
      <c r="CI75" s="447"/>
      <c r="CJ75" s="448">
        <v>0</v>
      </c>
      <c r="CK75" s="448">
        <v>0</v>
      </c>
      <c r="CL75" s="449">
        <f>+CJ75+CK75</f>
        <v>0</v>
      </c>
      <c r="CM75" s="447"/>
      <c r="CN75" s="448">
        <v>0</v>
      </c>
      <c r="CO75" s="448">
        <v>0</v>
      </c>
      <c r="CP75" s="449">
        <f>+CN75+CO75</f>
        <v>0</v>
      </c>
      <c r="CQ75" s="447"/>
      <c r="CR75" s="448">
        <v>0</v>
      </c>
      <c r="CS75" s="448">
        <v>516</v>
      </c>
      <c r="CT75" s="449">
        <f>+CR75+CS75</f>
        <v>516</v>
      </c>
      <c r="CU75" s="447"/>
      <c r="CV75" s="448">
        <v>0</v>
      </c>
      <c r="CW75" s="448">
        <v>0</v>
      </c>
      <c r="CX75" s="449">
        <f>+CV75+CW75</f>
        <v>0</v>
      </c>
      <c r="CY75" s="447"/>
      <c r="CZ75" s="448">
        <v>0</v>
      </c>
      <c r="DA75" s="448">
        <v>0</v>
      </c>
      <c r="DB75" s="449">
        <f>+CZ75+DA75</f>
        <v>0</v>
      </c>
      <c r="DC75" s="447"/>
      <c r="DD75" s="448">
        <v>0</v>
      </c>
      <c r="DE75" s="448">
        <v>0</v>
      </c>
      <c r="DF75" s="449">
        <f>+DD75+DE75</f>
        <v>0</v>
      </c>
      <c r="DG75" s="447"/>
      <c r="DH75" s="448">
        <v>0</v>
      </c>
      <c r="DI75" s="448">
        <v>0</v>
      </c>
      <c r="DJ75" s="449">
        <f>+DH75+DI75</f>
        <v>0</v>
      </c>
      <c r="DK75" s="447"/>
      <c r="DL75" s="448">
        <v>0</v>
      </c>
      <c r="DM75" s="448">
        <v>0</v>
      </c>
      <c r="DN75" s="449">
        <f>+DL75+DM75</f>
        <v>0</v>
      </c>
      <c r="DO75" s="447"/>
      <c r="DP75" s="448">
        <v>0</v>
      </c>
      <c r="DQ75" s="448">
        <v>0</v>
      </c>
      <c r="DR75" s="449">
        <f>+DP75+DQ75</f>
        <v>0</v>
      </c>
      <c r="DS75" s="447"/>
      <c r="DT75" s="1"/>
      <c r="DU75" s="1"/>
      <c r="DV75" s="1"/>
      <c r="DW75" s="1"/>
      <c r="DX75" s="1"/>
      <c r="DY75" s="1"/>
      <c r="DZ75" s="1"/>
      <c r="EA75" s="1"/>
      <c r="EB75" s="1"/>
      <c r="EC75" s="1"/>
      <c r="ED75" s="1"/>
      <c r="EE75" s="1"/>
      <c r="EF75" s="1"/>
      <c r="EG75" s="1"/>
      <c r="EH75" s="1"/>
      <c r="EI75" s="1"/>
      <c r="EJ75" s="1"/>
      <c r="EK75" s="1"/>
      <c r="EL75" s="1"/>
      <c r="EM75" s="1"/>
      <c r="EN75" s="1"/>
      <c r="EO75" s="1"/>
      <c r="EP75" s="1"/>
      <c r="EQ75" s="1"/>
      <c r="ER75" s="1"/>
      <c r="ES75" s="1"/>
      <c r="ET75" s="1"/>
      <c r="EU75" s="1"/>
      <c r="EV75" s="1"/>
      <c r="EW75" s="1"/>
      <c r="EX75" s="1"/>
      <c r="EY75" s="1"/>
      <c r="EZ75" s="1"/>
      <c r="FA75" s="1"/>
      <c r="FB75" s="1"/>
      <c r="FC75" s="1"/>
      <c r="FD75" s="1"/>
      <c r="FE75" s="1"/>
      <c r="FF75" s="1"/>
      <c r="FG75" s="1"/>
      <c r="FH75" s="1"/>
      <c r="FI75" s="1"/>
      <c r="FJ75" s="1"/>
      <c r="FK75" s="1"/>
      <c r="FL75" s="1"/>
      <c r="FM75" s="1"/>
      <c r="FN75" s="1"/>
      <c r="FO75" s="1"/>
      <c r="FP75" s="1"/>
      <c r="FQ75" s="1"/>
      <c r="FR75" s="1"/>
      <c r="FS75" s="1"/>
      <c r="FT75" s="1"/>
      <c r="FU75" s="1"/>
      <c r="FV75" s="1"/>
      <c r="FW75" s="1"/>
      <c r="FX75" s="1"/>
      <c r="FY75" s="1"/>
      <c r="FZ75" s="1"/>
      <c r="GA75" s="1"/>
      <c r="GB75" s="1"/>
      <c r="GC75" s="1"/>
      <c r="GD75" s="1"/>
      <c r="GE75" s="1"/>
      <c r="GF75" s="1"/>
      <c r="GG75" s="1"/>
      <c r="GH75" s="1"/>
      <c r="GI75" s="1"/>
      <c r="GJ75" s="1"/>
      <c r="GK75" s="1"/>
      <c r="GL75" s="1"/>
      <c r="GM75" s="1"/>
      <c r="GN75" s="1"/>
      <c r="GO75" s="1"/>
      <c r="GP75" s="1"/>
      <c r="GQ75" s="1"/>
      <c r="GR75" s="1"/>
      <c r="GS75" s="1"/>
      <c r="GT75" s="1"/>
      <c r="GU75" s="1"/>
      <c r="GV75" s="1"/>
      <c r="GW75" s="1"/>
      <c r="GX75" s="1"/>
      <c r="GY75" s="1"/>
      <c r="GZ75" s="1"/>
      <c r="HA75" s="1"/>
      <c r="HB75" s="1"/>
      <c r="HC75" s="1"/>
      <c r="HD75" s="1"/>
      <c r="HE75" s="1"/>
      <c r="HF75" s="1"/>
      <c r="HG75" s="1"/>
      <c r="HH75" s="1"/>
      <c r="HI75" s="1"/>
      <c r="HJ75" s="1"/>
      <c r="HK75" s="1"/>
      <c r="HL75" s="1"/>
      <c r="HM75" s="1"/>
      <c r="HN75" s="1"/>
      <c r="HO75" s="1"/>
      <c r="HP75" s="1"/>
      <c r="HQ75" s="1"/>
      <c r="HR75" s="1"/>
      <c r="HS75" s="1"/>
      <c r="HT75" s="1"/>
      <c r="HU75" s="1"/>
      <c r="HV75" s="1"/>
      <c r="HW75" s="1"/>
      <c r="HX75" s="1"/>
      <c r="HY75" s="1"/>
      <c r="HZ75" s="1"/>
      <c r="IA75" s="1"/>
      <c r="IB75" s="1"/>
      <c r="IC75" s="1"/>
      <c r="ID75" s="1"/>
      <c r="IE75" s="1"/>
      <c r="IF75" s="1"/>
      <c r="IG75" s="1"/>
      <c r="IH75" s="1"/>
      <c r="II75" s="1"/>
      <c r="IJ75" s="1"/>
      <c r="IK75" s="1"/>
      <c r="IL75" s="1"/>
      <c r="IM75" s="1"/>
      <c r="IN75" s="1"/>
      <c r="IO75" s="1"/>
      <c r="IP75" s="1"/>
      <c r="IQ75" s="1"/>
      <c r="IR75" s="1"/>
      <c r="IS75" s="1"/>
      <c r="IT75" s="1"/>
      <c r="IU75" s="1"/>
      <c r="IV75" s="1"/>
      <c r="IW75" s="1"/>
      <c r="IX75" s="1"/>
      <c r="IY75" s="1"/>
      <c r="IZ75" s="1"/>
      <c r="JA75" s="1"/>
      <c r="JB75" s="1"/>
      <c r="JC75" s="1"/>
      <c r="JD75" s="1"/>
    </row>
    <row r="76" spans="1:264" s="347" customFormat="1" x14ac:dyDescent="0.2">
      <c r="A76" s="435" t="s">
        <v>244</v>
      </c>
      <c r="B76" s="348"/>
      <c r="BH76" s="398">
        <v>0</v>
      </c>
      <c r="BI76" s="398">
        <v>0</v>
      </c>
      <c r="BJ76" s="351">
        <f>+BH76+BI76</f>
        <v>0</v>
      </c>
      <c r="BK76" s="348"/>
      <c r="BL76" s="398">
        <v>0</v>
      </c>
      <c r="BM76" s="398">
        <v>0</v>
      </c>
      <c r="BN76" s="351">
        <f>+BL76+BM76</f>
        <v>0</v>
      </c>
      <c r="BO76" s="348"/>
      <c r="BP76" s="398">
        <v>0</v>
      </c>
      <c r="BQ76" s="398">
        <v>0</v>
      </c>
      <c r="BR76" s="351">
        <f>+BP76+BQ76</f>
        <v>0</v>
      </c>
      <c r="BT76" s="398">
        <v>0</v>
      </c>
      <c r="BU76" s="398">
        <v>0</v>
      </c>
      <c r="BV76" s="351">
        <f>+BT76+BU76</f>
        <v>0</v>
      </c>
      <c r="BX76" s="399">
        <v>0</v>
      </c>
      <c r="BY76" s="398">
        <v>0</v>
      </c>
      <c r="BZ76" s="351">
        <f>+BX76+BY76</f>
        <v>0</v>
      </c>
      <c r="CB76" s="398">
        <f>228-CC76</f>
        <v>91</v>
      </c>
      <c r="CC76" s="398">
        <v>137</v>
      </c>
      <c r="CD76" s="351">
        <f>+CB76+CC76</f>
        <v>228</v>
      </c>
      <c r="CF76" s="398">
        <v>0</v>
      </c>
      <c r="CG76" s="398">
        <v>0</v>
      </c>
      <c r="CH76" s="351">
        <f>+CF76+CG76</f>
        <v>0</v>
      </c>
      <c r="CJ76" s="398">
        <v>0</v>
      </c>
      <c r="CK76" s="398">
        <v>0</v>
      </c>
      <c r="CL76" s="351">
        <f>+CJ76+CK76</f>
        <v>0</v>
      </c>
      <c r="CN76" s="398">
        <v>0</v>
      </c>
      <c r="CO76" s="398">
        <v>0</v>
      </c>
      <c r="CP76" s="351">
        <f>+CN76+CO76</f>
        <v>0</v>
      </c>
      <c r="CR76" s="398">
        <v>0</v>
      </c>
      <c r="CS76" s="398">
        <v>0</v>
      </c>
      <c r="CT76" s="351">
        <f>+CR76+CS76</f>
        <v>0</v>
      </c>
      <c r="CV76" s="398">
        <v>0</v>
      </c>
      <c r="CW76" s="398">
        <v>0</v>
      </c>
      <c r="CX76" s="351">
        <f>+CV76+CW76</f>
        <v>0</v>
      </c>
      <c r="CZ76" s="398">
        <v>0</v>
      </c>
      <c r="DA76" s="398">
        <v>0</v>
      </c>
      <c r="DB76" s="351">
        <f>+CZ76+DA76</f>
        <v>0</v>
      </c>
      <c r="DD76" s="398">
        <v>0</v>
      </c>
      <c r="DE76" s="398">
        <v>0</v>
      </c>
      <c r="DF76" s="351">
        <f>+DD76+DE76</f>
        <v>0</v>
      </c>
      <c r="DH76" s="398">
        <v>0</v>
      </c>
      <c r="DI76" s="351">
        <f>DI625</f>
        <v>0</v>
      </c>
      <c r="DJ76" s="351">
        <f>+DH76+DI76</f>
        <v>0</v>
      </c>
      <c r="DL76" s="351">
        <f>DL625</f>
        <v>0</v>
      </c>
      <c r="DM76" s="351">
        <f>DM625</f>
        <v>0</v>
      </c>
      <c r="DN76" s="351">
        <f>+DL76+DM76</f>
        <v>0</v>
      </c>
      <c r="DP76" s="351">
        <f>DP625</f>
        <v>0</v>
      </c>
      <c r="DQ76" s="351">
        <f>DQ625</f>
        <v>0</v>
      </c>
      <c r="DR76" s="351">
        <f>+DP76+DQ76</f>
        <v>0</v>
      </c>
      <c r="DT76" s="1"/>
      <c r="DU76" s="1"/>
      <c r="DV76" s="1"/>
      <c r="DW76" s="1"/>
      <c r="DX76" s="1"/>
      <c r="DY76" s="1"/>
      <c r="DZ76" s="1"/>
      <c r="EA76" s="1"/>
      <c r="EB76" s="1"/>
      <c r="EC76" s="1"/>
      <c r="ED76" s="1"/>
      <c r="EE76" s="1"/>
      <c r="EF76" s="1"/>
      <c r="EG76" s="1"/>
      <c r="EH76" s="1"/>
      <c r="EI76" s="1"/>
      <c r="EJ76" s="1"/>
      <c r="EK76" s="1"/>
      <c r="EL76" s="1"/>
      <c r="EM76" s="1"/>
      <c r="EN76" s="1"/>
      <c r="EO76" s="1"/>
      <c r="EP76" s="1"/>
      <c r="EQ76" s="1"/>
      <c r="ER76" s="1"/>
      <c r="ES76" s="1"/>
      <c r="ET76" s="1"/>
      <c r="EU76" s="1"/>
      <c r="EV76" s="1"/>
      <c r="EW76" s="1"/>
      <c r="EX76" s="1"/>
      <c r="EY76" s="1"/>
      <c r="EZ76" s="1"/>
      <c r="FA76" s="1"/>
      <c r="FB76" s="1"/>
      <c r="FC76" s="1"/>
      <c r="FD76" s="1"/>
      <c r="FE76" s="1"/>
      <c r="FF76" s="1"/>
      <c r="FG76" s="1"/>
      <c r="FH76" s="1"/>
      <c r="FI76" s="1"/>
      <c r="FJ76" s="1"/>
      <c r="FK76" s="1"/>
      <c r="FL76" s="1"/>
      <c r="FM76" s="1"/>
      <c r="FN76" s="1"/>
      <c r="FO76" s="1"/>
      <c r="FP76" s="1"/>
      <c r="FQ76" s="1"/>
      <c r="FR76" s="1"/>
      <c r="FS76" s="1"/>
      <c r="FT76" s="1"/>
      <c r="FU76" s="1"/>
      <c r="FV76" s="1"/>
      <c r="FW76" s="1"/>
      <c r="FX76" s="1"/>
      <c r="FY76" s="1"/>
      <c r="FZ76" s="1"/>
      <c r="GA76" s="1"/>
      <c r="GB76" s="1"/>
      <c r="GC76" s="1"/>
      <c r="GD76" s="1"/>
      <c r="GE76" s="1"/>
      <c r="GF76" s="1"/>
      <c r="GG76" s="1"/>
      <c r="GH76" s="1"/>
      <c r="GI76" s="1"/>
      <c r="GJ76" s="1"/>
      <c r="GK76" s="1"/>
      <c r="GL76" s="1"/>
      <c r="GM76" s="1"/>
      <c r="GN76" s="1"/>
      <c r="GO76" s="1"/>
      <c r="GP76" s="1"/>
      <c r="GQ76" s="1"/>
      <c r="GR76" s="1"/>
      <c r="GS76" s="1"/>
      <c r="GT76" s="1"/>
      <c r="GU76" s="1"/>
      <c r="GV76" s="1"/>
      <c r="GW76" s="1"/>
      <c r="GX76" s="1"/>
      <c r="GY76" s="1"/>
      <c r="GZ76" s="1"/>
      <c r="HA76" s="1"/>
      <c r="HB76" s="1"/>
      <c r="HC76" s="1"/>
      <c r="HD76" s="1"/>
      <c r="HE76" s="1"/>
      <c r="HF76" s="1"/>
      <c r="HG76" s="1"/>
      <c r="HH76" s="1"/>
      <c r="HI76" s="1"/>
      <c r="HJ76" s="1"/>
      <c r="HK76" s="1"/>
      <c r="HL76" s="1"/>
      <c r="HM76" s="1"/>
      <c r="HN76" s="1"/>
      <c r="HO76" s="1"/>
      <c r="HP76" s="1"/>
      <c r="HQ76" s="1"/>
      <c r="HR76" s="1"/>
      <c r="HS76" s="1"/>
      <c r="HT76" s="1"/>
      <c r="HU76" s="1"/>
      <c r="HV76" s="1"/>
      <c r="HW76" s="1"/>
      <c r="HX76" s="1"/>
      <c r="HY76" s="1"/>
      <c r="HZ76" s="1"/>
      <c r="IA76" s="1"/>
      <c r="IB76" s="1"/>
      <c r="IC76" s="1"/>
      <c r="ID76" s="1"/>
      <c r="IE76" s="1"/>
      <c r="IF76" s="1"/>
      <c r="IG76" s="1"/>
      <c r="IH76" s="1"/>
      <c r="II76" s="1"/>
      <c r="IJ76" s="1"/>
      <c r="IK76" s="1"/>
      <c r="IL76" s="1"/>
      <c r="IM76" s="1"/>
      <c r="IN76" s="1"/>
      <c r="IO76" s="1"/>
      <c r="IP76" s="1"/>
      <c r="IQ76" s="1"/>
      <c r="IR76" s="1"/>
      <c r="IS76" s="1"/>
      <c r="IT76" s="1"/>
      <c r="IU76" s="1"/>
      <c r="IV76" s="1"/>
      <c r="IW76" s="1"/>
      <c r="IX76" s="1"/>
      <c r="IY76" s="1"/>
      <c r="IZ76" s="1"/>
      <c r="JA76" s="1"/>
      <c r="JB76" s="1"/>
      <c r="JC76" s="1"/>
      <c r="JD76" s="1"/>
    </row>
    <row r="77" spans="1:264" s="411" customFormat="1" x14ac:dyDescent="0.2">
      <c r="A77" s="444" t="s">
        <v>245</v>
      </c>
      <c r="B77" s="423"/>
      <c r="BH77" s="397">
        <f>SUM(BH75:BH76)</f>
        <v>0</v>
      </c>
      <c r="BI77" s="397">
        <f>SUM(BI75:BI76)</f>
        <v>0</v>
      </c>
      <c r="BJ77" s="397">
        <f>SUM(BJ75:BJ76)</f>
        <v>0</v>
      </c>
      <c r="BK77" s="423"/>
      <c r="BL77" s="397">
        <f>SUM(BL75:BL76)</f>
        <v>0</v>
      </c>
      <c r="BM77" s="397">
        <f>SUM(BM75:BM76)</f>
        <v>0</v>
      </c>
      <c r="BN77" s="397">
        <f>SUM(BN75:BN76)</f>
        <v>0</v>
      </c>
      <c r="BO77" s="423"/>
      <c r="BP77" s="397">
        <f>SUM(BP75:BP76)</f>
        <v>0</v>
      </c>
      <c r="BQ77" s="397">
        <f>SUM(BQ75:BQ76)</f>
        <v>0</v>
      </c>
      <c r="BR77" s="397">
        <f>SUM(BR75:BR76)</f>
        <v>0</v>
      </c>
      <c r="BT77" s="397">
        <f>SUM(BT75:BT76)</f>
        <v>0</v>
      </c>
      <c r="BU77" s="397">
        <f>SUM(BU75:BU76)</f>
        <v>0</v>
      </c>
      <c r="BV77" s="397">
        <f>SUM(BV75:BV76)</f>
        <v>0</v>
      </c>
      <c r="BX77" s="397">
        <f>SUM(BX75:BX76)</f>
        <v>397</v>
      </c>
      <c r="BY77" s="397">
        <f>SUM(BY75:BY76)</f>
        <v>0</v>
      </c>
      <c r="BZ77" s="397">
        <f>SUM(BZ75:BZ76)</f>
        <v>397</v>
      </c>
      <c r="CB77" s="397">
        <f>SUM(CB75:CB76)</f>
        <v>91</v>
      </c>
      <c r="CC77" s="397">
        <f>SUM(CC75:CC76)</f>
        <v>137</v>
      </c>
      <c r="CD77" s="397">
        <f>SUM(CD75:CD76)</f>
        <v>228</v>
      </c>
      <c r="CF77" s="397">
        <f>SUM(CF75:CF76)</f>
        <v>0</v>
      </c>
      <c r="CG77" s="397">
        <f>SUM(CG75:CG76)</f>
        <v>0</v>
      </c>
      <c r="CH77" s="397">
        <f>SUM(CH75:CH76)</f>
        <v>0</v>
      </c>
      <c r="CJ77" s="397">
        <f>SUM(CJ75:CJ76)</f>
        <v>0</v>
      </c>
      <c r="CK77" s="397">
        <f>SUM(CK75:CK76)</f>
        <v>0</v>
      </c>
      <c r="CL77" s="397">
        <f>SUM(CL75:CL76)</f>
        <v>0</v>
      </c>
      <c r="CN77" s="397">
        <f>SUM(CN75:CN76)</f>
        <v>0</v>
      </c>
      <c r="CO77" s="397">
        <f>SUM(CO75:CO76)</f>
        <v>0</v>
      </c>
      <c r="CP77" s="397">
        <f>SUM(CP75:CP76)</f>
        <v>0</v>
      </c>
      <c r="CR77" s="397">
        <f>SUM(CR75:CR76)</f>
        <v>0</v>
      </c>
      <c r="CS77" s="397">
        <f>SUM(CS75:CS76)</f>
        <v>516</v>
      </c>
      <c r="CT77" s="397">
        <f>SUM(CT75:CT76)</f>
        <v>516</v>
      </c>
      <c r="CV77" s="397">
        <f>SUM(CV75:CV76)</f>
        <v>0</v>
      </c>
      <c r="CW77" s="397">
        <f>SUM(CW75:CW76)</f>
        <v>0</v>
      </c>
      <c r="CX77" s="397">
        <f>SUM(CX75:CX76)</f>
        <v>0</v>
      </c>
      <c r="CZ77" s="397">
        <f>SUM(CZ75:CZ76)</f>
        <v>0</v>
      </c>
      <c r="DA77" s="397">
        <f>SUM(DA75:DA76)</f>
        <v>0</v>
      </c>
      <c r="DB77" s="397">
        <f>SUM(DB75:DB76)</f>
        <v>0</v>
      </c>
      <c r="DD77" s="397">
        <f>SUM(DD75:DD76)</f>
        <v>0</v>
      </c>
      <c r="DE77" s="397">
        <f>SUM(DE75:DE76)</f>
        <v>0</v>
      </c>
      <c r="DF77" s="397">
        <f>SUM(DF75:DF76)</f>
        <v>0</v>
      </c>
      <c r="DH77" s="397">
        <f>SUM(DH75:DH76)</f>
        <v>0</v>
      </c>
      <c r="DI77" s="397">
        <f>SUM(DI75:DI76)</f>
        <v>0</v>
      </c>
      <c r="DJ77" s="397">
        <f>SUM(DJ75:DJ76)</f>
        <v>0</v>
      </c>
      <c r="DL77" s="397">
        <f>SUM(DL75:DL76)</f>
        <v>0</v>
      </c>
      <c r="DM77" s="397">
        <f>SUM(DM75:DM76)</f>
        <v>0</v>
      </c>
      <c r="DN77" s="397">
        <f>SUM(DN75:DN76)</f>
        <v>0</v>
      </c>
      <c r="DP77" s="397">
        <f>SUM(DP75:DP76)</f>
        <v>0</v>
      </c>
      <c r="DQ77" s="397">
        <f>SUM(DQ75:DQ76)</f>
        <v>0</v>
      </c>
      <c r="DR77" s="397">
        <f>SUM(DR75:DR76)</f>
        <v>0</v>
      </c>
      <c r="DT77" s="451"/>
      <c r="DU77" s="451"/>
      <c r="DV77" s="451"/>
      <c r="DW77" s="451"/>
      <c r="DX77" s="451"/>
      <c r="DY77" s="451"/>
      <c r="DZ77" s="451"/>
      <c r="EA77" s="451"/>
      <c r="EB77" s="451"/>
      <c r="EC77" s="451"/>
      <c r="ED77" s="451"/>
      <c r="EE77" s="451"/>
      <c r="EF77" s="451"/>
      <c r="EG77" s="451"/>
      <c r="EH77" s="451"/>
      <c r="EI77" s="451"/>
      <c r="EJ77" s="451"/>
      <c r="EK77" s="451"/>
      <c r="EL77" s="451"/>
      <c r="EM77" s="451"/>
      <c r="EN77" s="451"/>
      <c r="EO77" s="451"/>
      <c r="EP77" s="451"/>
      <c r="EQ77" s="451"/>
      <c r="ER77" s="451"/>
      <c r="ES77" s="451"/>
      <c r="ET77" s="451"/>
      <c r="EU77" s="451"/>
      <c r="EV77" s="451"/>
      <c r="EW77" s="451"/>
      <c r="EX77" s="451"/>
      <c r="EY77" s="451"/>
      <c r="EZ77" s="451"/>
      <c r="FA77" s="451"/>
      <c r="FB77" s="451"/>
      <c r="FC77" s="451"/>
      <c r="FD77" s="451"/>
      <c r="FE77" s="451"/>
      <c r="FF77" s="451"/>
      <c r="FG77" s="451"/>
      <c r="FH77" s="451"/>
      <c r="FI77" s="451"/>
      <c r="FJ77" s="451"/>
      <c r="FK77" s="451"/>
      <c r="FL77" s="451"/>
      <c r="FM77" s="451"/>
      <c r="FN77" s="451"/>
      <c r="FO77" s="451"/>
      <c r="FP77" s="451"/>
      <c r="FQ77" s="451"/>
      <c r="FR77" s="451"/>
      <c r="FS77" s="451"/>
      <c r="FT77" s="451"/>
      <c r="FU77" s="451"/>
      <c r="FV77" s="451"/>
      <c r="FW77" s="451"/>
      <c r="FX77" s="451"/>
      <c r="FY77" s="451"/>
      <c r="FZ77" s="451"/>
      <c r="GA77" s="451"/>
      <c r="GB77" s="451"/>
      <c r="GC77" s="451"/>
      <c r="GD77" s="451"/>
      <c r="GE77" s="451"/>
      <c r="GF77" s="451"/>
      <c r="GG77" s="451"/>
      <c r="GH77" s="451"/>
      <c r="GI77" s="451"/>
      <c r="GJ77" s="451"/>
      <c r="GK77" s="451"/>
      <c r="GL77" s="451"/>
      <c r="GM77" s="451"/>
      <c r="GN77" s="451"/>
      <c r="GO77" s="451"/>
      <c r="GP77" s="451"/>
      <c r="GQ77" s="451"/>
      <c r="GR77" s="451"/>
      <c r="GS77" s="451"/>
      <c r="GT77" s="451"/>
      <c r="GU77" s="451"/>
      <c r="GV77" s="451"/>
      <c r="GW77" s="451"/>
      <c r="GX77" s="451"/>
      <c r="GY77" s="451"/>
      <c r="GZ77" s="451"/>
      <c r="HA77" s="451"/>
      <c r="HB77" s="451"/>
      <c r="HC77" s="451"/>
      <c r="HD77" s="451"/>
      <c r="HE77" s="451"/>
      <c r="HF77" s="451"/>
      <c r="HG77" s="451"/>
      <c r="HH77" s="451"/>
      <c r="HI77" s="451"/>
      <c r="HJ77" s="451"/>
      <c r="HK77" s="451"/>
      <c r="HL77" s="451"/>
      <c r="HM77" s="451"/>
      <c r="HN77" s="451"/>
      <c r="HO77" s="451"/>
      <c r="HP77" s="451"/>
      <c r="HQ77" s="451"/>
      <c r="HR77" s="451"/>
      <c r="HS77" s="451"/>
      <c r="HT77" s="451"/>
      <c r="HU77" s="451"/>
      <c r="HV77" s="451"/>
      <c r="HW77" s="451"/>
      <c r="HX77" s="451"/>
      <c r="HY77" s="451"/>
      <c r="HZ77" s="451"/>
      <c r="IA77" s="451"/>
      <c r="IB77" s="451"/>
      <c r="IC77" s="451"/>
      <c r="ID77" s="451"/>
      <c r="IE77" s="451"/>
      <c r="IF77" s="451"/>
      <c r="IG77" s="451"/>
      <c r="IH77" s="451"/>
      <c r="II77" s="451"/>
      <c r="IJ77" s="451"/>
      <c r="IK77" s="451"/>
      <c r="IL77" s="451"/>
      <c r="IM77" s="451"/>
      <c r="IN77" s="451"/>
      <c r="IO77" s="451"/>
      <c r="IP77" s="451"/>
      <c r="IQ77" s="451"/>
      <c r="IR77" s="451"/>
      <c r="IS77" s="451"/>
      <c r="IT77" s="451"/>
      <c r="IU77" s="451"/>
      <c r="IV77" s="451"/>
      <c r="IW77" s="451"/>
      <c r="IX77" s="451"/>
      <c r="IY77" s="451"/>
      <c r="IZ77" s="451"/>
      <c r="JA77" s="451"/>
      <c r="JB77" s="451"/>
      <c r="JC77" s="451"/>
      <c r="JD77" s="451"/>
    </row>
    <row r="78" spans="1:264" s="347" customFormat="1" x14ac:dyDescent="0.2">
      <c r="A78" s="444" t="s">
        <v>246</v>
      </c>
      <c r="B78" s="423"/>
      <c r="C78" s="411"/>
      <c r="D78" s="411"/>
      <c r="E78" s="411"/>
      <c r="F78" s="411"/>
      <c r="G78" s="411"/>
      <c r="H78" s="411"/>
      <c r="I78" s="411"/>
      <c r="J78" s="411"/>
      <c r="K78" s="411"/>
      <c r="L78" s="411"/>
      <c r="M78" s="411"/>
      <c r="N78" s="411"/>
      <c r="O78" s="411"/>
      <c r="P78" s="411"/>
      <c r="Q78" s="411"/>
      <c r="R78" s="411"/>
      <c r="S78" s="411"/>
      <c r="T78" s="411"/>
      <c r="U78" s="411"/>
      <c r="V78" s="411"/>
      <c r="W78" s="411"/>
      <c r="X78" s="411"/>
      <c r="Y78" s="411"/>
      <c r="Z78" s="411"/>
      <c r="AA78" s="411"/>
      <c r="AB78" s="411"/>
      <c r="AC78" s="411"/>
      <c r="AD78" s="411"/>
      <c r="AE78" s="411"/>
      <c r="AF78" s="411"/>
      <c r="AG78" s="411"/>
      <c r="AH78" s="411"/>
      <c r="AI78" s="411"/>
      <c r="AJ78" s="411"/>
      <c r="AK78" s="411"/>
      <c r="AL78" s="411"/>
      <c r="AM78" s="411"/>
      <c r="AN78" s="411"/>
      <c r="AO78" s="411"/>
      <c r="AP78" s="411"/>
      <c r="AQ78" s="411"/>
      <c r="AR78" s="411"/>
      <c r="AS78" s="411"/>
      <c r="AT78" s="411"/>
      <c r="AU78" s="411"/>
      <c r="AV78" s="411"/>
      <c r="AW78" s="411"/>
      <c r="AX78" s="411"/>
      <c r="AY78" s="411"/>
      <c r="AZ78" s="411"/>
      <c r="BA78" s="411"/>
      <c r="BB78" s="411"/>
      <c r="BC78" s="411"/>
      <c r="BD78" s="411"/>
      <c r="BE78" s="411"/>
      <c r="BF78" s="411"/>
      <c r="BG78" s="411"/>
      <c r="BH78" s="397">
        <f>+BH74-BH76-BH75</f>
        <v>10289</v>
      </c>
      <c r="BI78" s="397">
        <f>+BI74-BI76-BI75</f>
        <v>10532</v>
      </c>
      <c r="BJ78" s="397">
        <f>+BJ74-BJ76-BJ75</f>
        <v>20821</v>
      </c>
      <c r="BK78" s="423"/>
      <c r="BL78" s="397">
        <f>+BL74-BL76-BL75</f>
        <v>11148</v>
      </c>
      <c r="BM78" s="397">
        <f>+BM74-BM76-BM75</f>
        <v>11253</v>
      </c>
      <c r="BN78" s="397">
        <f>+BN74-BN76-BN75</f>
        <v>22401</v>
      </c>
      <c r="BO78" s="423"/>
      <c r="BP78" s="397">
        <f>+BP74-BP76-BP75</f>
        <v>11723</v>
      </c>
      <c r="BQ78" s="397">
        <f>+BQ74-BQ76-BQ75</f>
        <v>11855</v>
      </c>
      <c r="BR78" s="397">
        <f>+BR74-BR76-BR75</f>
        <v>23578</v>
      </c>
      <c r="BS78" s="411"/>
      <c r="BT78" s="397">
        <f>+BT74-BT76-BT75</f>
        <v>12420</v>
      </c>
      <c r="BU78" s="397">
        <f>+BU74-BU76-BU75</f>
        <v>12327</v>
      </c>
      <c r="BV78" s="397">
        <f>+BV74-BV76-BV75</f>
        <v>24747</v>
      </c>
      <c r="BW78" s="411"/>
      <c r="BX78" s="397">
        <f>+BX74-BX76-BX75</f>
        <v>12438</v>
      </c>
      <c r="BY78" s="397">
        <f>+BY74-BY76-BY75</f>
        <v>12445</v>
      </c>
      <c r="BZ78" s="397">
        <f>+BZ74-BZ76-BZ75</f>
        <v>24883</v>
      </c>
      <c r="CA78" s="411"/>
      <c r="CB78" s="397">
        <f>+CB74-CB76-CB75</f>
        <v>12558</v>
      </c>
      <c r="CC78" s="397">
        <f>+CC74-CC76-CC75</f>
        <v>12136</v>
      </c>
      <c r="CD78" s="397">
        <f>+CD74-CD76-CD75</f>
        <v>24694</v>
      </c>
      <c r="CE78" s="411"/>
      <c r="CF78" s="397">
        <f>+CF74-CF76-CF75</f>
        <v>11990</v>
      </c>
      <c r="CG78" s="397">
        <f>+CG74-CG76-CG75</f>
        <v>11589</v>
      </c>
      <c r="CH78" s="397">
        <f>+CH74-CH76-CH75</f>
        <v>23579</v>
      </c>
      <c r="CI78" s="411"/>
      <c r="CJ78" s="397">
        <f>+CJ74-CJ76-CJ75</f>
        <v>12023</v>
      </c>
      <c r="CK78" s="397">
        <f>+CK74-CK76-CK75</f>
        <v>11738</v>
      </c>
      <c r="CL78" s="397">
        <f>+CL74-CL76-CL75</f>
        <v>23761</v>
      </c>
      <c r="CM78" s="411"/>
      <c r="CN78" s="397">
        <f>+CN74-CN76-CN75</f>
        <v>11961</v>
      </c>
      <c r="CO78" s="397">
        <f>+CO74-CO76-CO75</f>
        <v>12195</v>
      </c>
      <c r="CP78" s="397">
        <f>+CP74-CP76-CP75</f>
        <v>24156</v>
      </c>
      <c r="CQ78" s="411"/>
      <c r="CR78" s="397">
        <f>+CR74-CR76-CR75</f>
        <v>12107</v>
      </c>
      <c r="CS78" s="397">
        <f>+CS74-CS76-CS75</f>
        <v>12066</v>
      </c>
      <c r="CT78" s="397">
        <f>+CT74-CT76-CT75</f>
        <v>24173</v>
      </c>
      <c r="CV78" s="397">
        <f>+CV74-CV76-CV75</f>
        <v>13623</v>
      </c>
      <c r="CW78" s="397">
        <f>+CW74-CW76-CW75</f>
        <v>13512</v>
      </c>
      <c r="CX78" s="397">
        <f>+CX74-CX76-CX75</f>
        <v>27135</v>
      </c>
      <c r="CZ78" s="397">
        <f>+CZ74-CZ76-CZ75</f>
        <v>13649</v>
      </c>
      <c r="DA78" s="397">
        <f>+DA74-DA76-DA75</f>
        <v>13525</v>
      </c>
      <c r="DB78" s="397">
        <f>+DB74-DB76-DB75</f>
        <v>27174</v>
      </c>
      <c r="DD78" s="397">
        <f>+DD74-DD76-DD75</f>
        <v>14097</v>
      </c>
      <c r="DE78" s="397">
        <f>+DE74-DE76-DE75</f>
        <v>14368</v>
      </c>
      <c r="DF78" s="397">
        <f>+DF74-DF76-DF75</f>
        <v>28465</v>
      </c>
      <c r="DH78" s="397">
        <f>+DH74-DH76-DH75</f>
        <v>15021</v>
      </c>
      <c r="DI78" s="397">
        <f>+DI74-DI76-DI75</f>
        <v>15221.786412194529</v>
      </c>
      <c r="DJ78" s="397">
        <f>+DJ74-DJ76-DJ75</f>
        <v>30242.786412194531</v>
      </c>
      <c r="DL78" s="397">
        <f>+DL74-DL76-DL75</f>
        <v>15973.425130904467</v>
      </c>
      <c r="DM78" s="397">
        <f>+DM74-DM76-DM75</f>
        <v>16037.449253626672</v>
      </c>
      <c r="DN78" s="397">
        <f>+DN74-DN76-DN75</f>
        <v>32010.87438453114</v>
      </c>
      <c r="DP78" s="397">
        <f>+DP74-DP76-DP75</f>
        <v>16651.367635972674</v>
      </c>
      <c r="DQ78" s="397">
        <f>+DQ74-DQ76-DQ75</f>
        <v>16727.137294992015</v>
      </c>
      <c r="DR78" s="397">
        <f>+DR74-DR76-DR75</f>
        <v>33378.504930964686</v>
      </c>
      <c r="DT78" s="1"/>
      <c r="DU78" s="1"/>
      <c r="DV78" s="1"/>
      <c r="DW78" s="1"/>
      <c r="DX78" s="1"/>
      <c r="DY78" s="1"/>
      <c r="DZ78" s="1"/>
      <c r="EA78" s="1"/>
      <c r="EB78" s="1"/>
      <c r="EC78" s="1"/>
      <c r="ED78" s="1"/>
      <c r="EE78" s="1"/>
      <c r="EF78" s="1"/>
      <c r="EG78" s="1"/>
      <c r="EH78" s="1"/>
      <c r="EI78" s="1"/>
      <c r="EJ78" s="1"/>
      <c r="EK78" s="1"/>
      <c r="EL78" s="1"/>
      <c r="EM78" s="1"/>
      <c r="EN78" s="1"/>
      <c r="EO78" s="1"/>
      <c r="EP78" s="1"/>
      <c r="EQ78" s="1"/>
      <c r="ER78" s="1"/>
      <c r="ES78" s="1"/>
      <c r="ET78" s="1"/>
      <c r="EU78" s="1"/>
      <c r="EV78" s="1"/>
      <c r="EW78" s="1"/>
      <c r="EX78" s="1"/>
      <c r="EY78" s="1"/>
      <c r="EZ78" s="1"/>
      <c r="FA78" s="1"/>
      <c r="FB78" s="1"/>
      <c r="FC78" s="1"/>
      <c r="FD78" s="1"/>
      <c r="FE78" s="1"/>
      <c r="FF78" s="1"/>
      <c r="FG78" s="1"/>
      <c r="FH78" s="1"/>
      <c r="FI78" s="1"/>
      <c r="FJ78" s="1"/>
      <c r="FK78" s="1"/>
      <c r="FL78" s="1"/>
      <c r="FM78" s="1"/>
      <c r="FN78" s="1"/>
      <c r="FO78" s="1"/>
      <c r="FP78" s="1"/>
      <c r="FQ78" s="1"/>
      <c r="FR78" s="1"/>
      <c r="FS78" s="1"/>
      <c r="FT78" s="1"/>
      <c r="FU78" s="1"/>
      <c r="FV78" s="1"/>
      <c r="FW78" s="1"/>
      <c r="FX78" s="1"/>
      <c r="FY78" s="1"/>
      <c r="FZ78" s="1"/>
      <c r="GA78" s="1"/>
      <c r="GB78" s="1"/>
      <c r="GC78" s="1"/>
      <c r="GD78" s="1"/>
      <c r="GE78" s="1"/>
      <c r="GF78" s="1"/>
      <c r="GG78" s="1"/>
      <c r="GH78" s="1"/>
      <c r="GI78" s="1"/>
      <c r="GJ78" s="1"/>
      <c r="GK78" s="1"/>
      <c r="GL78" s="1"/>
      <c r="GM78" s="1"/>
      <c r="GN78" s="1"/>
      <c r="GO78" s="1"/>
      <c r="GP78" s="1"/>
      <c r="GQ78" s="1"/>
      <c r="GR78" s="1"/>
      <c r="GS78" s="1"/>
      <c r="GT78" s="1"/>
      <c r="GU78" s="1"/>
      <c r="GV78" s="1"/>
      <c r="GW78" s="1"/>
      <c r="GX78" s="1"/>
      <c r="GY78" s="1"/>
      <c r="GZ78" s="1"/>
      <c r="HA78" s="1"/>
      <c r="HB78" s="1"/>
      <c r="HC78" s="1"/>
      <c r="HD78" s="1"/>
      <c r="HE78" s="1"/>
      <c r="HF78" s="1"/>
      <c r="HG78" s="1"/>
      <c r="HH78" s="1"/>
      <c r="HI78" s="1"/>
      <c r="HJ78" s="1"/>
      <c r="HK78" s="1"/>
      <c r="HL78" s="1"/>
      <c r="HM78" s="1"/>
      <c r="HN78" s="1"/>
      <c r="HO78" s="1"/>
      <c r="HP78" s="1"/>
      <c r="HQ78" s="1"/>
      <c r="HR78" s="1"/>
      <c r="HS78" s="1"/>
      <c r="HT78" s="1"/>
      <c r="HU78" s="1"/>
      <c r="HV78" s="1"/>
      <c r="HW78" s="1"/>
      <c r="HX78" s="1"/>
      <c r="HY78" s="1"/>
      <c r="HZ78" s="1"/>
      <c r="IA78" s="1"/>
      <c r="IB78" s="1"/>
      <c r="IC78" s="1"/>
      <c r="ID78" s="1"/>
      <c r="IE78" s="1"/>
      <c r="IF78" s="1"/>
      <c r="IG78" s="1"/>
      <c r="IH78" s="1"/>
      <c r="II78" s="1"/>
      <c r="IJ78" s="1"/>
      <c r="IK78" s="1"/>
      <c r="IL78" s="1"/>
      <c r="IM78" s="1"/>
      <c r="IN78" s="1"/>
      <c r="IO78" s="1"/>
      <c r="IP78" s="1"/>
      <c r="IQ78" s="1"/>
      <c r="IR78" s="1"/>
      <c r="IS78" s="1"/>
      <c r="IT78" s="1"/>
      <c r="IU78" s="1"/>
      <c r="IV78" s="1"/>
      <c r="IW78" s="1"/>
      <c r="IX78" s="1"/>
      <c r="IY78" s="1"/>
      <c r="IZ78" s="1"/>
      <c r="JA78" s="1"/>
      <c r="JB78" s="1"/>
      <c r="JC78" s="1"/>
      <c r="JD78" s="1"/>
    </row>
    <row r="79" spans="1:264" s="347" customFormat="1" x14ac:dyDescent="0.2">
      <c r="A79" s="452" t="s">
        <v>233</v>
      </c>
      <c r="B79" s="348"/>
      <c r="BH79" s="348"/>
      <c r="BI79" s="348"/>
      <c r="BJ79" s="348"/>
      <c r="BK79" s="348"/>
      <c r="BL79" s="393"/>
      <c r="BM79" s="393"/>
      <c r="BN79" s="393"/>
      <c r="BO79" s="348"/>
      <c r="BP79" s="393">
        <f>+BP78/BL78-1</f>
        <v>5.1578758521708012E-2</v>
      </c>
      <c r="BQ79" s="393">
        <f>+BQ78/BM78-1</f>
        <v>5.3496845285701644E-2</v>
      </c>
      <c r="BR79" s="393">
        <f>+BR78/BN78-1</f>
        <v>5.2542297218874268E-2</v>
      </c>
      <c r="BT79" s="393">
        <f>+BT78/BP78-1</f>
        <v>5.9455770707156796E-2</v>
      </c>
      <c r="BU79" s="393">
        <f>+BU78/BQ78-1</f>
        <v>3.9814424293546979E-2</v>
      </c>
      <c r="BV79" s="393">
        <f>+BV78/BR78-1</f>
        <v>4.9580117058274586E-2</v>
      </c>
      <c r="BX79" s="393">
        <f>+BX78/BT78-1</f>
        <v>1.4492753623187582E-3</v>
      </c>
      <c r="BY79" s="393">
        <f>+BY78/BU78-1</f>
        <v>9.5724831670316313E-3</v>
      </c>
      <c r="BZ79" s="393">
        <f>+BZ78/BV78-1</f>
        <v>5.4956156301773085E-3</v>
      </c>
      <c r="CB79" s="394">
        <f>+CB78/BX78-1</f>
        <v>9.6478533526289656E-3</v>
      </c>
      <c r="CC79" s="394">
        <f>+CC78/BY78-1</f>
        <v>-2.4829248694254735E-2</v>
      </c>
      <c r="CD79" s="394">
        <f>+CD78/BZ78-1</f>
        <v>-7.5955471607120906E-3</v>
      </c>
      <c r="CF79" s="394">
        <f>+CF78/CB78-1</f>
        <v>-4.5230132186653949E-2</v>
      </c>
      <c r="CG79" s="394">
        <f>+CG78/CC78-1</f>
        <v>-4.5072511535926174E-2</v>
      </c>
      <c r="CH79" s="394">
        <f>+CH78/CD78-1</f>
        <v>-4.5152668664452889E-2</v>
      </c>
      <c r="CJ79" s="394">
        <f>+CJ78/CF78-1</f>
        <v>2.7522935779815683E-3</v>
      </c>
      <c r="CK79" s="394">
        <f>+CK78/CG78-1</f>
        <v>1.2857019587539931E-2</v>
      </c>
      <c r="CL79" s="394">
        <f>+CL78/CH78-1</f>
        <v>7.7187327706857989E-3</v>
      </c>
      <c r="CN79" s="394">
        <f>+CN78/CJ78-1</f>
        <v>-5.1567828329035503E-3</v>
      </c>
      <c r="CO79" s="394">
        <f>+CO78/CK78-1</f>
        <v>3.8933378769807403E-2</v>
      </c>
      <c r="CP79" s="394">
        <f>+CP78/CL78-1</f>
        <v>1.6623879466352465E-2</v>
      </c>
      <c r="CR79" s="394">
        <f>+CR78/CN78-1</f>
        <v>1.2206337262770761E-2</v>
      </c>
      <c r="CS79" s="394">
        <f>+CS78/CO78-1</f>
        <v>-1.0578105781057778E-2</v>
      </c>
      <c r="CT79" s="394">
        <f>+CT78/CP78-1</f>
        <v>7.0375890048013368E-4</v>
      </c>
      <c r="CV79" s="394">
        <f>+CV78/CR78-1</f>
        <v>0.12521681671760132</v>
      </c>
      <c r="CW79" s="394">
        <f>+CW78/CS78-1</f>
        <v>0.11984087518647435</v>
      </c>
      <c r="CX79" s="394">
        <f>+CX78/CT78-1</f>
        <v>0.12253340503867949</v>
      </c>
      <c r="CZ79" s="394">
        <f>+CZ78/CV78-1</f>
        <v>1.9085370329590123E-3</v>
      </c>
      <c r="DA79" s="394">
        <f>+DA78/CW78-1</f>
        <v>9.6210775606864196E-4</v>
      </c>
      <c r="DB79" s="394">
        <f>+DB78/CX78-1</f>
        <v>1.4372581536761242E-3</v>
      </c>
      <c r="DD79" s="394">
        <f>+DD78/CZ78-1</f>
        <v>3.2822917429848442E-2</v>
      </c>
      <c r="DE79" s="394">
        <f>+DE78/DA78-1</f>
        <v>6.2329020332717144E-2</v>
      </c>
      <c r="DF79" s="394">
        <f>+DF78/DB78-1</f>
        <v>4.7508647972326568E-2</v>
      </c>
      <c r="DH79" s="394">
        <f>+DH78/DD78-1</f>
        <v>6.5545860821451418E-2</v>
      </c>
      <c r="DI79" s="393">
        <f>+DI78/DE78-1</f>
        <v>5.942277367723614E-2</v>
      </c>
      <c r="DJ79" s="393">
        <f>+DJ78/DF78-1</f>
        <v>6.2455169934815702E-2</v>
      </c>
      <c r="DL79" s="393">
        <f>+DL78/DH78-1</f>
        <v>6.3406239990977165E-2</v>
      </c>
      <c r="DM79" s="393">
        <f>+DM78/DI78-1</f>
        <v>5.358522445031122E-2</v>
      </c>
      <c r="DN79" s="393">
        <f>+DN78/DJ78-1</f>
        <v>5.846313062025521E-2</v>
      </c>
      <c r="DP79" s="393">
        <f>+DP78/DL78-1</f>
        <v>4.2441899562077223E-2</v>
      </c>
      <c r="DQ79" s="393">
        <f>+DQ78/DM78-1</f>
        <v>4.3004846372896699E-2</v>
      </c>
      <c r="DR79" s="393">
        <f>+DR78/DN78-1</f>
        <v>4.2723935935171875E-2</v>
      </c>
      <c r="DT79" s="1"/>
      <c r="DU79" s="1"/>
      <c r="DV79" s="1"/>
      <c r="DW79" s="1"/>
      <c r="DX79" s="1"/>
      <c r="DY79" s="1"/>
      <c r="DZ79" s="1"/>
      <c r="EA79" s="1"/>
      <c r="EB79" s="1"/>
      <c r="EC79" s="1"/>
      <c r="ED79" s="1"/>
      <c r="EE79" s="1"/>
      <c r="EF79" s="1"/>
      <c r="EG79" s="1"/>
      <c r="EH79" s="1"/>
      <c r="EI79" s="1"/>
      <c r="EJ79" s="1"/>
      <c r="EK79" s="1"/>
      <c r="EL79" s="1"/>
      <c r="EM79" s="1"/>
      <c r="EN79" s="1"/>
      <c r="EO79" s="1"/>
      <c r="EP79" s="1"/>
      <c r="EQ79" s="1"/>
      <c r="ER79" s="1"/>
      <c r="ES79" s="1"/>
      <c r="ET79" s="1"/>
      <c r="EU79" s="1"/>
      <c r="EV79" s="1"/>
      <c r="EW79" s="1"/>
      <c r="EX79" s="1"/>
      <c r="EY79" s="1"/>
      <c r="EZ79" s="1"/>
      <c r="FA79" s="1"/>
      <c r="FB79" s="1"/>
      <c r="FC79" s="1"/>
      <c r="FD79" s="1"/>
      <c r="FE79" s="1"/>
      <c r="FF79" s="1"/>
      <c r="FG79" s="1"/>
      <c r="FH79" s="1"/>
      <c r="FI79" s="1"/>
      <c r="FJ79" s="1"/>
      <c r="FK79" s="1"/>
      <c r="FL79" s="1"/>
      <c r="FM79" s="1"/>
      <c r="FN79" s="1"/>
      <c r="FO79" s="1"/>
      <c r="FP79" s="1"/>
      <c r="FQ79" s="1"/>
      <c r="FR79" s="1"/>
      <c r="FS79" s="1"/>
      <c r="FT79" s="1"/>
      <c r="FU79" s="1"/>
      <c r="FV79" s="1"/>
      <c r="FW79" s="1"/>
      <c r="FX79" s="1"/>
      <c r="FY79" s="1"/>
      <c r="FZ79" s="1"/>
      <c r="GA79" s="1"/>
      <c r="GB79" s="1"/>
      <c r="GC79" s="1"/>
      <c r="GD79" s="1"/>
      <c r="GE79" s="1"/>
      <c r="GF79" s="1"/>
      <c r="GG79" s="1"/>
      <c r="GH79" s="1"/>
      <c r="GI79" s="1"/>
      <c r="GJ79" s="1"/>
      <c r="GK79" s="1"/>
      <c r="GL79" s="1"/>
      <c r="GM79" s="1"/>
      <c r="GN79" s="1"/>
      <c r="GO79" s="1"/>
      <c r="GP79" s="1"/>
      <c r="GQ79" s="1"/>
      <c r="GR79" s="1"/>
      <c r="GS79" s="1"/>
      <c r="GT79" s="1"/>
      <c r="GU79" s="1"/>
      <c r="GV79" s="1"/>
      <c r="GW79" s="1"/>
      <c r="GX79" s="1"/>
      <c r="GY79" s="1"/>
      <c r="GZ79" s="1"/>
      <c r="HA79" s="1"/>
      <c r="HB79" s="1"/>
      <c r="HC79" s="1"/>
      <c r="HD79" s="1"/>
      <c r="HE79" s="1"/>
      <c r="HF79" s="1"/>
      <c r="HG79" s="1"/>
      <c r="HH79" s="1"/>
      <c r="HI79" s="1"/>
      <c r="HJ79" s="1"/>
      <c r="HK79" s="1"/>
      <c r="HL79" s="1"/>
      <c r="HM79" s="1"/>
      <c r="HN79" s="1"/>
      <c r="HO79" s="1"/>
      <c r="HP79" s="1"/>
      <c r="HQ79" s="1"/>
      <c r="HR79" s="1"/>
      <c r="HS79" s="1"/>
      <c r="HT79" s="1"/>
      <c r="HU79" s="1"/>
      <c r="HV79" s="1"/>
      <c r="HW79" s="1"/>
      <c r="HX79" s="1"/>
      <c r="HY79" s="1"/>
      <c r="HZ79" s="1"/>
      <c r="IA79" s="1"/>
      <c r="IB79" s="1"/>
      <c r="IC79" s="1"/>
      <c r="ID79" s="1"/>
      <c r="IE79" s="1"/>
      <c r="IF79" s="1"/>
      <c r="IG79" s="1"/>
      <c r="IH79" s="1"/>
      <c r="II79" s="1"/>
      <c r="IJ79" s="1"/>
      <c r="IK79" s="1"/>
      <c r="IL79" s="1"/>
      <c r="IM79" s="1"/>
      <c r="IN79" s="1"/>
      <c r="IO79" s="1"/>
      <c r="IP79" s="1"/>
      <c r="IQ79" s="1"/>
      <c r="IR79" s="1"/>
      <c r="IS79" s="1"/>
      <c r="IT79" s="1"/>
      <c r="IU79" s="1"/>
      <c r="IV79" s="1"/>
      <c r="IW79" s="1"/>
      <c r="IX79" s="1"/>
      <c r="IY79" s="1"/>
      <c r="IZ79" s="1"/>
      <c r="JA79" s="1"/>
      <c r="JB79" s="1"/>
      <c r="JC79" s="1"/>
      <c r="JD79" s="1"/>
    </row>
    <row r="80" spans="1:264" s="347" customFormat="1" x14ac:dyDescent="0.2">
      <c r="A80" s="435"/>
      <c r="B80" s="348"/>
      <c r="BH80" s="348"/>
      <c r="BI80" s="348"/>
      <c r="BJ80" s="348"/>
      <c r="BK80" s="348"/>
      <c r="BL80" s="348"/>
      <c r="BO80" s="348"/>
      <c r="BP80" s="348"/>
      <c r="BT80" s="348"/>
      <c r="BX80" s="348"/>
      <c r="CB80" s="348"/>
      <c r="CC80" s="348"/>
      <c r="CF80" s="348"/>
      <c r="CG80" s="348"/>
      <c r="CJ80" s="348"/>
      <c r="CK80" s="348"/>
      <c r="CN80" s="348"/>
      <c r="CO80" s="348"/>
      <c r="CQ80" s="413"/>
      <c r="CR80" s="348"/>
      <c r="CS80" s="348"/>
      <c r="CV80" s="348"/>
      <c r="CW80" s="348"/>
      <c r="CZ80" s="348"/>
      <c r="DA80" s="348"/>
      <c r="DD80" s="348"/>
      <c r="DE80" s="348"/>
      <c r="DH80" s="348"/>
      <c r="DL80" s="348"/>
      <c r="DP80" s="348"/>
      <c r="DT80" s="1"/>
      <c r="DU80" s="1"/>
      <c r="DV80" s="1"/>
      <c r="DW80" s="1"/>
      <c r="DX80" s="1"/>
      <c r="DY80" s="1"/>
      <c r="DZ80" s="1"/>
      <c r="EA80" s="1"/>
      <c r="EB80" s="1"/>
      <c r="EC80" s="1"/>
      <c r="ED80" s="1"/>
      <c r="EE80" s="1"/>
      <c r="EF80" s="1"/>
      <c r="EG80" s="1"/>
      <c r="EH80" s="1"/>
      <c r="EI80" s="1"/>
      <c r="EJ80" s="1"/>
      <c r="EK80" s="1"/>
      <c r="EL80" s="1"/>
      <c r="EM80" s="1"/>
      <c r="EN80" s="1"/>
      <c r="EO80" s="1"/>
      <c r="EP80" s="1"/>
      <c r="EQ80" s="1"/>
      <c r="ER80" s="1"/>
      <c r="ES80" s="1"/>
      <c r="ET80" s="1"/>
      <c r="EU80" s="1"/>
      <c r="EV80" s="1"/>
      <c r="EW80" s="1"/>
      <c r="EX80" s="1"/>
      <c r="EY80" s="1"/>
      <c r="EZ80" s="1"/>
      <c r="FA80" s="1"/>
      <c r="FB80" s="1"/>
      <c r="FC80" s="1"/>
      <c r="FD80" s="1"/>
      <c r="FE80" s="1"/>
      <c r="FF80" s="1"/>
      <c r="FG80" s="1"/>
      <c r="FH80" s="1"/>
      <c r="FI80" s="1"/>
      <c r="FJ80" s="1"/>
      <c r="FK80" s="1"/>
      <c r="FL80" s="1"/>
      <c r="FM80" s="1"/>
      <c r="FN80" s="1"/>
      <c r="FO80" s="1"/>
      <c r="FP80" s="1"/>
      <c r="FQ80" s="1"/>
      <c r="FR80" s="1"/>
      <c r="FS80" s="1"/>
      <c r="FT80" s="1"/>
      <c r="FU80" s="1"/>
      <c r="FV80" s="1"/>
      <c r="FW80" s="1"/>
      <c r="FX80" s="1"/>
      <c r="FY80" s="1"/>
      <c r="FZ80" s="1"/>
      <c r="GA80" s="1"/>
      <c r="GB80" s="1"/>
      <c r="GC80" s="1"/>
      <c r="GD80" s="1"/>
      <c r="GE80" s="1"/>
      <c r="GF80" s="1"/>
      <c r="GG80" s="1"/>
      <c r="GH80" s="1"/>
      <c r="GI80" s="1"/>
      <c r="GJ80" s="1"/>
      <c r="GK80" s="1"/>
      <c r="GL80" s="1"/>
      <c r="GM80" s="1"/>
      <c r="GN80" s="1"/>
      <c r="GO80" s="1"/>
      <c r="GP80" s="1"/>
      <c r="GQ80" s="1"/>
      <c r="GR80" s="1"/>
      <c r="GS80" s="1"/>
      <c r="GT80" s="1"/>
      <c r="GU80" s="1"/>
      <c r="GV80" s="1"/>
      <c r="GW80" s="1"/>
      <c r="GX80" s="1"/>
      <c r="GY80" s="1"/>
      <c r="GZ80" s="1"/>
      <c r="HA80" s="1"/>
      <c r="HB80" s="1"/>
      <c r="HC80" s="1"/>
      <c r="HD80" s="1"/>
      <c r="HE80" s="1"/>
      <c r="HF80" s="1"/>
      <c r="HG80" s="1"/>
      <c r="HH80" s="1"/>
      <c r="HI80" s="1"/>
      <c r="HJ80" s="1"/>
      <c r="HK80" s="1"/>
      <c r="HL80" s="1"/>
      <c r="HM80" s="1"/>
      <c r="HN80" s="1"/>
      <c r="HO80" s="1"/>
      <c r="HP80" s="1"/>
      <c r="HQ80" s="1"/>
      <c r="HR80" s="1"/>
      <c r="HS80" s="1"/>
      <c r="HT80" s="1"/>
      <c r="HU80" s="1"/>
      <c r="HV80" s="1"/>
      <c r="HW80" s="1"/>
      <c r="HX80" s="1"/>
      <c r="HY80" s="1"/>
      <c r="HZ80" s="1"/>
      <c r="IA80" s="1"/>
      <c r="IB80" s="1"/>
      <c r="IC80" s="1"/>
      <c r="ID80" s="1"/>
      <c r="IE80" s="1"/>
      <c r="IF80" s="1"/>
      <c r="IG80" s="1"/>
      <c r="IH80" s="1"/>
      <c r="II80" s="1"/>
      <c r="IJ80" s="1"/>
      <c r="IK80" s="1"/>
      <c r="IL80" s="1"/>
      <c r="IM80" s="1"/>
      <c r="IN80" s="1"/>
      <c r="IO80" s="1"/>
      <c r="IP80" s="1"/>
      <c r="IQ80" s="1"/>
      <c r="IR80" s="1"/>
      <c r="IS80" s="1"/>
      <c r="IT80" s="1"/>
      <c r="IU80" s="1"/>
      <c r="IV80" s="1"/>
      <c r="IW80" s="1"/>
      <c r="IX80" s="1"/>
      <c r="IY80" s="1"/>
      <c r="IZ80" s="1"/>
      <c r="JA80" s="1"/>
      <c r="JB80" s="1"/>
      <c r="JC80" s="1"/>
      <c r="JD80" s="1"/>
    </row>
    <row r="81" spans="1:264" s="411" customFormat="1" x14ac:dyDescent="0.2">
      <c r="A81" s="444" t="s">
        <v>247</v>
      </c>
      <c r="B81" s="423"/>
      <c r="BH81" s="423"/>
      <c r="BI81" s="423"/>
      <c r="BJ81" s="423"/>
      <c r="BK81" s="423"/>
      <c r="BL81" s="423"/>
      <c r="BO81" s="423"/>
      <c r="BP81" s="423"/>
      <c r="BT81" s="423"/>
      <c r="BX81" s="397">
        <f>BX83-BX87</f>
        <v>-5474</v>
      </c>
      <c r="BY81" s="397">
        <f>BY83-BY87</f>
        <v>-5148</v>
      </c>
      <c r="BZ81" s="397">
        <f>BZ83-BZ87</f>
        <v>-10622</v>
      </c>
      <c r="CB81" s="397">
        <f>CB83-CB87</f>
        <v>-4971</v>
      </c>
      <c r="CC81" s="397">
        <f>CC83-CC87</f>
        <v>-5169</v>
      </c>
      <c r="CD81" s="397">
        <f>CD83-CD87</f>
        <v>-10140</v>
      </c>
      <c r="CF81" s="397">
        <f>CF83-CF87</f>
        <v>-4830</v>
      </c>
      <c r="CG81" s="397">
        <f>CG83-CG87</f>
        <v>-5159</v>
      </c>
      <c r="CH81" s="397">
        <f>CH83-CH87</f>
        <v>-9989</v>
      </c>
      <c r="CJ81" s="397">
        <f>CJ83-CJ87</f>
        <v>-5257</v>
      </c>
      <c r="CK81" s="397">
        <f>CK83-CK87</f>
        <v>-5278</v>
      </c>
      <c r="CL81" s="397">
        <f>CL83-CL87</f>
        <v>-10535</v>
      </c>
      <c r="CN81" s="397">
        <f>CN83-CN87</f>
        <v>-5349</v>
      </c>
      <c r="CO81" s="397">
        <f>CO83-CO87</f>
        <v>-5435</v>
      </c>
      <c r="CP81" s="397">
        <f>CP83-CP87</f>
        <v>-10784</v>
      </c>
      <c r="CQ81" s="453"/>
      <c r="CR81" s="397">
        <f>CR83-CR87</f>
        <v>-5397</v>
      </c>
      <c r="CS81" s="397">
        <f>CS83-CS87</f>
        <v>-5780</v>
      </c>
      <c r="CT81" s="397">
        <f>CT83-CT87</f>
        <v>-11177</v>
      </c>
      <c r="CV81" s="397">
        <f>CV83-CV87</f>
        <v>-5636</v>
      </c>
      <c r="CW81" s="397">
        <f>CW83-CW87</f>
        <v>-6085</v>
      </c>
      <c r="CX81" s="397">
        <f>CX83-CX87</f>
        <v>-11858</v>
      </c>
      <c r="CZ81" s="397">
        <f>CZ83-CZ87</f>
        <v>-6011</v>
      </c>
      <c r="DA81" s="397">
        <f>DA83-DA87</f>
        <v>-6207</v>
      </c>
      <c r="DB81" s="397">
        <f>DB83-DB87</f>
        <v>-12218</v>
      </c>
      <c r="DD81" s="397">
        <f>DD83-DD87</f>
        <v>-6372</v>
      </c>
      <c r="DE81" s="397">
        <f>DE83-DE87</f>
        <v>-6539</v>
      </c>
      <c r="DF81" s="397">
        <f>DF83-DF87</f>
        <v>-12911</v>
      </c>
      <c r="DH81" s="397">
        <f>DH83-DH87</f>
        <v>-6720</v>
      </c>
      <c r="DI81" s="397">
        <f>DI83-DI87</f>
        <v>-6790.2006014272984</v>
      </c>
      <c r="DJ81" s="397">
        <f>DJ83-DJ87</f>
        <v>-13510.200601427299</v>
      </c>
      <c r="DL81" s="397">
        <f>DL83-DL87</f>
        <v>-7001.0985366253462</v>
      </c>
      <c r="DM81" s="397">
        <f>DM83-DM87</f>
        <v>-7072.4476853043052</v>
      </c>
      <c r="DN81" s="397">
        <f>DN83-DN87</f>
        <v>-14073.546221929651</v>
      </c>
      <c r="DP81" s="397">
        <f>DP83-DP87</f>
        <v>-7290.0077743019428</v>
      </c>
      <c r="DQ81" s="397">
        <f>DQ83-DQ87</f>
        <v>-7382.2091061050687</v>
      </c>
      <c r="DR81" s="397">
        <f>DR83-DR87</f>
        <v>-14672.21688040701</v>
      </c>
      <c r="DT81" s="451"/>
      <c r="DU81" s="451"/>
      <c r="DV81" s="451"/>
      <c r="DW81" s="451"/>
      <c r="DX81" s="451"/>
      <c r="DY81" s="451"/>
      <c r="DZ81" s="451"/>
      <c r="EA81" s="451"/>
      <c r="EB81" s="451"/>
      <c r="EC81" s="451"/>
      <c r="ED81" s="451"/>
      <c r="EE81" s="451"/>
      <c r="EF81" s="451"/>
      <c r="EG81" s="451"/>
      <c r="EH81" s="451"/>
      <c r="EI81" s="451"/>
      <c r="EJ81" s="451"/>
      <c r="EK81" s="451"/>
      <c r="EL81" s="451"/>
      <c r="EM81" s="451"/>
      <c r="EN81" s="451"/>
      <c r="EO81" s="451"/>
      <c r="EP81" s="451"/>
      <c r="EQ81" s="451"/>
      <c r="ER81" s="451"/>
      <c r="ES81" s="451"/>
      <c r="ET81" s="451"/>
      <c r="EU81" s="451"/>
      <c r="EV81" s="451"/>
      <c r="EW81" s="451"/>
      <c r="EX81" s="451"/>
      <c r="EY81" s="451"/>
      <c r="EZ81" s="451"/>
      <c r="FA81" s="451"/>
      <c r="FB81" s="451"/>
      <c r="FC81" s="451"/>
      <c r="FD81" s="451"/>
      <c r="FE81" s="451"/>
      <c r="FF81" s="451"/>
      <c r="FG81" s="451"/>
      <c r="FH81" s="451"/>
      <c r="FI81" s="451"/>
      <c r="FJ81" s="451"/>
      <c r="FK81" s="451"/>
      <c r="FL81" s="451"/>
      <c r="FM81" s="451"/>
      <c r="FN81" s="451"/>
      <c r="FO81" s="451"/>
      <c r="FP81" s="451"/>
      <c r="FQ81" s="451"/>
      <c r="FR81" s="451"/>
      <c r="FS81" s="451"/>
      <c r="FT81" s="451"/>
      <c r="FU81" s="451"/>
      <c r="FV81" s="451"/>
      <c r="FW81" s="451"/>
      <c r="FX81" s="451"/>
      <c r="FY81" s="451"/>
      <c r="FZ81" s="451"/>
      <c r="GA81" s="451"/>
      <c r="GB81" s="451"/>
      <c r="GC81" s="451"/>
      <c r="GD81" s="451"/>
      <c r="GE81" s="451"/>
      <c r="GF81" s="451"/>
      <c r="GG81" s="451"/>
      <c r="GH81" s="451"/>
      <c r="GI81" s="451"/>
      <c r="GJ81" s="451"/>
      <c r="GK81" s="451"/>
      <c r="GL81" s="451"/>
      <c r="GM81" s="451"/>
      <c r="GN81" s="451"/>
      <c r="GO81" s="451"/>
      <c r="GP81" s="451"/>
      <c r="GQ81" s="451"/>
      <c r="GR81" s="451"/>
      <c r="GS81" s="451"/>
      <c r="GT81" s="451"/>
      <c r="GU81" s="451"/>
      <c r="GV81" s="451"/>
      <c r="GW81" s="451"/>
      <c r="GX81" s="451"/>
      <c r="GY81" s="451"/>
      <c r="GZ81" s="451"/>
      <c r="HA81" s="451"/>
      <c r="HB81" s="451"/>
      <c r="HC81" s="451"/>
      <c r="HD81" s="451"/>
      <c r="HE81" s="451"/>
      <c r="HF81" s="451"/>
      <c r="HG81" s="451"/>
      <c r="HH81" s="451"/>
      <c r="HI81" s="451"/>
      <c r="HJ81" s="451"/>
      <c r="HK81" s="451"/>
      <c r="HL81" s="451"/>
      <c r="HM81" s="451"/>
      <c r="HN81" s="451"/>
      <c r="HO81" s="451"/>
      <c r="HP81" s="451"/>
      <c r="HQ81" s="451"/>
      <c r="HR81" s="451"/>
      <c r="HS81" s="451"/>
      <c r="HT81" s="451"/>
      <c r="HU81" s="451"/>
      <c r="HV81" s="451"/>
      <c r="HW81" s="451"/>
      <c r="HX81" s="451"/>
      <c r="HY81" s="451"/>
      <c r="HZ81" s="451"/>
      <c r="IA81" s="451"/>
      <c r="IB81" s="451"/>
      <c r="IC81" s="451"/>
      <c r="ID81" s="451"/>
      <c r="IE81" s="451"/>
      <c r="IF81" s="451"/>
      <c r="IG81" s="451"/>
      <c r="IH81" s="451"/>
      <c r="II81" s="451"/>
      <c r="IJ81" s="451"/>
      <c r="IK81" s="451"/>
      <c r="IL81" s="451"/>
      <c r="IM81" s="451"/>
      <c r="IN81" s="451"/>
      <c r="IO81" s="451"/>
      <c r="IP81" s="451"/>
      <c r="IQ81" s="451"/>
      <c r="IR81" s="451"/>
      <c r="IS81" s="451"/>
      <c r="IT81" s="451"/>
      <c r="IU81" s="451"/>
      <c r="IV81" s="451"/>
      <c r="IW81" s="451"/>
      <c r="IX81" s="451"/>
      <c r="IY81" s="451"/>
      <c r="IZ81" s="451"/>
      <c r="JA81" s="451"/>
      <c r="JB81" s="451"/>
      <c r="JC81" s="451"/>
      <c r="JD81" s="451"/>
    </row>
    <row r="83" spans="1:264" s="411" customFormat="1" x14ac:dyDescent="0.2">
      <c r="A83" s="444" t="s">
        <v>249</v>
      </c>
      <c r="B83" s="423"/>
      <c r="BH83" s="397">
        <f>BH30</f>
        <v>-4467</v>
      </c>
      <c r="BI83" s="397">
        <f>BI30</f>
        <v>-4543</v>
      </c>
      <c r="BJ83" s="397">
        <f>BJ30</f>
        <v>-9010</v>
      </c>
      <c r="BK83" s="423"/>
      <c r="BL83" s="397">
        <f>BL30</f>
        <v>-4751</v>
      </c>
      <c r="BM83" s="397">
        <f>BM30</f>
        <v>-4748</v>
      </c>
      <c r="BN83" s="397">
        <f>BN30</f>
        <v>-9499</v>
      </c>
      <c r="BO83" s="423"/>
      <c r="BP83" s="397">
        <f>BP30</f>
        <v>-4914</v>
      </c>
      <c r="BQ83" s="397">
        <f>BQ30</f>
        <v>-5079</v>
      </c>
      <c r="BR83" s="397">
        <f>BR30</f>
        <v>-9993</v>
      </c>
      <c r="BT83" s="397">
        <f>BT30</f>
        <v>-5210</v>
      </c>
      <c r="BU83" s="397">
        <f>BU30</f>
        <v>-5224</v>
      </c>
      <c r="BV83" s="397">
        <f>BV30</f>
        <v>-10434</v>
      </c>
      <c r="BX83" s="397">
        <f>BX30</f>
        <v>-5474</v>
      </c>
      <c r="BY83" s="397">
        <f>BY30</f>
        <v>-5148</v>
      </c>
      <c r="BZ83" s="397">
        <f>BZ30</f>
        <v>-10622</v>
      </c>
      <c r="CB83" s="397">
        <f>CB30</f>
        <v>-5456</v>
      </c>
      <c r="CC83" s="397">
        <f>CC30</f>
        <v>-5539</v>
      </c>
      <c r="CD83" s="397">
        <f>CD30</f>
        <v>-10995</v>
      </c>
      <c r="CF83" s="397">
        <f>CF30</f>
        <v>-5066</v>
      </c>
      <c r="CG83" s="397">
        <f>CG30</f>
        <v>-5758</v>
      </c>
      <c r="CH83" s="397">
        <f>CH30</f>
        <v>-10824</v>
      </c>
      <c r="CJ83" s="397">
        <f>CJ30</f>
        <v>-5257</v>
      </c>
      <c r="CK83" s="397">
        <f>CK30</f>
        <v>-5739</v>
      </c>
      <c r="CL83" s="397">
        <f>CL30</f>
        <v>-10996</v>
      </c>
      <c r="CN83" s="397">
        <f>CN30</f>
        <v>-5591</v>
      </c>
      <c r="CO83" s="397">
        <f>CO30</f>
        <v>-5768</v>
      </c>
      <c r="CP83" s="397">
        <f>CP30</f>
        <v>-11359</v>
      </c>
      <c r="CR83" s="397">
        <f>CR30</f>
        <v>-5490</v>
      </c>
      <c r="CS83" s="397">
        <f>CS30</f>
        <v>-5938</v>
      </c>
      <c r="CT83" s="397">
        <f>CT30</f>
        <v>-11428</v>
      </c>
      <c r="CV83" s="397">
        <f>CV30</f>
        <v>-5773</v>
      </c>
      <c r="CW83" s="397">
        <f>CW30</f>
        <v>-6085</v>
      </c>
      <c r="CX83" s="397">
        <f>CX30</f>
        <v>-11858</v>
      </c>
      <c r="CZ83" s="397">
        <f>CZ30</f>
        <v>-6011</v>
      </c>
      <c r="DA83" s="397">
        <f>DA30</f>
        <v>-6207</v>
      </c>
      <c r="DB83" s="397">
        <f>DB30</f>
        <v>-12218</v>
      </c>
      <c r="DD83" s="397">
        <f>DD30</f>
        <v>-6372</v>
      </c>
      <c r="DE83" s="397">
        <f>DE30</f>
        <v>-6624</v>
      </c>
      <c r="DF83" s="397">
        <f>DF30</f>
        <v>-12996</v>
      </c>
      <c r="DH83" s="397">
        <f>DH30</f>
        <v>-6890</v>
      </c>
      <c r="DI83" s="397">
        <f>DI30</f>
        <v>-6790.2006014272984</v>
      </c>
      <c r="DJ83" s="397">
        <f>DJ30</f>
        <v>-13680.200601427299</v>
      </c>
      <c r="DL83" s="397">
        <f>DL30</f>
        <v>-7001.0985366253462</v>
      </c>
      <c r="DM83" s="397">
        <f>DM30</f>
        <v>-7072.4476853043052</v>
      </c>
      <c r="DN83" s="397">
        <f>DN30</f>
        <v>-14073.546221929651</v>
      </c>
      <c r="DP83" s="397">
        <f>DP30</f>
        <v>-7290.0077743019428</v>
      </c>
      <c r="DQ83" s="397">
        <f>DQ30</f>
        <v>-7382.2091061050687</v>
      </c>
      <c r="DR83" s="397">
        <f>DR30</f>
        <v>-14672.21688040701</v>
      </c>
      <c r="DT83" s="451"/>
      <c r="DU83" s="451"/>
      <c r="DV83" s="451"/>
      <c r="DW83" s="451"/>
      <c r="DX83" s="451"/>
      <c r="DY83" s="451"/>
      <c r="DZ83" s="451"/>
      <c r="EA83" s="451"/>
      <c r="EB83" s="451"/>
      <c r="EC83" s="451"/>
      <c r="ED83" s="451"/>
      <c r="EE83" s="451"/>
      <c r="EF83" s="451"/>
      <c r="EG83" s="451"/>
      <c r="EH83" s="451"/>
      <c r="EI83" s="451"/>
      <c r="EJ83" s="451"/>
      <c r="EK83" s="451"/>
      <c r="EL83" s="451"/>
      <c r="EM83" s="451"/>
      <c r="EN83" s="451"/>
      <c r="EO83" s="451"/>
      <c r="EP83" s="451"/>
      <c r="EQ83" s="451"/>
      <c r="ER83" s="451"/>
      <c r="ES83" s="451"/>
      <c r="ET83" s="451"/>
      <c r="EU83" s="451"/>
      <c r="EV83" s="451"/>
      <c r="EW83" s="451"/>
      <c r="EX83" s="451"/>
      <c r="EY83" s="451"/>
      <c r="EZ83" s="451"/>
      <c r="FA83" s="451"/>
      <c r="FB83" s="451"/>
      <c r="FC83" s="451"/>
      <c r="FD83" s="451"/>
      <c r="FE83" s="451"/>
      <c r="FF83" s="451"/>
      <c r="FG83" s="451"/>
      <c r="FH83" s="451"/>
      <c r="FI83" s="451"/>
      <c r="FJ83" s="451"/>
      <c r="FK83" s="451"/>
      <c r="FL83" s="451"/>
      <c r="FM83" s="451"/>
      <c r="FN83" s="451"/>
      <c r="FO83" s="451"/>
      <c r="FP83" s="451"/>
      <c r="FQ83" s="451"/>
      <c r="FR83" s="451"/>
      <c r="FS83" s="451"/>
      <c r="FT83" s="451"/>
      <c r="FU83" s="451"/>
      <c r="FV83" s="451"/>
      <c r="FW83" s="451"/>
      <c r="FX83" s="451"/>
      <c r="FY83" s="451"/>
      <c r="FZ83" s="451"/>
      <c r="GA83" s="451"/>
      <c r="GB83" s="451"/>
      <c r="GC83" s="451"/>
      <c r="GD83" s="451"/>
      <c r="GE83" s="451"/>
      <c r="GF83" s="451"/>
      <c r="GG83" s="451"/>
      <c r="GH83" s="451"/>
      <c r="GI83" s="451"/>
      <c r="GJ83" s="451"/>
      <c r="GK83" s="451"/>
      <c r="GL83" s="451"/>
      <c r="GM83" s="451"/>
      <c r="GN83" s="451"/>
      <c r="GO83" s="451"/>
      <c r="GP83" s="451"/>
      <c r="GQ83" s="451"/>
      <c r="GR83" s="451"/>
      <c r="GS83" s="451"/>
      <c r="GT83" s="451"/>
      <c r="GU83" s="451"/>
      <c r="GV83" s="451"/>
      <c r="GW83" s="451"/>
      <c r="GX83" s="451"/>
      <c r="GY83" s="451"/>
      <c r="GZ83" s="451"/>
      <c r="HA83" s="451"/>
      <c r="HB83" s="451"/>
      <c r="HC83" s="451"/>
      <c r="HD83" s="451"/>
      <c r="HE83" s="451"/>
      <c r="HF83" s="451"/>
      <c r="HG83" s="451"/>
      <c r="HH83" s="451"/>
      <c r="HI83" s="451"/>
      <c r="HJ83" s="451"/>
      <c r="HK83" s="451"/>
      <c r="HL83" s="451"/>
      <c r="HM83" s="451"/>
      <c r="HN83" s="451"/>
      <c r="HO83" s="451"/>
      <c r="HP83" s="451"/>
      <c r="HQ83" s="451"/>
      <c r="HR83" s="451"/>
      <c r="HS83" s="451"/>
      <c r="HT83" s="451"/>
      <c r="HU83" s="451"/>
      <c r="HV83" s="451"/>
      <c r="HW83" s="451"/>
      <c r="HX83" s="451"/>
      <c r="HY83" s="451"/>
      <c r="HZ83" s="451"/>
      <c r="IA83" s="451"/>
      <c r="IB83" s="451"/>
      <c r="IC83" s="451"/>
      <c r="ID83" s="451"/>
      <c r="IE83" s="451"/>
      <c r="IF83" s="451"/>
      <c r="IG83" s="451"/>
      <c r="IH83" s="451"/>
      <c r="II83" s="451"/>
      <c r="IJ83" s="451"/>
      <c r="IK83" s="451"/>
      <c r="IL83" s="451"/>
      <c r="IM83" s="451"/>
      <c r="IN83" s="451"/>
      <c r="IO83" s="451"/>
      <c r="IP83" s="451"/>
      <c r="IQ83" s="451"/>
      <c r="IR83" s="451"/>
      <c r="IS83" s="451"/>
      <c r="IT83" s="451"/>
      <c r="IU83" s="451"/>
      <c r="IV83" s="451"/>
      <c r="IW83" s="451"/>
      <c r="IX83" s="451"/>
      <c r="IY83" s="451"/>
      <c r="IZ83" s="451"/>
      <c r="JA83" s="451"/>
      <c r="JB83" s="451"/>
      <c r="JC83" s="451"/>
      <c r="JD83" s="451"/>
    </row>
    <row r="84" spans="1:264" s="347" customFormat="1" x14ac:dyDescent="0.2">
      <c r="A84" s="445" t="s">
        <v>243</v>
      </c>
      <c r="B84" s="446"/>
      <c r="C84" s="447"/>
      <c r="D84" s="447"/>
      <c r="E84" s="447"/>
      <c r="F84" s="447"/>
      <c r="G84" s="447"/>
      <c r="H84" s="447"/>
      <c r="I84" s="447"/>
      <c r="J84" s="447"/>
      <c r="K84" s="447"/>
      <c r="L84" s="447"/>
      <c r="M84" s="447"/>
      <c r="N84" s="447"/>
      <c r="O84" s="447"/>
      <c r="P84" s="447"/>
      <c r="Q84" s="447"/>
      <c r="R84" s="447"/>
      <c r="S84" s="447"/>
      <c r="T84" s="447"/>
      <c r="U84" s="447"/>
      <c r="V84" s="447"/>
      <c r="W84" s="447"/>
      <c r="X84" s="447"/>
      <c r="Y84" s="447"/>
      <c r="Z84" s="447"/>
      <c r="AA84" s="447"/>
      <c r="AB84" s="447"/>
      <c r="AC84" s="447"/>
      <c r="AD84" s="447"/>
      <c r="AE84" s="447"/>
      <c r="AF84" s="447"/>
      <c r="AG84" s="447"/>
      <c r="AH84" s="447"/>
      <c r="AI84" s="447"/>
      <c r="AJ84" s="447"/>
      <c r="AK84" s="447"/>
      <c r="AL84" s="447"/>
      <c r="AM84" s="447"/>
      <c r="AN84" s="447"/>
      <c r="AO84" s="447"/>
      <c r="AP84" s="447"/>
      <c r="AQ84" s="447"/>
      <c r="AR84" s="447"/>
      <c r="AS84" s="447"/>
      <c r="AT84" s="447"/>
      <c r="AU84" s="447"/>
      <c r="AV84" s="447"/>
      <c r="AW84" s="447"/>
      <c r="AX84" s="447"/>
      <c r="AY84" s="447"/>
      <c r="AZ84" s="447"/>
      <c r="BA84" s="447"/>
      <c r="BB84" s="447"/>
      <c r="BC84" s="447"/>
      <c r="BD84" s="447"/>
      <c r="BE84" s="447"/>
      <c r="BF84" s="447"/>
      <c r="BG84" s="447"/>
      <c r="BH84" s="448">
        <v>0</v>
      </c>
      <c r="BI84" s="448">
        <v>0</v>
      </c>
      <c r="BJ84" s="449">
        <f>+BH84+BI84</f>
        <v>0</v>
      </c>
      <c r="BK84" s="446"/>
      <c r="BL84" s="448">
        <v>0</v>
      </c>
      <c r="BM84" s="448">
        <v>0</v>
      </c>
      <c r="BN84" s="449">
        <f>+BL84+BM84</f>
        <v>0</v>
      </c>
      <c r="BO84" s="446"/>
      <c r="BP84" s="448">
        <v>0</v>
      </c>
      <c r="BQ84" s="448">
        <v>0</v>
      </c>
      <c r="BR84" s="449">
        <f>+BP84+BQ84</f>
        <v>0</v>
      </c>
      <c r="BS84" s="447"/>
      <c r="BT84" s="448">
        <v>0</v>
      </c>
      <c r="BU84" s="448">
        <v>0</v>
      </c>
      <c r="BV84" s="449">
        <f>+BT84+BU84</f>
        <v>0</v>
      </c>
      <c r="BW84" s="447"/>
      <c r="BX84" s="450">
        <v>-393</v>
      </c>
      <c r="BY84" s="448">
        <v>0</v>
      </c>
      <c r="BZ84" s="449">
        <f>+BX84+BY84</f>
        <v>-393</v>
      </c>
      <c r="CA84" s="447"/>
      <c r="CB84" s="450">
        <v>0</v>
      </c>
      <c r="CC84" s="448">
        <v>0</v>
      </c>
      <c r="CD84" s="449">
        <f>+CB84+CC84</f>
        <v>0</v>
      </c>
      <c r="CE84" s="447"/>
      <c r="CF84" s="450">
        <v>0</v>
      </c>
      <c r="CG84" s="448">
        <v>0</v>
      </c>
      <c r="CH84" s="449">
        <f>+CF84+CG84</f>
        <v>0</v>
      </c>
      <c r="CI84" s="447"/>
      <c r="CJ84" s="450">
        <v>0</v>
      </c>
      <c r="CK84" s="448">
        <v>0</v>
      </c>
      <c r="CL84" s="449">
        <f>+CJ84+CK84</f>
        <v>0</v>
      </c>
      <c r="CM84" s="447"/>
      <c r="CN84" s="450">
        <v>0</v>
      </c>
      <c r="CO84" s="448">
        <v>0</v>
      </c>
      <c r="CP84" s="449">
        <f>+CN84+CO84</f>
        <v>0</v>
      </c>
      <c r="CQ84" s="447"/>
      <c r="CR84" s="450">
        <v>0</v>
      </c>
      <c r="CS84" s="448">
        <v>-389</v>
      </c>
      <c r="CT84" s="449">
        <f>+CR84+CS84</f>
        <v>-389</v>
      </c>
      <c r="CU84" s="447"/>
      <c r="CV84" s="448">
        <v>0</v>
      </c>
      <c r="CW84" s="448">
        <v>-212</v>
      </c>
      <c r="CX84" s="449">
        <f>+CV84+CW84</f>
        <v>-212</v>
      </c>
      <c r="CY84" s="447"/>
      <c r="CZ84" s="448">
        <v>0</v>
      </c>
      <c r="DA84" s="448">
        <v>-89</v>
      </c>
      <c r="DB84" s="449">
        <f>+CZ84+DA84</f>
        <v>-89</v>
      </c>
      <c r="DC84" s="447"/>
      <c r="DD84" s="448">
        <v>0</v>
      </c>
      <c r="DE84" s="448">
        <v>-45</v>
      </c>
      <c r="DF84" s="449">
        <f>+DD84+DE84</f>
        <v>-45</v>
      </c>
      <c r="DG84" s="447"/>
      <c r="DH84" s="448">
        <v>0</v>
      </c>
      <c r="DI84" s="449">
        <f>DI827</f>
        <v>-50</v>
      </c>
      <c r="DJ84" s="449">
        <f>+DH84+DI84</f>
        <v>-50</v>
      </c>
      <c r="DK84" s="447"/>
      <c r="DL84" s="449">
        <f t="shared" ref="DL84:DM84" si="68">DL827</f>
        <v>0</v>
      </c>
      <c r="DM84" s="449">
        <f t="shared" si="68"/>
        <v>-50</v>
      </c>
      <c r="DN84" s="449">
        <f>+DL84+DM84</f>
        <v>-50</v>
      </c>
      <c r="DO84" s="447"/>
      <c r="DP84" s="449">
        <f t="shared" ref="DP84:DQ84" si="69">DP827</f>
        <v>0</v>
      </c>
      <c r="DQ84" s="449">
        <f t="shared" si="69"/>
        <v>-50</v>
      </c>
      <c r="DR84" s="449">
        <f>+DP84+DQ84</f>
        <v>-50</v>
      </c>
      <c r="DS84" s="447"/>
      <c r="DT84" s="1"/>
      <c r="DU84" s="1"/>
      <c r="DV84" s="1"/>
      <c r="DW84" s="1"/>
      <c r="DX84" s="1"/>
      <c r="DY84" s="1"/>
      <c r="DZ84" s="1"/>
      <c r="EA84" s="1"/>
      <c r="EB84" s="1"/>
      <c r="EC84" s="1"/>
      <c r="ED84" s="1"/>
      <c r="EE84" s="1"/>
      <c r="EF84" s="1"/>
      <c r="EG84" s="1"/>
      <c r="EH84" s="1"/>
      <c r="EI84" s="1"/>
      <c r="EJ84" s="1"/>
      <c r="EK84" s="1"/>
      <c r="EL84" s="1"/>
      <c r="EM84" s="1"/>
      <c r="EN84" s="1"/>
      <c r="EO84" s="1"/>
      <c r="EP84" s="1"/>
      <c r="EQ84" s="1"/>
      <c r="ER84" s="1"/>
      <c r="ES84" s="1"/>
      <c r="ET84" s="1"/>
      <c r="EU84" s="1"/>
      <c r="EV84" s="1"/>
      <c r="EW84" s="1"/>
      <c r="EX84" s="1"/>
      <c r="EY84" s="1"/>
      <c r="EZ84" s="1"/>
      <c r="FA84" s="1"/>
      <c r="FB84" s="1"/>
      <c r="FC84" s="1"/>
      <c r="FD84" s="1"/>
      <c r="FE84" s="1"/>
      <c r="FF84" s="1"/>
      <c r="FG84" s="1"/>
      <c r="FH84" s="1"/>
      <c r="FI84" s="1"/>
      <c r="FJ84" s="1"/>
      <c r="FK84" s="1"/>
      <c r="FL84" s="1"/>
      <c r="FM84" s="1"/>
      <c r="FN84" s="1"/>
      <c r="FO84" s="1"/>
      <c r="FP84" s="1"/>
      <c r="FQ84" s="1"/>
      <c r="FR84" s="1"/>
      <c r="FS84" s="1"/>
      <c r="FT84" s="1"/>
      <c r="FU84" s="1"/>
      <c r="FV84" s="1"/>
      <c r="FW84" s="1"/>
      <c r="FX84" s="1"/>
      <c r="FY84" s="1"/>
      <c r="FZ84" s="1"/>
      <c r="GA84" s="1"/>
      <c r="GB84" s="1"/>
      <c r="GC84" s="1"/>
      <c r="GD84" s="1"/>
      <c r="GE84" s="1"/>
      <c r="GF84" s="1"/>
      <c r="GG84" s="1"/>
      <c r="GH84" s="1"/>
      <c r="GI84" s="1"/>
      <c r="GJ84" s="1"/>
      <c r="GK84" s="1"/>
      <c r="GL84" s="1"/>
      <c r="GM84" s="1"/>
      <c r="GN84" s="1"/>
      <c r="GO84" s="1"/>
      <c r="GP84" s="1"/>
      <c r="GQ84" s="1"/>
      <c r="GR84" s="1"/>
      <c r="GS84" s="1"/>
      <c r="GT84" s="1"/>
      <c r="GU84" s="1"/>
      <c r="GV84" s="1"/>
      <c r="GW84" s="1"/>
      <c r="GX84" s="1"/>
      <c r="GY84" s="1"/>
      <c r="GZ84" s="1"/>
      <c r="HA84" s="1"/>
      <c r="HB84" s="1"/>
      <c r="HC84" s="1"/>
      <c r="HD84" s="1"/>
      <c r="HE84" s="1"/>
      <c r="HF84" s="1"/>
      <c r="HG84" s="1"/>
      <c r="HH84" s="1"/>
      <c r="HI84" s="1"/>
      <c r="HJ84" s="1"/>
      <c r="HK84" s="1"/>
      <c r="HL84" s="1"/>
      <c r="HM84" s="1"/>
      <c r="HN84" s="1"/>
      <c r="HO84" s="1"/>
      <c r="HP84" s="1"/>
      <c r="HQ84" s="1"/>
      <c r="HR84" s="1"/>
      <c r="HS84" s="1"/>
      <c r="HT84" s="1"/>
      <c r="HU84" s="1"/>
      <c r="HV84" s="1"/>
      <c r="HW84" s="1"/>
      <c r="HX84" s="1"/>
      <c r="HY84" s="1"/>
      <c r="HZ84" s="1"/>
      <c r="IA84" s="1"/>
      <c r="IB84" s="1"/>
      <c r="IC84" s="1"/>
      <c r="ID84" s="1"/>
      <c r="IE84" s="1"/>
      <c r="IF84" s="1"/>
      <c r="IG84" s="1"/>
      <c r="IH84" s="1"/>
      <c r="II84" s="1"/>
      <c r="IJ84" s="1"/>
      <c r="IK84" s="1"/>
      <c r="IL84" s="1"/>
      <c r="IM84" s="1"/>
      <c r="IN84" s="1"/>
      <c r="IO84" s="1"/>
      <c r="IP84" s="1"/>
      <c r="IQ84" s="1"/>
      <c r="IR84" s="1"/>
      <c r="IS84" s="1"/>
      <c r="IT84" s="1"/>
      <c r="IU84" s="1"/>
      <c r="IV84" s="1"/>
      <c r="IW84" s="1"/>
      <c r="IX84" s="1"/>
      <c r="IY84" s="1"/>
      <c r="IZ84" s="1"/>
      <c r="JA84" s="1"/>
      <c r="JB84" s="1"/>
      <c r="JC84" s="1"/>
      <c r="JD84" s="1"/>
    </row>
    <row r="85" spans="1:264" s="347" customFormat="1" x14ac:dyDescent="0.2">
      <c r="A85" s="435" t="s">
        <v>244</v>
      </c>
      <c r="B85" s="348"/>
      <c r="BH85" s="398"/>
      <c r="BI85" s="398"/>
      <c r="BJ85" s="351"/>
      <c r="BK85" s="348"/>
      <c r="BL85" s="398"/>
      <c r="BM85" s="398"/>
      <c r="BN85" s="351"/>
      <c r="BO85" s="348"/>
      <c r="BP85" s="398"/>
      <c r="BQ85" s="448"/>
      <c r="BR85" s="351"/>
      <c r="BT85" s="398"/>
      <c r="BU85" s="398"/>
      <c r="BV85" s="351"/>
      <c r="BX85" s="420">
        <f>BX847</f>
        <v>0</v>
      </c>
      <c r="BY85" s="420">
        <f>BY847</f>
        <v>0</v>
      </c>
      <c r="BZ85" s="351">
        <f>+BX85+BY85</f>
        <v>0</v>
      </c>
      <c r="CB85" s="420">
        <f>CB847</f>
        <v>-60</v>
      </c>
      <c r="CC85" s="420">
        <f>CC847</f>
        <v>-139</v>
      </c>
      <c r="CD85" s="351">
        <f>+CB85+CC85</f>
        <v>-199</v>
      </c>
      <c r="CF85" s="420">
        <f>CF847</f>
        <v>0</v>
      </c>
      <c r="CG85" s="420">
        <f>CG847</f>
        <v>0</v>
      </c>
      <c r="CH85" s="351">
        <f>+CF85+CG85</f>
        <v>0</v>
      </c>
      <c r="CJ85" s="420">
        <f>CJ847</f>
        <v>0</v>
      </c>
      <c r="CK85" s="420">
        <f>CK847</f>
        <v>0</v>
      </c>
      <c r="CL85" s="351">
        <f>+CJ85+CK85</f>
        <v>0</v>
      </c>
      <c r="CN85" s="420">
        <f>CN847</f>
        <v>0</v>
      </c>
      <c r="CO85" s="420">
        <f>CO847</f>
        <v>0</v>
      </c>
      <c r="CP85" s="351">
        <f>+CN85+CO85</f>
        <v>0</v>
      </c>
      <c r="CR85" s="420">
        <f>CR847</f>
        <v>0</v>
      </c>
      <c r="CS85" s="420">
        <f>CS847</f>
        <v>0</v>
      </c>
      <c r="CT85" s="351">
        <f>+CR85+CS85</f>
        <v>0</v>
      </c>
      <c r="CV85" s="420">
        <f>CV847</f>
        <v>0</v>
      </c>
      <c r="CW85" s="420">
        <f>CW847</f>
        <v>0</v>
      </c>
      <c r="CX85" s="351">
        <f>+CV85+CW85</f>
        <v>0</v>
      </c>
      <c r="CZ85" s="420">
        <f>CZ847</f>
        <v>0</v>
      </c>
      <c r="DA85" s="420">
        <f>DA847</f>
        <v>0</v>
      </c>
      <c r="DB85" s="351">
        <f>+CZ85+DA85</f>
        <v>0</v>
      </c>
      <c r="DD85" s="420">
        <f>DD847</f>
        <v>0</v>
      </c>
      <c r="DE85" s="420">
        <f>DE847</f>
        <v>0</v>
      </c>
      <c r="DF85" s="351">
        <f>+DD85+DE85</f>
        <v>0</v>
      </c>
      <c r="DH85" s="420">
        <f>DH847</f>
        <v>0</v>
      </c>
      <c r="DI85" s="420">
        <f>DI847</f>
        <v>0</v>
      </c>
      <c r="DJ85" s="351">
        <f>+DH85+DI85</f>
        <v>0</v>
      </c>
      <c r="DL85" s="420">
        <f>DL847</f>
        <v>0</v>
      </c>
      <c r="DM85" s="420">
        <f>DM847</f>
        <v>0</v>
      </c>
      <c r="DN85" s="351">
        <f>+DL85+DM85</f>
        <v>0</v>
      </c>
      <c r="DP85" s="420">
        <f>DP847</f>
        <v>0</v>
      </c>
      <c r="DQ85" s="420">
        <f>DQ847</f>
        <v>0</v>
      </c>
      <c r="DR85" s="351">
        <f>+DP85+DQ85</f>
        <v>0</v>
      </c>
      <c r="DT85" s="1"/>
      <c r="DU85" s="1"/>
      <c r="DV85" s="1"/>
      <c r="DW85" s="1"/>
      <c r="DX85" s="1"/>
      <c r="DY85" s="1"/>
      <c r="DZ85" s="1"/>
      <c r="EA85" s="1"/>
      <c r="EB85" s="1"/>
      <c r="EC85" s="1"/>
      <c r="ED85" s="1"/>
      <c r="EE85" s="1"/>
      <c r="EF85" s="1"/>
      <c r="EG85" s="1"/>
      <c r="EH85" s="1"/>
      <c r="EI85" s="1"/>
      <c r="EJ85" s="1"/>
      <c r="EK85" s="1"/>
      <c r="EL85" s="1"/>
      <c r="EM85" s="1"/>
      <c r="EN85" s="1"/>
      <c r="EO85" s="1"/>
      <c r="EP85" s="1"/>
      <c r="EQ85" s="1"/>
      <c r="ER85" s="1"/>
      <c r="ES85" s="1"/>
      <c r="ET85" s="1"/>
      <c r="EU85" s="1"/>
      <c r="EV85" s="1"/>
      <c r="EW85" s="1"/>
      <c r="EX85" s="1"/>
      <c r="EY85" s="1"/>
      <c r="EZ85" s="1"/>
      <c r="FA85" s="1"/>
      <c r="FB85" s="1"/>
      <c r="FC85" s="1"/>
      <c r="FD85" s="1"/>
      <c r="FE85" s="1"/>
      <c r="FF85" s="1"/>
      <c r="FG85" s="1"/>
      <c r="FH85" s="1"/>
      <c r="FI85" s="1"/>
      <c r="FJ85" s="1"/>
      <c r="FK85" s="1"/>
      <c r="FL85" s="1"/>
      <c r="FM85" s="1"/>
      <c r="FN85" s="1"/>
      <c r="FO85" s="1"/>
      <c r="FP85" s="1"/>
      <c r="FQ85" s="1"/>
      <c r="FR85" s="1"/>
      <c r="FS85" s="1"/>
      <c r="FT85" s="1"/>
      <c r="FU85" s="1"/>
      <c r="FV85" s="1"/>
      <c r="FW85" s="1"/>
      <c r="FX85" s="1"/>
      <c r="FY85" s="1"/>
      <c r="FZ85" s="1"/>
      <c r="GA85" s="1"/>
      <c r="GB85" s="1"/>
      <c r="GC85" s="1"/>
      <c r="GD85" s="1"/>
      <c r="GE85" s="1"/>
      <c r="GF85" s="1"/>
      <c r="GG85" s="1"/>
      <c r="GH85" s="1"/>
      <c r="GI85" s="1"/>
      <c r="GJ85" s="1"/>
      <c r="GK85" s="1"/>
      <c r="GL85" s="1"/>
      <c r="GM85" s="1"/>
      <c r="GN85" s="1"/>
      <c r="GO85" s="1"/>
      <c r="GP85" s="1"/>
      <c r="GQ85" s="1"/>
      <c r="GR85" s="1"/>
      <c r="GS85" s="1"/>
      <c r="GT85" s="1"/>
      <c r="GU85" s="1"/>
      <c r="GV85" s="1"/>
      <c r="GW85" s="1"/>
      <c r="GX85" s="1"/>
      <c r="GY85" s="1"/>
      <c r="GZ85" s="1"/>
      <c r="HA85" s="1"/>
      <c r="HB85" s="1"/>
      <c r="HC85" s="1"/>
      <c r="HD85" s="1"/>
      <c r="HE85" s="1"/>
      <c r="HF85" s="1"/>
      <c r="HG85" s="1"/>
      <c r="HH85" s="1"/>
      <c r="HI85" s="1"/>
      <c r="HJ85" s="1"/>
      <c r="HK85" s="1"/>
      <c r="HL85" s="1"/>
      <c r="HM85" s="1"/>
      <c r="HN85" s="1"/>
      <c r="HO85" s="1"/>
      <c r="HP85" s="1"/>
      <c r="HQ85" s="1"/>
      <c r="HR85" s="1"/>
      <c r="HS85" s="1"/>
      <c r="HT85" s="1"/>
      <c r="HU85" s="1"/>
      <c r="HV85" s="1"/>
      <c r="HW85" s="1"/>
      <c r="HX85" s="1"/>
      <c r="HY85" s="1"/>
      <c r="HZ85" s="1"/>
      <c r="IA85" s="1"/>
      <c r="IB85" s="1"/>
      <c r="IC85" s="1"/>
      <c r="ID85" s="1"/>
      <c r="IE85" s="1"/>
      <c r="IF85" s="1"/>
      <c r="IG85" s="1"/>
      <c r="IH85" s="1"/>
      <c r="II85" s="1"/>
      <c r="IJ85" s="1"/>
      <c r="IK85" s="1"/>
      <c r="IL85" s="1"/>
      <c r="IM85" s="1"/>
      <c r="IN85" s="1"/>
      <c r="IO85" s="1"/>
      <c r="IP85" s="1"/>
      <c r="IQ85" s="1"/>
      <c r="IR85" s="1"/>
      <c r="IS85" s="1"/>
      <c r="IT85" s="1"/>
      <c r="IU85" s="1"/>
      <c r="IV85" s="1"/>
      <c r="IW85" s="1"/>
      <c r="IX85" s="1"/>
      <c r="IY85" s="1"/>
      <c r="IZ85" s="1"/>
      <c r="JA85" s="1"/>
      <c r="JB85" s="1"/>
      <c r="JC85" s="1"/>
      <c r="JD85" s="1"/>
    </row>
    <row r="86" spans="1:264" s="347" customFormat="1" x14ac:dyDescent="0.2">
      <c r="A86" s="445" t="s">
        <v>250</v>
      </c>
      <c r="B86" s="446"/>
      <c r="C86" s="447"/>
      <c r="D86" s="447"/>
      <c r="E86" s="447"/>
      <c r="F86" s="447"/>
      <c r="G86" s="447"/>
      <c r="H86" s="447"/>
      <c r="I86" s="447"/>
      <c r="J86" s="447"/>
      <c r="K86" s="447"/>
      <c r="L86" s="447"/>
      <c r="M86" s="447"/>
      <c r="N86" s="447"/>
      <c r="O86" s="447"/>
      <c r="P86" s="447"/>
      <c r="Q86" s="447"/>
      <c r="R86" s="447"/>
      <c r="S86" s="447"/>
      <c r="T86" s="447"/>
      <c r="U86" s="447"/>
      <c r="V86" s="447"/>
      <c r="W86" s="447"/>
      <c r="X86" s="447"/>
      <c r="Y86" s="447"/>
      <c r="Z86" s="447"/>
      <c r="AA86" s="447"/>
      <c r="AB86" s="447"/>
      <c r="AC86" s="447"/>
      <c r="AD86" s="447"/>
      <c r="AE86" s="447"/>
      <c r="AF86" s="447"/>
      <c r="AG86" s="447"/>
      <c r="AH86" s="447"/>
      <c r="AI86" s="447"/>
      <c r="AJ86" s="447"/>
      <c r="AK86" s="447"/>
      <c r="AL86" s="447"/>
      <c r="AM86" s="447"/>
      <c r="AN86" s="447"/>
      <c r="AO86" s="447"/>
      <c r="AP86" s="447"/>
      <c r="AQ86" s="447"/>
      <c r="AR86" s="447"/>
      <c r="AS86" s="447"/>
      <c r="AT86" s="447"/>
      <c r="AU86" s="447"/>
      <c r="AV86" s="447"/>
      <c r="AW86" s="447"/>
      <c r="AX86" s="447"/>
      <c r="AY86" s="447"/>
      <c r="AZ86" s="447"/>
      <c r="BA86" s="447"/>
      <c r="BB86" s="447"/>
      <c r="BC86" s="447"/>
      <c r="BD86" s="447"/>
      <c r="BE86" s="447"/>
      <c r="BF86" s="447"/>
      <c r="BG86" s="447"/>
      <c r="BH86" s="448"/>
      <c r="BI86" s="448"/>
      <c r="BJ86" s="449"/>
      <c r="BK86" s="446"/>
      <c r="BL86" s="448"/>
      <c r="BM86" s="448"/>
      <c r="BN86" s="449"/>
      <c r="BO86" s="446"/>
      <c r="BP86" s="448"/>
      <c r="BQ86" s="448"/>
      <c r="BR86" s="449"/>
      <c r="BS86" s="447"/>
      <c r="BT86" s="448"/>
      <c r="BU86" s="448"/>
      <c r="BV86" s="449"/>
      <c r="BW86" s="447"/>
      <c r="BX86" s="450">
        <f>BX848</f>
        <v>0</v>
      </c>
      <c r="BY86" s="448">
        <f>BY848</f>
        <v>-35</v>
      </c>
      <c r="BZ86" s="449">
        <f>BZ848</f>
        <v>-35</v>
      </c>
      <c r="CA86" s="447"/>
      <c r="CB86" s="450">
        <f>CB848</f>
        <v>-100</v>
      </c>
      <c r="CC86" s="448">
        <f>CC848</f>
        <v>-199</v>
      </c>
      <c r="CD86" s="449">
        <f>CD848</f>
        <v>-299</v>
      </c>
      <c r="CE86" s="447"/>
      <c r="CF86" s="450">
        <f>CF848</f>
        <v>0</v>
      </c>
      <c r="CG86" s="448">
        <f>CG848</f>
        <v>0</v>
      </c>
      <c r="CH86" s="449">
        <f>CH848</f>
        <v>0</v>
      </c>
      <c r="CI86" s="447"/>
      <c r="CJ86" s="450">
        <f>CJ848</f>
        <v>0</v>
      </c>
      <c r="CK86" s="448">
        <f>CK848</f>
        <v>0</v>
      </c>
      <c r="CL86" s="449">
        <f>CL848</f>
        <v>0</v>
      </c>
      <c r="CM86" s="447"/>
      <c r="CN86" s="450">
        <f>CN848</f>
        <v>0</v>
      </c>
      <c r="CO86" s="448">
        <f>CO848</f>
        <v>0</v>
      </c>
      <c r="CP86" s="449">
        <f>CP848</f>
        <v>0</v>
      </c>
      <c r="CQ86" s="447"/>
      <c r="CR86" s="450">
        <v>0</v>
      </c>
      <c r="CS86" s="448">
        <f>CS848</f>
        <v>0</v>
      </c>
      <c r="CT86" s="449">
        <f>CT848</f>
        <v>0</v>
      </c>
      <c r="CU86" s="447"/>
      <c r="CV86" s="450">
        <v>0</v>
      </c>
      <c r="CW86" s="448">
        <f>CW848</f>
        <v>0</v>
      </c>
      <c r="CX86" s="449">
        <f>CX848</f>
        <v>0</v>
      </c>
      <c r="CY86" s="447"/>
      <c r="CZ86" s="450">
        <v>0</v>
      </c>
      <c r="DA86" s="448">
        <f>DA848</f>
        <v>0</v>
      </c>
      <c r="DB86" s="449">
        <f>DB848</f>
        <v>0</v>
      </c>
      <c r="DC86" s="447"/>
      <c r="DD86" s="450">
        <v>0</v>
      </c>
      <c r="DE86" s="448">
        <f>DE848</f>
        <v>0</v>
      </c>
      <c r="DF86" s="449">
        <f>DF848</f>
        <v>0</v>
      </c>
      <c r="DG86" s="447"/>
      <c r="DH86" s="450">
        <v>0</v>
      </c>
      <c r="DI86" s="448">
        <f>DI848</f>
        <v>0</v>
      </c>
      <c r="DJ86" s="449">
        <f>DJ848</f>
        <v>0</v>
      </c>
      <c r="DK86" s="447"/>
      <c r="DL86" s="450">
        <f>DL848</f>
        <v>0</v>
      </c>
      <c r="DM86" s="448">
        <f>DM848</f>
        <v>0</v>
      </c>
      <c r="DN86" s="449">
        <f>DN848</f>
        <v>0</v>
      </c>
      <c r="DO86" s="447"/>
      <c r="DP86" s="450">
        <f>DP848</f>
        <v>0</v>
      </c>
      <c r="DQ86" s="448">
        <f>DQ848</f>
        <v>0</v>
      </c>
      <c r="DR86" s="449">
        <f>DR848</f>
        <v>0</v>
      </c>
      <c r="DS86" s="447"/>
      <c r="DT86" s="1"/>
      <c r="DU86" s="1"/>
      <c r="DV86" s="1"/>
      <c r="DW86" s="1"/>
      <c r="DX86" s="1"/>
      <c r="DY86" s="1"/>
      <c r="DZ86" s="1"/>
      <c r="EA86" s="1"/>
      <c r="EB86" s="1"/>
      <c r="EC86" s="1"/>
      <c r="ED86" s="1"/>
      <c r="EE86" s="1"/>
      <c r="EF86" s="1"/>
      <c r="EG86" s="1"/>
      <c r="EH86" s="1"/>
      <c r="EI86" s="1"/>
      <c r="EJ86" s="1"/>
      <c r="EK86" s="1"/>
      <c r="EL86" s="1"/>
      <c r="EM86" s="1"/>
      <c r="EN86" s="1"/>
      <c r="EO86" s="1"/>
      <c r="EP86" s="1"/>
      <c r="EQ86" s="1"/>
      <c r="ER86" s="1"/>
      <c r="ES86" s="1"/>
      <c r="ET86" s="1"/>
      <c r="EU86" s="1"/>
      <c r="EV86" s="1"/>
      <c r="EW86" s="1"/>
      <c r="EX86" s="1"/>
      <c r="EY86" s="1"/>
      <c r="EZ86" s="1"/>
      <c r="FA86" s="1"/>
      <c r="FB86" s="1"/>
      <c r="FC86" s="1"/>
      <c r="FD86" s="1"/>
      <c r="FE86" s="1"/>
      <c r="FF86" s="1"/>
      <c r="FG86" s="1"/>
      <c r="FH86" s="1"/>
      <c r="FI86" s="1"/>
      <c r="FJ86" s="1"/>
      <c r="FK86" s="1"/>
      <c r="FL86" s="1"/>
      <c r="FM86" s="1"/>
      <c r="FN86" s="1"/>
      <c r="FO86" s="1"/>
      <c r="FP86" s="1"/>
      <c r="FQ86" s="1"/>
      <c r="FR86" s="1"/>
      <c r="FS86" s="1"/>
      <c r="FT86" s="1"/>
      <c r="FU86" s="1"/>
      <c r="FV86" s="1"/>
      <c r="FW86" s="1"/>
      <c r="FX86" s="1"/>
      <c r="FY86" s="1"/>
      <c r="FZ86" s="1"/>
      <c r="GA86" s="1"/>
      <c r="GB86" s="1"/>
      <c r="GC86" s="1"/>
      <c r="GD86" s="1"/>
      <c r="GE86" s="1"/>
      <c r="GF86" s="1"/>
      <c r="GG86" s="1"/>
      <c r="GH86" s="1"/>
      <c r="GI86" s="1"/>
      <c r="GJ86" s="1"/>
      <c r="GK86" s="1"/>
      <c r="GL86" s="1"/>
      <c r="GM86" s="1"/>
      <c r="GN86" s="1"/>
      <c r="GO86" s="1"/>
      <c r="GP86" s="1"/>
      <c r="GQ86" s="1"/>
      <c r="GR86" s="1"/>
      <c r="GS86" s="1"/>
      <c r="GT86" s="1"/>
      <c r="GU86" s="1"/>
      <c r="GV86" s="1"/>
      <c r="GW86" s="1"/>
      <c r="GX86" s="1"/>
      <c r="GY86" s="1"/>
      <c r="GZ86" s="1"/>
      <c r="HA86" s="1"/>
      <c r="HB86" s="1"/>
      <c r="HC86" s="1"/>
      <c r="HD86" s="1"/>
      <c r="HE86" s="1"/>
      <c r="HF86" s="1"/>
      <c r="HG86" s="1"/>
      <c r="HH86" s="1"/>
      <c r="HI86" s="1"/>
      <c r="HJ86" s="1"/>
      <c r="HK86" s="1"/>
      <c r="HL86" s="1"/>
      <c r="HM86" s="1"/>
      <c r="HN86" s="1"/>
      <c r="HO86" s="1"/>
      <c r="HP86" s="1"/>
      <c r="HQ86" s="1"/>
      <c r="HR86" s="1"/>
      <c r="HS86" s="1"/>
      <c r="HT86" s="1"/>
      <c r="HU86" s="1"/>
      <c r="HV86" s="1"/>
      <c r="HW86" s="1"/>
      <c r="HX86" s="1"/>
      <c r="HY86" s="1"/>
      <c r="HZ86" s="1"/>
      <c r="IA86" s="1"/>
      <c r="IB86" s="1"/>
      <c r="IC86" s="1"/>
      <c r="ID86" s="1"/>
      <c r="IE86" s="1"/>
      <c r="IF86" s="1"/>
      <c r="IG86" s="1"/>
      <c r="IH86" s="1"/>
      <c r="II86" s="1"/>
      <c r="IJ86" s="1"/>
      <c r="IK86" s="1"/>
      <c r="IL86" s="1"/>
      <c r="IM86" s="1"/>
      <c r="IN86" s="1"/>
      <c r="IO86" s="1"/>
      <c r="IP86" s="1"/>
      <c r="IQ86" s="1"/>
      <c r="IR86" s="1"/>
      <c r="IS86" s="1"/>
      <c r="IT86" s="1"/>
      <c r="IU86" s="1"/>
      <c r="IV86" s="1"/>
      <c r="IW86" s="1"/>
      <c r="IX86" s="1"/>
      <c r="IY86" s="1"/>
      <c r="IZ86" s="1"/>
      <c r="JA86" s="1"/>
      <c r="JB86" s="1"/>
      <c r="JC86" s="1"/>
      <c r="JD86" s="1"/>
    </row>
    <row r="87" spans="1:264" s="347" customFormat="1" x14ac:dyDescent="0.2">
      <c r="A87" s="435" t="s">
        <v>248</v>
      </c>
      <c r="B87" s="348"/>
      <c r="BH87" s="348"/>
      <c r="BI87" s="348"/>
      <c r="BJ87" s="348"/>
      <c r="BK87" s="348"/>
      <c r="BL87" s="398"/>
      <c r="BM87" s="398"/>
      <c r="BN87" s="351"/>
      <c r="BO87" s="348"/>
      <c r="BP87" s="398"/>
      <c r="BQ87" s="448"/>
      <c r="BR87" s="351"/>
      <c r="BT87" s="398"/>
      <c r="BU87" s="398"/>
      <c r="BV87" s="351"/>
      <c r="BX87" s="420">
        <f>BX840+BX826</f>
        <v>0</v>
      </c>
      <c r="BY87" s="420">
        <f>BY840+BY826</f>
        <v>0</v>
      </c>
      <c r="BZ87" s="420">
        <f>BZ840+BZ826</f>
        <v>0</v>
      </c>
      <c r="CB87" s="420">
        <f>CB840+CB826</f>
        <v>-485</v>
      </c>
      <c r="CC87" s="420">
        <f>CC840+CC826</f>
        <v>-370</v>
      </c>
      <c r="CD87" s="420">
        <f>CD840+CD826</f>
        <v>-855</v>
      </c>
      <c r="CF87" s="420">
        <f>CF840+CF826</f>
        <v>-236</v>
      </c>
      <c r="CG87" s="420">
        <f>CG840+CG826</f>
        <v>-599</v>
      </c>
      <c r="CH87" s="420">
        <f>CH840+CH826</f>
        <v>-835</v>
      </c>
      <c r="CJ87" s="420">
        <f>CJ840+CJ826</f>
        <v>0</v>
      </c>
      <c r="CK87" s="420">
        <f>CK840+CK826</f>
        <v>-461</v>
      </c>
      <c r="CL87" s="420">
        <f>CL840+CL826</f>
        <v>-461</v>
      </c>
      <c r="CN87" s="420">
        <f>CN840+CN826</f>
        <v>-242</v>
      </c>
      <c r="CO87" s="420">
        <f>CO840+CO826</f>
        <v>-333</v>
      </c>
      <c r="CP87" s="420">
        <f>CP840+CP826</f>
        <v>-575</v>
      </c>
      <c r="CR87" s="420">
        <f>CR840+CR826</f>
        <v>-93</v>
      </c>
      <c r="CS87" s="420">
        <f>CS840+CS826</f>
        <v>-158</v>
      </c>
      <c r="CT87" s="420">
        <f>CT840+CT826</f>
        <v>-251</v>
      </c>
      <c r="CV87" s="420">
        <f>CV840+CV826</f>
        <v>-137</v>
      </c>
      <c r="CW87" s="420">
        <f>CW840+CW826</f>
        <v>0</v>
      </c>
      <c r="CX87" s="420">
        <f>CX840+CX826</f>
        <v>0</v>
      </c>
      <c r="CZ87" s="420">
        <f>CZ840+CZ826</f>
        <v>0</v>
      </c>
      <c r="DA87" s="420">
        <f>DA840+DA826</f>
        <v>0</v>
      </c>
      <c r="DB87" s="420">
        <f>DB840+DB826</f>
        <v>0</v>
      </c>
      <c r="DD87" s="420">
        <f>DD840+DD826</f>
        <v>0</v>
      </c>
      <c r="DE87" s="420">
        <f>DE840+DE826</f>
        <v>-85</v>
      </c>
      <c r="DF87" s="420">
        <f>DF840+DF826</f>
        <v>-85</v>
      </c>
      <c r="DH87" s="420">
        <f>DH840+DH826</f>
        <v>-170</v>
      </c>
      <c r="DI87" s="420">
        <f>DI840+DI826</f>
        <v>0</v>
      </c>
      <c r="DJ87" s="420">
        <f>DJ840+DJ826</f>
        <v>-170</v>
      </c>
      <c r="DL87" s="420">
        <f>DL840+DL826</f>
        <v>0</v>
      </c>
      <c r="DM87" s="420">
        <f>DM840+DM826</f>
        <v>0</v>
      </c>
      <c r="DN87" s="420">
        <f>DN840+DN826</f>
        <v>0</v>
      </c>
      <c r="DP87" s="420">
        <f>DP840+DP826</f>
        <v>0</v>
      </c>
      <c r="DQ87" s="420">
        <f>DQ840+DQ826</f>
        <v>0</v>
      </c>
      <c r="DR87" s="420">
        <f>DR840+DR826</f>
        <v>0</v>
      </c>
      <c r="DT87" s="1"/>
      <c r="DU87" s="1"/>
      <c r="DV87" s="1"/>
      <c r="DW87" s="1"/>
      <c r="DX87" s="1"/>
      <c r="DY87" s="1"/>
      <c r="DZ87" s="1"/>
      <c r="EA87" s="1"/>
      <c r="EB87" s="1"/>
      <c r="EC87" s="1"/>
      <c r="ED87" s="1"/>
      <c r="EE87" s="1"/>
      <c r="EF87" s="1"/>
      <c r="EG87" s="1"/>
      <c r="EH87" s="1"/>
      <c r="EI87" s="1"/>
      <c r="EJ87" s="1"/>
      <c r="EK87" s="1"/>
      <c r="EL87" s="1"/>
      <c r="EM87" s="1"/>
      <c r="EN87" s="1"/>
      <c r="EO87" s="1"/>
      <c r="EP87" s="1"/>
      <c r="EQ87" s="1"/>
      <c r="ER87" s="1"/>
      <c r="ES87" s="1"/>
      <c r="ET87" s="1"/>
      <c r="EU87" s="1"/>
      <c r="EV87" s="1"/>
      <c r="EW87" s="1"/>
      <c r="EX87" s="1"/>
      <c r="EY87" s="1"/>
      <c r="EZ87" s="1"/>
      <c r="FA87" s="1"/>
      <c r="FB87" s="1"/>
      <c r="FC87" s="1"/>
      <c r="FD87" s="1"/>
      <c r="FE87" s="1"/>
      <c r="FF87" s="1"/>
      <c r="FG87" s="1"/>
      <c r="FH87" s="1"/>
      <c r="FI87" s="1"/>
      <c r="FJ87" s="1"/>
      <c r="FK87" s="1"/>
      <c r="FL87" s="1"/>
      <c r="FM87" s="1"/>
      <c r="FN87" s="1"/>
      <c r="FO87" s="1"/>
      <c r="FP87" s="1"/>
      <c r="FQ87" s="1"/>
      <c r="FR87" s="1"/>
      <c r="FS87" s="1"/>
      <c r="FT87" s="1"/>
      <c r="FU87" s="1"/>
      <c r="FV87" s="1"/>
      <c r="FW87" s="1"/>
      <c r="FX87" s="1"/>
      <c r="FY87" s="1"/>
      <c r="FZ87" s="1"/>
      <c r="GA87" s="1"/>
      <c r="GB87" s="1"/>
      <c r="GC87" s="1"/>
      <c r="GD87" s="1"/>
      <c r="GE87" s="1"/>
      <c r="GF87" s="1"/>
      <c r="GG87" s="1"/>
      <c r="GH87" s="1"/>
      <c r="GI87" s="1"/>
      <c r="GJ87" s="1"/>
      <c r="GK87" s="1"/>
      <c r="GL87" s="1"/>
      <c r="GM87" s="1"/>
      <c r="GN87" s="1"/>
      <c r="GO87" s="1"/>
      <c r="GP87" s="1"/>
      <c r="GQ87" s="1"/>
      <c r="GR87" s="1"/>
      <c r="GS87" s="1"/>
      <c r="GT87" s="1"/>
      <c r="GU87" s="1"/>
      <c r="GV87" s="1"/>
      <c r="GW87" s="1"/>
      <c r="GX87" s="1"/>
      <c r="GY87" s="1"/>
      <c r="GZ87" s="1"/>
      <c r="HA87" s="1"/>
      <c r="HB87" s="1"/>
      <c r="HC87" s="1"/>
      <c r="HD87" s="1"/>
      <c r="HE87" s="1"/>
      <c r="HF87" s="1"/>
      <c r="HG87" s="1"/>
      <c r="HH87" s="1"/>
      <c r="HI87" s="1"/>
      <c r="HJ87" s="1"/>
      <c r="HK87" s="1"/>
      <c r="HL87" s="1"/>
      <c r="HM87" s="1"/>
      <c r="HN87" s="1"/>
      <c r="HO87" s="1"/>
      <c r="HP87" s="1"/>
      <c r="HQ87" s="1"/>
      <c r="HR87" s="1"/>
      <c r="HS87" s="1"/>
      <c r="HT87" s="1"/>
      <c r="HU87" s="1"/>
      <c r="HV87" s="1"/>
      <c r="HW87" s="1"/>
      <c r="HX87" s="1"/>
      <c r="HY87" s="1"/>
      <c r="HZ87" s="1"/>
      <c r="IA87" s="1"/>
      <c r="IB87" s="1"/>
      <c r="IC87" s="1"/>
      <c r="ID87" s="1"/>
      <c r="IE87" s="1"/>
      <c r="IF87" s="1"/>
      <c r="IG87" s="1"/>
      <c r="IH87" s="1"/>
      <c r="II87" s="1"/>
      <c r="IJ87" s="1"/>
      <c r="IK87" s="1"/>
      <c r="IL87" s="1"/>
      <c r="IM87" s="1"/>
      <c r="IN87" s="1"/>
      <c r="IO87" s="1"/>
      <c r="IP87" s="1"/>
      <c r="IQ87" s="1"/>
      <c r="IR87" s="1"/>
      <c r="IS87" s="1"/>
      <c r="IT87" s="1"/>
      <c r="IU87" s="1"/>
      <c r="IV87" s="1"/>
      <c r="IW87" s="1"/>
      <c r="IX87" s="1"/>
      <c r="IY87" s="1"/>
      <c r="IZ87" s="1"/>
      <c r="JA87" s="1"/>
      <c r="JB87" s="1"/>
      <c r="JC87" s="1"/>
      <c r="JD87" s="1"/>
    </row>
    <row r="88" spans="1:264" s="347" customFormat="1" x14ac:dyDescent="0.2">
      <c r="A88" s="435" t="s">
        <v>251</v>
      </c>
      <c r="B88" s="348"/>
      <c r="BH88" s="398"/>
      <c r="BI88" s="398"/>
      <c r="BJ88" s="351"/>
      <c r="BK88" s="348"/>
      <c r="BL88" s="398"/>
      <c r="BM88" s="398"/>
      <c r="BN88" s="351"/>
      <c r="BO88" s="348"/>
      <c r="BP88" s="398"/>
      <c r="BQ88" s="448"/>
      <c r="BR88" s="351"/>
      <c r="BT88" s="398"/>
      <c r="BU88" s="398"/>
      <c r="BV88" s="351"/>
      <c r="BX88" s="420">
        <f>BX828</f>
        <v>0</v>
      </c>
      <c r="BY88" s="420">
        <f>BY828</f>
        <v>0</v>
      </c>
      <c r="BZ88" s="420">
        <f>BZ828</f>
        <v>0</v>
      </c>
      <c r="CB88" s="420">
        <f>CB828</f>
        <v>0</v>
      </c>
      <c r="CC88" s="420">
        <f>CC828</f>
        <v>0</v>
      </c>
      <c r="CD88" s="420">
        <f>CD828</f>
        <v>0</v>
      </c>
      <c r="CF88" s="420">
        <f>CF828</f>
        <v>145</v>
      </c>
      <c r="CG88" s="420">
        <f>CG828</f>
        <v>0</v>
      </c>
      <c r="CH88" s="420">
        <f>CH828</f>
        <v>145</v>
      </c>
      <c r="CJ88" s="420">
        <f>CJ828</f>
        <v>0</v>
      </c>
      <c r="CK88" s="420">
        <f>CK828</f>
        <v>0</v>
      </c>
      <c r="CL88" s="420">
        <f>CL828</f>
        <v>0</v>
      </c>
      <c r="CN88" s="420">
        <f>CN828</f>
        <v>0</v>
      </c>
      <c r="CO88" s="420">
        <f>CO828</f>
        <v>0</v>
      </c>
      <c r="CP88" s="420">
        <f>CP828</f>
        <v>0</v>
      </c>
      <c r="CR88" s="420">
        <f>CR828</f>
        <v>0</v>
      </c>
      <c r="CS88" s="420">
        <f>CS828</f>
        <v>0</v>
      </c>
      <c r="CT88" s="420">
        <f>CT828</f>
        <v>0</v>
      </c>
      <c r="CV88" s="420">
        <f>CV828</f>
        <v>0</v>
      </c>
      <c r="CW88" s="420">
        <f>CW828</f>
        <v>0</v>
      </c>
      <c r="CX88" s="420">
        <f>CX828</f>
        <v>0</v>
      </c>
      <c r="CZ88" s="420">
        <f>CZ828</f>
        <v>0</v>
      </c>
      <c r="DA88" s="420">
        <f>DA828</f>
        <v>0</v>
      </c>
      <c r="DB88" s="420">
        <f>DB828</f>
        <v>0</v>
      </c>
      <c r="DD88" s="420">
        <f>DD828</f>
        <v>0</v>
      </c>
      <c r="DE88" s="420">
        <f>DE828</f>
        <v>0</v>
      </c>
      <c r="DF88" s="420">
        <f>DF828</f>
        <v>0</v>
      </c>
      <c r="DH88" s="420">
        <f>DH828</f>
        <v>0</v>
      </c>
      <c r="DI88" s="420">
        <f>DI828</f>
        <v>0</v>
      </c>
      <c r="DJ88" s="420">
        <f>DJ828</f>
        <v>0</v>
      </c>
      <c r="DL88" s="420">
        <f>DL828</f>
        <v>0</v>
      </c>
      <c r="DM88" s="420">
        <f>DM828</f>
        <v>0</v>
      </c>
      <c r="DN88" s="420">
        <f>DN828</f>
        <v>0</v>
      </c>
      <c r="DP88" s="420">
        <f>DP828</f>
        <v>0</v>
      </c>
      <c r="DQ88" s="420">
        <f>DQ828</f>
        <v>0</v>
      </c>
      <c r="DR88" s="420">
        <f>DR828</f>
        <v>0</v>
      </c>
      <c r="DT88" s="1"/>
      <c r="DU88" s="1"/>
      <c r="DV88" s="1"/>
      <c r="DW88" s="1"/>
      <c r="DX88" s="1"/>
      <c r="DY88" s="1"/>
      <c r="DZ88" s="1"/>
      <c r="EA88" s="1"/>
      <c r="EB88" s="1"/>
      <c r="EC88" s="1"/>
      <c r="ED88" s="1"/>
      <c r="EE88" s="1"/>
      <c r="EF88" s="1"/>
      <c r="EG88" s="1"/>
      <c r="EH88" s="1"/>
      <c r="EI88" s="1"/>
      <c r="EJ88" s="1"/>
      <c r="EK88" s="1"/>
      <c r="EL88" s="1"/>
      <c r="EM88" s="1"/>
      <c r="EN88" s="1"/>
      <c r="EO88" s="1"/>
      <c r="EP88" s="1"/>
      <c r="EQ88" s="1"/>
      <c r="ER88" s="1"/>
      <c r="ES88" s="1"/>
      <c r="ET88" s="1"/>
      <c r="EU88" s="1"/>
      <c r="EV88" s="1"/>
      <c r="EW88" s="1"/>
      <c r="EX88" s="1"/>
      <c r="EY88" s="1"/>
      <c r="EZ88" s="1"/>
      <c r="FA88" s="1"/>
      <c r="FB88" s="1"/>
      <c r="FC88" s="1"/>
      <c r="FD88" s="1"/>
      <c r="FE88" s="1"/>
      <c r="FF88" s="1"/>
      <c r="FG88" s="1"/>
      <c r="FH88" s="1"/>
      <c r="FI88" s="1"/>
      <c r="FJ88" s="1"/>
      <c r="FK88" s="1"/>
      <c r="FL88" s="1"/>
      <c r="FM88" s="1"/>
      <c r="FN88" s="1"/>
      <c r="FO88" s="1"/>
      <c r="FP88" s="1"/>
      <c r="FQ88" s="1"/>
      <c r="FR88" s="1"/>
      <c r="FS88" s="1"/>
      <c r="FT88" s="1"/>
      <c r="FU88" s="1"/>
      <c r="FV88" s="1"/>
      <c r="FW88" s="1"/>
      <c r="FX88" s="1"/>
      <c r="FY88" s="1"/>
      <c r="FZ88" s="1"/>
      <c r="GA88" s="1"/>
      <c r="GB88" s="1"/>
      <c r="GC88" s="1"/>
      <c r="GD88" s="1"/>
      <c r="GE88" s="1"/>
      <c r="GF88" s="1"/>
      <c r="GG88" s="1"/>
      <c r="GH88" s="1"/>
      <c r="GI88" s="1"/>
      <c r="GJ88" s="1"/>
      <c r="GK88" s="1"/>
      <c r="GL88" s="1"/>
      <c r="GM88" s="1"/>
      <c r="GN88" s="1"/>
      <c r="GO88" s="1"/>
      <c r="GP88" s="1"/>
      <c r="GQ88" s="1"/>
      <c r="GR88" s="1"/>
      <c r="GS88" s="1"/>
      <c r="GT88" s="1"/>
      <c r="GU88" s="1"/>
      <c r="GV88" s="1"/>
      <c r="GW88" s="1"/>
      <c r="GX88" s="1"/>
      <c r="GY88" s="1"/>
      <c r="GZ88" s="1"/>
      <c r="HA88" s="1"/>
      <c r="HB88" s="1"/>
      <c r="HC88" s="1"/>
      <c r="HD88" s="1"/>
      <c r="HE88" s="1"/>
      <c r="HF88" s="1"/>
      <c r="HG88" s="1"/>
      <c r="HH88" s="1"/>
      <c r="HI88" s="1"/>
      <c r="HJ88" s="1"/>
      <c r="HK88" s="1"/>
      <c r="HL88" s="1"/>
      <c r="HM88" s="1"/>
      <c r="HN88" s="1"/>
      <c r="HO88" s="1"/>
      <c r="HP88" s="1"/>
      <c r="HQ88" s="1"/>
      <c r="HR88" s="1"/>
      <c r="HS88" s="1"/>
      <c r="HT88" s="1"/>
      <c r="HU88" s="1"/>
      <c r="HV88" s="1"/>
      <c r="HW88" s="1"/>
      <c r="HX88" s="1"/>
      <c r="HY88" s="1"/>
      <c r="HZ88" s="1"/>
      <c r="IA88" s="1"/>
      <c r="IB88" s="1"/>
      <c r="IC88" s="1"/>
      <c r="ID88" s="1"/>
      <c r="IE88" s="1"/>
      <c r="IF88" s="1"/>
      <c r="IG88" s="1"/>
      <c r="IH88" s="1"/>
      <c r="II88" s="1"/>
      <c r="IJ88" s="1"/>
      <c r="IK88" s="1"/>
      <c r="IL88" s="1"/>
      <c r="IM88" s="1"/>
      <c r="IN88" s="1"/>
      <c r="IO88" s="1"/>
      <c r="IP88" s="1"/>
      <c r="IQ88" s="1"/>
      <c r="IR88" s="1"/>
      <c r="IS88" s="1"/>
      <c r="IT88" s="1"/>
      <c r="IU88" s="1"/>
      <c r="IV88" s="1"/>
      <c r="IW88" s="1"/>
      <c r="IX88" s="1"/>
      <c r="IY88" s="1"/>
      <c r="IZ88" s="1"/>
      <c r="JA88" s="1"/>
      <c r="JB88" s="1"/>
      <c r="JC88" s="1"/>
      <c r="JD88" s="1"/>
    </row>
    <row r="89" spans="1:264" s="347" customFormat="1" x14ac:dyDescent="0.2">
      <c r="A89" s="444" t="s">
        <v>252</v>
      </c>
      <c r="B89" s="348"/>
      <c r="BH89" s="454">
        <f>SUM(BH84:BH88)</f>
        <v>0</v>
      </c>
      <c r="BI89" s="454">
        <f>SUM(BI84:BI88)</f>
        <v>0</v>
      </c>
      <c r="BJ89" s="454">
        <f>SUM(BJ84:BJ88)</f>
        <v>0</v>
      </c>
      <c r="BK89" s="423"/>
      <c r="BL89" s="454">
        <f>SUM(BL84:BL88)</f>
        <v>0</v>
      </c>
      <c r="BM89" s="454">
        <f>SUM(BM84:BM88)</f>
        <v>0</v>
      </c>
      <c r="BN89" s="454">
        <f>SUM(BN84:BN88)</f>
        <v>0</v>
      </c>
      <c r="BO89" s="423"/>
      <c r="BP89" s="454">
        <f>SUM(BP84:BP88)</f>
        <v>0</v>
      </c>
      <c r="BQ89" s="454">
        <f>SUM(BQ84:BQ88)</f>
        <v>0</v>
      </c>
      <c r="BR89" s="454">
        <f>SUM(BR84:BR88)</f>
        <v>0</v>
      </c>
      <c r="BS89" s="411"/>
      <c r="BT89" s="454">
        <f>SUM(BT84:BT88)</f>
        <v>0</v>
      </c>
      <c r="BU89" s="454">
        <f>SUM(BU84:BU88)</f>
        <v>0</v>
      </c>
      <c r="BV89" s="454">
        <f>SUM(BV84:BV88)</f>
        <v>0</v>
      </c>
      <c r="BW89" s="411"/>
      <c r="BX89" s="454">
        <f>SUM(BX84:BX88)</f>
        <v>-393</v>
      </c>
      <c r="BY89" s="454">
        <f>SUM(BY84:BY85,BY88)</f>
        <v>0</v>
      </c>
      <c r="BZ89" s="454">
        <f>SUM(BZ84:BZ85,BZ88)</f>
        <v>-393</v>
      </c>
      <c r="CA89" s="411"/>
      <c r="CB89" s="454">
        <f>SUM(CB84:CB85,CB88)</f>
        <v>-60</v>
      </c>
      <c r="CC89" s="454">
        <f>SUM(CC84:CC85,CC88)</f>
        <v>-139</v>
      </c>
      <c r="CD89" s="454">
        <f>SUM(CD84:CD85,CD88)</f>
        <v>-199</v>
      </c>
      <c r="CE89" s="423"/>
      <c r="CF89" s="454">
        <f>SUM(CF84:CF88)</f>
        <v>-91</v>
      </c>
      <c r="CG89" s="454">
        <f>SUM(CG84:CG88)</f>
        <v>-599</v>
      </c>
      <c r="CH89" s="454">
        <f>SUM(CH84:CH88)</f>
        <v>-690</v>
      </c>
      <c r="CI89" s="411"/>
      <c r="CJ89" s="454">
        <f>SUM(CJ84:CJ88)</f>
        <v>0</v>
      </c>
      <c r="CK89" s="454">
        <f>SUM(CK84:CK88)</f>
        <v>-461</v>
      </c>
      <c r="CL89" s="454">
        <f>SUM(CL84:CL88)</f>
        <v>-461</v>
      </c>
      <c r="CN89" s="454">
        <f>SUM(CN84:CN88)</f>
        <v>-242</v>
      </c>
      <c r="CO89" s="454">
        <f>SUM(CO84:CO88)</f>
        <v>-333</v>
      </c>
      <c r="CP89" s="454">
        <f>SUM(CP84:CP88)</f>
        <v>-575</v>
      </c>
      <c r="CR89" s="454">
        <f>SUM(CR84:CR88)</f>
        <v>-93</v>
      </c>
      <c r="CS89" s="454">
        <f>SUM(CS84:CS88)</f>
        <v>-547</v>
      </c>
      <c r="CT89" s="454">
        <f>SUM(CT84:CT88)</f>
        <v>-640</v>
      </c>
      <c r="CV89" s="454">
        <f>SUM(CV84:CV88)</f>
        <v>-137</v>
      </c>
      <c r="CW89" s="454">
        <f>SUM(CW84:CW88)</f>
        <v>-212</v>
      </c>
      <c r="CX89" s="454">
        <f>SUM(CX84:CX88)</f>
        <v>-212</v>
      </c>
      <c r="CZ89" s="454">
        <f>SUM(CZ84:CZ88)</f>
        <v>0</v>
      </c>
      <c r="DA89" s="454">
        <f>SUM(DA84:DA88)</f>
        <v>-89</v>
      </c>
      <c r="DB89" s="454">
        <f>SUM(DB84:DB88)</f>
        <v>-89</v>
      </c>
      <c r="DD89" s="454">
        <f>SUM(DD84:DD88)</f>
        <v>0</v>
      </c>
      <c r="DE89" s="454">
        <f>SUM(DE84:DE88)</f>
        <v>-130</v>
      </c>
      <c r="DF89" s="454">
        <f>SUM(DF84:DF88)</f>
        <v>-130</v>
      </c>
      <c r="DH89" s="454">
        <f>SUM(DH84:DH88)</f>
        <v>-170</v>
      </c>
      <c r="DI89" s="454">
        <f>SUM(DI84:DI88)</f>
        <v>-50</v>
      </c>
      <c r="DJ89" s="454">
        <f>SUM(DJ84:DJ88)</f>
        <v>-220</v>
      </c>
      <c r="DL89" s="454">
        <f>SUM(DL84:DL88)</f>
        <v>0</v>
      </c>
      <c r="DM89" s="454">
        <f>SUM(DM84:DM88)</f>
        <v>-50</v>
      </c>
      <c r="DN89" s="454">
        <f>SUM(DN84:DN88)</f>
        <v>-50</v>
      </c>
      <c r="DP89" s="454">
        <f>SUM(DP84:DP88)</f>
        <v>0</v>
      </c>
      <c r="DQ89" s="454">
        <f>SUM(DQ84:DQ88)</f>
        <v>-50</v>
      </c>
      <c r="DR89" s="454">
        <f>SUM(DR84:DR88)</f>
        <v>-50</v>
      </c>
      <c r="DT89" s="1"/>
      <c r="DU89" s="1"/>
      <c r="DV89" s="1"/>
      <c r="DW89" s="1"/>
      <c r="DX89" s="1"/>
      <c r="DY89" s="1"/>
      <c r="DZ89" s="1"/>
      <c r="EA89" s="1"/>
      <c r="EB89" s="1"/>
      <c r="EC89" s="1"/>
      <c r="ED89" s="1"/>
      <c r="EE89" s="1"/>
      <c r="EF89" s="1"/>
      <c r="EG89" s="1"/>
      <c r="EH89" s="1"/>
      <c r="EI89" s="1"/>
      <c r="EJ89" s="1"/>
      <c r="EK89" s="1"/>
      <c r="EL89" s="1"/>
      <c r="EM89" s="1"/>
      <c r="EN89" s="1"/>
      <c r="EO89" s="1"/>
      <c r="EP89" s="1"/>
      <c r="EQ89" s="1"/>
      <c r="ER89" s="1"/>
      <c r="ES89" s="1"/>
      <c r="ET89" s="1"/>
      <c r="EU89" s="1"/>
      <c r="EV89" s="1"/>
      <c r="EW89" s="1"/>
      <c r="EX89" s="1"/>
      <c r="EY89" s="1"/>
      <c r="EZ89" s="1"/>
      <c r="FA89" s="1"/>
      <c r="FB89" s="1"/>
      <c r="FC89" s="1"/>
      <c r="FD89" s="1"/>
      <c r="FE89" s="1"/>
      <c r="FF89" s="1"/>
      <c r="FG89" s="1"/>
      <c r="FH89" s="1"/>
      <c r="FI89" s="1"/>
      <c r="FJ89" s="1"/>
      <c r="FK89" s="1"/>
      <c r="FL89" s="1"/>
      <c r="FM89" s="1"/>
      <c r="FN89" s="1"/>
      <c r="FO89" s="1"/>
      <c r="FP89" s="1"/>
      <c r="FQ89" s="1"/>
      <c r="FR89" s="1"/>
      <c r="FS89" s="1"/>
      <c r="FT89" s="1"/>
      <c r="FU89" s="1"/>
      <c r="FV89" s="1"/>
      <c r="FW89" s="1"/>
      <c r="FX89" s="1"/>
      <c r="FY89" s="1"/>
      <c r="FZ89" s="1"/>
      <c r="GA89" s="1"/>
      <c r="GB89" s="1"/>
      <c r="GC89" s="1"/>
      <c r="GD89" s="1"/>
      <c r="GE89" s="1"/>
      <c r="GF89" s="1"/>
      <c r="GG89" s="1"/>
      <c r="GH89" s="1"/>
      <c r="GI89" s="1"/>
      <c r="GJ89" s="1"/>
      <c r="GK89" s="1"/>
      <c r="GL89" s="1"/>
      <c r="GM89" s="1"/>
      <c r="GN89" s="1"/>
      <c r="GO89" s="1"/>
      <c r="GP89" s="1"/>
      <c r="GQ89" s="1"/>
      <c r="GR89" s="1"/>
      <c r="GS89" s="1"/>
      <c r="GT89" s="1"/>
      <c r="GU89" s="1"/>
      <c r="GV89" s="1"/>
      <c r="GW89" s="1"/>
      <c r="GX89" s="1"/>
      <c r="GY89" s="1"/>
      <c r="GZ89" s="1"/>
      <c r="HA89" s="1"/>
      <c r="HB89" s="1"/>
      <c r="HC89" s="1"/>
      <c r="HD89" s="1"/>
      <c r="HE89" s="1"/>
      <c r="HF89" s="1"/>
      <c r="HG89" s="1"/>
      <c r="HH89" s="1"/>
      <c r="HI89" s="1"/>
      <c r="HJ89" s="1"/>
      <c r="HK89" s="1"/>
      <c r="HL89" s="1"/>
      <c r="HM89" s="1"/>
      <c r="HN89" s="1"/>
      <c r="HO89" s="1"/>
      <c r="HP89" s="1"/>
      <c r="HQ89" s="1"/>
      <c r="HR89" s="1"/>
      <c r="HS89" s="1"/>
      <c r="HT89" s="1"/>
      <c r="HU89" s="1"/>
      <c r="HV89" s="1"/>
      <c r="HW89" s="1"/>
      <c r="HX89" s="1"/>
      <c r="HY89" s="1"/>
      <c r="HZ89" s="1"/>
      <c r="IA89" s="1"/>
      <c r="IB89" s="1"/>
      <c r="IC89" s="1"/>
      <c r="ID89" s="1"/>
      <c r="IE89" s="1"/>
      <c r="IF89" s="1"/>
      <c r="IG89" s="1"/>
      <c r="IH89" s="1"/>
      <c r="II89" s="1"/>
      <c r="IJ89" s="1"/>
      <c r="IK89" s="1"/>
      <c r="IL89" s="1"/>
      <c r="IM89" s="1"/>
      <c r="IN89" s="1"/>
      <c r="IO89" s="1"/>
      <c r="IP89" s="1"/>
      <c r="IQ89" s="1"/>
      <c r="IR89" s="1"/>
      <c r="IS89" s="1"/>
      <c r="IT89" s="1"/>
      <c r="IU89" s="1"/>
      <c r="IV89" s="1"/>
      <c r="IW89" s="1"/>
      <c r="IX89" s="1"/>
      <c r="IY89" s="1"/>
      <c r="IZ89" s="1"/>
      <c r="JA89" s="1"/>
      <c r="JB89" s="1"/>
      <c r="JC89" s="1"/>
      <c r="JD89" s="1"/>
    </row>
    <row r="90" spans="1:264" s="347" customFormat="1" x14ac:dyDescent="0.2">
      <c r="A90" s="444" t="s">
        <v>253</v>
      </c>
      <c r="B90" s="423"/>
      <c r="C90" s="411"/>
      <c r="D90" s="411"/>
      <c r="E90" s="411"/>
      <c r="F90" s="411"/>
      <c r="G90" s="411"/>
      <c r="H90" s="411"/>
      <c r="I90" s="411"/>
      <c r="J90" s="411"/>
      <c r="K90" s="411"/>
      <c r="L90" s="411"/>
      <c r="M90" s="411"/>
      <c r="N90" s="411"/>
      <c r="O90" s="411"/>
      <c r="P90" s="411"/>
      <c r="Q90" s="411"/>
      <c r="R90" s="411"/>
      <c r="S90" s="411"/>
      <c r="T90" s="411"/>
      <c r="U90" s="411"/>
      <c r="V90" s="411"/>
      <c r="W90" s="411"/>
      <c r="X90" s="411"/>
      <c r="Y90" s="411"/>
      <c r="Z90" s="411"/>
      <c r="AA90" s="411"/>
      <c r="AB90" s="411"/>
      <c r="AC90" s="411"/>
      <c r="AD90" s="411"/>
      <c r="AE90" s="411"/>
      <c r="AF90" s="411"/>
      <c r="AG90" s="411"/>
      <c r="AH90" s="411"/>
      <c r="AI90" s="411"/>
      <c r="AJ90" s="411"/>
      <c r="AK90" s="411"/>
      <c r="AL90" s="411"/>
      <c r="AM90" s="411"/>
      <c r="AN90" s="411"/>
      <c r="AO90" s="411"/>
      <c r="AP90" s="411"/>
      <c r="AQ90" s="411"/>
      <c r="AR90" s="411"/>
      <c r="AS90" s="411"/>
      <c r="AT90" s="411"/>
      <c r="AU90" s="411"/>
      <c r="AV90" s="411"/>
      <c r="AW90" s="411"/>
      <c r="AX90" s="411"/>
      <c r="AY90" s="411"/>
      <c r="AZ90" s="411"/>
      <c r="BA90" s="411"/>
      <c r="BB90" s="411"/>
      <c r="BC90" s="411"/>
      <c r="BD90" s="411"/>
      <c r="BE90" s="411"/>
      <c r="BF90" s="411"/>
      <c r="BG90" s="411"/>
      <c r="BH90" s="397">
        <f>+BH83-BH89</f>
        <v>-4467</v>
      </c>
      <c r="BI90" s="397">
        <f>+BI83-BI89</f>
        <v>-4543</v>
      </c>
      <c r="BJ90" s="397">
        <f>+BJ83-BJ89</f>
        <v>-9010</v>
      </c>
      <c r="BK90" s="423"/>
      <c r="BL90" s="397">
        <f>+BL83-BL89</f>
        <v>-4751</v>
      </c>
      <c r="BM90" s="397">
        <f>+BM83-BM89</f>
        <v>-4748</v>
      </c>
      <c r="BN90" s="397">
        <f>+BN83-BN89</f>
        <v>-9499</v>
      </c>
      <c r="BO90" s="423"/>
      <c r="BP90" s="397">
        <f>+BP83-BP89</f>
        <v>-4914</v>
      </c>
      <c r="BQ90" s="397">
        <f>+BQ83-BQ89</f>
        <v>-5079</v>
      </c>
      <c r="BR90" s="397">
        <f>+BR83-BR89</f>
        <v>-9993</v>
      </c>
      <c r="BS90" s="411"/>
      <c r="BT90" s="397">
        <f>+BT83-BT89</f>
        <v>-5210</v>
      </c>
      <c r="BU90" s="397">
        <f>+BU83-BU89</f>
        <v>-5224</v>
      </c>
      <c r="BV90" s="397">
        <f>+BV83-BV89</f>
        <v>-10434</v>
      </c>
      <c r="BW90" s="411"/>
      <c r="BX90" s="397">
        <f>+BX83-BX89</f>
        <v>-5081</v>
      </c>
      <c r="BY90" s="397">
        <f>+BY83-BY89</f>
        <v>-5148</v>
      </c>
      <c r="BZ90" s="397">
        <f>+BZ83-BZ89</f>
        <v>-10229</v>
      </c>
      <c r="CA90" s="411"/>
      <c r="CB90" s="397">
        <f>+CB83-CB89</f>
        <v>-5396</v>
      </c>
      <c r="CC90" s="397">
        <f>+CC83-CC89</f>
        <v>-5400</v>
      </c>
      <c r="CD90" s="397">
        <f>+CD83-CD89</f>
        <v>-10796</v>
      </c>
      <c r="CE90" s="411"/>
      <c r="CF90" s="397">
        <f>+CF83-CF89</f>
        <v>-4975</v>
      </c>
      <c r="CG90" s="397">
        <f>+CG83-CG89</f>
        <v>-5159</v>
      </c>
      <c r="CH90" s="397">
        <f>+CH83-CH89</f>
        <v>-10134</v>
      </c>
      <c r="CI90" s="411"/>
      <c r="CJ90" s="397">
        <f>+CJ83-CJ89</f>
        <v>-5257</v>
      </c>
      <c r="CK90" s="397">
        <f>+CK83-CK89</f>
        <v>-5278</v>
      </c>
      <c r="CL90" s="397">
        <f>+CL83-CL89</f>
        <v>-10535</v>
      </c>
      <c r="CM90" s="455"/>
      <c r="CN90" s="397">
        <f>+CN83-CN89</f>
        <v>-5349</v>
      </c>
      <c r="CO90" s="397">
        <f>+CO83-CO89</f>
        <v>-5435</v>
      </c>
      <c r="CP90" s="397">
        <f>+CP83-CP89</f>
        <v>-10784</v>
      </c>
      <c r="CQ90" s="411"/>
      <c r="CR90" s="397">
        <f>+CR83-CR89</f>
        <v>-5397</v>
      </c>
      <c r="CS90" s="397">
        <f>+CS83-CS89</f>
        <v>-5391</v>
      </c>
      <c r="CT90" s="397">
        <f>+CT83-CT89</f>
        <v>-10788</v>
      </c>
      <c r="CU90" s="411"/>
      <c r="CV90" s="397">
        <f>+CV83-CV89</f>
        <v>-5636</v>
      </c>
      <c r="CW90" s="397">
        <f>+CW83-CW89</f>
        <v>-5873</v>
      </c>
      <c r="CX90" s="397">
        <f>+CX83-CX89</f>
        <v>-11646</v>
      </c>
      <c r="CY90" s="411"/>
      <c r="CZ90" s="397">
        <f>+CZ83-CZ89</f>
        <v>-6011</v>
      </c>
      <c r="DA90" s="397">
        <f>+DA83-DA89</f>
        <v>-6118</v>
      </c>
      <c r="DB90" s="397">
        <f>+DB83-DB89</f>
        <v>-12129</v>
      </c>
      <c r="DC90" s="411"/>
      <c r="DD90" s="397">
        <f>+DD83-DD89</f>
        <v>-6372</v>
      </c>
      <c r="DE90" s="397">
        <f>+DE83-DE89</f>
        <v>-6494</v>
      </c>
      <c r="DF90" s="397">
        <f>+DF83-DF89</f>
        <v>-12866</v>
      </c>
      <c r="DG90" s="411"/>
      <c r="DH90" s="397">
        <f>+DH83-DH89</f>
        <v>-6720</v>
      </c>
      <c r="DI90" s="397">
        <f>+DI83-DI89</f>
        <v>-6740.2006014272984</v>
      </c>
      <c r="DJ90" s="397">
        <f>+DJ83-DJ89</f>
        <v>-13460.200601427299</v>
      </c>
      <c r="DK90" s="411"/>
      <c r="DL90" s="397">
        <f>+DL83-DL89</f>
        <v>-7001.0985366253462</v>
      </c>
      <c r="DM90" s="397">
        <f>+DM83-DM89</f>
        <v>-7022.4476853043052</v>
      </c>
      <c r="DN90" s="397">
        <f>+DN83-DN89</f>
        <v>-14023.546221929651</v>
      </c>
      <c r="DO90" s="411"/>
      <c r="DP90" s="397">
        <f>+DP83-DP89</f>
        <v>-7290.0077743019428</v>
      </c>
      <c r="DQ90" s="397">
        <f>+DQ83-DQ89</f>
        <v>-7332.2091061050687</v>
      </c>
      <c r="DR90" s="397">
        <f>+DR83-DR89</f>
        <v>-14622.21688040701</v>
      </c>
      <c r="DS90" s="411"/>
      <c r="DT90" s="1"/>
      <c r="DU90" s="1"/>
      <c r="DV90" s="1"/>
      <c r="DW90" s="1"/>
      <c r="DX90" s="1"/>
      <c r="DY90" s="1"/>
      <c r="DZ90" s="1"/>
      <c r="EA90" s="1"/>
      <c r="EB90" s="1"/>
      <c r="EC90" s="1"/>
      <c r="ED90" s="1"/>
      <c r="EE90" s="1"/>
      <c r="EF90" s="1"/>
      <c r="EG90" s="1"/>
      <c r="EH90" s="1"/>
      <c r="EI90" s="1"/>
      <c r="EJ90" s="1"/>
      <c r="EK90" s="1"/>
      <c r="EL90" s="1"/>
      <c r="EM90" s="1"/>
      <c r="EN90" s="1"/>
      <c r="EO90" s="1"/>
      <c r="EP90" s="1"/>
      <c r="EQ90" s="1"/>
      <c r="ER90" s="1"/>
      <c r="ES90" s="1"/>
      <c r="ET90" s="1"/>
      <c r="EU90" s="1"/>
      <c r="EV90" s="1"/>
      <c r="EW90" s="1"/>
      <c r="EX90" s="1"/>
      <c r="EY90" s="1"/>
      <c r="EZ90" s="1"/>
      <c r="FA90" s="1"/>
      <c r="FB90" s="1"/>
      <c r="FC90" s="1"/>
      <c r="FD90" s="1"/>
      <c r="FE90" s="1"/>
      <c r="FF90" s="1"/>
      <c r="FG90" s="1"/>
      <c r="FH90" s="1"/>
      <c r="FI90" s="1"/>
      <c r="FJ90" s="1"/>
      <c r="FK90" s="1"/>
      <c r="FL90" s="1"/>
      <c r="FM90" s="1"/>
      <c r="FN90" s="1"/>
      <c r="FO90" s="1"/>
      <c r="FP90" s="1"/>
      <c r="FQ90" s="1"/>
      <c r="FR90" s="1"/>
      <c r="FS90" s="1"/>
      <c r="FT90" s="1"/>
      <c r="FU90" s="1"/>
      <c r="FV90" s="1"/>
      <c r="FW90" s="1"/>
      <c r="FX90" s="1"/>
      <c r="FY90" s="1"/>
      <c r="FZ90" s="1"/>
      <c r="GA90" s="1"/>
      <c r="GB90" s="1"/>
      <c r="GC90" s="1"/>
      <c r="GD90" s="1"/>
      <c r="GE90" s="1"/>
      <c r="GF90" s="1"/>
      <c r="GG90" s="1"/>
      <c r="GH90" s="1"/>
      <c r="GI90" s="1"/>
      <c r="GJ90" s="1"/>
      <c r="GK90" s="1"/>
      <c r="GL90" s="1"/>
      <c r="GM90" s="1"/>
      <c r="GN90" s="1"/>
      <c r="GO90" s="1"/>
      <c r="GP90" s="1"/>
      <c r="GQ90" s="1"/>
      <c r="GR90" s="1"/>
      <c r="GS90" s="1"/>
      <c r="GT90" s="1"/>
      <c r="GU90" s="1"/>
      <c r="GV90" s="1"/>
      <c r="GW90" s="1"/>
      <c r="GX90" s="1"/>
      <c r="GY90" s="1"/>
      <c r="GZ90" s="1"/>
      <c r="HA90" s="1"/>
      <c r="HB90" s="1"/>
      <c r="HC90" s="1"/>
      <c r="HD90" s="1"/>
      <c r="HE90" s="1"/>
      <c r="HF90" s="1"/>
      <c r="HG90" s="1"/>
      <c r="HH90" s="1"/>
      <c r="HI90" s="1"/>
      <c r="HJ90" s="1"/>
      <c r="HK90" s="1"/>
      <c r="HL90" s="1"/>
      <c r="HM90" s="1"/>
      <c r="HN90" s="1"/>
      <c r="HO90" s="1"/>
      <c r="HP90" s="1"/>
      <c r="HQ90" s="1"/>
      <c r="HR90" s="1"/>
      <c r="HS90" s="1"/>
      <c r="HT90" s="1"/>
      <c r="HU90" s="1"/>
      <c r="HV90" s="1"/>
      <c r="HW90" s="1"/>
      <c r="HX90" s="1"/>
      <c r="HY90" s="1"/>
      <c r="HZ90" s="1"/>
      <c r="IA90" s="1"/>
      <c r="IB90" s="1"/>
      <c r="IC90" s="1"/>
      <c r="ID90" s="1"/>
      <c r="IE90" s="1"/>
      <c r="IF90" s="1"/>
      <c r="IG90" s="1"/>
      <c r="IH90" s="1"/>
      <c r="II90" s="1"/>
      <c r="IJ90" s="1"/>
      <c r="IK90" s="1"/>
      <c r="IL90" s="1"/>
      <c r="IM90" s="1"/>
      <c r="IN90" s="1"/>
      <c r="IO90" s="1"/>
      <c r="IP90" s="1"/>
      <c r="IQ90" s="1"/>
      <c r="IR90" s="1"/>
      <c r="IS90" s="1"/>
      <c r="IT90" s="1"/>
      <c r="IU90" s="1"/>
      <c r="IV90" s="1"/>
      <c r="IW90" s="1"/>
      <c r="IX90" s="1"/>
      <c r="IY90" s="1"/>
      <c r="IZ90" s="1"/>
      <c r="JA90" s="1"/>
      <c r="JB90" s="1"/>
      <c r="JC90" s="1"/>
      <c r="JD90" s="1"/>
    </row>
    <row r="91" spans="1:264" s="347" customFormat="1" x14ac:dyDescent="0.2">
      <c r="A91" s="444"/>
      <c r="B91" s="423"/>
      <c r="C91" s="411"/>
      <c r="D91" s="411"/>
      <c r="E91" s="411"/>
      <c r="F91" s="411"/>
      <c r="G91" s="411"/>
      <c r="H91" s="411"/>
      <c r="I91" s="411"/>
      <c r="J91" s="411"/>
      <c r="K91" s="411"/>
      <c r="L91" s="411"/>
      <c r="M91" s="411"/>
      <c r="N91" s="411"/>
      <c r="O91" s="411"/>
      <c r="P91" s="411"/>
      <c r="Q91" s="411"/>
      <c r="R91" s="411"/>
      <c r="S91" s="411"/>
      <c r="T91" s="411"/>
      <c r="U91" s="411"/>
      <c r="V91" s="411"/>
      <c r="W91" s="411"/>
      <c r="X91" s="411"/>
      <c r="Y91" s="411"/>
      <c r="Z91" s="411"/>
      <c r="AA91" s="411"/>
      <c r="AB91" s="411"/>
      <c r="AC91" s="411"/>
      <c r="AD91" s="411"/>
      <c r="AE91" s="411"/>
      <c r="AF91" s="411"/>
      <c r="AG91" s="411"/>
      <c r="AH91" s="411"/>
      <c r="AI91" s="411"/>
      <c r="AJ91" s="411"/>
      <c r="AK91" s="411"/>
      <c r="AL91" s="411"/>
      <c r="AM91" s="411"/>
      <c r="AN91" s="411"/>
      <c r="AO91" s="411"/>
      <c r="AP91" s="411"/>
      <c r="AQ91" s="411"/>
      <c r="AR91" s="411"/>
      <c r="AS91" s="411"/>
      <c r="AT91" s="411"/>
      <c r="AU91" s="411"/>
      <c r="AV91" s="411"/>
      <c r="AW91" s="411"/>
      <c r="AX91" s="411"/>
      <c r="AY91" s="411"/>
      <c r="AZ91" s="411"/>
      <c r="BA91" s="411"/>
      <c r="BB91" s="411"/>
      <c r="BC91" s="411"/>
      <c r="BD91" s="411"/>
      <c r="BE91" s="411"/>
      <c r="BF91" s="411"/>
      <c r="BG91" s="411"/>
      <c r="BH91" s="397"/>
      <c r="BI91" s="397"/>
      <c r="BJ91" s="397"/>
      <c r="BK91" s="423"/>
      <c r="BL91" s="397"/>
      <c r="BM91" s="397"/>
      <c r="BN91" s="397"/>
      <c r="BO91" s="423"/>
      <c r="BP91" s="397"/>
      <c r="BQ91" s="397"/>
      <c r="BR91" s="397"/>
      <c r="BS91" s="411"/>
      <c r="BT91" s="397"/>
      <c r="BU91" s="397"/>
      <c r="BV91" s="397"/>
      <c r="BW91" s="411"/>
      <c r="BX91" s="397"/>
      <c r="BY91" s="397"/>
      <c r="BZ91" s="397"/>
      <c r="CA91" s="411"/>
      <c r="CB91" s="397"/>
      <c r="CC91" s="397"/>
      <c r="CD91" s="397"/>
      <c r="CE91" s="411"/>
      <c r="CF91" s="397"/>
      <c r="CG91" s="397"/>
      <c r="CH91" s="397"/>
      <c r="CI91" s="411"/>
      <c r="CJ91" s="397"/>
      <c r="CK91" s="397"/>
      <c r="CL91" s="397"/>
      <c r="CM91" s="455"/>
      <c r="CN91" s="397"/>
      <c r="CO91" s="397"/>
      <c r="CP91" s="397"/>
      <c r="CQ91" s="411"/>
      <c r="CR91" s="397"/>
      <c r="CS91" s="397"/>
      <c r="CT91" s="397"/>
      <c r="CU91" s="411"/>
      <c r="CV91" s="397"/>
      <c r="CW91" s="397"/>
      <c r="CX91" s="397"/>
      <c r="CY91" s="411"/>
      <c r="CZ91" s="397"/>
      <c r="DA91" s="397"/>
      <c r="DB91" s="397"/>
      <c r="DC91" s="411"/>
      <c r="DD91" s="397"/>
      <c r="DE91" s="397"/>
      <c r="DF91" s="397"/>
      <c r="DG91" s="411"/>
      <c r="DH91" s="397"/>
      <c r="DI91" s="397"/>
      <c r="DJ91" s="397"/>
      <c r="DK91" s="411"/>
      <c r="DL91" s="397"/>
      <c r="DM91" s="397"/>
      <c r="DN91" s="397"/>
      <c r="DO91" s="411"/>
      <c r="DP91" s="397"/>
      <c r="DQ91" s="397"/>
      <c r="DR91" s="397"/>
      <c r="DS91" s="411"/>
      <c r="DT91" s="1"/>
      <c r="DU91" s="1"/>
      <c r="DV91" s="1"/>
      <c r="DW91" s="1"/>
      <c r="DX91" s="1"/>
      <c r="DY91" s="1"/>
      <c r="DZ91" s="1"/>
      <c r="EA91" s="1"/>
      <c r="EB91" s="1"/>
      <c r="EC91" s="1"/>
      <c r="ED91" s="1"/>
      <c r="EE91" s="1"/>
      <c r="EF91" s="1"/>
      <c r="EG91" s="1"/>
      <c r="EH91" s="1"/>
      <c r="EI91" s="1"/>
      <c r="EJ91" s="1"/>
      <c r="EK91" s="1"/>
      <c r="EL91" s="1"/>
      <c r="EM91" s="1"/>
      <c r="EN91" s="1"/>
      <c r="EO91" s="1"/>
      <c r="EP91" s="1"/>
      <c r="EQ91" s="1"/>
      <c r="ER91" s="1"/>
      <c r="ES91" s="1"/>
      <c r="ET91" s="1"/>
      <c r="EU91" s="1"/>
      <c r="EV91" s="1"/>
      <c r="EW91" s="1"/>
      <c r="EX91" s="1"/>
      <c r="EY91" s="1"/>
      <c r="EZ91" s="1"/>
      <c r="FA91" s="1"/>
      <c r="FB91" s="1"/>
      <c r="FC91" s="1"/>
      <c r="FD91" s="1"/>
      <c r="FE91" s="1"/>
      <c r="FF91" s="1"/>
      <c r="FG91" s="1"/>
      <c r="FH91" s="1"/>
      <c r="FI91" s="1"/>
      <c r="FJ91" s="1"/>
      <c r="FK91" s="1"/>
      <c r="FL91" s="1"/>
      <c r="FM91" s="1"/>
      <c r="FN91" s="1"/>
      <c r="FO91" s="1"/>
      <c r="FP91" s="1"/>
      <c r="FQ91" s="1"/>
      <c r="FR91" s="1"/>
      <c r="FS91" s="1"/>
      <c r="FT91" s="1"/>
      <c r="FU91" s="1"/>
      <c r="FV91" s="1"/>
      <c r="FW91" s="1"/>
      <c r="FX91" s="1"/>
      <c r="FY91" s="1"/>
      <c r="FZ91" s="1"/>
      <c r="GA91" s="1"/>
      <c r="GB91" s="1"/>
      <c r="GC91" s="1"/>
      <c r="GD91" s="1"/>
      <c r="GE91" s="1"/>
      <c r="GF91" s="1"/>
      <c r="GG91" s="1"/>
      <c r="GH91" s="1"/>
      <c r="GI91" s="1"/>
      <c r="GJ91" s="1"/>
      <c r="GK91" s="1"/>
      <c r="GL91" s="1"/>
      <c r="GM91" s="1"/>
      <c r="GN91" s="1"/>
      <c r="GO91" s="1"/>
      <c r="GP91" s="1"/>
      <c r="GQ91" s="1"/>
      <c r="GR91" s="1"/>
      <c r="GS91" s="1"/>
      <c r="GT91" s="1"/>
      <c r="GU91" s="1"/>
      <c r="GV91" s="1"/>
      <c r="GW91" s="1"/>
      <c r="GX91" s="1"/>
      <c r="GY91" s="1"/>
      <c r="GZ91" s="1"/>
      <c r="HA91" s="1"/>
      <c r="HB91" s="1"/>
      <c r="HC91" s="1"/>
      <c r="HD91" s="1"/>
      <c r="HE91" s="1"/>
      <c r="HF91" s="1"/>
      <c r="HG91" s="1"/>
      <c r="HH91" s="1"/>
      <c r="HI91" s="1"/>
      <c r="HJ91" s="1"/>
      <c r="HK91" s="1"/>
      <c r="HL91" s="1"/>
      <c r="HM91" s="1"/>
      <c r="HN91" s="1"/>
      <c r="HO91" s="1"/>
      <c r="HP91" s="1"/>
      <c r="HQ91" s="1"/>
      <c r="HR91" s="1"/>
      <c r="HS91" s="1"/>
      <c r="HT91" s="1"/>
      <c r="HU91" s="1"/>
      <c r="HV91" s="1"/>
      <c r="HW91" s="1"/>
      <c r="HX91" s="1"/>
      <c r="HY91" s="1"/>
      <c r="HZ91" s="1"/>
      <c r="IA91" s="1"/>
      <c r="IB91" s="1"/>
      <c r="IC91" s="1"/>
      <c r="ID91" s="1"/>
      <c r="IE91" s="1"/>
      <c r="IF91" s="1"/>
      <c r="IG91" s="1"/>
      <c r="IH91" s="1"/>
      <c r="II91" s="1"/>
      <c r="IJ91" s="1"/>
      <c r="IK91" s="1"/>
      <c r="IL91" s="1"/>
      <c r="IM91" s="1"/>
      <c r="IN91" s="1"/>
      <c r="IO91" s="1"/>
      <c r="IP91" s="1"/>
      <c r="IQ91" s="1"/>
      <c r="IR91" s="1"/>
      <c r="IS91" s="1"/>
      <c r="IT91" s="1"/>
      <c r="IU91" s="1"/>
      <c r="IV91" s="1"/>
      <c r="IW91" s="1"/>
      <c r="IX91" s="1"/>
      <c r="IY91" s="1"/>
      <c r="IZ91" s="1"/>
      <c r="JA91" s="1"/>
      <c r="JB91" s="1"/>
      <c r="JC91" s="1"/>
      <c r="JD91" s="1"/>
    </row>
    <row r="92" spans="1:264" s="347" customFormat="1" x14ac:dyDescent="0.2">
      <c r="A92" s="452" t="s">
        <v>233</v>
      </c>
      <c r="B92" s="348"/>
      <c r="BH92" s="348"/>
      <c r="BI92" s="348"/>
      <c r="BJ92" s="348"/>
      <c r="BK92" s="348"/>
      <c r="BL92" s="393"/>
      <c r="BM92" s="393"/>
      <c r="BN92" s="393"/>
      <c r="BO92" s="348"/>
      <c r="BP92" s="393">
        <f>+BP90/BL90-1</f>
        <v>3.4308566617554215E-2</v>
      </c>
      <c r="BQ92" s="393">
        <f>+BQ90/BM90-1</f>
        <v>6.9713563605728668E-2</v>
      </c>
      <c r="BR92" s="393">
        <f>+BR90/BN90-1</f>
        <v>5.2005474260448548E-2</v>
      </c>
      <c r="BT92" s="393">
        <f>+BT90/BP90-1</f>
        <v>6.0236060236060318E-2</v>
      </c>
      <c r="BU92" s="393">
        <f>+BU90/BQ90-1</f>
        <v>2.8548926954124809E-2</v>
      </c>
      <c r="BV92" s="393">
        <f>+BV90/BR90-1</f>
        <v>4.413089162413697E-2</v>
      </c>
      <c r="BX92" s="394">
        <f>+BX90/BT90-1</f>
        <v>-2.4760076775431905E-2</v>
      </c>
      <c r="BY92" s="394">
        <f>+BY90/BU90-1</f>
        <v>-1.4548238897396648E-2</v>
      </c>
      <c r="BZ92" s="394">
        <f>+BZ90/BV90-1</f>
        <v>-1.9647306881349413E-2</v>
      </c>
      <c r="CB92" s="394">
        <f>+CB90/BX90-1</f>
        <v>6.1995670143672577E-2</v>
      </c>
      <c r="CC92" s="394">
        <f>+CC90/BY90-1</f>
        <v>4.8951048951048959E-2</v>
      </c>
      <c r="CD92" s="394">
        <f>+CD90/BZ90-1</f>
        <v>5.5430638381073427E-2</v>
      </c>
      <c r="CF92" s="394">
        <f>+CF90/CB90-1</f>
        <v>-7.8020756115641188E-2</v>
      </c>
      <c r="CG92" s="394">
        <f>+CG90/CC90-1</f>
        <v>-4.4629629629629575E-2</v>
      </c>
      <c r="CH92" s="394">
        <f>+CH90/CD90-1</f>
        <v>-6.1319007039644324E-2</v>
      </c>
      <c r="CJ92" s="394">
        <f>+CJ90/CF90-1</f>
        <v>5.6683417085427124E-2</v>
      </c>
      <c r="CK92" s="394">
        <f>+CK90/CG90-1</f>
        <v>2.3066485753052923E-2</v>
      </c>
      <c r="CL92" s="394">
        <f>+CL90/CH90-1</f>
        <v>3.9569765147029701E-2</v>
      </c>
      <c r="CN92" s="394">
        <f>+CN90/CJ90-1</f>
        <v>1.7500475556400996E-2</v>
      </c>
      <c r="CO92" s="394">
        <f>+CO90/CK90-1</f>
        <v>2.9746115953012575E-2</v>
      </c>
      <c r="CP92" s="394">
        <f>+CP90/CL90-1</f>
        <v>2.3635500711912671E-2</v>
      </c>
      <c r="CR92" s="394">
        <f>+CR90/CN90-1</f>
        <v>8.9736399326976191E-3</v>
      </c>
      <c r="CS92" s="394">
        <f>+CS90/CO90-1</f>
        <v>-8.0956761729530369E-3</v>
      </c>
      <c r="CT92" s="394">
        <f>+CT90/CP90-1</f>
        <v>3.7091988130555364E-4</v>
      </c>
      <c r="CV92" s="394">
        <f>+CV90/CR90-1</f>
        <v>4.4283861404484037E-2</v>
      </c>
      <c r="CW92" s="394">
        <f>+CW90/CS90-1</f>
        <v>8.940827304767196E-2</v>
      </c>
      <c r="CX92" s="394">
        <f>+CX90/CT90-1</f>
        <v>7.953281423804226E-2</v>
      </c>
      <c r="CZ92" s="394">
        <f>+CZ90/CV90-1</f>
        <v>6.6536550745209366E-2</v>
      </c>
      <c r="DA92" s="394">
        <f>+DA90/CW90-1</f>
        <v>4.171632896305133E-2</v>
      </c>
      <c r="DB92" s="394">
        <f>+DB90/CX90-1</f>
        <v>4.1473467284904642E-2</v>
      </c>
      <c r="DD92" s="394">
        <f>+DD90/CZ90-1</f>
        <v>6.0056562967892191E-2</v>
      </c>
      <c r="DE92" s="394">
        <f>+DE90/DA90-1</f>
        <v>6.1457992808107154E-2</v>
      </c>
      <c r="DF92" s="394">
        <f>+DF90/DB90-1</f>
        <v>6.0763459477285897E-2</v>
      </c>
      <c r="DH92" s="394">
        <f>+DH90/DD90-1</f>
        <v>5.4613935969868077E-2</v>
      </c>
      <c r="DI92" s="394">
        <f>+DI90/DE90-1</f>
        <v>3.791201130694466E-2</v>
      </c>
      <c r="DJ92" s="394">
        <f>+DJ90/DF90-1</f>
        <v>4.6183786835636509E-2</v>
      </c>
      <c r="DL92" s="394">
        <f>+DL90/DH90-1</f>
        <v>4.1830139378771669E-2</v>
      </c>
      <c r="DM92" s="394">
        <f>+DM90/DI90-1</f>
        <v>4.1875175616767013E-2</v>
      </c>
      <c r="DN92" s="394">
        <f>+DN90/DJ90-1</f>
        <v>4.1852691292179944E-2</v>
      </c>
      <c r="DP92" s="394">
        <f>+DP90/DL90-1</f>
        <v>4.1266272166461393E-2</v>
      </c>
      <c r="DQ92" s="394">
        <f>+DQ90/DM90-1</f>
        <v>4.411017848505927E-2</v>
      </c>
      <c r="DR92" s="394">
        <f>+DR90/DN90-1</f>
        <v>4.2690390077024354E-2</v>
      </c>
      <c r="DT92" s="1"/>
      <c r="DU92" s="1"/>
      <c r="DV92" s="1"/>
      <c r="DW92" s="1"/>
      <c r="DX92" s="1"/>
      <c r="DY92" s="1"/>
      <c r="DZ92" s="1"/>
      <c r="EA92" s="1"/>
      <c r="EB92" s="1"/>
      <c r="EC92" s="1"/>
      <c r="ED92" s="1"/>
      <c r="EE92" s="1"/>
      <c r="EF92" s="1"/>
      <c r="EG92" s="1"/>
      <c r="EH92" s="1"/>
      <c r="EI92" s="1"/>
      <c r="EJ92" s="1"/>
      <c r="EK92" s="1"/>
      <c r="EL92" s="1"/>
      <c r="EM92" s="1"/>
      <c r="EN92" s="1"/>
      <c r="EO92" s="1"/>
      <c r="EP92" s="1"/>
      <c r="EQ92" s="1"/>
      <c r="ER92" s="1"/>
      <c r="ES92" s="1"/>
      <c r="ET92" s="1"/>
      <c r="EU92" s="1"/>
      <c r="EV92" s="1"/>
      <c r="EW92" s="1"/>
      <c r="EX92" s="1"/>
      <c r="EY92" s="1"/>
      <c r="EZ92" s="1"/>
      <c r="FA92" s="1"/>
      <c r="FB92" s="1"/>
      <c r="FC92" s="1"/>
      <c r="FD92" s="1"/>
      <c r="FE92" s="1"/>
      <c r="FF92" s="1"/>
      <c r="FG92" s="1"/>
      <c r="FH92" s="1"/>
      <c r="FI92" s="1"/>
      <c r="FJ92" s="1"/>
      <c r="FK92" s="1"/>
      <c r="FL92" s="1"/>
      <c r="FM92" s="1"/>
      <c r="FN92" s="1"/>
      <c r="FO92" s="1"/>
      <c r="FP92" s="1"/>
      <c r="FQ92" s="1"/>
      <c r="FR92" s="1"/>
      <c r="FS92" s="1"/>
      <c r="FT92" s="1"/>
      <c r="FU92" s="1"/>
      <c r="FV92" s="1"/>
      <c r="FW92" s="1"/>
      <c r="FX92" s="1"/>
      <c r="FY92" s="1"/>
      <c r="FZ92" s="1"/>
      <c r="GA92" s="1"/>
      <c r="GB92" s="1"/>
      <c r="GC92" s="1"/>
      <c r="GD92" s="1"/>
      <c r="GE92" s="1"/>
      <c r="GF92" s="1"/>
      <c r="GG92" s="1"/>
      <c r="GH92" s="1"/>
      <c r="GI92" s="1"/>
      <c r="GJ92" s="1"/>
      <c r="GK92" s="1"/>
      <c r="GL92" s="1"/>
      <c r="GM92" s="1"/>
      <c r="GN92" s="1"/>
      <c r="GO92" s="1"/>
      <c r="GP92" s="1"/>
      <c r="GQ92" s="1"/>
      <c r="GR92" s="1"/>
      <c r="GS92" s="1"/>
      <c r="GT92" s="1"/>
      <c r="GU92" s="1"/>
      <c r="GV92" s="1"/>
      <c r="GW92" s="1"/>
      <c r="GX92" s="1"/>
      <c r="GY92" s="1"/>
      <c r="GZ92" s="1"/>
      <c r="HA92" s="1"/>
      <c r="HB92" s="1"/>
      <c r="HC92" s="1"/>
      <c r="HD92" s="1"/>
      <c r="HE92" s="1"/>
      <c r="HF92" s="1"/>
      <c r="HG92" s="1"/>
      <c r="HH92" s="1"/>
      <c r="HI92" s="1"/>
      <c r="HJ92" s="1"/>
      <c r="HK92" s="1"/>
      <c r="HL92" s="1"/>
      <c r="HM92" s="1"/>
      <c r="HN92" s="1"/>
      <c r="HO92" s="1"/>
      <c r="HP92" s="1"/>
      <c r="HQ92" s="1"/>
      <c r="HR92" s="1"/>
      <c r="HS92" s="1"/>
      <c r="HT92" s="1"/>
      <c r="HU92" s="1"/>
      <c r="HV92" s="1"/>
      <c r="HW92" s="1"/>
      <c r="HX92" s="1"/>
      <c r="HY92" s="1"/>
      <c r="HZ92" s="1"/>
      <c r="IA92" s="1"/>
      <c r="IB92" s="1"/>
      <c r="IC92" s="1"/>
      <c r="ID92" s="1"/>
      <c r="IE92" s="1"/>
      <c r="IF92" s="1"/>
      <c r="IG92" s="1"/>
      <c r="IH92" s="1"/>
      <c r="II92" s="1"/>
      <c r="IJ92" s="1"/>
      <c r="IK92" s="1"/>
      <c r="IL92" s="1"/>
      <c r="IM92" s="1"/>
      <c r="IN92" s="1"/>
      <c r="IO92" s="1"/>
      <c r="IP92" s="1"/>
      <c r="IQ92" s="1"/>
      <c r="IR92" s="1"/>
      <c r="IS92" s="1"/>
      <c r="IT92" s="1"/>
      <c r="IU92" s="1"/>
      <c r="IV92" s="1"/>
      <c r="IW92" s="1"/>
      <c r="IX92" s="1"/>
      <c r="IY92" s="1"/>
      <c r="IZ92" s="1"/>
      <c r="JA92" s="1"/>
      <c r="JB92" s="1"/>
      <c r="JC92" s="1"/>
      <c r="JD92" s="1"/>
    </row>
    <row r="93" spans="1:264" s="347" customFormat="1" x14ac:dyDescent="0.2">
      <c r="A93" s="452"/>
      <c r="B93" s="348"/>
      <c r="BH93" s="348"/>
      <c r="BI93" s="348"/>
      <c r="BJ93" s="348"/>
      <c r="BK93" s="348"/>
      <c r="BL93" s="348"/>
      <c r="BO93" s="348"/>
      <c r="BP93" s="348"/>
      <c r="BT93" s="348"/>
      <c r="BX93" s="348"/>
      <c r="BY93" s="348"/>
      <c r="CB93" s="348"/>
      <c r="CC93" s="348"/>
      <c r="CF93" s="348"/>
      <c r="CG93" s="348"/>
      <c r="CJ93" s="348"/>
      <c r="CK93" s="419"/>
      <c r="CN93" s="348"/>
      <c r="CO93" s="419"/>
      <c r="CR93" s="348"/>
      <c r="CS93" s="419"/>
      <c r="CV93" s="348"/>
      <c r="CW93" s="419"/>
      <c r="CZ93" s="348"/>
      <c r="DA93" s="419"/>
      <c r="DD93" s="348"/>
      <c r="DE93" s="419"/>
      <c r="DH93" s="348"/>
      <c r="DI93" s="348"/>
      <c r="DL93" s="348"/>
      <c r="DM93" s="348"/>
      <c r="DP93" s="348"/>
      <c r="DQ93" s="348"/>
      <c r="DT93" s="1"/>
      <c r="DU93" s="1"/>
      <c r="DV93" s="1"/>
      <c r="DW93" s="1"/>
      <c r="DX93" s="1"/>
      <c r="DY93" s="1"/>
      <c r="DZ93" s="1"/>
      <c r="EA93" s="1"/>
      <c r="EB93" s="1"/>
      <c r="EC93" s="1"/>
      <c r="ED93" s="1"/>
      <c r="EE93" s="1"/>
      <c r="EF93" s="1"/>
      <c r="EG93" s="1"/>
      <c r="EH93" s="1"/>
      <c r="EI93" s="1"/>
      <c r="EJ93" s="1"/>
      <c r="EK93" s="1"/>
      <c r="EL93" s="1"/>
      <c r="EM93" s="1"/>
      <c r="EN93" s="1"/>
      <c r="EO93" s="1"/>
      <c r="EP93" s="1"/>
      <c r="EQ93" s="1"/>
      <c r="ER93" s="1"/>
      <c r="ES93" s="1"/>
      <c r="ET93" s="1"/>
      <c r="EU93" s="1"/>
      <c r="EV93" s="1"/>
      <c r="EW93" s="1"/>
      <c r="EX93" s="1"/>
      <c r="EY93" s="1"/>
      <c r="EZ93" s="1"/>
      <c r="FA93" s="1"/>
      <c r="FB93" s="1"/>
      <c r="FC93" s="1"/>
      <c r="FD93" s="1"/>
      <c r="FE93" s="1"/>
      <c r="FF93" s="1"/>
      <c r="FG93" s="1"/>
      <c r="FH93" s="1"/>
      <c r="FI93" s="1"/>
      <c r="FJ93" s="1"/>
      <c r="FK93" s="1"/>
      <c r="FL93" s="1"/>
      <c r="FM93" s="1"/>
      <c r="FN93" s="1"/>
      <c r="FO93" s="1"/>
      <c r="FP93" s="1"/>
      <c r="FQ93" s="1"/>
      <c r="FR93" s="1"/>
      <c r="FS93" s="1"/>
      <c r="FT93" s="1"/>
      <c r="FU93" s="1"/>
      <c r="FV93" s="1"/>
      <c r="FW93" s="1"/>
      <c r="FX93" s="1"/>
      <c r="FY93" s="1"/>
      <c r="FZ93" s="1"/>
      <c r="GA93" s="1"/>
      <c r="GB93" s="1"/>
      <c r="GC93" s="1"/>
      <c r="GD93" s="1"/>
      <c r="GE93" s="1"/>
      <c r="GF93" s="1"/>
      <c r="GG93" s="1"/>
      <c r="GH93" s="1"/>
      <c r="GI93" s="1"/>
      <c r="GJ93" s="1"/>
      <c r="GK93" s="1"/>
      <c r="GL93" s="1"/>
      <c r="GM93" s="1"/>
      <c r="GN93" s="1"/>
      <c r="GO93" s="1"/>
      <c r="GP93" s="1"/>
      <c r="GQ93" s="1"/>
      <c r="GR93" s="1"/>
      <c r="GS93" s="1"/>
      <c r="GT93" s="1"/>
      <c r="GU93" s="1"/>
      <c r="GV93" s="1"/>
      <c r="GW93" s="1"/>
      <c r="GX93" s="1"/>
      <c r="GY93" s="1"/>
      <c r="GZ93" s="1"/>
      <c r="HA93" s="1"/>
      <c r="HB93" s="1"/>
      <c r="HC93" s="1"/>
      <c r="HD93" s="1"/>
      <c r="HE93" s="1"/>
      <c r="HF93" s="1"/>
      <c r="HG93" s="1"/>
      <c r="HH93" s="1"/>
      <c r="HI93" s="1"/>
      <c r="HJ93" s="1"/>
      <c r="HK93" s="1"/>
      <c r="HL93" s="1"/>
      <c r="HM93" s="1"/>
      <c r="HN93" s="1"/>
      <c r="HO93" s="1"/>
      <c r="HP93" s="1"/>
      <c r="HQ93" s="1"/>
      <c r="HR93" s="1"/>
      <c r="HS93" s="1"/>
      <c r="HT93" s="1"/>
      <c r="HU93" s="1"/>
      <c r="HV93" s="1"/>
      <c r="HW93" s="1"/>
      <c r="HX93" s="1"/>
      <c r="HY93" s="1"/>
      <c r="HZ93" s="1"/>
      <c r="IA93" s="1"/>
      <c r="IB93" s="1"/>
      <c r="IC93" s="1"/>
      <c r="ID93" s="1"/>
      <c r="IE93" s="1"/>
      <c r="IF93" s="1"/>
      <c r="IG93" s="1"/>
      <c r="IH93" s="1"/>
      <c r="II93" s="1"/>
      <c r="IJ93" s="1"/>
      <c r="IK93" s="1"/>
      <c r="IL93" s="1"/>
      <c r="IM93" s="1"/>
      <c r="IN93" s="1"/>
      <c r="IO93" s="1"/>
      <c r="IP93" s="1"/>
      <c r="IQ93" s="1"/>
      <c r="IR93" s="1"/>
      <c r="IS93" s="1"/>
      <c r="IT93" s="1"/>
      <c r="IU93" s="1"/>
      <c r="IV93" s="1"/>
      <c r="IW93" s="1"/>
      <c r="IX93" s="1"/>
      <c r="IY93" s="1"/>
      <c r="IZ93" s="1"/>
      <c r="JA93" s="1"/>
      <c r="JB93" s="1"/>
      <c r="JC93" s="1"/>
      <c r="JD93" s="1"/>
    </row>
    <row r="94" spans="1:264" s="347" customFormat="1" x14ac:dyDescent="0.2">
      <c r="A94" s="435" t="s">
        <v>254</v>
      </c>
      <c r="B94" s="348"/>
      <c r="BH94" s="348"/>
      <c r="BI94" s="348"/>
      <c r="BJ94" s="348"/>
      <c r="BK94" s="348"/>
      <c r="BL94" s="351">
        <f>+BL74+BL83</f>
        <v>6397</v>
      </c>
      <c r="BM94" s="351">
        <f>+BM74+BM83</f>
        <v>6505</v>
      </c>
      <c r="BN94" s="351">
        <f>+BN74+BN83</f>
        <v>12902</v>
      </c>
      <c r="BO94" s="348"/>
      <c r="BP94" s="351">
        <f>+BP74+BP83</f>
        <v>6809</v>
      </c>
      <c r="BQ94" s="351">
        <f>+BQ74+BQ83</f>
        <v>6776</v>
      </c>
      <c r="BR94" s="351">
        <f>+BR74+BR83</f>
        <v>13585</v>
      </c>
      <c r="BT94" s="351">
        <f>+BT74+BT83</f>
        <v>7210</v>
      </c>
      <c r="BU94" s="351">
        <f>+BU74+BU83</f>
        <v>7103</v>
      </c>
      <c r="BV94" s="351">
        <f>+BV74+BV83</f>
        <v>14313</v>
      </c>
      <c r="BX94" s="351">
        <f>+BX74+BX83</f>
        <v>7361</v>
      </c>
      <c r="BY94" s="351">
        <f>+BY74+BY83</f>
        <v>7297</v>
      </c>
      <c r="BZ94" s="351">
        <f>+BZ74+BZ83</f>
        <v>14658</v>
      </c>
      <c r="CB94" s="351">
        <f>+CB74+CB83</f>
        <v>7193</v>
      </c>
      <c r="CC94" s="351">
        <f>+CC74+CC83</f>
        <v>6734</v>
      </c>
      <c r="CD94" s="351">
        <f>+CD74+CD83</f>
        <v>13927</v>
      </c>
      <c r="CF94" s="351">
        <f>+CF74+CF83</f>
        <v>6924</v>
      </c>
      <c r="CG94" s="351">
        <f>+CG74+CG83</f>
        <v>5831</v>
      </c>
      <c r="CH94" s="351">
        <f>+CH74+CH83</f>
        <v>12755</v>
      </c>
      <c r="CJ94" s="351">
        <f>+CJ74+CJ83</f>
        <v>6766</v>
      </c>
      <c r="CK94" s="351">
        <f>+CK74+CK83</f>
        <v>5999</v>
      </c>
      <c r="CL94" s="351">
        <f>+CL74+CL83</f>
        <v>12765</v>
      </c>
      <c r="CN94" s="351">
        <f>+CN74+CN83</f>
        <v>6370</v>
      </c>
      <c r="CO94" s="351">
        <f>+CO74+CO83</f>
        <v>6427</v>
      </c>
      <c r="CP94" s="351">
        <f>+CP74+CP83</f>
        <v>12797</v>
      </c>
      <c r="CR94" s="351">
        <f>+CR74+CR83</f>
        <v>6617</v>
      </c>
      <c r="CS94" s="351">
        <f>+CS74+CS83</f>
        <v>6644</v>
      </c>
      <c r="CT94" s="351">
        <f>+CT74+CT83</f>
        <v>13261</v>
      </c>
      <c r="CV94" s="351">
        <f>+CV74+CV83</f>
        <v>7850</v>
      </c>
      <c r="CW94" s="351">
        <f>+CW74+CW83</f>
        <v>7427</v>
      </c>
      <c r="CX94" s="351">
        <f>+CX74+CX83</f>
        <v>15277</v>
      </c>
      <c r="CZ94" s="351">
        <f>+CZ74+CZ83</f>
        <v>7638</v>
      </c>
      <c r="DA94" s="351">
        <f>+DA74+DA83</f>
        <v>7318</v>
      </c>
      <c r="DB94" s="351">
        <f>+DB74+DB83</f>
        <v>14956</v>
      </c>
      <c r="DD94" s="351">
        <f>+DD74+DD83</f>
        <v>7725</v>
      </c>
      <c r="DE94" s="351">
        <f>+DE74+DE83</f>
        <v>7744</v>
      </c>
      <c r="DF94" s="351">
        <f>+DF74+DF83</f>
        <v>15469</v>
      </c>
      <c r="DH94" s="351">
        <f>+DH74+DH83</f>
        <v>8131</v>
      </c>
      <c r="DI94" s="351">
        <f>+DI74+DI83</f>
        <v>8431.585810767232</v>
      </c>
      <c r="DJ94" s="351">
        <f>+DJ74+DJ83</f>
        <v>16562.585810767232</v>
      </c>
      <c r="DL94" s="351">
        <f>+DL74+DL83</f>
        <v>8972.3265942791204</v>
      </c>
      <c r="DM94" s="351">
        <f>+DM74+DM83</f>
        <v>8965.0015683223664</v>
      </c>
      <c r="DN94" s="351">
        <f>+DN74+DN83</f>
        <v>17937.328162601487</v>
      </c>
      <c r="DP94" s="351">
        <f>+DP74+DP83</f>
        <v>9361.3598616707313</v>
      </c>
      <c r="DQ94" s="351">
        <f>+DQ74+DQ83</f>
        <v>9344.9281888869464</v>
      </c>
      <c r="DR94" s="351">
        <f>+DR74+DR83</f>
        <v>18706.288050557676</v>
      </c>
      <c r="DT94" s="1"/>
      <c r="DU94" s="1"/>
      <c r="DV94" s="1"/>
      <c r="DW94" s="1"/>
      <c r="DX94" s="1"/>
      <c r="DY94" s="1"/>
      <c r="DZ94" s="1"/>
      <c r="EA94" s="1"/>
      <c r="EB94" s="1"/>
      <c r="EC94" s="1"/>
      <c r="ED94" s="1"/>
      <c r="EE94" s="1"/>
      <c r="EF94" s="1"/>
      <c r="EG94" s="1"/>
      <c r="EH94" s="1"/>
      <c r="EI94" s="1"/>
      <c r="EJ94" s="1"/>
      <c r="EK94" s="1"/>
      <c r="EL94" s="1"/>
      <c r="EM94" s="1"/>
      <c r="EN94" s="1"/>
      <c r="EO94" s="1"/>
      <c r="EP94" s="1"/>
      <c r="EQ94" s="1"/>
      <c r="ER94" s="1"/>
      <c r="ES94" s="1"/>
      <c r="ET94" s="1"/>
      <c r="EU94" s="1"/>
      <c r="EV94" s="1"/>
      <c r="EW94" s="1"/>
      <c r="EX94" s="1"/>
      <c r="EY94" s="1"/>
      <c r="EZ94" s="1"/>
      <c r="FA94" s="1"/>
      <c r="FB94" s="1"/>
      <c r="FC94" s="1"/>
      <c r="FD94" s="1"/>
      <c r="FE94" s="1"/>
      <c r="FF94" s="1"/>
      <c r="FG94" s="1"/>
      <c r="FH94" s="1"/>
      <c r="FI94" s="1"/>
      <c r="FJ94" s="1"/>
      <c r="FK94" s="1"/>
      <c r="FL94" s="1"/>
      <c r="FM94" s="1"/>
      <c r="FN94" s="1"/>
      <c r="FO94" s="1"/>
      <c r="FP94" s="1"/>
      <c r="FQ94" s="1"/>
      <c r="FR94" s="1"/>
      <c r="FS94" s="1"/>
      <c r="FT94" s="1"/>
      <c r="FU94" s="1"/>
      <c r="FV94" s="1"/>
      <c r="FW94" s="1"/>
      <c r="FX94" s="1"/>
      <c r="FY94" s="1"/>
      <c r="FZ94" s="1"/>
      <c r="GA94" s="1"/>
      <c r="GB94" s="1"/>
      <c r="GC94" s="1"/>
      <c r="GD94" s="1"/>
      <c r="GE94" s="1"/>
      <c r="GF94" s="1"/>
      <c r="GG94" s="1"/>
      <c r="GH94" s="1"/>
      <c r="GI94" s="1"/>
      <c r="GJ94" s="1"/>
      <c r="GK94" s="1"/>
      <c r="GL94" s="1"/>
      <c r="GM94" s="1"/>
      <c r="GN94" s="1"/>
      <c r="GO94" s="1"/>
      <c r="GP94" s="1"/>
      <c r="GQ94" s="1"/>
      <c r="GR94" s="1"/>
      <c r="GS94" s="1"/>
      <c r="GT94" s="1"/>
      <c r="GU94" s="1"/>
      <c r="GV94" s="1"/>
      <c r="GW94" s="1"/>
      <c r="GX94" s="1"/>
      <c r="GY94" s="1"/>
      <c r="GZ94" s="1"/>
      <c r="HA94" s="1"/>
      <c r="HB94" s="1"/>
      <c r="HC94" s="1"/>
      <c r="HD94" s="1"/>
      <c r="HE94" s="1"/>
      <c r="HF94" s="1"/>
      <c r="HG94" s="1"/>
      <c r="HH94" s="1"/>
      <c r="HI94" s="1"/>
      <c r="HJ94" s="1"/>
      <c r="HK94" s="1"/>
      <c r="HL94" s="1"/>
      <c r="HM94" s="1"/>
      <c r="HN94" s="1"/>
      <c r="HO94" s="1"/>
      <c r="HP94" s="1"/>
      <c r="HQ94" s="1"/>
      <c r="HR94" s="1"/>
      <c r="HS94" s="1"/>
      <c r="HT94" s="1"/>
      <c r="HU94" s="1"/>
      <c r="HV94" s="1"/>
      <c r="HW94" s="1"/>
      <c r="HX94" s="1"/>
      <c r="HY94" s="1"/>
      <c r="HZ94" s="1"/>
      <c r="IA94" s="1"/>
      <c r="IB94" s="1"/>
      <c r="IC94" s="1"/>
      <c r="ID94" s="1"/>
      <c r="IE94" s="1"/>
      <c r="IF94" s="1"/>
      <c r="IG94" s="1"/>
      <c r="IH94" s="1"/>
      <c r="II94" s="1"/>
      <c r="IJ94" s="1"/>
      <c r="IK94" s="1"/>
      <c r="IL94" s="1"/>
      <c r="IM94" s="1"/>
      <c r="IN94" s="1"/>
      <c r="IO94" s="1"/>
      <c r="IP94" s="1"/>
      <c r="IQ94" s="1"/>
      <c r="IR94" s="1"/>
      <c r="IS94" s="1"/>
      <c r="IT94" s="1"/>
      <c r="IU94" s="1"/>
      <c r="IV94" s="1"/>
      <c r="IW94" s="1"/>
      <c r="IX94" s="1"/>
      <c r="IY94" s="1"/>
      <c r="IZ94" s="1"/>
      <c r="JA94" s="1"/>
      <c r="JB94" s="1"/>
      <c r="JC94" s="1"/>
      <c r="JD94" s="1"/>
    </row>
    <row r="95" spans="1:264" s="347" customFormat="1" x14ac:dyDescent="0.2">
      <c r="A95" s="435" t="s">
        <v>255</v>
      </c>
      <c r="B95" s="348"/>
      <c r="BH95" s="348"/>
      <c r="BI95" s="348"/>
      <c r="BJ95" s="348"/>
      <c r="BK95" s="348"/>
      <c r="BL95" s="351">
        <f>+BL78+BL90</f>
        <v>6397</v>
      </c>
      <c r="BM95" s="351">
        <f>+BM78+BM90</f>
        <v>6505</v>
      </c>
      <c r="BN95" s="351">
        <f>+BN78+BN90</f>
        <v>12902</v>
      </c>
      <c r="BO95" s="348"/>
      <c r="BP95" s="351">
        <f>+BP78+BP90</f>
        <v>6809</v>
      </c>
      <c r="BQ95" s="351">
        <f>+BQ78+BQ90</f>
        <v>6776</v>
      </c>
      <c r="BR95" s="351">
        <f>+BR78+BR90</f>
        <v>13585</v>
      </c>
      <c r="BT95" s="351">
        <f>+BT78+BT90</f>
        <v>7210</v>
      </c>
      <c r="BU95" s="351">
        <f>+BU78+BU90</f>
        <v>7103</v>
      </c>
      <c r="BV95" s="351">
        <f>+BV78+BV90</f>
        <v>14313</v>
      </c>
      <c r="BX95" s="351">
        <f>+BX78+BX90</f>
        <v>7357</v>
      </c>
      <c r="BY95" s="351">
        <f>+BY78+BY90</f>
        <v>7297</v>
      </c>
      <c r="BZ95" s="351">
        <f>+BZ78+BZ90</f>
        <v>14654</v>
      </c>
      <c r="CB95" s="351">
        <f>+CB78+CB90</f>
        <v>7162</v>
      </c>
      <c r="CC95" s="351">
        <f>+CC78+CC90</f>
        <v>6736</v>
      </c>
      <c r="CD95" s="351">
        <f>+CD78+CD90</f>
        <v>13898</v>
      </c>
      <c r="CF95" s="351">
        <f>+CF78+CF90</f>
        <v>7015</v>
      </c>
      <c r="CG95" s="351">
        <f>+CG78+CG90</f>
        <v>6430</v>
      </c>
      <c r="CH95" s="351">
        <f>+CH78+CH90</f>
        <v>13445</v>
      </c>
      <c r="CJ95" s="351">
        <f>+CJ78+CJ90</f>
        <v>6766</v>
      </c>
      <c r="CK95" s="351">
        <f>+CK78+CK90</f>
        <v>6460</v>
      </c>
      <c r="CL95" s="351">
        <f>+CL78+CL90</f>
        <v>13226</v>
      </c>
      <c r="CN95" s="351">
        <f>+CN78+CN90</f>
        <v>6612</v>
      </c>
      <c r="CO95" s="351">
        <f>+CO78+CO90</f>
        <v>6760</v>
      </c>
      <c r="CP95" s="351">
        <f>+CP78+CP90</f>
        <v>13372</v>
      </c>
      <c r="CR95" s="351">
        <f>+CR78+CR90</f>
        <v>6710</v>
      </c>
      <c r="CS95" s="351">
        <f>+CS78+CS90</f>
        <v>6675</v>
      </c>
      <c r="CT95" s="351">
        <f>+CT78+CT90</f>
        <v>13385</v>
      </c>
      <c r="CV95" s="351">
        <f>+CV78+CV90</f>
        <v>7987</v>
      </c>
      <c r="CW95" s="351">
        <f>+CW78+CW90</f>
        <v>7639</v>
      </c>
      <c r="CX95" s="351">
        <f>+CX78+CX90</f>
        <v>15489</v>
      </c>
      <c r="CZ95" s="351">
        <f>+CZ78+CZ90</f>
        <v>7638</v>
      </c>
      <c r="DA95" s="351">
        <f>+DA78+DA90</f>
        <v>7407</v>
      </c>
      <c r="DB95" s="351">
        <f>+DB78+DB90</f>
        <v>15045</v>
      </c>
      <c r="DD95" s="351">
        <f>+DD78+DD90</f>
        <v>7725</v>
      </c>
      <c r="DE95" s="351">
        <f>+DE78+DE90</f>
        <v>7874</v>
      </c>
      <c r="DF95" s="351">
        <f>+DF78+DF90</f>
        <v>15599</v>
      </c>
      <c r="DH95" s="351">
        <f>+DH78+DH90</f>
        <v>8301</v>
      </c>
      <c r="DI95" s="351">
        <f>+DI78+DI90</f>
        <v>8481.585810767232</v>
      </c>
      <c r="DJ95" s="351">
        <f>+DJ78+DJ90</f>
        <v>16782.585810767232</v>
      </c>
      <c r="DL95" s="351">
        <f>+DL78+DL90</f>
        <v>8972.3265942791204</v>
      </c>
      <c r="DM95" s="351">
        <f>+DM78+DM90</f>
        <v>9015.0015683223664</v>
      </c>
      <c r="DN95" s="351">
        <f>+DN78+DN90</f>
        <v>17987.328162601487</v>
      </c>
      <c r="DP95" s="351">
        <f>+DP78+DP90</f>
        <v>9361.3598616707313</v>
      </c>
      <c r="DQ95" s="351">
        <f>+DQ78+DQ90</f>
        <v>9394.9281888869464</v>
      </c>
      <c r="DR95" s="351">
        <f>+DR78+DR90</f>
        <v>18756.288050557676</v>
      </c>
      <c r="DT95" s="1"/>
      <c r="DU95" s="1"/>
      <c r="DV95" s="1"/>
      <c r="DW95" s="1"/>
      <c r="DX95" s="1"/>
      <c r="DY95" s="1"/>
      <c r="DZ95" s="1"/>
      <c r="EA95" s="1"/>
      <c r="EB95" s="1"/>
      <c r="EC95" s="1"/>
      <c r="ED95" s="1"/>
      <c r="EE95" s="1"/>
      <c r="EF95" s="1"/>
      <c r="EG95" s="1"/>
      <c r="EH95" s="1"/>
      <c r="EI95" s="1"/>
      <c r="EJ95" s="1"/>
      <c r="EK95" s="1"/>
      <c r="EL95" s="1"/>
      <c r="EM95" s="1"/>
      <c r="EN95" s="1"/>
      <c r="EO95" s="1"/>
      <c r="EP95" s="1"/>
      <c r="EQ95" s="1"/>
      <c r="ER95" s="1"/>
      <c r="ES95" s="1"/>
      <c r="ET95" s="1"/>
      <c r="EU95" s="1"/>
      <c r="EV95" s="1"/>
      <c r="EW95" s="1"/>
      <c r="EX95" s="1"/>
      <c r="EY95" s="1"/>
      <c r="EZ95" s="1"/>
      <c r="FA95" s="1"/>
      <c r="FB95" s="1"/>
      <c r="FC95" s="1"/>
      <c r="FD95" s="1"/>
      <c r="FE95" s="1"/>
      <c r="FF95" s="1"/>
      <c r="FG95" s="1"/>
      <c r="FH95" s="1"/>
      <c r="FI95" s="1"/>
      <c r="FJ95" s="1"/>
      <c r="FK95" s="1"/>
      <c r="FL95" s="1"/>
      <c r="FM95" s="1"/>
      <c r="FN95" s="1"/>
      <c r="FO95" s="1"/>
      <c r="FP95" s="1"/>
      <c r="FQ95" s="1"/>
      <c r="FR95" s="1"/>
      <c r="FS95" s="1"/>
      <c r="FT95" s="1"/>
      <c r="FU95" s="1"/>
      <c r="FV95" s="1"/>
      <c r="FW95" s="1"/>
      <c r="FX95" s="1"/>
      <c r="FY95" s="1"/>
      <c r="FZ95" s="1"/>
      <c r="GA95" s="1"/>
      <c r="GB95" s="1"/>
      <c r="GC95" s="1"/>
      <c r="GD95" s="1"/>
      <c r="GE95" s="1"/>
      <c r="GF95" s="1"/>
      <c r="GG95" s="1"/>
      <c r="GH95" s="1"/>
      <c r="GI95" s="1"/>
      <c r="GJ95" s="1"/>
      <c r="GK95" s="1"/>
      <c r="GL95" s="1"/>
      <c r="GM95" s="1"/>
      <c r="GN95" s="1"/>
      <c r="GO95" s="1"/>
      <c r="GP95" s="1"/>
      <c r="GQ95" s="1"/>
      <c r="GR95" s="1"/>
      <c r="GS95" s="1"/>
      <c r="GT95" s="1"/>
      <c r="GU95" s="1"/>
      <c r="GV95" s="1"/>
      <c r="GW95" s="1"/>
      <c r="GX95" s="1"/>
      <c r="GY95" s="1"/>
      <c r="GZ95" s="1"/>
      <c r="HA95" s="1"/>
      <c r="HB95" s="1"/>
      <c r="HC95" s="1"/>
      <c r="HD95" s="1"/>
      <c r="HE95" s="1"/>
      <c r="HF95" s="1"/>
      <c r="HG95" s="1"/>
      <c r="HH95" s="1"/>
      <c r="HI95" s="1"/>
      <c r="HJ95" s="1"/>
      <c r="HK95" s="1"/>
      <c r="HL95" s="1"/>
      <c r="HM95" s="1"/>
      <c r="HN95" s="1"/>
      <c r="HO95" s="1"/>
      <c r="HP95" s="1"/>
      <c r="HQ95" s="1"/>
      <c r="HR95" s="1"/>
      <c r="HS95" s="1"/>
      <c r="HT95" s="1"/>
      <c r="HU95" s="1"/>
      <c r="HV95" s="1"/>
      <c r="HW95" s="1"/>
      <c r="HX95" s="1"/>
      <c r="HY95" s="1"/>
      <c r="HZ95" s="1"/>
      <c r="IA95" s="1"/>
      <c r="IB95" s="1"/>
      <c r="IC95" s="1"/>
      <c r="ID95" s="1"/>
      <c r="IE95" s="1"/>
      <c r="IF95" s="1"/>
      <c r="IG95" s="1"/>
      <c r="IH95" s="1"/>
      <c r="II95" s="1"/>
      <c r="IJ95" s="1"/>
      <c r="IK95" s="1"/>
      <c r="IL95" s="1"/>
      <c r="IM95" s="1"/>
      <c r="IN95" s="1"/>
      <c r="IO95" s="1"/>
      <c r="IP95" s="1"/>
      <c r="IQ95" s="1"/>
      <c r="IR95" s="1"/>
      <c r="IS95" s="1"/>
      <c r="IT95" s="1"/>
      <c r="IU95" s="1"/>
      <c r="IV95" s="1"/>
      <c r="IW95" s="1"/>
      <c r="IX95" s="1"/>
      <c r="IY95" s="1"/>
      <c r="IZ95" s="1"/>
      <c r="JA95" s="1"/>
      <c r="JB95" s="1"/>
      <c r="JC95" s="1"/>
      <c r="JD95" s="1"/>
    </row>
    <row r="96" spans="1:264" s="347" customFormat="1" x14ac:dyDescent="0.2">
      <c r="A96" s="452" t="s">
        <v>233</v>
      </c>
      <c r="B96" s="348"/>
      <c r="BH96" s="348"/>
      <c r="BI96" s="348"/>
      <c r="BJ96" s="348"/>
      <c r="BK96" s="348"/>
      <c r="BL96" s="393"/>
      <c r="BM96" s="393"/>
      <c r="BN96" s="393"/>
      <c r="BO96" s="348"/>
      <c r="BP96" s="393">
        <f>+BP95/BL95-1</f>
        <v>6.4405189932780882E-2</v>
      </c>
      <c r="BQ96" s="393">
        <f>+BQ95/BM95-1</f>
        <v>4.1660261337432836E-2</v>
      </c>
      <c r="BR96" s="393">
        <f>+BR95/BN95-1</f>
        <v>5.2937529065261169E-2</v>
      </c>
      <c r="BT96" s="393">
        <f>+BT95/BP95-1</f>
        <v>5.889264209134959E-2</v>
      </c>
      <c r="BU96" s="393">
        <f>+BU95/BQ95-1</f>
        <v>4.8258559622196051E-2</v>
      </c>
      <c r="BV96" s="393">
        <f>+BV95/BR95-1</f>
        <v>5.3588516746411408E-2</v>
      </c>
      <c r="BX96" s="394">
        <f>+BX95/BT95-1</f>
        <v>2.0388349514563142E-2</v>
      </c>
      <c r="BY96" s="394">
        <f>+BY95/BU95-1</f>
        <v>2.731240320991124E-2</v>
      </c>
      <c r="BZ96" s="394">
        <f>+BZ95/BV95-1</f>
        <v>2.3824495214141095E-2</v>
      </c>
      <c r="CB96" s="394">
        <f>+CB95/BX95-1</f>
        <v>-2.650536903629197E-2</v>
      </c>
      <c r="CC96" s="394">
        <f>+CC95/BY95-1</f>
        <v>-7.6880909962998456E-2</v>
      </c>
      <c r="CD96" s="394">
        <f>+CD95/BZ95-1</f>
        <v>-5.1590009553705518E-2</v>
      </c>
      <c r="CF96" s="394">
        <f>+CF95/CB95-1</f>
        <v>-2.0524993018709803E-2</v>
      </c>
      <c r="CG96" s="394">
        <f>+CG95/CC95-1</f>
        <v>-4.542755344418048E-2</v>
      </c>
      <c r="CH96" s="394">
        <f>+CH95/CD95-1</f>
        <v>-3.2594617930637448E-2</v>
      </c>
      <c r="CJ96" s="394">
        <f>+CJ95/CF95-1</f>
        <v>-3.5495367070563111E-2</v>
      </c>
      <c r="CK96" s="394">
        <f>+CK95/CG95-1</f>
        <v>4.6656298600311619E-3</v>
      </c>
      <c r="CL96" s="394">
        <f>+CL95/CH95-1</f>
        <v>-1.6288583116400135E-2</v>
      </c>
      <c r="CN96" s="394">
        <f>+CN95/CJ95-1</f>
        <v>-2.276086313922554E-2</v>
      </c>
      <c r="CO96" s="394">
        <f>+CO95/CK95-1</f>
        <v>4.6439628482972228E-2</v>
      </c>
      <c r="CP96" s="394">
        <f>+CP95/CL95-1</f>
        <v>1.1038862845909492E-2</v>
      </c>
      <c r="CR96" s="394">
        <f>+CR95/CN95-1</f>
        <v>1.4821536600120977E-2</v>
      </c>
      <c r="CS96" s="394">
        <f>+CS95/CO95-1</f>
        <v>-1.2573964497041401E-2</v>
      </c>
      <c r="CT96" s="394">
        <f>+CT95/CP95-1</f>
        <v>9.7218067603943581E-4</v>
      </c>
      <c r="CV96" s="394">
        <f>+CV95/CR95-1</f>
        <v>0.19031296572280176</v>
      </c>
      <c r="CW96" s="394">
        <f>+CW95/CS95-1</f>
        <v>0.14441947565543067</v>
      </c>
      <c r="CX96" s="394">
        <f>+CX95/CT95-1</f>
        <v>0.1571908853193873</v>
      </c>
      <c r="CZ96" s="394">
        <f>+CZ95/CV95-1</f>
        <v>-4.3696006009765864E-2</v>
      </c>
      <c r="DA96" s="394">
        <f>+DA95/CW95-1</f>
        <v>-3.0370467338656892E-2</v>
      </c>
      <c r="DB96" s="394">
        <f>+DB95/CX95-1</f>
        <v>-2.8665504551617316E-2</v>
      </c>
      <c r="DD96" s="394">
        <f>+DD95/CZ95-1</f>
        <v>1.1390416339355891E-2</v>
      </c>
      <c r="DE96" s="394">
        <f>+DE95/DA95-1</f>
        <v>6.3048467665721697E-2</v>
      </c>
      <c r="DF96" s="394">
        <f>+DF95/DB95-1</f>
        <v>3.6822864739116001E-2</v>
      </c>
      <c r="DH96" s="394">
        <f>+DH95/DD95-1</f>
        <v>7.4563106796116552E-2</v>
      </c>
      <c r="DI96" s="394">
        <f>+DI95/DE95-1</f>
        <v>7.7163552294543081E-2</v>
      </c>
      <c r="DJ96" s="394">
        <f>+DJ95/DF95-1</f>
        <v>7.5875749135664528E-2</v>
      </c>
      <c r="DL96" s="394">
        <f>+DL95/DH95-1</f>
        <v>8.0872978469957779E-2</v>
      </c>
      <c r="DM96" s="394">
        <f>+DM95/DI95-1</f>
        <v>6.2891040597381265E-2</v>
      </c>
      <c r="DN96" s="394">
        <f>+DN95/DJ95-1</f>
        <v>7.1785263928835441E-2</v>
      </c>
      <c r="DP96" s="394">
        <f>+DP95/DL95-1</f>
        <v>4.3359240583112912E-2</v>
      </c>
      <c r="DQ96" s="394">
        <f>+DQ95/DM95-1</f>
        <v>4.2143821904546019E-2</v>
      </c>
      <c r="DR96" s="394">
        <f>+DR95/DN95-1</f>
        <v>4.2750089452138873E-2</v>
      </c>
      <c r="DT96" s="1"/>
      <c r="DU96" s="1"/>
      <c r="DV96" s="1"/>
      <c r="DW96" s="1"/>
      <c r="DX96" s="1"/>
      <c r="DY96" s="1"/>
      <c r="DZ96" s="1"/>
      <c r="EA96" s="1"/>
      <c r="EB96" s="1"/>
      <c r="EC96" s="1"/>
      <c r="ED96" s="1"/>
      <c r="EE96" s="1"/>
      <c r="EF96" s="1"/>
      <c r="EG96" s="1"/>
      <c r="EH96" s="1"/>
      <c r="EI96" s="1"/>
      <c r="EJ96" s="1"/>
      <c r="EK96" s="1"/>
      <c r="EL96" s="1"/>
      <c r="EM96" s="1"/>
      <c r="EN96" s="1"/>
      <c r="EO96" s="1"/>
      <c r="EP96" s="1"/>
      <c r="EQ96" s="1"/>
      <c r="ER96" s="1"/>
      <c r="ES96" s="1"/>
      <c r="ET96" s="1"/>
      <c r="EU96" s="1"/>
      <c r="EV96" s="1"/>
      <c r="EW96" s="1"/>
      <c r="EX96" s="1"/>
      <c r="EY96" s="1"/>
      <c r="EZ96" s="1"/>
      <c r="FA96" s="1"/>
      <c r="FB96" s="1"/>
      <c r="FC96" s="1"/>
      <c r="FD96" s="1"/>
      <c r="FE96" s="1"/>
      <c r="FF96" s="1"/>
      <c r="FG96" s="1"/>
      <c r="FH96" s="1"/>
      <c r="FI96" s="1"/>
      <c r="FJ96" s="1"/>
      <c r="FK96" s="1"/>
      <c r="FL96" s="1"/>
      <c r="FM96" s="1"/>
      <c r="FN96" s="1"/>
      <c r="FO96" s="1"/>
      <c r="FP96" s="1"/>
      <c r="FQ96" s="1"/>
      <c r="FR96" s="1"/>
      <c r="FS96" s="1"/>
      <c r="FT96" s="1"/>
      <c r="FU96" s="1"/>
      <c r="FV96" s="1"/>
      <c r="FW96" s="1"/>
      <c r="FX96" s="1"/>
      <c r="FY96" s="1"/>
      <c r="FZ96" s="1"/>
      <c r="GA96" s="1"/>
      <c r="GB96" s="1"/>
      <c r="GC96" s="1"/>
      <c r="GD96" s="1"/>
      <c r="GE96" s="1"/>
      <c r="GF96" s="1"/>
      <c r="GG96" s="1"/>
      <c r="GH96" s="1"/>
      <c r="GI96" s="1"/>
      <c r="GJ96" s="1"/>
      <c r="GK96" s="1"/>
      <c r="GL96" s="1"/>
      <c r="GM96" s="1"/>
      <c r="GN96" s="1"/>
      <c r="GO96" s="1"/>
      <c r="GP96" s="1"/>
      <c r="GQ96" s="1"/>
      <c r="GR96" s="1"/>
      <c r="GS96" s="1"/>
      <c r="GT96" s="1"/>
      <c r="GU96" s="1"/>
      <c r="GV96" s="1"/>
      <c r="GW96" s="1"/>
      <c r="GX96" s="1"/>
      <c r="GY96" s="1"/>
      <c r="GZ96" s="1"/>
      <c r="HA96" s="1"/>
      <c r="HB96" s="1"/>
      <c r="HC96" s="1"/>
      <c r="HD96" s="1"/>
      <c r="HE96" s="1"/>
      <c r="HF96" s="1"/>
      <c r="HG96" s="1"/>
      <c r="HH96" s="1"/>
      <c r="HI96" s="1"/>
      <c r="HJ96" s="1"/>
      <c r="HK96" s="1"/>
      <c r="HL96" s="1"/>
      <c r="HM96" s="1"/>
      <c r="HN96" s="1"/>
      <c r="HO96" s="1"/>
      <c r="HP96" s="1"/>
      <c r="HQ96" s="1"/>
      <c r="HR96" s="1"/>
      <c r="HS96" s="1"/>
      <c r="HT96" s="1"/>
      <c r="HU96" s="1"/>
      <c r="HV96" s="1"/>
      <c r="HW96" s="1"/>
      <c r="HX96" s="1"/>
      <c r="HY96" s="1"/>
      <c r="HZ96" s="1"/>
      <c r="IA96" s="1"/>
      <c r="IB96" s="1"/>
      <c r="IC96" s="1"/>
      <c r="ID96" s="1"/>
      <c r="IE96" s="1"/>
      <c r="IF96" s="1"/>
      <c r="IG96" s="1"/>
      <c r="IH96" s="1"/>
      <c r="II96" s="1"/>
      <c r="IJ96" s="1"/>
      <c r="IK96" s="1"/>
      <c r="IL96" s="1"/>
      <c r="IM96" s="1"/>
      <c r="IN96" s="1"/>
      <c r="IO96" s="1"/>
      <c r="IP96" s="1"/>
      <c r="IQ96" s="1"/>
      <c r="IR96" s="1"/>
      <c r="IS96" s="1"/>
      <c r="IT96" s="1"/>
      <c r="IU96" s="1"/>
      <c r="IV96" s="1"/>
      <c r="IW96" s="1"/>
      <c r="IX96" s="1"/>
      <c r="IY96" s="1"/>
      <c r="IZ96" s="1"/>
      <c r="JA96" s="1"/>
      <c r="JB96" s="1"/>
      <c r="JC96" s="1"/>
      <c r="JD96" s="1"/>
    </row>
    <row r="97" spans="1:264" s="347" customFormat="1" x14ac:dyDescent="0.2">
      <c r="A97" s="435" t="s">
        <v>256</v>
      </c>
      <c r="B97" s="348"/>
      <c r="BH97" s="348"/>
      <c r="BI97" s="348"/>
      <c r="BJ97" s="348"/>
      <c r="BK97" s="348"/>
      <c r="BL97" s="393"/>
      <c r="BM97" s="393"/>
      <c r="BN97" s="393"/>
      <c r="BO97" s="348"/>
      <c r="BP97" s="393"/>
      <c r="BQ97" s="393"/>
      <c r="BR97" s="393"/>
      <c r="BT97" s="393"/>
      <c r="BU97" s="393"/>
      <c r="BV97" s="393"/>
      <c r="BX97" s="393"/>
      <c r="BY97" s="393"/>
      <c r="BZ97" s="393"/>
      <c r="CB97" s="351">
        <f>CB95+CB32</f>
        <v>6566</v>
      </c>
      <c r="CC97" s="351">
        <f>CC95+CC32</f>
        <v>6253</v>
      </c>
      <c r="CD97" s="351">
        <f>CD95+CD32</f>
        <v>12819</v>
      </c>
      <c r="CF97" s="351">
        <f>CF95+CF32</f>
        <v>6438</v>
      </c>
      <c r="CG97" s="351">
        <f>CG95+CG32</f>
        <v>5806</v>
      </c>
      <c r="CH97" s="351">
        <f>CH95+CH32</f>
        <v>12244</v>
      </c>
      <c r="CJ97" s="351">
        <f>CJ95+CJ32</f>
        <v>6117</v>
      </c>
      <c r="CK97" s="351">
        <f>CK95+CK32</f>
        <v>4591</v>
      </c>
      <c r="CL97" s="351">
        <f>CL95+CL32</f>
        <v>10708</v>
      </c>
      <c r="CN97" s="351">
        <f>CN95+CN32</f>
        <v>5730</v>
      </c>
      <c r="CO97" s="351">
        <f>CO95+CO32</f>
        <v>7088</v>
      </c>
      <c r="CP97" s="351">
        <f>CP95+CP32</f>
        <v>12818</v>
      </c>
      <c r="CR97" s="351">
        <f>CR95+CR32</f>
        <v>6785</v>
      </c>
      <c r="CS97" s="351">
        <f>CS95+CS32</f>
        <v>6957</v>
      </c>
      <c r="CT97" s="351">
        <f>CT95+CT32</f>
        <v>13742</v>
      </c>
      <c r="CV97" s="351">
        <f>CV95+CV32</f>
        <v>7476</v>
      </c>
      <c r="CW97" s="351">
        <f>CW95+CW32</f>
        <v>7042</v>
      </c>
      <c r="CX97" s="351">
        <f>CX95+CX32</f>
        <v>14381</v>
      </c>
      <c r="CZ97" s="351">
        <f>CZ95+CZ32</f>
        <v>7223</v>
      </c>
      <c r="DA97" s="351">
        <f>DA95+DA32</f>
        <v>7020</v>
      </c>
      <c r="DB97" s="351">
        <f>DB95+DB32</f>
        <v>14243</v>
      </c>
      <c r="DD97" s="351">
        <f>DD95+DD32</f>
        <v>7405</v>
      </c>
      <c r="DE97" s="351">
        <f>DE95+DE32</f>
        <v>7468</v>
      </c>
      <c r="DF97" s="351">
        <f>DF95+DF32</f>
        <v>14873</v>
      </c>
      <c r="DH97" s="351">
        <f>DH95+DH32</f>
        <v>7982</v>
      </c>
      <c r="DI97" s="351">
        <f>DI95+DI32</f>
        <v>8050.9294322598853</v>
      </c>
      <c r="DJ97" s="351">
        <f>DJ95+DJ32</f>
        <v>16032.929432259885</v>
      </c>
      <c r="DL97" s="351">
        <f>DL95+DL32</f>
        <v>8465.3602895161657</v>
      </c>
      <c r="DM97" s="351">
        <f>DM95+DM32</f>
        <v>8443.6514041411065</v>
      </c>
      <c r="DN97" s="351">
        <f>DN95+DN32</f>
        <v>16909.011693657274</v>
      </c>
      <c r="DP97" s="351">
        <f>DP95+DP32</f>
        <v>8768.5779541938264</v>
      </c>
      <c r="DQ97" s="351">
        <f>DQ95+DQ32</f>
        <v>8793.8603269136856</v>
      </c>
      <c r="DR97" s="351">
        <f>DR95+DR32</f>
        <v>17562.438281107512</v>
      </c>
      <c r="DT97" s="1"/>
      <c r="DU97" s="1"/>
      <c r="DV97" s="1"/>
      <c r="DW97" s="1"/>
      <c r="DX97" s="1"/>
      <c r="DY97" s="1"/>
      <c r="DZ97" s="1"/>
      <c r="EA97" s="1"/>
      <c r="EB97" s="1"/>
      <c r="EC97" s="1"/>
      <c r="ED97" s="1"/>
      <c r="EE97" s="1"/>
      <c r="EF97" s="1"/>
      <c r="EG97" s="1"/>
      <c r="EH97" s="1"/>
      <c r="EI97" s="1"/>
      <c r="EJ97" s="1"/>
      <c r="EK97" s="1"/>
      <c r="EL97" s="1"/>
      <c r="EM97" s="1"/>
      <c r="EN97" s="1"/>
      <c r="EO97" s="1"/>
      <c r="EP97" s="1"/>
      <c r="EQ97" s="1"/>
      <c r="ER97" s="1"/>
      <c r="ES97" s="1"/>
      <c r="ET97" s="1"/>
      <c r="EU97" s="1"/>
      <c r="EV97" s="1"/>
      <c r="EW97" s="1"/>
      <c r="EX97" s="1"/>
      <c r="EY97" s="1"/>
      <c r="EZ97" s="1"/>
      <c r="FA97" s="1"/>
      <c r="FB97" s="1"/>
      <c r="FC97" s="1"/>
      <c r="FD97" s="1"/>
      <c r="FE97" s="1"/>
      <c r="FF97" s="1"/>
      <c r="FG97" s="1"/>
      <c r="FH97" s="1"/>
      <c r="FI97" s="1"/>
      <c r="FJ97" s="1"/>
      <c r="FK97" s="1"/>
      <c r="FL97" s="1"/>
      <c r="FM97" s="1"/>
      <c r="FN97" s="1"/>
      <c r="FO97" s="1"/>
      <c r="FP97" s="1"/>
      <c r="FQ97" s="1"/>
      <c r="FR97" s="1"/>
      <c r="FS97" s="1"/>
      <c r="FT97" s="1"/>
      <c r="FU97" s="1"/>
      <c r="FV97" s="1"/>
      <c r="FW97" s="1"/>
      <c r="FX97" s="1"/>
      <c r="FY97" s="1"/>
      <c r="FZ97" s="1"/>
      <c r="GA97" s="1"/>
      <c r="GB97" s="1"/>
      <c r="GC97" s="1"/>
      <c r="GD97" s="1"/>
      <c r="GE97" s="1"/>
      <c r="GF97" s="1"/>
      <c r="GG97" s="1"/>
      <c r="GH97" s="1"/>
      <c r="GI97" s="1"/>
      <c r="GJ97" s="1"/>
      <c r="GK97" s="1"/>
      <c r="GL97" s="1"/>
      <c r="GM97" s="1"/>
      <c r="GN97" s="1"/>
      <c r="GO97" s="1"/>
      <c r="GP97" s="1"/>
      <c r="GQ97" s="1"/>
      <c r="GR97" s="1"/>
      <c r="GS97" s="1"/>
      <c r="GT97" s="1"/>
      <c r="GU97" s="1"/>
      <c r="GV97" s="1"/>
      <c r="GW97" s="1"/>
      <c r="GX97" s="1"/>
      <c r="GY97" s="1"/>
      <c r="GZ97" s="1"/>
      <c r="HA97" s="1"/>
      <c r="HB97" s="1"/>
      <c r="HC97" s="1"/>
      <c r="HD97" s="1"/>
      <c r="HE97" s="1"/>
      <c r="HF97" s="1"/>
      <c r="HG97" s="1"/>
      <c r="HH97" s="1"/>
      <c r="HI97" s="1"/>
      <c r="HJ97" s="1"/>
      <c r="HK97" s="1"/>
      <c r="HL97" s="1"/>
      <c r="HM97" s="1"/>
      <c r="HN97" s="1"/>
      <c r="HO97" s="1"/>
      <c r="HP97" s="1"/>
      <c r="HQ97" s="1"/>
      <c r="HR97" s="1"/>
      <c r="HS97" s="1"/>
      <c r="HT97" s="1"/>
      <c r="HU97" s="1"/>
      <c r="HV97" s="1"/>
      <c r="HW97" s="1"/>
      <c r="HX97" s="1"/>
      <c r="HY97" s="1"/>
      <c r="HZ97" s="1"/>
      <c r="IA97" s="1"/>
      <c r="IB97" s="1"/>
      <c r="IC97" s="1"/>
      <c r="ID97" s="1"/>
      <c r="IE97" s="1"/>
      <c r="IF97" s="1"/>
      <c r="IG97" s="1"/>
      <c r="IH97" s="1"/>
      <c r="II97" s="1"/>
      <c r="IJ97" s="1"/>
      <c r="IK97" s="1"/>
      <c r="IL97" s="1"/>
      <c r="IM97" s="1"/>
      <c r="IN97" s="1"/>
      <c r="IO97" s="1"/>
      <c r="IP97" s="1"/>
      <c r="IQ97" s="1"/>
      <c r="IR97" s="1"/>
      <c r="IS97" s="1"/>
      <c r="IT97" s="1"/>
      <c r="IU97" s="1"/>
      <c r="IV97" s="1"/>
      <c r="IW97" s="1"/>
      <c r="IX97" s="1"/>
      <c r="IY97" s="1"/>
      <c r="IZ97" s="1"/>
      <c r="JA97" s="1"/>
      <c r="JB97" s="1"/>
      <c r="JC97" s="1"/>
      <c r="JD97" s="1"/>
    </row>
    <row r="98" spans="1:264" s="347" customFormat="1" x14ac:dyDescent="0.2">
      <c r="A98" s="435" t="s">
        <v>257</v>
      </c>
      <c r="B98" s="348"/>
      <c r="BH98" s="348"/>
      <c r="BI98" s="348"/>
      <c r="BJ98" s="348"/>
      <c r="BK98" s="348"/>
      <c r="BL98" s="348"/>
      <c r="BM98" s="348"/>
      <c r="BN98" s="348"/>
      <c r="BO98" s="348"/>
      <c r="BP98" s="348"/>
      <c r="BT98" s="348"/>
      <c r="BX98" s="348"/>
      <c r="CB98" s="351">
        <f>SUM(CB77+CB89)</f>
        <v>31</v>
      </c>
      <c r="CC98" s="351">
        <f>SUM(CC77+CC89)</f>
        <v>-2</v>
      </c>
      <c r="CD98" s="351">
        <f>SUM(CD77+CD89)</f>
        <v>29</v>
      </c>
      <c r="CF98" s="351">
        <f>SUM(CF77+CF89)</f>
        <v>-91</v>
      </c>
      <c r="CG98" s="351">
        <f>SUM(CG77+CG89)</f>
        <v>-599</v>
      </c>
      <c r="CH98" s="351">
        <f>SUM(CH77+CH89)</f>
        <v>-690</v>
      </c>
      <c r="CI98" s="348"/>
      <c r="CJ98" s="351">
        <f>SUM(CJ77+CJ89)</f>
        <v>0</v>
      </c>
      <c r="CK98" s="351">
        <f>SUM(CK77+CK89)</f>
        <v>-461</v>
      </c>
      <c r="CL98" s="351">
        <f>SUM(CL77+CL89)</f>
        <v>-461</v>
      </c>
      <c r="CM98" s="348"/>
      <c r="CN98" s="351">
        <f>SUM(CN77+CN89)</f>
        <v>-242</v>
      </c>
      <c r="CO98" s="351">
        <f>SUM(CO77+CO89)</f>
        <v>-333</v>
      </c>
      <c r="CP98" s="351">
        <f>SUM(CP77+CP89)</f>
        <v>-575</v>
      </c>
      <c r="CQ98" s="348"/>
      <c r="CR98" s="351">
        <f>SUM(CR77+CR89)</f>
        <v>-93</v>
      </c>
      <c r="CS98" s="351">
        <f>SUM(CS77+CS89)</f>
        <v>-31</v>
      </c>
      <c r="CT98" s="351">
        <f>SUM(CT77+CT89)</f>
        <v>-124</v>
      </c>
      <c r="CU98" s="348"/>
      <c r="CV98" s="351">
        <f>SUM(CV77+CV89)</f>
        <v>-137</v>
      </c>
      <c r="CW98" s="351">
        <f>SUM(CW77+CW89)</f>
        <v>-212</v>
      </c>
      <c r="CX98" s="351">
        <f>SUM(CX77+CX89)</f>
        <v>-212</v>
      </c>
      <c r="CZ98" s="351">
        <f>SUM(CZ77+CZ89)</f>
        <v>0</v>
      </c>
      <c r="DA98" s="351">
        <f>SUM(DA77+DA89)</f>
        <v>-89</v>
      </c>
      <c r="DB98" s="351">
        <f>SUM(DB77+DB89)</f>
        <v>-89</v>
      </c>
      <c r="DD98" s="351">
        <f>SUM(DD77+DD89)</f>
        <v>0</v>
      </c>
      <c r="DE98" s="351">
        <f>SUM(DE77+DE89)</f>
        <v>-130</v>
      </c>
      <c r="DF98" s="351">
        <f>SUM(DF77+DF89)</f>
        <v>-130</v>
      </c>
      <c r="DH98" s="351">
        <f>SUM(DH77+DH89)</f>
        <v>-170</v>
      </c>
      <c r="DI98" s="351">
        <f>SUM(DI77+DI89)</f>
        <v>-50</v>
      </c>
      <c r="DJ98" s="351">
        <f>SUM(DJ77+DJ89)</f>
        <v>-220</v>
      </c>
      <c r="DL98" s="351">
        <f>SUM(DL77+DL89)</f>
        <v>0</v>
      </c>
      <c r="DM98" s="351">
        <f>SUM(DM77+DM89)</f>
        <v>-50</v>
      </c>
      <c r="DN98" s="351">
        <f>SUM(DN77+DN89)</f>
        <v>-50</v>
      </c>
      <c r="DP98" s="351">
        <f>SUM(DP77+DP89)</f>
        <v>0</v>
      </c>
      <c r="DQ98" s="351">
        <f>SUM(DQ77+DQ89)</f>
        <v>-50</v>
      </c>
      <c r="DR98" s="351">
        <f>SUM(DR77+DR89)</f>
        <v>-50</v>
      </c>
      <c r="DT98" s="1"/>
      <c r="DU98" s="1"/>
      <c r="DV98" s="1"/>
      <c r="DW98" s="1"/>
      <c r="DX98" s="1"/>
      <c r="DY98" s="1"/>
      <c r="DZ98" s="1"/>
      <c r="EA98" s="1"/>
      <c r="EB98" s="1"/>
      <c r="EC98" s="1"/>
      <c r="ED98" s="1"/>
      <c r="EE98" s="1"/>
      <c r="EF98" s="1"/>
      <c r="EG98" s="1"/>
      <c r="EH98" s="1"/>
      <c r="EI98" s="1"/>
      <c r="EJ98" s="1"/>
      <c r="EK98" s="1"/>
      <c r="EL98" s="1"/>
      <c r="EM98" s="1"/>
      <c r="EN98" s="1"/>
      <c r="EO98" s="1"/>
      <c r="EP98" s="1"/>
      <c r="EQ98" s="1"/>
      <c r="ER98" s="1"/>
      <c r="ES98" s="1"/>
      <c r="ET98" s="1"/>
      <c r="EU98" s="1"/>
      <c r="EV98" s="1"/>
      <c r="EW98" s="1"/>
      <c r="EX98" s="1"/>
      <c r="EY98" s="1"/>
      <c r="EZ98" s="1"/>
      <c r="FA98" s="1"/>
      <c r="FB98" s="1"/>
      <c r="FC98" s="1"/>
      <c r="FD98" s="1"/>
      <c r="FE98" s="1"/>
      <c r="FF98" s="1"/>
      <c r="FG98" s="1"/>
      <c r="FH98" s="1"/>
      <c r="FI98" s="1"/>
      <c r="FJ98" s="1"/>
      <c r="FK98" s="1"/>
      <c r="FL98" s="1"/>
      <c r="FM98" s="1"/>
      <c r="FN98" s="1"/>
      <c r="FO98" s="1"/>
      <c r="FP98" s="1"/>
      <c r="FQ98" s="1"/>
      <c r="FR98" s="1"/>
      <c r="FS98" s="1"/>
      <c r="FT98" s="1"/>
      <c r="FU98" s="1"/>
      <c r="FV98" s="1"/>
      <c r="FW98" s="1"/>
      <c r="FX98" s="1"/>
      <c r="FY98" s="1"/>
      <c r="FZ98" s="1"/>
      <c r="GA98" s="1"/>
      <c r="GB98" s="1"/>
      <c r="GC98" s="1"/>
      <c r="GD98" s="1"/>
      <c r="GE98" s="1"/>
      <c r="GF98" s="1"/>
      <c r="GG98" s="1"/>
      <c r="GH98" s="1"/>
      <c r="GI98" s="1"/>
      <c r="GJ98" s="1"/>
      <c r="GK98" s="1"/>
      <c r="GL98" s="1"/>
      <c r="GM98" s="1"/>
      <c r="GN98" s="1"/>
      <c r="GO98" s="1"/>
      <c r="GP98" s="1"/>
      <c r="GQ98" s="1"/>
      <c r="GR98" s="1"/>
      <c r="GS98" s="1"/>
      <c r="GT98" s="1"/>
      <c r="GU98" s="1"/>
      <c r="GV98" s="1"/>
      <c r="GW98" s="1"/>
      <c r="GX98" s="1"/>
      <c r="GY98" s="1"/>
      <c r="GZ98" s="1"/>
      <c r="HA98" s="1"/>
      <c r="HB98" s="1"/>
      <c r="HC98" s="1"/>
      <c r="HD98" s="1"/>
      <c r="HE98" s="1"/>
      <c r="HF98" s="1"/>
      <c r="HG98" s="1"/>
      <c r="HH98" s="1"/>
      <c r="HI98" s="1"/>
      <c r="HJ98" s="1"/>
      <c r="HK98" s="1"/>
      <c r="HL98" s="1"/>
      <c r="HM98" s="1"/>
      <c r="HN98" s="1"/>
      <c r="HO98" s="1"/>
      <c r="HP98" s="1"/>
      <c r="HQ98" s="1"/>
      <c r="HR98" s="1"/>
      <c r="HS98" s="1"/>
      <c r="HT98" s="1"/>
      <c r="HU98" s="1"/>
      <c r="HV98" s="1"/>
      <c r="HW98" s="1"/>
      <c r="HX98" s="1"/>
      <c r="HY98" s="1"/>
      <c r="HZ98" s="1"/>
      <c r="IA98" s="1"/>
      <c r="IB98" s="1"/>
      <c r="IC98" s="1"/>
      <c r="ID98" s="1"/>
      <c r="IE98" s="1"/>
      <c r="IF98" s="1"/>
      <c r="IG98" s="1"/>
      <c r="IH98" s="1"/>
      <c r="II98" s="1"/>
      <c r="IJ98" s="1"/>
      <c r="IK98" s="1"/>
      <c r="IL98" s="1"/>
      <c r="IM98" s="1"/>
      <c r="IN98" s="1"/>
      <c r="IO98" s="1"/>
      <c r="IP98" s="1"/>
      <c r="IQ98" s="1"/>
      <c r="IR98" s="1"/>
      <c r="IS98" s="1"/>
      <c r="IT98" s="1"/>
      <c r="IU98" s="1"/>
      <c r="IV98" s="1"/>
      <c r="IW98" s="1"/>
      <c r="IX98" s="1"/>
      <c r="IY98" s="1"/>
      <c r="IZ98" s="1"/>
      <c r="JA98" s="1"/>
      <c r="JB98" s="1"/>
      <c r="JC98" s="1"/>
      <c r="JD98" s="1"/>
    </row>
    <row r="99" spans="1:264" s="347" customFormat="1" x14ac:dyDescent="0.2">
      <c r="A99" s="435" t="s">
        <v>258</v>
      </c>
      <c r="B99" s="348"/>
      <c r="BH99" s="348"/>
      <c r="BI99" s="348"/>
      <c r="BJ99" s="348"/>
      <c r="BK99" s="348"/>
      <c r="BL99" s="348"/>
      <c r="BM99" s="348"/>
      <c r="BN99" s="348"/>
      <c r="BO99" s="348"/>
      <c r="BP99" s="348"/>
      <c r="BT99" s="348"/>
      <c r="BX99" s="348"/>
      <c r="CB99" s="351">
        <f>CB843+CB556</f>
        <v>145.5</v>
      </c>
      <c r="CC99" s="351">
        <f>CC843+CC556</f>
        <v>111</v>
      </c>
      <c r="CD99" s="351">
        <f>CD843+CD556</f>
        <v>256.5</v>
      </c>
      <c r="CF99" s="351">
        <f>CF843+CF556</f>
        <v>27.3</v>
      </c>
      <c r="CG99" s="351">
        <f>CG843+CG556</f>
        <v>179.7</v>
      </c>
      <c r="CH99" s="351">
        <f>CH843+CH556</f>
        <v>207</v>
      </c>
      <c r="CI99" s="348"/>
      <c r="CJ99" s="351">
        <f>CJ843+CJ556</f>
        <v>0</v>
      </c>
      <c r="CK99" s="351">
        <f>CK843+CK556</f>
        <v>138.29999999999998</v>
      </c>
      <c r="CL99" s="351">
        <f>CL843+CL556</f>
        <v>138.29999999999998</v>
      </c>
      <c r="CM99" s="348"/>
      <c r="CN99" s="351">
        <f>CN843+CN556</f>
        <v>72.599999999999994</v>
      </c>
      <c r="CO99" s="351">
        <f>CO843+CO556</f>
        <v>99.899999999999991</v>
      </c>
      <c r="CP99" s="351">
        <f>CP843+CP556</f>
        <v>172.5</v>
      </c>
      <c r="CQ99" s="348"/>
      <c r="CR99" s="351">
        <f>CR843+CR556</f>
        <v>27.9</v>
      </c>
      <c r="CS99" s="351">
        <f>CS843+CS556</f>
        <v>9.3000000000000114</v>
      </c>
      <c r="CT99" s="351">
        <f>CT843+CT556</f>
        <v>37.200000000000017</v>
      </c>
      <c r="CU99" s="348"/>
      <c r="CV99" s="351">
        <f>CV843+CV556</f>
        <v>41.1</v>
      </c>
      <c r="CW99" s="351">
        <f>CW843+CW556</f>
        <v>63.599999999999994</v>
      </c>
      <c r="CX99" s="351">
        <f>CX843+CX556</f>
        <v>104.69999999999999</v>
      </c>
      <c r="CZ99" s="351">
        <f>CZ843+CZ556</f>
        <v>0</v>
      </c>
      <c r="DA99" s="351">
        <f>DA843+DA556</f>
        <v>26.7</v>
      </c>
      <c r="DB99" s="351">
        <f>DB843+DB556</f>
        <v>26.7</v>
      </c>
      <c r="DD99" s="351">
        <f>DD843+DD556</f>
        <v>0</v>
      </c>
      <c r="DE99" s="351">
        <f>DE843+DE556</f>
        <v>39</v>
      </c>
      <c r="DF99" s="351">
        <f>DF843+DF556</f>
        <v>39</v>
      </c>
      <c r="DH99" s="351">
        <f>DH843+DH556</f>
        <v>51</v>
      </c>
      <c r="DI99" s="351">
        <f>DI843+DI556</f>
        <v>15</v>
      </c>
      <c r="DJ99" s="351">
        <f>DJ843+DJ556</f>
        <v>66</v>
      </c>
      <c r="DL99" s="351">
        <f>DL843+DL556</f>
        <v>0</v>
      </c>
      <c r="DM99" s="351">
        <f>DM843+DM556</f>
        <v>15</v>
      </c>
      <c r="DN99" s="351">
        <f>DN843+DN556</f>
        <v>15</v>
      </c>
      <c r="DP99" s="351">
        <f>DP843+DP556</f>
        <v>0</v>
      </c>
      <c r="DQ99" s="351">
        <f>DQ843+DQ556</f>
        <v>15</v>
      </c>
      <c r="DR99" s="351">
        <f>DR843+DR556</f>
        <v>15</v>
      </c>
      <c r="DT99" s="1"/>
      <c r="DU99" s="1"/>
      <c r="DV99" s="1"/>
      <c r="DW99" s="1"/>
      <c r="DX99" s="1"/>
      <c r="DY99" s="1"/>
      <c r="DZ99" s="1"/>
      <c r="EA99" s="1"/>
      <c r="EB99" s="1"/>
      <c r="EC99" s="1"/>
      <c r="ED99" s="1"/>
      <c r="EE99" s="1"/>
      <c r="EF99" s="1"/>
      <c r="EG99" s="1"/>
      <c r="EH99" s="1"/>
      <c r="EI99" s="1"/>
      <c r="EJ99" s="1"/>
      <c r="EK99" s="1"/>
      <c r="EL99" s="1"/>
      <c r="EM99" s="1"/>
      <c r="EN99" s="1"/>
      <c r="EO99" s="1"/>
      <c r="EP99" s="1"/>
      <c r="EQ99" s="1"/>
      <c r="ER99" s="1"/>
      <c r="ES99" s="1"/>
      <c r="ET99" s="1"/>
      <c r="EU99" s="1"/>
      <c r="EV99" s="1"/>
      <c r="EW99" s="1"/>
      <c r="EX99" s="1"/>
      <c r="EY99" s="1"/>
      <c r="EZ99" s="1"/>
      <c r="FA99" s="1"/>
      <c r="FB99" s="1"/>
      <c r="FC99" s="1"/>
      <c r="FD99" s="1"/>
      <c r="FE99" s="1"/>
      <c r="FF99" s="1"/>
      <c r="FG99" s="1"/>
      <c r="FH99" s="1"/>
      <c r="FI99" s="1"/>
      <c r="FJ99" s="1"/>
      <c r="FK99" s="1"/>
      <c r="FL99" s="1"/>
      <c r="FM99" s="1"/>
      <c r="FN99" s="1"/>
      <c r="FO99" s="1"/>
      <c r="FP99" s="1"/>
      <c r="FQ99" s="1"/>
      <c r="FR99" s="1"/>
      <c r="FS99" s="1"/>
      <c r="FT99" s="1"/>
      <c r="FU99" s="1"/>
      <c r="FV99" s="1"/>
      <c r="FW99" s="1"/>
      <c r="FX99" s="1"/>
      <c r="FY99" s="1"/>
      <c r="FZ99" s="1"/>
      <c r="GA99" s="1"/>
      <c r="GB99" s="1"/>
      <c r="GC99" s="1"/>
      <c r="GD99" s="1"/>
      <c r="GE99" s="1"/>
      <c r="GF99" s="1"/>
      <c r="GG99" s="1"/>
      <c r="GH99" s="1"/>
      <c r="GI99" s="1"/>
      <c r="GJ99" s="1"/>
      <c r="GK99" s="1"/>
      <c r="GL99" s="1"/>
      <c r="GM99" s="1"/>
      <c r="GN99" s="1"/>
      <c r="GO99" s="1"/>
      <c r="GP99" s="1"/>
      <c r="GQ99" s="1"/>
      <c r="GR99" s="1"/>
      <c r="GS99" s="1"/>
      <c r="GT99" s="1"/>
      <c r="GU99" s="1"/>
      <c r="GV99" s="1"/>
      <c r="GW99" s="1"/>
      <c r="GX99" s="1"/>
      <c r="GY99" s="1"/>
      <c r="GZ99" s="1"/>
      <c r="HA99" s="1"/>
      <c r="HB99" s="1"/>
      <c r="HC99" s="1"/>
      <c r="HD99" s="1"/>
      <c r="HE99" s="1"/>
      <c r="HF99" s="1"/>
      <c r="HG99" s="1"/>
      <c r="HH99" s="1"/>
      <c r="HI99" s="1"/>
      <c r="HJ99" s="1"/>
      <c r="HK99" s="1"/>
      <c r="HL99" s="1"/>
      <c r="HM99" s="1"/>
      <c r="HN99" s="1"/>
      <c r="HO99" s="1"/>
      <c r="HP99" s="1"/>
      <c r="HQ99" s="1"/>
      <c r="HR99" s="1"/>
      <c r="HS99" s="1"/>
      <c r="HT99" s="1"/>
      <c r="HU99" s="1"/>
      <c r="HV99" s="1"/>
      <c r="HW99" s="1"/>
      <c r="HX99" s="1"/>
      <c r="HY99" s="1"/>
      <c r="HZ99" s="1"/>
      <c r="IA99" s="1"/>
      <c r="IB99" s="1"/>
      <c r="IC99" s="1"/>
      <c r="ID99" s="1"/>
      <c r="IE99" s="1"/>
      <c r="IF99" s="1"/>
      <c r="IG99" s="1"/>
      <c r="IH99" s="1"/>
      <c r="II99" s="1"/>
      <c r="IJ99" s="1"/>
      <c r="IK99" s="1"/>
      <c r="IL99" s="1"/>
      <c r="IM99" s="1"/>
      <c r="IN99" s="1"/>
      <c r="IO99" s="1"/>
      <c r="IP99" s="1"/>
      <c r="IQ99" s="1"/>
      <c r="IR99" s="1"/>
      <c r="IS99" s="1"/>
      <c r="IT99" s="1"/>
      <c r="IU99" s="1"/>
      <c r="IV99" s="1"/>
      <c r="IW99" s="1"/>
      <c r="IX99" s="1"/>
      <c r="IY99" s="1"/>
      <c r="IZ99" s="1"/>
      <c r="JA99" s="1"/>
      <c r="JB99" s="1"/>
      <c r="JC99" s="1"/>
      <c r="JD99" s="1"/>
    </row>
    <row r="100" spans="1:264" s="347" customFormat="1" x14ac:dyDescent="0.2">
      <c r="A100" s="435" t="s">
        <v>259</v>
      </c>
      <c r="B100" s="348"/>
      <c r="BH100" s="348"/>
      <c r="BI100" s="348"/>
      <c r="BJ100" s="348"/>
      <c r="BK100" s="348"/>
      <c r="BL100" s="348"/>
      <c r="BM100" s="348"/>
      <c r="BN100" s="348"/>
      <c r="BO100" s="348"/>
      <c r="BP100" s="348"/>
      <c r="BT100" s="348"/>
      <c r="BX100" s="348"/>
      <c r="CB100" s="351">
        <f>CB98+CB99</f>
        <v>176.5</v>
      </c>
      <c r="CC100" s="351">
        <f>CC98+CC99</f>
        <v>109</v>
      </c>
      <c r="CD100" s="351">
        <f>CD98+CD99</f>
        <v>285.5</v>
      </c>
      <c r="CF100" s="351">
        <f>CF98+CF99</f>
        <v>-63.7</v>
      </c>
      <c r="CG100" s="351">
        <f>CG98+CG99</f>
        <v>-419.3</v>
      </c>
      <c r="CH100" s="351">
        <f>CH98+CH99</f>
        <v>-483</v>
      </c>
      <c r="CI100" s="348"/>
      <c r="CJ100" s="351">
        <f>CJ98+CJ99</f>
        <v>0</v>
      </c>
      <c r="CK100" s="351">
        <f>CK98+CK99</f>
        <v>-322.70000000000005</v>
      </c>
      <c r="CL100" s="351">
        <f>CL98+CL99</f>
        <v>-322.70000000000005</v>
      </c>
      <c r="CM100" s="348"/>
      <c r="CN100" s="351">
        <f>CN98+CN99</f>
        <v>-169.4</v>
      </c>
      <c r="CO100" s="351">
        <f>CO98+CO99</f>
        <v>-233.10000000000002</v>
      </c>
      <c r="CP100" s="351">
        <f>CP98+CP99</f>
        <v>-402.5</v>
      </c>
      <c r="CQ100" s="348"/>
      <c r="CR100" s="351">
        <f>CR98+CR99</f>
        <v>-65.099999999999994</v>
      </c>
      <c r="CS100" s="351">
        <f>CS98+CS99</f>
        <v>-21.699999999999989</v>
      </c>
      <c r="CT100" s="351">
        <f>CT98+CT99</f>
        <v>-86.799999999999983</v>
      </c>
      <c r="CU100" s="348"/>
      <c r="CV100" s="351">
        <f>CV98+CV99</f>
        <v>-95.9</v>
      </c>
      <c r="CW100" s="351">
        <f>CW98+CW99</f>
        <v>-148.4</v>
      </c>
      <c r="CX100" s="351">
        <f>CX98+CX99</f>
        <v>-107.30000000000001</v>
      </c>
      <c r="CZ100" s="351">
        <f>CZ98+CZ99</f>
        <v>0</v>
      </c>
      <c r="DA100" s="351">
        <f>DA98+DA99</f>
        <v>-62.3</v>
      </c>
      <c r="DB100" s="351">
        <f>DB98+DB99</f>
        <v>-62.3</v>
      </c>
      <c r="DD100" s="351">
        <f>DD98+DD99</f>
        <v>0</v>
      </c>
      <c r="DE100" s="351">
        <f>DE98+DE99</f>
        <v>-91</v>
      </c>
      <c r="DF100" s="351">
        <f>DF98+DF99</f>
        <v>-91</v>
      </c>
      <c r="DH100" s="351">
        <f>DH98+DH99</f>
        <v>-119</v>
      </c>
      <c r="DI100" s="351">
        <f>DI98+DI99</f>
        <v>-35</v>
      </c>
      <c r="DJ100" s="351">
        <f>DJ98+DJ99</f>
        <v>-154</v>
      </c>
      <c r="DL100" s="351">
        <f>DL98+DL99</f>
        <v>0</v>
      </c>
      <c r="DM100" s="351">
        <f>DM98+DM99</f>
        <v>-35</v>
      </c>
      <c r="DN100" s="351">
        <f>DN98+DN99</f>
        <v>-35</v>
      </c>
      <c r="DP100" s="351">
        <f>DP98+DP99</f>
        <v>0</v>
      </c>
      <c r="DQ100" s="351">
        <f>DQ98+DQ99</f>
        <v>-35</v>
      </c>
      <c r="DR100" s="351">
        <f>DR98+DR99</f>
        <v>-35</v>
      </c>
      <c r="DT100" s="1"/>
      <c r="DU100" s="1"/>
      <c r="DV100" s="1"/>
      <c r="DW100" s="1"/>
      <c r="DX100" s="1"/>
      <c r="DY100" s="1"/>
      <c r="DZ100" s="1"/>
      <c r="EA100" s="1"/>
      <c r="EB100" s="1"/>
      <c r="EC100" s="1"/>
      <c r="ED100" s="1"/>
      <c r="EE100" s="1"/>
      <c r="EF100" s="1"/>
      <c r="EG100" s="1"/>
      <c r="EH100" s="1"/>
      <c r="EI100" s="1"/>
      <c r="EJ100" s="1"/>
      <c r="EK100" s="1"/>
      <c r="EL100" s="1"/>
      <c r="EM100" s="1"/>
      <c r="EN100" s="1"/>
      <c r="EO100" s="1"/>
      <c r="EP100" s="1"/>
      <c r="EQ100" s="1"/>
      <c r="ER100" s="1"/>
      <c r="ES100" s="1"/>
      <c r="ET100" s="1"/>
      <c r="EU100" s="1"/>
      <c r="EV100" s="1"/>
      <c r="EW100" s="1"/>
      <c r="EX100" s="1"/>
      <c r="EY100" s="1"/>
      <c r="EZ100" s="1"/>
      <c r="FA100" s="1"/>
      <c r="FB100" s="1"/>
      <c r="FC100" s="1"/>
      <c r="FD100" s="1"/>
      <c r="FE100" s="1"/>
      <c r="FF100" s="1"/>
      <c r="FG100" s="1"/>
      <c r="FH100" s="1"/>
      <c r="FI100" s="1"/>
      <c r="FJ100" s="1"/>
      <c r="FK100" s="1"/>
      <c r="FL100" s="1"/>
      <c r="FM100" s="1"/>
      <c r="FN100" s="1"/>
      <c r="FO100" s="1"/>
      <c r="FP100" s="1"/>
      <c r="FQ100" s="1"/>
      <c r="FR100" s="1"/>
      <c r="FS100" s="1"/>
      <c r="FT100" s="1"/>
      <c r="FU100" s="1"/>
      <c r="FV100" s="1"/>
      <c r="FW100" s="1"/>
      <c r="FX100" s="1"/>
      <c r="FY100" s="1"/>
      <c r="FZ100" s="1"/>
      <c r="GA100" s="1"/>
      <c r="GB100" s="1"/>
      <c r="GC100" s="1"/>
      <c r="GD100" s="1"/>
      <c r="GE100" s="1"/>
      <c r="GF100" s="1"/>
      <c r="GG100" s="1"/>
      <c r="GH100" s="1"/>
      <c r="GI100" s="1"/>
      <c r="GJ100" s="1"/>
      <c r="GK100" s="1"/>
      <c r="GL100" s="1"/>
      <c r="GM100" s="1"/>
      <c r="GN100" s="1"/>
      <c r="GO100" s="1"/>
      <c r="GP100" s="1"/>
      <c r="GQ100" s="1"/>
      <c r="GR100" s="1"/>
      <c r="GS100" s="1"/>
      <c r="GT100" s="1"/>
      <c r="GU100" s="1"/>
      <c r="GV100" s="1"/>
      <c r="GW100" s="1"/>
      <c r="GX100" s="1"/>
      <c r="GY100" s="1"/>
      <c r="GZ100" s="1"/>
      <c r="HA100" s="1"/>
      <c r="HB100" s="1"/>
      <c r="HC100" s="1"/>
      <c r="HD100" s="1"/>
      <c r="HE100" s="1"/>
      <c r="HF100" s="1"/>
      <c r="HG100" s="1"/>
      <c r="HH100" s="1"/>
      <c r="HI100" s="1"/>
      <c r="HJ100" s="1"/>
      <c r="HK100" s="1"/>
      <c r="HL100" s="1"/>
      <c r="HM100" s="1"/>
      <c r="HN100" s="1"/>
      <c r="HO100" s="1"/>
      <c r="HP100" s="1"/>
      <c r="HQ100" s="1"/>
      <c r="HR100" s="1"/>
      <c r="HS100" s="1"/>
      <c r="HT100" s="1"/>
      <c r="HU100" s="1"/>
      <c r="HV100" s="1"/>
      <c r="HW100" s="1"/>
      <c r="HX100" s="1"/>
      <c r="HY100" s="1"/>
      <c r="HZ100" s="1"/>
      <c r="IA100" s="1"/>
      <c r="IB100" s="1"/>
      <c r="IC100" s="1"/>
      <c r="ID100" s="1"/>
      <c r="IE100" s="1"/>
      <c r="IF100" s="1"/>
      <c r="IG100" s="1"/>
      <c r="IH100" s="1"/>
      <c r="II100" s="1"/>
      <c r="IJ100" s="1"/>
      <c r="IK100" s="1"/>
      <c r="IL100" s="1"/>
      <c r="IM100" s="1"/>
      <c r="IN100" s="1"/>
      <c r="IO100" s="1"/>
      <c r="IP100" s="1"/>
      <c r="IQ100" s="1"/>
      <c r="IR100" s="1"/>
      <c r="IS100" s="1"/>
      <c r="IT100" s="1"/>
      <c r="IU100" s="1"/>
      <c r="IV100" s="1"/>
      <c r="IW100" s="1"/>
      <c r="IX100" s="1"/>
      <c r="IY100" s="1"/>
      <c r="IZ100" s="1"/>
      <c r="JA100" s="1"/>
      <c r="JB100" s="1"/>
      <c r="JC100" s="1"/>
      <c r="JD100" s="1"/>
    </row>
    <row r="101" spans="1:264" s="347" customFormat="1" x14ac:dyDescent="0.2">
      <c r="A101" s="435" t="s">
        <v>260</v>
      </c>
      <c r="B101" s="348"/>
      <c r="BH101" s="348"/>
      <c r="BI101" s="348"/>
      <c r="BJ101" s="348"/>
      <c r="BK101" s="348"/>
      <c r="BL101" s="351"/>
      <c r="BM101" s="351"/>
      <c r="BN101" s="351"/>
      <c r="BO101" s="348"/>
      <c r="BP101" s="351"/>
      <c r="BQ101" s="351"/>
      <c r="BR101" s="351"/>
      <c r="BT101" s="351"/>
      <c r="BU101" s="351"/>
      <c r="BV101" s="351"/>
      <c r="BX101" s="351"/>
      <c r="BY101" s="351"/>
      <c r="BZ101" s="351"/>
      <c r="CB101" s="351">
        <f>CB102-CB97</f>
        <v>-2144.5</v>
      </c>
      <c r="CC101" s="351">
        <f t="shared" ref="CC101:CD101" si="70">CC102-CC97</f>
        <v>-2045</v>
      </c>
      <c r="CD101" s="351">
        <f t="shared" si="70"/>
        <v>-4189.5</v>
      </c>
      <c r="CF101" s="351">
        <f>CF102-CF97</f>
        <v>-1824.3000000000002</v>
      </c>
      <c r="CG101" s="351">
        <f t="shared" ref="CG101:CH101" si="71">CG102-CG97</f>
        <v>-1715.6999999999998</v>
      </c>
      <c r="CH101" s="351">
        <f t="shared" si="71"/>
        <v>-3540</v>
      </c>
      <c r="CJ101" s="351">
        <f>CJ102-CJ97</f>
        <v>-1797</v>
      </c>
      <c r="CK101" s="351">
        <f t="shared" ref="CK101:CL101" si="72">CK102-CK97</f>
        <v>-1363.3000000000002</v>
      </c>
      <c r="CL101" s="351">
        <f t="shared" si="72"/>
        <v>-3160.3</v>
      </c>
      <c r="CN101" s="351">
        <f>CN102-CN97</f>
        <v>-1692.6</v>
      </c>
      <c r="CO101" s="351">
        <f t="shared" ref="CO101:CP101" si="73">CO102-CO97</f>
        <v>-2069.8999999999996</v>
      </c>
      <c r="CP101" s="351">
        <f t="shared" si="73"/>
        <v>-3762.5</v>
      </c>
      <c r="CR101" s="351">
        <f>CR102-CR97</f>
        <v>-1973.8999999999996</v>
      </c>
      <c r="CS101" s="351">
        <f t="shared" ref="CS101:CT101" si="74">CS102-CS97</f>
        <v>-2086.3000000000002</v>
      </c>
      <c r="CT101" s="351">
        <f t="shared" si="74"/>
        <v>-4060.2000000000007</v>
      </c>
      <c r="CV101" s="351">
        <f>CV102-CV97</f>
        <v>-2200.1000000000004</v>
      </c>
      <c r="CW101" s="351">
        <f t="shared" ref="CW101:CX101" si="75">CW102-CW97</f>
        <v>-2001.6000000000004</v>
      </c>
      <c r="CX101" s="351">
        <f t="shared" si="75"/>
        <v>-4201.7000000000007</v>
      </c>
      <c r="CZ101" s="351">
        <f>CZ102-CZ97</f>
        <v>-2204</v>
      </c>
      <c r="DA101" s="351">
        <f t="shared" ref="DA101:DB101" si="76">DA102-DA97</f>
        <v>-2140.6999999999998</v>
      </c>
      <c r="DB101" s="351">
        <f t="shared" si="76"/>
        <v>-4344.7000000000007</v>
      </c>
      <c r="DD101" s="351">
        <f>DD102-DD97</f>
        <v>-2273</v>
      </c>
      <c r="DE101" s="351">
        <f t="shared" ref="DE101:DF101" si="77">DE102-DE97</f>
        <v>-2257</v>
      </c>
      <c r="DF101" s="351">
        <f t="shared" si="77"/>
        <v>-4530</v>
      </c>
      <c r="DH101" s="351">
        <f>DH102-DH97</f>
        <v>-2418</v>
      </c>
      <c r="DI101" s="351">
        <f t="shared" ref="DI101:DJ101" si="78">DI102-DI97</f>
        <v>-2391.2760413811857</v>
      </c>
      <c r="DJ101" s="351">
        <f t="shared" si="78"/>
        <v>-4809.2760413811866</v>
      </c>
      <c r="DL101" s="351">
        <f>DL102-DL97</f>
        <v>-2539.6080868548497</v>
      </c>
      <c r="DM101" s="351">
        <f t="shared" ref="DM101:DN101" si="79">DM102-DM97</f>
        <v>-2533.0954212423312</v>
      </c>
      <c r="DN101" s="351">
        <f t="shared" si="79"/>
        <v>-5072.7035080971818</v>
      </c>
      <c r="DP101" s="351">
        <f>DP102-DP97</f>
        <v>-2630.5733862581474</v>
      </c>
      <c r="DQ101" s="351">
        <f t="shared" ref="DQ101:DR101" si="80">DQ102-DQ97</f>
        <v>-2638.1580980741055</v>
      </c>
      <c r="DR101" s="351">
        <f t="shared" si="80"/>
        <v>-5268.7314843322529</v>
      </c>
      <c r="DT101" s="1"/>
      <c r="DU101" s="1"/>
      <c r="DV101" s="1"/>
      <c r="DW101" s="1"/>
      <c r="DX101" s="1"/>
      <c r="DY101" s="1"/>
      <c r="DZ101" s="1"/>
      <c r="EA101" s="1"/>
      <c r="EB101" s="1"/>
      <c r="EC101" s="1"/>
      <c r="ED101" s="1"/>
      <c r="EE101" s="1"/>
      <c r="EF101" s="1"/>
      <c r="EG101" s="1"/>
      <c r="EH101" s="1"/>
      <c r="EI101" s="1"/>
      <c r="EJ101" s="1"/>
      <c r="EK101" s="1"/>
      <c r="EL101" s="1"/>
      <c r="EM101" s="1"/>
      <c r="EN101" s="1"/>
      <c r="EO101" s="1"/>
      <c r="EP101" s="1"/>
      <c r="EQ101" s="1"/>
      <c r="ER101" s="1"/>
      <c r="ES101" s="1"/>
      <c r="ET101" s="1"/>
      <c r="EU101" s="1"/>
      <c r="EV101" s="1"/>
      <c r="EW101" s="1"/>
      <c r="EX101" s="1"/>
      <c r="EY101" s="1"/>
      <c r="EZ101" s="1"/>
      <c r="FA101" s="1"/>
      <c r="FB101" s="1"/>
      <c r="FC101" s="1"/>
      <c r="FD101" s="1"/>
      <c r="FE101" s="1"/>
      <c r="FF101" s="1"/>
      <c r="FG101" s="1"/>
      <c r="FH101" s="1"/>
      <c r="FI101" s="1"/>
      <c r="FJ101" s="1"/>
      <c r="FK101" s="1"/>
      <c r="FL101" s="1"/>
      <c r="FM101" s="1"/>
      <c r="FN101" s="1"/>
      <c r="FO101" s="1"/>
      <c r="FP101" s="1"/>
      <c r="FQ101" s="1"/>
      <c r="FR101" s="1"/>
      <c r="FS101" s="1"/>
      <c r="FT101" s="1"/>
      <c r="FU101" s="1"/>
      <c r="FV101" s="1"/>
      <c r="FW101" s="1"/>
      <c r="FX101" s="1"/>
      <c r="FY101" s="1"/>
      <c r="FZ101" s="1"/>
      <c r="GA101" s="1"/>
      <c r="GB101" s="1"/>
      <c r="GC101" s="1"/>
      <c r="GD101" s="1"/>
      <c r="GE101" s="1"/>
      <c r="GF101" s="1"/>
      <c r="GG101" s="1"/>
      <c r="GH101" s="1"/>
      <c r="GI101" s="1"/>
      <c r="GJ101" s="1"/>
      <c r="GK101" s="1"/>
      <c r="GL101" s="1"/>
      <c r="GM101" s="1"/>
      <c r="GN101" s="1"/>
      <c r="GO101" s="1"/>
      <c r="GP101" s="1"/>
      <c r="GQ101" s="1"/>
      <c r="GR101" s="1"/>
      <c r="GS101" s="1"/>
      <c r="GT101" s="1"/>
      <c r="GU101" s="1"/>
      <c r="GV101" s="1"/>
      <c r="GW101" s="1"/>
      <c r="GX101" s="1"/>
      <c r="GY101" s="1"/>
      <c r="GZ101" s="1"/>
      <c r="HA101" s="1"/>
      <c r="HB101" s="1"/>
      <c r="HC101" s="1"/>
      <c r="HD101" s="1"/>
      <c r="HE101" s="1"/>
      <c r="HF101" s="1"/>
      <c r="HG101" s="1"/>
      <c r="HH101" s="1"/>
      <c r="HI101" s="1"/>
      <c r="HJ101" s="1"/>
      <c r="HK101" s="1"/>
      <c r="HL101" s="1"/>
      <c r="HM101" s="1"/>
      <c r="HN101" s="1"/>
      <c r="HO101" s="1"/>
      <c r="HP101" s="1"/>
      <c r="HQ101" s="1"/>
      <c r="HR101" s="1"/>
      <c r="HS101" s="1"/>
      <c r="HT101" s="1"/>
      <c r="HU101" s="1"/>
      <c r="HV101" s="1"/>
      <c r="HW101" s="1"/>
      <c r="HX101" s="1"/>
      <c r="HY101" s="1"/>
      <c r="HZ101" s="1"/>
      <c r="IA101" s="1"/>
      <c r="IB101" s="1"/>
      <c r="IC101" s="1"/>
      <c r="ID101" s="1"/>
      <c r="IE101" s="1"/>
      <c r="IF101" s="1"/>
      <c r="IG101" s="1"/>
      <c r="IH101" s="1"/>
      <c r="II101" s="1"/>
      <c r="IJ101" s="1"/>
      <c r="IK101" s="1"/>
      <c r="IL101" s="1"/>
      <c r="IM101" s="1"/>
      <c r="IN101" s="1"/>
      <c r="IO101" s="1"/>
      <c r="IP101" s="1"/>
      <c r="IQ101" s="1"/>
      <c r="IR101" s="1"/>
      <c r="IS101" s="1"/>
      <c r="IT101" s="1"/>
      <c r="IU101" s="1"/>
      <c r="IV101" s="1"/>
      <c r="IW101" s="1"/>
      <c r="IX101" s="1"/>
      <c r="IY101" s="1"/>
      <c r="IZ101" s="1"/>
      <c r="JA101" s="1"/>
      <c r="JB101" s="1"/>
      <c r="JC101" s="1"/>
      <c r="JD101" s="1"/>
    </row>
    <row r="102" spans="1:264" s="347" customFormat="1" x14ac:dyDescent="0.2">
      <c r="A102" s="435" t="s">
        <v>261</v>
      </c>
      <c r="B102" s="348"/>
      <c r="BH102" s="348"/>
      <c r="BI102" s="348"/>
      <c r="BJ102" s="348"/>
      <c r="BK102" s="348"/>
      <c r="BL102" s="348"/>
      <c r="BM102" s="348"/>
      <c r="BN102" s="348"/>
      <c r="BO102" s="348"/>
      <c r="BP102" s="348"/>
      <c r="BT102" s="348"/>
      <c r="BX102" s="348"/>
      <c r="CB102" s="351">
        <f>CB36-CB100</f>
        <v>4421.5</v>
      </c>
      <c r="CC102" s="351">
        <f>CC36-CC100</f>
        <v>4208</v>
      </c>
      <c r="CD102" s="351">
        <f>CD36-CD100</f>
        <v>8629.5</v>
      </c>
      <c r="CF102" s="351">
        <f>CF36-CF100</f>
        <v>4613.7</v>
      </c>
      <c r="CG102" s="351">
        <f>CG36-CG100</f>
        <v>4090.3</v>
      </c>
      <c r="CH102" s="351">
        <f>CH36-CH100</f>
        <v>8704</v>
      </c>
      <c r="CJ102" s="351">
        <f>CJ36-CJ100</f>
        <v>4320</v>
      </c>
      <c r="CK102" s="351">
        <f>CK36-CK100</f>
        <v>3227.7</v>
      </c>
      <c r="CL102" s="351">
        <f>CL36-CL100</f>
        <v>7547.7</v>
      </c>
      <c r="CN102" s="351">
        <f>CN36-CN100</f>
        <v>4037.4</v>
      </c>
      <c r="CO102" s="351">
        <f>CO36-CO100</f>
        <v>5018.1000000000004</v>
      </c>
      <c r="CP102" s="351">
        <f>CP36-CP100</f>
        <v>9055.5</v>
      </c>
      <c r="CR102" s="351">
        <f>CR36-CR100</f>
        <v>4811.1000000000004</v>
      </c>
      <c r="CS102" s="351">
        <f>CS36-CS100</f>
        <v>4870.7</v>
      </c>
      <c r="CT102" s="351">
        <f>CT36-CT100</f>
        <v>9681.7999999999993</v>
      </c>
      <c r="CV102" s="351">
        <f>CV36-CV100</f>
        <v>5275.9</v>
      </c>
      <c r="CW102" s="351">
        <f>CW36-CW100</f>
        <v>5040.3999999999996</v>
      </c>
      <c r="CX102" s="351">
        <f>CX36-CX100</f>
        <v>10179.299999999999</v>
      </c>
      <c r="CZ102" s="351">
        <f>CZ36-CZ100</f>
        <v>5019</v>
      </c>
      <c r="DA102" s="351">
        <f>DA36-DA100</f>
        <v>4879.3</v>
      </c>
      <c r="DB102" s="351">
        <f>DB36-DB100</f>
        <v>9898.2999999999993</v>
      </c>
      <c r="DD102" s="351">
        <f>DD36-DD100</f>
        <v>5132</v>
      </c>
      <c r="DE102" s="351">
        <f>DE36-DE100</f>
        <v>5211</v>
      </c>
      <c r="DF102" s="351">
        <f>DF36-DF100</f>
        <v>10343</v>
      </c>
      <c r="DH102" s="351">
        <f>DH36-DH100</f>
        <v>5564</v>
      </c>
      <c r="DI102" s="351">
        <f>DI36-DI100</f>
        <v>5659.6533908786996</v>
      </c>
      <c r="DJ102" s="351">
        <f>DJ36-DJ100</f>
        <v>11223.653390878699</v>
      </c>
      <c r="DL102" s="351">
        <f>DL36-DL100</f>
        <v>5925.752202661316</v>
      </c>
      <c r="DM102" s="351">
        <f>DM36-DM100</f>
        <v>5910.5559828987753</v>
      </c>
      <c r="DN102" s="351">
        <f>DN36-DN100</f>
        <v>11836.308185560092</v>
      </c>
      <c r="DP102" s="351">
        <f>DP36-DP100</f>
        <v>6138.004567935679</v>
      </c>
      <c r="DQ102" s="351">
        <f>DQ36-DQ100</f>
        <v>6155.7022288395801</v>
      </c>
      <c r="DR102" s="351">
        <f>DR36-DR100</f>
        <v>12293.706796775259</v>
      </c>
      <c r="DT102" s="1"/>
      <c r="DU102" s="1"/>
      <c r="DV102" s="1"/>
      <c r="DW102" s="1"/>
      <c r="DX102" s="1"/>
      <c r="DY102" s="1"/>
      <c r="DZ102" s="1"/>
      <c r="EA102" s="1"/>
      <c r="EB102" s="1"/>
      <c r="EC102" s="1"/>
      <c r="ED102" s="1"/>
      <c r="EE102" s="1"/>
      <c r="EF102" s="1"/>
      <c r="EG102" s="1"/>
      <c r="EH102" s="1"/>
      <c r="EI102" s="1"/>
      <c r="EJ102" s="1"/>
      <c r="EK102" s="1"/>
      <c r="EL102" s="1"/>
      <c r="EM102" s="1"/>
      <c r="EN102" s="1"/>
      <c r="EO102" s="1"/>
      <c r="EP102" s="1"/>
      <c r="EQ102" s="1"/>
      <c r="ER102" s="1"/>
      <c r="ES102" s="1"/>
      <c r="ET102" s="1"/>
      <c r="EU102" s="1"/>
      <c r="EV102" s="1"/>
      <c r="EW102" s="1"/>
      <c r="EX102" s="1"/>
      <c r="EY102" s="1"/>
      <c r="EZ102" s="1"/>
      <c r="FA102" s="1"/>
      <c r="FB102" s="1"/>
      <c r="FC102" s="1"/>
      <c r="FD102" s="1"/>
      <c r="FE102" s="1"/>
      <c r="FF102" s="1"/>
      <c r="FG102" s="1"/>
      <c r="FH102" s="1"/>
      <c r="FI102" s="1"/>
      <c r="FJ102" s="1"/>
      <c r="FK102" s="1"/>
      <c r="FL102" s="1"/>
      <c r="FM102" s="1"/>
      <c r="FN102" s="1"/>
      <c r="FO102" s="1"/>
      <c r="FP102" s="1"/>
      <c r="FQ102" s="1"/>
      <c r="FR102" s="1"/>
      <c r="FS102" s="1"/>
      <c r="FT102" s="1"/>
      <c r="FU102" s="1"/>
      <c r="FV102" s="1"/>
      <c r="FW102" s="1"/>
      <c r="FX102" s="1"/>
      <c r="FY102" s="1"/>
      <c r="FZ102" s="1"/>
      <c r="GA102" s="1"/>
      <c r="GB102" s="1"/>
      <c r="GC102" s="1"/>
      <c r="GD102" s="1"/>
      <c r="GE102" s="1"/>
      <c r="GF102" s="1"/>
      <c r="GG102" s="1"/>
      <c r="GH102" s="1"/>
      <c r="GI102" s="1"/>
      <c r="GJ102" s="1"/>
      <c r="GK102" s="1"/>
      <c r="GL102" s="1"/>
      <c r="GM102" s="1"/>
      <c r="GN102" s="1"/>
      <c r="GO102" s="1"/>
      <c r="GP102" s="1"/>
      <c r="GQ102" s="1"/>
      <c r="GR102" s="1"/>
      <c r="GS102" s="1"/>
      <c r="GT102" s="1"/>
      <c r="GU102" s="1"/>
      <c r="GV102" s="1"/>
      <c r="GW102" s="1"/>
      <c r="GX102" s="1"/>
      <c r="GY102" s="1"/>
      <c r="GZ102" s="1"/>
      <c r="HA102" s="1"/>
      <c r="HB102" s="1"/>
      <c r="HC102" s="1"/>
      <c r="HD102" s="1"/>
      <c r="HE102" s="1"/>
      <c r="HF102" s="1"/>
      <c r="HG102" s="1"/>
      <c r="HH102" s="1"/>
      <c r="HI102" s="1"/>
      <c r="HJ102" s="1"/>
      <c r="HK102" s="1"/>
      <c r="HL102" s="1"/>
      <c r="HM102" s="1"/>
      <c r="HN102" s="1"/>
      <c r="HO102" s="1"/>
      <c r="HP102" s="1"/>
      <c r="HQ102" s="1"/>
      <c r="HR102" s="1"/>
      <c r="HS102" s="1"/>
      <c r="HT102" s="1"/>
      <c r="HU102" s="1"/>
      <c r="HV102" s="1"/>
      <c r="HW102" s="1"/>
      <c r="HX102" s="1"/>
      <c r="HY102" s="1"/>
      <c r="HZ102" s="1"/>
      <c r="IA102" s="1"/>
      <c r="IB102" s="1"/>
      <c r="IC102" s="1"/>
      <c r="ID102" s="1"/>
      <c r="IE102" s="1"/>
      <c r="IF102" s="1"/>
      <c r="IG102" s="1"/>
      <c r="IH102" s="1"/>
      <c r="II102" s="1"/>
      <c r="IJ102" s="1"/>
      <c r="IK102" s="1"/>
      <c r="IL102" s="1"/>
      <c r="IM102" s="1"/>
      <c r="IN102" s="1"/>
      <c r="IO102" s="1"/>
      <c r="IP102" s="1"/>
      <c r="IQ102" s="1"/>
      <c r="IR102" s="1"/>
      <c r="IS102" s="1"/>
      <c r="IT102" s="1"/>
      <c r="IU102" s="1"/>
      <c r="IV102" s="1"/>
      <c r="IW102" s="1"/>
      <c r="IX102" s="1"/>
      <c r="IY102" s="1"/>
      <c r="IZ102" s="1"/>
      <c r="JA102" s="1"/>
      <c r="JB102" s="1"/>
      <c r="JC102" s="1"/>
      <c r="JD102" s="1"/>
    </row>
    <row r="103" spans="1:264" s="347" customFormat="1" x14ac:dyDescent="0.2">
      <c r="A103" s="435"/>
      <c r="B103" s="348"/>
      <c r="BH103" s="348"/>
      <c r="BI103" s="348"/>
      <c r="BJ103" s="348"/>
      <c r="BK103" s="348"/>
      <c r="BL103" s="348"/>
      <c r="BM103" s="348"/>
      <c r="BN103" s="348"/>
      <c r="BO103" s="348"/>
      <c r="BP103" s="348"/>
      <c r="BT103" s="348"/>
      <c r="BX103" s="348"/>
      <c r="CB103" s="348"/>
      <c r="CF103" s="348"/>
      <c r="CJ103" s="348"/>
      <c r="CN103" s="348"/>
      <c r="CR103" s="348"/>
      <c r="CV103" s="348"/>
      <c r="CZ103" s="348"/>
      <c r="DD103" s="348"/>
      <c r="DH103" s="348"/>
      <c r="DL103" s="348"/>
      <c r="DP103" s="348"/>
      <c r="DT103" s="1"/>
      <c r="DU103" s="1"/>
      <c r="DV103" s="1"/>
      <c r="DW103" s="1"/>
      <c r="DX103" s="1"/>
      <c r="DY103" s="1"/>
      <c r="DZ103" s="1"/>
      <c r="EA103" s="1"/>
      <c r="EB103" s="1"/>
      <c r="EC103" s="1"/>
      <c r="ED103" s="1"/>
      <c r="EE103" s="1"/>
      <c r="EF103" s="1"/>
      <c r="EG103" s="1"/>
      <c r="EH103" s="1"/>
      <c r="EI103" s="1"/>
      <c r="EJ103" s="1"/>
      <c r="EK103" s="1"/>
      <c r="EL103" s="1"/>
      <c r="EM103" s="1"/>
      <c r="EN103" s="1"/>
      <c r="EO103" s="1"/>
      <c r="EP103" s="1"/>
      <c r="EQ103" s="1"/>
      <c r="ER103" s="1"/>
      <c r="ES103" s="1"/>
      <c r="ET103" s="1"/>
      <c r="EU103" s="1"/>
      <c r="EV103" s="1"/>
      <c r="EW103" s="1"/>
      <c r="EX103" s="1"/>
      <c r="EY103" s="1"/>
      <c r="EZ103" s="1"/>
      <c r="FA103" s="1"/>
      <c r="FB103" s="1"/>
      <c r="FC103" s="1"/>
      <c r="FD103" s="1"/>
      <c r="FE103" s="1"/>
      <c r="FF103" s="1"/>
      <c r="FG103" s="1"/>
      <c r="FH103" s="1"/>
      <c r="FI103" s="1"/>
      <c r="FJ103" s="1"/>
      <c r="FK103" s="1"/>
      <c r="FL103" s="1"/>
      <c r="FM103" s="1"/>
      <c r="FN103" s="1"/>
      <c r="FO103" s="1"/>
      <c r="FP103" s="1"/>
      <c r="FQ103" s="1"/>
      <c r="FR103" s="1"/>
      <c r="FS103" s="1"/>
      <c r="FT103" s="1"/>
      <c r="FU103" s="1"/>
      <c r="FV103" s="1"/>
      <c r="FW103" s="1"/>
      <c r="FX103" s="1"/>
      <c r="FY103" s="1"/>
      <c r="FZ103" s="1"/>
      <c r="GA103" s="1"/>
      <c r="GB103" s="1"/>
      <c r="GC103" s="1"/>
      <c r="GD103" s="1"/>
      <c r="GE103" s="1"/>
      <c r="GF103" s="1"/>
      <c r="GG103" s="1"/>
      <c r="GH103" s="1"/>
      <c r="GI103" s="1"/>
      <c r="GJ103" s="1"/>
      <c r="GK103" s="1"/>
      <c r="GL103" s="1"/>
      <c r="GM103" s="1"/>
      <c r="GN103" s="1"/>
      <c r="GO103" s="1"/>
      <c r="GP103" s="1"/>
      <c r="GQ103" s="1"/>
      <c r="GR103" s="1"/>
      <c r="GS103" s="1"/>
      <c r="GT103" s="1"/>
      <c r="GU103" s="1"/>
      <c r="GV103" s="1"/>
      <c r="GW103" s="1"/>
      <c r="GX103" s="1"/>
      <c r="GY103" s="1"/>
      <c r="GZ103" s="1"/>
      <c r="HA103" s="1"/>
      <c r="HB103" s="1"/>
      <c r="HC103" s="1"/>
      <c r="HD103" s="1"/>
      <c r="HE103" s="1"/>
      <c r="HF103" s="1"/>
      <c r="HG103" s="1"/>
      <c r="HH103" s="1"/>
      <c r="HI103" s="1"/>
      <c r="HJ103" s="1"/>
      <c r="HK103" s="1"/>
      <c r="HL103" s="1"/>
      <c r="HM103" s="1"/>
      <c r="HN103" s="1"/>
      <c r="HO103" s="1"/>
      <c r="HP103" s="1"/>
      <c r="HQ103" s="1"/>
      <c r="HR103" s="1"/>
      <c r="HS103" s="1"/>
      <c r="HT103" s="1"/>
      <c r="HU103" s="1"/>
      <c r="HV103" s="1"/>
      <c r="HW103" s="1"/>
      <c r="HX103" s="1"/>
      <c r="HY103" s="1"/>
      <c r="HZ103" s="1"/>
      <c r="IA103" s="1"/>
      <c r="IB103" s="1"/>
      <c r="IC103" s="1"/>
      <c r="ID103" s="1"/>
      <c r="IE103" s="1"/>
      <c r="IF103" s="1"/>
      <c r="IG103" s="1"/>
      <c r="IH103" s="1"/>
      <c r="II103" s="1"/>
      <c r="IJ103" s="1"/>
      <c r="IK103" s="1"/>
      <c r="IL103" s="1"/>
      <c r="IM103" s="1"/>
      <c r="IN103" s="1"/>
      <c r="IO103" s="1"/>
      <c r="IP103" s="1"/>
      <c r="IQ103" s="1"/>
      <c r="IR103" s="1"/>
      <c r="IS103" s="1"/>
      <c r="IT103" s="1"/>
      <c r="IU103" s="1"/>
      <c r="IV103" s="1"/>
      <c r="IW103" s="1"/>
      <c r="IX103" s="1"/>
      <c r="IY103" s="1"/>
      <c r="IZ103" s="1"/>
      <c r="JA103" s="1"/>
      <c r="JB103" s="1"/>
      <c r="JC103" s="1"/>
      <c r="JD103" s="1"/>
    </row>
    <row r="104" spans="1:264" s="347" customFormat="1" x14ac:dyDescent="0.2">
      <c r="A104" s="444" t="s">
        <v>262</v>
      </c>
      <c r="B104" s="348"/>
      <c r="BH104" s="348"/>
      <c r="BI104" s="348"/>
      <c r="BJ104" s="348"/>
      <c r="BK104" s="348"/>
      <c r="BL104" s="393"/>
      <c r="BM104" s="393"/>
      <c r="BN104" s="393"/>
      <c r="BO104" s="348"/>
      <c r="BP104" s="393"/>
      <c r="BQ104" s="393"/>
      <c r="BR104" s="393"/>
      <c r="BT104" s="393"/>
      <c r="BU104" s="393"/>
      <c r="BV104" s="393"/>
      <c r="BX104" s="393"/>
      <c r="BY104" s="393"/>
      <c r="BZ104" s="393"/>
      <c r="CB104" s="394"/>
      <c r="CC104" s="394"/>
      <c r="CD104" s="394"/>
      <c r="CF104" s="394"/>
      <c r="CG104" s="394"/>
      <c r="CH104" s="394"/>
      <c r="CJ104" s="394"/>
      <c r="CK104" s="394"/>
      <c r="CL104" s="394"/>
      <c r="CN104" s="394"/>
      <c r="CO104" s="394"/>
      <c r="CP104" s="394"/>
      <c r="CR104" s="394"/>
      <c r="CS104" s="394"/>
      <c r="CT104" s="394"/>
      <c r="CV104" s="394"/>
      <c r="CW104" s="394"/>
      <c r="CX104" s="394"/>
      <c r="CZ104" s="394"/>
      <c r="DA104" s="394"/>
      <c r="DB104" s="394"/>
      <c r="DD104" s="394"/>
      <c r="DE104" s="394"/>
      <c r="DF104" s="394"/>
      <c r="DH104" s="394"/>
      <c r="DI104" s="394"/>
      <c r="DJ104" s="394"/>
      <c r="DL104" s="394"/>
      <c r="DM104" s="394"/>
      <c r="DN104" s="394"/>
      <c r="DP104" s="394"/>
      <c r="DQ104" s="394"/>
      <c r="DR104" s="394"/>
      <c r="DT104" s="1"/>
      <c r="DU104" s="1"/>
      <c r="DV104" s="1"/>
      <c r="DW104" s="1"/>
      <c r="DX104" s="1"/>
      <c r="DY104" s="1"/>
      <c r="DZ104" s="1"/>
      <c r="EA104" s="1"/>
      <c r="EB104" s="1"/>
      <c r="EC104" s="1"/>
      <c r="ED104" s="1"/>
      <c r="EE104" s="1"/>
      <c r="EF104" s="1"/>
      <c r="EG104" s="1"/>
      <c r="EH104" s="1"/>
      <c r="EI104" s="1"/>
      <c r="EJ104" s="1"/>
      <c r="EK104" s="1"/>
      <c r="EL104" s="1"/>
      <c r="EM104" s="1"/>
      <c r="EN104" s="1"/>
      <c r="EO104" s="1"/>
      <c r="EP104" s="1"/>
      <c r="EQ104" s="1"/>
      <c r="ER104" s="1"/>
      <c r="ES104" s="1"/>
      <c r="ET104" s="1"/>
      <c r="EU104" s="1"/>
      <c r="EV104" s="1"/>
      <c r="EW104" s="1"/>
      <c r="EX104" s="1"/>
      <c r="EY104" s="1"/>
      <c r="EZ104" s="1"/>
      <c r="FA104" s="1"/>
      <c r="FB104" s="1"/>
      <c r="FC104" s="1"/>
      <c r="FD104" s="1"/>
      <c r="FE104" s="1"/>
      <c r="FF104" s="1"/>
      <c r="FG104" s="1"/>
      <c r="FH104" s="1"/>
      <c r="FI104" s="1"/>
      <c r="FJ104" s="1"/>
      <c r="FK104" s="1"/>
      <c r="FL104" s="1"/>
      <c r="FM104" s="1"/>
      <c r="FN104" s="1"/>
      <c r="FO104" s="1"/>
      <c r="FP104" s="1"/>
      <c r="FQ104" s="1"/>
      <c r="FR104" s="1"/>
      <c r="FS104" s="1"/>
      <c r="FT104" s="1"/>
      <c r="FU104" s="1"/>
      <c r="FV104" s="1"/>
      <c r="FW104" s="1"/>
      <c r="FX104" s="1"/>
      <c r="FY104" s="1"/>
      <c r="FZ104" s="1"/>
      <c r="GA104" s="1"/>
      <c r="GB104" s="1"/>
      <c r="GC104" s="1"/>
      <c r="GD104" s="1"/>
      <c r="GE104" s="1"/>
      <c r="GF104" s="1"/>
      <c r="GG104" s="1"/>
      <c r="GH104" s="1"/>
      <c r="GI104" s="1"/>
      <c r="GJ104" s="1"/>
      <c r="GK104" s="1"/>
      <c r="GL104" s="1"/>
      <c r="GM104" s="1"/>
      <c r="GN104" s="1"/>
      <c r="GO104" s="1"/>
      <c r="GP104" s="1"/>
      <c r="GQ104" s="1"/>
      <c r="GR104" s="1"/>
      <c r="GS104" s="1"/>
      <c r="GT104" s="1"/>
      <c r="GU104" s="1"/>
      <c r="GV104" s="1"/>
      <c r="GW104" s="1"/>
      <c r="GX104" s="1"/>
      <c r="GY104" s="1"/>
      <c r="GZ104" s="1"/>
      <c r="HA104" s="1"/>
      <c r="HB104" s="1"/>
      <c r="HC104" s="1"/>
      <c r="HD104" s="1"/>
      <c r="HE104" s="1"/>
      <c r="HF104" s="1"/>
      <c r="HG104" s="1"/>
      <c r="HH104" s="1"/>
      <c r="HI104" s="1"/>
      <c r="HJ104" s="1"/>
      <c r="HK104" s="1"/>
      <c r="HL104" s="1"/>
      <c r="HM104" s="1"/>
      <c r="HN104" s="1"/>
      <c r="HO104" s="1"/>
      <c r="HP104" s="1"/>
      <c r="HQ104" s="1"/>
      <c r="HR104" s="1"/>
      <c r="HS104" s="1"/>
      <c r="HT104" s="1"/>
      <c r="HU104" s="1"/>
      <c r="HV104" s="1"/>
      <c r="HW104" s="1"/>
      <c r="HX104" s="1"/>
      <c r="HY104" s="1"/>
      <c r="HZ104" s="1"/>
      <c r="IA104" s="1"/>
      <c r="IB104" s="1"/>
      <c r="IC104" s="1"/>
      <c r="ID104" s="1"/>
      <c r="IE104" s="1"/>
      <c r="IF104" s="1"/>
      <c r="IG104" s="1"/>
      <c r="IH104" s="1"/>
      <c r="II104" s="1"/>
      <c r="IJ104" s="1"/>
      <c r="IK104" s="1"/>
      <c r="IL104" s="1"/>
      <c r="IM104" s="1"/>
      <c r="IN104" s="1"/>
      <c r="IO104" s="1"/>
      <c r="IP104" s="1"/>
      <c r="IQ104" s="1"/>
      <c r="IR104" s="1"/>
      <c r="IS104" s="1"/>
      <c r="IT104" s="1"/>
      <c r="IU104" s="1"/>
      <c r="IV104" s="1"/>
      <c r="IW104" s="1"/>
      <c r="IX104" s="1"/>
      <c r="IY104" s="1"/>
      <c r="IZ104" s="1"/>
      <c r="JA104" s="1"/>
      <c r="JB104" s="1"/>
      <c r="JC104" s="1"/>
      <c r="JD104" s="1"/>
    </row>
    <row r="105" spans="1:264" s="347" customFormat="1" x14ac:dyDescent="0.2">
      <c r="A105" s="452"/>
      <c r="B105" s="348"/>
      <c r="BH105" s="348"/>
      <c r="BI105" s="348"/>
      <c r="BJ105" s="348"/>
      <c r="BK105" s="348"/>
      <c r="BL105" s="393"/>
      <c r="BM105" s="393"/>
      <c r="BN105" s="393"/>
      <c r="BO105" s="348"/>
      <c r="BP105" s="393"/>
      <c r="BQ105" s="393"/>
      <c r="BR105" s="393"/>
      <c r="BT105" s="393"/>
      <c r="BU105" s="393"/>
      <c r="BV105" s="393"/>
      <c r="BX105" s="393"/>
      <c r="BY105" s="393"/>
      <c r="BZ105" s="393"/>
      <c r="CB105" s="394"/>
      <c r="CC105" s="394"/>
      <c r="CD105" s="394"/>
      <c r="CF105" s="394"/>
      <c r="CG105" s="394"/>
      <c r="CH105" s="394"/>
      <c r="CJ105" s="394"/>
      <c r="CK105" s="394"/>
      <c r="CL105" s="394"/>
      <c r="CN105" s="394"/>
      <c r="CO105" s="394"/>
      <c r="CP105" s="394"/>
      <c r="CR105" s="394"/>
      <c r="CS105" s="394"/>
      <c r="CT105" s="394"/>
      <c r="CV105" s="394"/>
      <c r="CW105" s="394"/>
      <c r="CX105" s="394"/>
      <c r="CZ105" s="394"/>
      <c r="DA105" s="394"/>
      <c r="DB105" s="394"/>
      <c r="DD105" s="394"/>
      <c r="DE105" s="394"/>
      <c r="DF105" s="394"/>
      <c r="DH105" s="394"/>
      <c r="DI105" s="394"/>
      <c r="DJ105" s="394"/>
      <c r="DL105" s="394"/>
      <c r="DM105" s="394"/>
      <c r="DN105" s="394"/>
      <c r="DP105" s="394"/>
      <c r="DQ105" s="394"/>
      <c r="DR105" s="394"/>
      <c r="DT105" s="1"/>
      <c r="DU105" s="1"/>
      <c r="DV105" s="1"/>
      <c r="DW105" s="1"/>
      <c r="DX105" s="1"/>
      <c r="DY105" s="1"/>
      <c r="DZ105" s="1"/>
      <c r="EA105" s="1"/>
      <c r="EB105" s="1"/>
      <c r="EC105" s="1"/>
      <c r="ED105" s="1"/>
      <c r="EE105" s="1"/>
      <c r="EF105" s="1"/>
      <c r="EG105" s="1"/>
      <c r="EH105" s="1"/>
      <c r="EI105" s="1"/>
      <c r="EJ105" s="1"/>
      <c r="EK105" s="1"/>
      <c r="EL105" s="1"/>
      <c r="EM105" s="1"/>
      <c r="EN105" s="1"/>
      <c r="EO105" s="1"/>
      <c r="EP105" s="1"/>
      <c r="EQ105" s="1"/>
      <c r="ER105" s="1"/>
      <c r="ES105" s="1"/>
      <c r="ET105" s="1"/>
      <c r="EU105" s="1"/>
      <c r="EV105" s="1"/>
      <c r="EW105" s="1"/>
      <c r="EX105" s="1"/>
      <c r="EY105" s="1"/>
      <c r="EZ105" s="1"/>
      <c r="FA105" s="1"/>
      <c r="FB105" s="1"/>
      <c r="FC105" s="1"/>
      <c r="FD105" s="1"/>
      <c r="FE105" s="1"/>
      <c r="FF105" s="1"/>
      <c r="FG105" s="1"/>
      <c r="FH105" s="1"/>
      <c r="FI105" s="1"/>
      <c r="FJ105" s="1"/>
      <c r="FK105" s="1"/>
      <c r="FL105" s="1"/>
      <c r="FM105" s="1"/>
      <c r="FN105" s="1"/>
      <c r="FO105" s="1"/>
      <c r="FP105" s="1"/>
      <c r="FQ105" s="1"/>
      <c r="FR105" s="1"/>
      <c r="FS105" s="1"/>
      <c r="FT105" s="1"/>
      <c r="FU105" s="1"/>
      <c r="FV105" s="1"/>
      <c r="FW105" s="1"/>
      <c r="FX105" s="1"/>
      <c r="FY105" s="1"/>
      <c r="FZ105" s="1"/>
      <c r="GA105" s="1"/>
      <c r="GB105" s="1"/>
      <c r="GC105" s="1"/>
      <c r="GD105" s="1"/>
      <c r="GE105" s="1"/>
      <c r="GF105" s="1"/>
      <c r="GG105" s="1"/>
      <c r="GH105" s="1"/>
      <c r="GI105" s="1"/>
      <c r="GJ105" s="1"/>
      <c r="GK105" s="1"/>
      <c r="GL105" s="1"/>
      <c r="GM105" s="1"/>
      <c r="GN105" s="1"/>
      <c r="GO105" s="1"/>
      <c r="GP105" s="1"/>
      <c r="GQ105" s="1"/>
      <c r="GR105" s="1"/>
      <c r="GS105" s="1"/>
      <c r="GT105" s="1"/>
      <c r="GU105" s="1"/>
      <c r="GV105" s="1"/>
      <c r="GW105" s="1"/>
      <c r="GX105" s="1"/>
      <c r="GY105" s="1"/>
      <c r="GZ105" s="1"/>
      <c r="HA105" s="1"/>
      <c r="HB105" s="1"/>
      <c r="HC105" s="1"/>
      <c r="HD105" s="1"/>
      <c r="HE105" s="1"/>
      <c r="HF105" s="1"/>
      <c r="HG105" s="1"/>
      <c r="HH105" s="1"/>
      <c r="HI105" s="1"/>
      <c r="HJ105" s="1"/>
      <c r="HK105" s="1"/>
      <c r="HL105" s="1"/>
      <c r="HM105" s="1"/>
      <c r="HN105" s="1"/>
      <c r="HO105" s="1"/>
      <c r="HP105" s="1"/>
      <c r="HQ105" s="1"/>
      <c r="HR105" s="1"/>
      <c r="HS105" s="1"/>
      <c r="HT105" s="1"/>
      <c r="HU105" s="1"/>
      <c r="HV105" s="1"/>
      <c r="HW105" s="1"/>
      <c r="HX105" s="1"/>
      <c r="HY105" s="1"/>
      <c r="HZ105" s="1"/>
      <c r="IA105" s="1"/>
      <c r="IB105" s="1"/>
      <c r="IC105" s="1"/>
      <c r="ID105" s="1"/>
      <c r="IE105" s="1"/>
      <c r="IF105" s="1"/>
      <c r="IG105" s="1"/>
      <c r="IH105" s="1"/>
      <c r="II105" s="1"/>
      <c r="IJ105" s="1"/>
      <c r="IK105" s="1"/>
      <c r="IL105" s="1"/>
      <c r="IM105" s="1"/>
      <c r="IN105" s="1"/>
      <c r="IO105" s="1"/>
      <c r="IP105" s="1"/>
      <c r="IQ105" s="1"/>
      <c r="IR105" s="1"/>
      <c r="IS105" s="1"/>
      <c r="IT105" s="1"/>
      <c r="IU105" s="1"/>
      <c r="IV105" s="1"/>
      <c r="IW105" s="1"/>
      <c r="IX105" s="1"/>
      <c r="IY105" s="1"/>
      <c r="IZ105" s="1"/>
      <c r="JA105" s="1"/>
      <c r="JB105" s="1"/>
      <c r="JC105" s="1"/>
      <c r="JD105" s="1"/>
    </row>
    <row r="106" spans="1:264" s="347" customFormat="1" x14ac:dyDescent="0.2">
      <c r="A106" s="347" t="s">
        <v>263</v>
      </c>
      <c r="B106" s="348"/>
      <c r="BH106" s="348"/>
      <c r="BI106" s="348"/>
      <c r="BJ106" s="348"/>
      <c r="BK106" s="348"/>
      <c r="BL106" s="393"/>
      <c r="BM106" s="393"/>
      <c r="BN106" s="393"/>
      <c r="BO106" s="348"/>
      <c r="BP106" s="393"/>
      <c r="BQ106" s="393"/>
      <c r="BR106" s="393"/>
      <c r="BT106" s="393"/>
      <c r="BU106" s="393"/>
      <c r="BV106" s="393"/>
      <c r="BX106" s="393"/>
      <c r="BY106" s="393"/>
      <c r="BZ106" s="393"/>
      <c r="CB106" s="399">
        <v>0</v>
      </c>
      <c r="CC106" s="399">
        <v>0</v>
      </c>
      <c r="CD106" s="351">
        <f>CB106+CC106</f>
        <v>0</v>
      </c>
      <c r="CF106" s="399">
        <v>0</v>
      </c>
      <c r="CG106" s="399">
        <v>0</v>
      </c>
      <c r="CH106" s="351">
        <f>CF106+CG106</f>
        <v>0</v>
      </c>
      <c r="CJ106" s="399">
        <v>0</v>
      </c>
      <c r="CK106" s="399">
        <v>0</v>
      </c>
      <c r="CL106" s="351">
        <f>CJ106+CK106</f>
        <v>0</v>
      </c>
      <c r="CN106" s="399">
        <v>0</v>
      </c>
      <c r="CO106" s="399">
        <v>0</v>
      </c>
      <c r="CP106" s="351">
        <f>CN106+CO106</f>
        <v>0</v>
      </c>
      <c r="CR106" s="399">
        <v>0</v>
      </c>
      <c r="CS106" s="399">
        <v>516</v>
      </c>
      <c r="CT106" s="351">
        <f>CR106+CS106</f>
        <v>516</v>
      </c>
      <c r="CV106" s="399">
        <v>0</v>
      </c>
      <c r="CW106" s="399">
        <v>0</v>
      </c>
      <c r="CX106" s="351">
        <f>CV106+CW106</f>
        <v>0</v>
      </c>
      <c r="CZ106" s="399">
        <v>0</v>
      </c>
      <c r="DA106" s="399">
        <v>0</v>
      </c>
      <c r="DB106" s="351">
        <f>CZ106+DA106</f>
        <v>0</v>
      </c>
      <c r="DD106" s="399">
        <v>0</v>
      </c>
      <c r="DE106" s="399">
        <v>0</v>
      </c>
      <c r="DF106" s="351">
        <f>DD106+DE106</f>
        <v>0</v>
      </c>
      <c r="DH106" s="399">
        <v>0</v>
      </c>
      <c r="DI106" s="399">
        <v>0</v>
      </c>
      <c r="DJ106" s="351">
        <f>DH106+DI106</f>
        <v>0</v>
      </c>
      <c r="DL106" s="399">
        <v>0</v>
      </c>
      <c r="DM106" s="399">
        <v>0</v>
      </c>
      <c r="DN106" s="351">
        <f>DL106+DM106</f>
        <v>0</v>
      </c>
      <c r="DP106" s="399">
        <v>0</v>
      </c>
      <c r="DQ106" s="399">
        <v>0</v>
      </c>
      <c r="DR106" s="351">
        <f>DP106+DQ106</f>
        <v>0</v>
      </c>
      <c r="DT106" s="1"/>
      <c r="DU106" s="1"/>
      <c r="DV106" s="1"/>
      <c r="DW106" s="1"/>
      <c r="DX106" s="1"/>
      <c r="DY106" s="1"/>
      <c r="DZ106" s="1"/>
      <c r="EA106" s="1"/>
      <c r="EB106" s="1"/>
      <c r="EC106" s="1"/>
      <c r="ED106" s="1"/>
      <c r="EE106" s="1"/>
      <c r="EF106" s="1"/>
      <c r="EG106" s="1"/>
      <c r="EH106" s="1"/>
      <c r="EI106" s="1"/>
      <c r="EJ106" s="1"/>
      <c r="EK106" s="1"/>
      <c r="EL106" s="1"/>
      <c r="EM106" s="1"/>
      <c r="EN106" s="1"/>
      <c r="EO106" s="1"/>
      <c r="EP106" s="1"/>
      <c r="EQ106" s="1"/>
      <c r="ER106" s="1"/>
      <c r="ES106" s="1"/>
      <c r="ET106" s="1"/>
      <c r="EU106" s="1"/>
      <c r="EV106" s="1"/>
      <c r="EW106" s="1"/>
      <c r="EX106" s="1"/>
      <c r="EY106" s="1"/>
      <c r="EZ106" s="1"/>
      <c r="FA106" s="1"/>
      <c r="FB106" s="1"/>
      <c r="FC106" s="1"/>
      <c r="FD106" s="1"/>
      <c r="FE106" s="1"/>
      <c r="FF106" s="1"/>
      <c r="FG106" s="1"/>
      <c r="FH106" s="1"/>
      <c r="FI106" s="1"/>
      <c r="FJ106" s="1"/>
      <c r="FK106" s="1"/>
      <c r="FL106" s="1"/>
      <c r="FM106" s="1"/>
      <c r="FN106" s="1"/>
      <c r="FO106" s="1"/>
      <c r="FP106" s="1"/>
      <c r="FQ106" s="1"/>
      <c r="FR106" s="1"/>
      <c r="FS106" s="1"/>
      <c r="FT106" s="1"/>
      <c r="FU106" s="1"/>
      <c r="FV106" s="1"/>
      <c r="FW106" s="1"/>
      <c r="FX106" s="1"/>
      <c r="FY106" s="1"/>
      <c r="FZ106" s="1"/>
      <c r="GA106" s="1"/>
      <c r="GB106" s="1"/>
      <c r="GC106" s="1"/>
      <c r="GD106" s="1"/>
      <c r="GE106" s="1"/>
      <c r="GF106" s="1"/>
      <c r="GG106" s="1"/>
      <c r="GH106" s="1"/>
      <c r="GI106" s="1"/>
      <c r="GJ106" s="1"/>
      <c r="GK106" s="1"/>
      <c r="GL106" s="1"/>
      <c r="GM106" s="1"/>
      <c r="GN106" s="1"/>
      <c r="GO106" s="1"/>
      <c r="GP106" s="1"/>
      <c r="GQ106" s="1"/>
      <c r="GR106" s="1"/>
      <c r="GS106" s="1"/>
      <c r="GT106" s="1"/>
      <c r="GU106" s="1"/>
      <c r="GV106" s="1"/>
      <c r="GW106" s="1"/>
      <c r="GX106" s="1"/>
      <c r="GY106" s="1"/>
      <c r="GZ106" s="1"/>
      <c r="HA106" s="1"/>
      <c r="HB106" s="1"/>
      <c r="HC106" s="1"/>
      <c r="HD106" s="1"/>
      <c r="HE106" s="1"/>
      <c r="HF106" s="1"/>
      <c r="HG106" s="1"/>
      <c r="HH106" s="1"/>
      <c r="HI106" s="1"/>
      <c r="HJ106" s="1"/>
      <c r="HK106" s="1"/>
      <c r="HL106" s="1"/>
      <c r="HM106" s="1"/>
      <c r="HN106" s="1"/>
      <c r="HO106" s="1"/>
      <c r="HP106" s="1"/>
      <c r="HQ106" s="1"/>
      <c r="HR106" s="1"/>
      <c r="HS106" s="1"/>
      <c r="HT106" s="1"/>
      <c r="HU106" s="1"/>
      <c r="HV106" s="1"/>
      <c r="HW106" s="1"/>
      <c r="HX106" s="1"/>
      <c r="HY106" s="1"/>
      <c r="HZ106" s="1"/>
      <c r="IA106" s="1"/>
      <c r="IB106" s="1"/>
      <c r="IC106" s="1"/>
      <c r="ID106" s="1"/>
      <c r="IE106" s="1"/>
      <c r="IF106" s="1"/>
      <c r="IG106" s="1"/>
      <c r="IH106" s="1"/>
      <c r="II106" s="1"/>
      <c r="IJ106" s="1"/>
      <c r="IK106" s="1"/>
      <c r="IL106" s="1"/>
      <c r="IM106" s="1"/>
      <c r="IN106" s="1"/>
      <c r="IO106" s="1"/>
      <c r="IP106" s="1"/>
      <c r="IQ106" s="1"/>
      <c r="IR106" s="1"/>
      <c r="IS106" s="1"/>
      <c r="IT106" s="1"/>
      <c r="IU106" s="1"/>
      <c r="IV106" s="1"/>
      <c r="IW106" s="1"/>
      <c r="IX106" s="1"/>
      <c r="IY106" s="1"/>
      <c r="IZ106" s="1"/>
      <c r="JA106" s="1"/>
      <c r="JB106" s="1"/>
      <c r="JC106" s="1"/>
      <c r="JD106" s="1"/>
    </row>
    <row r="107" spans="1:264" s="347" customFormat="1" x14ac:dyDescent="0.2">
      <c r="A107" s="347" t="s">
        <v>264</v>
      </c>
      <c r="B107" s="348"/>
      <c r="BH107" s="348"/>
      <c r="BI107" s="348"/>
      <c r="BJ107" s="348"/>
      <c r="BK107" s="348"/>
      <c r="BL107" s="393"/>
      <c r="BM107" s="393"/>
      <c r="BN107" s="393"/>
      <c r="BO107" s="348"/>
      <c r="BP107" s="393"/>
      <c r="BQ107" s="393"/>
      <c r="BR107" s="393"/>
      <c r="BT107" s="393"/>
      <c r="BU107" s="393"/>
      <c r="BV107" s="393"/>
      <c r="BX107" s="393"/>
      <c r="BY107" s="393"/>
      <c r="BZ107" s="393"/>
      <c r="CB107" s="351">
        <f>CB74-CB106</f>
        <v>12649</v>
      </c>
      <c r="CC107" s="351">
        <f>CC74-CC106</f>
        <v>12273</v>
      </c>
      <c r="CD107" s="351">
        <f>CD74-CD106</f>
        <v>24922</v>
      </c>
      <c r="CF107" s="351">
        <f>CF74-CF106</f>
        <v>11990</v>
      </c>
      <c r="CG107" s="351">
        <f>CG74-CG106</f>
        <v>11589</v>
      </c>
      <c r="CH107" s="351">
        <f>CH74-CH106</f>
        <v>23579</v>
      </c>
      <c r="CJ107" s="351">
        <f>CJ74-CJ106</f>
        <v>12023</v>
      </c>
      <c r="CK107" s="351">
        <f>CK74-CK106</f>
        <v>11738</v>
      </c>
      <c r="CL107" s="351">
        <f>CL74-CL106</f>
        <v>23761</v>
      </c>
      <c r="CN107" s="351">
        <f>CN74-CN106</f>
        <v>11961</v>
      </c>
      <c r="CO107" s="351">
        <f>CO74-CO106</f>
        <v>12195</v>
      </c>
      <c r="CP107" s="351">
        <f>CP74-CP106</f>
        <v>24156</v>
      </c>
      <c r="CR107" s="351">
        <f>CR74-CR106</f>
        <v>12107</v>
      </c>
      <c r="CS107" s="351">
        <f>CS74-CS106</f>
        <v>12066</v>
      </c>
      <c r="CT107" s="351">
        <f>CT74-CT106</f>
        <v>24173</v>
      </c>
      <c r="CV107" s="351">
        <f>CV74-CV106</f>
        <v>13623</v>
      </c>
      <c r="CW107" s="351">
        <f>CW74-CW106</f>
        <v>13512</v>
      </c>
      <c r="CX107" s="351">
        <f>CX74-CX106</f>
        <v>27135</v>
      </c>
      <c r="CZ107" s="351">
        <f>CZ74-CZ106</f>
        <v>13649</v>
      </c>
      <c r="DA107" s="351">
        <f>DA74-DA106</f>
        <v>13525</v>
      </c>
      <c r="DB107" s="351">
        <f>DB74-DB106</f>
        <v>27174</v>
      </c>
      <c r="DD107" s="351">
        <f>DD74-DD106</f>
        <v>14097</v>
      </c>
      <c r="DE107" s="351">
        <f>DE74-DE106</f>
        <v>14368</v>
      </c>
      <c r="DF107" s="351">
        <f>DF74-DF106</f>
        <v>28465</v>
      </c>
      <c r="DH107" s="351">
        <f>DH74-DH106</f>
        <v>15021</v>
      </c>
      <c r="DI107" s="351">
        <f>DI74-DI106</f>
        <v>15221.786412194529</v>
      </c>
      <c r="DJ107" s="351">
        <f>DJ74-DJ106</f>
        <v>30242.786412194531</v>
      </c>
      <c r="DL107" s="351">
        <f>DL74-DL106</f>
        <v>15973.425130904467</v>
      </c>
      <c r="DM107" s="351">
        <f>DM74-DM106</f>
        <v>16037.449253626672</v>
      </c>
      <c r="DN107" s="351">
        <f>DN74-DN106</f>
        <v>32010.87438453114</v>
      </c>
      <c r="DP107" s="351">
        <f>DP74-DP106</f>
        <v>16651.367635972674</v>
      </c>
      <c r="DQ107" s="351">
        <f>DQ74-DQ106</f>
        <v>16727.137294992015</v>
      </c>
      <c r="DR107" s="351">
        <f>DR74-DR106</f>
        <v>33378.504930964686</v>
      </c>
      <c r="DT107" s="1"/>
      <c r="DU107" s="1"/>
      <c r="DV107" s="1"/>
      <c r="DW107" s="1"/>
      <c r="DX107" s="1"/>
      <c r="DY107" s="1"/>
      <c r="DZ107" s="1"/>
      <c r="EA107" s="1"/>
      <c r="EB107" s="1"/>
      <c r="EC107" s="1"/>
      <c r="ED107" s="1"/>
      <c r="EE107" s="1"/>
      <c r="EF107" s="1"/>
      <c r="EG107" s="1"/>
      <c r="EH107" s="1"/>
      <c r="EI107" s="1"/>
      <c r="EJ107" s="1"/>
      <c r="EK107" s="1"/>
      <c r="EL107" s="1"/>
      <c r="EM107" s="1"/>
      <c r="EN107" s="1"/>
      <c r="EO107" s="1"/>
      <c r="EP107" s="1"/>
      <c r="EQ107" s="1"/>
      <c r="ER107" s="1"/>
      <c r="ES107" s="1"/>
      <c r="ET107" s="1"/>
      <c r="EU107" s="1"/>
      <c r="EV107" s="1"/>
      <c r="EW107" s="1"/>
      <c r="EX107" s="1"/>
      <c r="EY107" s="1"/>
      <c r="EZ107" s="1"/>
      <c r="FA107" s="1"/>
      <c r="FB107" s="1"/>
      <c r="FC107" s="1"/>
      <c r="FD107" s="1"/>
      <c r="FE107" s="1"/>
      <c r="FF107" s="1"/>
      <c r="FG107" s="1"/>
      <c r="FH107" s="1"/>
      <c r="FI107" s="1"/>
      <c r="FJ107" s="1"/>
      <c r="FK107" s="1"/>
      <c r="FL107" s="1"/>
      <c r="FM107" s="1"/>
      <c r="FN107" s="1"/>
      <c r="FO107" s="1"/>
      <c r="FP107" s="1"/>
      <c r="FQ107" s="1"/>
      <c r="FR107" s="1"/>
      <c r="FS107" s="1"/>
      <c r="FT107" s="1"/>
      <c r="FU107" s="1"/>
      <c r="FV107" s="1"/>
      <c r="FW107" s="1"/>
      <c r="FX107" s="1"/>
      <c r="FY107" s="1"/>
      <c r="FZ107" s="1"/>
      <c r="GA107" s="1"/>
      <c r="GB107" s="1"/>
      <c r="GC107" s="1"/>
      <c r="GD107" s="1"/>
      <c r="GE107" s="1"/>
      <c r="GF107" s="1"/>
      <c r="GG107" s="1"/>
      <c r="GH107" s="1"/>
      <c r="GI107" s="1"/>
      <c r="GJ107" s="1"/>
      <c r="GK107" s="1"/>
      <c r="GL107" s="1"/>
      <c r="GM107" s="1"/>
      <c r="GN107" s="1"/>
      <c r="GO107" s="1"/>
      <c r="GP107" s="1"/>
      <c r="GQ107" s="1"/>
      <c r="GR107" s="1"/>
      <c r="GS107" s="1"/>
      <c r="GT107" s="1"/>
      <c r="GU107" s="1"/>
      <c r="GV107" s="1"/>
      <c r="GW107" s="1"/>
      <c r="GX107" s="1"/>
      <c r="GY107" s="1"/>
      <c r="GZ107" s="1"/>
      <c r="HA107" s="1"/>
      <c r="HB107" s="1"/>
      <c r="HC107" s="1"/>
      <c r="HD107" s="1"/>
      <c r="HE107" s="1"/>
      <c r="HF107" s="1"/>
      <c r="HG107" s="1"/>
      <c r="HH107" s="1"/>
      <c r="HI107" s="1"/>
      <c r="HJ107" s="1"/>
      <c r="HK107" s="1"/>
      <c r="HL107" s="1"/>
      <c r="HM107" s="1"/>
      <c r="HN107" s="1"/>
      <c r="HO107" s="1"/>
      <c r="HP107" s="1"/>
      <c r="HQ107" s="1"/>
      <c r="HR107" s="1"/>
      <c r="HS107" s="1"/>
      <c r="HT107" s="1"/>
      <c r="HU107" s="1"/>
      <c r="HV107" s="1"/>
      <c r="HW107" s="1"/>
      <c r="HX107" s="1"/>
      <c r="HY107" s="1"/>
      <c r="HZ107" s="1"/>
      <c r="IA107" s="1"/>
      <c r="IB107" s="1"/>
      <c r="IC107" s="1"/>
      <c r="ID107" s="1"/>
      <c r="IE107" s="1"/>
      <c r="IF107" s="1"/>
      <c r="IG107" s="1"/>
      <c r="IH107" s="1"/>
      <c r="II107" s="1"/>
      <c r="IJ107" s="1"/>
      <c r="IK107" s="1"/>
      <c r="IL107" s="1"/>
      <c r="IM107" s="1"/>
      <c r="IN107" s="1"/>
      <c r="IO107" s="1"/>
      <c r="IP107" s="1"/>
      <c r="IQ107" s="1"/>
      <c r="IR107" s="1"/>
      <c r="IS107" s="1"/>
      <c r="IT107" s="1"/>
      <c r="IU107" s="1"/>
      <c r="IV107" s="1"/>
      <c r="IW107" s="1"/>
      <c r="IX107" s="1"/>
      <c r="IY107" s="1"/>
      <c r="IZ107" s="1"/>
      <c r="JA107" s="1"/>
      <c r="JB107" s="1"/>
      <c r="JC107" s="1"/>
      <c r="JD107" s="1"/>
    </row>
    <row r="108" spans="1:264" s="429" customFormat="1" x14ac:dyDescent="0.2">
      <c r="A108" s="429" t="s">
        <v>233</v>
      </c>
      <c r="B108" s="408"/>
      <c r="BH108" s="408"/>
      <c r="BI108" s="408"/>
      <c r="BJ108" s="408"/>
      <c r="BK108" s="408"/>
      <c r="BL108" s="393"/>
      <c r="BM108" s="393"/>
      <c r="BN108" s="393"/>
      <c r="BO108" s="408"/>
      <c r="BP108" s="393"/>
      <c r="BQ108" s="393"/>
      <c r="BR108" s="393"/>
      <c r="BT108" s="393"/>
      <c r="BU108" s="393"/>
      <c r="BV108" s="393"/>
      <c r="BX108" s="393"/>
      <c r="BY108" s="393"/>
      <c r="BZ108" s="393"/>
      <c r="CB108" s="456"/>
      <c r="CC108" s="456"/>
      <c r="CD108" s="456"/>
      <c r="CF108" s="394">
        <f>CF107/CB107-1</f>
        <v>-5.2098980156534136E-2</v>
      </c>
      <c r="CG108" s="394">
        <f>CG107/CC107-1</f>
        <v>-5.5732094842336877E-2</v>
      </c>
      <c r="CH108" s="394">
        <f>CH107/CD107-1</f>
        <v>-5.3888130968622105E-2</v>
      </c>
      <c r="CJ108" s="394">
        <f>CJ107/CF107-1</f>
        <v>2.7522935779815683E-3</v>
      </c>
      <c r="CK108" s="394">
        <f>CK107/CG107-1</f>
        <v>1.2857019587539931E-2</v>
      </c>
      <c r="CL108" s="394">
        <f>CL107/CH107-1</f>
        <v>7.7187327706857989E-3</v>
      </c>
      <c r="CN108" s="394">
        <f>CN107/CJ107-1</f>
        <v>-5.1567828329035503E-3</v>
      </c>
      <c r="CO108" s="394">
        <f>CO107/CK107-1</f>
        <v>3.8933378769807403E-2</v>
      </c>
      <c r="CP108" s="394">
        <f>CP107/CL107-1</f>
        <v>1.6623879466352465E-2</v>
      </c>
      <c r="CR108" s="394">
        <f>CR107/CN107-1</f>
        <v>1.2206337262770761E-2</v>
      </c>
      <c r="CS108" s="394">
        <f>CS107/CO107-1</f>
        <v>-1.0578105781057778E-2</v>
      </c>
      <c r="CT108" s="394">
        <f>CT107/CP107-1</f>
        <v>7.0375890048013368E-4</v>
      </c>
      <c r="CV108" s="394">
        <f>CV107/CR107-1</f>
        <v>0.12521681671760132</v>
      </c>
      <c r="CW108" s="394">
        <f>CW107/CS107-1</f>
        <v>0.11984087518647435</v>
      </c>
      <c r="CX108" s="394">
        <f>CX107/CT107-1</f>
        <v>0.12253340503867949</v>
      </c>
      <c r="CZ108" s="394">
        <f>CZ107/CV107-1</f>
        <v>1.9085370329590123E-3</v>
      </c>
      <c r="DA108" s="394">
        <f>DA107/CW107-1</f>
        <v>9.6210775606864196E-4</v>
      </c>
      <c r="DB108" s="394">
        <f>DB107/CX107-1</f>
        <v>1.4372581536761242E-3</v>
      </c>
      <c r="DD108" s="394">
        <f>DD107/CZ107-1</f>
        <v>3.2822917429848442E-2</v>
      </c>
      <c r="DE108" s="394">
        <f>DE107/DA107-1</f>
        <v>6.2329020332717144E-2</v>
      </c>
      <c r="DF108" s="394">
        <f>DF107/DB107-1</f>
        <v>4.7508647972326568E-2</v>
      </c>
      <c r="DH108" s="394">
        <f>DH107/DD107-1</f>
        <v>6.5545860821451418E-2</v>
      </c>
      <c r="DI108" s="394">
        <f>DI107/DE107-1</f>
        <v>5.942277367723614E-2</v>
      </c>
      <c r="DJ108" s="394">
        <f>DJ107/DF107-1</f>
        <v>6.2455169934815702E-2</v>
      </c>
      <c r="DL108" s="394">
        <f>DL107/DH107-1</f>
        <v>6.3406239990977165E-2</v>
      </c>
      <c r="DM108" s="394">
        <f>DM107/DI107-1</f>
        <v>5.358522445031122E-2</v>
      </c>
      <c r="DN108" s="394">
        <f>DN107/DJ107-1</f>
        <v>5.846313062025521E-2</v>
      </c>
      <c r="DP108" s="394">
        <f>DP107/DL107-1</f>
        <v>4.2441899562077223E-2</v>
      </c>
      <c r="DQ108" s="394">
        <f>DQ107/DM107-1</f>
        <v>4.3004846372896699E-2</v>
      </c>
      <c r="DR108" s="394">
        <f>DR107/DN107-1</f>
        <v>4.2723935935171875E-2</v>
      </c>
      <c r="DT108" s="457"/>
      <c r="DU108" s="457"/>
      <c r="DV108" s="457"/>
      <c r="DW108" s="457"/>
      <c r="DX108" s="457"/>
      <c r="DY108" s="457"/>
      <c r="DZ108" s="457"/>
      <c r="EA108" s="457"/>
      <c r="EB108" s="457"/>
      <c r="EC108" s="457"/>
      <c r="ED108" s="457"/>
      <c r="EE108" s="457"/>
      <c r="EF108" s="457"/>
      <c r="EG108" s="457"/>
      <c r="EH108" s="457"/>
      <c r="EI108" s="457"/>
      <c r="EJ108" s="457"/>
      <c r="EK108" s="457"/>
      <c r="EL108" s="457"/>
      <c r="EM108" s="457"/>
      <c r="EN108" s="457"/>
      <c r="EO108" s="457"/>
      <c r="EP108" s="457"/>
      <c r="EQ108" s="457"/>
      <c r="ER108" s="457"/>
      <c r="ES108" s="457"/>
      <c r="ET108" s="457"/>
      <c r="EU108" s="457"/>
      <c r="EV108" s="457"/>
      <c r="EW108" s="457"/>
      <c r="EX108" s="457"/>
      <c r="EY108" s="457"/>
      <c r="EZ108" s="457"/>
      <c r="FA108" s="457"/>
      <c r="FB108" s="457"/>
      <c r="FC108" s="457"/>
      <c r="FD108" s="457"/>
      <c r="FE108" s="457"/>
      <c r="FF108" s="457"/>
      <c r="FG108" s="457"/>
      <c r="FH108" s="457"/>
      <c r="FI108" s="457"/>
      <c r="FJ108" s="457"/>
      <c r="FK108" s="457"/>
      <c r="FL108" s="457"/>
      <c r="FM108" s="457"/>
      <c r="FN108" s="457"/>
      <c r="FO108" s="457"/>
      <c r="FP108" s="457"/>
      <c r="FQ108" s="457"/>
      <c r="FR108" s="457"/>
      <c r="FS108" s="457"/>
      <c r="FT108" s="457"/>
      <c r="FU108" s="457"/>
      <c r="FV108" s="457"/>
      <c r="FW108" s="457"/>
      <c r="FX108" s="457"/>
      <c r="FY108" s="457"/>
      <c r="FZ108" s="457"/>
      <c r="GA108" s="457"/>
      <c r="GB108" s="457"/>
      <c r="GC108" s="457"/>
      <c r="GD108" s="457"/>
      <c r="GE108" s="457"/>
      <c r="GF108" s="457"/>
      <c r="GG108" s="457"/>
      <c r="GH108" s="457"/>
      <c r="GI108" s="457"/>
      <c r="GJ108" s="457"/>
      <c r="GK108" s="457"/>
      <c r="GL108" s="457"/>
      <c r="GM108" s="457"/>
      <c r="GN108" s="457"/>
      <c r="GO108" s="457"/>
      <c r="GP108" s="457"/>
      <c r="GQ108" s="457"/>
      <c r="GR108" s="457"/>
      <c r="GS108" s="457"/>
      <c r="GT108" s="457"/>
      <c r="GU108" s="457"/>
      <c r="GV108" s="457"/>
      <c r="GW108" s="457"/>
      <c r="GX108" s="457"/>
      <c r="GY108" s="457"/>
      <c r="GZ108" s="457"/>
      <c r="HA108" s="457"/>
      <c r="HB108" s="457"/>
      <c r="HC108" s="457"/>
      <c r="HD108" s="457"/>
      <c r="HE108" s="457"/>
      <c r="HF108" s="457"/>
      <c r="HG108" s="457"/>
      <c r="HH108" s="457"/>
      <c r="HI108" s="457"/>
      <c r="HJ108" s="457"/>
      <c r="HK108" s="457"/>
      <c r="HL108" s="457"/>
      <c r="HM108" s="457"/>
      <c r="HN108" s="457"/>
      <c r="HO108" s="457"/>
      <c r="HP108" s="457"/>
      <c r="HQ108" s="457"/>
      <c r="HR108" s="457"/>
      <c r="HS108" s="457"/>
      <c r="HT108" s="457"/>
      <c r="HU108" s="457"/>
      <c r="HV108" s="457"/>
      <c r="HW108" s="457"/>
      <c r="HX108" s="457"/>
      <c r="HY108" s="457"/>
      <c r="HZ108" s="457"/>
      <c r="IA108" s="457"/>
      <c r="IB108" s="457"/>
      <c r="IC108" s="457"/>
      <c r="ID108" s="457"/>
      <c r="IE108" s="457"/>
      <c r="IF108" s="457"/>
      <c r="IG108" s="457"/>
      <c r="IH108" s="457"/>
      <c r="II108" s="457"/>
      <c r="IJ108" s="457"/>
      <c r="IK108" s="457"/>
      <c r="IL108" s="457"/>
      <c r="IM108" s="457"/>
      <c r="IN108" s="457"/>
      <c r="IO108" s="457"/>
      <c r="IP108" s="457"/>
      <c r="IQ108" s="457"/>
      <c r="IR108" s="457"/>
      <c r="IS108" s="457"/>
      <c r="IT108" s="457"/>
      <c r="IU108" s="457"/>
      <c r="IV108" s="457"/>
      <c r="IW108" s="457"/>
      <c r="IX108" s="457"/>
      <c r="IY108" s="457"/>
      <c r="IZ108" s="457"/>
      <c r="JA108" s="457"/>
      <c r="JB108" s="457"/>
      <c r="JC108" s="457"/>
      <c r="JD108" s="457"/>
    </row>
    <row r="109" spans="1:264" s="347" customFormat="1" x14ac:dyDescent="0.2">
      <c r="B109" s="348"/>
      <c r="BH109" s="348"/>
      <c r="BI109" s="348"/>
      <c r="BJ109" s="348"/>
      <c r="BK109" s="348"/>
      <c r="BL109" s="393"/>
      <c r="BM109" s="393"/>
      <c r="BN109" s="393"/>
      <c r="BO109" s="348"/>
      <c r="BP109" s="393"/>
      <c r="BQ109" s="393"/>
      <c r="BR109" s="393"/>
      <c r="BT109" s="393"/>
      <c r="BU109" s="393"/>
      <c r="BV109" s="393"/>
      <c r="BX109" s="393"/>
      <c r="BY109" s="393"/>
      <c r="BZ109" s="393"/>
      <c r="CB109" s="394"/>
      <c r="CC109" s="394"/>
      <c r="CD109" s="394"/>
      <c r="CF109" s="394"/>
      <c r="CG109" s="394"/>
      <c r="CH109" s="394"/>
      <c r="CJ109" s="394"/>
      <c r="CK109" s="394"/>
      <c r="CL109" s="394"/>
      <c r="CN109" s="394"/>
      <c r="CO109" s="394"/>
      <c r="CP109" s="394"/>
      <c r="CR109" s="394"/>
      <c r="CS109" s="394"/>
      <c r="CT109" s="394"/>
      <c r="CV109" s="394"/>
      <c r="CW109" s="394"/>
      <c r="CX109" s="394"/>
      <c r="CZ109" s="394"/>
      <c r="DA109" s="394"/>
      <c r="DB109" s="394"/>
      <c r="DD109" s="394"/>
      <c r="DE109" s="394"/>
      <c r="DF109" s="394"/>
      <c r="DH109" s="394"/>
      <c r="DI109" s="394"/>
      <c r="DJ109" s="394"/>
      <c r="DL109" s="394"/>
      <c r="DM109" s="394"/>
      <c r="DN109" s="394"/>
      <c r="DP109" s="394"/>
      <c r="DQ109" s="394"/>
      <c r="DR109" s="394"/>
      <c r="DT109" s="1"/>
      <c r="DU109" s="1"/>
      <c r="DV109" s="1"/>
      <c r="DW109" s="1"/>
      <c r="DX109" s="1"/>
      <c r="DY109" s="1"/>
      <c r="DZ109" s="1"/>
      <c r="EA109" s="1"/>
      <c r="EB109" s="1"/>
      <c r="EC109" s="1"/>
      <c r="ED109" s="1"/>
      <c r="EE109" s="1"/>
      <c r="EF109" s="1"/>
      <c r="EG109" s="1"/>
      <c r="EH109" s="1"/>
      <c r="EI109" s="1"/>
      <c r="EJ109" s="1"/>
      <c r="EK109" s="1"/>
      <c r="EL109" s="1"/>
      <c r="EM109" s="1"/>
      <c r="EN109" s="1"/>
      <c r="EO109" s="1"/>
      <c r="EP109" s="1"/>
      <c r="EQ109" s="1"/>
      <c r="ER109" s="1"/>
      <c r="ES109" s="1"/>
      <c r="ET109" s="1"/>
      <c r="EU109" s="1"/>
      <c r="EV109" s="1"/>
      <c r="EW109" s="1"/>
      <c r="EX109" s="1"/>
      <c r="EY109" s="1"/>
      <c r="EZ109" s="1"/>
      <c r="FA109" s="1"/>
      <c r="FB109" s="1"/>
      <c r="FC109" s="1"/>
      <c r="FD109" s="1"/>
      <c r="FE109" s="1"/>
      <c r="FF109" s="1"/>
      <c r="FG109" s="1"/>
      <c r="FH109" s="1"/>
      <c r="FI109" s="1"/>
      <c r="FJ109" s="1"/>
      <c r="FK109" s="1"/>
      <c r="FL109" s="1"/>
      <c r="FM109" s="1"/>
      <c r="FN109" s="1"/>
      <c r="FO109" s="1"/>
      <c r="FP109" s="1"/>
      <c r="FQ109" s="1"/>
      <c r="FR109" s="1"/>
      <c r="FS109" s="1"/>
      <c r="FT109" s="1"/>
      <c r="FU109" s="1"/>
      <c r="FV109" s="1"/>
      <c r="FW109" s="1"/>
      <c r="FX109" s="1"/>
      <c r="FY109" s="1"/>
      <c r="FZ109" s="1"/>
      <c r="GA109" s="1"/>
      <c r="GB109" s="1"/>
      <c r="GC109" s="1"/>
      <c r="GD109" s="1"/>
      <c r="GE109" s="1"/>
      <c r="GF109" s="1"/>
      <c r="GG109" s="1"/>
      <c r="GH109" s="1"/>
      <c r="GI109" s="1"/>
      <c r="GJ109" s="1"/>
      <c r="GK109" s="1"/>
      <c r="GL109" s="1"/>
      <c r="GM109" s="1"/>
      <c r="GN109" s="1"/>
      <c r="GO109" s="1"/>
      <c r="GP109" s="1"/>
      <c r="GQ109" s="1"/>
      <c r="GR109" s="1"/>
      <c r="GS109" s="1"/>
      <c r="GT109" s="1"/>
      <c r="GU109" s="1"/>
      <c r="GV109" s="1"/>
      <c r="GW109" s="1"/>
      <c r="GX109" s="1"/>
      <c r="GY109" s="1"/>
      <c r="GZ109" s="1"/>
      <c r="HA109" s="1"/>
      <c r="HB109" s="1"/>
      <c r="HC109" s="1"/>
      <c r="HD109" s="1"/>
      <c r="HE109" s="1"/>
      <c r="HF109" s="1"/>
      <c r="HG109" s="1"/>
      <c r="HH109" s="1"/>
      <c r="HI109" s="1"/>
      <c r="HJ109" s="1"/>
      <c r="HK109" s="1"/>
      <c r="HL109" s="1"/>
      <c r="HM109" s="1"/>
      <c r="HN109" s="1"/>
      <c r="HO109" s="1"/>
      <c r="HP109" s="1"/>
      <c r="HQ109" s="1"/>
      <c r="HR109" s="1"/>
      <c r="HS109" s="1"/>
      <c r="HT109" s="1"/>
      <c r="HU109" s="1"/>
      <c r="HV109" s="1"/>
      <c r="HW109" s="1"/>
      <c r="HX109" s="1"/>
      <c r="HY109" s="1"/>
      <c r="HZ109" s="1"/>
      <c r="IA109" s="1"/>
      <c r="IB109" s="1"/>
      <c r="IC109" s="1"/>
      <c r="ID109" s="1"/>
      <c r="IE109" s="1"/>
      <c r="IF109" s="1"/>
      <c r="IG109" s="1"/>
      <c r="IH109" s="1"/>
      <c r="II109" s="1"/>
      <c r="IJ109" s="1"/>
      <c r="IK109" s="1"/>
      <c r="IL109" s="1"/>
      <c r="IM109" s="1"/>
      <c r="IN109" s="1"/>
      <c r="IO109" s="1"/>
      <c r="IP109" s="1"/>
      <c r="IQ109" s="1"/>
      <c r="IR109" s="1"/>
      <c r="IS109" s="1"/>
      <c r="IT109" s="1"/>
      <c r="IU109" s="1"/>
      <c r="IV109" s="1"/>
      <c r="IW109" s="1"/>
      <c r="IX109" s="1"/>
      <c r="IY109" s="1"/>
      <c r="IZ109" s="1"/>
      <c r="JA109" s="1"/>
      <c r="JB109" s="1"/>
      <c r="JC109" s="1"/>
      <c r="JD109" s="1"/>
    </row>
    <row r="110" spans="1:264" s="347" customFormat="1" x14ac:dyDescent="0.2">
      <c r="A110" s="435" t="s">
        <v>265</v>
      </c>
      <c r="B110" s="348"/>
      <c r="BH110" s="348"/>
      <c r="BI110" s="348"/>
      <c r="BJ110" s="348"/>
      <c r="BK110" s="348"/>
      <c r="BL110" s="393"/>
      <c r="BM110" s="393"/>
      <c r="BN110" s="393"/>
      <c r="BO110" s="348"/>
      <c r="BP110" s="393"/>
      <c r="BQ110" s="393"/>
      <c r="BR110" s="393"/>
      <c r="BT110" s="393"/>
      <c r="BU110" s="393"/>
      <c r="BV110" s="393"/>
      <c r="BX110" s="393"/>
      <c r="BY110" s="393"/>
      <c r="BZ110" s="393"/>
      <c r="CB110" s="351">
        <f>CB89</f>
        <v>-60</v>
      </c>
      <c r="CC110" s="351">
        <f>CC89</f>
        <v>-139</v>
      </c>
      <c r="CD110" s="351">
        <f>CD89</f>
        <v>-199</v>
      </c>
      <c r="CF110" s="351">
        <f>CF89</f>
        <v>-91</v>
      </c>
      <c r="CG110" s="351">
        <f>CG89</f>
        <v>-599</v>
      </c>
      <c r="CH110" s="351">
        <f>CH89</f>
        <v>-690</v>
      </c>
      <c r="CJ110" s="351">
        <f>CJ89</f>
        <v>0</v>
      </c>
      <c r="CK110" s="351">
        <f>CK89</f>
        <v>-461</v>
      </c>
      <c r="CL110" s="351">
        <f>CL89</f>
        <v>-461</v>
      </c>
      <c r="CN110" s="351">
        <f>CN89</f>
        <v>-242</v>
      </c>
      <c r="CO110" s="351">
        <f>CO89</f>
        <v>-333</v>
      </c>
      <c r="CP110" s="351">
        <f>CP89</f>
        <v>-575</v>
      </c>
      <c r="CR110" s="351">
        <f>CR89</f>
        <v>-93</v>
      </c>
      <c r="CS110" s="351">
        <f>CS89</f>
        <v>-547</v>
      </c>
      <c r="CT110" s="351">
        <f>CT89</f>
        <v>-640</v>
      </c>
      <c r="CV110" s="351">
        <f>CV89</f>
        <v>-137</v>
      </c>
      <c r="CW110" s="351">
        <f>CW89</f>
        <v>-212</v>
      </c>
      <c r="CX110" s="351">
        <f>CX89</f>
        <v>-212</v>
      </c>
      <c r="CZ110" s="351">
        <f>CZ89</f>
        <v>0</v>
      </c>
      <c r="DA110" s="351">
        <f>DA89</f>
        <v>-89</v>
      </c>
      <c r="DB110" s="351">
        <f>DB89</f>
        <v>-89</v>
      </c>
      <c r="DD110" s="351">
        <f>DD89</f>
        <v>0</v>
      </c>
      <c r="DE110" s="351">
        <f>DE89</f>
        <v>-130</v>
      </c>
      <c r="DF110" s="351">
        <f>DF89</f>
        <v>-130</v>
      </c>
      <c r="DH110" s="351">
        <f>DH89</f>
        <v>-170</v>
      </c>
      <c r="DI110" s="351">
        <f>DI89</f>
        <v>-50</v>
      </c>
      <c r="DJ110" s="351">
        <f>DJ89</f>
        <v>-220</v>
      </c>
      <c r="DL110" s="351">
        <f>DL89</f>
        <v>0</v>
      </c>
      <c r="DM110" s="351">
        <f>DM89</f>
        <v>-50</v>
      </c>
      <c r="DN110" s="351">
        <f>DN89</f>
        <v>-50</v>
      </c>
      <c r="DP110" s="351">
        <f>DP89</f>
        <v>0</v>
      </c>
      <c r="DQ110" s="351">
        <f>DQ89</f>
        <v>-50</v>
      </c>
      <c r="DR110" s="351">
        <f>DR89</f>
        <v>-50</v>
      </c>
      <c r="DT110" s="1"/>
      <c r="DU110" s="1"/>
      <c r="DV110" s="1"/>
      <c r="DW110" s="1"/>
      <c r="DX110" s="1"/>
      <c r="DY110" s="1"/>
      <c r="DZ110" s="1"/>
      <c r="EA110" s="1"/>
      <c r="EB110" s="1"/>
      <c r="EC110" s="1"/>
      <c r="ED110" s="1"/>
      <c r="EE110" s="1"/>
      <c r="EF110" s="1"/>
      <c r="EG110" s="1"/>
      <c r="EH110" s="1"/>
      <c r="EI110" s="1"/>
      <c r="EJ110" s="1"/>
      <c r="EK110" s="1"/>
      <c r="EL110" s="1"/>
      <c r="EM110" s="1"/>
      <c r="EN110" s="1"/>
      <c r="EO110" s="1"/>
      <c r="EP110" s="1"/>
      <c r="EQ110" s="1"/>
      <c r="ER110" s="1"/>
      <c r="ES110" s="1"/>
      <c r="ET110" s="1"/>
      <c r="EU110" s="1"/>
      <c r="EV110" s="1"/>
      <c r="EW110" s="1"/>
      <c r="EX110" s="1"/>
      <c r="EY110" s="1"/>
      <c r="EZ110" s="1"/>
      <c r="FA110" s="1"/>
      <c r="FB110" s="1"/>
      <c r="FC110" s="1"/>
      <c r="FD110" s="1"/>
      <c r="FE110" s="1"/>
      <c r="FF110" s="1"/>
      <c r="FG110" s="1"/>
      <c r="FH110" s="1"/>
      <c r="FI110" s="1"/>
      <c r="FJ110" s="1"/>
      <c r="FK110" s="1"/>
      <c r="FL110" s="1"/>
      <c r="FM110" s="1"/>
      <c r="FN110" s="1"/>
      <c r="FO110" s="1"/>
      <c r="FP110" s="1"/>
      <c r="FQ110" s="1"/>
      <c r="FR110" s="1"/>
      <c r="FS110" s="1"/>
      <c r="FT110" s="1"/>
      <c r="FU110" s="1"/>
      <c r="FV110" s="1"/>
      <c r="FW110" s="1"/>
      <c r="FX110" s="1"/>
      <c r="FY110" s="1"/>
      <c r="FZ110" s="1"/>
      <c r="GA110" s="1"/>
      <c r="GB110" s="1"/>
      <c r="GC110" s="1"/>
      <c r="GD110" s="1"/>
      <c r="GE110" s="1"/>
      <c r="GF110" s="1"/>
      <c r="GG110" s="1"/>
      <c r="GH110" s="1"/>
      <c r="GI110" s="1"/>
      <c r="GJ110" s="1"/>
      <c r="GK110" s="1"/>
      <c r="GL110" s="1"/>
      <c r="GM110" s="1"/>
      <c r="GN110" s="1"/>
      <c r="GO110" s="1"/>
      <c r="GP110" s="1"/>
      <c r="GQ110" s="1"/>
      <c r="GR110" s="1"/>
      <c r="GS110" s="1"/>
      <c r="GT110" s="1"/>
      <c r="GU110" s="1"/>
      <c r="GV110" s="1"/>
      <c r="GW110" s="1"/>
      <c r="GX110" s="1"/>
      <c r="GY110" s="1"/>
      <c r="GZ110" s="1"/>
      <c r="HA110" s="1"/>
      <c r="HB110" s="1"/>
      <c r="HC110" s="1"/>
      <c r="HD110" s="1"/>
      <c r="HE110" s="1"/>
      <c r="HF110" s="1"/>
      <c r="HG110" s="1"/>
      <c r="HH110" s="1"/>
      <c r="HI110" s="1"/>
      <c r="HJ110" s="1"/>
      <c r="HK110" s="1"/>
      <c r="HL110" s="1"/>
      <c r="HM110" s="1"/>
      <c r="HN110" s="1"/>
      <c r="HO110" s="1"/>
      <c r="HP110" s="1"/>
      <c r="HQ110" s="1"/>
      <c r="HR110" s="1"/>
      <c r="HS110" s="1"/>
      <c r="HT110" s="1"/>
      <c r="HU110" s="1"/>
      <c r="HV110" s="1"/>
      <c r="HW110" s="1"/>
      <c r="HX110" s="1"/>
      <c r="HY110" s="1"/>
      <c r="HZ110" s="1"/>
      <c r="IA110" s="1"/>
      <c r="IB110" s="1"/>
      <c r="IC110" s="1"/>
      <c r="ID110" s="1"/>
      <c r="IE110" s="1"/>
      <c r="IF110" s="1"/>
      <c r="IG110" s="1"/>
      <c r="IH110" s="1"/>
      <c r="II110" s="1"/>
      <c r="IJ110" s="1"/>
      <c r="IK110" s="1"/>
      <c r="IL110" s="1"/>
      <c r="IM110" s="1"/>
      <c r="IN110" s="1"/>
      <c r="IO110" s="1"/>
      <c r="IP110" s="1"/>
      <c r="IQ110" s="1"/>
      <c r="IR110" s="1"/>
      <c r="IS110" s="1"/>
      <c r="IT110" s="1"/>
      <c r="IU110" s="1"/>
      <c r="IV110" s="1"/>
      <c r="IW110" s="1"/>
      <c r="IX110" s="1"/>
      <c r="IY110" s="1"/>
      <c r="IZ110" s="1"/>
      <c r="JA110" s="1"/>
      <c r="JB110" s="1"/>
      <c r="JC110" s="1"/>
      <c r="JD110" s="1"/>
    </row>
    <row r="111" spans="1:264" s="347" customFormat="1" x14ac:dyDescent="0.2">
      <c r="A111" s="435" t="s">
        <v>266</v>
      </c>
      <c r="B111" s="348"/>
      <c r="BH111" s="348"/>
      <c r="BI111" s="348"/>
      <c r="BJ111" s="348"/>
      <c r="BK111" s="348"/>
      <c r="BL111" s="393"/>
      <c r="BM111" s="393"/>
      <c r="BN111" s="393"/>
      <c r="BO111" s="348"/>
      <c r="BP111" s="393"/>
      <c r="BQ111" s="393"/>
      <c r="BR111" s="393"/>
      <c r="BT111" s="393"/>
      <c r="BU111" s="393"/>
      <c r="BV111" s="393"/>
      <c r="BX111" s="393"/>
      <c r="BY111" s="393"/>
      <c r="BZ111" s="393"/>
      <c r="CB111" s="351">
        <f>CB83-CB110</f>
        <v>-5396</v>
      </c>
      <c r="CC111" s="351">
        <f>CC83-CC110</f>
        <v>-5400</v>
      </c>
      <c r="CD111" s="351">
        <f>CD83-CD110</f>
        <v>-10796</v>
      </c>
      <c r="CF111" s="351">
        <f>CF83-CF110</f>
        <v>-4975</v>
      </c>
      <c r="CG111" s="351">
        <f>CG83-CG110</f>
        <v>-5159</v>
      </c>
      <c r="CH111" s="351">
        <f>CH83-CH110</f>
        <v>-10134</v>
      </c>
      <c r="CJ111" s="351">
        <f>CJ83-CJ110</f>
        <v>-5257</v>
      </c>
      <c r="CK111" s="351">
        <f>CK83-CK110</f>
        <v>-5278</v>
      </c>
      <c r="CL111" s="351">
        <f>CL83-CL110</f>
        <v>-10535</v>
      </c>
      <c r="CN111" s="351">
        <f>CN83-CN110</f>
        <v>-5349</v>
      </c>
      <c r="CO111" s="351">
        <f>CO83-CO110</f>
        <v>-5435</v>
      </c>
      <c r="CP111" s="351">
        <f>CP83-CP110</f>
        <v>-10784</v>
      </c>
      <c r="CR111" s="351">
        <f>CR83-CR110</f>
        <v>-5397</v>
      </c>
      <c r="CS111" s="351">
        <f>CS83-CS110</f>
        <v>-5391</v>
      </c>
      <c r="CT111" s="351">
        <f>CT83-CT110</f>
        <v>-10788</v>
      </c>
      <c r="CV111" s="351">
        <f>CV83-CV110</f>
        <v>-5636</v>
      </c>
      <c r="CW111" s="351">
        <f>CW83-CW110</f>
        <v>-5873</v>
      </c>
      <c r="CX111" s="351">
        <f>CX83-CX110</f>
        <v>-11646</v>
      </c>
      <c r="CZ111" s="351">
        <f>CZ83-CZ110</f>
        <v>-6011</v>
      </c>
      <c r="DA111" s="351">
        <f>DA83-DA110</f>
        <v>-6118</v>
      </c>
      <c r="DB111" s="351">
        <f>DB83-DB110</f>
        <v>-12129</v>
      </c>
      <c r="DD111" s="351">
        <f>DD83-DD110</f>
        <v>-6372</v>
      </c>
      <c r="DE111" s="351">
        <f>DE83-DE110</f>
        <v>-6494</v>
      </c>
      <c r="DF111" s="351">
        <f>DF83-DF110</f>
        <v>-12866</v>
      </c>
      <c r="DH111" s="351">
        <f>DH83-DH110</f>
        <v>-6720</v>
      </c>
      <c r="DI111" s="351">
        <f>DI83-DI110</f>
        <v>-6740.2006014272984</v>
      </c>
      <c r="DJ111" s="351">
        <f>DJ83-DJ110</f>
        <v>-13460.200601427299</v>
      </c>
      <c r="DL111" s="351">
        <f>DL83-DL110</f>
        <v>-7001.0985366253462</v>
      </c>
      <c r="DM111" s="351">
        <f>DM83-DM110</f>
        <v>-7022.4476853043052</v>
      </c>
      <c r="DN111" s="351">
        <f>DN83-DN110</f>
        <v>-14023.546221929651</v>
      </c>
      <c r="DP111" s="351">
        <f>DP83-DP110</f>
        <v>-7290.0077743019428</v>
      </c>
      <c r="DQ111" s="351">
        <f>DQ83-DQ110</f>
        <v>-7332.2091061050687</v>
      </c>
      <c r="DR111" s="351">
        <f>DR83-DR110</f>
        <v>-14622.21688040701</v>
      </c>
      <c r="DT111" s="1"/>
      <c r="DU111" s="1"/>
      <c r="DV111" s="1"/>
      <c r="DW111" s="1"/>
      <c r="DX111" s="1"/>
      <c r="DY111" s="1"/>
      <c r="DZ111" s="1"/>
      <c r="EA111" s="1"/>
      <c r="EB111" s="1"/>
      <c r="EC111" s="1"/>
      <c r="ED111" s="1"/>
      <c r="EE111" s="1"/>
      <c r="EF111" s="1"/>
      <c r="EG111" s="1"/>
      <c r="EH111" s="1"/>
      <c r="EI111" s="1"/>
      <c r="EJ111" s="1"/>
      <c r="EK111" s="1"/>
      <c r="EL111" s="1"/>
      <c r="EM111" s="1"/>
      <c r="EN111" s="1"/>
      <c r="EO111" s="1"/>
      <c r="EP111" s="1"/>
      <c r="EQ111" s="1"/>
      <c r="ER111" s="1"/>
      <c r="ES111" s="1"/>
      <c r="ET111" s="1"/>
      <c r="EU111" s="1"/>
      <c r="EV111" s="1"/>
      <c r="EW111" s="1"/>
      <c r="EX111" s="1"/>
      <c r="EY111" s="1"/>
      <c r="EZ111" s="1"/>
      <c r="FA111" s="1"/>
      <c r="FB111" s="1"/>
      <c r="FC111" s="1"/>
      <c r="FD111" s="1"/>
      <c r="FE111" s="1"/>
      <c r="FF111" s="1"/>
      <c r="FG111" s="1"/>
      <c r="FH111" s="1"/>
      <c r="FI111" s="1"/>
      <c r="FJ111" s="1"/>
      <c r="FK111" s="1"/>
      <c r="FL111" s="1"/>
      <c r="FM111" s="1"/>
      <c r="FN111" s="1"/>
      <c r="FO111" s="1"/>
      <c r="FP111" s="1"/>
      <c r="FQ111" s="1"/>
      <c r="FR111" s="1"/>
      <c r="FS111" s="1"/>
      <c r="FT111" s="1"/>
      <c r="FU111" s="1"/>
      <c r="FV111" s="1"/>
      <c r="FW111" s="1"/>
      <c r="FX111" s="1"/>
      <c r="FY111" s="1"/>
      <c r="FZ111" s="1"/>
      <c r="GA111" s="1"/>
      <c r="GB111" s="1"/>
      <c r="GC111" s="1"/>
      <c r="GD111" s="1"/>
      <c r="GE111" s="1"/>
      <c r="GF111" s="1"/>
      <c r="GG111" s="1"/>
      <c r="GH111" s="1"/>
      <c r="GI111" s="1"/>
      <c r="GJ111" s="1"/>
      <c r="GK111" s="1"/>
      <c r="GL111" s="1"/>
      <c r="GM111" s="1"/>
      <c r="GN111" s="1"/>
      <c r="GO111" s="1"/>
      <c r="GP111" s="1"/>
      <c r="GQ111" s="1"/>
      <c r="GR111" s="1"/>
      <c r="GS111" s="1"/>
      <c r="GT111" s="1"/>
      <c r="GU111" s="1"/>
      <c r="GV111" s="1"/>
      <c r="GW111" s="1"/>
      <c r="GX111" s="1"/>
      <c r="GY111" s="1"/>
      <c r="GZ111" s="1"/>
      <c r="HA111" s="1"/>
      <c r="HB111" s="1"/>
      <c r="HC111" s="1"/>
      <c r="HD111" s="1"/>
      <c r="HE111" s="1"/>
      <c r="HF111" s="1"/>
      <c r="HG111" s="1"/>
      <c r="HH111" s="1"/>
      <c r="HI111" s="1"/>
      <c r="HJ111" s="1"/>
      <c r="HK111" s="1"/>
      <c r="HL111" s="1"/>
      <c r="HM111" s="1"/>
      <c r="HN111" s="1"/>
      <c r="HO111" s="1"/>
      <c r="HP111" s="1"/>
      <c r="HQ111" s="1"/>
      <c r="HR111" s="1"/>
      <c r="HS111" s="1"/>
      <c r="HT111" s="1"/>
      <c r="HU111" s="1"/>
      <c r="HV111" s="1"/>
      <c r="HW111" s="1"/>
      <c r="HX111" s="1"/>
      <c r="HY111" s="1"/>
      <c r="HZ111" s="1"/>
      <c r="IA111" s="1"/>
      <c r="IB111" s="1"/>
      <c r="IC111" s="1"/>
      <c r="ID111" s="1"/>
      <c r="IE111" s="1"/>
      <c r="IF111" s="1"/>
      <c r="IG111" s="1"/>
      <c r="IH111" s="1"/>
      <c r="II111" s="1"/>
      <c r="IJ111" s="1"/>
      <c r="IK111" s="1"/>
      <c r="IL111" s="1"/>
      <c r="IM111" s="1"/>
      <c r="IN111" s="1"/>
      <c r="IO111" s="1"/>
      <c r="IP111" s="1"/>
      <c r="IQ111" s="1"/>
      <c r="IR111" s="1"/>
      <c r="IS111" s="1"/>
      <c r="IT111" s="1"/>
      <c r="IU111" s="1"/>
      <c r="IV111" s="1"/>
      <c r="IW111" s="1"/>
      <c r="IX111" s="1"/>
      <c r="IY111" s="1"/>
      <c r="IZ111" s="1"/>
      <c r="JA111" s="1"/>
      <c r="JB111" s="1"/>
      <c r="JC111" s="1"/>
      <c r="JD111" s="1"/>
    </row>
    <row r="112" spans="1:264" s="429" customFormat="1" x14ac:dyDescent="0.2">
      <c r="A112" s="429" t="s">
        <v>233</v>
      </c>
      <c r="B112" s="408"/>
      <c r="BH112" s="408"/>
      <c r="BI112" s="408"/>
      <c r="BJ112" s="408"/>
      <c r="BK112" s="408"/>
      <c r="BL112" s="393"/>
      <c r="BM112" s="393"/>
      <c r="BN112" s="393"/>
      <c r="BO112" s="408"/>
      <c r="BP112" s="393"/>
      <c r="BQ112" s="393"/>
      <c r="BR112" s="393"/>
      <c r="BT112" s="393"/>
      <c r="BU112" s="393"/>
      <c r="BV112" s="393"/>
      <c r="BX112" s="393"/>
      <c r="BY112" s="393"/>
      <c r="BZ112" s="393"/>
      <c r="CB112" s="456"/>
      <c r="CC112" s="456"/>
      <c r="CD112" s="456"/>
      <c r="CF112" s="394">
        <f>CF111/CB111-1</f>
        <v>-7.8020756115641188E-2</v>
      </c>
      <c r="CG112" s="394">
        <f>CG111/CC111-1</f>
        <v>-4.4629629629629575E-2</v>
      </c>
      <c r="CH112" s="394">
        <f>CH111/CD111-1</f>
        <v>-6.1319007039644324E-2</v>
      </c>
      <c r="CJ112" s="394">
        <f>CJ111/CF111-1</f>
        <v>5.6683417085427124E-2</v>
      </c>
      <c r="CK112" s="394">
        <f>CK111/CG111-1</f>
        <v>2.3066485753052923E-2</v>
      </c>
      <c r="CL112" s="394">
        <f>CL111/CH111-1</f>
        <v>3.9569765147029701E-2</v>
      </c>
      <c r="CN112" s="394">
        <f>CN111/CJ111-1</f>
        <v>1.7500475556400996E-2</v>
      </c>
      <c r="CO112" s="394">
        <f>CO111/CK111-1</f>
        <v>2.9746115953012575E-2</v>
      </c>
      <c r="CP112" s="394">
        <f>CP111/CL111-1</f>
        <v>2.3635500711912671E-2</v>
      </c>
      <c r="CR112" s="394">
        <f>CR111/CN111-1</f>
        <v>8.9736399326976191E-3</v>
      </c>
      <c r="CS112" s="394">
        <f>CS111/CO111-1</f>
        <v>-8.0956761729530369E-3</v>
      </c>
      <c r="CT112" s="394">
        <f>CT111/CP111-1</f>
        <v>3.7091988130555364E-4</v>
      </c>
      <c r="CV112" s="394">
        <f>CV111/CR111-1</f>
        <v>4.4283861404484037E-2</v>
      </c>
      <c r="CW112" s="394">
        <f>CW111/CS111-1</f>
        <v>8.940827304767196E-2</v>
      </c>
      <c r="CX112" s="394">
        <f>CX111/CT111-1</f>
        <v>7.953281423804226E-2</v>
      </c>
      <c r="CZ112" s="394">
        <f>CZ111/CV111-1</f>
        <v>6.6536550745209366E-2</v>
      </c>
      <c r="DA112" s="394">
        <f>DA111/CW111-1</f>
        <v>4.171632896305133E-2</v>
      </c>
      <c r="DB112" s="394">
        <f>DB111/CX111-1</f>
        <v>4.1473467284904642E-2</v>
      </c>
      <c r="DD112" s="394">
        <f>DD111/CZ111-1</f>
        <v>6.0056562967892191E-2</v>
      </c>
      <c r="DE112" s="394">
        <f>DE111/DA111-1</f>
        <v>6.1457992808107154E-2</v>
      </c>
      <c r="DF112" s="394">
        <f>DF111/DB111-1</f>
        <v>6.0763459477285897E-2</v>
      </c>
      <c r="DH112" s="394">
        <f>DH111/DD111-1</f>
        <v>5.4613935969868077E-2</v>
      </c>
      <c r="DI112" s="394">
        <f>DI111/DE111-1</f>
        <v>3.791201130694466E-2</v>
      </c>
      <c r="DJ112" s="394">
        <f>DJ111/DF111-1</f>
        <v>4.6183786835636509E-2</v>
      </c>
      <c r="DL112" s="394">
        <f>DL111/DH111-1</f>
        <v>4.1830139378771669E-2</v>
      </c>
      <c r="DM112" s="394">
        <f>DM111/DI111-1</f>
        <v>4.1875175616767013E-2</v>
      </c>
      <c r="DN112" s="394">
        <f>DN111/DJ111-1</f>
        <v>4.1852691292179944E-2</v>
      </c>
      <c r="DP112" s="394">
        <f>DP111/DL111-1</f>
        <v>4.1266272166461393E-2</v>
      </c>
      <c r="DQ112" s="394">
        <f>DQ111/DM111-1</f>
        <v>4.411017848505927E-2</v>
      </c>
      <c r="DR112" s="394">
        <f>DR111/DN111-1</f>
        <v>4.2690390077024354E-2</v>
      </c>
      <c r="DT112" s="457"/>
      <c r="DU112" s="457"/>
      <c r="DV112" s="457"/>
      <c r="DW112" s="457"/>
      <c r="DX112" s="457"/>
      <c r="DY112" s="457"/>
      <c r="DZ112" s="457"/>
      <c r="EA112" s="457"/>
      <c r="EB112" s="457"/>
      <c r="EC112" s="457"/>
      <c r="ED112" s="457"/>
      <c r="EE112" s="457"/>
      <c r="EF112" s="457"/>
      <c r="EG112" s="457"/>
      <c r="EH112" s="457"/>
      <c r="EI112" s="457"/>
      <c r="EJ112" s="457"/>
      <c r="EK112" s="457"/>
      <c r="EL112" s="457"/>
      <c r="EM112" s="457"/>
      <c r="EN112" s="457"/>
      <c r="EO112" s="457"/>
      <c r="EP112" s="457"/>
      <c r="EQ112" s="457"/>
      <c r="ER112" s="457"/>
      <c r="ES112" s="457"/>
      <c r="ET112" s="457"/>
      <c r="EU112" s="457"/>
      <c r="EV112" s="457"/>
      <c r="EW112" s="457"/>
      <c r="EX112" s="457"/>
      <c r="EY112" s="457"/>
      <c r="EZ112" s="457"/>
      <c r="FA112" s="457"/>
      <c r="FB112" s="457"/>
      <c r="FC112" s="457"/>
      <c r="FD112" s="457"/>
      <c r="FE112" s="457"/>
      <c r="FF112" s="457"/>
      <c r="FG112" s="457"/>
      <c r="FH112" s="457"/>
      <c r="FI112" s="457"/>
      <c r="FJ112" s="457"/>
      <c r="FK112" s="457"/>
      <c r="FL112" s="457"/>
      <c r="FM112" s="457"/>
      <c r="FN112" s="457"/>
      <c r="FO112" s="457"/>
      <c r="FP112" s="457"/>
      <c r="FQ112" s="457"/>
      <c r="FR112" s="457"/>
      <c r="FS112" s="457"/>
      <c r="FT112" s="457"/>
      <c r="FU112" s="457"/>
      <c r="FV112" s="457"/>
      <c r="FW112" s="457"/>
      <c r="FX112" s="457"/>
      <c r="FY112" s="457"/>
      <c r="FZ112" s="457"/>
      <c r="GA112" s="457"/>
      <c r="GB112" s="457"/>
      <c r="GC112" s="457"/>
      <c r="GD112" s="457"/>
      <c r="GE112" s="457"/>
      <c r="GF112" s="457"/>
      <c r="GG112" s="457"/>
      <c r="GH112" s="457"/>
      <c r="GI112" s="457"/>
      <c r="GJ112" s="457"/>
      <c r="GK112" s="457"/>
      <c r="GL112" s="457"/>
      <c r="GM112" s="457"/>
      <c r="GN112" s="457"/>
      <c r="GO112" s="457"/>
      <c r="GP112" s="457"/>
      <c r="GQ112" s="457"/>
      <c r="GR112" s="457"/>
      <c r="GS112" s="457"/>
      <c r="GT112" s="457"/>
      <c r="GU112" s="457"/>
      <c r="GV112" s="457"/>
      <c r="GW112" s="457"/>
      <c r="GX112" s="457"/>
      <c r="GY112" s="457"/>
      <c r="GZ112" s="457"/>
      <c r="HA112" s="457"/>
      <c r="HB112" s="457"/>
      <c r="HC112" s="457"/>
      <c r="HD112" s="457"/>
      <c r="HE112" s="457"/>
      <c r="HF112" s="457"/>
      <c r="HG112" s="457"/>
      <c r="HH112" s="457"/>
      <c r="HI112" s="457"/>
      <c r="HJ112" s="457"/>
      <c r="HK112" s="457"/>
      <c r="HL112" s="457"/>
      <c r="HM112" s="457"/>
      <c r="HN112" s="457"/>
      <c r="HO112" s="457"/>
      <c r="HP112" s="457"/>
      <c r="HQ112" s="457"/>
      <c r="HR112" s="457"/>
      <c r="HS112" s="457"/>
      <c r="HT112" s="457"/>
      <c r="HU112" s="457"/>
      <c r="HV112" s="457"/>
      <c r="HW112" s="457"/>
      <c r="HX112" s="457"/>
      <c r="HY112" s="457"/>
      <c r="HZ112" s="457"/>
      <c r="IA112" s="457"/>
      <c r="IB112" s="457"/>
      <c r="IC112" s="457"/>
      <c r="ID112" s="457"/>
      <c r="IE112" s="457"/>
      <c r="IF112" s="457"/>
      <c r="IG112" s="457"/>
      <c r="IH112" s="457"/>
      <c r="II112" s="457"/>
      <c r="IJ112" s="457"/>
      <c r="IK112" s="457"/>
      <c r="IL112" s="457"/>
      <c r="IM112" s="457"/>
      <c r="IN112" s="457"/>
      <c r="IO112" s="457"/>
      <c r="IP112" s="457"/>
      <c r="IQ112" s="457"/>
      <c r="IR112" s="457"/>
      <c r="IS112" s="457"/>
      <c r="IT112" s="457"/>
      <c r="IU112" s="457"/>
      <c r="IV112" s="457"/>
      <c r="IW112" s="457"/>
      <c r="IX112" s="457"/>
      <c r="IY112" s="457"/>
      <c r="IZ112" s="457"/>
      <c r="JA112" s="457"/>
      <c r="JB112" s="457"/>
      <c r="JC112" s="457"/>
      <c r="JD112" s="457"/>
    </row>
    <row r="113" spans="1:264" s="347" customFormat="1" x14ac:dyDescent="0.2">
      <c r="A113" s="435"/>
      <c r="B113" s="348"/>
      <c r="BH113" s="348"/>
      <c r="BI113" s="348"/>
      <c r="BJ113" s="348"/>
      <c r="BK113" s="348"/>
      <c r="BL113" s="393"/>
      <c r="BM113" s="393"/>
      <c r="BN113" s="393"/>
      <c r="BO113" s="348"/>
      <c r="BP113" s="393"/>
      <c r="BQ113" s="393"/>
      <c r="BR113" s="393"/>
      <c r="BT113" s="393"/>
      <c r="BU113" s="393"/>
      <c r="BV113" s="393"/>
      <c r="BX113" s="393"/>
      <c r="BY113" s="393"/>
      <c r="BZ113" s="393"/>
      <c r="CB113" s="394"/>
      <c r="CC113" s="394"/>
      <c r="CD113" s="394"/>
      <c r="CF113" s="394"/>
      <c r="CG113" s="394"/>
      <c r="CH113" s="394"/>
      <c r="CJ113" s="394"/>
      <c r="CK113" s="394"/>
      <c r="CL113" s="394"/>
      <c r="CN113" s="394"/>
      <c r="CO113" s="394"/>
      <c r="CP113" s="394"/>
      <c r="CR113" s="394"/>
      <c r="CS113" s="394"/>
      <c r="CT113" s="394"/>
      <c r="CV113" s="394"/>
      <c r="CW113" s="394"/>
      <c r="CX113" s="394"/>
      <c r="CZ113" s="394"/>
      <c r="DA113" s="394"/>
      <c r="DB113" s="394"/>
      <c r="DD113" s="394"/>
      <c r="DE113" s="394"/>
      <c r="DF113" s="394"/>
      <c r="DH113" s="394"/>
      <c r="DI113" s="394"/>
      <c r="DJ113" s="394"/>
      <c r="DL113" s="394"/>
      <c r="DM113" s="394"/>
      <c r="DN113" s="394"/>
      <c r="DP113" s="394"/>
      <c r="DQ113" s="394"/>
      <c r="DR113" s="394"/>
      <c r="DT113" s="1"/>
      <c r="DU113" s="1"/>
      <c r="DV113" s="1"/>
      <c r="DW113" s="1"/>
      <c r="DX113" s="1"/>
      <c r="DY113" s="1"/>
      <c r="DZ113" s="1"/>
      <c r="EA113" s="1"/>
      <c r="EB113" s="1"/>
      <c r="EC113" s="1"/>
      <c r="ED113" s="1"/>
      <c r="EE113" s="1"/>
      <c r="EF113" s="1"/>
      <c r="EG113" s="1"/>
      <c r="EH113" s="1"/>
      <c r="EI113" s="1"/>
      <c r="EJ113" s="1"/>
      <c r="EK113" s="1"/>
      <c r="EL113" s="1"/>
      <c r="EM113" s="1"/>
      <c r="EN113" s="1"/>
      <c r="EO113" s="1"/>
      <c r="EP113" s="1"/>
      <c r="EQ113" s="1"/>
      <c r="ER113" s="1"/>
      <c r="ES113" s="1"/>
      <c r="ET113" s="1"/>
      <c r="EU113" s="1"/>
      <c r="EV113" s="1"/>
      <c r="EW113" s="1"/>
      <c r="EX113" s="1"/>
      <c r="EY113" s="1"/>
      <c r="EZ113" s="1"/>
      <c r="FA113" s="1"/>
      <c r="FB113" s="1"/>
      <c r="FC113" s="1"/>
      <c r="FD113" s="1"/>
      <c r="FE113" s="1"/>
      <c r="FF113" s="1"/>
      <c r="FG113" s="1"/>
      <c r="FH113" s="1"/>
      <c r="FI113" s="1"/>
      <c r="FJ113" s="1"/>
      <c r="FK113" s="1"/>
      <c r="FL113" s="1"/>
      <c r="FM113" s="1"/>
      <c r="FN113" s="1"/>
      <c r="FO113" s="1"/>
      <c r="FP113" s="1"/>
      <c r="FQ113" s="1"/>
      <c r="FR113" s="1"/>
      <c r="FS113" s="1"/>
      <c r="FT113" s="1"/>
      <c r="FU113" s="1"/>
      <c r="FV113" s="1"/>
      <c r="FW113" s="1"/>
      <c r="FX113" s="1"/>
      <c r="FY113" s="1"/>
      <c r="FZ113" s="1"/>
      <c r="GA113" s="1"/>
      <c r="GB113" s="1"/>
      <c r="GC113" s="1"/>
      <c r="GD113" s="1"/>
      <c r="GE113" s="1"/>
      <c r="GF113" s="1"/>
      <c r="GG113" s="1"/>
      <c r="GH113" s="1"/>
      <c r="GI113" s="1"/>
      <c r="GJ113" s="1"/>
      <c r="GK113" s="1"/>
      <c r="GL113" s="1"/>
      <c r="GM113" s="1"/>
      <c r="GN113" s="1"/>
      <c r="GO113" s="1"/>
      <c r="GP113" s="1"/>
      <c r="GQ113" s="1"/>
      <c r="GR113" s="1"/>
      <c r="GS113" s="1"/>
      <c r="GT113" s="1"/>
      <c r="GU113" s="1"/>
      <c r="GV113" s="1"/>
      <c r="GW113" s="1"/>
      <c r="GX113" s="1"/>
      <c r="GY113" s="1"/>
      <c r="GZ113" s="1"/>
      <c r="HA113" s="1"/>
      <c r="HB113" s="1"/>
      <c r="HC113" s="1"/>
      <c r="HD113" s="1"/>
      <c r="HE113" s="1"/>
      <c r="HF113" s="1"/>
      <c r="HG113" s="1"/>
      <c r="HH113" s="1"/>
      <c r="HI113" s="1"/>
      <c r="HJ113" s="1"/>
      <c r="HK113" s="1"/>
      <c r="HL113" s="1"/>
      <c r="HM113" s="1"/>
      <c r="HN113" s="1"/>
      <c r="HO113" s="1"/>
      <c r="HP113" s="1"/>
      <c r="HQ113" s="1"/>
      <c r="HR113" s="1"/>
      <c r="HS113" s="1"/>
      <c r="HT113" s="1"/>
      <c r="HU113" s="1"/>
      <c r="HV113" s="1"/>
      <c r="HW113" s="1"/>
      <c r="HX113" s="1"/>
      <c r="HY113" s="1"/>
      <c r="HZ113" s="1"/>
      <c r="IA113" s="1"/>
      <c r="IB113" s="1"/>
      <c r="IC113" s="1"/>
      <c r="ID113" s="1"/>
      <c r="IE113" s="1"/>
      <c r="IF113" s="1"/>
      <c r="IG113" s="1"/>
      <c r="IH113" s="1"/>
      <c r="II113" s="1"/>
      <c r="IJ113" s="1"/>
      <c r="IK113" s="1"/>
      <c r="IL113" s="1"/>
      <c r="IM113" s="1"/>
      <c r="IN113" s="1"/>
      <c r="IO113" s="1"/>
      <c r="IP113" s="1"/>
      <c r="IQ113" s="1"/>
      <c r="IR113" s="1"/>
      <c r="IS113" s="1"/>
      <c r="IT113" s="1"/>
      <c r="IU113" s="1"/>
      <c r="IV113" s="1"/>
      <c r="IW113" s="1"/>
      <c r="IX113" s="1"/>
      <c r="IY113" s="1"/>
      <c r="IZ113" s="1"/>
      <c r="JA113" s="1"/>
      <c r="JB113" s="1"/>
      <c r="JC113" s="1"/>
      <c r="JD113" s="1"/>
    </row>
    <row r="114" spans="1:264" s="347" customFormat="1" x14ac:dyDescent="0.2">
      <c r="A114" s="435" t="s">
        <v>267</v>
      </c>
      <c r="B114" s="348"/>
      <c r="BH114" s="348"/>
      <c r="BI114" s="348"/>
      <c r="BJ114" s="348"/>
      <c r="BK114" s="348"/>
      <c r="BL114" s="348"/>
      <c r="BM114" s="348"/>
      <c r="BN114" s="348"/>
      <c r="BO114" s="348"/>
      <c r="BP114" s="348"/>
      <c r="BT114" s="348"/>
      <c r="BX114" s="348"/>
      <c r="CB114" s="351">
        <f>CB107+CB111</f>
        <v>7253</v>
      </c>
      <c r="CC114" s="351">
        <f>CC107+CC111</f>
        <v>6873</v>
      </c>
      <c r="CD114" s="351">
        <f>CD107+CD111</f>
        <v>14126</v>
      </c>
      <c r="CF114" s="351">
        <f>CF107+CF111</f>
        <v>7015</v>
      </c>
      <c r="CG114" s="351">
        <f>CG107+CG111</f>
        <v>6430</v>
      </c>
      <c r="CH114" s="351">
        <f>CH107+CH111</f>
        <v>13445</v>
      </c>
      <c r="CJ114" s="351">
        <f>CJ107+CJ111</f>
        <v>6766</v>
      </c>
      <c r="CK114" s="351">
        <f>CK107+CK111</f>
        <v>6460</v>
      </c>
      <c r="CL114" s="351">
        <f>CL107+CL111</f>
        <v>13226</v>
      </c>
      <c r="CN114" s="351">
        <f>CN107+CN111</f>
        <v>6612</v>
      </c>
      <c r="CO114" s="351">
        <f>CO107+CO111</f>
        <v>6760</v>
      </c>
      <c r="CP114" s="351">
        <f>CP107+CP111</f>
        <v>13372</v>
      </c>
      <c r="CR114" s="351">
        <f>CR107+CR111</f>
        <v>6710</v>
      </c>
      <c r="CS114" s="351">
        <f>CS107+CS111</f>
        <v>6675</v>
      </c>
      <c r="CT114" s="351">
        <f>CT107+CT111</f>
        <v>13385</v>
      </c>
      <c r="CV114" s="351">
        <f>CV107+CV111</f>
        <v>7987</v>
      </c>
      <c r="CW114" s="351">
        <f>CW107+CW111</f>
        <v>7639</v>
      </c>
      <c r="CX114" s="351">
        <f>CX107+CX111</f>
        <v>15489</v>
      </c>
      <c r="CZ114" s="351">
        <f>CZ107+CZ111</f>
        <v>7638</v>
      </c>
      <c r="DA114" s="351">
        <f>DA107+DA111</f>
        <v>7407</v>
      </c>
      <c r="DB114" s="351">
        <f>DB107+DB111</f>
        <v>15045</v>
      </c>
      <c r="DD114" s="351">
        <f>DD107+DD111</f>
        <v>7725</v>
      </c>
      <c r="DE114" s="351">
        <f>DE107+DE111</f>
        <v>7874</v>
      </c>
      <c r="DF114" s="351">
        <f>DF107+DF111</f>
        <v>15599</v>
      </c>
      <c r="DH114" s="351">
        <f>DH107+DH111</f>
        <v>8301</v>
      </c>
      <c r="DI114" s="351">
        <f>DI107+DI111</f>
        <v>8481.585810767232</v>
      </c>
      <c r="DJ114" s="351">
        <f>DJ107+DJ111</f>
        <v>16782.585810767232</v>
      </c>
      <c r="DL114" s="351">
        <f>DL107+DL111</f>
        <v>8972.3265942791204</v>
      </c>
      <c r="DM114" s="351">
        <f>DM107+DM111</f>
        <v>9015.0015683223664</v>
      </c>
      <c r="DN114" s="351">
        <f>DN107+DN111</f>
        <v>17987.328162601487</v>
      </c>
      <c r="DP114" s="351">
        <f>DP107+DP111</f>
        <v>9361.3598616707313</v>
      </c>
      <c r="DQ114" s="351">
        <f>DQ107+DQ111</f>
        <v>9394.9281888869464</v>
      </c>
      <c r="DR114" s="351">
        <f>DR107+DR111</f>
        <v>18756.288050557676</v>
      </c>
      <c r="DT114" s="1"/>
      <c r="DU114" s="1"/>
      <c r="DV114" s="1"/>
      <c r="DW114" s="1"/>
      <c r="DX114" s="1"/>
      <c r="DY114" s="1"/>
      <c r="DZ114" s="1"/>
      <c r="EA114" s="1"/>
      <c r="EB114" s="1"/>
      <c r="EC114" s="1"/>
      <c r="ED114" s="1"/>
      <c r="EE114" s="1"/>
      <c r="EF114" s="1"/>
      <c r="EG114" s="1"/>
      <c r="EH114" s="1"/>
      <c r="EI114" s="1"/>
      <c r="EJ114" s="1"/>
      <c r="EK114" s="1"/>
      <c r="EL114" s="1"/>
      <c r="EM114" s="1"/>
      <c r="EN114" s="1"/>
      <c r="EO114" s="1"/>
      <c r="EP114" s="1"/>
      <c r="EQ114" s="1"/>
      <c r="ER114" s="1"/>
      <c r="ES114" s="1"/>
      <c r="ET114" s="1"/>
      <c r="EU114" s="1"/>
      <c r="EV114" s="1"/>
      <c r="EW114" s="1"/>
      <c r="EX114" s="1"/>
      <c r="EY114" s="1"/>
      <c r="EZ114" s="1"/>
      <c r="FA114" s="1"/>
      <c r="FB114" s="1"/>
      <c r="FC114" s="1"/>
      <c r="FD114" s="1"/>
      <c r="FE114" s="1"/>
      <c r="FF114" s="1"/>
      <c r="FG114" s="1"/>
      <c r="FH114" s="1"/>
      <c r="FI114" s="1"/>
      <c r="FJ114" s="1"/>
      <c r="FK114" s="1"/>
      <c r="FL114" s="1"/>
      <c r="FM114" s="1"/>
      <c r="FN114" s="1"/>
      <c r="FO114" s="1"/>
      <c r="FP114" s="1"/>
      <c r="FQ114" s="1"/>
      <c r="FR114" s="1"/>
      <c r="FS114" s="1"/>
      <c r="FT114" s="1"/>
      <c r="FU114" s="1"/>
      <c r="FV114" s="1"/>
      <c r="FW114" s="1"/>
      <c r="FX114" s="1"/>
      <c r="FY114" s="1"/>
      <c r="FZ114" s="1"/>
      <c r="GA114" s="1"/>
      <c r="GB114" s="1"/>
      <c r="GC114" s="1"/>
      <c r="GD114" s="1"/>
      <c r="GE114" s="1"/>
      <c r="GF114" s="1"/>
      <c r="GG114" s="1"/>
      <c r="GH114" s="1"/>
      <c r="GI114" s="1"/>
      <c r="GJ114" s="1"/>
      <c r="GK114" s="1"/>
      <c r="GL114" s="1"/>
      <c r="GM114" s="1"/>
      <c r="GN114" s="1"/>
      <c r="GO114" s="1"/>
      <c r="GP114" s="1"/>
      <c r="GQ114" s="1"/>
      <c r="GR114" s="1"/>
      <c r="GS114" s="1"/>
      <c r="GT114" s="1"/>
      <c r="GU114" s="1"/>
      <c r="GV114" s="1"/>
      <c r="GW114" s="1"/>
      <c r="GX114" s="1"/>
      <c r="GY114" s="1"/>
      <c r="GZ114" s="1"/>
      <c r="HA114" s="1"/>
      <c r="HB114" s="1"/>
      <c r="HC114" s="1"/>
      <c r="HD114" s="1"/>
      <c r="HE114" s="1"/>
      <c r="HF114" s="1"/>
      <c r="HG114" s="1"/>
      <c r="HH114" s="1"/>
      <c r="HI114" s="1"/>
      <c r="HJ114" s="1"/>
      <c r="HK114" s="1"/>
      <c r="HL114" s="1"/>
      <c r="HM114" s="1"/>
      <c r="HN114" s="1"/>
      <c r="HO114" s="1"/>
      <c r="HP114" s="1"/>
      <c r="HQ114" s="1"/>
      <c r="HR114" s="1"/>
      <c r="HS114" s="1"/>
      <c r="HT114" s="1"/>
      <c r="HU114" s="1"/>
      <c r="HV114" s="1"/>
      <c r="HW114" s="1"/>
      <c r="HX114" s="1"/>
      <c r="HY114" s="1"/>
      <c r="HZ114" s="1"/>
      <c r="IA114" s="1"/>
      <c r="IB114" s="1"/>
      <c r="IC114" s="1"/>
      <c r="ID114" s="1"/>
      <c r="IE114" s="1"/>
      <c r="IF114" s="1"/>
      <c r="IG114" s="1"/>
      <c r="IH114" s="1"/>
      <c r="II114" s="1"/>
      <c r="IJ114" s="1"/>
      <c r="IK114" s="1"/>
      <c r="IL114" s="1"/>
      <c r="IM114" s="1"/>
      <c r="IN114" s="1"/>
      <c r="IO114" s="1"/>
      <c r="IP114" s="1"/>
      <c r="IQ114" s="1"/>
      <c r="IR114" s="1"/>
      <c r="IS114" s="1"/>
      <c r="IT114" s="1"/>
      <c r="IU114" s="1"/>
      <c r="IV114" s="1"/>
      <c r="IW114" s="1"/>
      <c r="IX114" s="1"/>
      <c r="IY114" s="1"/>
      <c r="IZ114" s="1"/>
      <c r="JA114" s="1"/>
      <c r="JB114" s="1"/>
      <c r="JC114" s="1"/>
      <c r="JD114" s="1"/>
    </row>
    <row r="115" spans="1:264" s="429" customFormat="1" x14ac:dyDescent="0.2">
      <c r="A115" s="429" t="s">
        <v>233</v>
      </c>
      <c r="B115" s="408"/>
      <c r="BH115" s="408"/>
      <c r="BI115" s="408"/>
      <c r="BJ115" s="408"/>
      <c r="BK115" s="408"/>
      <c r="BL115" s="393"/>
      <c r="BM115" s="393"/>
      <c r="BN115" s="393"/>
      <c r="BO115" s="408"/>
      <c r="BP115" s="393"/>
      <c r="BQ115" s="393"/>
      <c r="BR115" s="393"/>
      <c r="BT115" s="393"/>
      <c r="BU115" s="393"/>
      <c r="BV115" s="393"/>
      <c r="BX115" s="393"/>
      <c r="BY115" s="393"/>
      <c r="BZ115" s="393"/>
      <c r="CB115" s="456"/>
      <c r="CC115" s="456"/>
      <c r="CD115" s="456"/>
      <c r="CF115" s="394">
        <f>CF114/CB114-1</f>
        <v>-3.2814007996690986E-2</v>
      </c>
      <c r="CG115" s="394">
        <f>CG114/CC114-1</f>
        <v>-6.4455114215044351E-2</v>
      </c>
      <c r="CH115" s="394">
        <f>CH114/CD114-1</f>
        <v>-4.8208976355656241E-2</v>
      </c>
      <c r="CJ115" s="394">
        <f>CJ114/CF114-1</f>
        <v>-3.5495367070563111E-2</v>
      </c>
      <c r="CK115" s="394">
        <f>CK114/CG114-1</f>
        <v>4.6656298600311619E-3</v>
      </c>
      <c r="CL115" s="394">
        <f>CL114/CH114-1</f>
        <v>-1.6288583116400135E-2</v>
      </c>
      <c r="CN115" s="394">
        <f>CN114/CJ114-1</f>
        <v>-2.276086313922554E-2</v>
      </c>
      <c r="CO115" s="394">
        <f>CO114/CK114-1</f>
        <v>4.6439628482972228E-2</v>
      </c>
      <c r="CP115" s="394">
        <f>CP114/CL114-1</f>
        <v>1.1038862845909492E-2</v>
      </c>
      <c r="CR115" s="394">
        <f>CR114/CN114-1</f>
        <v>1.4821536600120977E-2</v>
      </c>
      <c r="CS115" s="394">
        <f>CS114/CO114-1</f>
        <v>-1.2573964497041401E-2</v>
      </c>
      <c r="CT115" s="394">
        <f>CT114/CP114-1</f>
        <v>9.7218067603943581E-4</v>
      </c>
      <c r="CV115" s="394">
        <f>CV114/CR114-1</f>
        <v>0.19031296572280176</v>
      </c>
      <c r="CW115" s="394">
        <f>CW114/CS114-1</f>
        <v>0.14441947565543067</v>
      </c>
      <c r="CX115" s="394">
        <f>CX114/CT114-1</f>
        <v>0.1571908853193873</v>
      </c>
      <c r="CZ115" s="394">
        <f>CZ114/CV114-1</f>
        <v>-4.3696006009765864E-2</v>
      </c>
      <c r="DA115" s="394">
        <f>DA114/CW114-1</f>
        <v>-3.0370467338656892E-2</v>
      </c>
      <c r="DB115" s="394">
        <f>DB114/CX114-1</f>
        <v>-2.8665504551617316E-2</v>
      </c>
      <c r="DD115" s="394">
        <f>DD114/CZ114-1</f>
        <v>1.1390416339355891E-2</v>
      </c>
      <c r="DE115" s="394">
        <f>DE114/DA114-1</f>
        <v>6.3048467665721697E-2</v>
      </c>
      <c r="DF115" s="394">
        <f>DF114/DB114-1</f>
        <v>3.6822864739116001E-2</v>
      </c>
      <c r="DH115" s="394">
        <f>DH114/DD114-1</f>
        <v>7.4563106796116552E-2</v>
      </c>
      <c r="DI115" s="394">
        <f>DI114/DE114-1</f>
        <v>7.7163552294543081E-2</v>
      </c>
      <c r="DJ115" s="394">
        <f>DJ114/DF114-1</f>
        <v>7.5875749135664528E-2</v>
      </c>
      <c r="DL115" s="394">
        <f>DL114/DH114-1</f>
        <v>8.0872978469957779E-2</v>
      </c>
      <c r="DM115" s="394">
        <f>DM114/DI114-1</f>
        <v>6.2891040597381265E-2</v>
      </c>
      <c r="DN115" s="394">
        <f>DN114/DJ114-1</f>
        <v>7.1785263928835441E-2</v>
      </c>
      <c r="DP115" s="394">
        <f>DP114/DL114-1</f>
        <v>4.3359240583112912E-2</v>
      </c>
      <c r="DQ115" s="394">
        <f>DQ114/DM114-1</f>
        <v>4.2143821904546019E-2</v>
      </c>
      <c r="DR115" s="394">
        <f>DR114/DN114-1</f>
        <v>4.2750089452138873E-2</v>
      </c>
      <c r="DT115" s="457"/>
      <c r="DU115" s="457"/>
      <c r="DV115" s="457"/>
      <c r="DW115" s="457"/>
      <c r="DX115" s="457"/>
      <c r="DY115" s="457"/>
      <c r="DZ115" s="457"/>
      <c r="EA115" s="457"/>
      <c r="EB115" s="457"/>
      <c r="EC115" s="457"/>
      <c r="ED115" s="457"/>
      <c r="EE115" s="457"/>
      <c r="EF115" s="457"/>
      <c r="EG115" s="457"/>
      <c r="EH115" s="457"/>
      <c r="EI115" s="457"/>
      <c r="EJ115" s="457"/>
      <c r="EK115" s="457"/>
      <c r="EL115" s="457"/>
      <c r="EM115" s="457"/>
      <c r="EN115" s="457"/>
      <c r="EO115" s="457"/>
      <c r="EP115" s="457"/>
      <c r="EQ115" s="457"/>
      <c r="ER115" s="457"/>
      <c r="ES115" s="457"/>
      <c r="ET115" s="457"/>
      <c r="EU115" s="457"/>
      <c r="EV115" s="457"/>
      <c r="EW115" s="457"/>
      <c r="EX115" s="457"/>
      <c r="EY115" s="457"/>
      <c r="EZ115" s="457"/>
      <c r="FA115" s="457"/>
      <c r="FB115" s="457"/>
      <c r="FC115" s="457"/>
      <c r="FD115" s="457"/>
      <c r="FE115" s="457"/>
      <c r="FF115" s="457"/>
      <c r="FG115" s="457"/>
      <c r="FH115" s="457"/>
      <c r="FI115" s="457"/>
      <c r="FJ115" s="457"/>
      <c r="FK115" s="457"/>
      <c r="FL115" s="457"/>
      <c r="FM115" s="457"/>
      <c r="FN115" s="457"/>
      <c r="FO115" s="457"/>
      <c r="FP115" s="457"/>
      <c r="FQ115" s="457"/>
      <c r="FR115" s="457"/>
      <c r="FS115" s="457"/>
      <c r="FT115" s="457"/>
      <c r="FU115" s="457"/>
      <c r="FV115" s="457"/>
      <c r="FW115" s="457"/>
      <c r="FX115" s="457"/>
      <c r="FY115" s="457"/>
      <c r="FZ115" s="457"/>
      <c r="GA115" s="457"/>
      <c r="GB115" s="457"/>
      <c r="GC115" s="457"/>
      <c r="GD115" s="457"/>
      <c r="GE115" s="457"/>
      <c r="GF115" s="457"/>
      <c r="GG115" s="457"/>
      <c r="GH115" s="457"/>
      <c r="GI115" s="457"/>
      <c r="GJ115" s="457"/>
      <c r="GK115" s="457"/>
      <c r="GL115" s="457"/>
      <c r="GM115" s="457"/>
      <c r="GN115" s="457"/>
      <c r="GO115" s="457"/>
      <c r="GP115" s="457"/>
      <c r="GQ115" s="457"/>
      <c r="GR115" s="457"/>
      <c r="GS115" s="457"/>
      <c r="GT115" s="457"/>
      <c r="GU115" s="457"/>
      <c r="GV115" s="457"/>
      <c r="GW115" s="457"/>
      <c r="GX115" s="457"/>
      <c r="GY115" s="457"/>
      <c r="GZ115" s="457"/>
      <c r="HA115" s="457"/>
      <c r="HB115" s="457"/>
      <c r="HC115" s="457"/>
      <c r="HD115" s="457"/>
      <c r="HE115" s="457"/>
      <c r="HF115" s="457"/>
      <c r="HG115" s="457"/>
      <c r="HH115" s="457"/>
      <c r="HI115" s="457"/>
      <c r="HJ115" s="457"/>
      <c r="HK115" s="457"/>
      <c r="HL115" s="457"/>
      <c r="HM115" s="457"/>
      <c r="HN115" s="457"/>
      <c r="HO115" s="457"/>
      <c r="HP115" s="457"/>
      <c r="HQ115" s="457"/>
      <c r="HR115" s="457"/>
      <c r="HS115" s="457"/>
      <c r="HT115" s="457"/>
      <c r="HU115" s="457"/>
      <c r="HV115" s="457"/>
      <c r="HW115" s="457"/>
      <c r="HX115" s="457"/>
      <c r="HY115" s="457"/>
      <c r="HZ115" s="457"/>
      <c r="IA115" s="457"/>
      <c r="IB115" s="457"/>
      <c r="IC115" s="457"/>
      <c r="ID115" s="457"/>
      <c r="IE115" s="457"/>
      <c r="IF115" s="457"/>
      <c r="IG115" s="457"/>
      <c r="IH115" s="457"/>
      <c r="II115" s="457"/>
      <c r="IJ115" s="457"/>
      <c r="IK115" s="457"/>
      <c r="IL115" s="457"/>
      <c r="IM115" s="457"/>
      <c r="IN115" s="457"/>
      <c r="IO115" s="457"/>
      <c r="IP115" s="457"/>
      <c r="IQ115" s="457"/>
      <c r="IR115" s="457"/>
      <c r="IS115" s="457"/>
      <c r="IT115" s="457"/>
      <c r="IU115" s="457"/>
      <c r="IV115" s="457"/>
      <c r="IW115" s="457"/>
      <c r="IX115" s="457"/>
      <c r="IY115" s="457"/>
      <c r="IZ115" s="457"/>
      <c r="JA115" s="457"/>
      <c r="JB115" s="457"/>
      <c r="JC115" s="457"/>
      <c r="JD115" s="457"/>
    </row>
    <row r="116" spans="1:264" s="347" customFormat="1" x14ac:dyDescent="0.2">
      <c r="A116" s="435"/>
      <c r="B116" s="348"/>
      <c r="BH116" s="348"/>
      <c r="BI116" s="348"/>
      <c r="BJ116" s="348"/>
      <c r="BK116" s="348"/>
      <c r="BL116" s="348"/>
      <c r="BM116" s="348"/>
      <c r="BN116" s="348"/>
      <c r="BO116" s="348"/>
      <c r="BP116" s="348"/>
      <c r="BT116" s="348"/>
      <c r="BX116" s="348"/>
      <c r="CB116" s="348"/>
      <c r="CF116" s="348"/>
      <c r="CJ116" s="348"/>
      <c r="CN116" s="348"/>
      <c r="CR116" s="348"/>
      <c r="CV116" s="348"/>
      <c r="CZ116" s="348"/>
      <c r="DD116" s="348"/>
      <c r="DH116" s="348"/>
      <c r="DL116" s="348"/>
      <c r="DP116" s="348"/>
      <c r="DT116" s="1"/>
      <c r="DU116" s="1"/>
      <c r="DV116" s="1"/>
      <c r="DW116" s="1"/>
      <c r="DX116" s="1"/>
      <c r="DY116" s="1"/>
      <c r="DZ116" s="1"/>
      <c r="EA116" s="1"/>
      <c r="EB116" s="1"/>
      <c r="EC116" s="1"/>
      <c r="ED116" s="1"/>
      <c r="EE116" s="1"/>
      <c r="EF116" s="1"/>
      <c r="EG116" s="1"/>
      <c r="EH116" s="1"/>
      <c r="EI116" s="1"/>
      <c r="EJ116" s="1"/>
      <c r="EK116" s="1"/>
      <c r="EL116" s="1"/>
      <c r="EM116" s="1"/>
      <c r="EN116" s="1"/>
      <c r="EO116" s="1"/>
      <c r="EP116" s="1"/>
      <c r="EQ116" s="1"/>
      <c r="ER116" s="1"/>
      <c r="ES116" s="1"/>
      <c r="ET116" s="1"/>
      <c r="EU116" s="1"/>
      <c r="EV116" s="1"/>
      <c r="EW116" s="1"/>
      <c r="EX116" s="1"/>
      <c r="EY116" s="1"/>
      <c r="EZ116" s="1"/>
      <c r="FA116" s="1"/>
      <c r="FB116" s="1"/>
      <c r="FC116" s="1"/>
      <c r="FD116" s="1"/>
      <c r="FE116" s="1"/>
      <c r="FF116" s="1"/>
      <c r="FG116" s="1"/>
      <c r="FH116" s="1"/>
      <c r="FI116" s="1"/>
      <c r="FJ116" s="1"/>
      <c r="FK116" s="1"/>
      <c r="FL116" s="1"/>
      <c r="FM116" s="1"/>
      <c r="FN116" s="1"/>
      <c r="FO116" s="1"/>
      <c r="FP116" s="1"/>
      <c r="FQ116" s="1"/>
      <c r="FR116" s="1"/>
      <c r="FS116" s="1"/>
      <c r="FT116" s="1"/>
      <c r="FU116" s="1"/>
      <c r="FV116" s="1"/>
      <c r="FW116" s="1"/>
      <c r="FX116" s="1"/>
      <c r="FY116" s="1"/>
      <c r="FZ116" s="1"/>
      <c r="GA116" s="1"/>
      <c r="GB116" s="1"/>
      <c r="GC116" s="1"/>
      <c r="GD116" s="1"/>
      <c r="GE116" s="1"/>
      <c r="GF116" s="1"/>
      <c r="GG116" s="1"/>
      <c r="GH116" s="1"/>
      <c r="GI116" s="1"/>
      <c r="GJ116" s="1"/>
      <c r="GK116" s="1"/>
      <c r="GL116" s="1"/>
      <c r="GM116" s="1"/>
      <c r="GN116" s="1"/>
      <c r="GO116" s="1"/>
      <c r="GP116" s="1"/>
      <c r="GQ116" s="1"/>
      <c r="GR116" s="1"/>
      <c r="GS116" s="1"/>
      <c r="GT116" s="1"/>
      <c r="GU116" s="1"/>
      <c r="GV116" s="1"/>
      <c r="GW116" s="1"/>
      <c r="GX116" s="1"/>
      <c r="GY116" s="1"/>
      <c r="GZ116" s="1"/>
      <c r="HA116" s="1"/>
      <c r="HB116" s="1"/>
      <c r="HC116" s="1"/>
      <c r="HD116" s="1"/>
      <c r="HE116" s="1"/>
      <c r="HF116" s="1"/>
      <c r="HG116" s="1"/>
      <c r="HH116" s="1"/>
      <c r="HI116" s="1"/>
      <c r="HJ116" s="1"/>
      <c r="HK116" s="1"/>
      <c r="HL116" s="1"/>
      <c r="HM116" s="1"/>
      <c r="HN116" s="1"/>
      <c r="HO116" s="1"/>
      <c r="HP116" s="1"/>
      <c r="HQ116" s="1"/>
      <c r="HR116" s="1"/>
      <c r="HS116" s="1"/>
      <c r="HT116" s="1"/>
      <c r="HU116" s="1"/>
      <c r="HV116" s="1"/>
      <c r="HW116" s="1"/>
      <c r="HX116" s="1"/>
      <c r="HY116" s="1"/>
      <c r="HZ116" s="1"/>
      <c r="IA116" s="1"/>
      <c r="IB116" s="1"/>
      <c r="IC116" s="1"/>
      <c r="ID116" s="1"/>
      <c r="IE116" s="1"/>
      <c r="IF116" s="1"/>
      <c r="IG116" s="1"/>
      <c r="IH116" s="1"/>
      <c r="II116" s="1"/>
      <c r="IJ116" s="1"/>
      <c r="IK116" s="1"/>
      <c r="IL116" s="1"/>
      <c r="IM116" s="1"/>
      <c r="IN116" s="1"/>
      <c r="IO116" s="1"/>
      <c r="IP116" s="1"/>
      <c r="IQ116" s="1"/>
      <c r="IR116" s="1"/>
      <c r="IS116" s="1"/>
      <c r="IT116" s="1"/>
      <c r="IU116" s="1"/>
      <c r="IV116" s="1"/>
      <c r="IW116" s="1"/>
      <c r="IX116" s="1"/>
      <c r="IY116" s="1"/>
      <c r="IZ116" s="1"/>
      <c r="JA116" s="1"/>
      <c r="JB116" s="1"/>
      <c r="JC116" s="1"/>
      <c r="JD116" s="1"/>
    </row>
    <row r="117" spans="1:264" s="386" customFormat="1" ht="12" customHeight="1" x14ac:dyDescent="0.2">
      <c r="A117" s="383" t="s">
        <v>268</v>
      </c>
      <c r="B117" s="384"/>
      <c r="C117" s="385"/>
      <c r="D117" s="385"/>
      <c r="E117" s="385"/>
      <c r="F117" s="385"/>
      <c r="G117" s="385"/>
      <c r="H117" s="385"/>
      <c r="I117" s="385"/>
      <c r="J117" s="385"/>
      <c r="K117" s="385"/>
      <c r="L117" s="385"/>
      <c r="M117" s="385"/>
      <c r="N117" s="385"/>
      <c r="O117" s="385"/>
      <c r="P117" s="385"/>
      <c r="Q117" s="385"/>
      <c r="R117" s="385"/>
      <c r="S117" s="385"/>
      <c r="T117" s="385"/>
      <c r="U117" s="385"/>
      <c r="V117" s="385"/>
      <c r="W117" s="385"/>
      <c r="X117" s="385"/>
      <c r="Y117" s="385"/>
      <c r="Z117" s="385"/>
      <c r="AA117" s="385"/>
      <c r="AB117" s="385"/>
      <c r="AC117" s="385"/>
      <c r="AD117" s="385"/>
      <c r="AE117" s="385"/>
      <c r="AF117" s="385"/>
      <c r="AG117" s="385"/>
      <c r="AH117" s="385"/>
      <c r="AI117" s="385"/>
      <c r="AJ117" s="385"/>
      <c r="AK117" s="385"/>
      <c r="AL117" s="385"/>
      <c r="AM117" s="385"/>
      <c r="AN117" s="385"/>
      <c r="AO117" s="385"/>
      <c r="AP117" s="385"/>
      <c r="AQ117" s="385"/>
      <c r="AR117" s="385"/>
      <c r="AS117" s="385"/>
      <c r="AT117" s="385"/>
      <c r="AU117" s="385"/>
      <c r="AV117" s="385"/>
      <c r="AW117" s="385"/>
      <c r="AX117" s="385"/>
      <c r="AY117" s="385"/>
      <c r="AZ117" s="385"/>
      <c r="BA117" s="385"/>
      <c r="BB117" s="385"/>
      <c r="BC117" s="385"/>
      <c r="BD117" s="385"/>
      <c r="BE117" s="385"/>
      <c r="BF117" s="385"/>
      <c r="BG117" s="385"/>
      <c r="BH117" s="384"/>
      <c r="BI117" s="384"/>
      <c r="BJ117" s="384"/>
      <c r="BK117" s="384"/>
      <c r="BL117" s="384"/>
      <c r="BM117" s="384"/>
      <c r="BN117" s="384"/>
      <c r="BO117" s="384"/>
      <c r="BP117" s="384"/>
      <c r="BQ117" s="385"/>
      <c r="BR117" s="385"/>
      <c r="BS117" s="385"/>
      <c r="BT117" s="384"/>
      <c r="BU117" s="385"/>
      <c r="BV117" s="385"/>
      <c r="BW117" s="385"/>
      <c r="BX117" s="384"/>
      <c r="BY117" s="385"/>
      <c r="BZ117" s="385"/>
      <c r="CA117" s="385"/>
      <c r="CB117" s="384"/>
      <c r="CC117" s="385"/>
      <c r="CD117" s="385"/>
      <c r="CE117" s="385"/>
      <c r="CF117" s="384"/>
      <c r="CG117" s="385"/>
      <c r="CH117" s="385"/>
      <c r="CI117" s="385"/>
      <c r="CJ117" s="384"/>
      <c r="CK117" s="385"/>
      <c r="CL117" s="385"/>
      <c r="CM117" s="385"/>
      <c r="CN117" s="384"/>
      <c r="CO117" s="385"/>
      <c r="CP117" s="385"/>
      <c r="CQ117" s="385"/>
      <c r="CR117" s="384"/>
      <c r="CS117" s="385"/>
      <c r="CT117" s="385"/>
      <c r="CU117" s="385"/>
      <c r="CV117" s="384"/>
      <c r="CW117" s="385"/>
      <c r="CX117" s="385"/>
      <c r="CY117" s="385"/>
      <c r="CZ117" s="384"/>
      <c r="DA117" s="385"/>
      <c r="DB117" s="385"/>
      <c r="DC117" s="385"/>
      <c r="DD117" s="384"/>
      <c r="DE117" s="385"/>
      <c r="DF117" s="385"/>
      <c r="DG117" s="385"/>
      <c r="DH117" s="384"/>
      <c r="DI117" s="385"/>
      <c r="DJ117" s="385"/>
      <c r="DK117" s="385"/>
      <c r="DL117" s="384"/>
      <c r="DM117" s="385"/>
      <c r="DN117" s="385"/>
      <c r="DO117" s="385"/>
      <c r="DP117" s="384"/>
      <c r="DQ117" s="385"/>
      <c r="DR117" s="385"/>
      <c r="DS117" s="385"/>
      <c r="DT117" s="1"/>
      <c r="DU117" s="1"/>
      <c r="DV117" s="1"/>
      <c r="DW117" s="1"/>
      <c r="DX117" s="1"/>
      <c r="DY117" s="1"/>
      <c r="DZ117" s="1"/>
      <c r="EA117" s="1"/>
      <c r="EB117" s="1"/>
      <c r="EC117" s="1"/>
      <c r="ED117" s="1"/>
      <c r="EE117" s="1"/>
      <c r="EF117" s="1"/>
      <c r="EG117" s="1"/>
      <c r="EH117" s="1"/>
      <c r="EI117" s="1"/>
      <c r="EJ117" s="1"/>
      <c r="EK117" s="1"/>
      <c r="EL117" s="1"/>
      <c r="EM117" s="1"/>
      <c r="EN117" s="1"/>
      <c r="EO117" s="1"/>
      <c r="EP117" s="1"/>
      <c r="EQ117" s="1"/>
      <c r="ER117" s="1"/>
      <c r="ES117" s="1"/>
      <c r="ET117" s="1"/>
      <c r="EU117" s="1"/>
      <c r="EV117" s="1"/>
      <c r="EW117" s="1"/>
      <c r="EX117" s="1"/>
      <c r="EY117" s="1"/>
      <c r="EZ117" s="1"/>
      <c r="FA117" s="1"/>
      <c r="FB117" s="1"/>
      <c r="FC117" s="1"/>
      <c r="FD117" s="1"/>
      <c r="FE117" s="1"/>
      <c r="FF117" s="1"/>
      <c r="FG117" s="1"/>
      <c r="FH117" s="1"/>
      <c r="FI117" s="1"/>
      <c r="FJ117" s="1"/>
      <c r="FK117" s="1"/>
      <c r="FL117" s="1"/>
      <c r="FM117" s="1"/>
      <c r="FN117" s="1"/>
      <c r="FO117" s="1"/>
      <c r="FP117" s="1"/>
      <c r="FQ117" s="1"/>
      <c r="FR117" s="1"/>
      <c r="FS117" s="1"/>
      <c r="FT117" s="1"/>
      <c r="FU117" s="1"/>
      <c r="FV117" s="1"/>
      <c r="FW117" s="1"/>
      <c r="FX117" s="1"/>
      <c r="FY117" s="1"/>
      <c r="FZ117" s="1"/>
      <c r="GA117" s="1"/>
      <c r="GB117" s="1"/>
      <c r="GC117" s="1"/>
      <c r="GD117" s="1"/>
      <c r="GE117" s="1"/>
      <c r="GF117" s="1"/>
      <c r="GG117" s="1"/>
      <c r="GH117" s="1"/>
      <c r="GI117" s="1"/>
      <c r="GJ117" s="1"/>
      <c r="GK117" s="1"/>
      <c r="GL117" s="1"/>
      <c r="GM117" s="1"/>
      <c r="GN117" s="1"/>
      <c r="GO117" s="1"/>
      <c r="GP117" s="1"/>
      <c r="GQ117" s="1"/>
      <c r="GR117" s="1"/>
      <c r="GS117" s="1"/>
      <c r="GT117" s="1"/>
      <c r="GU117" s="1"/>
      <c r="GV117" s="1"/>
      <c r="GW117" s="1"/>
      <c r="GX117" s="1"/>
      <c r="GY117" s="1"/>
      <c r="GZ117" s="1"/>
      <c r="HA117" s="1"/>
      <c r="HB117" s="1"/>
      <c r="HC117" s="1"/>
      <c r="HD117" s="1"/>
      <c r="HE117" s="1"/>
      <c r="HF117" s="1"/>
      <c r="HG117" s="1"/>
      <c r="HH117" s="1"/>
      <c r="HI117" s="1"/>
      <c r="HJ117" s="1"/>
      <c r="HK117" s="1"/>
      <c r="HL117" s="1"/>
      <c r="HM117" s="1"/>
      <c r="HN117" s="1"/>
      <c r="HO117" s="1"/>
      <c r="HP117" s="1"/>
      <c r="HQ117" s="1"/>
      <c r="HR117" s="1"/>
      <c r="HS117" s="1"/>
      <c r="HT117" s="1"/>
      <c r="HU117" s="1"/>
      <c r="HV117" s="1"/>
      <c r="HW117" s="1"/>
      <c r="HX117" s="1"/>
      <c r="HY117" s="1"/>
      <c r="HZ117" s="1"/>
      <c r="IA117" s="1"/>
      <c r="IB117" s="1"/>
      <c r="IC117" s="1"/>
      <c r="ID117" s="1"/>
      <c r="IE117" s="1"/>
      <c r="IF117" s="1"/>
      <c r="IG117" s="1"/>
      <c r="IH117" s="1"/>
      <c r="II117" s="1"/>
      <c r="IJ117" s="1"/>
      <c r="IK117" s="1"/>
      <c r="IL117" s="1"/>
      <c r="IM117" s="1"/>
      <c r="IN117" s="1"/>
      <c r="IO117" s="1"/>
      <c r="IP117" s="1"/>
      <c r="IQ117" s="1"/>
      <c r="IR117" s="1"/>
      <c r="IS117" s="1"/>
      <c r="IT117" s="1"/>
      <c r="IU117" s="1"/>
      <c r="IV117" s="1"/>
      <c r="IW117" s="1"/>
      <c r="IX117" s="1"/>
      <c r="IY117" s="1"/>
      <c r="IZ117" s="1"/>
      <c r="JA117" s="1"/>
      <c r="JB117" s="1"/>
      <c r="JC117" s="1"/>
      <c r="JD117" s="1"/>
    </row>
    <row r="118" spans="1:264" s="347" customFormat="1" x14ac:dyDescent="0.2">
      <c r="B118" s="348"/>
      <c r="BH118" s="348"/>
      <c r="BI118" s="348"/>
      <c r="BJ118" s="348"/>
      <c r="BK118" s="348"/>
      <c r="BL118" s="348"/>
      <c r="BM118" s="348"/>
      <c r="BN118" s="348"/>
      <c r="BO118" s="348"/>
      <c r="BP118" s="348"/>
      <c r="BT118" s="348"/>
      <c r="BX118" s="348"/>
      <c r="CB118" s="348"/>
      <c r="CF118" s="348"/>
      <c r="CJ118" s="348"/>
      <c r="CN118" s="348"/>
      <c r="CR118" s="348"/>
      <c r="CV118" s="348"/>
      <c r="CZ118" s="348"/>
      <c r="DD118" s="348"/>
      <c r="DH118" s="348"/>
      <c r="DL118" s="348"/>
      <c r="DP118" s="348"/>
      <c r="DT118" s="1"/>
      <c r="DU118" s="1"/>
      <c r="DV118" s="1"/>
      <c r="DW118" s="1"/>
      <c r="DX118" s="1"/>
      <c r="DY118" s="1"/>
      <c r="DZ118" s="1"/>
      <c r="EA118" s="1"/>
      <c r="EB118" s="1"/>
      <c r="EC118" s="1"/>
      <c r="ED118" s="1"/>
      <c r="EE118" s="1"/>
      <c r="EF118" s="1"/>
      <c r="EG118" s="1"/>
      <c r="EH118" s="1"/>
      <c r="EI118" s="1"/>
      <c r="EJ118" s="1"/>
      <c r="EK118" s="1"/>
      <c r="EL118" s="1"/>
      <c r="EM118" s="1"/>
      <c r="EN118" s="1"/>
      <c r="EO118" s="1"/>
      <c r="EP118" s="1"/>
      <c r="EQ118" s="1"/>
      <c r="ER118" s="1"/>
      <c r="ES118" s="1"/>
      <c r="ET118" s="1"/>
      <c r="EU118" s="1"/>
      <c r="EV118" s="1"/>
      <c r="EW118" s="1"/>
      <c r="EX118" s="1"/>
      <c r="EY118" s="1"/>
      <c r="EZ118" s="1"/>
      <c r="FA118" s="1"/>
      <c r="FB118" s="1"/>
      <c r="FC118" s="1"/>
      <c r="FD118" s="1"/>
      <c r="FE118" s="1"/>
      <c r="FF118" s="1"/>
      <c r="FG118" s="1"/>
      <c r="FH118" s="1"/>
      <c r="FI118" s="1"/>
      <c r="FJ118" s="1"/>
      <c r="FK118" s="1"/>
      <c r="FL118" s="1"/>
      <c r="FM118" s="1"/>
      <c r="FN118" s="1"/>
      <c r="FO118" s="1"/>
      <c r="FP118" s="1"/>
      <c r="FQ118" s="1"/>
      <c r="FR118" s="1"/>
      <c r="FS118" s="1"/>
      <c r="FT118" s="1"/>
      <c r="FU118" s="1"/>
      <c r="FV118" s="1"/>
      <c r="FW118" s="1"/>
      <c r="FX118" s="1"/>
      <c r="FY118" s="1"/>
      <c r="FZ118" s="1"/>
      <c r="GA118" s="1"/>
      <c r="GB118" s="1"/>
      <c r="GC118" s="1"/>
      <c r="GD118" s="1"/>
      <c r="GE118" s="1"/>
      <c r="GF118" s="1"/>
      <c r="GG118" s="1"/>
      <c r="GH118" s="1"/>
      <c r="GI118" s="1"/>
      <c r="GJ118" s="1"/>
      <c r="GK118" s="1"/>
      <c r="GL118" s="1"/>
      <c r="GM118" s="1"/>
      <c r="GN118" s="1"/>
      <c r="GO118" s="1"/>
      <c r="GP118" s="1"/>
      <c r="GQ118" s="1"/>
      <c r="GR118" s="1"/>
      <c r="GS118" s="1"/>
      <c r="GT118" s="1"/>
      <c r="GU118" s="1"/>
      <c r="GV118" s="1"/>
      <c r="GW118" s="1"/>
      <c r="GX118" s="1"/>
      <c r="GY118" s="1"/>
      <c r="GZ118" s="1"/>
      <c r="HA118" s="1"/>
      <c r="HB118" s="1"/>
      <c r="HC118" s="1"/>
      <c r="HD118" s="1"/>
      <c r="HE118" s="1"/>
      <c r="HF118" s="1"/>
      <c r="HG118" s="1"/>
      <c r="HH118" s="1"/>
      <c r="HI118" s="1"/>
      <c r="HJ118" s="1"/>
      <c r="HK118" s="1"/>
      <c r="HL118" s="1"/>
      <c r="HM118" s="1"/>
      <c r="HN118" s="1"/>
      <c r="HO118" s="1"/>
      <c r="HP118" s="1"/>
      <c r="HQ118" s="1"/>
      <c r="HR118" s="1"/>
      <c r="HS118" s="1"/>
      <c r="HT118" s="1"/>
      <c r="HU118" s="1"/>
      <c r="HV118" s="1"/>
      <c r="HW118" s="1"/>
      <c r="HX118" s="1"/>
      <c r="HY118" s="1"/>
      <c r="HZ118" s="1"/>
      <c r="IA118" s="1"/>
      <c r="IB118" s="1"/>
      <c r="IC118" s="1"/>
      <c r="ID118" s="1"/>
      <c r="IE118" s="1"/>
      <c r="IF118" s="1"/>
      <c r="IG118" s="1"/>
      <c r="IH118" s="1"/>
      <c r="II118" s="1"/>
      <c r="IJ118" s="1"/>
      <c r="IK118" s="1"/>
      <c r="IL118" s="1"/>
      <c r="IM118" s="1"/>
      <c r="IN118" s="1"/>
      <c r="IO118" s="1"/>
      <c r="IP118" s="1"/>
      <c r="IQ118" s="1"/>
      <c r="IR118" s="1"/>
      <c r="IS118" s="1"/>
      <c r="IT118" s="1"/>
      <c r="IU118" s="1"/>
      <c r="IV118" s="1"/>
      <c r="IW118" s="1"/>
      <c r="IX118" s="1"/>
      <c r="IY118" s="1"/>
      <c r="IZ118" s="1"/>
      <c r="JA118" s="1"/>
      <c r="JB118" s="1"/>
      <c r="JC118" s="1"/>
      <c r="JD118" s="1"/>
    </row>
    <row r="119" spans="1:264" s="460" customFormat="1" x14ac:dyDescent="0.2">
      <c r="A119" s="458" t="s">
        <v>269</v>
      </c>
      <c r="B119" s="459"/>
      <c r="C119" s="458"/>
      <c r="D119" s="458"/>
      <c r="E119" s="458"/>
      <c r="F119" s="458"/>
      <c r="G119" s="458"/>
      <c r="H119" s="458"/>
      <c r="I119" s="458"/>
      <c r="J119" s="458"/>
      <c r="K119" s="458"/>
      <c r="L119" s="458"/>
      <c r="M119" s="458"/>
      <c r="N119" s="458"/>
      <c r="O119" s="458"/>
      <c r="P119" s="458"/>
      <c r="Q119" s="458"/>
      <c r="R119" s="458"/>
      <c r="S119" s="458"/>
      <c r="T119" s="458"/>
      <c r="U119" s="458"/>
      <c r="V119" s="458"/>
      <c r="W119" s="458"/>
      <c r="X119" s="458"/>
      <c r="Y119" s="458"/>
      <c r="Z119" s="458"/>
      <c r="AA119" s="458"/>
      <c r="AB119" s="458"/>
      <c r="AC119" s="458"/>
      <c r="AD119" s="458"/>
      <c r="AE119" s="458"/>
      <c r="AF119" s="458"/>
      <c r="AG119" s="458"/>
      <c r="AH119" s="458"/>
      <c r="AI119" s="458"/>
      <c r="AJ119" s="458"/>
      <c r="AK119" s="458"/>
      <c r="AL119" s="458"/>
      <c r="AM119" s="458"/>
      <c r="AN119" s="458"/>
      <c r="AO119" s="458"/>
      <c r="AP119" s="458"/>
      <c r="AQ119" s="458"/>
      <c r="AR119" s="458"/>
      <c r="AS119" s="458"/>
      <c r="AT119" s="458"/>
      <c r="AU119" s="458"/>
      <c r="AV119" s="458"/>
      <c r="AW119" s="458"/>
      <c r="AX119" s="458"/>
      <c r="AY119" s="458"/>
      <c r="AZ119" s="458"/>
      <c r="BA119" s="458"/>
      <c r="BB119" s="458"/>
      <c r="BC119" s="458"/>
      <c r="BD119" s="458"/>
      <c r="BE119" s="458"/>
      <c r="BF119" s="458"/>
      <c r="BG119" s="458"/>
      <c r="BH119" s="459"/>
      <c r="BI119" s="459"/>
      <c r="BJ119" s="459"/>
      <c r="BK119" s="459"/>
      <c r="BL119" s="459"/>
      <c r="BM119" s="459"/>
      <c r="BN119" s="459"/>
      <c r="BO119" s="459"/>
      <c r="BP119" s="459"/>
      <c r="BQ119" s="458"/>
      <c r="BR119" s="458"/>
      <c r="BS119" s="458"/>
      <c r="BT119" s="459"/>
      <c r="BU119" s="458"/>
      <c r="BV119" s="458"/>
      <c r="BW119" s="458"/>
      <c r="BX119" s="459"/>
      <c r="BY119" s="458"/>
      <c r="BZ119" s="458"/>
      <c r="CA119" s="458"/>
      <c r="CB119" s="459"/>
      <c r="CC119" s="458"/>
      <c r="CD119" s="458"/>
      <c r="CE119" s="458"/>
      <c r="CF119" s="459"/>
      <c r="CG119" s="458"/>
      <c r="CH119" s="458"/>
      <c r="CI119" s="458"/>
      <c r="CJ119" s="459"/>
      <c r="CK119" s="458"/>
      <c r="CL119" s="458"/>
      <c r="CM119" s="458"/>
      <c r="CN119" s="459"/>
      <c r="CO119" s="458"/>
      <c r="CP119" s="458"/>
      <c r="CQ119" s="458"/>
      <c r="CR119" s="459"/>
      <c r="CS119" s="458"/>
      <c r="CT119" s="458"/>
      <c r="CU119" s="458"/>
      <c r="CV119" s="459"/>
      <c r="CW119" s="458"/>
      <c r="CX119" s="458"/>
      <c r="CY119" s="458"/>
      <c r="CZ119" s="459"/>
      <c r="DA119" s="458"/>
      <c r="DB119" s="458"/>
      <c r="DC119" s="458"/>
      <c r="DD119" s="459"/>
      <c r="DE119" s="458"/>
      <c r="DF119" s="458"/>
      <c r="DG119" s="458"/>
      <c r="DH119" s="459"/>
      <c r="DI119" s="458"/>
      <c r="DJ119" s="458"/>
      <c r="DK119" s="458"/>
      <c r="DL119" s="459"/>
      <c r="DM119" s="458"/>
      <c r="DN119" s="458"/>
      <c r="DO119" s="458"/>
      <c r="DP119" s="459"/>
      <c r="DQ119" s="458"/>
      <c r="DR119" s="458"/>
      <c r="DS119" s="458"/>
      <c r="DT119" s="1"/>
      <c r="DU119" s="1"/>
      <c r="DV119" s="1"/>
      <c r="DW119" s="1"/>
      <c r="DX119" s="1"/>
      <c r="DY119" s="1"/>
      <c r="DZ119" s="1"/>
      <c r="EA119" s="1"/>
      <c r="EB119" s="1"/>
      <c r="EC119" s="1"/>
      <c r="ED119" s="1"/>
      <c r="EE119" s="1"/>
      <c r="EF119" s="1"/>
      <c r="EG119" s="1"/>
      <c r="EH119" s="1"/>
      <c r="EI119" s="1"/>
      <c r="EJ119" s="1"/>
      <c r="EK119" s="1"/>
      <c r="EL119" s="1"/>
      <c r="EM119" s="1"/>
      <c r="EN119" s="1"/>
      <c r="EO119" s="1"/>
      <c r="EP119" s="1"/>
      <c r="EQ119" s="1"/>
      <c r="ER119" s="1"/>
      <c r="ES119" s="1"/>
      <c r="ET119" s="1"/>
      <c r="EU119" s="1"/>
      <c r="EV119" s="1"/>
      <c r="EW119" s="1"/>
      <c r="EX119" s="1"/>
      <c r="EY119" s="1"/>
      <c r="EZ119" s="1"/>
      <c r="FA119" s="1"/>
      <c r="FB119" s="1"/>
      <c r="FC119" s="1"/>
      <c r="FD119" s="1"/>
      <c r="FE119" s="1"/>
      <c r="FF119" s="1"/>
      <c r="FG119" s="1"/>
      <c r="FH119" s="1"/>
      <c r="FI119" s="1"/>
      <c r="FJ119" s="1"/>
      <c r="FK119" s="1"/>
      <c r="FL119" s="1"/>
      <c r="FM119" s="1"/>
      <c r="FN119" s="1"/>
      <c r="FO119" s="1"/>
      <c r="FP119" s="1"/>
      <c r="FQ119" s="1"/>
      <c r="FR119" s="1"/>
      <c r="FS119" s="1"/>
      <c r="FT119" s="1"/>
      <c r="FU119" s="1"/>
      <c r="FV119" s="1"/>
      <c r="FW119" s="1"/>
      <c r="FX119" s="1"/>
      <c r="FY119" s="1"/>
      <c r="FZ119" s="1"/>
      <c r="GA119" s="1"/>
      <c r="GB119" s="1"/>
      <c r="GC119" s="1"/>
      <c r="GD119" s="1"/>
      <c r="GE119" s="1"/>
      <c r="GF119" s="1"/>
      <c r="GG119" s="1"/>
      <c r="GH119" s="1"/>
      <c r="GI119" s="1"/>
      <c r="GJ119" s="1"/>
      <c r="GK119" s="1"/>
      <c r="GL119" s="1"/>
      <c r="GM119" s="1"/>
      <c r="GN119" s="1"/>
      <c r="GO119" s="1"/>
      <c r="GP119" s="1"/>
      <c r="GQ119" s="1"/>
      <c r="GR119" s="1"/>
      <c r="GS119" s="1"/>
      <c r="GT119" s="1"/>
      <c r="GU119" s="1"/>
      <c r="GV119" s="1"/>
      <c r="GW119" s="1"/>
      <c r="GX119" s="1"/>
      <c r="GY119" s="1"/>
      <c r="GZ119" s="1"/>
      <c r="HA119" s="1"/>
      <c r="HB119" s="1"/>
      <c r="HC119" s="1"/>
      <c r="HD119" s="1"/>
      <c r="HE119" s="1"/>
      <c r="HF119" s="1"/>
      <c r="HG119" s="1"/>
      <c r="HH119" s="1"/>
      <c r="HI119" s="1"/>
      <c r="HJ119" s="1"/>
      <c r="HK119" s="1"/>
      <c r="HL119" s="1"/>
      <c r="HM119" s="1"/>
      <c r="HN119" s="1"/>
      <c r="HO119" s="1"/>
      <c r="HP119" s="1"/>
      <c r="HQ119" s="1"/>
      <c r="HR119" s="1"/>
      <c r="HS119" s="1"/>
      <c r="HT119" s="1"/>
      <c r="HU119" s="1"/>
      <c r="HV119" s="1"/>
      <c r="HW119" s="1"/>
      <c r="HX119" s="1"/>
      <c r="HY119" s="1"/>
      <c r="HZ119" s="1"/>
      <c r="IA119" s="1"/>
      <c r="IB119" s="1"/>
      <c r="IC119" s="1"/>
      <c r="ID119" s="1"/>
      <c r="IE119" s="1"/>
      <c r="IF119" s="1"/>
      <c r="IG119" s="1"/>
      <c r="IH119" s="1"/>
      <c r="II119" s="1"/>
      <c r="IJ119" s="1"/>
      <c r="IK119" s="1"/>
      <c r="IL119" s="1"/>
      <c r="IM119" s="1"/>
      <c r="IN119" s="1"/>
      <c r="IO119" s="1"/>
      <c r="IP119" s="1"/>
      <c r="IQ119" s="1"/>
      <c r="IR119" s="1"/>
      <c r="IS119" s="1"/>
      <c r="IT119" s="1"/>
      <c r="IU119" s="1"/>
      <c r="IV119" s="1"/>
      <c r="IW119" s="1"/>
      <c r="IX119" s="1"/>
      <c r="IY119" s="1"/>
      <c r="IZ119" s="1"/>
      <c r="JA119" s="1"/>
      <c r="JB119" s="1"/>
      <c r="JC119" s="1"/>
      <c r="JD119" s="1"/>
    </row>
    <row r="120" spans="1:264" s="347" customFormat="1" x14ac:dyDescent="0.2">
      <c r="B120" s="348"/>
      <c r="BH120" s="348"/>
      <c r="BI120" s="348"/>
      <c r="BJ120" s="348"/>
      <c r="BK120" s="348"/>
      <c r="BL120" s="348"/>
      <c r="BM120" s="348"/>
      <c r="BN120" s="348"/>
      <c r="BO120" s="348"/>
      <c r="BP120" s="348"/>
      <c r="BT120" s="348"/>
      <c r="BX120" s="348"/>
      <c r="CB120" s="348"/>
      <c r="CF120" s="348"/>
      <c r="CJ120" s="348"/>
      <c r="CN120" s="348"/>
      <c r="CR120" s="348"/>
      <c r="CV120" s="348"/>
      <c r="CZ120" s="348"/>
      <c r="DD120" s="348"/>
      <c r="DH120" s="348"/>
      <c r="DL120" s="348"/>
      <c r="DP120" s="348"/>
      <c r="DT120" s="1"/>
      <c r="DU120" s="1"/>
      <c r="DV120" s="1"/>
      <c r="DW120" s="1"/>
      <c r="DX120" s="1"/>
      <c r="DY120" s="1"/>
      <c r="DZ120" s="1"/>
      <c r="EA120" s="1"/>
      <c r="EB120" s="1"/>
      <c r="EC120" s="1"/>
      <c r="ED120" s="1"/>
      <c r="EE120" s="1"/>
      <c r="EF120" s="1"/>
      <c r="EG120" s="1"/>
      <c r="EH120" s="1"/>
      <c r="EI120" s="1"/>
      <c r="EJ120" s="1"/>
      <c r="EK120" s="1"/>
      <c r="EL120" s="1"/>
      <c r="EM120" s="1"/>
      <c r="EN120" s="1"/>
      <c r="EO120" s="1"/>
      <c r="EP120" s="1"/>
      <c r="EQ120" s="1"/>
      <c r="ER120" s="1"/>
      <c r="ES120" s="1"/>
      <c r="ET120" s="1"/>
      <c r="EU120" s="1"/>
      <c r="EV120" s="1"/>
      <c r="EW120" s="1"/>
      <c r="EX120" s="1"/>
      <c r="EY120" s="1"/>
      <c r="EZ120" s="1"/>
      <c r="FA120" s="1"/>
      <c r="FB120" s="1"/>
      <c r="FC120" s="1"/>
      <c r="FD120" s="1"/>
      <c r="FE120" s="1"/>
      <c r="FF120" s="1"/>
      <c r="FG120" s="1"/>
      <c r="FH120" s="1"/>
      <c r="FI120" s="1"/>
      <c r="FJ120" s="1"/>
      <c r="FK120" s="1"/>
      <c r="FL120" s="1"/>
      <c r="FM120" s="1"/>
      <c r="FN120" s="1"/>
      <c r="FO120" s="1"/>
      <c r="FP120" s="1"/>
      <c r="FQ120" s="1"/>
      <c r="FR120" s="1"/>
      <c r="FS120" s="1"/>
      <c r="FT120" s="1"/>
      <c r="FU120" s="1"/>
      <c r="FV120" s="1"/>
      <c r="FW120" s="1"/>
      <c r="FX120" s="1"/>
      <c r="FY120" s="1"/>
      <c r="FZ120" s="1"/>
      <c r="GA120" s="1"/>
      <c r="GB120" s="1"/>
      <c r="GC120" s="1"/>
      <c r="GD120" s="1"/>
      <c r="GE120" s="1"/>
      <c r="GF120" s="1"/>
      <c r="GG120" s="1"/>
      <c r="GH120" s="1"/>
      <c r="GI120" s="1"/>
      <c r="GJ120" s="1"/>
      <c r="GK120" s="1"/>
      <c r="GL120" s="1"/>
      <c r="GM120" s="1"/>
      <c r="GN120" s="1"/>
      <c r="GO120" s="1"/>
      <c r="GP120" s="1"/>
      <c r="GQ120" s="1"/>
      <c r="GR120" s="1"/>
      <c r="GS120" s="1"/>
      <c r="GT120" s="1"/>
      <c r="GU120" s="1"/>
      <c r="GV120" s="1"/>
      <c r="GW120" s="1"/>
      <c r="GX120" s="1"/>
      <c r="GY120" s="1"/>
      <c r="GZ120" s="1"/>
      <c r="HA120" s="1"/>
      <c r="HB120" s="1"/>
      <c r="HC120" s="1"/>
      <c r="HD120" s="1"/>
      <c r="HE120" s="1"/>
      <c r="HF120" s="1"/>
      <c r="HG120" s="1"/>
      <c r="HH120" s="1"/>
      <c r="HI120" s="1"/>
      <c r="HJ120" s="1"/>
      <c r="HK120" s="1"/>
      <c r="HL120" s="1"/>
      <c r="HM120" s="1"/>
      <c r="HN120" s="1"/>
      <c r="HO120" s="1"/>
      <c r="HP120" s="1"/>
      <c r="HQ120" s="1"/>
      <c r="HR120" s="1"/>
      <c r="HS120" s="1"/>
      <c r="HT120" s="1"/>
      <c r="HU120" s="1"/>
      <c r="HV120" s="1"/>
      <c r="HW120" s="1"/>
      <c r="HX120" s="1"/>
      <c r="HY120" s="1"/>
      <c r="HZ120" s="1"/>
      <c r="IA120" s="1"/>
      <c r="IB120" s="1"/>
      <c r="IC120" s="1"/>
      <c r="ID120" s="1"/>
      <c r="IE120" s="1"/>
      <c r="IF120" s="1"/>
      <c r="IG120" s="1"/>
      <c r="IH120" s="1"/>
      <c r="II120" s="1"/>
      <c r="IJ120" s="1"/>
      <c r="IK120" s="1"/>
      <c r="IL120" s="1"/>
      <c r="IM120" s="1"/>
      <c r="IN120" s="1"/>
      <c r="IO120" s="1"/>
      <c r="IP120" s="1"/>
      <c r="IQ120" s="1"/>
      <c r="IR120" s="1"/>
      <c r="IS120" s="1"/>
      <c r="IT120" s="1"/>
      <c r="IU120" s="1"/>
      <c r="IV120" s="1"/>
      <c r="IW120" s="1"/>
      <c r="IX120" s="1"/>
      <c r="IY120" s="1"/>
      <c r="IZ120" s="1"/>
      <c r="JA120" s="1"/>
      <c r="JB120" s="1"/>
      <c r="JC120" s="1"/>
      <c r="JD120" s="1"/>
    </row>
    <row r="121" spans="1:264" s="347" customFormat="1" x14ac:dyDescent="0.2">
      <c r="A121" s="411" t="s">
        <v>270</v>
      </c>
      <c r="B121" s="348"/>
      <c r="BH121" s="348"/>
      <c r="BI121" s="348"/>
      <c r="BJ121" s="348"/>
      <c r="BK121" s="348"/>
      <c r="BL121" s="348"/>
      <c r="BM121" s="348"/>
      <c r="BN121" s="348"/>
      <c r="BO121" s="348"/>
      <c r="BP121" s="348"/>
      <c r="BT121" s="348"/>
      <c r="BX121" s="348"/>
      <c r="CB121" s="348"/>
      <c r="CF121" s="348"/>
      <c r="CJ121" s="348"/>
      <c r="CN121" s="348"/>
      <c r="CR121" s="348"/>
      <c r="CV121" s="351"/>
      <c r="CW121" s="461"/>
      <c r="CZ121" s="348"/>
      <c r="DA121" s="461"/>
      <c r="DD121" s="348"/>
      <c r="DE121" s="461"/>
      <c r="DH121" s="348"/>
      <c r="DL121" s="348"/>
      <c r="DP121" s="348"/>
      <c r="DT121" s="1"/>
      <c r="DU121" s="1"/>
      <c r="DV121" s="1"/>
      <c r="DW121" s="1"/>
      <c r="DX121" s="1"/>
      <c r="DY121" s="1"/>
      <c r="DZ121" s="1"/>
      <c r="EA121" s="1"/>
      <c r="EB121" s="1"/>
      <c r="EC121" s="1"/>
      <c r="ED121" s="1"/>
      <c r="EE121" s="1"/>
      <c r="EF121" s="1"/>
      <c r="EG121" s="1"/>
      <c r="EH121" s="1"/>
      <c r="EI121" s="1"/>
      <c r="EJ121" s="1"/>
      <c r="EK121" s="1"/>
      <c r="EL121" s="1"/>
      <c r="EM121" s="1"/>
      <c r="EN121" s="1"/>
      <c r="EO121" s="1"/>
      <c r="EP121" s="1"/>
      <c r="EQ121" s="1"/>
      <c r="ER121" s="1"/>
      <c r="ES121" s="1"/>
      <c r="ET121" s="1"/>
      <c r="EU121" s="1"/>
      <c r="EV121" s="1"/>
      <c r="EW121" s="1"/>
      <c r="EX121" s="1"/>
      <c r="EY121" s="1"/>
      <c r="EZ121" s="1"/>
      <c r="FA121" s="1"/>
      <c r="FB121" s="1"/>
      <c r="FC121" s="1"/>
      <c r="FD121" s="1"/>
      <c r="FE121" s="1"/>
      <c r="FF121" s="1"/>
      <c r="FG121" s="1"/>
      <c r="FH121" s="1"/>
      <c r="FI121" s="1"/>
      <c r="FJ121" s="1"/>
      <c r="FK121" s="1"/>
      <c r="FL121" s="1"/>
      <c r="FM121" s="1"/>
      <c r="FN121" s="1"/>
      <c r="FO121" s="1"/>
      <c r="FP121" s="1"/>
      <c r="FQ121" s="1"/>
      <c r="FR121" s="1"/>
      <c r="FS121" s="1"/>
      <c r="FT121" s="1"/>
      <c r="FU121" s="1"/>
      <c r="FV121" s="1"/>
      <c r="FW121" s="1"/>
      <c r="FX121" s="1"/>
      <c r="FY121" s="1"/>
      <c r="FZ121" s="1"/>
      <c r="GA121" s="1"/>
      <c r="GB121" s="1"/>
      <c r="GC121" s="1"/>
      <c r="GD121" s="1"/>
      <c r="GE121" s="1"/>
      <c r="GF121" s="1"/>
      <c r="GG121" s="1"/>
      <c r="GH121" s="1"/>
      <c r="GI121" s="1"/>
      <c r="GJ121" s="1"/>
      <c r="GK121" s="1"/>
      <c r="GL121" s="1"/>
      <c r="GM121" s="1"/>
      <c r="GN121" s="1"/>
      <c r="GO121" s="1"/>
      <c r="GP121" s="1"/>
      <c r="GQ121" s="1"/>
      <c r="GR121" s="1"/>
      <c r="GS121" s="1"/>
      <c r="GT121" s="1"/>
      <c r="GU121" s="1"/>
      <c r="GV121" s="1"/>
      <c r="GW121" s="1"/>
      <c r="GX121" s="1"/>
      <c r="GY121" s="1"/>
      <c r="GZ121" s="1"/>
      <c r="HA121" s="1"/>
      <c r="HB121" s="1"/>
      <c r="HC121" s="1"/>
      <c r="HD121" s="1"/>
      <c r="HE121" s="1"/>
      <c r="HF121" s="1"/>
      <c r="HG121" s="1"/>
      <c r="HH121" s="1"/>
      <c r="HI121" s="1"/>
      <c r="HJ121" s="1"/>
      <c r="HK121" s="1"/>
      <c r="HL121" s="1"/>
      <c r="HM121" s="1"/>
      <c r="HN121" s="1"/>
      <c r="HO121" s="1"/>
      <c r="HP121" s="1"/>
      <c r="HQ121" s="1"/>
      <c r="HR121" s="1"/>
      <c r="HS121" s="1"/>
      <c r="HT121" s="1"/>
      <c r="HU121" s="1"/>
      <c r="HV121" s="1"/>
      <c r="HW121" s="1"/>
      <c r="HX121" s="1"/>
      <c r="HY121" s="1"/>
      <c r="HZ121" s="1"/>
      <c r="IA121" s="1"/>
      <c r="IB121" s="1"/>
      <c r="IC121" s="1"/>
      <c r="ID121" s="1"/>
      <c r="IE121" s="1"/>
      <c r="IF121" s="1"/>
      <c r="IG121" s="1"/>
      <c r="IH121" s="1"/>
      <c r="II121" s="1"/>
      <c r="IJ121" s="1"/>
      <c r="IK121" s="1"/>
      <c r="IL121" s="1"/>
      <c r="IM121" s="1"/>
      <c r="IN121" s="1"/>
      <c r="IO121" s="1"/>
      <c r="IP121" s="1"/>
      <c r="IQ121" s="1"/>
      <c r="IR121" s="1"/>
      <c r="IS121" s="1"/>
      <c r="IT121" s="1"/>
      <c r="IU121" s="1"/>
      <c r="IV121" s="1"/>
      <c r="IW121" s="1"/>
      <c r="IX121" s="1"/>
      <c r="IY121" s="1"/>
      <c r="IZ121" s="1"/>
      <c r="JA121" s="1"/>
      <c r="JB121" s="1"/>
      <c r="JC121" s="1"/>
      <c r="JD121" s="1"/>
    </row>
    <row r="122" spans="1:264" s="347" customFormat="1" x14ac:dyDescent="0.2">
      <c r="A122" s="347" t="s">
        <v>89</v>
      </c>
      <c r="B122" s="348" t="s">
        <v>22</v>
      </c>
      <c r="BD122" s="398">
        <v>313940</v>
      </c>
      <c r="BE122" s="398">
        <v>322918</v>
      </c>
      <c r="BF122" s="351">
        <f>BE122</f>
        <v>322918</v>
      </c>
      <c r="BH122" s="398">
        <v>327626</v>
      </c>
      <c r="BI122" s="398">
        <v>338023</v>
      </c>
      <c r="BJ122" s="351">
        <f>BI122</f>
        <v>338023</v>
      </c>
      <c r="BK122" s="348"/>
      <c r="BL122" s="398">
        <v>348486</v>
      </c>
      <c r="BM122" s="398">
        <v>360218</v>
      </c>
      <c r="BN122" s="351">
        <f>BM122</f>
        <v>360218</v>
      </c>
      <c r="BO122" s="348"/>
      <c r="BP122" s="398">
        <v>370043</v>
      </c>
      <c r="BQ122" s="398">
        <v>383174</v>
      </c>
      <c r="BR122" s="351">
        <f>BQ122</f>
        <v>383174</v>
      </c>
      <c r="BS122" s="393">
        <f>BR122/BN122-1</f>
        <v>6.3728075776335436E-2</v>
      </c>
      <c r="BT122" s="398">
        <v>393395</v>
      </c>
      <c r="BU122" s="398">
        <v>409452</v>
      </c>
      <c r="BV122" s="351">
        <f>BU122</f>
        <v>409452</v>
      </c>
      <c r="BW122" s="393">
        <f>BV122/BR122-1</f>
        <v>6.8579809694812255E-2</v>
      </c>
      <c r="BX122" s="398">
        <v>423163</v>
      </c>
      <c r="BY122" s="398">
        <v>436184</v>
      </c>
      <c r="BZ122" s="351">
        <f>BY122</f>
        <v>436184</v>
      </c>
      <c r="CA122" s="393">
        <f>BZ122/BV122-1</f>
        <v>6.5287261998964397E-2</v>
      </c>
      <c r="CB122" s="398">
        <v>443953</v>
      </c>
      <c r="CC122" s="398">
        <v>451367</v>
      </c>
      <c r="CD122" s="351">
        <f>CC122</f>
        <v>451367</v>
      </c>
      <c r="CE122" s="393">
        <f>CD122/BZ122-1</f>
        <v>3.4808704583386918E-2</v>
      </c>
      <c r="CF122" s="398">
        <v>458983</v>
      </c>
      <c r="CG122" s="398">
        <v>467361</v>
      </c>
      <c r="CH122" s="351">
        <f>CG122</f>
        <v>467361</v>
      </c>
      <c r="CI122" s="393">
        <f>CH122/CD122-1</f>
        <v>3.5434579843010239E-2</v>
      </c>
      <c r="CJ122" s="398">
        <v>477701</v>
      </c>
      <c r="CK122" s="398">
        <v>485795</v>
      </c>
      <c r="CL122" s="351">
        <f>CK122</f>
        <v>485795</v>
      </c>
      <c r="CM122" s="393">
        <f>CL122/CH122-1</f>
        <v>3.9442743403921066E-2</v>
      </c>
      <c r="CN122" s="398">
        <v>498305</v>
      </c>
      <c r="CO122" s="398">
        <v>516217</v>
      </c>
      <c r="CP122" s="351">
        <f>CO122</f>
        <v>516217</v>
      </c>
      <c r="CQ122" s="393">
        <f>CP122/CL122-1</f>
        <v>6.2623122922220276E-2</v>
      </c>
      <c r="CR122" s="398">
        <v>539690</v>
      </c>
      <c r="CS122" s="398">
        <v>556499</v>
      </c>
      <c r="CT122" s="351">
        <f>CS122</f>
        <v>556499</v>
      </c>
      <c r="CU122" s="393">
        <f>CT122/CP122-1</f>
        <v>7.8033075237739169E-2</v>
      </c>
      <c r="CV122" s="398">
        <v>570427</v>
      </c>
      <c r="CW122" s="398">
        <v>583827</v>
      </c>
      <c r="CX122" s="351">
        <f>CW122</f>
        <v>583827</v>
      </c>
      <c r="CY122" s="393">
        <f>CX122/CT122-1</f>
        <v>4.9107006481593052E-2</v>
      </c>
      <c r="CZ122" s="398">
        <v>581965</v>
      </c>
      <c r="DA122" s="398">
        <v>596346</v>
      </c>
      <c r="DB122" s="351">
        <f>DA122</f>
        <v>596346</v>
      </c>
      <c r="DC122" s="393">
        <f>DB122/CX122-1</f>
        <v>2.144299595599386E-2</v>
      </c>
      <c r="DD122" s="398">
        <v>615522</v>
      </c>
      <c r="DE122" s="398">
        <v>633865</v>
      </c>
      <c r="DF122" s="351">
        <f>DE122</f>
        <v>633865</v>
      </c>
      <c r="DG122" s="393">
        <f>DF122/DB122-1</f>
        <v>6.2914817907724796E-2</v>
      </c>
      <c r="DH122" s="398">
        <v>658716</v>
      </c>
      <c r="DI122" s="351">
        <f>+DH122*(1+DI126)</f>
        <v>683417.85000000009</v>
      </c>
      <c r="DJ122" s="351">
        <f>DI122</f>
        <v>683417.85000000009</v>
      </c>
      <c r="DK122" s="393">
        <f>DJ122/DF122-1</f>
        <v>7.8175715649231536E-2</v>
      </c>
      <c r="DL122" s="351">
        <f>+DI122*(1+DL126)</f>
        <v>705628.93012500007</v>
      </c>
      <c r="DM122" s="351">
        <f>+DL122*(1+DM126)</f>
        <v>726797.79802875011</v>
      </c>
      <c r="DN122" s="351">
        <f>DM122</f>
        <v>726797.79802875011</v>
      </c>
      <c r="DO122" s="393">
        <f>DN122/DJ122-1</f>
        <v>6.3474999999999948E-2</v>
      </c>
      <c r="DP122" s="351">
        <f>+DM122*(1+DP126)</f>
        <v>744967.74297946878</v>
      </c>
      <c r="DQ122" s="351">
        <f>+DP122*(1+DQ126)</f>
        <v>763591.93655395543</v>
      </c>
      <c r="DR122" s="351">
        <f>DQ122</f>
        <v>763591.93655395543</v>
      </c>
      <c r="DS122" s="393">
        <f>DR122/DN122-1</f>
        <v>5.0624999999999698E-2</v>
      </c>
      <c r="DT122" s="1"/>
      <c r="DU122" s="1"/>
      <c r="DV122" s="1"/>
      <c r="DW122" s="1"/>
      <c r="DX122" s="1"/>
      <c r="DY122" s="1"/>
      <c r="DZ122" s="1"/>
      <c r="EA122" s="1"/>
      <c r="EB122" s="1"/>
      <c r="EC122" s="1"/>
      <c r="ED122" s="1"/>
      <c r="EE122" s="1"/>
      <c r="EF122" s="1"/>
      <c r="EG122" s="1"/>
      <c r="EH122" s="1"/>
      <c r="EI122" s="1"/>
      <c r="EJ122" s="1"/>
      <c r="EK122" s="1"/>
      <c r="EL122" s="1"/>
      <c r="EM122" s="1"/>
      <c r="EN122" s="1"/>
      <c r="EO122" s="1"/>
      <c r="EP122" s="1"/>
      <c r="EQ122" s="1"/>
      <c r="ER122" s="1"/>
      <c r="ES122" s="1"/>
      <c r="ET122" s="1"/>
      <c r="EU122" s="1"/>
      <c r="EV122" s="1"/>
      <c r="EW122" s="1"/>
      <c r="EX122" s="1"/>
      <c r="EY122" s="1"/>
      <c r="EZ122" s="1"/>
      <c r="FA122" s="1"/>
      <c r="FB122" s="1"/>
      <c r="FC122" s="1"/>
      <c r="FD122" s="1"/>
      <c r="FE122" s="1"/>
      <c r="FF122" s="1"/>
      <c r="FG122" s="1"/>
      <c r="FH122" s="1"/>
      <c r="FI122" s="1"/>
      <c r="FJ122" s="1"/>
      <c r="FK122" s="1"/>
      <c r="FL122" s="1"/>
      <c r="FM122" s="1"/>
      <c r="FN122" s="1"/>
      <c r="FO122" s="1"/>
      <c r="FP122" s="1"/>
      <c r="FQ122" s="1"/>
      <c r="FR122" s="1"/>
      <c r="FS122" s="1"/>
      <c r="FT122" s="1"/>
      <c r="FU122" s="1"/>
      <c r="FV122" s="1"/>
      <c r="FW122" s="1"/>
      <c r="FX122" s="1"/>
      <c r="FY122" s="1"/>
      <c r="FZ122" s="1"/>
      <c r="GA122" s="1"/>
      <c r="GB122" s="1"/>
      <c r="GC122" s="1"/>
      <c r="GD122" s="1"/>
      <c r="GE122" s="1"/>
      <c r="GF122" s="1"/>
      <c r="GG122" s="1"/>
      <c r="GH122" s="1"/>
      <c r="GI122" s="1"/>
      <c r="GJ122" s="1"/>
      <c r="GK122" s="1"/>
      <c r="GL122" s="1"/>
      <c r="GM122" s="1"/>
      <c r="GN122" s="1"/>
      <c r="GO122" s="1"/>
      <c r="GP122" s="1"/>
      <c r="GQ122" s="1"/>
      <c r="GR122" s="1"/>
      <c r="GS122" s="1"/>
      <c r="GT122" s="1"/>
      <c r="GU122" s="1"/>
      <c r="GV122" s="1"/>
      <c r="GW122" s="1"/>
      <c r="GX122" s="1"/>
      <c r="GY122" s="1"/>
      <c r="GZ122" s="1"/>
      <c r="HA122" s="1"/>
      <c r="HB122" s="1"/>
      <c r="HC122" s="1"/>
      <c r="HD122" s="1"/>
      <c r="HE122" s="1"/>
      <c r="HF122" s="1"/>
      <c r="HG122" s="1"/>
      <c r="HH122" s="1"/>
      <c r="HI122" s="1"/>
      <c r="HJ122" s="1"/>
      <c r="HK122" s="1"/>
      <c r="HL122" s="1"/>
      <c r="HM122" s="1"/>
      <c r="HN122" s="1"/>
      <c r="HO122" s="1"/>
      <c r="HP122" s="1"/>
      <c r="HQ122" s="1"/>
      <c r="HR122" s="1"/>
      <c r="HS122" s="1"/>
      <c r="HT122" s="1"/>
      <c r="HU122" s="1"/>
      <c r="HV122" s="1"/>
      <c r="HW122" s="1"/>
      <c r="HX122" s="1"/>
      <c r="HY122" s="1"/>
      <c r="HZ122" s="1"/>
      <c r="IA122" s="1"/>
      <c r="IB122" s="1"/>
      <c r="IC122" s="1"/>
      <c r="ID122" s="1"/>
      <c r="IE122" s="1"/>
      <c r="IF122" s="1"/>
      <c r="IG122" s="1"/>
      <c r="IH122" s="1"/>
      <c r="II122" s="1"/>
      <c r="IJ122" s="1"/>
      <c r="IK122" s="1"/>
      <c r="IL122" s="1"/>
      <c r="IM122" s="1"/>
      <c r="IN122" s="1"/>
      <c r="IO122" s="1"/>
      <c r="IP122" s="1"/>
      <c r="IQ122" s="1"/>
      <c r="IR122" s="1"/>
      <c r="IS122" s="1"/>
      <c r="IT122" s="1"/>
      <c r="IU122" s="1"/>
      <c r="IV122" s="1"/>
      <c r="IW122" s="1"/>
      <c r="IX122" s="1"/>
      <c r="IY122" s="1"/>
      <c r="IZ122" s="1"/>
      <c r="JA122" s="1"/>
      <c r="JB122" s="1"/>
      <c r="JC122" s="1"/>
      <c r="JD122" s="1"/>
    </row>
    <row r="123" spans="1:264" s="347" customFormat="1" x14ac:dyDescent="0.2">
      <c r="A123" s="347" t="s">
        <v>271</v>
      </c>
      <c r="B123" s="348" t="s">
        <v>22</v>
      </c>
      <c r="BE123" s="351">
        <f>+BE124-BE122</f>
        <v>154207</v>
      </c>
      <c r="BF123" s="351">
        <f>BE123</f>
        <v>154207</v>
      </c>
      <c r="BH123" s="351">
        <f>+BH124-BH122</f>
        <v>155344</v>
      </c>
      <c r="BI123" s="351">
        <f>+BI124-BI122</f>
        <v>159260</v>
      </c>
      <c r="BJ123" s="351">
        <f>+BJ124-BJ122</f>
        <v>159260</v>
      </c>
      <c r="BK123" s="348"/>
      <c r="BL123" s="351">
        <f>+BL124-BL122</f>
        <v>163346</v>
      </c>
      <c r="BM123" s="351">
        <f>+BM124-BM122</f>
        <v>166220</v>
      </c>
      <c r="BN123" s="351">
        <f>+BN124-BN122</f>
        <v>166220</v>
      </c>
      <c r="BO123" s="348"/>
      <c r="BP123" s="351">
        <f>+BP124-BP122</f>
        <v>171949</v>
      </c>
      <c r="BQ123" s="351">
        <f>+BQ124-BQ122</f>
        <v>177884</v>
      </c>
      <c r="BR123" s="351">
        <f>+BR124-BR122</f>
        <v>177884</v>
      </c>
      <c r="BS123" s="393">
        <f>BR123/BN123-1</f>
        <v>7.0172061123811913E-2</v>
      </c>
      <c r="BT123" s="351">
        <f>+BT124-BT122</f>
        <v>188703</v>
      </c>
      <c r="BU123" s="351">
        <f>+BU124-BU122</f>
        <v>194682</v>
      </c>
      <c r="BV123" s="351">
        <f>+BV124-BV122</f>
        <v>194682</v>
      </c>
      <c r="BW123" s="393">
        <f>BV123/BR123-1</f>
        <v>9.4432326684805723E-2</v>
      </c>
      <c r="BX123" s="351">
        <f>+BX124-BX122</f>
        <v>193917</v>
      </c>
      <c r="BY123" s="351">
        <f>+BY124-BY122</f>
        <v>197752</v>
      </c>
      <c r="BZ123" s="351">
        <f>+BZ124-BZ122</f>
        <v>197752</v>
      </c>
      <c r="CA123" s="393">
        <f>BZ123/BV123-1</f>
        <v>1.5769305842348036E-2</v>
      </c>
      <c r="CB123" s="351">
        <f>+CB124-CB122</f>
        <v>195887</v>
      </c>
      <c r="CC123" s="351">
        <f>+CC124-CC122</f>
        <v>192720</v>
      </c>
      <c r="CD123" s="351">
        <f>+CD124-CD122</f>
        <v>192720</v>
      </c>
      <c r="CE123" s="393">
        <f>CD123/BZ123-1</f>
        <v>-2.5446013188235805E-2</v>
      </c>
      <c r="CF123" s="351">
        <f>+CF124-CF122</f>
        <v>191423</v>
      </c>
      <c r="CG123" s="351">
        <f>+CG124-CG122</f>
        <v>185660</v>
      </c>
      <c r="CH123" s="351">
        <f>+CH124-CH122</f>
        <v>185660</v>
      </c>
      <c r="CI123" s="393">
        <f>CH123/CD123-1</f>
        <v>-3.663345786633454E-2</v>
      </c>
      <c r="CJ123" s="351">
        <f>+CJ124-CJ122</f>
        <v>185237</v>
      </c>
      <c r="CK123" s="351">
        <f>+CK124-CK122</f>
        <v>188683</v>
      </c>
      <c r="CL123" s="351">
        <f>+CL124-CL122</f>
        <v>188683</v>
      </c>
      <c r="CM123" s="393">
        <f>CL123/CH123-1</f>
        <v>1.6282451793601105E-2</v>
      </c>
      <c r="CN123" s="351">
        <f>+CN124-CN122</f>
        <v>187781</v>
      </c>
      <c r="CO123" s="351">
        <f>+CO124-CO122</f>
        <v>189378</v>
      </c>
      <c r="CP123" s="351">
        <f>+CP124-CP122</f>
        <v>189378</v>
      </c>
      <c r="CQ123" s="393">
        <f>CP123/CL123-1</f>
        <v>3.6834266998087006E-3</v>
      </c>
      <c r="CR123" s="351">
        <f>+CR124-CR122</f>
        <v>193925</v>
      </c>
      <c r="CS123" s="351">
        <f>+CS124-CS122</f>
        <v>213138</v>
      </c>
      <c r="CT123" s="351">
        <f>+CT124-CT122</f>
        <v>213138</v>
      </c>
      <c r="CU123" s="393">
        <f>CT123/CP123-1</f>
        <v>0.12546335899629302</v>
      </c>
      <c r="CV123" s="351">
        <f>+CV124-CV122</f>
        <v>224674</v>
      </c>
      <c r="CW123" s="351">
        <f>+CW124-CW122</f>
        <v>232167</v>
      </c>
      <c r="CX123" s="351">
        <f>+CX124-CX122</f>
        <v>232167</v>
      </c>
      <c r="CY123" s="393">
        <f>CX123/CT123-1</f>
        <v>8.9280184669087603E-2</v>
      </c>
      <c r="CZ123" s="351">
        <f>+CZ124-CZ122</f>
        <v>230132</v>
      </c>
      <c r="DA123" s="351">
        <f>+DA124-DA122</f>
        <v>235988</v>
      </c>
      <c r="DB123" s="351">
        <f>+DB124-DB122</f>
        <v>235988</v>
      </c>
      <c r="DC123" s="393">
        <f>DB123/CX123-1</f>
        <v>1.6457980677701878E-2</v>
      </c>
      <c r="DD123" s="351">
        <f>+DD124-DD122</f>
        <v>239736</v>
      </c>
      <c r="DE123" s="351">
        <f>+DE124-DE122</f>
        <v>253271</v>
      </c>
      <c r="DF123" s="351">
        <f>+DF124-DF122</f>
        <v>253271</v>
      </c>
      <c r="DG123" s="393">
        <f>DF123/DB123-1</f>
        <v>7.323677475125856E-2</v>
      </c>
      <c r="DH123" s="351">
        <f>+DH124-DH122</f>
        <v>266106</v>
      </c>
      <c r="DI123" s="351">
        <f>DI136</f>
        <v>277241.86499999999</v>
      </c>
      <c r="DJ123" s="351">
        <f>+DJ124-DJ122</f>
        <v>277241.86499999999</v>
      </c>
      <c r="DK123" s="393">
        <f>DJ123/DF123-1</f>
        <v>9.4645123207947268E-2</v>
      </c>
      <c r="DL123" s="351">
        <f>DL136</f>
        <v>284544.465975</v>
      </c>
      <c r="DM123" s="351">
        <f>DM136</f>
        <v>295761.25179862499</v>
      </c>
      <c r="DN123" s="351">
        <f>+DN124-DN122</f>
        <v>295761.25179862499</v>
      </c>
      <c r="DO123" s="393">
        <f>DN123/DJ123-1</f>
        <v>6.6798666206580926E-2</v>
      </c>
      <c r="DP123" s="351">
        <f>DP136</f>
        <v>302688.79593256686</v>
      </c>
      <c r="DQ123" s="351">
        <f>DQ136</f>
        <v>311805.19351964258</v>
      </c>
      <c r="DR123" s="351">
        <f>+DR124-DR122</f>
        <v>311805.19351964269</v>
      </c>
      <c r="DS123" s="393">
        <f>DR123/DN123-1</f>
        <v>5.4246259858074852E-2</v>
      </c>
      <c r="DT123" s="1"/>
      <c r="DU123" s="1"/>
      <c r="DV123" s="1"/>
      <c r="DW123" s="1"/>
      <c r="DX123" s="1"/>
      <c r="DY123" s="1"/>
      <c r="DZ123" s="1"/>
      <c r="EA123" s="1"/>
      <c r="EB123" s="1"/>
      <c r="EC123" s="1"/>
      <c r="ED123" s="1"/>
      <c r="EE123" s="1"/>
      <c r="EF123" s="1"/>
      <c r="EG123" s="1"/>
      <c r="EH123" s="1"/>
      <c r="EI123" s="1"/>
      <c r="EJ123" s="1"/>
      <c r="EK123" s="1"/>
      <c r="EL123" s="1"/>
      <c r="EM123" s="1"/>
      <c r="EN123" s="1"/>
      <c r="EO123" s="1"/>
      <c r="EP123" s="1"/>
      <c r="EQ123" s="1"/>
      <c r="ER123" s="1"/>
      <c r="ES123" s="1"/>
      <c r="ET123" s="1"/>
      <c r="EU123" s="1"/>
      <c r="EV123" s="1"/>
      <c r="EW123" s="1"/>
      <c r="EX123" s="1"/>
      <c r="EY123" s="1"/>
      <c r="EZ123" s="1"/>
      <c r="FA123" s="1"/>
      <c r="FB123" s="1"/>
      <c r="FC123" s="1"/>
      <c r="FD123" s="1"/>
      <c r="FE123" s="1"/>
      <c r="FF123" s="1"/>
      <c r="FG123" s="1"/>
      <c r="FH123" s="1"/>
      <c r="FI123" s="1"/>
      <c r="FJ123" s="1"/>
      <c r="FK123" s="1"/>
      <c r="FL123" s="1"/>
      <c r="FM123" s="1"/>
      <c r="FN123" s="1"/>
      <c r="FO123" s="1"/>
      <c r="FP123" s="1"/>
      <c r="FQ123" s="1"/>
      <c r="FR123" s="1"/>
      <c r="FS123" s="1"/>
      <c r="FT123" s="1"/>
      <c r="FU123" s="1"/>
      <c r="FV123" s="1"/>
      <c r="FW123" s="1"/>
      <c r="FX123" s="1"/>
      <c r="FY123" s="1"/>
      <c r="FZ123" s="1"/>
      <c r="GA123" s="1"/>
      <c r="GB123" s="1"/>
      <c r="GC123" s="1"/>
      <c r="GD123" s="1"/>
      <c r="GE123" s="1"/>
      <c r="GF123" s="1"/>
      <c r="GG123" s="1"/>
      <c r="GH123" s="1"/>
      <c r="GI123" s="1"/>
      <c r="GJ123" s="1"/>
      <c r="GK123" s="1"/>
      <c r="GL123" s="1"/>
      <c r="GM123" s="1"/>
      <c r="GN123" s="1"/>
      <c r="GO123" s="1"/>
      <c r="GP123" s="1"/>
      <c r="GQ123" s="1"/>
      <c r="GR123" s="1"/>
      <c r="GS123" s="1"/>
      <c r="GT123" s="1"/>
      <c r="GU123" s="1"/>
      <c r="GV123" s="1"/>
      <c r="GW123" s="1"/>
      <c r="GX123" s="1"/>
      <c r="GY123" s="1"/>
      <c r="GZ123" s="1"/>
      <c r="HA123" s="1"/>
      <c r="HB123" s="1"/>
      <c r="HC123" s="1"/>
      <c r="HD123" s="1"/>
      <c r="HE123" s="1"/>
      <c r="HF123" s="1"/>
      <c r="HG123" s="1"/>
      <c r="HH123" s="1"/>
      <c r="HI123" s="1"/>
      <c r="HJ123" s="1"/>
      <c r="HK123" s="1"/>
      <c r="HL123" s="1"/>
      <c r="HM123" s="1"/>
      <c r="HN123" s="1"/>
      <c r="HO123" s="1"/>
      <c r="HP123" s="1"/>
      <c r="HQ123" s="1"/>
      <c r="HR123" s="1"/>
      <c r="HS123" s="1"/>
      <c r="HT123" s="1"/>
      <c r="HU123" s="1"/>
      <c r="HV123" s="1"/>
      <c r="HW123" s="1"/>
      <c r="HX123" s="1"/>
      <c r="HY123" s="1"/>
      <c r="HZ123" s="1"/>
      <c r="IA123" s="1"/>
      <c r="IB123" s="1"/>
      <c r="IC123" s="1"/>
      <c r="ID123" s="1"/>
      <c r="IE123" s="1"/>
      <c r="IF123" s="1"/>
      <c r="IG123" s="1"/>
      <c r="IH123" s="1"/>
      <c r="II123" s="1"/>
      <c r="IJ123" s="1"/>
      <c r="IK123" s="1"/>
      <c r="IL123" s="1"/>
      <c r="IM123" s="1"/>
      <c r="IN123" s="1"/>
      <c r="IO123" s="1"/>
      <c r="IP123" s="1"/>
      <c r="IQ123" s="1"/>
      <c r="IR123" s="1"/>
      <c r="IS123" s="1"/>
      <c r="IT123" s="1"/>
      <c r="IU123" s="1"/>
      <c r="IV123" s="1"/>
      <c r="IW123" s="1"/>
      <c r="IX123" s="1"/>
      <c r="IY123" s="1"/>
      <c r="IZ123" s="1"/>
      <c r="JA123" s="1"/>
      <c r="JB123" s="1"/>
      <c r="JC123" s="1"/>
      <c r="JD123" s="1"/>
    </row>
    <row r="124" spans="1:264" s="347" customFormat="1" x14ac:dyDescent="0.2">
      <c r="A124" s="411" t="s">
        <v>272</v>
      </c>
      <c r="B124" s="348" t="s">
        <v>22</v>
      </c>
      <c r="BE124" s="398">
        <v>477125</v>
      </c>
      <c r="BF124" s="351">
        <f>BE124</f>
        <v>477125</v>
      </c>
      <c r="BH124" s="396">
        <v>482970</v>
      </c>
      <c r="BI124" s="396">
        <v>497283</v>
      </c>
      <c r="BJ124" s="397">
        <f>BI124</f>
        <v>497283</v>
      </c>
      <c r="BK124" s="348"/>
      <c r="BL124" s="396">
        <v>511832</v>
      </c>
      <c r="BM124" s="396">
        <v>526438</v>
      </c>
      <c r="BN124" s="397">
        <f>BM124</f>
        <v>526438</v>
      </c>
      <c r="BO124" s="348"/>
      <c r="BP124" s="396">
        <v>541992</v>
      </c>
      <c r="BQ124" s="396">
        <v>561058</v>
      </c>
      <c r="BR124" s="397">
        <f>BQ124</f>
        <v>561058</v>
      </c>
      <c r="BS124" s="393">
        <f>BR124/BN124-1</f>
        <v>6.5762729894118577E-2</v>
      </c>
      <c r="BT124" s="396">
        <v>582098</v>
      </c>
      <c r="BU124" s="396">
        <v>604134</v>
      </c>
      <c r="BV124" s="397">
        <f>BU124</f>
        <v>604134</v>
      </c>
      <c r="BW124" s="393">
        <f>BV124/BR124-1</f>
        <v>7.6776376060941898E-2</v>
      </c>
      <c r="BX124" s="396">
        <v>617080</v>
      </c>
      <c r="BY124" s="396">
        <v>633936</v>
      </c>
      <c r="BZ124" s="397">
        <f>BY124</f>
        <v>633936</v>
      </c>
      <c r="CA124" s="393">
        <f>BZ124/BV124-1</f>
        <v>4.933011550417632E-2</v>
      </c>
      <c r="CB124" s="396">
        <v>639840</v>
      </c>
      <c r="CC124" s="396">
        <v>644087</v>
      </c>
      <c r="CD124" s="397">
        <f>CC124</f>
        <v>644087</v>
      </c>
      <c r="CE124" s="393">
        <f>CD124/BZ124-1</f>
        <v>1.6012657429141042E-2</v>
      </c>
      <c r="CF124" s="396">
        <v>650406</v>
      </c>
      <c r="CG124" s="396">
        <v>653021</v>
      </c>
      <c r="CH124" s="397">
        <f>CG124</f>
        <v>653021</v>
      </c>
      <c r="CI124" s="393">
        <f>CH124/CD124-1</f>
        <v>1.3870796957553777E-2</v>
      </c>
      <c r="CJ124" s="396">
        <v>662938</v>
      </c>
      <c r="CK124" s="396">
        <v>674478</v>
      </c>
      <c r="CL124" s="397">
        <f>CK124</f>
        <v>674478</v>
      </c>
      <c r="CM124" s="393">
        <f>CL124/CH124-1</f>
        <v>3.2858055100831285E-2</v>
      </c>
      <c r="CN124" s="396">
        <v>686086</v>
      </c>
      <c r="CO124" s="396">
        <v>705595</v>
      </c>
      <c r="CP124" s="397">
        <f>CO124</f>
        <v>705595</v>
      </c>
      <c r="CQ124" s="393">
        <f>CP124/CL124-1</f>
        <v>4.6134936943829086E-2</v>
      </c>
      <c r="CR124" s="396">
        <v>733615</v>
      </c>
      <c r="CS124" s="396">
        <v>769637</v>
      </c>
      <c r="CT124" s="397">
        <f>CS124</f>
        <v>769637</v>
      </c>
      <c r="CU124" s="393">
        <f>CT124/CP124-1</f>
        <v>9.0763114817990598E-2</v>
      </c>
      <c r="CV124" s="396">
        <v>795101</v>
      </c>
      <c r="CW124" s="396">
        <v>815994</v>
      </c>
      <c r="CX124" s="397">
        <f>CW124</f>
        <v>815994</v>
      </c>
      <c r="CY124" s="393">
        <f>CX124/CT124-1</f>
        <v>6.0232291326950183E-2</v>
      </c>
      <c r="CZ124" s="396">
        <v>812097</v>
      </c>
      <c r="DA124" s="396">
        <v>832334</v>
      </c>
      <c r="DB124" s="397">
        <f>DA124</f>
        <v>832334</v>
      </c>
      <c r="DC124" s="393">
        <f>DB124/CX124-1</f>
        <v>2.002465704404699E-2</v>
      </c>
      <c r="DD124" s="396">
        <v>855258</v>
      </c>
      <c r="DE124" s="396">
        <v>887136</v>
      </c>
      <c r="DF124" s="397">
        <f>DE124</f>
        <v>887136</v>
      </c>
      <c r="DG124" s="393">
        <f>DF124/DB124-1</f>
        <v>6.5841356955260721E-2</v>
      </c>
      <c r="DH124" s="396">
        <v>924822</v>
      </c>
      <c r="DI124" s="397">
        <f>SUM(DI122:DI123)</f>
        <v>960659.71500000008</v>
      </c>
      <c r="DJ124" s="397">
        <f>DI124</f>
        <v>960659.71500000008</v>
      </c>
      <c r="DK124" s="393">
        <f>DJ124/DF124-1</f>
        <v>8.2877614029867042E-2</v>
      </c>
      <c r="DL124" s="397">
        <f>SUM(DL122:DL123)</f>
        <v>990173.39610000001</v>
      </c>
      <c r="DM124" s="397">
        <f>SUM(DM122:DM123)</f>
        <v>1022559.0498273751</v>
      </c>
      <c r="DN124" s="397">
        <f>DM124</f>
        <v>1022559.0498273751</v>
      </c>
      <c r="DO124" s="393">
        <f>DN124/DJ124-1</f>
        <v>6.4434194398767852E-2</v>
      </c>
      <c r="DP124" s="397">
        <f>SUM(DP122:DP123)</f>
        <v>1047656.5389120356</v>
      </c>
      <c r="DQ124" s="397">
        <f>SUM(DQ122:DQ123)</f>
        <v>1075397.1300735981</v>
      </c>
      <c r="DR124" s="397">
        <f>DQ124</f>
        <v>1075397.1300735981</v>
      </c>
      <c r="DS124" s="393">
        <f>DR124/DN124-1</f>
        <v>5.1672399999924679E-2</v>
      </c>
      <c r="DT124" s="1"/>
      <c r="DU124" s="1"/>
      <c r="DV124" s="1"/>
      <c r="DW124" s="1"/>
      <c r="DX124" s="1"/>
      <c r="DY124" s="1"/>
      <c r="DZ124" s="1"/>
      <c r="EA124" s="1"/>
      <c r="EB124" s="1"/>
      <c r="EC124" s="1"/>
      <c r="ED124" s="1"/>
      <c r="EE124" s="1"/>
      <c r="EF124" s="1"/>
      <c r="EG124" s="1"/>
      <c r="EH124" s="1"/>
      <c r="EI124" s="1"/>
      <c r="EJ124" s="1"/>
      <c r="EK124" s="1"/>
      <c r="EL124" s="1"/>
      <c r="EM124" s="1"/>
      <c r="EN124" s="1"/>
      <c r="EO124" s="1"/>
      <c r="EP124" s="1"/>
      <c r="EQ124" s="1"/>
      <c r="ER124" s="1"/>
      <c r="ES124" s="1"/>
      <c r="ET124" s="1"/>
      <c r="EU124" s="1"/>
      <c r="EV124" s="1"/>
      <c r="EW124" s="1"/>
      <c r="EX124" s="1"/>
      <c r="EY124" s="1"/>
      <c r="EZ124" s="1"/>
      <c r="FA124" s="1"/>
      <c r="FB124" s="1"/>
      <c r="FC124" s="1"/>
      <c r="FD124" s="1"/>
      <c r="FE124" s="1"/>
      <c r="FF124" s="1"/>
      <c r="FG124" s="1"/>
      <c r="FH124" s="1"/>
      <c r="FI124" s="1"/>
      <c r="FJ124" s="1"/>
      <c r="FK124" s="1"/>
      <c r="FL124" s="1"/>
      <c r="FM124" s="1"/>
      <c r="FN124" s="1"/>
      <c r="FO124" s="1"/>
      <c r="FP124" s="1"/>
      <c r="FQ124" s="1"/>
      <c r="FR124" s="1"/>
      <c r="FS124" s="1"/>
      <c r="FT124" s="1"/>
      <c r="FU124" s="1"/>
      <c r="FV124" s="1"/>
      <c r="FW124" s="1"/>
      <c r="FX124" s="1"/>
      <c r="FY124" s="1"/>
      <c r="FZ124" s="1"/>
      <c r="GA124" s="1"/>
      <c r="GB124" s="1"/>
      <c r="GC124" s="1"/>
      <c r="GD124" s="1"/>
      <c r="GE124" s="1"/>
      <c r="GF124" s="1"/>
      <c r="GG124" s="1"/>
      <c r="GH124" s="1"/>
      <c r="GI124" s="1"/>
      <c r="GJ124" s="1"/>
      <c r="GK124" s="1"/>
      <c r="GL124" s="1"/>
      <c r="GM124" s="1"/>
      <c r="GN124" s="1"/>
      <c r="GO124" s="1"/>
      <c r="GP124" s="1"/>
      <c r="GQ124" s="1"/>
      <c r="GR124" s="1"/>
      <c r="GS124" s="1"/>
      <c r="GT124" s="1"/>
      <c r="GU124" s="1"/>
      <c r="GV124" s="1"/>
      <c r="GW124" s="1"/>
      <c r="GX124" s="1"/>
      <c r="GY124" s="1"/>
      <c r="GZ124" s="1"/>
      <c r="HA124" s="1"/>
      <c r="HB124" s="1"/>
      <c r="HC124" s="1"/>
      <c r="HD124" s="1"/>
      <c r="HE124" s="1"/>
      <c r="HF124" s="1"/>
      <c r="HG124" s="1"/>
      <c r="HH124" s="1"/>
      <c r="HI124" s="1"/>
      <c r="HJ124" s="1"/>
      <c r="HK124" s="1"/>
      <c r="HL124" s="1"/>
      <c r="HM124" s="1"/>
      <c r="HN124" s="1"/>
      <c r="HO124" s="1"/>
      <c r="HP124" s="1"/>
      <c r="HQ124" s="1"/>
      <c r="HR124" s="1"/>
      <c r="HS124" s="1"/>
      <c r="HT124" s="1"/>
      <c r="HU124" s="1"/>
      <c r="HV124" s="1"/>
      <c r="HW124" s="1"/>
      <c r="HX124" s="1"/>
      <c r="HY124" s="1"/>
      <c r="HZ124" s="1"/>
      <c r="IA124" s="1"/>
      <c r="IB124" s="1"/>
      <c r="IC124" s="1"/>
      <c r="ID124" s="1"/>
      <c r="IE124" s="1"/>
      <c r="IF124" s="1"/>
      <c r="IG124" s="1"/>
      <c r="IH124" s="1"/>
      <c r="II124" s="1"/>
      <c r="IJ124" s="1"/>
      <c r="IK124" s="1"/>
      <c r="IL124" s="1"/>
      <c r="IM124" s="1"/>
      <c r="IN124" s="1"/>
      <c r="IO124" s="1"/>
      <c r="IP124" s="1"/>
      <c r="IQ124" s="1"/>
      <c r="IR124" s="1"/>
      <c r="IS124" s="1"/>
      <c r="IT124" s="1"/>
      <c r="IU124" s="1"/>
      <c r="IV124" s="1"/>
      <c r="IW124" s="1"/>
      <c r="IX124" s="1"/>
      <c r="IY124" s="1"/>
      <c r="IZ124" s="1"/>
      <c r="JA124" s="1"/>
      <c r="JB124" s="1"/>
      <c r="JC124" s="1"/>
      <c r="JD124" s="1"/>
    </row>
    <row r="125" spans="1:264" s="347" customFormat="1" x14ac:dyDescent="0.2">
      <c r="A125" s="424" t="s">
        <v>273</v>
      </c>
      <c r="B125" s="348"/>
      <c r="BH125" s="398"/>
      <c r="BI125" s="348"/>
      <c r="BJ125" s="348"/>
      <c r="BK125" s="348"/>
      <c r="BL125" s="398"/>
      <c r="BM125" s="348"/>
      <c r="BN125" s="348"/>
      <c r="BO125" s="348"/>
      <c r="BP125" s="398"/>
      <c r="BQ125" s="348"/>
      <c r="BR125" s="348"/>
      <c r="BT125" s="398"/>
      <c r="BU125" s="348"/>
      <c r="BV125" s="348"/>
      <c r="BX125" s="398"/>
      <c r="BY125" s="348"/>
      <c r="BZ125" s="348"/>
      <c r="CB125" s="398"/>
      <c r="CC125" s="348"/>
      <c r="CD125" s="348"/>
      <c r="CF125" s="462"/>
      <c r="CG125" s="348"/>
      <c r="CH125" s="348"/>
      <c r="CJ125" s="462"/>
      <c r="CK125" s="348"/>
      <c r="CL125" s="348"/>
      <c r="CN125" s="462"/>
      <c r="CO125" s="348"/>
      <c r="CP125" s="348"/>
      <c r="CR125" s="462"/>
      <c r="CS125" s="348"/>
      <c r="CT125" s="348"/>
      <c r="CV125" s="462"/>
      <c r="CW125" s="348"/>
      <c r="CX125" s="348"/>
      <c r="CZ125" s="462"/>
      <c r="DA125" s="348"/>
      <c r="DB125" s="348"/>
      <c r="DD125" s="462"/>
      <c r="DE125" s="348"/>
      <c r="DF125" s="348"/>
      <c r="DH125" s="462"/>
      <c r="DI125" s="348"/>
      <c r="DJ125" s="348"/>
      <c r="DL125" s="348"/>
      <c r="DM125" s="348"/>
      <c r="DN125" s="348"/>
      <c r="DP125" s="348"/>
      <c r="DQ125" s="348"/>
      <c r="DR125" s="348"/>
      <c r="DT125" s="1"/>
      <c r="DU125" s="1"/>
      <c r="DV125" s="1"/>
      <c r="DW125" s="1"/>
      <c r="DX125" s="1"/>
      <c r="DY125" s="1"/>
      <c r="DZ125" s="1"/>
      <c r="EA125" s="1"/>
      <c r="EB125" s="1"/>
      <c r="EC125" s="1"/>
      <c r="ED125" s="1"/>
      <c r="EE125" s="1"/>
      <c r="EF125" s="1"/>
      <c r="EG125" s="1"/>
      <c r="EH125" s="1"/>
      <c r="EI125" s="1"/>
      <c r="EJ125" s="1"/>
      <c r="EK125" s="1"/>
      <c r="EL125" s="1"/>
      <c r="EM125" s="1"/>
      <c r="EN125" s="1"/>
      <c r="EO125" s="1"/>
      <c r="EP125" s="1"/>
      <c r="EQ125" s="1"/>
      <c r="ER125" s="1"/>
      <c r="ES125" s="1"/>
      <c r="ET125" s="1"/>
      <c r="EU125" s="1"/>
      <c r="EV125" s="1"/>
      <c r="EW125" s="1"/>
      <c r="EX125" s="1"/>
      <c r="EY125" s="1"/>
      <c r="EZ125" s="1"/>
      <c r="FA125" s="1"/>
      <c r="FB125" s="1"/>
      <c r="FC125" s="1"/>
      <c r="FD125" s="1"/>
      <c r="FE125" s="1"/>
      <c r="FF125" s="1"/>
      <c r="FG125" s="1"/>
      <c r="FH125" s="1"/>
      <c r="FI125" s="1"/>
      <c r="FJ125" s="1"/>
      <c r="FK125" s="1"/>
      <c r="FL125" s="1"/>
      <c r="FM125" s="1"/>
      <c r="FN125" s="1"/>
      <c r="FO125" s="1"/>
      <c r="FP125" s="1"/>
      <c r="FQ125" s="1"/>
      <c r="FR125" s="1"/>
      <c r="FS125" s="1"/>
      <c r="FT125" s="1"/>
      <c r="FU125" s="1"/>
      <c r="FV125" s="1"/>
      <c r="FW125" s="1"/>
      <c r="FX125" s="1"/>
      <c r="FY125" s="1"/>
      <c r="FZ125" s="1"/>
      <c r="GA125" s="1"/>
      <c r="GB125" s="1"/>
      <c r="GC125" s="1"/>
      <c r="GD125" s="1"/>
      <c r="GE125" s="1"/>
      <c r="GF125" s="1"/>
      <c r="GG125" s="1"/>
      <c r="GH125" s="1"/>
      <c r="GI125" s="1"/>
      <c r="GJ125" s="1"/>
      <c r="GK125" s="1"/>
      <c r="GL125" s="1"/>
      <c r="GM125" s="1"/>
      <c r="GN125" s="1"/>
      <c r="GO125" s="1"/>
      <c r="GP125" s="1"/>
      <c r="GQ125" s="1"/>
      <c r="GR125" s="1"/>
      <c r="GS125" s="1"/>
      <c r="GT125" s="1"/>
      <c r="GU125" s="1"/>
      <c r="GV125" s="1"/>
      <c r="GW125" s="1"/>
      <c r="GX125" s="1"/>
      <c r="GY125" s="1"/>
      <c r="GZ125" s="1"/>
      <c r="HA125" s="1"/>
      <c r="HB125" s="1"/>
      <c r="HC125" s="1"/>
      <c r="HD125" s="1"/>
      <c r="HE125" s="1"/>
      <c r="HF125" s="1"/>
      <c r="HG125" s="1"/>
      <c r="HH125" s="1"/>
      <c r="HI125" s="1"/>
      <c r="HJ125" s="1"/>
      <c r="HK125" s="1"/>
      <c r="HL125" s="1"/>
      <c r="HM125" s="1"/>
      <c r="HN125" s="1"/>
      <c r="HO125" s="1"/>
      <c r="HP125" s="1"/>
      <c r="HQ125" s="1"/>
      <c r="HR125" s="1"/>
      <c r="HS125" s="1"/>
      <c r="HT125" s="1"/>
      <c r="HU125" s="1"/>
      <c r="HV125" s="1"/>
      <c r="HW125" s="1"/>
      <c r="HX125" s="1"/>
      <c r="HY125" s="1"/>
      <c r="HZ125" s="1"/>
      <c r="IA125" s="1"/>
      <c r="IB125" s="1"/>
      <c r="IC125" s="1"/>
      <c r="ID125" s="1"/>
      <c r="IE125" s="1"/>
      <c r="IF125" s="1"/>
      <c r="IG125" s="1"/>
      <c r="IH125" s="1"/>
      <c r="II125" s="1"/>
      <c r="IJ125" s="1"/>
      <c r="IK125" s="1"/>
      <c r="IL125" s="1"/>
      <c r="IM125" s="1"/>
      <c r="IN125" s="1"/>
      <c r="IO125" s="1"/>
      <c r="IP125" s="1"/>
      <c r="IQ125" s="1"/>
      <c r="IR125" s="1"/>
      <c r="IS125" s="1"/>
      <c r="IT125" s="1"/>
      <c r="IU125" s="1"/>
      <c r="IV125" s="1"/>
      <c r="IW125" s="1"/>
      <c r="IX125" s="1"/>
      <c r="IY125" s="1"/>
      <c r="IZ125" s="1"/>
      <c r="JA125" s="1"/>
      <c r="JB125" s="1"/>
      <c r="JC125" s="1"/>
      <c r="JD125" s="1"/>
    </row>
    <row r="126" spans="1:264" s="347" customFormat="1" x14ac:dyDescent="0.2">
      <c r="A126" s="436" t="str">
        <f>+A122</f>
        <v>Housing Loans</v>
      </c>
      <c r="B126" s="437" t="s">
        <v>236</v>
      </c>
      <c r="C126" s="463"/>
      <c r="D126" s="463"/>
      <c r="E126" s="463"/>
      <c r="F126" s="463"/>
      <c r="G126" s="463"/>
      <c r="H126" s="463"/>
      <c r="I126" s="463"/>
      <c r="J126" s="463"/>
      <c r="K126" s="463"/>
      <c r="L126" s="463"/>
      <c r="M126" s="463"/>
      <c r="N126" s="463"/>
      <c r="O126" s="463"/>
      <c r="P126" s="463"/>
      <c r="Q126" s="463"/>
      <c r="R126" s="463"/>
      <c r="S126" s="463"/>
      <c r="T126" s="463"/>
      <c r="U126" s="463"/>
      <c r="V126" s="463"/>
      <c r="W126" s="463"/>
      <c r="X126" s="463"/>
      <c r="Y126" s="463"/>
      <c r="Z126" s="463"/>
      <c r="AA126" s="463"/>
      <c r="AB126" s="463"/>
      <c r="AC126" s="463"/>
      <c r="AD126" s="463"/>
      <c r="AE126" s="463"/>
      <c r="AF126" s="463"/>
      <c r="AG126" s="463"/>
      <c r="AH126" s="463"/>
      <c r="AI126" s="463"/>
      <c r="AJ126" s="463"/>
      <c r="AK126" s="463"/>
      <c r="AL126" s="463"/>
      <c r="AM126" s="463"/>
      <c r="AN126" s="463"/>
      <c r="AO126" s="463"/>
      <c r="AP126" s="463"/>
      <c r="AQ126" s="463"/>
      <c r="AR126" s="463"/>
      <c r="AS126" s="463"/>
      <c r="AT126" s="463"/>
      <c r="AU126" s="463"/>
      <c r="AV126" s="463"/>
      <c r="AW126" s="463"/>
      <c r="AX126" s="463"/>
      <c r="AY126" s="463"/>
      <c r="AZ126" s="463"/>
      <c r="BA126" s="463"/>
      <c r="BB126" s="463"/>
      <c r="BC126" s="463"/>
      <c r="BD126" s="463"/>
      <c r="BE126" s="463"/>
      <c r="BF126" s="463"/>
      <c r="BG126" s="463"/>
      <c r="BH126" s="464"/>
      <c r="BI126" s="465">
        <f>+BI122/BH122-1</f>
        <v>3.173435563722049E-2</v>
      </c>
      <c r="BJ126" s="466"/>
      <c r="BK126" s="466"/>
      <c r="BL126" s="465">
        <f>+BL122/BI122-1</f>
        <v>3.0953514997500209E-2</v>
      </c>
      <c r="BM126" s="465">
        <f>+BM122/BL122-1</f>
        <v>3.3665627887490501E-2</v>
      </c>
      <c r="BN126" s="466"/>
      <c r="BO126" s="466"/>
      <c r="BP126" s="465">
        <f>+BP122/BM122-1</f>
        <v>2.7275150048026386E-2</v>
      </c>
      <c r="BQ126" s="465">
        <f>+BQ122/BP122-1</f>
        <v>3.5485065249173831E-2</v>
      </c>
      <c r="BR126" s="466"/>
      <c r="BS126" s="463"/>
      <c r="BT126" s="465">
        <f>+BT122/BQ122-1</f>
        <v>2.6674565602050171E-2</v>
      </c>
      <c r="BU126" s="465">
        <f>+BU122/BT122-1</f>
        <v>4.0816482161694978E-2</v>
      </c>
      <c r="BV126" s="466"/>
      <c r="BW126" s="463"/>
      <c r="BX126" s="465">
        <f>+BX122/BU122-1</f>
        <v>3.3486220607055195E-2</v>
      </c>
      <c r="BY126" s="465">
        <f>+BY122/BX122-1</f>
        <v>3.0770648662572064E-2</v>
      </c>
      <c r="BZ126" s="467"/>
      <c r="CA126" s="463"/>
      <c r="CB126" s="465">
        <f>+CB122/BY122-1</f>
        <v>1.781129064798348E-2</v>
      </c>
      <c r="CC126" s="465">
        <f>+CC122/CB122-1</f>
        <v>1.6699965987390541E-2</v>
      </c>
      <c r="CD126" s="467"/>
      <c r="CE126" s="463"/>
      <c r="CF126" s="465">
        <f>+CF122/CC122-1</f>
        <v>1.6873187450566762E-2</v>
      </c>
      <c r="CG126" s="465">
        <f>+CG122/CF122-1</f>
        <v>1.8253399363375111E-2</v>
      </c>
      <c r="CH126" s="467"/>
      <c r="CI126" s="463"/>
      <c r="CJ126" s="465">
        <f>+CJ122/CG122-1</f>
        <v>2.2124225170692569E-2</v>
      </c>
      <c r="CK126" s="465">
        <f>+CK122/CJ122-1</f>
        <v>1.6943653038197448E-2</v>
      </c>
      <c r="CL126" s="467"/>
      <c r="CM126" s="463"/>
      <c r="CN126" s="465">
        <f>+CN122/CK122-1</f>
        <v>2.5751603042435622E-2</v>
      </c>
      <c r="CO126" s="465">
        <f>+CO122/CN122-1</f>
        <v>3.5945856453377001E-2</v>
      </c>
      <c r="CP126" s="467"/>
      <c r="CQ126" s="447"/>
      <c r="CR126" s="465">
        <f>+CR122/CO122-1</f>
        <v>4.547118750447976E-2</v>
      </c>
      <c r="CS126" s="465">
        <f>+CS122/CR122-1</f>
        <v>3.1145657692378981E-2</v>
      </c>
      <c r="CT126" s="467"/>
      <c r="CU126" s="463"/>
      <c r="CV126" s="465">
        <f>+CV122/CS122-1</f>
        <v>2.5027897624254392E-2</v>
      </c>
      <c r="CW126" s="465">
        <f>+CW122/CV122-1</f>
        <v>2.349117415550106E-2</v>
      </c>
      <c r="CX126" s="467"/>
      <c r="CY126" s="463"/>
      <c r="CZ126" s="465">
        <f>+CZ122/CW122-1</f>
        <v>-3.1893009401757766E-3</v>
      </c>
      <c r="DA126" s="465">
        <f>+DA122/CZ122-1</f>
        <v>2.4711108056326481E-2</v>
      </c>
      <c r="DB126" s="467"/>
      <c r="DC126" s="463"/>
      <c r="DD126" s="465">
        <f>+DD122/DA122-1</f>
        <v>3.2155828998601477E-2</v>
      </c>
      <c r="DE126" s="465">
        <f>+DE122/DD122-1</f>
        <v>2.9800721988815893E-2</v>
      </c>
      <c r="DF126" s="467"/>
      <c r="DG126" s="463"/>
      <c r="DH126" s="465">
        <f>+DH122/DE122-1</f>
        <v>3.9205509059500043E-2</v>
      </c>
      <c r="DI126" s="468">
        <v>3.7499999999999999E-2</v>
      </c>
      <c r="DJ126" s="446"/>
      <c r="DK126" s="463"/>
      <c r="DL126" s="468">
        <v>3.2500000000000001E-2</v>
      </c>
      <c r="DM126" s="468">
        <v>0.03</v>
      </c>
      <c r="DN126" s="446"/>
      <c r="DO126" s="463"/>
      <c r="DP126" s="468">
        <v>2.5000000000000001E-2</v>
      </c>
      <c r="DQ126" s="468">
        <v>2.5000000000000001E-2</v>
      </c>
      <c r="DR126" s="446"/>
      <c r="DS126" s="463"/>
      <c r="DT126" s="1"/>
      <c r="DU126" s="1"/>
      <c r="DV126" s="1"/>
      <c r="DW126" s="1"/>
      <c r="DX126" s="1"/>
      <c r="DY126" s="1"/>
      <c r="DZ126" s="1"/>
      <c r="EA126" s="1"/>
      <c r="EB126" s="1"/>
      <c r="EC126" s="1"/>
      <c r="ED126" s="1"/>
      <c r="EE126" s="1"/>
      <c r="EF126" s="1"/>
      <c r="EG126" s="1"/>
      <c r="EH126" s="1"/>
      <c r="EI126" s="1"/>
      <c r="EJ126" s="1"/>
      <c r="EK126" s="1"/>
      <c r="EL126" s="1"/>
      <c r="EM126" s="1"/>
      <c r="EN126" s="1"/>
      <c r="EO126" s="1"/>
      <c r="EP126" s="1"/>
      <c r="EQ126" s="1"/>
      <c r="ER126" s="1"/>
      <c r="ES126" s="1"/>
      <c r="ET126" s="1"/>
      <c r="EU126" s="1"/>
      <c r="EV126" s="1"/>
      <c r="EW126" s="1"/>
      <c r="EX126" s="1"/>
      <c r="EY126" s="1"/>
      <c r="EZ126" s="1"/>
      <c r="FA126" s="1"/>
      <c r="FB126" s="1"/>
      <c r="FC126" s="1"/>
      <c r="FD126" s="1"/>
      <c r="FE126" s="1"/>
      <c r="FF126" s="1"/>
      <c r="FG126" s="1"/>
      <c r="FH126" s="1"/>
      <c r="FI126" s="1"/>
      <c r="FJ126" s="1"/>
      <c r="FK126" s="1"/>
      <c r="FL126" s="1"/>
      <c r="FM126" s="1"/>
      <c r="FN126" s="1"/>
      <c r="FO126" s="1"/>
      <c r="FP126" s="1"/>
      <c r="FQ126" s="1"/>
      <c r="FR126" s="1"/>
      <c r="FS126" s="1"/>
      <c r="FT126" s="1"/>
      <c r="FU126" s="1"/>
      <c r="FV126" s="1"/>
      <c r="FW126" s="1"/>
      <c r="FX126" s="1"/>
      <c r="FY126" s="1"/>
      <c r="FZ126" s="1"/>
      <c r="GA126" s="1"/>
      <c r="GB126" s="1"/>
      <c r="GC126" s="1"/>
      <c r="GD126" s="1"/>
      <c r="GE126" s="1"/>
      <c r="GF126" s="1"/>
      <c r="GG126" s="1"/>
      <c r="GH126" s="1"/>
      <c r="GI126" s="1"/>
      <c r="GJ126" s="1"/>
      <c r="GK126" s="1"/>
      <c r="GL126" s="1"/>
      <c r="GM126" s="1"/>
      <c r="GN126" s="1"/>
      <c r="GO126" s="1"/>
      <c r="GP126" s="1"/>
      <c r="GQ126" s="1"/>
      <c r="GR126" s="1"/>
      <c r="GS126" s="1"/>
      <c r="GT126" s="1"/>
      <c r="GU126" s="1"/>
      <c r="GV126" s="1"/>
      <c r="GW126" s="1"/>
      <c r="GX126" s="1"/>
      <c r="GY126" s="1"/>
      <c r="GZ126" s="1"/>
      <c r="HA126" s="1"/>
      <c r="HB126" s="1"/>
      <c r="HC126" s="1"/>
      <c r="HD126" s="1"/>
      <c r="HE126" s="1"/>
      <c r="HF126" s="1"/>
      <c r="HG126" s="1"/>
      <c r="HH126" s="1"/>
      <c r="HI126" s="1"/>
      <c r="HJ126" s="1"/>
      <c r="HK126" s="1"/>
      <c r="HL126" s="1"/>
      <c r="HM126" s="1"/>
      <c r="HN126" s="1"/>
      <c r="HO126" s="1"/>
      <c r="HP126" s="1"/>
      <c r="HQ126" s="1"/>
      <c r="HR126" s="1"/>
      <c r="HS126" s="1"/>
      <c r="HT126" s="1"/>
      <c r="HU126" s="1"/>
      <c r="HV126" s="1"/>
      <c r="HW126" s="1"/>
      <c r="HX126" s="1"/>
      <c r="HY126" s="1"/>
      <c r="HZ126" s="1"/>
      <c r="IA126" s="1"/>
      <c r="IB126" s="1"/>
      <c r="IC126" s="1"/>
      <c r="ID126" s="1"/>
      <c r="IE126" s="1"/>
      <c r="IF126" s="1"/>
      <c r="IG126" s="1"/>
      <c r="IH126" s="1"/>
      <c r="II126" s="1"/>
      <c r="IJ126" s="1"/>
      <c r="IK126" s="1"/>
      <c r="IL126" s="1"/>
      <c r="IM126" s="1"/>
      <c r="IN126" s="1"/>
      <c r="IO126" s="1"/>
      <c r="IP126" s="1"/>
      <c r="IQ126" s="1"/>
      <c r="IR126" s="1"/>
      <c r="IS126" s="1"/>
      <c r="IT126" s="1"/>
      <c r="IU126" s="1"/>
      <c r="IV126" s="1"/>
      <c r="IW126" s="1"/>
      <c r="IX126" s="1"/>
      <c r="IY126" s="1"/>
      <c r="IZ126" s="1"/>
      <c r="JA126" s="1"/>
      <c r="JB126" s="1"/>
      <c r="JC126" s="1"/>
      <c r="JD126" s="1"/>
    </row>
    <row r="127" spans="1:264" s="347" customFormat="1" x14ac:dyDescent="0.2">
      <c r="A127" s="429" t="str">
        <f>+A123</f>
        <v>Non Housing Loans</v>
      </c>
      <c r="B127" s="408" t="s">
        <v>236</v>
      </c>
      <c r="BH127" s="398"/>
      <c r="BI127" s="394">
        <f>+BI123/BH123-1</f>
        <v>2.5208569368627032E-2</v>
      </c>
      <c r="BJ127" s="348"/>
      <c r="BK127" s="348"/>
      <c r="BL127" s="394">
        <f>+BL123/BI123-1</f>
        <v>2.5656159738791873E-2</v>
      </c>
      <c r="BM127" s="394">
        <f>+BM123/BL123-1</f>
        <v>1.7594553891739029E-2</v>
      </c>
      <c r="BN127" s="348"/>
      <c r="BO127" s="348"/>
      <c r="BP127" s="394">
        <f>+BP123/BM123-1</f>
        <v>3.4466369871255065E-2</v>
      </c>
      <c r="BQ127" s="394">
        <f>+BQ123/BP123-1</f>
        <v>3.4516048363177454E-2</v>
      </c>
      <c r="BR127" s="348"/>
      <c r="BT127" s="394">
        <f>+BT123/BQ123-1</f>
        <v>6.0820534730498421E-2</v>
      </c>
      <c r="BU127" s="394">
        <f>+BU123/BT123-1</f>
        <v>3.1684710894898327E-2</v>
      </c>
      <c r="BV127" s="348"/>
      <c r="BX127" s="394">
        <f>+BX123/BU123-1</f>
        <v>-3.9294850063179565E-3</v>
      </c>
      <c r="BY127" s="394">
        <f>+BY123/BX123-1</f>
        <v>1.9776502318002098E-2</v>
      </c>
      <c r="BZ127" s="348"/>
      <c r="CB127" s="394">
        <f>+CB123/BY123-1</f>
        <v>-9.4310044904729606E-3</v>
      </c>
      <c r="CC127" s="394">
        <f>+CC123/CB123-1</f>
        <v>-1.6167484314936642E-2</v>
      </c>
      <c r="CD127" s="348"/>
      <c r="CF127" s="394">
        <f>+CF123/CC123-1</f>
        <v>-6.7299709422996568E-3</v>
      </c>
      <c r="CG127" s="394">
        <f>+CG123/CF123-1</f>
        <v>-3.010610010291348E-2</v>
      </c>
      <c r="CH127" s="348"/>
      <c r="CJ127" s="394">
        <f>+CJ123/CG123-1</f>
        <v>-2.278358289346083E-3</v>
      </c>
      <c r="CK127" s="394">
        <f>+CK123/CJ123-1</f>
        <v>1.8603194826087632E-2</v>
      </c>
      <c r="CL127" s="348"/>
      <c r="CN127" s="394">
        <f>+CN123/CK123-1</f>
        <v>-4.780504867953117E-3</v>
      </c>
      <c r="CO127" s="394">
        <f>+CO123/CN123-1</f>
        <v>8.5045877910969736E-3</v>
      </c>
      <c r="CP127" s="348"/>
      <c r="CR127" s="394">
        <f>+CR123/CO123-1</f>
        <v>2.4010180696807382E-2</v>
      </c>
      <c r="CS127" s="394">
        <f>+CS123/CR123-1</f>
        <v>9.9074384426969253E-2</v>
      </c>
      <c r="CT127" s="348"/>
      <c r="CV127" s="394">
        <f>+CV123/CS123-1</f>
        <v>5.4124557798234108E-2</v>
      </c>
      <c r="CW127" s="394">
        <f>+CW123/CV123-1</f>
        <v>3.3350543454071291E-2</v>
      </c>
      <c r="CX127" s="348"/>
      <c r="CZ127" s="394">
        <f>+CZ123/CW123-1</f>
        <v>-8.765242260958761E-3</v>
      </c>
      <c r="DA127" s="394">
        <f>+DA123/CZ123-1</f>
        <v>2.5446265621469344E-2</v>
      </c>
      <c r="DB127" s="348"/>
      <c r="DD127" s="394">
        <f>+DD123/DA123-1</f>
        <v>1.5882163499838953E-2</v>
      </c>
      <c r="DE127" s="394">
        <f>+DE123/DD123-1</f>
        <v>5.6457937064103847E-2</v>
      </c>
      <c r="DF127" s="348"/>
      <c r="DH127" s="394">
        <f>+DH123/DE123-1</f>
        <v>5.0676942879366305E-2</v>
      </c>
      <c r="DI127" s="394">
        <f>+DI123/DH123-1</f>
        <v>4.1847478072647659E-2</v>
      </c>
      <c r="DJ127" s="348"/>
      <c r="DL127" s="394">
        <f>+DL123/DI123-1</f>
        <v>2.6340181252928696E-2</v>
      </c>
      <c r="DM127" s="394">
        <f>+DM123/DL123-1</f>
        <v>3.9420151030491235E-2</v>
      </c>
      <c r="DN127" s="348"/>
      <c r="DP127" s="394">
        <f>+DP123/DM123-1</f>
        <v>2.342275768652291E-2</v>
      </c>
      <c r="DQ127" s="394">
        <f>+DQ123/DP123-1</f>
        <v>3.011805428406622E-2</v>
      </c>
      <c r="DR127" s="348"/>
      <c r="DT127" s="1"/>
      <c r="DU127" s="1"/>
      <c r="DV127" s="1"/>
      <c r="DW127" s="1"/>
      <c r="DX127" s="1"/>
      <c r="DY127" s="1"/>
      <c r="DZ127" s="1"/>
      <c r="EA127" s="1"/>
      <c r="EB127" s="1"/>
      <c r="EC127" s="1"/>
      <c r="ED127" s="1"/>
      <c r="EE127" s="1"/>
      <c r="EF127" s="1"/>
      <c r="EG127" s="1"/>
      <c r="EH127" s="1"/>
      <c r="EI127" s="1"/>
      <c r="EJ127" s="1"/>
      <c r="EK127" s="1"/>
      <c r="EL127" s="1"/>
      <c r="EM127" s="1"/>
      <c r="EN127" s="1"/>
      <c r="EO127" s="1"/>
      <c r="EP127" s="1"/>
      <c r="EQ127" s="1"/>
      <c r="ER127" s="1"/>
      <c r="ES127" s="1"/>
      <c r="ET127" s="1"/>
      <c r="EU127" s="1"/>
      <c r="EV127" s="1"/>
      <c r="EW127" s="1"/>
      <c r="EX127" s="1"/>
      <c r="EY127" s="1"/>
      <c r="EZ127" s="1"/>
      <c r="FA127" s="1"/>
      <c r="FB127" s="1"/>
      <c r="FC127" s="1"/>
      <c r="FD127" s="1"/>
      <c r="FE127" s="1"/>
      <c r="FF127" s="1"/>
      <c r="FG127" s="1"/>
      <c r="FH127" s="1"/>
      <c r="FI127" s="1"/>
      <c r="FJ127" s="1"/>
      <c r="FK127" s="1"/>
      <c r="FL127" s="1"/>
      <c r="FM127" s="1"/>
      <c r="FN127" s="1"/>
      <c r="FO127" s="1"/>
      <c r="FP127" s="1"/>
      <c r="FQ127" s="1"/>
      <c r="FR127" s="1"/>
      <c r="FS127" s="1"/>
      <c r="FT127" s="1"/>
      <c r="FU127" s="1"/>
      <c r="FV127" s="1"/>
      <c r="FW127" s="1"/>
      <c r="FX127" s="1"/>
      <c r="FY127" s="1"/>
      <c r="FZ127" s="1"/>
      <c r="GA127" s="1"/>
      <c r="GB127" s="1"/>
      <c r="GC127" s="1"/>
      <c r="GD127" s="1"/>
      <c r="GE127" s="1"/>
      <c r="GF127" s="1"/>
      <c r="GG127" s="1"/>
      <c r="GH127" s="1"/>
      <c r="GI127" s="1"/>
      <c r="GJ127" s="1"/>
      <c r="GK127" s="1"/>
      <c r="GL127" s="1"/>
      <c r="GM127" s="1"/>
      <c r="GN127" s="1"/>
      <c r="GO127" s="1"/>
      <c r="GP127" s="1"/>
      <c r="GQ127" s="1"/>
      <c r="GR127" s="1"/>
      <c r="GS127" s="1"/>
      <c r="GT127" s="1"/>
      <c r="GU127" s="1"/>
      <c r="GV127" s="1"/>
      <c r="GW127" s="1"/>
      <c r="GX127" s="1"/>
      <c r="GY127" s="1"/>
      <c r="GZ127" s="1"/>
      <c r="HA127" s="1"/>
      <c r="HB127" s="1"/>
      <c r="HC127" s="1"/>
      <c r="HD127" s="1"/>
      <c r="HE127" s="1"/>
      <c r="HF127" s="1"/>
      <c r="HG127" s="1"/>
      <c r="HH127" s="1"/>
      <c r="HI127" s="1"/>
      <c r="HJ127" s="1"/>
      <c r="HK127" s="1"/>
      <c r="HL127" s="1"/>
      <c r="HM127" s="1"/>
      <c r="HN127" s="1"/>
      <c r="HO127" s="1"/>
      <c r="HP127" s="1"/>
      <c r="HQ127" s="1"/>
      <c r="HR127" s="1"/>
      <c r="HS127" s="1"/>
      <c r="HT127" s="1"/>
      <c r="HU127" s="1"/>
      <c r="HV127" s="1"/>
      <c r="HW127" s="1"/>
      <c r="HX127" s="1"/>
      <c r="HY127" s="1"/>
      <c r="HZ127" s="1"/>
      <c r="IA127" s="1"/>
      <c r="IB127" s="1"/>
      <c r="IC127" s="1"/>
      <c r="ID127" s="1"/>
      <c r="IE127" s="1"/>
      <c r="IF127" s="1"/>
      <c r="IG127" s="1"/>
      <c r="IH127" s="1"/>
      <c r="II127" s="1"/>
      <c r="IJ127" s="1"/>
      <c r="IK127" s="1"/>
      <c r="IL127" s="1"/>
      <c r="IM127" s="1"/>
      <c r="IN127" s="1"/>
      <c r="IO127" s="1"/>
      <c r="IP127" s="1"/>
      <c r="IQ127" s="1"/>
      <c r="IR127" s="1"/>
      <c r="IS127" s="1"/>
      <c r="IT127" s="1"/>
      <c r="IU127" s="1"/>
      <c r="IV127" s="1"/>
      <c r="IW127" s="1"/>
      <c r="IX127" s="1"/>
      <c r="IY127" s="1"/>
      <c r="IZ127" s="1"/>
      <c r="JA127" s="1"/>
      <c r="JB127" s="1"/>
      <c r="JC127" s="1"/>
      <c r="JD127" s="1"/>
    </row>
    <row r="128" spans="1:264" s="347" customFormat="1" x14ac:dyDescent="0.2">
      <c r="A128" s="424" t="str">
        <f>+A124</f>
        <v>Total Loans</v>
      </c>
      <c r="B128" s="348" t="s">
        <v>140</v>
      </c>
      <c r="BH128" s="398"/>
      <c r="BI128" s="428">
        <f>+BI124/BH124-1</f>
        <v>2.96353810795702E-2</v>
      </c>
      <c r="BJ128" s="348"/>
      <c r="BK128" s="348"/>
      <c r="BL128" s="428">
        <f>+BL124/BI124-1</f>
        <v>2.9256982442593005E-2</v>
      </c>
      <c r="BM128" s="428">
        <f>+BM124/BL124-1</f>
        <v>2.8536707357101454E-2</v>
      </c>
      <c r="BN128" s="348"/>
      <c r="BO128" s="348"/>
      <c r="BP128" s="428">
        <f>+BP124/BM124-1</f>
        <v>2.9545739479292843E-2</v>
      </c>
      <c r="BQ128" s="428">
        <f>+BQ124/BP124-1</f>
        <v>3.5177640998391047E-2</v>
      </c>
      <c r="BR128" s="348"/>
      <c r="BT128" s="428">
        <f>+BT124/BQ124-1</f>
        <v>3.7500579262750078E-2</v>
      </c>
      <c r="BU128" s="428">
        <f>+BU124/BT124-1</f>
        <v>3.7856168548938474E-2</v>
      </c>
      <c r="BV128" s="348"/>
      <c r="BX128" s="428">
        <f>+BX124/BU124-1</f>
        <v>2.1429020713947589E-2</v>
      </c>
      <c r="BY128" s="428">
        <f>+BY124/BX124-1</f>
        <v>2.7315745122188373E-2</v>
      </c>
      <c r="BZ128" s="348"/>
      <c r="CB128" s="428">
        <f>+CB124/BY124-1</f>
        <v>9.3132429772091463E-3</v>
      </c>
      <c r="CC128" s="428">
        <f>+CC124/CB124-1</f>
        <v>6.6375968992247181E-3</v>
      </c>
      <c r="CD128" s="348"/>
      <c r="CF128" s="428">
        <f>+CF124/CC124-1</f>
        <v>9.8107864310257309E-3</v>
      </c>
      <c r="CG128" s="428">
        <f>+CG124/CF124-1</f>
        <v>4.0205656159384429E-3</v>
      </c>
      <c r="CH128" s="348"/>
      <c r="CJ128" s="428">
        <f>+CJ124/CG124-1</f>
        <v>1.5186341633729894E-2</v>
      </c>
      <c r="CK128" s="428">
        <f>+CK124/CJ124-1</f>
        <v>1.740735936090565E-2</v>
      </c>
      <c r="CL128" s="348"/>
      <c r="CN128" s="428">
        <f>+CN124/CK124-1</f>
        <v>1.7210346371564489E-2</v>
      </c>
      <c r="CO128" s="428">
        <f>+CO124/CN124-1</f>
        <v>2.8435210746174722E-2</v>
      </c>
      <c r="CP128" s="348"/>
      <c r="CR128" s="428">
        <f>+CR124/CO124-1</f>
        <v>3.9711165753725686E-2</v>
      </c>
      <c r="CS128" s="428">
        <f>+CS124/CR124-1</f>
        <v>4.9102049440101325E-2</v>
      </c>
      <c r="CT128" s="348"/>
      <c r="CV128" s="428">
        <f>+CV124/CS124-1</f>
        <v>3.3085727427345724E-2</v>
      </c>
      <c r="CW128" s="428">
        <f>+CW124/CV124-1</f>
        <v>2.6277164787869678E-2</v>
      </c>
      <c r="CX128" s="348"/>
      <c r="CZ128" s="428">
        <f>+CZ124/CW124-1</f>
        <v>-4.7757704100765963E-3</v>
      </c>
      <c r="DA128" s="428">
        <f>+DA124/CZ124-1</f>
        <v>2.4919436963811048E-2</v>
      </c>
      <c r="DB128" s="348"/>
      <c r="DD128" s="428">
        <f>+DD124/DA124-1</f>
        <v>2.7541828160329906E-2</v>
      </c>
      <c r="DE128" s="428">
        <f>+DE124/DD124-1</f>
        <v>3.7272963246178348E-2</v>
      </c>
      <c r="DF128" s="348"/>
      <c r="DH128" s="428">
        <f>+DH124/DE124-1</f>
        <v>4.2480521588572628E-2</v>
      </c>
      <c r="DI128" s="428">
        <f>+DI124/DH124-1</f>
        <v>3.8750932611897326E-2</v>
      </c>
      <c r="DJ128" s="348"/>
      <c r="DL128" s="428">
        <f>+DL124/DI124-1</f>
        <v>3.0722305348257484E-2</v>
      </c>
      <c r="DM128" s="428">
        <f>+DM124/DL124-1</f>
        <v>3.270705298176324E-2</v>
      </c>
      <c r="DN128" s="348"/>
      <c r="DP128" s="428">
        <f>+DP124/DM124-1</f>
        <v>2.4543804183139839E-2</v>
      </c>
      <c r="DQ128" s="428">
        <f>+DQ124/DP124-1</f>
        <v>2.6478707602369811E-2</v>
      </c>
      <c r="DR128" s="348"/>
      <c r="DT128" s="1"/>
      <c r="DU128" s="1"/>
      <c r="DV128" s="1"/>
      <c r="DW128" s="1"/>
      <c r="DX128" s="1"/>
      <c r="DY128" s="1"/>
      <c r="DZ128" s="1"/>
      <c r="EA128" s="1"/>
      <c r="EB128" s="1"/>
      <c r="EC128" s="1"/>
      <c r="ED128" s="1"/>
      <c r="EE128" s="1"/>
      <c r="EF128" s="1"/>
      <c r="EG128" s="1"/>
      <c r="EH128" s="1"/>
      <c r="EI128" s="1"/>
      <c r="EJ128" s="1"/>
      <c r="EK128" s="1"/>
      <c r="EL128" s="1"/>
      <c r="EM128" s="1"/>
      <c r="EN128" s="1"/>
      <c r="EO128" s="1"/>
      <c r="EP128" s="1"/>
      <c r="EQ128" s="1"/>
      <c r="ER128" s="1"/>
      <c r="ES128" s="1"/>
      <c r="ET128" s="1"/>
      <c r="EU128" s="1"/>
      <c r="EV128" s="1"/>
      <c r="EW128" s="1"/>
      <c r="EX128" s="1"/>
      <c r="EY128" s="1"/>
      <c r="EZ128" s="1"/>
      <c r="FA128" s="1"/>
      <c r="FB128" s="1"/>
      <c r="FC128" s="1"/>
      <c r="FD128" s="1"/>
      <c r="FE128" s="1"/>
      <c r="FF128" s="1"/>
      <c r="FG128" s="1"/>
      <c r="FH128" s="1"/>
      <c r="FI128" s="1"/>
      <c r="FJ128" s="1"/>
      <c r="FK128" s="1"/>
      <c r="FL128" s="1"/>
      <c r="FM128" s="1"/>
      <c r="FN128" s="1"/>
      <c r="FO128" s="1"/>
      <c r="FP128" s="1"/>
      <c r="FQ128" s="1"/>
      <c r="FR128" s="1"/>
      <c r="FS128" s="1"/>
      <c r="FT128" s="1"/>
      <c r="FU128" s="1"/>
      <c r="FV128" s="1"/>
      <c r="FW128" s="1"/>
      <c r="FX128" s="1"/>
      <c r="FY128" s="1"/>
      <c r="FZ128" s="1"/>
      <c r="GA128" s="1"/>
      <c r="GB128" s="1"/>
      <c r="GC128" s="1"/>
      <c r="GD128" s="1"/>
      <c r="GE128" s="1"/>
      <c r="GF128" s="1"/>
      <c r="GG128" s="1"/>
      <c r="GH128" s="1"/>
      <c r="GI128" s="1"/>
      <c r="GJ128" s="1"/>
      <c r="GK128" s="1"/>
      <c r="GL128" s="1"/>
      <c r="GM128" s="1"/>
      <c r="GN128" s="1"/>
      <c r="GO128" s="1"/>
      <c r="GP128" s="1"/>
      <c r="GQ128" s="1"/>
      <c r="GR128" s="1"/>
      <c r="GS128" s="1"/>
      <c r="GT128" s="1"/>
      <c r="GU128" s="1"/>
      <c r="GV128" s="1"/>
      <c r="GW128" s="1"/>
      <c r="GX128" s="1"/>
      <c r="GY128" s="1"/>
      <c r="GZ128" s="1"/>
      <c r="HA128" s="1"/>
      <c r="HB128" s="1"/>
      <c r="HC128" s="1"/>
      <c r="HD128" s="1"/>
      <c r="HE128" s="1"/>
      <c r="HF128" s="1"/>
      <c r="HG128" s="1"/>
      <c r="HH128" s="1"/>
      <c r="HI128" s="1"/>
      <c r="HJ128" s="1"/>
      <c r="HK128" s="1"/>
      <c r="HL128" s="1"/>
      <c r="HM128" s="1"/>
      <c r="HN128" s="1"/>
      <c r="HO128" s="1"/>
      <c r="HP128" s="1"/>
      <c r="HQ128" s="1"/>
      <c r="HR128" s="1"/>
      <c r="HS128" s="1"/>
      <c r="HT128" s="1"/>
      <c r="HU128" s="1"/>
      <c r="HV128" s="1"/>
      <c r="HW128" s="1"/>
      <c r="HX128" s="1"/>
      <c r="HY128" s="1"/>
      <c r="HZ128" s="1"/>
      <c r="IA128" s="1"/>
      <c r="IB128" s="1"/>
      <c r="IC128" s="1"/>
      <c r="ID128" s="1"/>
      <c r="IE128" s="1"/>
      <c r="IF128" s="1"/>
      <c r="IG128" s="1"/>
      <c r="IH128" s="1"/>
      <c r="II128" s="1"/>
      <c r="IJ128" s="1"/>
      <c r="IK128" s="1"/>
      <c r="IL128" s="1"/>
      <c r="IM128" s="1"/>
      <c r="IN128" s="1"/>
      <c r="IO128" s="1"/>
      <c r="IP128" s="1"/>
      <c r="IQ128" s="1"/>
      <c r="IR128" s="1"/>
      <c r="IS128" s="1"/>
      <c r="IT128" s="1"/>
      <c r="IU128" s="1"/>
      <c r="IV128" s="1"/>
      <c r="IW128" s="1"/>
      <c r="IX128" s="1"/>
      <c r="IY128" s="1"/>
      <c r="IZ128" s="1"/>
      <c r="JA128" s="1"/>
      <c r="JB128" s="1"/>
      <c r="JC128" s="1"/>
      <c r="JD128" s="1"/>
    </row>
    <row r="129" spans="1:264" s="347" customFormat="1" x14ac:dyDescent="0.2">
      <c r="A129" s="424"/>
      <c r="B129" s="348"/>
      <c r="BH129" s="398"/>
      <c r="BI129" s="428"/>
      <c r="BJ129" s="348"/>
      <c r="BK129" s="348"/>
      <c r="BL129" s="428"/>
      <c r="BM129" s="428"/>
      <c r="BN129" s="348"/>
      <c r="BO129" s="348"/>
      <c r="BP129" s="428"/>
      <c r="BQ129" s="428"/>
      <c r="BR129" s="348"/>
      <c r="BT129" s="428"/>
      <c r="BU129" s="428"/>
      <c r="BV129" s="348"/>
      <c r="BX129" s="428"/>
      <c r="BY129" s="428"/>
      <c r="BZ129" s="348"/>
      <c r="CB129" s="428"/>
      <c r="CC129" s="428"/>
      <c r="CD129" s="348"/>
      <c r="CF129" s="428"/>
      <c r="CG129" s="428"/>
      <c r="CH129" s="348"/>
      <c r="CJ129" s="428"/>
      <c r="CK129" s="428"/>
      <c r="CL129" s="348"/>
      <c r="CN129" s="428"/>
      <c r="CO129" s="428"/>
      <c r="CP129" s="348"/>
      <c r="CR129" s="428"/>
      <c r="CS129" s="428"/>
      <c r="CT129" s="348"/>
      <c r="CV129" s="428"/>
      <c r="CW129" s="428"/>
      <c r="CX129" s="348"/>
      <c r="CZ129" s="428"/>
      <c r="DA129" s="428"/>
      <c r="DB129" s="348"/>
      <c r="DD129" s="428"/>
      <c r="DE129" s="428"/>
      <c r="DF129" s="348"/>
      <c r="DH129" s="428"/>
      <c r="DI129" s="428"/>
      <c r="DJ129" s="348"/>
      <c r="DL129" s="428"/>
      <c r="DM129" s="428"/>
      <c r="DN129" s="348"/>
      <c r="DP129" s="428"/>
      <c r="DQ129" s="428"/>
      <c r="DR129" s="348"/>
      <c r="DT129" s="1"/>
      <c r="DU129" s="1"/>
      <c r="DV129" s="1"/>
      <c r="DW129" s="1"/>
      <c r="DX129" s="1"/>
      <c r="DY129" s="1"/>
      <c r="DZ129" s="1"/>
      <c r="EA129" s="1"/>
      <c r="EB129" s="1"/>
      <c r="EC129" s="1"/>
      <c r="ED129" s="1"/>
      <c r="EE129" s="1"/>
      <c r="EF129" s="1"/>
      <c r="EG129" s="1"/>
      <c r="EH129" s="1"/>
      <c r="EI129" s="1"/>
      <c r="EJ129" s="1"/>
      <c r="EK129" s="1"/>
      <c r="EL129" s="1"/>
      <c r="EM129" s="1"/>
      <c r="EN129" s="1"/>
      <c r="EO129" s="1"/>
      <c r="EP129" s="1"/>
      <c r="EQ129" s="1"/>
      <c r="ER129" s="1"/>
      <c r="ES129" s="1"/>
      <c r="ET129" s="1"/>
      <c r="EU129" s="1"/>
      <c r="EV129" s="1"/>
      <c r="EW129" s="1"/>
      <c r="EX129" s="1"/>
      <c r="EY129" s="1"/>
      <c r="EZ129" s="1"/>
      <c r="FA129" s="1"/>
      <c r="FB129" s="1"/>
      <c r="FC129" s="1"/>
      <c r="FD129" s="1"/>
      <c r="FE129" s="1"/>
      <c r="FF129" s="1"/>
      <c r="FG129" s="1"/>
      <c r="FH129" s="1"/>
      <c r="FI129" s="1"/>
      <c r="FJ129" s="1"/>
      <c r="FK129" s="1"/>
      <c r="FL129" s="1"/>
      <c r="FM129" s="1"/>
      <c r="FN129" s="1"/>
      <c r="FO129" s="1"/>
      <c r="FP129" s="1"/>
      <c r="FQ129" s="1"/>
      <c r="FR129" s="1"/>
      <c r="FS129" s="1"/>
      <c r="FT129" s="1"/>
      <c r="FU129" s="1"/>
      <c r="FV129" s="1"/>
      <c r="FW129" s="1"/>
      <c r="FX129" s="1"/>
      <c r="FY129" s="1"/>
      <c r="FZ129" s="1"/>
      <c r="GA129" s="1"/>
      <c r="GB129" s="1"/>
      <c r="GC129" s="1"/>
      <c r="GD129" s="1"/>
      <c r="GE129" s="1"/>
      <c r="GF129" s="1"/>
      <c r="GG129" s="1"/>
      <c r="GH129" s="1"/>
      <c r="GI129" s="1"/>
      <c r="GJ129" s="1"/>
      <c r="GK129" s="1"/>
      <c r="GL129" s="1"/>
      <c r="GM129" s="1"/>
      <c r="GN129" s="1"/>
      <c r="GO129" s="1"/>
      <c r="GP129" s="1"/>
      <c r="GQ129" s="1"/>
      <c r="GR129" s="1"/>
      <c r="GS129" s="1"/>
      <c r="GT129" s="1"/>
      <c r="GU129" s="1"/>
      <c r="GV129" s="1"/>
      <c r="GW129" s="1"/>
      <c r="GX129" s="1"/>
      <c r="GY129" s="1"/>
      <c r="GZ129" s="1"/>
      <c r="HA129" s="1"/>
      <c r="HB129" s="1"/>
      <c r="HC129" s="1"/>
      <c r="HD129" s="1"/>
      <c r="HE129" s="1"/>
      <c r="HF129" s="1"/>
      <c r="HG129" s="1"/>
      <c r="HH129" s="1"/>
      <c r="HI129" s="1"/>
      <c r="HJ129" s="1"/>
      <c r="HK129" s="1"/>
      <c r="HL129" s="1"/>
      <c r="HM129" s="1"/>
      <c r="HN129" s="1"/>
      <c r="HO129" s="1"/>
      <c r="HP129" s="1"/>
      <c r="HQ129" s="1"/>
      <c r="HR129" s="1"/>
      <c r="HS129" s="1"/>
      <c r="HT129" s="1"/>
      <c r="HU129" s="1"/>
      <c r="HV129" s="1"/>
      <c r="HW129" s="1"/>
      <c r="HX129" s="1"/>
      <c r="HY129" s="1"/>
      <c r="HZ129" s="1"/>
      <c r="IA129" s="1"/>
      <c r="IB129" s="1"/>
      <c r="IC129" s="1"/>
      <c r="ID129" s="1"/>
      <c r="IE129" s="1"/>
      <c r="IF129" s="1"/>
      <c r="IG129" s="1"/>
      <c r="IH129" s="1"/>
      <c r="II129" s="1"/>
      <c r="IJ129" s="1"/>
      <c r="IK129" s="1"/>
      <c r="IL129" s="1"/>
      <c r="IM129" s="1"/>
      <c r="IN129" s="1"/>
      <c r="IO129" s="1"/>
      <c r="IP129" s="1"/>
      <c r="IQ129" s="1"/>
      <c r="IR129" s="1"/>
      <c r="IS129" s="1"/>
      <c r="IT129" s="1"/>
      <c r="IU129" s="1"/>
      <c r="IV129" s="1"/>
      <c r="IW129" s="1"/>
      <c r="IX129" s="1"/>
      <c r="IY129" s="1"/>
      <c r="IZ129" s="1"/>
      <c r="JA129" s="1"/>
      <c r="JB129" s="1"/>
      <c r="JC129" s="1"/>
      <c r="JD129" s="1"/>
    </row>
    <row r="130" spans="1:264" s="347" customFormat="1" x14ac:dyDescent="0.2">
      <c r="A130" s="469" t="s">
        <v>274</v>
      </c>
      <c r="B130" s="446"/>
      <c r="C130" s="447"/>
      <c r="D130" s="447"/>
      <c r="E130" s="447"/>
      <c r="F130" s="447"/>
      <c r="G130" s="447"/>
      <c r="H130" s="447"/>
      <c r="I130" s="447"/>
      <c r="J130" s="447"/>
      <c r="K130" s="447"/>
      <c r="L130" s="447"/>
      <c r="M130" s="447"/>
      <c r="N130" s="447"/>
      <c r="O130" s="447"/>
      <c r="P130" s="447"/>
      <c r="Q130" s="447"/>
      <c r="R130" s="447"/>
      <c r="S130" s="447"/>
      <c r="T130" s="447"/>
      <c r="U130" s="447"/>
      <c r="V130" s="447"/>
      <c r="W130" s="447"/>
      <c r="X130" s="447"/>
      <c r="Y130" s="447"/>
      <c r="Z130" s="447"/>
      <c r="AA130" s="447"/>
      <c r="AB130" s="447"/>
      <c r="AC130" s="447"/>
      <c r="AD130" s="447"/>
      <c r="AE130" s="447"/>
      <c r="AF130" s="447"/>
      <c r="AG130" s="447"/>
      <c r="AH130" s="447"/>
      <c r="AI130" s="447"/>
      <c r="AJ130" s="447"/>
      <c r="AK130" s="447"/>
      <c r="AL130" s="447"/>
      <c r="AM130" s="447"/>
      <c r="AN130" s="447"/>
      <c r="AO130" s="447"/>
      <c r="AP130" s="447"/>
      <c r="AQ130" s="447"/>
      <c r="AR130" s="447"/>
      <c r="AS130" s="447"/>
      <c r="AT130" s="447"/>
      <c r="AU130" s="447"/>
      <c r="AV130" s="447"/>
      <c r="AW130" s="447"/>
      <c r="AX130" s="447"/>
      <c r="AY130" s="447"/>
      <c r="AZ130" s="447"/>
      <c r="BA130" s="447"/>
      <c r="BB130" s="447"/>
      <c r="BC130" s="447"/>
      <c r="BD130" s="447"/>
      <c r="BE130" s="447"/>
      <c r="BF130" s="447"/>
      <c r="BG130" s="447"/>
      <c r="BH130" s="448"/>
      <c r="BI130" s="470"/>
      <c r="BJ130" s="446"/>
      <c r="BK130" s="446"/>
      <c r="BL130" s="470"/>
      <c r="BM130" s="470"/>
      <c r="BN130" s="446"/>
      <c r="BO130" s="446"/>
      <c r="BP130" s="470"/>
      <c r="BQ130" s="470"/>
      <c r="BR130" s="446"/>
      <c r="BS130" s="447"/>
      <c r="BT130" s="470"/>
      <c r="BU130" s="470"/>
      <c r="BV130" s="446"/>
      <c r="BW130" s="447"/>
      <c r="BX130" s="470"/>
      <c r="BY130" s="470"/>
      <c r="BZ130" s="446"/>
      <c r="CA130" s="447"/>
      <c r="CB130" s="470"/>
      <c r="CC130" s="470"/>
      <c r="CD130" s="446"/>
      <c r="CE130" s="447"/>
      <c r="CF130" s="470"/>
      <c r="CG130" s="470"/>
      <c r="CH130" s="446"/>
      <c r="CI130" s="447"/>
      <c r="CJ130" s="470"/>
      <c r="CK130" s="470"/>
      <c r="CL130" s="446"/>
      <c r="CM130" s="447"/>
      <c r="CN130" s="470"/>
      <c r="CO130" s="470"/>
      <c r="CP130" s="446"/>
      <c r="CQ130" s="447"/>
      <c r="CR130" s="471">
        <f>7.8%/2</f>
        <v>3.9E-2</v>
      </c>
      <c r="CS130" s="471">
        <f>7.4%/2</f>
        <v>3.7000000000000005E-2</v>
      </c>
      <c r="CT130" s="472"/>
      <c r="CU130" s="473"/>
      <c r="CV130" s="471">
        <f>5.1%/2</f>
        <v>2.5499999999999998E-2</v>
      </c>
      <c r="CW130" s="471">
        <f>4%/2</f>
        <v>0.02</v>
      </c>
      <c r="CX130" s="1497">
        <f>CV130+CW130</f>
        <v>4.5499999999999999E-2</v>
      </c>
      <c r="CY130" s="473"/>
      <c r="CZ130" s="471">
        <f>4.2%/2</f>
        <v>2.1000000000000001E-2</v>
      </c>
      <c r="DA130" s="471">
        <f>4%/2</f>
        <v>0.02</v>
      </c>
      <c r="DB130" s="1497">
        <f>CZ130+DA130</f>
        <v>4.1000000000000002E-2</v>
      </c>
      <c r="DC130" s="473"/>
      <c r="DD130" s="471">
        <v>2.75E-2</v>
      </c>
      <c r="DE130" s="471">
        <v>0.03</v>
      </c>
      <c r="DF130" s="1497">
        <f>DD130+DE130</f>
        <v>5.7499999999999996E-2</v>
      </c>
      <c r="DG130" s="473"/>
      <c r="DH130" s="471">
        <v>3.5000000000000003E-2</v>
      </c>
      <c r="DI130" s="474">
        <v>3.5000000000000003E-2</v>
      </c>
      <c r="DJ130" s="1497">
        <f>DH130+DI130</f>
        <v>7.0000000000000007E-2</v>
      </c>
      <c r="DK130" s="473"/>
      <c r="DL130" s="474">
        <v>0.03</v>
      </c>
      <c r="DM130" s="474">
        <v>0.03</v>
      </c>
      <c r="DN130" s="1497">
        <f>DL130+DM130</f>
        <v>0.06</v>
      </c>
      <c r="DO130" s="473"/>
      <c r="DP130" s="474">
        <v>2.5000000000000001E-2</v>
      </c>
      <c r="DQ130" s="474">
        <v>2.5000000000000001E-2</v>
      </c>
      <c r="DR130" s="1497">
        <f>DP130+DQ130</f>
        <v>0.05</v>
      </c>
      <c r="DS130" s="473"/>
      <c r="DT130" s="1"/>
      <c r="DU130" s="1"/>
      <c r="DV130" s="1"/>
      <c r="DW130" s="1"/>
      <c r="DX130" s="1"/>
      <c r="DY130" s="1"/>
      <c r="DZ130" s="1"/>
      <c r="EA130" s="1"/>
      <c r="EB130" s="1"/>
      <c r="EC130" s="1"/>
      <c r="ED130" s="1"/>
      <c r="EE130" s="1"/>
      <c r="EF130" s="1"/>
      <c r="EG130" s="1"/>
      <c r="EH130" s="1"/>
      <c r="EI130" s="1"/>
      <c r="EJ130" s="1"/>
      <c r="EK130" s="1"/>
      <c r="EL130" s="1"/>
      <c r="EM130" s="1"/>
      <c r="EN130" s="1"/>
      <c r="EO130" s="1"/>
      <c r="EP130" s="1"/>
      <c r="EQ130" s="1"/>
      <c r="ER130" s="1"/>
      <c r="ES130" s="1"/>
      <c r="ET130" s="1"/>
      <c r="EU130" s="1"/>
      <c r="EV130" s="1"/>
      <c r="EW130" s="1"/>
      <c r="EX130" s="1"/>
      <c r="EY130" s="1"/>
      <c r="EZ130" s="1"/>
      <c r="FA130" s="1"/>
      <c r="FB130" s="1"/>
      <c r="FC130" s="1"/>
      <c r="FD130" s="1"/>
      <c r="FE130" s="1"/>
      <c r="FF130" s="1"/>
      <c r="FG130" s="1"/>
      <c r="FH130" s="1"/>
      <c r="FI130" s="1"/>
      <c r="FJ130" s="1"/>
      <c r="FK130" s="1"/>
      <c r="FL130" s="1"/>
      <c r="FM130" s="1"/>
      <c r="FN130" s="1"/>
      <c r="FO130" s="1"/>
      <c r="FP130" s="1"/>
      <c r="FQ130" s="1"/>
      <c r="FR130" s="1"/>
      <c r="FS130" s="1"/>
      <c r="FT130" s="1"/>
      <c r="FU130" s="1"/>
      <c r="FV130" s="1"/>
      <c r="FW130" s="1"/>
      <c r="FX130" s="1"/>
      <c r="FY130" s="1"/>
      <c r="FZ130" s="1"/>
      <c r="GA130" s="1"/>
      <c r="GB130" s="1"/>
      <c r="GC130" s="1"/>
      <c r="GD130" s="1"/>
      <c r="GE130" s="1"/>
      <c r="GF130" s="1"/>
      <c r="GG130" s="1"/>
      <c r="GH130" s="1"/>
      <c r="GI130" s="1"/>
      <c r="GJ130" s="1"/>
      <c r="GK130" s="1"/>
      <c r="GL130" s="1"/>
      <c r="GM130" s="1"/>
      <c r="GN130" s="1"/>
      <c r="GO130" s="1"/>
      <c r="GP130" s="1"/>
      <c r="GQ130" s="1"/>
      <c r="GR130" s="1"/>
      <c r="GS130" s="1"/>
      <c r="GT130" s="1"/>
      <c r="GU130" s="1"/>
      <c r="GV130" s="1"/>
      <c r="GW130" s="1"/>
      <c r="GX130" s="1"/>
      <c r="GY130" s="1"/>
      <c r="GZ130" s="1"/>
      <c r="HA130" s="1"/>
      <c r="HB130" s="1"/>
      <c r="HC130" s="1"/>
      <c r="HD130" s="1"/>
      <c r="HE130" s="1"/>
      <c r="HF130" s="1"/>
      <c r="HG130" s="1"/>
      <c r="HH130" s="1"/>
      <c r="HI130" s="1"/>
      <c r="HJ130" s="1"/>
      <c r="HK130" s="1"/>
      <c r="HL130" s="1"/>
      <c r="HM130" s="1"/>
      <c r="HN130" s="1"/>
      <c r="HO130" s="1"/>
      <c r="HP130" s="1"/>
      <c r="HQ130" s="1"/>
      <c r="HR130" s="1"/>
      <c r="HS130" s="1"/>
      <c r="HT130" s="1"/>
      <c r="HU130" s="1"/>
      <c r="HV130" s="1"/>
      <c r="HW130" s="1"/>
      <c r="HX130" s="1"/>
      <c r="HY130" s="1"/>
      <c r="HZ130" s="1"/>
      <c r="IA130" s="1"/>
      <c r="IB130" s="1"/>
      <c r="IC130" s="1"/>
      <c r="ID130" s="1"/>
      <c r="IE130" s="1"/>
      <c r="IF130" s="1"/>
      <c r="IG130" s="1"/>
      <c r="IH130" s="1"/>
      <c r="II130" s="1"/>
      <c r="IJ130" s="1"/>
      <c r="IK130" s="1"/>
      <c r="IL130" s="1"/>
      <c r="IM130" s="1"/>
      <c r="IN130" s="1"/>
      <c r="IO130" s="1"/>
      <c r="IP130" s="1"/>
      <c r="IQ130" s="1"/>
      <c r="IR130" s="1"/>
      <c r="IS130" s="1"/>
      <c r="IT130" s="1"/>
      <c r="IU130" s="1"/>
      <c r="IV130" s="1"/>
      <c r="IW130" s="1"/>
      <c r="IX130" s="1"/>
      <c r="IY130" s="1"/>
      <c r="IZ130" s="1"/>
      <c r="JA130" s="1"/>
      <c r="JB130" s="1"/>
      <c r="JC130" s="1"/>
      <c r="JD130" s="1"/>
    </row>
    <row r="131" spans="1:264" s="347" customFormat="1" x14ac:dyDescent="0.2">
      <c r="A131" s="475" t="s">
        <v>275</v>
      </c>
      <c r="B131" s="348"/>
      <c r="BH131" s="398"/>
      <c r="BI131" s="428"/>
      <c r="BJ131" s="348"/>
      <c r="BK131" s="348"/>
      <c r="BL131" s="428"/>
      <c r="BM131" s="428"/>
      <c r="BN131" s="348"/>
      <c r="BO131" s="348"/>
      <c r="BP131" s="428"/>
      <c r="BQ131" s="428"/>
      <c r="BR131" s="348"/>
      <c r="BT131" s="428"/>
      <c r="BU131" s="428"/>
      <c r="BV131" s="348"/>
      <c r="BX131" s="428"/>
      <c r="BY131" s="428"/>
      <c r="BZ131" s="348"/>
      <c r="CB131" s="428"/>
      <c r="CC131" s="428"/>
      <c r="CD131" s="348"/>
      <c r="CF131" s="428"/>
      <c r="CG131" s="428"/>
      <c r="CH131" s="348"/>
      <c r="CJ131" s="428"/>
      <c r="CK131" s="428"/>
      <c r="CL131" s="348"/>
      <c r="CN131" s="428"/>
      <c r="CO131" s="428"/>
      <c r="CP131" s="348"/>
      <c r="CR131" s="476">
        <f>+CR126/CR130</f>
        <v>1.1659278847302503</v>
      </c>
      <c r="CS131" s="476">
        <f>+CS126/CS130</f>
        <v>0.84177453222645882</v>
      </c>
      <c r="CT131" s="476"/>
      <c r="CU131" s="476"/>
      <c r="CV131" s="476">
        <f>+CV126/CV130</f>
        <v>0.98148618134330956</v>
      </c>
      <c r="CW131" s="476">
        <f>+CW126/CW130</f>
        <v>1.174558707775053</v>
      </c>
      <c r="CX131" s="476"/>
      <c r="CY131" s="476"/>
      <c r="CZ131" s="476">
        <f>+CZ126/CZ130</f>
        <v>-0.15187147334170364</v>
      </c>
      <c r="DA131" s="476">
        <f>+DA126/DA130</f>
        <v>1.235555402816324</v>
      </c>
      <c r="DB131" s="476"/>
      <c r="DC131" s="476"/>
      <c r="DD131" s="476">
        <f>+DD126/DD130</f>
        <v>1.1693028726764174</v>
      </c>
      <c r="DE131" s="476">
        <f>+DE126/DE130</f>
        <v>0.99335739962719649</v>
      </c>
      <c r="DF131" s="476"/>
      <c r="DG131" s="476"/>
      <c r="DH131" s="476">
        <f>+DH126/DH130</f>
        <v>1.1201574017000011</v>
      </c>
      <c r="DI131" s="476">
        <f>+DI126/DI130</f>
        <v>1.0714285714285714</v>
      </c>
      <c r="DJ131" s="476"/>
      <c r="DK131" s="476"/>
      <c r="DL131" s="476">
        <f>+DL126/DL130</f>
        <v>1.0833333333333335</v>
      </c>
      <c r="DM131" s="476">
        <f>+DM126/DM130</f>
        <v>1</v>
      </c>
      <c r="DN131" s="476"/>
      <c r="DO131" s="476"/>
      <c r="DP131" s="476">
        <f>+DP126/DP130</f>
        <v>1</v>
      </c>
      <c r="DQ131" s="476">
        <f>+DQ126/DQ130</f>
        <v>1</v>
      </c>
      <c r="DR131" s="476"/>
      <c r="DS131" s="476"/>
      <c r="DT131" s="1"/>
      <c r="DU131" s="1"/>
      <c r="DV131" s="1"/>
      <c r="DW131" s="1"/>
      <c r="DX131" s="1"/>
      <c r="DY131" s="1"/>
      <c r="DZ131" s="1"/>
      <c r="EA131" s="1"/>
      <c r="EB131" s="1"/>
      <c r="EC131" s="1"/>
      <c r="ED131" s="1"/>
      <c r="EE131" s="1"/>
      <c r="EF131" s="1"/>
      <c r="EG131" s="1"/>
      <c r="EH131" s="1"/>
      <c r="EI131" s="1"/>
      <c r="EJ131" s="1"/>
      <c r="EK131" s="1"/>
      <c r="EL131" s="1"/>
      <c r="EM131" s="1"/>
      <c r="EN131" s="1"/>
      <c r="EO131" s="1"/>
      <c r="EP131" s="1"/>
      <c r="EQ131" s="1"/>
      <c r="ER131" s="1"/>
      <c r="ES131" s="1"/>
      <c r="ET131" s="1"/>
      <c r="EU131" s="1"/>
      <c r="EV131" s="1"/>
      <c r="EW131" s="1"/>
      <c r="EX131" s="1"/>
      <c r="EY131" s="1"/>
      <c r="EZ131" s="1"/>
      <c r="FA131" s="1"/>
      <c r="FB131" s="1"/>
      <c r="FC131" s="1"/>
      <c r="FD131" s="1"/>
      <c r="FE131" s="1"/>
      <c r="FF131" s="1"/>
      <c r="FG131" s="1"/>
      <c r="FH131" s="1"/>
      <c r="FI131" s="1"/>
      <c r="FJ131" s="1"/>
      <c r="FK131" s="1"/>
      <c r="FL131" s="1"/>
      <c r="FM131" s="1"/>
      <c r="FN131" s="1"/>
      <c r="FO131" s="1"/>
      <c r="FP131" s="1"/>
      <c r="FQ131" s="1"/>
      <c r="FR131" s="1"/>
      <c r="FS131" s="1"/>
      <c r="FT131" s="1"/>
      <c r="FU131" s="1"/>
      <c r="FV131" s="1"/>
      <c r="FW131" s="1"/>
      <c r="FX131" s="1"/>
      <c r="FY131" s="1"/>
      <c r="FZ131" s="1"/>
      <c r="GA131" s="1"/>
      <c r="GB131" s="1"/>
      <c r="GC131" s="1"/>
      <c r="GD131" s="1"/>
      <c r="GE131" s="1"/>
      <c r="GF131" s="1"/>
      <c r="GG131" s="1"/>
      <c r="GH131" s="1"/>
      <c r="GI131" s="1"/>
      <c r="GJ131" s="1"/>
      <c r="GK131" s="1"/>
      <c r="GL131" s="1"/>
      <c r="GM131" s="1"/>
      <c r="GN131" s="1"/>
      <c r="GO131" s="1"/>
      <c r="GP131" s="1"/>
      <c r="GQ131" s="1"/>
      <c r="GR131" s="1"/>
      <c r="GS131" s="1"/>
      <c r="GT131" s="1"/>
      <c r="GU131" s="1"/>
      <c r="GV131" s="1"/>
      <c r="GW131" s="1"/>
      <c r="GX131" s="1"/>
      <c r="GY131" s="1"/>
      <c r="GZ131" s="1"/>
      <c r="HA131" s="1"/>
      <c r="HB131" s="1"/>
      <c r="HC131" s="1"/>
      <c r="HD131" s="1"/>
      <c r="HE131" s="1"/>
      <c r="HF131" s="1"/>
      <c r="HG131" s="1"/>
      <c r="HH131" s="1"/>
      <c r="HI131" s="1"/>
      <c r="HJ131" s="1"/>
      <c r="HK131" s="1"/>
      <c r="HL131" s="1"/>
      <c r="HM131" s="1"/>
      <c r="HN131" s="1"/>
      <c r="HO131" s="1"/>
      <c r="HP131" s="1"/>
      <c r="HQ131" s="1"/>
      <c r="HR131" s="1"/>
      <c r="HS131" s="1"/>
      <c r="HT131" s="1"/>
      <c r="HU131" s="1"/>
      <c r="HV131" s="1"/>
      <c r="HW131" s="1"/>
      <c r="HX131" s="1"/>
      <c r="HY131" s="1"/>
      <c r="HZ131" s="1"/>
      <c r="IA131" s="1"/>
      <c r="IB131" s="1"/>
      <c r="IC131" s="1"/>
      <c r="ID131" s="1"/>
      <c r="IE131" s="1"/>
      <c r="IF131" s="1"/>
      <c r="IG131" s="1"/>
      <c r="IH131" s="1"/>
      <c r="II131" s="1"/>
      <c r="IJ131" s="1"/>
      <c r="IK131" s="1"/>
      <c r="IL131" s="1"/>
      <c r="IM131" s="1"/>
      <c r="IN131" s="1"/>
      <c r="IO131" s="1"/>
      <c r="IP131" s="1"/>
      <c r="IQ131" s="1"/>
      <c r="IR131" s="1"/>
      <c r="IS131" s="1"/>
      <c r="IT131" s="1"/>
      <c r="IU131" s="1"/>
      <c r="IV131" s="1"/>
      <c r="IW131" s="1"/>
      <c r="IX131" s="1"/>
      <c r="IY131" s="1"/>
      <c r="IZ131" s="1"/>
      <c r="JA131" s="1"/>
      <c r="JB131" s="1"/>
      <c r="JC131" s="1"/>
      <c r="JD131" s="1"/>
    </row>
    <row r="132" spans="1:264" s="347" customFormat="1" x14ac:dyDescent="0.2">
      <c r="B132" s="348"/>
      <c r="BH132" s="398"/>
      <c r="BI132" s="348"/>
      <c r="BJ132" s="348"/>
      <c r="BK132" s="348"/>
      <c r="BL132" s="398"/>
      <c r="BM132" s="348"/>
      <c r="BN132" s="348"/>
      <c r="BO132" s="348"/>
      <c r="BP132" s="398"/>
      <c r="BQ132" s="348"/>
      <c r="BR132" s="348"/>
      <c r="BT132" s="398"/>
      <c r="BU132" s="348"/>
      <c r="BV132" s="348"/>
      <c r="BX132" s="398"/>
      <c r="BY132" s="348"/>
      <c r="BZ132" s="348"/>
      <c r="CB132" s="398"/>
      <c r="CC132" s="348"/>
      <c r="CD132" s="348"/>
      <c r="CF132" s="398"/>
      <c r="CG132" s="348"/>
      <c r="CH132" s="348"/>
      <c r="CJ132" s="398"/>
      <c r="CK132" s="348"/>
      <c r="CL132" s="348"/>
      <c r="CN132" s="398"/>
      <c r="CO132" s="348"/>
      <c r="CP132" s="348"/>
      <c r="CR132" s="398"/>
      <c r="CS132" s="348"/>
      <c r="CT132" s="348"/>
      <c r="CU132" s="400"/>
      <c r="CV132" s="398"/>
      <c r="CW132" s="348"/>
      <c r="CX132" s="348"/>
      <c r="CZ132" s="398"/>
      <c r="DA132" s="348"/>
      <c r="DB132" s="348"/>
      <c r="DD132" s="398"/>
      <c r="DE132" s="348"/>
      <c r="DF132" s="348"/>
      <c r="DH132" s="398"/>
      <c r="DI132" s="348"/>
      <c r="DJ132" s="348"/>
      <c r="DL132" s="348"/>
      <c r="DM132" s="348"/>
      <c r="DN132" s="348"/>
      <c r="DP132" s="348"/>
      <c r="DQ132" s="348"/>
      <c r="DR132" s="348"/>
      <c r="DT132" s="1"/>
      <c r="DU132" s="1"/>
      <c r="DV132" s="1"/>
      <c r="DW132" s="1"/>
      <c r="DX132" s="1"/>
      <c r="DY132" s="1"/>
      <c r="DZ132" s="1"/>
      <c r="EA132" s="1"/>
      <c r="EB132" s="1"/>
      <c r="EC132" s="1"/>
      <c r="ED132" s="1"/>
      <c r="EE132" s="1"/>
      <c r="EF132" s="1"/>
      <c r="EG132" s="1"/>
      <c r="EH132" s="1"/>
      <c r="EI132" s="1"/>
      <c r="EJ132" s="1"/>
      <c r="EK132" s="1"/>
      <c r="EL132" s="1"/>
      <c r="EM132" s="1"/>
      <c r="EN132" s="1"/>
      <c r="EO132" s="1"/>
      <c r="EP132" s="1"/>
      <c r="EQ132" s="1"/>
      <c r="ER132" s="1"/>
      <c r="ES132" s="1"/>
      <c r="ET132" s="1"/>
      <c r="EU132" s="1"/>
      <c r="EV132" s="1"/>
      <c r="EW132" s="1"/>
      <c r="EX132" s="1"/>
      <c r="EY132" s="1"/>
      <c r="EZ132" s="1"/>
      <c r="FA132" s="1"/>
      <c r="FB132" s="1"/>
      <c r="FC132" s="1"/>
      <c r="FD132" s="1"/>
      <c r="FE132" s="1"/>
      <c r="FF132" s="1"/>
      <c r="FG132" s="1"/>
      <c r="FH132" s="1"/>
      <c r="FI132" s="1"/>
      <c r="FJ132" s="1"/>
      <c r="FK132" s="1"/>
      <c r="FL132" s="1"/>
      <c r="FM132" s="1"/>
      <c r="FN132" s="1"/>
      <c r="FO132" s="1"/>
      <c r="FP132" s="1"/>
      <c r="FQ132" s="1"/>
      <c r="FR132" s="1"/>
      <c r="FS132" s="1"/>
      <c r="FT132" s="1"/>
      <c r="FU132" s="1"/>
      <c r="FV132" s="1"/>
      <c r="FW132" s="1"/>
      <c r="FX132" s="1"/>
      <c r="FY132" s="1"/>
      <c r="FZ132" s="1"/>
      <c r="GA132" s="1"/>
      <c r="GB132" s="1"/>
      <c r="GC132" s="1"/>
      <c r="GD132" s="1"/>
      <c r="GE132" s="1"/>
      <c r="GF132" s="1"/>
      <c r="GG132" s="1"/>
      <c r="GH132" s="1"/>
      <c r="GI132" s="1"/>
      <c r="GJ132" s="1"/>
      <c r="GK132" s="1"/>
      <c r="GL132" s="1"/>
      <c r="GM132" s="1"/>
      <c r="GN132" s="1"/>
      <c r="GO132" s="1"/>
      <c r="GP132" s="1"/>
      <c r="GQ132" s="1"/>
      <c r="GR132" s="1"/>
      <c r="GS132" s="1"/>
      <c r="GT132" s="1"/>
      <c r="GU132" s="1"/>
      <c r="GV132" s="1"/>
      <c r="GW132" s="1"/>
      <c r="GX132" s="1"/>
      <c r="GY132" s="1"/>
      <c r="GZ132" s="1"/>
      <c r="HA132" s="1"/>
      <c r="HB132" s="1"/>
      <c r="HC132" s="1"/>
      <c r="HD132" s="1"/>
      <c r="HE132" s="1"/>
      <c r="HF132" s="1"/>
      <c r="HG132" s="1"/>
      <c r="HH132" s="1"/>
      <c r="HI132" s="1"/>
      <c r="HJ132" s="1"/>
      <c r="HK132" s="1"/>
      <c r="HL132" s="1"/>
      <c r="HM132" s="1"/>
      <c r="HN132" s="1"/>
      <c r="HO132" s="1"/>
      <c r="HP132" s="1"/>
      <c r="HQ132" s="1"/>
      <c r="HR132" s="1"/>
      <c r="HS132" s="1"/>
      <c r="HT132" s="1"/>
      <c r="HU132" s="1"/>
      <c r="HV132" s="1"/>
      <c r="HW132" s="1"/>
      <c r="HX132" s="1"/>
      <c r="HY132" s="1"/>
      <c r="HZ132" s="1"/>
      <c r="IA132" s="1"/>
      <c r="IB132" s="1"/>
      <c r="IC132" s="1"/>
      <c r="ID132" s="1"/>
      <c r="IE132" s="1"/>
      <c r="IF132" s="1"/>
      <c r="IG132" s="1"/>
      <c r="IH132" s="1"/>
      <c r="II132" s="1"/>
      <c r="IJ132" s="1"/>
      <c r="IK132" s="1"/>
      <c r="IL132" s="1"/>
      <c r="IM132" s="1"/>
      <c r="IN132" s="1"/>
      <c r="IO132" s="1"/>
      <c r="IP132" s="1"/>
      <c r="IQ132" s="1"/>
      <c r="IR132" s="1"/>
      <c r="IS132" s="1"/>
      <c r="IT132" s="1"/>
      <c r="IU132" s="1"/>
      <c r="IV132" s="1"/>
      <c r="IW132" s="1"/>
      <c r="IX132" s="1"/>
      <c r="IY132" s="1"/>
      <c r="IZ132" s="1"/>
      <c r="JA132" s="1"/>
      <c r="JB132" s="1"/>
      <c r="JC132" s="1"/>
      <c r="JD132" s="1"/>
    </row>
    <row r="133" spans="1:264" s="347" customFormat="1" x14ac:dyDescent="0.2">
      <c r="A133" s="347" t="s">
        <v>276</v>
      </c>
      <c r="B133" s="348"/>
      <c r="BH133" s="398"/>
      <c r="BI133" s="348"/>
      <c r="BJ133" s="348"/>
      <c r="BK133" s="348"/>
      <c r="BL133" s="398"/>
      <c r="BM133" s="348"/>
      <c r="BN133" s="348"/>
      <c r="BO133" s="348"/>
      <c r="BP133" s="398"/>
      <c r="BQ133" s="348"/>
      <c r="BR133" s="348"/>
      <c r="BT133" s="398"/>
      <c r="BU133" s="348"/>
      <c r="BV133" s="348"/>
      <c r="BX133" s="398"/>
      <c r="BY133" s="348"/>
      <c r="BZ133" s="348"/>
      <c r="CB133" s="398"/>
      <c r="CC133" s="398"/>
      <c r="CD133" s="351"/>
      <c r="CF133" s="398">
        <f>2722+2659+15272</f>
        <v>20653</v>
      </c>
      <c r="CG133" s="398">
        <f>2559+2600+14780</f>
        <v>19939</v>
      </c>
      <c r="CH133" s="351">
        <f>CG133</f>
        <v>19939</v>
      </c>
      <c r="CJ133" s="398">
        <f>2492+2316+14331</f>
        <v>19139</v>
      </c>
      <c r="CK133" s="398">
        <f>2322+1916+12262</f>
        <v>16500</v>
      </c>
      <c r="CL133" s="351">
        <f>CK133</f>
        <v>16500</v>
      </c>
      <c r="CM133" s="393">
        <f>CL133/CH133-1</f>
        <v>-0.17247605195847338</v>
      </c>
      <c r="CN133" s="398">
        <f>11546+2252+1946</f>
        <v>15744</v>
      </c>
      <c r="CO133" s="398">
        <f>11172+2383+1854</f>
        <v>15409</v>
      </c>
      <c r="CP133" s="351">
        <f>CO133</f>
        <v>15409</v>
      </c>
      <c r="CQ133" s="393">
        <f>CP133/CL133-1</f>
        <v>-6.6121212121212136E-2</v>
      </c>
      <c r="CR133" s="398">
        <f>10949+2363+1823</f>
        <v>15135</v>
      </c>
      <c r="CS133" s="398">
        <f>11071+2261+1780</f>
        <v>15112</v>
      </c>
      <c r="CT133" s="351">
        <f>CS133</f>
        <v>15112</v>
      </c>
      <c r="CU133" s="393">
        <f>CT133/CP133-1</f>
        <v>-1.9274449996755094E-2</v>
      </c>
      <c r="CV133" s="398">
        <f>11679+1284+1690</f>
        <v>14653</v>
      </c>
      <c r="CW133" s="398">
        <f>11969+1147+1658</f>
        <v>14774</v>
      </c>
      <c r="CX133" s="351">
        <f>CW133</f>
        <v>14774</v>
      </c>
      <c r="CY133" s="393">
        <f>CX133/CT133-1</f>
        <v>-2.2366331392271066E-2</v>
      </c>
      <c r="CZ133" s="398">
        <f>12420+1066+1738</f>
        <v>15224</v>
      </c>
      <c r="DA133" s="398">
        <v>15336</v>
      </c>
      <c r="DB133" s="351">
        <f>DA133</f>
        <v>15336</v>
      </c>
      <c r="DC133" s="393">
        <f>DB133/CX133-1</f>
        <v>3.8039799648030392E-2</v>
      </c>
      <c r="DD133" s="398">
        <v>15447</v>
      </c>
      <c r="DE133" s="398">
        <v>15665</v>
      </c>
      <c r="DF133" s="351">
        <f>DE133</f>
        <v>15665</v>
      </c>
      <c r="DG133" s="393">
        <f>DF133/DB133-1</f>
        <v>2.1452790818988099E-2</v>
      </c>
      <c r="DH133" s="398">
        <v>15891</v>
      </c>
      <c r="DI133" s="351">
        <f>+DH133*(1+DI138)</f>
        <v>16129.364999999998</v>
      </c>
      <c r="DJ133" s="351">
        <f>DI133</f>
        <v>16129.364999999998</v>
      </c>
      <c r="DK133" s="393">
        <f>DJ133/DF133-1</f>
        <v>2.9643472709862673E-2</v>
      </c>
      <c r="DL133" s="351">
        <f>DI133*(1+DL138)</f>
        <v>16371.305474999996</v>
      </c>
      <c r="DM133" s="351">
        <f>+DL133*(1+DM138)</f>
        <v>16616.875057124995</v>
      </c>
      <c r="DN133" s="351">
        <f>DM133</f>
        <v>16616.875057124995</v>
      </c>
      <c r="DO133" s="393">
        <f>DN133/DJ133-1</f>
        <v>3.0224999999999724E-2</v>
      </c>
      <c r="DP133" s="351">
        <f>DM133*(1+DP138)</f>
        <v>16866.128182981869</v>
      </c>
      <c r="DQ133" s="351">
        <f>+DP133*(1+DQ138)</f>
        <v>17119.120105726597</v>
      </c>
      <c r="DR133" s="351">
        <f>DQ133</f>
        <v>17119.120105726597</v>
      </c>
      <c r="DS133" s="393">
        <f>DR133/DN133-1</f>
        <v>3.0224999999999946E-2</v>
      </c>
      <c r="DT133" s="1"/>
      <c r="DU133" s="1"/>
      <c r="DV133" s="1"/>
      <c r="DW133" s="1"/>
      <c r="DX133" s="1"/>
      <c r="DY133" s="1"/>
      <c r="DZ133" s="1"/>
      <c r="EA133" s="1"/>
      <c r="EB133" s="1"/>
      <c r="EC133" s="1"/>
      <c r="ED133" s="1"/>
      <c r="EE133" s="1"/>
      <c r="EF133" s="1"/>
      <c r="EG133" s="1"/>
      <c r="EH133" s="1"/>
      <c r="EI133" s="1"/>
      <c r="EJ133" s="1"/>
      <c r="EK133" s="1"/>
      <c r="EL133" s="1"/>
      <c r="EM133" s="1"/>
      <c r="EN133" s="1"/>
      <c r="EO133" s="1"/>
      <c r="EP133" s="1"/>
      <c r="EQ133" s="1"/>
      <c r="ER133" s="1"/>
      <c r="ES133" s="1"/>
      <c r="ET133" s="1"/>
      <c r="EU133" s="1"/>
      <c r="EV133" s="1"/>
      <c r="EW133" s="1"/>
      <c r="EX133" s="1"/>
      <c r="EY133" s="1"/>
      <c r="EZ133" s="1"/>
      <c r="FA133" s="1"/>
      <c r="FB133" s="1"/>
      <c r="FC133" s="1"/>
      <c r="FD133" s="1"/>
      <c r="FE133" s="1"/>
      <c r="FF133" s="1"/>
      <c r="FG133" s="1"/>
      <c r="FH133" s="1"/>
      <c r="FI133" s="1"/>
      <c r="FJ133" s="1"/>
      <c r="FK133" s="1"/>
      <c r="FL133" s="1"/>
      <c r="FM133" s="1"/>
      <c r="FN133" s="1"/>
      <c r="FO133" s="1"/>
      <c r="FP133" s="1"/>
      <c r="FQ133" s="1"/>
      <c r="FR133" s="1"/>
      <c r="FS133" s="1"/>
      <c r="FT133" s="1"/>
      <c r="FU133" s="1"/>
      <c r="FV133" s="1"/>
      <c r="FW133" s="1"/>
      <c r="FX133" s="1"/>
      <c r="FY133" s="1"/>
      <c r="FZ133" s="1"/>
      <c r="GA133" s="1"/>
      <c r="GB133" s="1"/>
      <c r="GC133" s="1"/>
      <c r="GD133" s="1"/>
      <c r="GE133" s="1"/>
      <c r="GF133" s="1"/>
      <c r="GG133" s="1"/>
      <c r="GH133" s="1"/>
      <c r="GI133" s="1"/>
      <c r="GJ133" s="1"/>
      <c r="GK133" s="1"/>
      <c r="GL133" s="1"/>
      <c r="GM133" s="1"/>
      <c r="GN133" s="1"/>
      <c r="GO133" s="1"/>
      <c r="GP133" s="1"/>
      <c r="GQ133" s="1"/>
      <c r="GR133" s="1"/>
      <c r="GS133" s="1"/>
      <c r="GT133" s="1"/>
      <c r="GU133" s="1"/>
      <c r="GV133" s="1"/>
      <c r="GW133" s="1"/>
      <c r="GX133" s="1"/>
      <c r="GY133" s="1"/>
      <c r="GZ133" s="1"/>
      <c r="HA133" s="1"/>
      <c r="HB133" s="1"/>
      <c r="HC133" s="1"/>
      <c r="HD133" s="1"/>
      <c r="HE133" s="1"/>
      <c r="HF133" s="1"/>
      <c r="HG133" s="1"/>
      <c r="HH133" s="1"/>
      <c r="HI133" s="1"/>
      <c r="HJ133" s="1"/>
      <c r="HK133" s="1"/>
      <c r="HL133" s="1"/>
      <c r="HM133" s="1"/>
      <c r="HN133" s="1"/>
      <c r="HO133" s="1"/>
      <c r="HP133" s="1"/>
      <c r="HQ133" s="1"/>
      <c r="HR133" s="1"/>
      <c r="HS133" s="1"/>
      <c r="HT133" s="1"/>
      <c r="HU133" s="1"/>
      <c r="HV133" s="1"/>
      <c r="HW133" s="1"/>
      <c r="HX133" s="1"/>
      <c r="HY133" s="1"/>
      <c r="HZ133" s="1"/>
      <c r="IA133" s="1"/>
      <c r="IB133" s="1"/>
      <c r="IC133" s="1"/>
      <c r="ID133" s="1"/>
      <c r="IE133" s="1"/>
      <c r="IF133" s="1"/>
      <c r="IG133" s="1"/>
      <c r="IH133" s="1"/>
      <c r="II133" s="1"/>
      <c r="IJ133" s="1"/>
      <c r="IK133" s="1"/>
      <c r="IL133" s="1"/>
      <c r="IM133" s="1"/>
      <c r="IN133" s="1"/>
      <c r="IO133" s="1"/>
      <c r="IP133" s="1"/>
      <c r="IQ133" s="1"/>
      <c r="IR133" s="1"/>
      <c r="IS133" s="1"/>
      <c r="IT133" s="1"/>
      <c r="IU133" s="1"/>
      <c r="IV133" s="1"/>
      <c r="IW133" s="1"/>
      <c r="IX133" s="1"/>
      <c r="IY133" s="1"/>
      <c r="IZ133" s="1"/>
      <c r="JA133" s="1"/>
      <c r="JB133" s="1"/>
      <c r="JC133" s="1"/>
      <c r="JD133" s="1"/>
    </row>
    <row r="134" spans="1:264" s="347" customFormat="1" x14ac:dyDescent="0.2">
      <c r="A134" s="347" t="s">
        <v>277</v>
      </c>
      <c r="B134" s="348"/>
      <c r="BH134" s="398"/>
      <c r="BI134" s="348"/>
      <c r="BJ134" s="348"/>
      <c r="BK134" s="348"/>
      <c r="BL134" s="398"/>
      <c r="BM134" s="348"/>
      <c r="BN134" s="348"/>
      <c r="BO134" s="348"/>
      <c r="BP134" s="398"/>
      <c r="BQ134" s="348"/>
      <c r="BR134" s="348"/>
      <c r="BT134" s="398"/>
      <c r="BU134" s="348"/>
      <c r="BV134" s="348"/>
      <c r="BX134" s="398"/>
      <c r="BY134" s="348"/>
      <c r="BZ134" s="348"/>
      <c r="CB134" s="398"/>
      <c r="CC134" s="398"/>
      <c r="CD134" s="351"/>
      <c r="CF134" s="398">
        <v>89713</v>
      </c>
      <c r="CG134" s="398">
        <v>91641</v>
      </c>
      <c r="CH134" s="351">
        <f t="shared" ref="CH134:CH136" si="81">CG134</f>
        <v>91641</v>
      </c>
      <c r="CJ134" s="398">
        <v>90015</v>
      </c>
      <c r="CK134" s="398">
        <v>92259</v>
      </c>
      <c r="CL134" s="351">
        <f t="shared" ref="CL134:CL136" si="82">CK134</f>
        <v>92259</v>
      </c>
      <c r="CM134" s="393">
        <f>CL134/CH134-1</f>
        <v>6.743706419615636E-3</v>
      </c>
      <c r="CN134" s="398">
        <v>96509</v>
      </c>
      <c r="CO134" s="398">
        <v>103371</v>
      </c>
      <c r="CP134" s="351">
        <f t="shared" ref="CP134:CP136" si="83">CO134</f>
        <v>103371</v>
      </c>
      <c r="CQ134" s="393">
        <f>CP134/CL134-1</f>
        <v>0.12044353396416607</v>
      </c>
      <c r="CR134" s="398">
        <v>108766</v>
      </c>
      <c r="CS134" s="398">
        <v>117115</v>
      </c>
      <c r="CT134" s="351">
        <f t="shared" ref="CT134:CT136" si="84">CS134</f>
        <v>117115</v>
      </c>
      <c r="CU134" s="393">
        <f>CT134/CP134-1</f>
        <v>0.13295798628241973</v>
      </c>
      <c r="CV134" s="398">
        <v>122396</v>
      </c>
      <c r="CW134" s="398">
        <v>130359</v>
      </c>
      <c r="CX134" s="351">
        <f t="shared" ref="CX134:CX136" si="85">CW134</f>
        <v>130359</v>
      </c>
      <c r="CY134" s="393">
        <f>CX134/CT134-1</f>
        <v>0.11308542885198314</v>
      </c>
      <c r="CZ134" s="398">
        <v>134908</v>
      </c>
      <c r="DA134" s="398">
        <v>144754</v>
      </c>
      <c r="DB134" s="351">
        <f t="shared" ref="DB134:DB136" si="86">DA134</f>
        <v>144754</v>
      </c>
      <c r="DC134" s="393">
        <f>DB134/CX134-1</f>
        <v>0.11042582407045165</v>
      </c>
      <c r="DD134" s="398">
        <v>149968</v>
      </c>
      <c r="DE134" s="398">
        <v>159447</v>
      </c>
      <c r="DF134" s="351">
        <f t="shared" ref="DF134:DF136" si="87">DE134</f>
        <v>159447</v>
      </c>
      <c r="DG134" s="393">
        <f>DF134/DB134-1</f>
        <v>0.10150323997955146</v>
      </c>
      <c r="DH134" s="398">
        <v>167907</v>
      </c>
      <c r="DI134" s="351">
        <f t="shared" ref="DI134:DI135" si="88">+DH134*(1+DI139)</f>
        <v>177981.42</v>
      </c>
      <c r="DJ134" s="351">
        <f t="shared" ref="DJ134:DJ136" si="89">DI134</f>
        <v>177981.42</v>
      </c>
      <c r="DK134" s="393">
        <f>DJ134/DF134-1</f>
        <v>0.11624188601855168</v>
      </c>
      <c r="DL134" s="351">
        <f t="shared" ref="DL134:DL135" si="90">DI134*(1+DL139)</f>
        <v>184210.7697</v>
      </c>
      <c r="DM134" s="351">
        <f t="shared" ref="DM134:DM135" si="91">+DL134*(1+DM139)</f>
        <v>194342.36203349999</v>
      </c>
      <c r="DN134" s="351">
        <f t="shared" ref="DN134:DN136" si="92">DM134</f>
        <v>194342.36203349999</v>
      </c>
      <c r="DO134" s="393">
        <f>DN134/DJ134-1</f>
        <v>9.1924999999999812E-2</v>
      </c>
      <c r="DP134" s="351">
        <f t="shared" ref="DP134:DP135" si="93">DM134*(1+DP139)</f>
        <v>200172.63289450499</v>
      </c>
      <c r="DQ134" s="351">
        <f t="shared" ref="DQ134:DQ135" si="94">+DP134*(1+DQ139)</f>
        <v>208179.53821028519</v>
      </c>
      <c r="DR134" s="351">
        <f t="shared" ref="DR134:DR136" si="95">DQ134</f>
        <v>208179.53821028519</v>
      </c>
      <c r="DS134" s="393">
        <f>DR134/DN134-1</f>
        <v>7.119999999999993E-2</v>
      </c>
      <c r="DT134" s="1"/>
      <c r="DU134" s="1"/>
      <c r="DV134" s="1"/>
      <c r="DW134" s="1"/>
      <c r="DX134" s="1"/>
      <c r="DY134" s="1"/>
      <c r="DZ134" s="1"/>
      <c r="EA134" s="1"/>
      <c r="EB134" s="1"/>
      <c r="EC134" s="1"/>
      <c r="ED134" s="1"/>
      <c r="EE134" s="1"/>
      <c r="EF134" s="1"/>
      <c r="EG134" s="1"/>
      <c r="EH134" s="1"/>
      <c r="EI134" s="1"/>
      <c r="EJ134" s="1"/>
      <c r="EK134" s="1"/>
      <c r="EL134" s="1"/>
      <c r="EM134" s="1"/>
      <c r="EN134" s="1"/>
      <c r="EO134" s="1"/>
      <c r="EP134" s="1"/>
      <c r="EQ134" s="1"/>
      <c r="ER134" s="1"/>
      <c r="ES134" s="1"/>
      <c r="ET134" s="1"/>
      <c r="EU134" s="1"/>
      <c r="EV134" s="1"/>
      <c r="EW134" s="1"/>
      <c r="EX134" s="1"/>
      <c r="EY134" s="1"/>
      <c r="EZ134" s="1"/>
      <c r="FA134" s="1"/>
      <c r="FB134" s="1"/>
      <c r="FC134" s="1"/>
      <c r="FD134" s="1"/>
      <c r="FE134" s="1"/>
      <c r="FF134" s="1"/>
      <c r="FG134" s="1"/>
      <c r="FH134" s="1"/>
      <c r="FI134" s="1"/>
      <c r="FJ134" s="1"/>
      <c r="FK134" s="1"/>
      <c r="FL134" s="1"/>
      <c r="FM134" s="1"/>
      <c r="FN134" s="1"/>
      <c r="FO134" s="1"/>
      <c r="FP134" s="1"/>
      <c r="FQ134" s="1"/>
      <c r="FR134" s="1"/>
      <c r="FS134" s="1"/>
      <c r="FT134" s="1"/>
      <c r="FU134" s="1"/>
      <c r="FV134" s="1"/>
      <c r="FW134" s="1"/>
      <c r="FX134" s="1"/>
      <c r="FY134" s="1"/>
      <c r="FZ134" s="1"/>
      <c r="GA134" s="1"/>
      <c r="GB134" s="1"/>
      <c r="GC134" s="1"/>
      <c r="GD134" s="1"/>
      <c r="GE134" s="1"/>
      <c r="GF134" s="1"/>
      <c r="GG134" s="1"/>
      <c r="GH134" s="1"/>
      <c r="GI134" s="1"/>
      <c r="GJ134" s="1"/>
      <c r="GK134" s="1"/>
      <c r="GL134" s="1"/>
      <c r="GM134" s="1"/>
      <c r="GN134" s="1"/>
      <c r="GO134" s="1"/>
      <c r="GP134" s="1"/>
      <c r="GQ134" s="1"/>
      <c r="GR134" s="1"/>
      <c r="GS134" s="1"/>
      <c r="GT134" s="1"/>
      <c r="GU134" s="1"/>
      <c r="GV134" s="1"/>
      <c r="GW134" s="1"/>
      <c r="GX134" s="1"/>
      <c r="GY134" s="1"/>
      <c r="GZ134" s="1"/>
      <c r="HA134" s="1"/>
      <c r="HB134" s="1"/>
      <c r="HC134" s="1"/>
      <c r="HD134" s="1"/>
      <c r="HE134" s="1"/>
      <c r="HF134" s="1"/>
      <c r="HG134" s="1"/>
      <c r="HH134" s="1"/>
      <c r="HI134" s="1"/>
      <c r="HJ134" s="1"/>
      <c r="HK134" s="1"/>
      <c r="HL134" s="1"/>
      <c r="HM134" s="1"/>
      <c r="HN134" s="1"/>
      <c r="HO134" s="1"/>
      <c r="HP134" s="1"/>
      <c r="HQ134" s="1"/>
      <c r="HR134" s="1"/>
      <c r="HS134" s="1"/>
      <c r="HT134" s="1"/>
      <c r="HU134" s="1"/>
      <c r="HV134" s="1"/>
      <c r="HW134" s="1"/>
      <c r="HX134" s="1"/>
      <c r="HY134" s="1"/>
      <c r="HZ134" s="1"/>
      <c r="IA134" s="1"/>
      <c r="IB134" s="1"/>
      <c r="IC134" s="1"/>
      <c r="ID134" s="1"/>
      <c r="IE134" s="1"/>
      <c r="IF134" s="1"/>
      <c r="IG134" s="1"/>
      <c r="IH134" s="1"/>
      <c r="II134" s="1"/>
      <c r="IJ134" s="1"/>
      <c r="IK134" s="1"/>
      <c r="IL134" s="1"/>
      <c r="IM134" s="1"/>
      <c r="IN134" s="1"/>
      <c r="IO134" s="1"/>
      <c r="IP134" s="1"/>
      <c r="IQ134" s="1"/>
      <c r="IR134" s="1"/>
      <c r="IS134" s="1"/>
      <c r="IT134" s="1"/>
      <c r="IU134" s="1"/>
      <c r="IV134" s="1"/>
      <c r="IW134" s="1"/>
      <c r="IX134" s="1"/>
      <c r="IY134" s="1"/>
      <c r="IZ134" s="1"/>
      <c r="JA134" s="1"/>
      <c r="JB134" s="1"/>
      <c r="JC134" s="1"/>
      <c r="JD134" s="1"/>
    </row>
    <row r="135" spans="1:264" s="347" customFormat="1" x14ac:dyDescent="0.2">
      <c r="A135" s="347" t="s">
        <v>278</v>
      </c>
      <c r="B135" s="348"/>
      <c r="BH135" s="398"/>
      <c r="BI135" s="348"/>
      <c r="BJ135" s="348"/>
      <c r="BK135" s="348"/>
      <c r="BL135" s="398"/>
      <c r="BM135" s="348"/>
      <c r="BN135" s="348"/>
      <c r="BO135" s="348"/>
      <c r="BP135" s="398"/>
      <c r="BQ135" s="348"/>
      <c r="BR135" s="348"/>
      <c r="BT135" s="398"/>
      <c r="BU135" s="348"/>
      <c r="BV135" s="348"/>
      <c r="BX135" s="398"/>
      <c r="BY135" s="348"/>
      <c r="BZ135" s="348"/>
      <c r="CB135" s="351"/>
      <c r="CC135" s="351"/>
      <c r="CD135" s="351"/>
      <c r="CF135" s="351">
        <f>+CF136-CF134-CF133</f>
        <v>81057</v>
      </c>
      <c r="CG135" s="351">
        <f>+CG136-CG134-CG133</f>
        <v>74080</v>
      </c>
      <c r="CH135" s="351">
        <f t="shared" si="81"/>
        <v>74080</v>
      </c>
      <c r="CJ135" s="351">
        <f>+CJ136-CJ134-CJ133</f>
        <v>76083</v>
      </c>
      <c r="CK135" s="351">
        <f>+CK136-CK134-CK133</f>
        <v>79924</v>
      </c>
      <c r="CL135" s="351">
        <f t="shared" si="82"/>
        <v>79924</v>
      </c>
      <c r="CM135" s="393">
        <f>CL135/CH135-1</f>
        <v>7.8887688984881299E-2</v>
      </c>
      <c r="CN135" s="351">
        <f>+CN136-CN134-CN133</f>
        <v>75528</v>
      </c>
      <c r="CO135" s="351">
        <f>+CO136-CO134-CO133</f>
        <v>70598</v>
      </c>
      <c r="CP135" s="351">
        <f t="shared" si="83"/>
        <v>70598</v>
      </c>
      <c r="CQ135" s="393">
        <f>CP135/CL135-1</f>
        <v>-0.11668585155898104</v>
      </c>
      <c r="CR135" s="351">
        <f>+CR136-CR134-CR133</f>
        <v>70024</v>
      </c>
      <c r="CS135" s="351">
        <f>+CS136-CS134-CS133</f>
        <v>80911</v>
      </c>
      <c r="CT135" s="351">
        <f t="shared" si="84"/>
        <v>80911</v>
      </c>
      <c r="CU135" s="393">
        <f>CT135/CP135-1</f>
        <v>0.14608062551347056</v>
      </c>
      <c r="CV135" s="351">
        <f>+CV136-CV134-CV133</f>
        <v>87625</v>
      </c>
      <c r="CW135" s="351">
        <f>+CW136-CW134-CW133</f>
        <v>87034</v>
      </c>
      <c r="CX135" s="351">
        <f t="shared" si="85"/>
        <v>87034</v>
      </c>
      <c r="CY135" s="393">
        <f>CX135/CT135-1</f>
        <v>7.5675742482480768E-2</v>
      </c>
      <c r="CZ135" s="351">
        <f>+CZ136-CZ134-CZ133</f>
        <v>80000</v>
      </c>
      <c r="DA135" s="351">
        <f>+DA136-DA134-DA133</f>
        <v>75898</v>
      </c>
      <c r="DB135" s="351">
        <f t="shared" si="86"/>
        <v>75898</v>
      </c>
      <c r="DC135" s="393">
        <f>DB135/CX135-1</f>
        <v>-0.12794999655307127</v>
      </c>
      <c r="DD135" s="351">
        <f>+DD136-DD134-DD133</f>
        <v>74321</v>
      </c>
      <c r="DE135" s="351">
        <f>+DE136-DE134-DE133</f>
        <v>78159</v>
      </c>
      <c r="DF135" s="351">
        <f t="shared" si="87"/>
        <v>78159</v>
      </c>
      <c r="DG135" s="393">
        <f>DF135/DB135-1</f>
        <v>2.9789981290679668E-2</v>
      </c>
      <c r="DH135" s="351">
        <f>+DH136-DH134-DH133</f>
        <v>82308</v>
      </c>
      <c r="DI135" s="351">
        <f t="shared" si="88"/>
        <v>83131.08</v>
      </c>
      <c r="DJ135" s="351">
        <f t="shared" si="89"/>
        <v>83131.08</v>
      </c>
      <c r="DK135" s="393">
        <f>DJ135/DF135-1</f>
        <v>6.3614938778643548E-2</v>
      </c>
      <c r="DL135" s="351">
        <f t="shared" si="90"/>
        <v>83962.390800000008</v>
      </c>
      <c r="DM135" s="351">
        <f t="shared" si="91"/>
        <v>84802.014708000002</v>
      </c>
      <c r="DN135" s="351">
        <f t="shared" si="92"/>
        <v>84802.014708000002</v>
      </c>
      <c r="DO135" s="393">
        <f>DN135/DJ135-1</f>
        <v>2.0100000000000007E-2</v>
      </c>
      <c r="DP135" s="351">
        <f t="shared" si="93"/>
        <v>85650.034855079997</v>
      </c>
      <c r="DQ135" s="351">
        <f t="shared" si="94"/>
        <v>86506.535203630803</v>
      </c>
      <c r="DR135" s="351">
        <f t="shared" si="95"/>
        <v>86506.535203630803</v>
      </c>
      <c r="DS135" s="393">
        <f>DR135/DN135-1</f>
        <v>2.0100000000000007E-2</v>
      </c>
      <c r="DT135" s="1"/>
      <c r="DU135" s="1"/>
      <c r="DV135" s="1"/>
      <c r="DW135" s="1"/>
      <c r="DX135" s="1"/>
      <c r="DY135" s="1"/>
      <c r="DZ135" s="1"/>
      <c r="EA135" s="1"/>
      <c r="EB135" s="1"/>
      <c r="EC135" s="1"/>
      <c r="ED135" s="1"/>
      <c r="EE135" s="1"/>
      <c r="EF135" s="1"/>
      <c r="EG135" s="1"/>
      <c r="EH135" s="1"/>
      <c r="EI135" s="1"/>
      <c r="EJ135" s="1"/>
      <c r="EK135" s="1"/>
      <c r="EL135" s="1"/>
      <c r="EM135" s="1"/>
      <c r="EN135" s="1"/>
      <c r="EO135" s="1"/>
      <c r="EP135" s="1"/>
      <c r="EQ135" s="1"/>
      <c r="ER135" s="1"/>
      <c r="ES135" s="1"/>
      <c r="ET135" s="1"/>
      <c r="EU135" s="1"/>
      <c r="EV135" s="1"/>
      <c r="EW135" s="1"/>
      <c r="EX135" s="1"/>
      <c r="EY135" s="1"/>
      <c r="EZ135" s="1"/>
      <c r="FA135" s="1"/>
      <c r="FB135" s="1"/>
      <c r="FC135" s="1"/>
      <c r="FD135" s="1"/>
      <c r="FE135" s="1"/>
      <c r="FF135" s="1"/>
      <c r="FG135" s="1"/>
      <c r="FH135" s="1"/>
      <c r="FI135" s="1"/>
      <c r="FJ135" s="1"/>
      <c r="FK135" s="1"/>
      <c r="FL135" s="1"/>
      <c r="FM135" s="1"/>
      <c r="FN135" s="1"/>
      <c r="FO135" s="1"/>
      <c r="FP135" s="1"/>
      <c r="FQ135" s="1"/>
      <c r="FR135" s="1"/>
      <c r="FS135" s="1"/>
      <c r="FT135" s="1"/>
      <c r="FU135" s="1"/>
      <c r="FV135" s="1"/>
      <c r="FW135" s="1"/>
      <c r="FX135" s="1"/>
      <c r="FY135" s="1"/>
      <c r="FZ135" s="1"/>
      <c r="GA135" s="1"/>
      <c r="GB135" s="1"/>
      <c r="GC135" s="1"/>
      <c r="GD135" s="1"/>
      <c r="GE135" s="1"/>
      <c r="GF135" s="1"/>
      <c r="GG135" s="1"/>
      <c r="GH135" s="1"/>
      <c r="GI135" s="1"/>
      <c r="GJ135" s="1"/>
      <c r="GK135" s="1"/>
      <c r="GL135" s="1"/>
      <c r="GM135" s="1"/>
      <c r="GN135" s="1"/>
      <c r="GO135" s="1"/>
      <c r="GP135" s="1"/>
      <c r="GQ135" s="1"/>
      <c r="GR135" s="1"/>
      <c r="GS135" s="1"/>
      <c r="GT135" s="1"/>
      <c r="GU135" s="1"/>
      <c r="GV135" s="1"/>
      <c r="GW135" s="1"/>
      <c r="GX135" s="1"/>
      <c r="GY135" s="1"/>
      <c r="GZ135" s="1"/>
      <c r="HA135" s="1"/>
      <c r="HB135" s="1"/>
      <c r="HC135" s="1"/>
      <c r="HD135" s="1"/>
      <c r="HE135" s="1"/>
      <c r="HF135" s="1"/>
      <c r="HG135" s="1"/>
      <c r="HH135" s="1"/>
      <c r="HI135" s="1"/>
      <c r="HJ135" s="1"/>
      <c r="HK135" s="1"/>
      <c r="HL135" s="1"/>
      <c r="HM135" s="1"/>
      <c r="HN135" s="1"/>
      <c r="HO135" s="1"/>
      <c r="HP135" s="1"/>
      <c r="HQ135" s="1"/>
      <c r="HR135" s="1"/>
      <c r="HS135" s="1"/>
      <c r="HT135" s="1"/>
      <c r="HU135" s="1"/>
      <c r="HV135" s="1"/>
      <c r="HW135" s="1"/>
      <c r="HX135" s="1"/>
      <c r="HY135" s="1"/>
      <c r="HZ135" s="1"/>
      <c r="IA135" s="1"/>
      <c r="IB135" s="1"/>
      <c r="IC135" s="1"/>
      <c r="ID135" s="1"/>
      <c r="IE135" s="1"/>
      <c r="IF135" s="1"/>
      <c r="IG135" s="1"/>
      <c r="IH135" s="1"/>
      <c r="II135" s="1"/>
      <c r="IJ135" s="1"/>
      <c r="IK135" s="1"/>
      <c r="IL135" s="1"/>
      <c r="IM135" s="1"/>
      <c r="IN135" s="1"/>
      <c r="IO135" s="1"/>
      <c r="IP135" s="1"/>
      <c r="IQ135" s="1"/>
      <c r="IR135" s="1"/>
      <c r="IS135" s="1"/>
      <c r="IT135" s="1"/>
      <c r="IU135" s="1"/>
      <c r="IV135" s="1"/>
      <c r="IW135" s="1"/>
      <c r="IX135" s="1"/>
      <c r="IY135" s="1"/>
      <c r="IZ135" s="1"/>
      <c r="JA135" s="1"/>
      <c r="JB135" s="1"/>
      <c r="JC135" s="1"/>
      <c r="JD135" s="1"/>
    </row>
    <row r="136" spans="1:264" s="347" customFormat="1" x14ac:dyDescent="0.2">
      <c r="A136" s="411" t="s">
        <v>279</v>
      </c>
      <c r="B136" s="348"/>
      <c r="BH136" s="398"/>
      <c r="BI136" s="348"/>
      <c r="BJ136" s="348"/>
      <c r="BK136" s="348"/>
      <c r="BL136" s="398"/>
      <c r="BM136" s="348"/>
      <c r="BN136" s="348"/>
      <c r="BO136" s="348"/>
      <c r="BP136" s="398"/>
      <c r="BQ136" s="348"/>
      <c r="BR136" s="348"/>
      <c r="BT136" s="398"/>
      <c r="BU136" s="348"/>
      <c r="BV136" s="348"/>
      <c r="BX136" s="398"/>
      <c r="BY136" s="348"/>
      <c r="BZ136" s="348"/>
      <c r="CB136" s="397"/>
      <c r="CC136" s="397"/>
      <c r="CD136" s="397"/>
      <c r="CF136" s="397">
        <f>CF123</f>
        <v>191423</v>
      </c>
      <c r="CG136" s="397">
        <f>CG123</f>
        <v>185660</v>
      </c>
      <c r="CH136" s="397">
        <f t="shared" si="81"/>
        <v>185660</v>
      </c>
      <c r="CJ136" s="397">
        <f>CJ123</f>
        <v>185237</v>
      </c>
      <c r="CK136" s="397">
        <f>CK123</f>
        <v>188683</v>
      </c>
      <c r="CL136" s="397">
        <f t="shared" si="82"/>
        <v>188683</v>
      </c>
      <c r="CN136" s="397">
        <f>CN123</f>
        <v>187781</v>
      </c>
      <c r="CO136" s="397">
        <f>CO123</f>
        <v>189378</v>
      </c>
      <c r="CP136" s="397">
        <f t="shared" si="83"/>
        <v>189378</v>
      </c>
      <c r="CQ136" s="428">
        <f>CP136/CL136-1</f>
        <v>3.6834266998087006E-3</v>
      </c>
      <c r="CR136" s="397">
        <f>CR123</f>
        <v>193925</v>
      </c>
      <c r="CS136" s="397">
        <f>CS123</f>
        <v>213138</v>
      </c>
      <c r="CT136" s="397">
        <f t="shared" si="84"/>
        <v>213138</v>
      </c>
      <c r="CU136" s="428">
        <f>CT136/CP136-1</f>
        <v>0.12546335899629302</v>
      </c>
      <c r="CV136" s="397">
        <f>CV123</f>
        <v>224674</v>
      </c>
      <c r="CW136" s="397">
        <f>CW123</f>
        <v>232167</v>
      </c>
      <c r="CX136" s="397">
        <f t="shared" si="85"/>
        <v>232167</v>
      </c>
      <c r="CY136" s="428">
        <f>CX136/CT136-1</f>
        <v>8.9280184669087603E-2</v>
      </c>
      <c r="CZ136" s="397">
        <f>CZ123</f>
        <v>230132</v>
      </c>
      <c r="DA136" s="397">
        <f>DA123</f>
        <v>235988</v>
      </c>
      <c r="DB136" s="397">
        <f t="shared" si="86"/>
        <v>235988</v>
      </c>
      <c r="DC136" s="428">
        <f>DB136/CX136-1</f>
        <v>1.6457980677701878E-2</v>
      </c>
      <c r="DD136" s="397">
        <f>DD123</f>
        <v>239736</v>
      </c>
      <c r="DE136" s="397">
        <f>DE123</f>
        <v>253271</v>
      </c>
      <c r="DF136" s="397">
        <f t="shared" si="87"/>
        <v>253271</v>
      </c>
      <c r="DG136" s="428">
        <f>DF136/DB136-1</f>
        <v>7.323677475125856E-2</v>
      </c>
      <c r="DH136" s="397">
        <f>DH123</f>
        <v>266106</v>
      </c>
      <c r="DI136" s="397">
        <f>SUM(DI133:DI135)</f>
        <v>277241.86499999999</v>
      </c>
      <c r="DJ136" s="397">
        <f t="shared" si="89"/>
        <v>277241.86499999999</v>
      </c>
      <c r="DK136" s="428">
        <f>DJ136/DF136-1</f>
        <v>9.4645123207947268E-2</v>
      </c>
      <c r="DL136" s="397">
        <f>SUM(DL133:DL135)</f>
        <v>284544.465975</v>
      </c>
      <c r="DM136" s="397">
        <f>SUM(DM133:DM135)</f>
        <v>295761.25179862499</v>
      </c>
      <c r="DN136" s="397">
        <f t="shared" si="92"/>
        <v>295761.25179862499</v>
      </c>
      <c r="DO136" s="428">
        <f>DN136/DJ136-1</f>
        <v>6.6798666206580926E-2</v>
      </c>
      <c r="DP136" s="397">
        <f>SUM(DP133:DP135)</f>
        <v>302688.79593256686</v>
      </c>
      <c r="DQ136" s="397">
        <f>SUM(DQ133:DQ135)</f>
        <v>311805.19351964258</v>
      </c>
      <c r="DR136" s="397">
        <f t="shared" si="95"/>
        <v>311805.19351964258</v>
      </c>
      <c r="DS136" s="428">
        <f>DR136/DN136-1</f>
        <v>5.4246259858074408E-2</v>
      </c>
      <c r="DT136" s="1"/>
      <c r="DU136" s="1"/>
      <c r="DV136" s="1"/>
      <c r="DW136" s="1"/>
      <c r="DX136" s="1"/>
      <c r="DY136" s="1"/>
      <c r="DZ136" s="1"/>
      <c r="EA136" s="1"/>
      <c r="EB136" s="1"/>
      <c r="EC136" s="1"/>
      <c r="ED136" s="1"/>
      <c r="EE136" s="1"/>
      <c r="EF136" s="1"/>
      <c r="EG136" s="1"/>
      <c r="EH136" s="1"/>
      <c r="EI136" s="1"/>
      <c r="EJ136" s="1"/>
      <c r="EK136" s="1"/>
      <c r="EL136" s="1"/>
      <c r="EM136" s="1"/>
      <c r="EN136" s="1"/>
      <c r="EO136" s="1"/>
      <c r="EP136" s="1"/>
      <c r="EQ136" s="1"/>
      <c r="ER136" s="1"/>
      <c r="ES136" s="1"/>
      <c r="ET136" s="1"/>
      <c r="EU136" s="1"/>
      <c r="EV136" s="1"/>
      <c r="EW136" s="1"/>
      <c r="EX136" s="1"/>
      <c r="EY136" s="1"/>
      <c r="EZ136" s="1"/>
      <c r="FA136" s="1"/>
      <c r="FB136" s="1"/>
      <c r="FC136" s="1"/>
      <c r="FD136" s="1"/>
      <c r="FE136" s="1"/>
      <c r="FF136" s="1"/>
      <c r="FG136" s="1"/>
      <c r="FH136" s="1"/>
      <c r="FI136" s="1"/>
      <c r="FJ136" s="1"/>
      <c r="FK136" s="1"/>
      <c r="FL136" s="1"/>
      <c r="FM136" s="1"/>
      <c r="FN136" s="1"/>
      <c r="FO136" s="1"/>
      <c r="FP136" s="1"/>
      <c r="FQ136" s="1"/>
      <c r="FR136" s="1"/>
      <c r="FS136" s="1"/>
      <c r="FT136" s="1"/>
      <c r="FU136" s="1"/>
      <c r="FV136" s="1"/>
      <c r="FW136" s="1"/>
      <c r="FX136" s="1"/>
      <c r="FY136" s="1"/>
      <c r="FZ136" s="1"/>
      <c r="GA136" s="1"/>
      <c r="GB136" s="1"/>
      <c r="GC136" s="1"/>
      <c r="GD136" s="1"/>
      <c r="GE136" s="1"/>
      <c r="GF136" s="1"/>
      <c r="GG136" s="1"/>
      <c r="GH136" s="1"/>
      <c r="GI136" s="1"/>
      <c r="GJ136" s="1"/>
      <c r="GK136" s="1"/>
      <c r="GL136" s="1"/>
      <c r="GM136" s="1"/>
      <c r="GN136" s="1"/>
      <c r="GO136" s="1"/>
      <c r="GP136" s="1"/>
      <c r="GQ136" s="1"/>
      <c r="GR136" s="1"/>
      <c r="GS136" s="1"/>
      <c r="GT136" s="1"/>
      <c r="GU136" s="1"/>
      <c r="GV136" s="1"/>
      <c r="GW136" s="1"/>
      <c r="GX136" s="1"/>
      <c r="GY136" s="1"/>
      <c r="GZ136" s="1"/>
      <c r="HA136" s="1"/>
      <c r="HB136" s="1"/>
      <c r="HC136" s="1"/>
      <c r="HD136" s="1"/>
      <c r="HE136" s="1"/>
      <c r="HF136" s="1"/>
      <c r="HG136" s="1"/>
      <c r="HH136" s="1"/>
      <c r="HI136" s="1"/>
      <c r="HJ136" s="1"/>
      <c r="HK136" s="1"/>
      <c r="HL136" s="1"/>
      <c r="HM136" s="1"/>
      <c r="HN136" s="1"/>
      <c r="HO136" s="1"/>
      <c r="HP136" s="1"/>
      <c r="HQ136" s="1"/>
      <c r="HR136" s="1"/>
      <c r="HS136" s="1"/>
      <c r="HT136" s="1"/>
      <c r="HU136" s="1"/>
      <c r="HV136" s="1"/>
      <c r="HW136" s="1"/>
      <c r="HX136" s="1"/>
      <c r="HY136" s="1"/>
      <c r="HZ136" s="1"/>
      <c r="IA136" s="1"/>
      <c r="IB136" s="1"/>
      <c r="IC136" s="1"/>
      <c r="ID136" s="1"/>
      <c r="IE136" s="1"/>
      <c r="IF136" s="1"/>
      <c r="IG136" s="1"/>
      <c r="IH136" s="1"/>
      <c r="II136" s="1"/>
      <c r="IJ136" s="1"/>
      <c r="IK136" s="1"/>
      <c r="IL136" s="1"/>
      <c r="IM136" s="1"/>
      <c r="IN136" s="1"/>
      <c r="IO136" s="1"/>
      <c r="IP136" s="1"/>
      <c r="IQ136" s="1"/>
      <c r="IR136" s="1"/>
      <c r="IS136" s="1"/>
      <c r="IT136" s="1"/>
      <c r="IU136" s="1"/>
      <c r="IV136" s="1"/>
      <c r="IW136" s="1"/>
      <c r="IX136" s="1"/>
      <c r="IY136" s="1"/>
      <c r="IZ136" s="1"/>
      <c r="JA136" s="1"/>
      <c r="JB136" s="1"/>
      <c r="JC136" s="1"/>
      <c r="JD136" s="1"/>
    </row>
    <row r="137" spans="1:264" s="347" customFormat="1" x14ac:dyDescent="0.2">
      <c r="A137" s="424" t="s">
        <v>273</v>
      </c>
      <c r="B137" s="348"/>
      <c r="BH137" s="398"/>
      <c r="BI137" s="348"/>
      <c r="BJ137" s="348"/>
      <c r="BK137" s="348"/>
      <c r="BL137" s="398"/>
      <c r="BM137" s="348"/>
      <c r="BN137" s="348"/>
      <c r="BO137" s="348"/>
      <c r="BP137" s="398"/>
      <c r="BQ137" s="348"/>
      <c r="BR137" s="348"/>
      <c r="BT137" s="398"/>
      <c r="BU137" s="348"/>
      <c r="BV137" s="348"/>
      <c r="BX137" s="398"/>
      <c r="BY137" s="348"/>
      <c r="BZ137" s="348"/>
      <c r="CB137" s="398"/>
      <c r="CC137" s="348"/>
      <c r="CD137" s="348"/>
      <c r="CF137" s="398"/>
      <c r="CG137" s="348"/>
      <c r="CH137" s="348"/>
      <c r="CJ137" s="398"/>
      <c r="CK137" s="348"/>
      <c r="CL137" s="348"/>
      <c r="CN137" s="351"/>
      <c r="CO137" s="351"/>
      <c r="CP137" s="348"/>
      <c r="CR137" s="398"/>
      <c r="CS137" s="351"/>
      <c r="CT137" s="348"/>
      <c r="CV137" s="398"/>
      <c r="CW137" s="351"/>
      <c r="CX137" s="348"/>
      <c r="CZ137" s="398"/>
      <c r="DA137" s="351"/>
      <c r="DB137" s="348"/>
      <c r="DD137" s="398"/>
      <c r="DE137" s="351"/>
      <c r="DF137" s="348"/>
      <c r="DH137" s="398"/>
      <c r="DI137" s="348"/>
      <c r="DJ137" s="348"/>
      <c r="DL137" s="348"/>
      <c r="DM137" s="348"/>
      <c r="DN137" s="348"/>
      <c r="DP137" s="348"/>
      <c r="DQ137" s="348"/>
      <c r="DR137" s="348"/>
      <c r="DT137" s="1"/>
      <c r="DU137" s="1"/>
      <c r="DV137" s="1"/>
      <c r="DW137" s="1"/>
      <c r="DX137" s="1"/>
      <c r="DY137" s="1"/>
      <c r="DZ137" s="1"/>
      <c r="EA137" s="1"/>
      <c r="EB137" s="1"/>
      <c r="EC137" s="1"/>
      <c r="ED137" s="1"/>
      <c r="EE137" s="1"/>
      <c r="EF137" s="1"/>
      <c r="EG137" s="1"/>
      <c r="EH137" s="1"/>
      <c r="EI137" s="1"/>
      <c r="EJ137" s="1"/>
      <c r="EK137" s="1"/>
      <c r="EL137" s="1"/>
      <c r="EM137" s="1"/>
      <c r="EN137" s="1"/>
      <c r="EO137" s="1"/>
      <c r="EP137" s="1"/>
      <c r="EQ137" s="1"/>
      <c r="ER137" s="1"/>
      <c r="ES137" s="1"/>
      <c r="ET137" s="1"/>
      <c r="EU137" s="1"/>
      <c r="EV137" s="1"/>
      <c r="EW137" s="1"/>
      <c r="EX137" s="1"/>
      <c r="EY137" s="1"/>
      <c r="EZ137" s="1"/>
      <c r="FA137" s="1"/>
      <c r="FB137" s="1"/>
      <c r="FC137" s="1"/>
      <c r="FD137" s="1"/>
      <c r="FE137" s="1"/>
      <c r="FF137" s="1"/>
      <c r="FG137" s="1"/>
      <c r="FH137" s="1"/>
      <c r="FI137" s="1"/>
      <c r="FJ137" s="1"/>
      <c r="FK137" s="1"/>
      <c r="FL137" s="1"/>
      <c r="FM137" s="1"/>
      <c r="FN137" s="1"/>
      <c r="FO137" s="1"/>
      <c r="FP137" s="1"/>
      <c r="FQ137" s="1"/>
      <c r="FR137" s="1"/>
      <c r="FS137" s="1"/>
      <c r="FT137" s="1"/>
      <c r="FU137" s="1"/>
      <c r="FV137" s="1"/>
      <c r="FW137" s="1"/>
      <c r="FX137" s="1"/>
      <c r="FY137" s="1"/>
      <c r="FZ137" s="1"/>
      <c r="GA137" s="1"/>
      <c r="GB137" s="1"/>
      <c r="GC137" s="1"/>
      <c r="GD137" s="1"/>
      <c r="GE137" s="1"/>
      <c r="GF137" s="1"/>
      <c r="GG137" s="1"/>
      <c r="GH137" s="1"/>
      <c r="GI137" s="1"/>
      <c r="GJ137" s="1"/>
      <c r="GK137" s="1"/>
      <c r="GL137" s="1"/>
      <c r="GM137" s="1"/>
      <c r="GN137" s="1"/>
      <c r="GO137" s="1"/>
      <c r="GP137" s="1"/>
      <c r="GQ137" s="1"/>
      <c r="GR137" s="1"/>
      <c r="GS137" s="1"/>
      <c r="GT137" s="1"/>
      <c r="GU137" s="1"/>
      <c r="GV137" s="1"/>
      <c r="GW137" s="1"/>
      <c r="GX137" s="1"/>
      <c r="GY137" s="1"/>
      <c r="GZ137" s="1"/>
      <c r="HA137" s="1"/>
      <c r="HB137" s="1"/>
      <c r="HC137" s="1"/>
      <c r="HD137" s="1"/>
      <c r="HE137" s="1"/>
      <c r="HF137" s="1"/>
      <c r="HG137" s="1"/>
      <c r="HH137" s="1"/>
      <c r="HI137" s="1"/>
      <c r="HJ137" s="1"/>
      <c r="HK137" s="1"/>
      <c r="HL137" s="1"/>
      <c r="HM137" s="1"/>
      <c r="HN137" s="1"/>
      <c r="HO137" s="1"/>
      <c r="HP137" s="1"/>
      <c r="HQ137" s="1"/>
      <c r="HR137" s="1"/>
      <c r="HS137" s="1"/>
      <c r="HT137" s="1"/>
      <c r="HU137" s="1"/>
      <c r="HV137" s="1"/>
      <c r="HW137" s="1"/>
      <c r="HX137" s="1"/>
      <c r="HY137" s="1"/>
      <c r="HZ137" s="1"/>
      <c r="IA137" s="1"/>
      <c r="IB137" s="1"/>
      <c r="IC137" s="1"/>
      <c r="ID137" s="1"/>
      <c r="IE137" s="1"/>
      <c r="IF137" s="1"/>
      <c r="IG137" s="1"/>
      <c r="IH137" s="1"/>
      <c r="II137" s="1"/>
      <c r="IJ137" s="1"/>
      <c r="IK137" s="1"/>
      <c r="IL137" s="1"/>
      <c r="IM137" s="1"/>
      <c r="IN137" s="1"/>
      <c r="IO137" s="1"/>
      <c r="IP137" s="1"/>
      <c r="IQ137" s="1"/>
      <c r="IR137" s="1"/>
      <c r="IS137" s="1"/>
      <c r="IT137" s="1"/>
      <c r="IU137" s="1"/>
      <c r="IV137" s="1"/>
      <c r="IW137" s="1"/>
      <c r="IX137" s="1"/>
      <c r="IY137" s="1"/>
      <c r="IZ137" s="1"/>
      <c r="JA137" s="1"/>
      <c r="JB137" s="1"/>
      <c r="JC137" s="1"/>
      <c r="JD137" s="1"/>
    </row>
    <row r="138" spans="1:264" s="347" customFormat="1" x14ac:dyDescent="0.2">
      <c r="A138" s="477" t="str">
        <f>A133</f>
        <v>Consumer Finance (incl Margin Loans)</v>
      </c>
      <c r="B138" s="446"/>
      <c r="C138" s="447"/>
      <c r="D138" s="447"/>
      <c r="E138" s="447"/>
      <c r="F138" s="447"/>
      <c r="G138" s="447"/>
      <c r="H138" s="447"/>
      <c r="I138" s="447"/>
      <c r="J138" s="447"/>
      <c r="K138" s="447"/>
      <c r="L138" s="447"/>
      <c r="M138" s="447"/>
      <c r="N138" s="447"/>
      <c r="O138" s="447"/>
      <c r="P138" s="447"/>
      <c r="Q138" s="447"/>
      <c r="R138" s="447"/>
      <c r="S138" s="447"/>
      <c r="T138" s="447"/>
      <c r="U138" s="447"/>
      <c r="V138" s="447"/>
      <c r="W138" s="447"/>
      <c r="X138" s="447"/>
      <c r="Y138" s="447"/>
      <c r="Z138" s="447"/>
      <c r="AA138" s="447"/>
      <c r="AB138" s="447"/>
      <c r="AC138" s="447"/>
      <c r="AD138" s="447"/>
      <c r="AE138" s="447"/>
      <c r="AF138" s="447"/>
      <c r="AG138" s="447"/>
      <c r="AH138" s="447"/>
      <c r="AI138" s="447"/>
      <c r="AJ138" s="447"/>
      <c r="AK138" s="447"/>
      <c r="AL138" s="447"/>
      <c r="AM138" s="447"/>
      <c r="AN138" s="447"/>
      <c r="AO138" s="447"/>
      <c r="AP138" s="447"/>
      <c r="AQ138" s="447"/>
      <c r="AR138" s="447"/>
      <c r="AS138" s="447"/>
      <c r="AT138" s="447"/>
      <c r="AU138" s="447"/>
      <c r="AV138" s="447"/>
      <c r="AW138" s="447"/>
      <c r="AX138" s="447"/>
      <c r="AY138" s="447"/>
      <c r="AZ138" s="447"/>
      <c r="BA138" s="447"/>
      <c r="BB138" s="447"/>
      <c r="BC138" s="447"/>
      <c r="BD138" s="447"/>
      <c r="BE138" s="447"/>
      <c r="BF138" s="447"/>
      <c r="BG138" s="447"/>
      <c r="BH138" s="448"/>
      <c r="BI138" s="446"/>
      <c r="BJ138" s="446"/>
      <c r="BK138" s="446"/>
      <c r="BL138" s="448"/>
      <c r="BM138" s="446"/>
      <c r="BN138" s="446"/>
      <c r="BO138" s="446"/>
      <c r="BP138" s="448"/>
      <c r="BQ138" s="446"/>
      <c r="BR138" s="446"/>
      <c r="BS138" s="447"/>
      <c r="BT138" s="448"/>
      <c r="BU138" s="446"/>
      <c r="BV138" s="446"/>
      <c r="BW138" s="447"/>
      <c r="BX138" s="448"/>
      <c r="BY138" s="446"/>
      <c r="BZ138" s="446"/>
      <c r="CA138" s="447"/>
      <c r="CB138" s="448"/>
      <c r="CC138" s="446"/>
      <c r="CD138" s="446"/>
      <c r="CE138" s="447"/>
      <c r="CF138" s="478"/>
      <c r="CG138" s="478">
        <f>+CG133/CF133-1</f>
        <v>-3.4571248728998194E-2</v>
      </c>
      <c r="CH138" s="446"/>
      <c r="CI138" s="447"/>
      <c r="CJ138" s="478">
        <f>+CJ133/CG133-1</f>
        <v>-4.0122373238377085E-2</v>
      </c>
      <c r="CK138" s="478">
        <f>+CK133/CJ133-1</f>
        <v>-0.13788599195360263</v>
      </c>
      <c r="CL138" s="446"/>
      <c r="CM138" s="447"/>
      <c r="CN138" s="478">
        <f>+CN133/CK133-1</f>
        <v>-4.5818181818181869E-2</v>
      </c>
      <c r="CO138" s="478">
        <f>+CO133/CN133-1</f>
        <v>-2.127794715447151E-2</v>
      </c>
      <c r="CP138" s="446"/>
      <c r="CQ138" s="447"/>
      <c r="CR138" s="478">
        <f>+CR133/CO133-1</f>
        <v>-1.7781815821922287E-2</v>
      </c>
      <c r="CS138" s="478">
        <f>+CS133/CR133-1</f>
        <v>-1.5196564255037792E-3</v>
      </c>
      <c r="CT138" s="446"/>
      <c r="CU138" s="447"/>
      <c r="CV138" s="478">
        <f>+CV133/CS133-1</f>
        <v>-3.037321334039178E-2</v>
      </c>
      <c r="CW138" s="478">
        <f>+CW133/CV133-1</f>
        <v>8.2576946700334553E-3</v>
      </c>
      <c r="CX138" s="446"/>
      <c r="CY138" s="447"/>
      <c r="CZ138" s="478">
        <f>+CZ133/CW133-1</f>
        <v>3.0458914308921115E-2</v>
      </c>
      <c r="DA138" s="478">
        <f>+DA133/CZ133-1</f>
        <v>7.3568050446664035E-3</v>
      </c>
      <c r="DB138" s="446"/>
      <c r="DC138" s="447"/>
      <c r="DD138" s="478">
        <f>+DD133/DA133-1</f>
        <v>7.237871674491414E-3</v>
      </c>
      <c r="DE138" s="478">
        <f>+DE133/DD133-1</f>
        <v>1.4112772706674326E-2</v>
      </c>
      <c r="DF138" s="446"/>
      <c r="DG138" s="447"/>
      <c r="DH138" s="478">
        <f>+DH133/DE133-1</f>
        <v>1.4427066709224334E-2</v>
      </c>
      <c r="DI138" s="468">
        <v>1.4999999999999999E-2</v>
      </c>
      <c r="DJ138" s="446"/>
      <c r="DK138" s="447"/>
      <c r="DL138" s="468">
        <v>1.4999999999999999E-2</v>
      </c>
      <c r="DM138" s="468">
        <v>1.4999999999999999E-2</v>
      </c>
      <c r="DN138" s="446"/>
      <c r="DO138" s="447"/>
      <c r="DP138" s="468">
        <v>1.4999999999999999E-2</v>
      </c>
      <c r="DQ138" s="468">
        <v>1.4999999999999999E-2</v>
      </c>
      <c r="DR138" s="446"/>
      <c r="DS138" s="447"/>
      <c r="DT138" s="1"/>
      <c r="DU138" s="1"/>
      <c r="DV138" s="1"/>
      <c r="DW138" s="1"/>
      <c r="DX138" s="1"/>
      <c r="DY138" s="1"/>
      <c r="DZ138" s="1"/>
      <c r="EA138" s="1"/>
      <c r="EB138" s="1"/>
      <c r="EC138" s="1"/>
      <c r="ED138" s="1"/>
      <c r="EE138" s="1"/>
      <c r="EF138" s="1"/>
      <c r="EG138" s="1"/>
      <c r="EH138" s="1"/>
      <c r="EI138" s="1"/>
      <c r="EJ138" s="1"/>
      <c r="EK138" s="1"/>
      <c r="EL138" s="1"/>
      <c r="EM138" s="1"/>
      <c r="EN138" s="1"/>
      <c r="EO138" s="1"/>
      <c r="EP138" s="1"/>
      <c r="EQ138" s="1"/>
      <c r="ER138" s="1"/>
      <c r="ES138" s="1"/>
      <c r="ET138" s="1"/>
      <c r="EU138" s="1"/>
      <c r="EV138" s="1"/>
      <c r="EW138" s="1"/>
      <c r="EX138" s="1"/>
      <c r="EY138" s="1"/>
      <c r="EZ138" s="1"/>
      <c r="FA138" s="1"/>
      <c r="FB138" s="1"/>
      <c r="FC138" s="1"/>
      <c r="FD138" s="1"/>
      <c r="FE138" s="1"/>
      <c r="FF138" s="1"/>
      <c r="FG138" s="1"/>
      <c r="FH138" s="1"/>
      <c r="FI138" s="1"/>
      <c r="FJ138" s="1"/>
      <c r="FK138" s="1"/>
      <c r="FL138" s="1"/>
      <c r="FM138" s="1"/>
      <c r="FN138" s="1"/>
      <c r="FO138" s="1"/>
      <c r="FP138" s="1"/>
      <c r="FQ138" s="1"/>
      <c r="FR138" s="1"/>
      <c r="FS138" s="1"/>
      <c r="FT138" s="1"/>
      <c r="FU138" s="1"/>
      <c r="FV138" s="1"/>
      <c r="FW138" s="1"/>
      <c r="FX138" s="1"/>
      <c r="FY138" s="1"/>
      <c r="FZ138" s="1"/>
      <c r="GA138" s="1"/>
      <c r="GB138" s="1"/>
      <c r="GC138" s="1"/>
      <c r="GD138" s="1"/>
      <c r="GE138" s="1"/>
      <c r="GF138" s="1"/>
      <c r="GG138" s="1"/>
      <c r="GH138" s="1"/>
      <c r="GI138" s="1"/>
      <c r="GJ138" s="1"/>
      <c r="GK138" s="1"/>
      <c r="GL138" s="1"/>
      <c r="GM138" s="1"/>
      <c r="GN138" s="1"/>
      <c r="GO138" s="1"/>
      <c r="GP138" s="1"/>
      <c r="GQ138" s="1"/>
      <c r="GR138" s="1"/>
      <c r="GS138" s="1"/>
      <c r="GT138" s="1"/>
      <c r="GU138" s="1"/>
      <c r="GV138" s="1"/>
      <c r="GW138" s="1"/>
      <c r="GX138" s="1"/>
      <c r="GY138" s="1"/>
      <c r="GZ138" s="1"/>
      <c r="HA138" s="1"/>
      <c r="HB138" s="1"/>
      <c r="HC138" s="1"/>
      <c r="HD138" s="1"/>
      <c r="HE138" s="1"/>
      <c r="HF138" s="1"/>
      <c r="HG138" s="1"/>
      <c r="HH138" s="1"/>
      <c r="HI138" s="1"/>
      <c r="HJ138" s="1"/>
      <c r="HK138" s="1"/>
      <c r="HL138" s="1"/>
      <c r="HM138" s="1"/>
      <c r="HN138" s="1"/>
      <c r="HO138" s="1"/>
      <c r="HP138" s="1"/>
      <c r="HQ138" s="1"/>
      <c r="HR138" s="1"/>
      <c r="HS138" s="1"/>
      <c r="HT138" s="1"/>
      <c r="HU138" s="1"/>
      <c r="HV138" s="1"/>
      <c r="HW138" s="1"/>
      <c r="HX138" s="1"/>
      <c r="HY138" s="1"/>
      <c r="HZ138" s="1"/>
      <c r="IA138" s="1"/>
      <c r="IB138" s="1"/>
      <c r="IC138" s="1"/>
      <c r="ID138" s="1"/>
      <c r="IE138" s="1"/>
      <c r="IF138" s="1"/>
      <c r="IG138" s="1"/>
      <c r="IH138" s="1"/>
      <c r="II138" s="1"/>
      <c r="IJ138" s="1"/>
      <c r="IK138" s="1"/>
      <c r="IL138" s="1"/>
      <c r="IM138" s="1"/>
      <c r="IN138" s="1"/>
      <c r="IO138" s="1"/>
      <c r="IP138" s="1"/>
      <c r="IQ138" s="1"/>
      <c r="IR138" s="1"/>
      <c r="IS138" s="1"/>
      <c r="IT138" s="1"/>
      <c r="IU138" s="1"/>
      <c r="IV138" s="1"/>
      <c r="IW138" s="1"/>
      <c r="IX138" s="1"/>
      <c r="IY138" s="1"/>
      <c r="IZ138" s="1"/>
      <c r="JA138" s="1"/>
      <c r="JB138" s="1"/>
      <c r="JC138" s="1"/>
      <c r="JD138" s="1"/>
    </row>
    <row r="139" spans="1:264" s="347" customFormat="1" x14ac:dyDescent="0.2">
      <c r="A139" s="477" t="str">
        <f>A134</f>
        <v>Business Loans</v>
      </c>
      <c r="B139" s="446"/>
      <c r="C139" s="447"/>
      <c r="D139" s="447"/>
      <c r="E139" s="447"/>
      <c r="F139" s="447"/>
      <c r="G139" s="447"/>
      <c r="H139" s="447"/>
      <c r="I139" s="447"/>
      <c r="J139" s="447"/>
      <c r="K139" s="447"/>
      <c r="L139" s="447"/>
      <c r="M139" s="447"/>
      <c r="N139" s="447"/>
      <c r="O139" s="447"/>
      <c r="P139" s="447"/>
      <c r="Q139" s="447"/>
      <c r="R139" s="447"/>
      <c r="S139" s="447"/>
      <c r="T139" s="447"/>
      <c r="U139" s="447"/>
      <c r="V139" s="447"/>
      <c r="W139" s="447"/>
      <c r="X139" s="447"/>
      <c r="Y139" s="447"/>
      <c r="Z139" s="447"/>
      <c r="AA139" s="447"/>
      <c r="AB139" s="447"/>
      <c r="AC139" s="447"/>
      <c r="AD139" s="447"/>
      <c r="AE139" s="447"/>
      <c r="AF139" s="447"/>
      <c r="AG139" s="447"/>
      <c r="AH139" s="447"/>
      <c r="AI139" s="447"/>
      <c r="AJ139" s="447"/>
      <c r="AK139" s="447"/>
      <c r="AL139" s="447"/>
      <c r="AM139" s="447"/>
      <c r="AN139" s="447"/>
      <c r="AO139" s="447"/>
      <c r="AP139" s="447"/>
      <c r="AQ139" s="447"/>
      <c r="AR139" s="447"/>
      <c r="AS139" s="447"/>
      <c r="AT139" s="447"/>
      <c r="AU139" s="447"/>
      <c r="AV139" s="447"/>
      <c r="AW139" s="447"/>
      <c r="AX139" s="447"/>
      <c r="AY139" s="447"/>
      <c r="AZ139" s="447"/>
      <c r="BA139" s="447"/>
      <c r="BB139" s="447"/>
      <c r="BC139" s="447"/>
      <c r="BD139" s="447"/>
      <c r="BE139" s="447"/>
      <c r="BF139" s="447"/>
      <c r="BG139" s="447"/>
      <c r="BH139" s="448"/>
      <c r="BI139" s="446"/>
      <c r="BJ139" s="446"/>
      <c r="BK139" s="446"/>
      <c r="BL139" s="448"/>
      <c r="BM139" s="446"/>
      <c r="BN139" s="446"/>
      <c r="BO139" s="446"/>
      <c r="BP139" s="448"/>
      <c r="BQ139" s="446"/>
      <c r="BR139" s="446"/>
      <c r="BS139" s="447"/>
      <c r="BT139" s="448"/>
      <c r="BU139" s="446"/>
      <c r="BV139" s="446"/>
      <c r="BW139" s="447"/>
      <c r="BX139" s="448"/>
      <c r="BY139" s="446"/>
      <c r="BZ139" s="446"/>
      <c r="CA139" s="447"/>
      <c r="CB139" s="448"/>
      <c r="CC139" s="446"/>
      <c r="CD139" s="446"/>
      <c r="CE139" s="447"/>
      <c r="CF139" s="478"/>
      <c r="CG139" s="478">
        <f>+CG134/CF134-1</f>
        <v>2.1490753848383282E-2</v>
      </c>
      <c r="CH139" s="446"/>
      <c r="CI139" s="447"/>
      <c r="CJ139" s="478">
        <f t="shared" ref="CJ139:CJ140" si="96">+CJ134/CG134-1</f>
        <v>-1.7743149900153909E-2</v>
      </c>
      <c r="CK139" s="478">
        <f>+CK134/CJ134-1</f>
        <v>2.4929178470254998E-2</v>
      </c>
      <c r="CL139" s="446"/>
      <c r="CM139" s="447"/>
      <c r="CN139" s="478">
        <f t="shared" ref="CN139:CN140" si="97">+CN134/CK134-1</f>
        <v>4.6065966463976427E-2</v>
      </c>
      <c r="CO139" s="478">
        <f>+CO134/CN134-1</f>
        <v>7.1102176999036315E-2</v>
      </c>
      <c r="CP139" s="624">
        <f>+CO139-CN139</f>
        <v>2.5036210535059888E-2</v>
      </c>
      <c r="CQ139" s="447"/>
      <c r="CR139" s="478">
        <f t="shared" ref="CR139:CR140" si="98">+CR134/CO134-1</f>
        <v>5.2190653084520866E-2</v>
      </c>
      <c r="CS139" s="478">
        <f>+CS134/CR134-1</f>
        <v>7.6761120203004518E-2</v>
      </c>
      <c r="CT139" s="624">
        <f>+CS139-CR139</f>
        <v>2.4570467118483652E-2</v>
      </c>
      <c r="CU139" s="447"/>
      <c r="CV139" s="478">
        <f t="shared" ref="CV139:CV140" si="99">+CV134/CS134-1</f>
        <v>4.5092430517013282E-2</v>
      </c>
      <c r="CW139" s="478">
        <f>+CW134/CV134-1</f>
        <v>6.5059315663910544E-2</v>
      </c>
      <c r="CX139" s="624">
        <f>+CW139-CV139</f>
        <v>1.9966885146897262E-2</v>
      </c>
      <c r="CY139" s="447"/>
      <c r="CZ139" s="478">
        <f t="shared" ref="CZ139:CZ140" si="100">+CZ134/CW134-1</f>
        <v>3.4895941208508807E-2</v>
      </c>
      <c r="DA139" s="478">
        <f>+DA134/CZ134-1</f>
        <v>7.2983069943961754E-2</v>
      </c>
      <c r="DB139" s="624">
        <f>+DA139-CZ139</f>
        <v>3.8087128735452946E-2</v>
      </c>
      <c r="DC139" s="447"/>
      <c r="DD139" s="478">
        <f t="shared" ref="DD139:DD140" si="101">+DD134/DA134-1</f>
        <v>3.6019730024731578E-2</v>
      </c>
      <c r="DE139" s="478">
        <f>+DE134/DD134-1</f>
        <v>6.3206817454390274E-2</v>
      </c>
      <c r="DF139" s="624">
        <f>+DE139-DD139</f>
        <v>2.7187087429658696E-2</v>
      </c>
      <c r="DG139" s="447"/>
      <c r="DH139" s="478">
        <f t="shared" ref="DH139:DH140" si="102">+DH134/DE134-1</f>
        <v>5.3058383036369561E-2</v>
      </c>
      <c r="DI139" s="468">
        <v>0.06</v>
      </c>
      <c r="DJ139" s="446"/>
      <c r="DK139" s="447"/>
      <c r="DL139" s="468">
        <v>3.5000000000000003E-2</v>
      </c>
      <c r="DM139" s="468">
        <v>5.5E-2</v>
      </c>
      <c r="DN139" s="446"/>
      <c r="DO139" s="447"/>
      <c r="DP139" s="468">
        <v>0.03</v>
      </c>
      <c r="DQ139" s="468">
        <v>0.04</v>
      </c>
      <c r="DR139" s="446"/>
      <c r="DS139" s="447"/>
      <c r="DT139" s="1"/>
      <c r="DU139" s="1"/>
      <c r="DV139" s="1"/>
      <c r="DW139" s="1"/>
      <c r="DX139" s="1"/>
      <c r="DY139" s="1"/>
      <c r="DZ139" s="1"/>
      <c r="EA139" s="1"/>
      <c r="EB139" s="1"/>
      <c r="EC139" s="1"/>
      <c r="ED139" s="1"/>
      <c r="EE139" s="1"/>
      <c r="EF139" s="1"/>
      <c r="EG139" s="1"/>
      <c r="EH139" s="1"/>
      <c r="EI139" s="1"/>
      <c r="EJ139" s="1"/>
      <c r="EK139" s="1"/>
      <c r="EL139" s="1"/>
      <c r="EM139" s="1"/>
      <c r="EN139" s="1"/>
      <c r="EO139" s="1"/>
      <c r="EP139" s="1"/>
      <c r="EQ139" s="1"/>
      <c r="ER139" s="1"/>
      <c r="ES139" s="1"/>
      <c r="ET139" s="1"/>
      <c r="EU139" s="1"/>
      <c r="EV139" s="1"/>
      <c r="EW139" s="1"/>
      <c r="EX139" s="1"/>
      <c r="EY139" s="1"/>
      <c r="EZ139" s="1"/>
      <c r="FA139" s="1"/>
      <c r="FB139" s="1"/>
      <c r="FC139" s="1"/>
      <c r="FD139" s="1"/>
      <c r="FE139" s="1"/>
      <c r="FF139" s="1"/>
      <c r="FG139" s="1"/>
      <c r="FH139" s="1"/>
      <c r="FI139" s="1"/>
      <c r="FJ139" s="1"/>
      <c r="FK139" s="1"/>
      <c r="FL139" s="1"/>
      <c r="FM139" s="1"/>
      <c r="FN139" s="1"/>
      <c r="FO139" s="1"/>
      <c r="FP139" s="1"/>
      <c r="FQ139" s="1"/>
      <c r="FR139" s="1"/>
      <c r="FS139" s="1"/>
      <c r="FT139" s="1"/>
      <c r="FU139" s="1"/>
      <c r="FV139" s="1"/>
      <c r="FW139" s="1"/>
      <c r="FX139" s="1"/>
      <c r="FY139" s="1"/>
      <c r="FZ139" s="1"/>
      <c r="GA139" s="1"/>
      <c r="GB139" s="1"/>
      <c r="GC139" s="1"/>
      <c r="GD139" s="1"/>
      <c r="GE139" s="1"/>
      <c r="GF139" s="1"/>
      <c r="GG139" s="1"/>
      <c r="GH139" s="1"/>
      <c r="GI139" s="1"/>
      <c r="GJ139" s="1"/>
      <c r="GK139" s="1"/>
      <c r="GL139" s="1"/>
      <c r="GM139" s="1"/>
      <c r="GN139" s="1"/>
      <c r="GO139" s="1"/>
      <c r="GP139" s="1"/>
      <c r="GQ139" s="1"/>
      <c r="GR139" s="1"/>
      <c r="GS139" s="1"/>
      <c r="GT139" s="1"/>
      <c r="GU139" s="1"/>
      <c r="GV139" s="1"/>
      <c r="GW139" s="1"/>
      <c r="GX139" s="1"/>
      <c r="GY139" s="1"/>
      <c r="GZ139" s="1"/>
      <c r="HA139" s="1"/>
      <c r="HB139" s="1"/>
      <c r="HC139" s="1"/>
      <c r="HD139" s="1"/>
      <c r="HE139" s="1"/>
      <c r="HF139" s="1"/>
      <c r="HG139" s="1"/>
      <c r="HH139" s="1"/>
      <c r="HI139" s="1"/>
      <c r="HJ139" s="1"/>
      <c r="HK139" s="1"/>
      <c r="HL139" s="1"/>
      <c r="HM139" s="1"/>
      <c r="HN139" s="1"/>
      <c r="HO139" s="1"/>
      <c r="HP139" s="1"/>
      <c r="HQ139" s="1"/>
      <c r="HR139" s="1"/>
      <c r="HS139" s="1"/>
      <c r="HT139" s="1"/>
      <c r="HU139" s="1"/>
      <c r="HV139" s="1"/>
      <c r="HW139" s="1"/>
      <c r="HX139" s="1"/>
      <c r="HY139" s="1"/>
      <c r="HZ139" s="1"/>
      <c r="IA139" s="1"/>
      <c r="IB139" s="1"/>
      <c r="IC139" s="1"/>
      <c r="ID139" s="1"/>
      <c r="IE139" s="1"/>
      <c r="IF139" s="1"/>
      <c r="IG139" s="1"/>
      <c r="IH139" s="1"/>
      <c r="II139" s="1"/>
      <c r="IJ139" s="1"/>
      <c r="IK139" s="1"/>
      <c r="IL139" s="1"/>
      <c r="IM139" s="1"/>
      <c r="IN139" s="1"/>
      <c r="IO139" s="1"/>
      <c r="IP139" s="1"/>
      <c r="IQ139" s="1"/>
      <c r="IR139" s="1"/>
      <c r="IS139" s="1"/>
      <c r="IT139" s="1"/>
      <c r="IU139" s="1"/>
      <c r="IV139" s="1"/>
      <c r="IW139" s="1"/>
      <c r="IX139" s="1"/>
      <c r="IY139" s="1"/>
      <c r="IZ139" s="1"/>
      <c r="JA139" s="1"/>
      <c r="JB139" s="1"/>
      <c r="JC139" s="1"/>
      <c r="JD139" s="1"/>
    </row>
    <row r="140" spans="1:264" s="347" customFormat="1" x14ac:dyDescent="0.2">
      <c r="A140" s="477" t="str">
        <f>+A135</f>
        <v>Institutional / Other Loans</v>
      </c>
      <c r="B140" s="446"/>
      <c r="C140" s="447"/>
      <c r="D140" s="447"/>
      <c r="E140" s="447"/>
      <c r="F140" s="447"/>
      <c r="G140" s="447"/>
      <c r="H140" s="447"/>
      <c r="I140" s="447"/>
      <c r="J140" s="447"/>
      <c r="K140" s="447"/>
      <c r="L140" s="447"/>
      <c r="M140" s="447"/>
      <c r="N140" s="447"/>
      <c r="O140" s="447"/>
      <c r="P140" s="447"/>
      <c r="Q140" s="447"/>
      <c r="R140" s="447"/>
      <c r="S140" s="447"/>
      <c r="T140" s="447"/>
      <c r="U140" s="447"/>
      <c r="V140" s="447"/>
      <c r="W140" s="447"/>
      <c r="X140" s="447"/>
      <c r="Y140" s="447"/>
      <c r="Z140" s="447"/>
      <c r="AA140" s="447"/>
      <c r="AB140" s="447"/>
      <c r="AC140" s="447"/>
      <c r="AD140" s="447"/>
      <c r="AE140" s="447"/>
      <c r="AF140" s="447"/>
      <c r="AG140" s="447"/>
      <c r="AH140" s="447"/>
      <c r="AI140" s="447"/>
      <c r="AJ140" s="447"/>
      <c r="AK140" s="447"/>
      <c r="AL140" s="447"/>
      <c r="AM140" s="447"/>
      <c r="AN140" s="447"/>
      <c r="AO140" s="447"/>
      <c r="AP140" s="447"/>
      <c r="AQ140" s="447"/>
      <c r="AR140" s="447"/>
      <c r="AS140" s="447"/>
      <c r="AT140" s="447"/>
      <c r="AU140" s="447"/>
      <c r="AV140" s="447"/>
      <c r="AW140" s="447"/>
      <c r="AX140" s="447"/>
      <c r="AY140" s="447"/>
      <c r="AZ140" s="447"/>
      <c r="BA140" s="447"/>
      <c r="BB140" s="447"/>
      <c r="BC140" s="447"/>
      <c r="BD140" s="447"/>
      <c r="BE140" s="447"/>
      <c r="BF140" s="447"/>
      <c r="BG140" s="447"/>
      <c r="BH140" s="448"/>
      <c r="BI140" s="446"/>
      <c r="BJ140" s="446"/>
      <c r="BK140" s="446"/>
      <c r="BL140" s="448"/>
      <c r="BM140" s="446"/>
      <c r="BN140" s="446"/>
      <c r="BO140" s="446"/>
      <c r="BP140" s="448"/>
      <c r="BQ140" s="446"/>
      <c r="BR140" s="446"/>
      <c r="BS140" s="447"/>
      <c r="BT140" s="448"/>
      <c r="BU140" s="446"/>
      <c r="BV140" s="446"/>
      <c r="BW140" s="447"/>
      <c r="BX140" s="448"/>
      <c r="BY140" s="446"/>
      <c r="BZ140" s="446"/>
      <c r="CA140" s="447"/>
      <c r="CB140" s="448"/>
      <c r="CC140" s="446"/>
      <c r="CD140" s="446"/>
      <c r="CE140" s="447"/>
      <c r="CF140" s="478"/>
      <c r="CG140" s="478">
        <f>+CG135/CF135-1</f>
        <v>-8.6075231010276698E-2</v>
      </c>
      <c r="CH140" s="446"/>
      <c r="CI140" s="447"/>
      <c r="CJ140" s="478">
        <f t="shared" si="96"/>
        <v>2.7038336933045359E-2</v>
      </c>
      <c r="CK140" s="478">
        <f>+CK135/CJ135-1</f>
        <v>5.0484339471366768E-2</v>
      </c>
      <c r="CL140" s="446"/>
      <c r="CM140" s="447"/>
      <c r="CN140" s="478">
        <f t="shared" si="97"/>
        <v>-5.5002252139532581E-2</v>
      </c>
      <c r="CO140" s="478">
        <f>+CO135/CN135-1</f>
        <v>-6.5273805740917235E-2</v>
      </c>
      <c r="CP140" s="446"/>
      <c r="CQ140" s="447"/>
      <c r="CR140" s="478">
        <f t="shared" si="98"/>
        <v>-8.130541941698044E-3</v>
      </c>
      <c r="CS140" s="478">
        <f>+CS135/CR135-1</f>
        <v>0.15547526562321501</v>
      </c>
      <c r="CT140" s="446"/>
      <c r="CU140" s="447"/>
      <c r="CV140" s="478">
        <f t="shared" si="99"/>
        <v>8.2980064515331575E-2</v>
      </c>
      <c r="CW140" s="478">
        <f>+CW135/CV135-1</f>
        <v>-6.7446504992867418E-3</v>
      </c>
      <c r="CX140" s="446"/>
      <c r="CY140" s="447"/>
      <c r="CZ140" s="478">
        <f t="shared" si="100"/>
        <v>-8.0818990279660774E-2</v>
      </c>
      <c r="DA140" s="478">
        <f>+DA135/CZ135-1</f>
        <v>-5.1274999999999959E-2</v>
      </c>
      <c r="DB140" s="446"/>
      <c r="DC140" s="447"/>
      <c r="DD140" s="478">
        <f t="shared" si="101"/>
        <v>-2.0777886110305954E-2</v>
      </c>
      <c r="DE140" s="478">
        <f>+DE135/DD135-1</f>
        <v>5.1640855209160286E-2</v>
      </c>
      <c r="DF140" s="446"/>
      <c r="DG140" s="447"/>
      <c r="DH140" s="478">
        <f t="shared" si="102"/>
        <v>5.3084097800637053E-2</v>
      </c>
      <c r="DI140" s="468">
        <v>0.01</v>
      </c>
      <c r="DJ140" s="446"/>
      <c r="DK140" s="447"/>
      <c r="DL140" s="468">
        <v>0.01</v>
      </c>
      <c r="DM140" s="468">
        <v>0.01</v>
      </c>
      <c r="DN140" s="446"/>
      <c r="DO140" s="447"/>
      <c r="DP140" s="468">
        <v>0.01</v>
      </c>
      <c r="DQ140" s="468">
        <v>0.01</v>
      </c>
      <c r="DR140" s="446"/>
      <c r="DS140" s="447"/>
      <c r="DT140" s="1"/>
      <c r="DU140" s="1"/>
      <c r="DV140" s="1"/>
      <c r="DW140" s="1"/>
      <c r="DX140" s="1"/>
      <c r="DY140" s="1"/>
      <c r="DZ140" s="1"/>
      <c r="EA140" s="1"/>
      <c r="EB140" s="1"/>
      <c r="EC140" s="1"/>
      <c r="ED140" s="1"/>
      <c r="EE140" s="1"/>
      <c r="EF140" s="1"/>
      <c r="EG140" s="1"/>
      <c r="EH140" s="1"/>
      <c r="EI140" s="1"/>
      <c r="EJ140" s="1"/>
      <c r="EK140" s="1"/>
      <c r="EL140" s="1"/>
      <c r="EM140" s="1"/>
      <c r="EN140" s="1"/>
      <c r="EO140" s="1"/>
      <c r="EP140" s="1"/>
      <c r="EQ140" s="1"/>
      <c r="ER140" s="1"/>
      <c r="ES140" s="1"/>
      <c r="ET140" s="1"/>
      <c r="EU140" s="1"/>
      <c r="EV140" s="1"/>
      <c r="EW140" s="1"/>
      <c r="EX140" s="1"/>
      <c r="EY140" s="1"/>
      <c r="EZ140" s="1"/>
      <c r="FA140" s="1"/>
      <c r="FB140" s="1"/>
      <c r="FC140" s="1"/>
      <c r="FD140" s="1"/>
      <c r="FE140" s="1"/>
      <c r="FF140" s="1"/>
      <c r="FG140" s="1"/>
      <c r="FH140" s="1"/>
      <c r="FI140" s="1"/>
      <c r="FJ140" s="1"/>
      <c r="FK140" s="1"/>
      <c r="FL140" s="1"/>
      <c r="FM140" s="1"/>
      <c r="FN140" s="1"/>
      <c r="FO140" s="1"/>
      <c r="FP140" s="1"/>
      <c r="FQ140" s="1"/>
      <c r="FR140" s="1"/>
      <c r="FS140" s="1"/>
      <c r="FT140" s="1"/>
      <c r="FU140" s="1"/>
      <c r="FV140" s="1"/>
      <c r="FW140" s="1"/>
      <c r="FX140" s="1"/>
      <c r="FY140" s="1"/>
      <c r="FZ140" s="1"/>
      <c r="GA140" s="1"/>
      <c r="GB140" s="1"/>
      <c r="GC140" s="1"/>
      <c r="GD140" s="1"/>
      <c r="GE140" s="1"/>
      <c r="GF140" s="1"/>
      <c r="GG140" s="1"/>
      <c r="GH140" s="1"/>
      <c r="GI140" s="1"/>
      <c r="GJ140" s="1"/>
      <c r="GK140" s="1"/>
      <c r="GL140" s="1"/>
      <c r="GM140" s="1"/>
      <c r="GN140" s="1"/>
      <c r="GO140" s="1"/>
      <c r="GP140" s="1"/>
      <c r="GQ140" s="1"/>
      <c r="GR140" s="1"/>
      <c r="GS140" s="1"/>
      <c r="GT140" s="1"/>
      <c r="GU140" s="1"/>
      <c r="GV140" s="1"/>
      <c r="GW140" s="1"/>
      <c r="GX140" s="1"/>
      <c r="GY140" s="1"/>
      <c r="GZ140" s="1"/>
      <c r="HA140" s="1"/>
      <c r="HB140" s="1"/>
      <c r="HC140" s="1"/>
      <c r="HD140" s="1"/>
      <c r="HE140" s="1"/>
      <c r="HF140" s="1"/>
      <c r="HG140" s="1"/>
      <c r="HH140" s="1"/>
      <c r="HI140" s="1"/>
      <c r="HJ140" s="1"/>
      <c r="HK140" s="1"/>
      <c r="HL140" s="1"/>
      <c r="HM140" s="1"/>
      <c r="HN140" s="1"/>
      <c r="HO140" s="1"/>
      <c r="HP140" s="1"/>
      <c r="HQ140" s="1"/>
      <c r="HR140" s="1"/>
      <c r="HS140" s="1"/>
      <c r="HT140" s="1"/>
      <c r="HU140" s="1"/>
      <c r="HV140" s="1"/>
      <c r="HW140" s="1"/>
      <c r="HX140" s="1"/>
      <c r="HY140" s="1"/>
      <c r="HZ140" s="1"/>
      <c r="IA140" s="1"/>
      <c r="IB140" s="1"/>
      <c r="IC140" s="1"/>
      <c r="ID140" s="1"/>
      <c r="IE140" s="1"/>
      <c r="IF140" s="1"/>
      <c r="IG140" s="1"/>
      <c r="IH140" s="1"/>
      <c r="II140" s="1"/>
      <c r="IJ140" s="1"/>
      <c r="IK140" s="1"/>
      <c r="IL140" s="1"/>
      <c r="IM140" s="1"/>
      <c r="IN140" s="1"/>
      <c r="IO140" s="1"/>
      <c r="IP140" s="1"/>
      <c r="IQ140" s="1"/>
      <c r="IR140" s="1"/>
      <c r="IS140" s="1"/>
      <c r="IT140" s="1"/>
      <c r="IU140" s="1"/>
      <c r="IV140" s="1"/>
      <c r="IW140" s="1"/>
      <c r="IX140" s="1"/>
      <c r="IY140" s="1"/>
      <c r="IZ140" s="1"/>
      <c r="JA140" s="1"/>
      <c r="JB140" s="1"/>
      <c r="JC140" s="1"/>
      <c r="JD140" s="1"/>
    </row>
    <row r="141" spans="1:264" s="347" customFormat="1" x14ac:dyDescent="0.2">
      <c r="A141" s="424" t="str">
        <f>+A136</f>
        <v>Total Non Housing Loans</v>
      </c>
      <c r="B141" s="348"/>
      <c r="BH141" s="398"/>
      <c r="BI141" s="348"/>
      <c r="BJ141" s="348"/>
      <c r="BK141" s="348"/>
      <c r="BL141" s="398"/>
      <c r="BM141" s="348"/>
      <c r="BN141" s="348"/>
      <c r="BO141" s="348"/>
      <c r="BP141" s="398"/>
      <c r="BQ141" s="348"/>
      <c r="BR141" s="348"/>
      <c r="BT141" s="398"/>
      <c r="BU141" s="348"/>
      <c r="BV141" s="348"/>
      <c r="BX141" s="398"/>
      <c r="BY141" s="348"/>
      <c r="BZ141" s="348"/>
      <c r="CB141" s="398"/>
      <c r="CC141" s="348"/>
      <c r="CD141" s="348"/>
      <c r="CF141" s="428"/>
      <c r="CG141" s="428">
        <f t="shared" ref="CG141" si="103">+CG136/CF136-1</f>
        <v>-3.010610010291348E-2</v>
      </c>
      <c r="CH141" s="348"/>
      <c r="CJ141" s="428">
        <f>+CJ136/CG136-1</f>
        <v>-2.278358289346083E-3</v>
      </c>
      <c r="CK141" s="428">
        <f t="shared" ref="CK141" si="104">+CK136/CJ136-1</f>
        <v>1.8603194826087632E-2</v>
      </c>
      <c r="CL141" s="348"/>
      <c r="CN141" s="428">
        <f>+CN136/CK136-1</f>
        <v>-4.780504867953117E-3</v>
      </c>
      <c r="CO141" s="428">
        <f t="shared" ref="CO141" si="105">+CO136/CN136-1</f>
        <v>8.5045877910969736E-3</v>
      </c>
      <c r="CP141" s="348"/>
      <c r="CR141" s="428">
        <f>+CR136/CO136-1</f>
        <v>2.4010180696807382E-2</v>
      </c>
      <c r="CS141" s="428">
        <f t="shared" ref="CS141" si="106">+CS136/CR136-1</f>
        <v>9.9074384426969253E-2</v>
      </c>
      <c r="CT141" s="348"/>
      <c r="CV141" s="428">
        <f>+CV136/CS136-1</f>
        <v>5.4124557798234108E-2</v>
      </c>
      <c r="CW141" s="428">
        <f t="shared" ref="CW141" si="107">+CW136/CV136-1</f>
        <v>3.3350543454071291E-2</v>
      </c>
      <c r="CX141" s="348"/>
      <c r="CZ141" s="428">
        <f>+CZ136/CW136-1</f>
        <v>-8.765242260958761E-3</v>
      </c>
      <c r="DA141" s="428">
        <f t="shared" ref="DA141" si="108">+DA136/CZ136-1</f>
        <v>2.5446265621469344E-2</v>
      </c>
      <c r="DB141" s="348"/>
      <c r="DD141" s="428">
        <f>+DD136/DA136-1</f>
        <v>1.5882163499838953E-2</v>
      </c>
      <c r="DE141" s="428">
        <f t="shared" ref="DE141" si="109">+DE136/DD136-1</f>
        <v>5.6457937064103847E-2</v>
      </c>
      <c r="DF141" s="348"/>
      <c r="DH141" s="428">
        <f>+DH136/DE136-1</f>
        <v>5.0676942879366305E-2</v>
      </c>
      <c r="DI141" s="428">
        <f>+DI136/DH136-1</f>
        <v>4.1847478072647659E-2</v>
      </c>
      <c r="DJ141" s="348"/>
      <c r="DL141" s="428">
        <f>+DL136/DI136-1</f>
        <v>2.6340181252928696E-2</v>
      </c>
      <c r="DM141" s="428">
        <f>+DM136/DL136-1</f>
        <v>3.9420151030491235E-2</v>
      </c>
      <c r="DN141" s="348"/>
      <c r="DP141" s="428">
        <f>+DP136/DM136-1</f>
        <v>2.342275768652291E-2</v>
      </c>
      <c r="DQ141" s="428">
        <f>+DQ136/DP136-1</f>
        <v>3.011805428406622E-2</v>
      </c>
      <c r="DR141" s="348"/>
      <c r="DT141" s="1"/>
      <c r="DU141" s="1"/>
      <c r="DV141" s="1"/>
      <c r="DW141" s="1"/>
      <c r="DX141" s="1"/>
      <c r="DY141" s="1"/>
      <c r="DZ141" s="1"/>
      <c r="EA141" s="1"/>
      <c r="EB141" s="1"/>
      <c r="EC141" s="1"/>
      <c r="ED141" s="1"/>
      <c r="EE141" s="1"/>
      <c r="EF141" s="1"/>
      <c r="EG141" s="1"/>
      <c r="EH141" s="1"/>
      <c r="EI141" s="1"/>
      <c r="EJ141" s="1"/>
      <c r="EK141" s="1"/>
      <c r="EL141" s="1"/>
      <c r="EM141" s="1"/>
      <c r="EN141" s="1"/>
      <c r="EO141" s="1"/>
      <c r="EP141" s="1"/>
      <c r="EQ141" s="1"/>
      <c r="ER141" s="1"/>
      <c r="ES141" s="1"/>
      <c r="ET141" s="1"/>
      <c r="EU141" s="1"/>
      <c r="EV141" s="1"/>
      <c r="EW141" s="1"/>
      <c r="EX141" s="1"/>
      <c r="EY141" s="1"/>
      <c r="EZ141" s="1"/>
      <c r="FA141" s="1"/>
      <c r="FB141" s="1"/>
      <c r="FC141" s="1"/>
      <c r="FD141" s="1"/>
      <c r="FE141" s="1"/>
      <c r="FF141" s="1"/>
      <c r="FG141" s="1"/>
      <c r="FH141" s="1"/>
      <c r="FI141" s="1"/>
      <c r="FJ141" s="1"/>
      <c r="FK141" s="1"/>
      <c r="FL141" s="1"/>
      <c r="FM141" s="1"/>
      <c r="FN141" s="1"/>
      <c r="FO141" s="1"/>
      <c r="FP141" s="1"/>
      <c r="FQ141" s="1"/>
      <c r="FR141" s="1"/>
      <c r="FS141" s="1"/>
      <c r="FT141" s="1"/>
      <c r="FU141" s="1"/>
      <c r="FV141" s="1"/>
      <c r="FW141" s="1"/>
      <c r="FX141" s="1"/>
      <c r="FY141" s="1"/>
      <c r="FZ141" s="1"/>
      <c r="GA141" s="1"/>
      <c r="GB141" s="1"/>
      <c r="GC141" s="1"/>
      <c r="GD141" s="1"/>
      <c r="GE141" s="1"/>
      <c r="GF141" s="1"/>
      <c r="GG141" s="1"/>
      <c r="GH141" s="1"/>
      <c r="GI141" s="1"/>
      <c r="GJ141" s="1"/>
      <c r="GK141" s="1"/>
      <c r="GL141" s="1"/>
      <c r="GM141" s="1"/>
      <c r="GN141" s="1"/>
      <c r="GO141" s="1"/>
      <c r="GP141" s="1"/>
      <c r="GQ141" s="1"/>
      <c r="GR141" s="1"/>
      <c r="GS141" s="1"/>
      <c r="GT141" s="1"/>
      <c r="GU141" s="1"/>
      <c r="GV141" s="1"/>
      <c r="GW141" s="1"/>
      <c r="GX141" s="1"/>
      <c r="GY141" s="1"/>
      <c r="GZ141" s="1"/>
      <c r="HA141" s="1"/>
      <c r="HB141" s="1"/>
      <c r="HC141" s="1"/>
      <c r="HD141" s="1"/>
      <c r="HE141" s="1"/>
      <c r="HF141" s="1"/>
      <c r="HG141" s="1"/>
      <c r="HH141" s="1"/>
      <c r="HI141" s="1"/>
      <c r="HJ141" s="1"/>
      <c r="HK141" s="1"/>
      <c r="HL141" s="1"/>
      <c r="HM141" s="1"/>
      <c r="HN141" s="1"/>
      <c r="HO141" s="1"/>
      <c r="HP141" s="1"/>
      <c r="HQ141" s="1"/>
      <c r="HR141" s="1"/>
      <c r="HS141" s="1"/>
      <c r="HT141" s="1"/>
      <c r="HU141" s="1"/>
      <c r="HV141" s="1"/>
      <c r="HW141" s="1"/>
      <c r="HX141" s="1"/>
      <c r="HY141" s="1"/>
      <c r="HZ141" s="1"/>
      <c r="IA141" s="1"/>
      <c r="IB141" s="1"/>
      <c r="IC141" s="1"/>
      <c r="ID141" s="1"/>
      <c r="IE141" s="1"/>
      <c r="IF141" s="1"/>
      <c r="IG141" s="1"/>
      <c r="IH141" s="1"/>
      <c r="II141" s="1"/>
      <c r="IJ141" s="1"/>
      <c r="IK141" s="1"/>
      <c r="IL141" s="1"/>
      <c r="IM141" s="1"/>
      <c r="IN141" s="1"/>
      <c r="IO141" s="1"/>
      <c r="IP141" s="1"/>
      <c r="IQ141" s="1"/>
      <c r="IR141" s="1"/>
      <c r="IS141" s="1"/>
      <c r="IT141" s="1"/>
      <c r="IU141" s="1"/>
      <c r="IV141" s="1"/>
      <c r="IW141" s="1"/>
      <c r="IX141" s="1"/>
      <c r="IY141" s="1"/>
      <c r="IZ141" s="1"/>
      <c r="JA141" s="1"/>
      <c r="JB141" s="1"/>
      <c r="JC141" s="1"/>
      <c r="JD141" s="1"/>
    </row>
    <row r="142" spans="1:264" s="347" customFormat="1" x14ac:dyDescent="0.2">
      <c r="A142" s="411"/>
      <c r="B142" s="348"/>
      <c r="BH142" s="398"/>
      <c r="BI142" s="348"/>
      <c r="BJ142" s="348"/>
      <c r="BK142" s="348"/>
      <c r="BL142" s="398"/>
      <c r="BM142" s="348"/>
      <c r="BN142" s="348"/>
      <c r="BO142" s="348"/>
      <c r="BP142" s="398"/>
      <c r="BQ142" s="348"/>
      <c r="BR142" s="348"/>
      <c r="BT142" s="398"/>
      <c r="BU142" s="348"/>
      <c r="BV142" s="348"/>
      <c r="BX142" s="398"/>
      <c r="BY142" s="348"/>
      <c r="BZ142" s="348"/>
      <c r="CB142" s="398"/>
      <c r="CC142" s="348"/>
      <c r="CD142" s="348"/>
      <c r="CF142" s="398"/>
      <c r="CG142" s="348"/>
      <c r="CH142" s="348"/>
      <c r="CJ142" s="398"/>
      <c r="CK142" s="348"/>
      <c r="CL142" s="348"/>
      <c r="CN142" s="351"/>
      <c r="CO142" s="348"/>
      <c r="CP142" s="348"/>
      <c r="CR142" s="398"/>
      <c r="CS142" s="348"/>
      <c r="CT142" s="348"/>
      <c r="CV142" s="398"/>
      <c r="CW142" s="348"/>
      <c r="CX142" s="348"/>
      <c r="CZ142" s="398"/>
      <c r="DA142" s="348"/>
      <c r="DB142" s="348"/>
      <c r="DD142" s="398"/>
      <c r="DE142" s="348"/>
      <c r="DF142" s="348"/>
      <c r="DH142" s="398"/>
      <c r="DI142" s="348"/>
      <c r="DJ142" s="348"/>
      <c r="DL142" s="348"/>
      <c r="DM142" s="348"/>
      <c r="DN142" s="348"/>
      <c r="DP142" s="348"/>
      <c r="DQ142" s="348"/>
      <c r="DR142" s="348"/>
      <c r="DT142" s="1"/>
      <c r="DU142" s="1"/>
      <c r="DV142" s="1"/>
      <c r="DW142" s="1"/>
      <c r="DX142" s="1"/>
      <c r="DY142" s="1"/>
      <c r="DZ142" s="1"/>
      <c r="EA142" s="1"/>
      <c r="EB142" s="1"/>
      <c r="EC142" s="1"/>
      <c r="ED142" s="1"/>
      <c r="EE142" s="1"/>
      <c r="EF142" s="1"/>
      <c r="EG142" s="1"/>
      <c r="EH142" s="1"/>
      <c r="EI142" s="1"/>
      <c r="EJ142" s="1"/>
      <c r="EK142" s="1"/>
      <c r="EL142" s="1"/>
      <c r="EM142" s="1"/>
      <c r="EN142" s="1"/>
      <c r="EO142" s="1"/>
      <c r="EP142" s="1"/>
      <c r="EQ142" s="1"/>
      <c r="ER142" s="1"/>
      <c r="ES142" s="1"/>
      <c r="ET142" s="1"/>
      <c r="EU142" s="1"/>
      <c r="EV142" s="1"/>
      <c r="EW142" s="1"/>
      <c r="EX142" s="1"/>
      <c r="EY142" s="1"/>
      <c r="EZ142" s="1"/>
      <c r="FA142" s="1"/>
      <c r="FB142" s="1"/>
      <c r="FC142" s="1"/>
      <c r="FD142" s="1"/>
      <c r="FE142" s="1"/>
      <c r="FF142" s="1"/>
      <c r="FG142" s="1"/>
      <c r="FH142" s="1"/>
      <c r="FI142" s="1"/>
      <c r="FJ142" s="1"/>
      <c r="FK142" s="1"/>
      <c r="FL142" s="1"/>
      <c r="FM142" s="1"/>
      <c r="FN142" s="1"/>
      <c r="FO142" s="1"/>
      <c r="FP142" s="1"/>
      <c r="FQ142" s="1"/>
      <c r="FR142" s="1"/>
      <c r="FS142" s="1"/>
      <c r="FT142" s="1"/>
      <c r="FU142" s="1"/>
      <c r="FV142" s="1"/>
      <c r="FW142" s="1"/>
      <c r="FX142" s="1"/>
      <c r="FY142" s="1"/>
      <c r="FZ142" s="1"/>
      <c r="GA142" s="1"/>
      <c r="GB142" s="1"/>
      <c r="GC142" s="1"/>
      <c r="GD142" s="1"/>
      <c r="GE142" s="1"/>
      <c r="GF142" s="1"/>
      <c r="GG142" s="1"/>
      <c r="GH142" s="1"/>
      <c r="GI142" s="1"/>
      <c r="GJ142" s="1"/>
      <c r="GK142" s="1"/>
      <c r="GL142" s="1"/>
      <c r="GM142" s="1"/>
      <c r="GN142" s="1"/>
      <c r="GO142" s="1"/>
      <c r="GP142" s="1"/>
      <c r="GQ142" s="1"/>
      <c r="GR142" s="1"/>
      <c r="GS142" s="1"/>
      <c r="GT142" s="1"/>
      <c r="GU142" s="1"/>
      <c r="GV142" s="1"/>
      <c r="GW142" s="1"/>
      <c r="GX142" s="1"/>
      <c r="GY142" s="1"/>
      <c r="GZ142" s="1"/>
      <c r="HA142" s="1"/>
      <c r="HB142" s="1"/>
      <c r="HC142" s="1"/>
      <c r="HD142" s="1"/>
      <c r="HE142" s="1"/>
      <c r="HF142" s="1"/>
      <c r="HG142" s="1"/>
      <c r="HH142" s="1"/>
      <c r="HI142" s="1"/>
      <c r="HJ142" s="1"/>
      <c r="HK142" s="1"/>
      <c r="HL142" s="1"/>
      <c r="HM142" s="1"/>
      <c r="HN142" s="1"/>
      <c r="HO142" s="1"/>
      <c r="HP142" s="1"/>
      <c r="HQ142" s="1"/>
      <c r="HR142" s="1"/>
      <c r="HS142" s="1"/>
      <c r="HT142" s="1"/>
      <c r="HU142" s="1"/>
      <c r="HV142" s="1"/>
      <c r="HW142" s="1"/>
      <c r="HX142" s="1"/>
      <c r="HY142" s="1"/>
      <c r="HZ142" s="1"/>
      <c r="IA142" s="1"/>
      <c r="IB142" s="1"/>
      <c r="IC142" s="1"/>
      <c r="ID142" s="1"/>
      <c r="IE142" s="1"/>
      <c r="IF142" s="1"/>
      <c r="IG142" s="1"/>
      <c r="IH142" s="1"/>
      <c r="II142" s="1"/>
      <c r="IJ142" s="1"/>
      <c r="IK142" s="1"/>
      <c r="IL142" s="1"/>
      <c r="IM142" s="1"/>
      <c r="IN142" s="1"/>
      <c r="IO142" s="1"/>
      <c r="IP142" s="1"/>
      <c r="IQ142" s="1"/>
      <c r="IR142" s="1"/>
      <c r="IS142" s="1"/>
      <c r="IT142" s="1"/>
      <c r="IU142" s="1"/>
      <c r="IV142" s="1"/>
      <c r="IW142" s="1"/>
      <c r="IX142" s="1"/>
      <c r="IY142" s="1"/>
      <c r="IZ142" s="1"/>
      <c r="JA142" s="1"/>
      <c r="JB142" s="1"/>
      <c r="JC142" s="1"/>
      <c r="JD142" s="1"/>
    </row>
    <row r="143" spans="1:264" s="347" customFormat="1" x14ac:dyDescent="0.2">
      <c r="A143" s="411" t="s">
        <v>280</v>
      </c>
      <c r="B143" s="348"/>
      <c r="BH143" s="398"/>
      <c r="BI143" s="348"/>
      <c r="BJ143" s="348"/>
      <c r="BK143" s="348"/>
      <c r="BL143" s="398"/>
      <c r="BM143" s="348"/>
      <c r="BN143" s="348"/>
      <c r="BO143" s="348"/>
      <c r="BP143" s="398"/>
      <c r="BQ143" s="348"/>
      <c r="BR143" s="348"/>
      <c r="BT143" s="398"/>
      <c r="BU143" s="348"/>
      <c r="BV143" s="348"/>
      <c r="BX143" s="398"/>
      <c r="BY143" s="348"/>
      <c r="BZ143" s="348"/>
      <c r="CB143" s="398"/>
      <c r="CC143" s="348"/>
      <c r="CD143" s="348"/>
      <c r="CF143" s="398"/>
      <c r="CG143" s="348"/>
      <c r="CH143" s="348"/>
      <c r="CJ143" s="398"/>
      <c r="CK143" s="348"/>
      <c r="CL143" s="348"/>
      <c r="CN143" s="398"/>
      <c r="CO143" s="348"/>
      <c r="CP143" s="348"/>
      <c r="CR143" s="398"/>
      <c r="CS143" s="348"/>
      <c r="CT143" s="348"/>
      <c r="CV143" s="398"/>
      <c r="CW143" s="348"/>
      <c r="CX143" s="348"/>
      <c r="CZ143" s="398"/>
      <c r="DA143" s="348"/>
      <c r="DB143" s="348"/>
      <c r="DD143" s="398"/>
      <c r="DE143" s="348"/>
      <c r="DF143" s="348"/>
      <c r="DH143" s="398"/>
      <c r="DI143" s="348"/>
      <c r="DJ143" s="348"/>
      <c r="DL143" s="348"/>
      <c r="DM143" s="348"/>
      <c r="DN143" s="348"/>
      <c r="DP143" s="348"/>
      <c r="DQ143" s="348"/>
      <c r="DR143" s="348"/>
      <c r="DT143" s="1"/>
      <c r="DU143" s="1"/>
      <c r="DV143" s="1"/>
      <c r="DW143" s="1"/>
      <c r="DX143" s="1"/>
      <c r="DY143" s="1"/>
      <c r="DZ143" s="1"/>
      <c r="EA143" s="1"/>
      <c r="EB143" s="1"/>
      <c r="EC143" s="1"/>
      <c r="ED143" s="1"/>
      <c r="EE143" s="1"/>
      <c r="EF143" s="1"/>
      <c r="EG143" s="1"/>
      <c r="EH143" s="1"/>
      <c r="EI143" s="1"/>
      <c r="EJ143" s="1"/>
      <c r="EK143" s="1"/>
      <c r="EL143" s="1"/>
      <c r="EM143" s="1"/>
      <c r="EN143" s="1"/>
      <c r="EO143" s="1"/>
      <c r="EP143" s="1"/>
      <c r="EQ143" s="1"/>
      <c r="ER143" s="1"/>
      <c r="ES143" s="1"/>
      <c r="ET143" s="1"/>
      <c r="EU143" s="1"/>
      <c r="EV143" s="1"/>
      <c r="EW143" s="1"/>
      <c r="EX143" s="1"/>
      <c r="EY143" s="1"/>
      <c r="EZ143" s="1"/>
      <c r="FA143" s="1"/>
      <c r="FB143" s="1"/>
      <c r="FC143" s="1"/>
      <c r="FD143" s="1"/>
      <c r="FE143" s="1"/>
      <c r="FF143" s="1"/>
      <c r="FG143" s="1"/>
      <c r="FH143" s="1"/>
      <c r="FI143" s="1"/>
      <c r="FJ143" s="1"/>
      <c r="FK143" s="1"/>
      <c r="FL143" s="1"/>
      <c r="FM143" s="1"/>
      <c r="FN143" s="1"/>
      <c r="FO143" s="1"/>
      <c r="FP143" s="1"/>
      <c r="FQ143" s="1"/>
      <c r="FR143" s="1"/>
      <c r="FS143" s="1"/>
      <c r="FT143" s="1"/>
      <c r="FU143" s="1"/>
      <c r="FV143" s="1"/>
      <c r="FW143" s="1"/>
      <c r="FX143" s="1"/>
      <c r="FY143" s="1"/>
      <c r="FZ143" s="1"/>
      <c r="GA143" s="1"/>
      <c r="GB143" s="1"/>
      <c r="GC143" s="1"/>
      <c r="GD143" s="1"/>
      <c r="GE143" s="1"/>
      <c r="GF143" s="1"/>
      <c r="GG143" s="1"/>
      <c r="GH143" s="1"/>
      <c r="GI143" s="1"/>
      <c r="GJ143" s="1"/>
      <c r="GK143" s="1"/>
      <c r="GL143" s="1"/>
      <c r="GM143" s="1"/>
      <c r="GN143" s="1"/>
      <c r="GO143" s="1"/>
      <c r="GP143" s="1"/>
      <c r="GQ143" s="1"/>
      <c r="GR143" s="1"/>
      <c r="GS143" s="1"/>
      <c r="GT143" s="1"/>
      <c r="GU143" s="1"/>
      <c r="GV143" s="1"/>
      <c r="GW143" s="1"/>
      <c r="GX143" s="1"/>
      <c r="GY143" s="1"/>
      <c r="GZ143" s="1"/>
      <c r="HA143" s="1"/>
      <c r="HB143" s="1"/>
      <c r="HC143" s="1"/>
      <c r="HD143" s="1"/>
      <c r="HE143" s="1"/>
      <c r="HF143" s="1"/>
      <c r="HG143" s="1"/>
      <c r="HH143" s="1"/>
      <c r="HI143" s="1"/>
      <c r="HJ143" s="1"/>
      <c r="HK143" s="1"/>
      <c r="HL143" s="1"/>
      <c r="HM143" s="1"/>
      <c r="HN143" s="1"/>
      <c r="HO143" s="1"/>
      <c r="HP143" s="1"/>
      <c r="HQ143" s="1"/>
      <c r="HR143" s="1"/>
      <c r="HS143" s="1"/>
      <c r="HT143" s="1"/>
      <c r="HU143" s="1"/>
      <c r="HV143" s="1"/>
      <c r="HW143" s="1"/>
      <c r="HX143" s="1"/>
      <c r="HY143" s="1"/>
      <c r="HZ143" s="1"/>
      <c r="IA143" s="1"/>
      <c r="IB143" s="1"/>
      <c r="IC143" s="1"/>
      <c r="ID143" s="1"/>
      <c r="IE143" s="1"/>
      <c r="IF143" s="1"/>
      <c r="IG143" s="1"/>
      <c r="IH143" s="1"/>
      <c r="II143" s="1"/>
      <c r="IJ143" s="1"/>
      <c r="IK143" s="1"/>
      <c r="IL143" s="1"/>
      <c r="IM143" s="1"/>
      <c r="IN143" s="1"/>
      <c r="IO143" s="1"/>
      <c r="IP143" s="1"/>
      <c r="IQ143" s="1"/>
      <c r="IR143" s="1"/>
      <c r="IS143" s="1"/>
      <c r="IT143" s="1"/>
      <c r="IU143" s="1"/>
      <c r="IV143" s="1"/>
      <c r="IW143" s="1"/>
      <c r="IX143" s="1"/>
      <c r="IY143" s="1"/>
      <c r="IZ143" s="1"/>
      <c r="JA143" s="1"/>
      <c r="JB143" s="1"/>
      <c r="JC143" s="1"/>
      <c r="JD143" s="1"/>
    </row>
    <row r="144" spans="1:264" s="347" customFormat="1" x14ac:dyDescent="0.2">
      <c r="A144" s="347" t="s">
        <v>89</v>
      </c>
      <c r="B144" s="348" t="s">
        <v>22</v>
      </c>
      <c r="BE144" s="398">
        <v>29326</v>
      </c>
      <c r="BF144" s="351">
        <f>BE144</f>
        <v>29326</v>
      </c>
      <c r="BH144" s="398">
        <v>30674</v>
      </c>
      <c r="BI144" s="398">
        <v>33989</v>
      </c>
      <c r="BJ144" s="351">
        <f>BI144</f>
        <v>33989</v>
      </c>
      <c r="BK144" s="348"/>
      <c r="BL144" s="398">
        <v>37712</v>
      </c>
      <c r="BM144" s="398">
        <v>38637</v>
      </c>
      <c r="BN144" s="351">
        <f>BM144</f>
        <v>38637</v>
      </c>
      <c r="BO144" s="348"/>
      <c r="BP144" s="398">
        <v>40368</v>
      </c>
      <c r="BQ144" s="398">
        <v>38763</v>
      </c>
      <c r="BR144" s="351">
        <f>BQ144</f>
        <v>38763</v>
      </c>
      <c r="BT144" s="398">
        <v>42834</v>
      </c>
      <c r="BU144" s="398">
        <v>45640</v>
      </c>
      <c r="BV144" s="351">
        <f>BU144</f>
        <v>45640</v>
      </c>
      <c r="BX144" s="398">
        <v>48347</v>
      </c>
      <c r="BY144" s="398">
        <v>48724</v>
      </c>
      <c r="BZ144" s="351">
        <f>BY144</f>
        <v>48724</v>
      </c>
      <c r="CB144" s="398">
        <v>47874</v>
      </c>
      <c r="CC144" s="398">
        <v>49425</v>
      </c>
      <c r="CD144" s="351">
        <f>CC144</f>
        <v>49425</v>
      </c>
      <c r="CE144" s="393">
        <f>CD144/BZ144-1</f>
        <v>1.4387160331664095E-2</v>
      </c>
      <c r="CF144" s="398">
        <v>52626</v>
      </c>
      <c r="CG144" s="398">
        <v>54679</v>
      </c>
      <c r="CH144" s="351">
        <f>CG144</f>
        <v>54679</v>
      </c>
      <c r="CI144" s="393">
        <f>CH144/CD144-1</f>
        <v>0.10630247850278196</v>
      </c>
      <c r="CJ144" s="398">
        <v>56555</v>
      </c>
      <c r="CK144" s="398">
        <v>56361</v>
      </c>
      <c r="CL144" s="351">
        <f>CK144</f>
        <v>56361</v>
      </c>
      <c r="CM144" s="393">
        <f>CL144/CH144-1</f>
        <v>3.0761352621664573E-2</v>
      </c>
      <c r="CN144" s="398">
        <v>60421</v>
      </c>
      <c r="CO144" s="398">
        <v>63017</v>
      </c>
      <c r="CP144" s="351">
        <f>CO144</f>
        <v>63017</v>
      </c>
      <c r="CQ144" s="393">
        <f>CP144/CL144-1</f>
        <v>0.11809584641862281</v>
      </c>
      <c r="CR144" s="398">
        <v>65748</v>
      </c>
      <c r="CS144" s="398">
        <v>65072</v>
      </c>
      <c r="CT144" s="351">
        <f>CS144</f>
        <v>65072</v>
      </c>
      <c r="CU144" s="393">
        <f>CT144/CP144-1</f>
        <v>3.2610248028309918E-2</v>
      </c>
      <c r="CV144" s="398">
        <v>68546</v>
      </c>
      <c r="CW144" s="398">
        <v>68054</v>
      </c>
      <c r="CX144" s="351">
        <f>CW144</f>
        <v>68054</v>
      </c>
      <c r="CY144" s="393">
        <f>CX144/CT144-1</f>
        <v>4.5826161790017306E-2</v>
      </c>
      <c r="CZ144" s="398">
        <v>68396</v>
      </c>
      <c r="DA144" s="398">
        <v>68273</v>
      </c>
      <c r="DB144" s="351">
        <f>DA144</f>
        <v>68273</v>
      </c>
      <c r="DC144" s="393">
        <f>DB144/CX144-1</f>
        <v>3.2180327387074659E-3</v>
      </c>
      <c r="DD144" s="398">
        <v>69686</v>
      </c>
      <c r="DE144" s="398">
        <v>73944</v>
      </c>
      <c r="DF144" s="351">
        <f>DE144</f>
        <v>73944</v>
      </c>
      <c r="DG144" s="393">
        <f>DF144/DB144-1</f>
        <v>8.3063582968377014E-2</v>
      </c>
      <c r="DH144" s="398">
        <v>71431</v>
      </c>
      <c r="DI144" s="479">
        <f>+DI153/DI$151</f>
        <v>72882.209290598286</v>
      </c>
      <c r="DJ144" s="351">
        <f>DI144</f>
        <v>72882.209290598286</v>
      </c>
      <c r="DK144" s="393">
        <f>DJ144/DF144-1</f>
        <v>-1.4359389665175137E-2</v>
      </c>
      <c r="DL144" s="479">
        <f>+DL153/DL$151</f>
        <v>74522.058999636763</v>
      </c>
      <c r="DM144" s="479">
        <f>+DM153/DM$151</f>
        <v>76198.805327128575</v>
      </c>
      <c r="DN144" s="351">
        <f>DM144</f>
        <v>76198.805327128575</v>
      </c>
      <c r="DO144" s="393">
        <f>DN144/DJ144-1</f>
        <v>4.5506250000000081E-2</v>
      </c>
      <c r="DP144" s="479">
        <f>+DP153/DP$151</f>
        <v>77341.787407035503</v>
      </c>
      <c r="DQ144" s="479">
        <f>+DQ153/DQ$151</f>
        <v>78501.914218141028</v>
      </c>
      <c r="DR144" s="351">
        <f>DQ144</f>
        <v>78501.914218141028</v>
      </c>
      <c r="DS144" s="393">
        <f>DR144/DN144-1</f>
        <v>3.0224999999999946E-2</v>
      </c>
      <c r="DT144" s="1"/>
      <c r="DU144" s="1"/>
      <c r="DV144" s="1"/>
      <c r="DW144" s="1"/>
      <c r="DX144" s="1"/>
      <c r="DY144" s="1"/>
      <c r="DZ144" s="1"/>
      <c r="EA144" s="1"/>
      <c r="EB144" s="1"/>
      <c r="EC144" s="1"/>
      <c r="ED144" s="1"/>
      <c r="EE144" s="1"/>
      <c r="EF144" s="1"/>
      <c r="EG144" s="1"/>
      <c r="EH144" s="1"/>
      <c r="EI144" s="1"/>
      <c r="EJ144" s="1"/>
      <c r="EK144" s="1"/>
      <c r="EL144" s="1"/>
      <c r="EM144" s="1"/>
      <c r="EN144" s="1"/>
      <c r="EO144" s="1"/>
      <c r="EP144" s="1"/>
      <c r="EQ144" s="1"/>
      <c r="ER144" s="1"/>
      <c r="ES144" s="1"/>
      <c r="ET144" s="1"/>
      <c r="EU144" s="1"/>
      <c r="EV144" s="1"/>
      <c r="EW144" s="1"/>
      <c r="EX144" s="1"/>
      <c r="EY144" s="1"/>
      <c r="EZ144" s="1"/>
      <c r="FA144" s="1"/>
      <c r="FB144" s="1"/>
      <c r="FC144" s="1"/>
      <c r="FD144" s="1"/>
      <c r="FE144" s="1"/>
      <c r="FF144" s="1"/>
      <c r="FG144" s="1"/>
      <c r="FH144" s="1"/>
      <c r="FI144" s="1"/>
      <c r="FJ144" s="1"/>
      <c r="FK144" s="1"/>
      <c r="FL144" s="1"/>
      <c r="FM144" s="1"/>
      <c r="FN144" s="1"/>
      <c r="FO144" s="1"/>
      <c r="FP144" s="1"/>
      <c r="FQ144" s="1"/>
      <c r="FR144" s="1"/>
      <c r="FS144" s="1"/>
      <c r="FT144" s="1"/>
      <c r="FU144" s="1"/>
      <c r="FV144" s="1"/>
      <c r="FW144" s="1"/>
      <c r="FX144" s="1"/>
      <c r="FY144" s="1"/>
      <c r="FZ144" s="1"/>
      <c r="GA144" s="1"/>
      <c r="GB144" s="1"/>
      <c r="GC144" s="1"/>
      <c r="GD144" s="1"/>
      <c r="GE144" s="1"/>
      <c r="GF144" s="1"/>
      <c r="GG144" s="1"/>
      <c r="GH144" s="1"/>
      <c r="GI144" s="1"/>
      <c r="GJ144" s="1"/>
      <c r="GK144" s="1"/>
      <c r="GL144" s="1"/>
      <c r="GM144" s="1"/>
      <c r="GN144" s="1"/>
      <c r="GO144" s="1"/>
      <c r="GP144" s="1"/>
      <c r="GQ144" s="1"/>
      <c r="GR144" s="1"/>
      <c r="GS144" s="1"/>
      <c r="GT144" s="1"/>
      <c r="GU144" s="1"/>
      <c r="GV144" s="1"/>
      <c r="GW144" s="1"/>
      <c r="GX144" s="1"/>
      <c r="GY144" s="1"/>
      <c r="GZ144" s="1"/>
      <c r="HA144" s="1"/>
      <c r="HB144" s="1"/>
      <c r="HC144" s="1"/>
      <c r="HD144" s="1"/>
      <c r="HE144" s="1"/>
      <c r="HF144" s="1"/>
      <c r="HG144" s="1"/>
      <c r="HH144" s="1"/>
      <c r="HI144" s="1"/>
      <c r="HJ144" s="1"/>
      <c r="HK144" s="1"/>
      <c r="HL144" s="1"/>
      <c r="HM144" s="1"/>
      <c r="HN144" s="1"/>
      <c r="HO144" s="1"/>
      <c r="HP144" s="1"/>
      <c r="HQ144" s="1"/>
      <c r="HR144" s="1"/>
      <c r="HS144" s="1"/>
      <c r="HT144" s="1"/>
      <c r="HU144" s="1"/>
      <c r="HV144" s="1"/>
      <c r="HW144" s="1"/>
      <c r="HX144" s="1"/>
      <c r="HY144" s="1"/>
      <c r="HZ144" s="1"/>
      <c r="IA144" s="1"/>
      <c r="IB144" s="1"/>
      <c r="IC144" s="1"/>
      <c r="ID144" s="1"/>
      <c r="IE144" s="1"/>
      <c r="IF144" s="1"/>
      <c r="IG144" s="1"/>
      <c r="IH144" s="1"/>
      <c r="II144" s="1"/>
      <c r="IJ144" s="1"/>
      <c r="IK144" s="1"/>
      <c r="IL144" s="1"/>
      <c r="IM144" s="1"/>
      <c r="IN144" s="1"/>
      <c r="IO144" s="1"/>
      <c r="IP144" s="1"/>
      <c r="IQ144" s="1"/>
      <c r="IR144" s="1"/>
      <c r="IS144" s="1"/>
      <c r="IT144" s="1"/>
      <c r="IU144" s="1"/>
      <c r="IV144" s="1"/>
      <c r="IW144" s="1"/>
      <c r="IX144" s="1"/>
      <c r="IY144" s="1"/>
      <c r="IZ144" s="1"/>
      <c r="JA144" s="1"/>
      <c r="JB144" s="1"/>
      <c r="JC144" s="1"/>
      <c r="JD144" s="1"/>
    </row>
    <row r="145" spans="1:264" s="347" customFormat="1" x14ac:dyDescent="0.2">
      <c r="A145" s="347" t="s">
        <v>271</v>
      </c>
      <c r="B145" s="348" t="s">
        <v>22</v>
      </c>
      <c r="BE145" s="351">
        <f>+BE146-BE144</f>
        <v>15674</v>
      </c>
      <c r="BF145" s="351">
        <f>BE145</f>
        <v>15674</v>
      </c>
      <c r="BH145" s="351">
        <f>+BH146-BH144</f>
        <v>16710</v>
      </c>
      <c r="BI145" s="351">
        <f>+BI146-BI144</f>
        <v>18045</v>
      </c>
      <c r="BJ145" s="351">
        <f>+BJ146-BJ144</f>
        <v>18045</v>
      </c>
      <c r="BK145" s="348"/>
      <c r="BL145" s="351">
        <f>+BL146-BL144</f>
        <v>20398</v>
      </c>
      <c r="BM145" s="351">
        <f>+BM146-BM144</f>
        <v>20886</v>
      </c>
      <c r="BN145" s="351">
        <f>+BN146-BN144</f>
        <v>20886</v>
      </c>
      <c r="BO145" s="348"/>
      <c r="BP145" s="351">
        <f>+BP146-BP144</f>
        <v>22875</v>
      </c>
      <c r="BQ145" s="351">
        <f>+BQ146-BQ144</f>
        <v>22697</v>
      </c>
      <c r="BR145" s="351">
        <f>+BR146-BR144</f>
        <v>22697</v>
      </c>
      <c r="BT145" s="351">
        <f>+BT146-BT144</f>
        <v>25375</v>
      </c>
      <c r="BU145" s="351">
        <f>+BU146-BU144</f>
        <v>26772</v>
      </c>
      <c r="BV145" s="351">
        <f>+BV146-BV144</f>
        <v>26772</v>
      </c>
      <c r="BX145" s="351">
        <f>+BX146-BX144</f>
        <v>28261</v>
      </c>
      <c r="BY145" s="351">
        <f>+BY146-BY144</f>
        <v>28991</v>
      </c>
      <c r="BZ145" s="351">
        <f>+BZ146-BZ144</f>
        <v>28991</v>
      </c>
      <c r="CB145" s="351">
        <f>+CB146-CB144</f>
        <v>28429</v>
      </c>
      <c r="CC145" s="351">
        <f>+CC146-CC144</f>
        <v>29442</v>
      </c>
      <c r="CD145" s="351">
        <f>+CD146-CD144</f>
        <v>29442</v>
      </c>
      <c r="CE145" s="393">
        <f>CD145/BZ145-1</f>
        <v>1.555655203338957E-2</v>
      </c>
      <c r="CF145" s="351">
        <f>+CF146-CF144</f>
        <v>31561</v>
      </c>
      <c r="CG145" s="351">
        <f>+CG146-CG144</f>
        <v>32156</v>
      </c>
      <c r="CH145" s="351">
        <f>+CH146-CH144</f>
        <v>32156</v>
      </c>
      <c r="CI145" s="393">
        <f>CH145/CD145-1</f>
        <v>9.218123768765718E-2</v>
      </c>
      <c r="CJ145" s="351">
        <f>+CJ146-CJ144</f>
        <v>32659</v>
      </c>
      <c r="CK145" s="351">
        <f>+CK146-CK144</f>
        <v>31357</v>
      </c>
      <c r="CL145" s="351">
        <f>+CL146-CL144</f>
        <v>31357</v>
      </c>
      <c r="CM145" s="393">
        <f>CL145/CH145-1</f>
        <v>-2.4847617862918225E-2</v>
      </c>
      <c r="CN145" s="351">
        <f>+CN146-CN144</f>
        <v>32054</v>
      </c>
      <c r="CO145" s="351">
        <f>+CO146-CO144</f>
        <v>33010</v>
      </c>
      <c r="CP145" s="351">
        <f>+CP146-CP144</f>
        <v>33010</v>
      </c>
      <c r="CQ145" s="393">
        <f>CP145/CL145-1</f>
        <v>5.2715502120738611E-2</v>
      </c>
      <c r="CR145" s="351">
        <f>+CR146-CR144</f>
        <v>34050</v>
      </c>
      <c r="CS145" s="351">
        <f>+CS146-CS144</f>
        <v>33216</v>
      </c>
      <c r="CT145" s="351">
        <f>+CT146-CT144</f>
        <v>33216</v>
      </c>
      <c r="CU145" s="393">
        <f>CT145/CP145-1</f>
        <v>6.2405331717660939E-3</v>
      </c>
      <c r="CV145" s="351">
        <f>+CV146-CV144</f>
        <v>34553</v>
      </c>
      <c r="CW145" s="351">
        <f>+CW146-CW144</f>
        <v>34421</v>
      </c>
      <c r="CX145" s="351">
        <f>+CX146-CX144</f>
        <v>34421</v>
      </c>
      <c r="CY145" s="393">
        <f>CX145/CT145-1</f>
        <v>3.6277697495183059E-2</v>
      </c>
      <c r="CZ145" s="351">
        <f>+CZ146-CZ144</f>
        <v>34395</v>
      </c>
      <c r="DA145" s="351">
        <f>+DA146-DA144</f>
        <v>34234</v>
      </c>
      <c r="DB145" s="351">
        <f>+DB146-DB144</f>
        <v>34234</v>
      </c>
      <c r="DC145" s="393">
        <f>DB145/CX145-1</f>
        <v>-5.4327300194648709E-3</v>
      </c>
      <c r="DD145" s="351">
        <f>+DD146-DD144</f>
        <v>34473</v>
      </c>
      <c r="DE145" s="351">
        <f>+DE146-DE144</f>
        <v>35762</v>
      </c>
      <c r="DF145" s="351">
        <f>+DF146-DF144</f>
        <v>35762</v>
      </c>
      <c r="DG145" s="393">
        <f>DF145/DB145-1</f>
        <v>4.4633989600981527E-2</v>
      </c>
      <c r="DH145" s="351">
        <f>+DH146-DH144</f>
        <v>34138</v>
      </c>
      <c r="DI145" s="479">
        <f>+DI154/DI$151</f>
        <v>34324.300111111115</v>
      </c>
      <c r="DJ145" s="351">
        <f>+DJ146-DJ144</f>
        <v>34324.300111111108</v>
      </c>
      <c r="DK145" s="393">
        <f>DJ145/DF145-1</f>
        <v>-4.0201887167633066E-2</v>
      </c>
      <c r="DL145" s="479">
        <f>+DL154/DL$151</f>
        <v>34839.164612777779</v>
      </c>
      <c r="DM145" s="479">
        <f>+DM154/DM$151</f>
        <v>35361.75208196944</v>
      </c>
      <c r="DN145" s="351">
        <f>+DN146-DN144</f>
        <v>35361.752081969447</v>
      </c>
      <c r="DO145" s="393">
        <f>DN145/DJ145-1</f>
        <v>3.0225000000000168E-2</v>
      </c>
      <c r="DP145" s="479">
        <f>+DP154/DP$151</f>
        <v>35892.178363198975</v>
      </c>
      <c r="DQ145" s="479">
        <f>+DQ154/DQ$151</f>
        <v>36430.561038646956</v>
      </c>
      <c r="DR145" s="351">
        <f>+DR146-DR144</f>
        <v>36430.561038646963</v>
      </c>
      <c r="DS145" s="393">
        <f>DR145/DN145-1</f>
        <v>3.0224999999999724E-2</v>
      </c>
      <c r="DT145" s="1"/>
      <c r="DU145" s="1"/>
      <c r="DV145" s="1"/>
      <c r="DW145" s="1"/>
      <c r="DX145" s="1"/>
      <c r="DY145" s="1"/>
      <c r="DZ145" s="1"/>
      <c r="EA145" s="1"/>
      <c r="EB145" s="1"/>
      <c r="EC145" s="1"/>
      <c r="ED145" s="1"/>
      <c r="EE145" s="1"/>
      <c r="EF145" s="1"/>
      <c r="EG145" s="1"/>
      <c r="EH145" s="1"/>
      <c r="EI145" s="1"/>
      <c r="EJ145" s="1"/>
      <c r="EK145" s="1"/>
      <c r="EL145" s="1"/>
      <c r="EM145" s="1"/>
      <c r="EN145" s="1"/>
      <c r="EO145" s="1"/>
      <c r="EP145" s="1"/>
      <c r="EQ145" s="1"/>
      <c r="ER145" s="1"/>
      <c r="ES145" s="1"/>
      <c r="ET145" s="1"/>
      <c r="EU145" s="1"/>
      <c r="EV145" s="1"/>
      <c r="EW145" s="1"/>
      <c r="EX145" s="1"/>
      <c r="EY145" s="1"/>
      <c r="EZ145" s="1"/>
      <c r="FA145" s="1"/>
      <c r="FB145" s="1"/>
      <c r="FC145" s="1"/>
      <c r="FD145" s="1"/>
      <c r="FE145" s="1"/>
      <c r="FF145" s="1"/>
      <c r="FG145" s="1"/>
      <c r="FH145" s="1"/>
      <c r="FI145" s="1"/>
      <c r="FJ145" s="1"/>
      <c r="FK145" s="1"/>
      <c r="FL145" s="1"/>
      <c r="FM145" s="1"/>
      <c r="FN145" s="1"/>
      <c r="FO145" s="1"/>
      <c r="FP145" s="1"/>
      <c r="FQ145" s="1"/>
      <c r="FR145" s="1"/>
      <c r="FS145" s="1"/>
      <c r="FT145" s="1"/>
      <c r="FU145" s="1"/>
      <c r="FV145" s="1"/>
      <c r="FW145" s="1"/>
      <c r="FX145" s="1"/>
      <c r="FY145" s="1"/>
      <c r="FZ145" s="1"/>
      <c r="GA145" s="1"/>
      <c r="GB145" s="1"/>
      <c r="GC145" s="1"/>
      <c r="GD145" s="1"/>
      <c r="GE145" s="1"/>
      <c r="GF145" s="1"/>
      <c r="GG145" s="1"/>
      <c r="GH145" s="1"/>
      <c r="GI145" s="1"/>
      <c r="GJ145" s="1"/>
      <c r="GK145" s="1"/>
      <c r="GL145" s="1"/>
      <c r="GM145" s="1"/>
      <c r="GN145" s="1"/>
      <c r="GO145" s="1"/>
      <c r="GP145" s="1"/>
      <c r="GQ145" s="1"/>
      <c r="GR145" s="1"/>
      <c r="GS145" s="1"/>
      <c r="GT145" s="1"/>
      <c r="GU145" s="1"/>
      <c r="GV145" s="1"/>
      <c r="GW145" s="1"/>
      <c r="GX145" s="1"/>
      <c r="GY145" s="1"/>
      <c r="GZ145" s="1"/>
      <c r="HA145" s="1"/>
      <c r="HB145" s="1"/>
      <c r="HC145" s="1"/>
      <c r="HD145" s="1"/>
      <c r="HE145" s="1"/>
      <c r="HF145" s="1"/>
      <c r="HG145" s="1"/>
      <c r="HH145" s="1"/>
      <c r="HI145" s="1"/>
      <c r="HJ145" s="1"/>
      <c r="HK145" s="1"/>
      <c r="HL145" s="1"/>
      <c r="HM145" s="1"/>
      <c r="HN145" s="1"/>
      <c r="HO145" s="1"/>
      <c r="HP145" s="1"/>
      <c r="HQ145" s="1"/>
      <c r="HR145" s="1"/>
      <c r="HS145" s="1"/>
      <c r="HT145" s="1"/>
      <c r="HU145" s="1"/>
      <c r="HV145" s="1"/>
      <c r="HW145" s="1"/>
      <c r="HX145" s="1"/>
      <c r="HY145" s="1"/>
      <c r="HZ145" s="1"/>
      <c r="IA145" s="1"/>
      <c r="IB145" s="1"/>
      <c r="IC145" s="1"/>
      <c r="ID145" s="1"/>
      <c r="IE145" s="1"/>
      <c r="IF145" s="1"/>
      <c r="IG145" s="1"/>
      <c r="IH145" s="1"/>
      <c r="II145" s="1"/>
      <c r="IJ145" s="1"/>
      <c r="IK145" s="1"/>
      <c r="IL145" s="1"/>
      <c r="IM145" s="1"/>
      <c r="IN145" s="1"/>
      <c r="IO145" s="1"/>
      <c r="IP145" s="1"/>
      <c r="IQ145" s="1"/>
      <c r="IR145" s="1"/>
      <c r="IS145" s="1"/>
      <c r="IT145" s="1"/>
      <c r="IU145" s="1"/>
      <c r="IV145" s="1"/>
      <c r="IW145" s="1"/>
      <c r="IX145" s="1"/>
      <c r="IY145" s="1"/>
      <c r="IZ145" s="1"/>
      <c r="JA145" s="1"/>
      <c r="JB145" s="1"/>
      <c r="JC145" s="1"/>
      <c r="JD145" s="1"/>
    </row>
    <row r="146" spans="1:264" s="347" customFormat="1" x14ac:dyDescent="0.2">
      <c r="A146" s="411" t="s">
        <v>272</v>
      </c>
      <c r="B146" s="348" t="s">
        <v>22</v>
      </c>
      <c r="BE146" s="398">
        <v>45000</v>
      </c>
      <c r="BF146" s="351">
        <f>BE146</f>
        <v>45000</v>
      </c>
      <c r="BH146" s="396">
        <v>47384</v>
      </c>
      <c r="BI146" s="396">
        <v>52034</v>
      </c>
      <c r="BJ146" s="397">
        <f>BI146</f>
        <v>52034</v>
      </c>
      <c r="BK146" s="348"/>
      <c r="BL146" s="396">
        <v>58110</v>
      </c>
      <c r="BM146" s="396">
        <v>59523</v>
      </c>
      <c r="BN146" s="397">
        <f>BM146</f>
        <v>59523</v>
      </c>
      <c r="BO146" s="348"/>
      <c r="BP146" s="396">
        <v>63243</v>
      </c>
      <c r="BQ146" s="396">
        <v>61460</v>
      </c>
      <c r="BR146" s="397">
        <f>BQ146</f>
        <v>61460</v>
      </c>
      <c r="BT146" s="396">
        <v>68209</v>
      </c>
      <c r="BU146" s="396">
        <v>72412</v>
      </c>
      <c r="BV146" s="397">
        <f>BU146</f>
        <v>72412</v>
      </c>
      <c r="BX146" s="396">
        <v>76608</v>
      </c>
      <c r="BY146" s="396">
        <v>77715</v>
      </c>
      <c r="BZ146" s="397">
        <f>BY146</f>
        <v>77715</v>
      </c>
      <c r="CB146" s="396">
        <v>76303</v>
      </c>
      <c r="CC146" s="396">
        <v>78867</v>
      </c>
      <c r="CD146" s="397">
        <f>CC146</f>
        <v>78867</v>
      </c>
      <c r="CF146" s="396">
        <v>84187</v>
      </c>
      <c r="CG146" s="396">
        <v>86835</v>
      </c>
      <c r="CH146" s="397">
        <f>CG146</f>
        <v>86835</v>
      </c>
      <c r="CI146" s="393">
        <f>CH146/CD146-1</f>
        <v>0.10103084940469387</v>
      </c>
      <c r="CJ146" s="396">
        <v>89214</v>
      </c>
      <c r="CK146" s="396">
        <v>87718</v>
      </c>
      <c r="CL146" s="397">
        <f>CK146</f>
        <v>87718</v>
      </c>
      <c r="CM146" s="393">
        <f>CL146/CH146-1</f>
        <v>1.0168710773305722E-2</v>
      </c>
      <c r="CN146" s="396">
        <v>92475</v>
      </c>
      <c r="CO146" s="396">
        <v>96027</v>
      </c>
      <c r="CP146" s="397">
        <f>CO146</f>
        <v>96027</v>
      </c>
      <c r="CQ146" s="393">
        <f>CP146/CL146-1</f>
        <v>9.4724001915228451E-2</v>
      </c>
      <c r="CR146" s="396">
        <v>99798</v>
      </c>
      <c r="CS146" s="396">
        <v>98288</v>
      </c>
      <c r="CT146" s="397">
        <f>CS146</f>
        <v>98288</v>
      </c>
      <c r="CU146" s="393">
        <f>CT146/CP146-1</f>
        <v>2.3545461172378657E-2</v>
      </c>
      <c r="CV146" s="396">
        <v>103099</v>
      </c>
      <c r="CW146" s="396">
        <v>102475</v>
      </c>
      <c r="CX146" s="397">
        <f>CW146</f>
        <v>102475</v>
      </c>
      <c r="CY146" s="393">
        <f>CX146/CT146-1</f>
        <v>4.2599300016278763E-2</v>
      </c>
      <c r="CZ146" s="396">
        <v>102791</v>
      </c>
      <c r="DA146" s="396">
        <v>102507</v>
      </c>
      <c r="DB146" s="397">
        <f>DA146</f>
        <v>102507</v>
      </c>
      <c r="DC146" s="393">
        <f>DB146/CX146-1</f>
        <v>3.1227128567934415E-4</v>
      </c>
      <c r="DD146" s="396">
        <v>104159</v>
      </c>
      <c r="DE146" s="396">
        <v>109706</v>
      </c>
      <c r="DF146" s="397">
        <f>DE146</f>
        <v>109706</v>
      </c>
      <c r="DG146" s="393">
        <f>DF146/DB146-1</f>
        <v>7.0229350190718742E-2</v>
      </c>
      <c r="DH146" s="396">
        <v>105569</v>
      </c>
      <c r="DI146" s="480">
        <f>SUM(DI144:DI145)</f>
        <v>107206.50940170939</v>
      </c>
      <c r="DJ146" s="397">
        <f>DI146</f>
        <v>107206.50940170939</v>
      </c>
      <c r="DK146" s="393">
        <f>DJ146/DF146-1</f>
        <v>-2.2783535980626435E-2</v>
      </c>
      <c r="DL146" s="480">
        <f>SUM(DL144:DL145)</f>
        <v>109361.22361241454</v>
      </c>
      <c r="DM146" s="480">
        <f>SUM(DM144:DM145)</f>
        <v>111560.55740909802</v>
      </c>
      <c r="DN146" s="397">
        <f>DM146</f>
        <v>111560.55740909802</v>
      </c>
      <c r="DO146" s="393">
        <f>DN146/DJ146-1</f>
        <v>4.0613653328397614E-2</v>
      </c>
      <c r="DP146" s="480">
        <f>SUM(DP144:DP145)</f>
        <v>113233.96577023447</v>
      </c>
      <c r="DQ146" s="480">
        <f>SUM(DQ144:DQ145)</f>
        <v>114932.47525678799</v>
      </c>
      <c r="DR146" s="397">
        <f>DQ146</f>
        <v>114932.47525678799</v>
      </c>
      <c r="DS146" s="393">
        <f>DR146/DN146-1</f>
        <v>3.0224999999999724E-2</v>
      </c>
      <c r="DT146" s="1"/>
      <c r="DU146" s="1"/>
      <c r="DV146" s="1"/>
      <c r="DW146" s="1"/>
      <c r="DX146" s="1"/>
      <c r="DY146" s="1"/>
      <c r="DZ146" s="1"/>
      <c r="EA146" s="1"/>
      <c r="EB146" s="1"/>
      <c r="EC146" s="1"/>
      <c r="ED146" s="1"/>
      <c r="EE146" s="1"/>
      <c r="EF146" s="1"/>
      <c r="EG146" s="1"/>
      <c r="EH146" s="1"/>
      <c r="EI146" s="1"/>
      <c r="EJ146" s="1"/>
      <c r="EK146" s="1"/>
      <c r="EL146" s="1"/>
      <c r="EM146" s="1"/>
      <c r="EN146" s="1"/>
      <c r="EO146" s="1"/>
      <c r="EP146" s="1"/>
      <c r="EQ146" s="1"/>
      <c r="ER146" s="1"/>
      <c r="ES146" s="1"/>
      <c r="ET146" s="1"/>
      <c r="EU146" s="1"/>
      <c r="EV146" s="1"/>
      <c r="EW146" s="1"/>
      <c r="EX146" s="1"/>
      <c r="EY146" s="1"/>
      <c r="EZ146" s="1"/>
      <c r="FA146" s="1"/>
      <c r="FB146" s="1"/>
      <c r="FC146" s="1"/>
      <c r="FD146" s="1"/>
      <c r="FE146" s="1"/>
      <c r="FF146" s="1"/>
      <c r="FG146" s="1"/>
      <c r="FH146" s="1"/>
      <c r="FI146" s="1"/>
      <c r="FJ146" s="1"/>
      <c r="FK146" s="1"/>
      <c r="FL146" s="1"/>
      <c r="FM146" s="1"/>
      <c r="FN146" s="1"/>
      <c r="FO146" s="1"/>
      <c r="FP146" s="1"/>
      <c r="FQ146" s="1"/>
      <c r="FR146" s="1"/>
      <c r="FS146" s="1"/>
      <c r="FT146" s="1"/>
      <c r="FU146" s="1"/>
      <c r="FV146" s="1"/>
      <c r="FW146" s="1"/>
      <c r="FX146" s="1"/>
      <c r="FY146" s="1"/>
      <c r="FZ146" s="1"/>
      <c r="GA146" s="1"/>
      <c r="GB146" s="1"/>
      <c r="GC146" s="1"/>
      <c r="GD146" s="1"/>
      <c r="GE146" s="1"/>
      <c r="GF146" s="1"/>
      <c r="GG146" s="1"/>
      <c r="GH146" s="1"/>
      <c r="GI146" s="1"/>
      <c r="GJ146" s="1"/>
      <c r="GK146" s="1"/>
      <c r="GL146" s="1"/>
      <c r="GM146" s="1"/>
      <c r="GN146" s="1"/>
      <c r="GO146" s="1"/>
      <c r="GP146" s="1"/>
      <c r="GQ146" s="1"/>
      <c r="GR146" s="1"/>
      <c r="GS146" s="1"/>
      <c r="GT146" s="1"/>
      <c r="GU146" s="1"/>
      <c r="GV146" s="1"/>
      <c r="GW146" s="1"/>
      <c r="GX146" s="1"/>
      <c r="GY146" s="1"/>
      <c r="GZ146" s="1"/>
      <c r="HA146" s="1"/>
      <c r="HB146" s="1"/>
      <c r="HC146" s="1"/>
      <c r="HD146" s="1"/>
      <c r="HE146" s="1"/>
      <c r="HF146" s="1"/>
      <c r="HG146" s="1"/>
      <c r="HH146" s="1"/>
      <c r="HI146" s="1"/>
      <c r="HJ146" s="1"/>
      <c r="HK146" s="1"/>
      <c r="HL146" s="1"/>
      <c r="HM146" s="1"/>
      <c r="HN146" s="1"/>
      <c r="HO146" s="1"/>
      <c r="HP146" s="1"/>
      <c r="HQ146" s="1"/>
      <c r="HR146" s="1"/>
      <c r="HS146" s="1"/>
      <c r="HT146" s="1"/>
      <c r="HU146" s="1"/>
      <c r="HV146" s="1"/>
      <c r="HW146" s="1"/>
      <c r="HX146" s="1"/>
      <c r="HY146" s="1"/>
      <c r="HZ146" s="1"/>
      <c r="IA146" s="1"/>
      <c r="IB146" s="1"/>
      <c r="IC146" s="1"/>
      <c r="ID146" s="1"/>
      <c r="IE146" s="1"/>
      <c r="IF146" s="1"/>
      <c r="IG146" s="1"/>
      <c r="IH146" s="1"/>
      <c r="II146" s="1"/>
      <c r="IJ146" s="1"/>
      <c r="IK146" s="1"/>
      <c r="IL146" s="1"/>
      <c r="IM146" s="1"/>
      <c r="IN146" s="1"/>
      <c r="IO146" s="1"/>
      <c r="IP146" s="1"/>
      <c r="IQ146" s="1"/>
      <c r="IR146" s="1"/>
      <c r="IS146" s="1"/>
      <c r="IT146" s="1"/>
      <c r="IU146" s="1"/>
      <c r="IV146" s="1"/>
      <c r="IW146" s="1"/>
      <c r="IX146" s="1"/>
      <c r="IY146" s="1"/>
      <c r="IZ146" s="1"/>
      <c r="JA146" s="1"/>
      <c r="JB146" s="1"/>
      <c r="JC146" s="1"/>
      <c r="JD146" s="1"/>
    </row>
    <row r="147" spans="1:264" s="347" customFormat="1" x14ac:dyDescent="0.2">
      <c r="A147" s="424" t="s">
        <v>273</v>
      </c>
      <c r="B147" s="348"/>
      <c r="BH147" s="398"/>
      <c r="BI147" s="348"/>
      <c r="BJ147" s="348"/>
      <c r="BK147" s="348"/>
      <c r="BL147" s="398"/>
      <c r="BM147" s="348"/>
      <c r="BN147" s="348"/>
      <c r="BO147" s="348"/>
      <c r="BP147" s="398"/>
      <c r="BQ147" s="348"/>
      <c r="BR147" s="348"/>
      <c r="BT147" s="398"/>
      <c r="BU147" s="348"/>
      <c r="BV147" s="348"/>
      <c r="BX147" s="398"/>
      <c r="BY147" s="348"/>
      <c r="BZ147" s="348"/>
      <c r="CB147" s="398"/>
      <c r="CC147" s="348"/>
      <c r="CD147" s="348"/>
      <c r="CF147" s="398"/>
      <c r="CG147" s="348"/>
      <c r="CH147" s="348"/>
      <c r="CJ147" s="398"/>
      <c r="CK147" s="348"/>
      <c r="CL147" s="348"/>
      <c r="CN147" s="398"/>
      <c r="CO147" s="348"/>
      <c r="CP147" s="348"/>
      <c r="CR147" s="398"/>
      <c r="CS147" s="348"/>
      <c r="CT147" s="348"/>
      <c r="CV147" s="398"/>
      <c r="CW147" s="348"/>
      <c r="CX147" s="348"/>
      <c r="CZ147" s="398"/>
      <c r="DA147" s="348"/>
      <c r="DB147" s="348"/>
      <c r="DD147" s="398"/>
      <c r="DE147" s="348"/>
      <c r="DF147" s="348"/>
      <c r="DH147" s="398"/>
      <c r="DI147" s="348"/>
      <c r="DJ147" s="348"/>
      <c r="DL147" s="348"/>
      <c r="DM147" s="348"/>
      <c r="DN147" s="348"/>
      <c r="DP147" s="348"/>
      <c r="DQ147" s="348"/>
      <c r="DR147" s="348"/>
      <c r="DT147" s="1"/>
      <c r="DU147" s="1"/>
      <c r="DV147" s="1"/>
      <c r="DW147" s="1"/>
      <c r="DX147" s="1"/>
      <c r="DY147" s="1"/>
      <c r="DZ147" s="1"/>
      <c r="EA147" s="1"/>
      <c r="EB147" s="1"/>
      <c r="EC147" s="1"/>
      <c r="ED147" s="1"/>
      <c r="EE147" s="1"/>
      <c r="EF147" s="1"/>
      <c r="EG147" s="1"/>
      <c r="EH147" s="1"/>
      <c r="EI147" s="1"/>
      <c r="EJ147" s="1"/>
      <c r="EK147" s="1"/>
      <c r="EL147" s="1"/>
      <c r="EM147" s="1"/>
      <c r="EN147" s="1"/>
      <c r="EO147" s="1"/>
      <c r="EP147" s="1"/>
      <c r="EQ147" s="1"/>
      <c r="ER147" s="1"/>
      <c r="ES147" s="1"/>
      <c r="ET147" s="1"/>
      <c r="EU147" s="1"/>
      <c r="EV147" s="1"/>
      <c r="EW147" s="1"/>
      <c r="EX147" s="1"/>
      <c r="EY147" s="1"/>
      <c r="EZ147" s="1"/>
      <c r="FA147" s="1"/>
      <c r="FB147" s="1"/>
      <c r="FC147" s="1"/>
      <c r="FD147" s="1"/>
      <c r="FE147" s="1"/>
      <c r="FF147" s="1"/>
      <c r="FG147" s="1"/>
      <c r="FH147" s="1"/>
      <c r="FI147" s="1"/>
      <c r="FJ147" s="1"/>
      <c r="FK147" s="1"/>
      <c r="FL147" s="1"/>
      <c r="FM147" s="1"/>
      <c r="FN147" s="1"/>
      <c r="FO147" s="1"/>
      <c r="FP147" s="1"/>
      <c r="FQ147" s="1"/>
      <c r="FR147" s="1"/>
      <c r="FS147" s="1"/>
      <c r="FT147" s="1"/>
      <c r="FU147" s="1"/>
      <c r="FV147" s="1"/>
      <c r="FW147" s="1"/>
      <c r="FX147" s="1"/>
      <c r="FY147" s="1"/>
      <c r="FZ147" s="1"/>
      <c r="GA147" s="1"/>
      <c r="GB147" s="1"/>
      <c r="GC147" s="1"/>
      <c r="GD147" s="1"/>
      <c r="GE147" s="1"/>
      <c r="GF147" s="1"/>
      <c r="GG147" s="1"/>
      <c r="GH147" s="1"/>
      <c r="GI147" s="1"/>
      <c r="GJ147" s="1"/>
      <c r="GK147" s="1"/>
      <c r="GL147" s="1"/>
      <c r="GM147" s="1"/>
      <c r="GN147" s="1"/>
      <c r="GO147" s="1"/>
      <c r="GP147" s="1"/>
      <c r="GQ147" s="1"/>
      <c r="GR147" s="1"/>
      <c r="GS147" s="1"/>
      <c r="GT147" s="1"/>
      <c r="GU147" s="1"/>
      <c r="GV147" s="1"/>
      <c r="GW147" s="1"/>
      <c r="GX147" s="1"/>
      <c r="GY147" s="1"/>
      <c r="GZ147" s="1"/>
      <c r="HA147" s="1"/>
      <c r="HB147" s="1"/>
      <c r="HC147" s="1"/>
      <c r="HD147" s="1"/>
      <c r="HE147" s="1"/>
      <c r="HF147" s="1"/>
      <c r="HG147" s="1"/>
      <c r="HH147" s="1"/>
      <c r="HI147" s="1"/>
      <c r="HJ147" s="1"/>
      <c r="HK147" s="1"/>
      <c r="HL147" s="1"/>
      <c r="HM147" s="1"/>
      <c r="HN147" s="1"/>
      <c r="HO147" s="1"/>
      <c r="HP147" s="1"/>
      <c r="HQ147" s="1"/>
      <c r="HR147" s="1"/>
      <c r="HS147" s="1"/>
      <c r="HT147" s="1"/>
      <c r="HU147" s="1"/>
      <c r="HV147" s="1"/>
      <c r="HW147" s="1"/>
      <c r="HX147" s="1"/>
      <c r="HY147" s="1"/>
      <c r="HZ147" s="1"/>
      <c r="IA147" s="1"/>
      <c r="IB147" s="1"/>
      <c r="IC147" s="1"/>
      <c r="ID147" s="1"/>
      <c r="IE147" s="1"/>
      <c r="IF147" s="1"/>
      <c r="IG147" s="1"/>
      <c r="IH147" s="1"/>
      <c r="II147" s="1"/>
      <c r="IJ147" s="1"/>
      <c r="IK147" s="1"/>
      <c r="IL147" s="1"/>
      <c r="IM147" s="1"/>
      <c r="IN147" s="1"/>
      <c r="IO147" s="1"/>
      <c r="IP147" s="1"/>
      <c r="IQ147" s="1"/>
      <c r="IR147" s="1"/>
      <c r="IS147" s="1"/>
      <c r="IT147" s="1"/>
      <c r="IU147" s="1"/>
      <c r="IV147" s="1"/>
      <c r="IW147" s="1"/>
      <c r="IX147" s="1"/>
      <c r="IY147" s="1"/>
      <c r="IZ147" s="1"/>
      <c r="JA147" s="1"/>
      <c r="JB147" s="1"/>
      <c r="JC147" s="1"/>
      <c r="JD147" s="1"/>
    </row>
    <row r="148" spans="1:264" s="347" customFormat="1" x14ac:dyDescent="0.2">
      <c r="A148" s="429" t="str">
        <f>+A144</f>
        <v>Housing Loans</v>
      </c>
      <c r="B148" s="348" t="s">
        <v>140</v>
      </c>
      <c r="BH148" s="398"/>
      <c r="BI148" s="393">
        <f>+BI144/BH144-1</f>
        <v>0.10807198278672492</v>
      </c>
      <c r="BJ148" s="348"/>
      <c r="BK148" s="348"/>
      <c r="BL148" s="393">
        <f>+BL144/BI144-1</f>
        <v>0.10953543793580267</v>
      </c>
      <c r="BM148" s="393">
        <f>+BM144/BL144-1</f>
        <v>2.4528001697072588E-2</v>
      </c>
      <c r="BN148" s="348"/>
      <c r="BO148" s="348"/>
      <c r="BP148" s="393">
        <f>+BP144/BM144-1</f>
        <v>4.4801615032223019E-2</v>
      </c>
      <c r="BQ148" s="393">
        <f>+BQ144/BP144-1</f>
        <v>-3.9759215219976274E-2</v>
      </c>
      <c r="BR148" s="348"/>
      <c r="BT148" s="393">
        <f>+BT144/BQ144-1</f>
        <v>0.10502283105022836</v>
      </c>
      <c r="BU148" s="393">
        <f>+BU144/BT144-1</f>
        <v>6.5508708035672658E-2</v>
      </c>
      <c r="BV148" s="348"/>
      <c r="BX148" s="393">
        <f>+BX144/BU144-1</f>
        <v>5.9312007011393497E-2</v>
      </c>
      <c r="BY148" s="393">
        <f>+BY144/BX144-1</f>
        <v>7.7977951062113693E-3</v>
      </c>
      <c r="BZ148" s="348"/>
      <c r="CB148" s="393">
        <f>+CB144/BY144-1</f>
        <v>-1.7445201543387245E-2</v>
      </c>
      <c r="CC148" s="394">
        <f>+CC144/CB144-1</f>
        <v>3.239754355182356E-2</v>
      </c>
      <c r="CD148" s="348"/>
      <c r="CF148" s="393">
        <f>+CF144/CC144-1</f>
        <v>6.4764795144157894E-2</v>
      </c>
      <c r="CG148" s="394">
        <f>+CG144/CF144-1</f>
        <v>3.901113518032906E-2</v>
      </c>
      <c r="CH148" s="348"/>
      <c r="CJ148" s="393">
        <f>+CJ144/CG144-1</f>
        <v>3.4309332650560576E-2</v>
      </c>
      <c r="CK148" s="394">
        <f>+CK144/CJ144-1</f>
        <v>-3.4302890991070312E-3</v>
      </c>
      <c r="CL148" s="348"/>
      <c r="CN148" s="393">
        <f>+CN144/CK144-1</f>
        <v>7.2035627472897934E-2</v>
      </c>
      <c r="CO148" s="394">
        <f>+CO144/CN144-1</f>
        <v>4.296519422055245E-2</v>
      </c>
      <c r="CP148" s="348"/>
      <c r="CR148" s="394">
        <f>+CR144/CO144-1</f>
        <v>4.3337512099909548E-2</v>
      </c>
      <c r="CS148" s="394">
        <f>+CS144/CR144-1</f>
        <v>-1.0281681572062995E-2</v>
      </c>
      <c r="CT148" s="348"/>
      <c r="CV148" s="394">
        <f>+CV144/CS144-1</f>
        <v>5.3387017457585451E-2</v>
      </c>
      <c r="CW148" s="394">
        <f>+CW144/CV144-1</f>
        <v>-7.1776617162198075E-3</v>
      </c>
      <c r="CX148" s="348"/>
      <c r="CZ148" s="394">
        <f>+CZ144/CW144-1</f>
        <v>5.0254209892144353E-3</v>
      </c>
      <c r="DA148" s="394">
        <f>+DA144/CZ144-1</f>
        <v>-1.7983507807474153E-3</v>
      </c>
      <c r="DB148" s="348"/>
      <c r="DD148" s="394">
        <f>+DD144/DA144-1</f>
        <v>2.0696322118553434E-2</v>
      </c>
      <c r="DE148" s="394">
        <f>+DE144/DD144-1</f>
        <v>6.1102660505697015E-2</v>
      </c>
      <c r="DF148" s="348"/>
      <c r="DH148" s="394">
        <f>+DH144/DE144-1</f>
        <v>-3.3985177972519764E-2</v>
      </c>
      <c r="DI148" s="393">
        <f>+DI144/DH144-1</f>
        <v>2.0316239316239271E-2</v>
      </c>
      <c r="DJ148" s="348"/>
      <c r="DL148" s="393">
        <f>+DL144/DI144-1</f>
        <v>2.2500000000000187E-2</v>
      </c>
      <c r="DM148" s="393">
        <f>+DM144/DL144-1</f>
        <v>2.2499999999999742E-2</v>
      </c>
      <c r="DN148" s="348"/>
      <c r="DP148" s="393">
        <f>+DP144/DM144-1</f>
        <v>1.4999999999999902E-2</v>
      </c>
      <c r="DQ148" s="393">
        <f>+DQ144/DP144-1</f>
        <v>1.4999999999999902E-2</v>
      </c>
      <c r="DR148" s="348"/>
      <c r="DT148" s="1"/>
      <c r="DU148" s="1"/>
      <c r="DV148" s="1"/>
      <c r="DW148" s="1"/>
      <c r="DX148" s="1"/>
      <c r="DY148" s="1"/>
      <c r="DZ148" s="1"/>
      <c r="EA148" s="1"/>
      <c r="EB148" s="1"/>
      <c r="EC148" s="1"/>
      <c r="ED148" s="1"/>
      <c r="EE148" s="1"/>
      <c r="EF148" s="1"/>
      <c r="EG148" s="1"/>
      <c r="EH148" s="1"/>
      <c r="EI148" s="1"/>
      <c r="EJ148" s="1"/>
      <c r="EK148" s="1"/>
      <c r="EL148" s="1"/>
      <c r="EM148" s="1"/>
      <c r="EN148" s="1"/>
      <c r="EO148" s="1"/>
      <c r="EP148" s="1"/>
      <c r="EQ148" s="1"/>
      <c r="ER148" s="1"/>
      <c r="ES148" s="1"/>
      <c r="ET148" s="1"/>
      <c r="EU148" s="1"/>
      <c r="EV148" s="1"/>
      <c r="EW148" s="1"/>
      <c r="EX148" s="1"/>
      <c r="EY148" s="1"/>
      <c r="EZ148" s="1"/>
      <c r="FA148" s="1"/>
      <c r="FB148" s="1"/>
      <c r="FC148" s="1"/>
      <c r="FD148" s="1"/>
      <c r="FE148" s="1"/>
      <c r="FF148" s="1"/>
      <c r="FG148" s="1"/>
      <c r="FH148" s="1"/>
      <c r="FI148" s="1"/>
      <c r="FJ148" s="1"/>
      <c r="FK148" s="1"/>
      <c r="FL148" s="1"/>
      <c r="FM148" s="1"/>
      <c r="FN148" s="1"/>
      <c r="FO148" s="1"/>
      <c r="FP148" s="1"/>
      <c r="FQ148" s="1"/>
      <c r="FR148" s="1"/>
      <c r="FS148" s="1"/>
      <c r="FT148" s="1"/>
      <c r="FU148" s="1"/>
      <c r="FV148" s="1"/>
      <c r="FW148" s="1"/>
      <c r="FX148" s="1"/>
      <c r="FY148" s="1"/>
      <c r="FZ148" s="1"/>
      <c r="GA148" s="1"/>
      <c r="GB148" s="1"/>
      <c r="GC148" s="1"/>
      <c r="GD148" s="1"/>
      <c r="GE148" s="1"/>
      <c r="GF148" s="1"/>
      <c r="GG148" s="1"/>
      <c r="GH148" s="1"/>
      <c r="GI148" s="1"/>
      <c r="GJ148" s="1"/>
      <c r="GK148" s="1"/>
      <c r="GL148" s="1"/>
      <c r="GM148" s="1"/>
      <c r="GN148" s="1"/>
      <c r="GO148" s="1"/>
      <c r="GP148" s="1"/>
      <c r="GQ148" s="1"/>
      <c r="GR148" s="1"/>
      <c r="GS148" s="1"/>
      <c r="GT148" s="1"/>
      <c r="GU148" s="1"/>
      <c r="GV148" s="1"/>
      <c r="GW148" s="1"/>
      <c r="GX148" s="1"/>
      <c r="GY148" s="1"/>
      <c r="GZ148" s="1"/>
      <c r="HA148" s="1"/>
      <c r="HB148" s="1"/>
      <c r="HC148" s="1"/>
      <c r="HD148" s="1"/>
      <c r="HE148" s="1"/>
      <c r="HF148" s="1"/>
      <c r="HG148" s="1"/>
      <c r="HH148" s="1"/>
      <c r="HI148" s="1"/>
      <c r="HJ148" s="1"/>
      <c r="HK148" s="1"/>
      <c r="HL148" s="1"/>
      <c r="HM148" s="1"/>
      <c r="HN148" s="1"/>
      <c r="HO148" s="1"/>
      <c r="HP148" s="1"/>
      <c r="HQ148" s="1"/>
      <c r="HR148" s="1"/>
      <c r="HS148" s="1"/>
      <c r="HT148" s="1"/>
      <c r="HU148" s="1"/>
      <c r="HV148" s="1"/>
      <c r="HW148" s="1"/>
      <c r="HX148" s="1"/>
      <c r="HY148" s="1"/>
      <c r="HZ148" s="1"/>
      <c r="IA148" s="1"/>
      <c r="IB148" s="1"/>
      <c r="IC148" s="1"/>
      <c r="ID148" s="1"/>
      <c r="IE148" s="1"/>
      <c r="IF148" s="1"/>
      <c r="IG148" s="1"/>
      <c r="IH148" s="1"/>
      <c r="II148" s="1"/>
      <c r="IJ148" s="1"/>
      <c r="IK148" s="1"/>
      <c r="IL148" s="1"/>
      <c r="IM148" s="1"/>
      <c r="IN148" s="1"/>
      <c r="IO148" s="1"/>
      <c r="IP148" s="1"/>
      <c r="IQ148" s="1"/>
      <c r="IR148" s="1"/>
      <c r="IS148" s="1"/>
      <c r="IT148" s="1"/>
      <c r="IU148" s="1"/>
      <c r="IV148" s="1"/>
      <c r="IW148" s="1"/>
      <c r="IX148" s="1"/>
      <c r="IY148" s="1"/>
      <c r="IZ148" s="1"/>
      <c r="JA148" s="1"/>
      <c r="JB148" s="1"/>
      <c r="JC148" s="1"/>
      <c r="JD148" s="1"/>
    </row>
    <row r="149" spans="1:264" s="347" customFormat="1" x14ac:dyDescent="0.2">
      <c r="A149" s="429" t="str">
        <f>+A145</f>
        <v>Non Housing Loans</v>
      </c>
      <c r="B149" s="348" t="s">
        <v>140</v>
      </c>
      <c r="BH149" s="398"/>
      <c r="BI149" s="393">
        <f>+BI145/BH145-1</f>
        <v>7.9892280071813371E-2</v>
      </c>
      <c r="BJ149" s="348"/>
      <c r="BK149" s="348"/>
      <c r="BL149" s="393">
        <f>+BL145/BI145-1</f>
        <v>0.13039623164311442</v>
      </c>
      <c r="BM149" s="393">
        <f>+BM145/BL145-1</f>
        <v>2.3923914109226452E-2</v>
      </c>
      <c r="BN149" s="348"/>
      <c r="BO149" s="348"/>
      <c r="BP149" s="393">
        <f>+BP145/BM145-1</f>
        <v>9.5231255386383218E-2</v>
      </c>
      <c r="BQ149" s="393">
        <f>+BQ145/BP145-1</f>
        <v>-7.7814207650273026E-3</v>
      </c>
      <c r="BR149" s="348"/>
      <c r="BT149" s="393">
        <f>+BT145/BQ145-1</f>
        <v>0.11798916156320227</v>
      </c>
      <c r="BU149" s="393">
        <f>+BU145/BT145-1</f>
        <v>5.5054187192118187E-2</v>
      </c>
      <c r="BV149" s="348"/>
      <c r="BX149" s="393">
        <f>+BX145/BU145-1</f>
        <v>5.5617809651875127E-2</v>
      </c>
      <c r="BY149" s="393">
        <f>+BY145/BX145-1</f>
        <v>2.5830650012384604E-2</v>
      </c>
      <c r="BZ149" s="348"/>
      <c r="CB149" s="393">
        <f>+CB145/BY145-1</f>
        <v>-1.9385326480631959E-2</v>
      </c>
      <c r="CC149" s="394">
        <f>+CC145/CB145-1</f>
        <v>3.5632628653839316E-2</v>
      </c>
      <c r="CD149" s="348"/>
      <c r="CF149" s="393">
        <f>+CF145/CC145-1</f>
        <v>7.1972012770871618E-2</v>
      </c>
      <c r="CG149" s="394">
        <f>+CG145/CF145-1</f>
        <v>1.8852381103260374E-2</v>
      </c>
      <c r="CH149" s="348"/>
      <c r="CJ149" s="393">
        <f>+CJ145/CG145-1</f>
        <v>1.5642492847369072E-2</v>
      </c>
      <c r="CK149" s="394">
        <f>+CK145/CJ145-1</f>
        <v>-3.986649928044339E-2</v>
      </c>
      <c r="CL149" s="348"/>
      <c r="CN149" s="393">
        <f>+CN145/CK145-1</f>
        <v>2.2227891698823221E-2</v>
      </c>
      <c r="CO149" s="394">
        <f>+CO145/CN145-1</f>
        <v>2.9824670867910408E-2</v>
      </c>
      <c r="CP149" s="348"/>
      <c r="CR149" s="393">
        <f>+CR145/CO145-1</f>
        <v>3.1505604362314532E-2</v>
      </c>
      <c r="CS149" s="394">
        <f>+CS145/CR145-1</f>
        <v>-2.4493392070484621E-2</v>
      </c>
      <c r="CT149" s="348"/>
      <c r="CV149" s="393">
        <f>+CV145/CS145-1</f>
        <v>4.0251685934489467E-2</v>
      </c>
      <c r="CW149" s="394">
        <f>+CW145/CV145-1</f>
        <v>-3.8202182154950526E-3</v>
      </c>
      <c r="CX149" s="348"/>
      <c r="CZ149" s="393">
        <f>+CZ145/CW145-1</f>
        <v>-7.553528369309559E-4</v>
      </c>
      <c r="DA149" s="394">
        <f>+DA145/CZ145-1</f>
        <v>-4.6809129233900126E-3</v>
      </c>
      <c r="DB149" s="348"/>
      <c r="DD149" s="393">
        <f>+DD145/DA145-1</f>
        <v>6.9813635566979837E-3</v>
      </c>
      <c r="DE149" s="394">
        <f>+DE145/DD145-1</f>
        <v>3.7391581817654451E-2</v>
      </c>
      <c r="DF149" s="348"/>
      <c r="DH149" s="393">
        <f>+DH145/DE145-1</f>
        <v>-4.541133046250212E-2</v>
      </c>
      <c r="DI149" s="393">
        <f>+DI145/DH145-1</f>
        <v>5.4572649572650622E-3</v>
      </c>
      <c r="DJ149" s="348"/>
      <c r="DL149" s="393">
        <f>+DL145/DI145-1</f>
        <v>1.4999999999999902E-2</v>
      </c>
      <c r="DM149" s="393">
        <f>+DM145/DL145-1</f>
        <v>1.4999999999999902E-2</v>
      </c>
      <c r="DN149" s="348"/>
      <c r="DP149" s="393">
        <f>+DP145/DM145-1</f>
        <v>1.4999999999999902E-2</v>
      </c>
      <c r="DQ149" s="393">
        <f>+DQ145/DP145-1</f>
        <v>1.4999999999999902E-2</v>
      </c>
      <c r="DR149" s="348"/>
      <c r="DT149" s="1"/>
      <c r="DU149" s="1"/>
      <c r="DV149" s="1"/>
      <c r="DW149" s="1"/>
      <c r="DX149" s="1"/>
      <c r="DY149" s="1"/>
      <c r="DZ149" s="1"/>
      <c r="EA149" s="1"/>
      <c r="EB149" s="1"/>
      <c r="EC149" s="1"/>
      <c r="ED149" s="1"/>
      <c r="EE149" s="1"/>
      <c r="EF149" s="1"/>
      <c r="EG149" s="1"/>
      <c r="EH149" s="1"/>
      <c r="EI149" s="1"/>
      <c r="EJ149" s="1"/>
      <c r="EK149" s="1"/>
      <c r="EL149" s="1"/>
      <c r="EM149" s="1"/>
      <c r="EN149" s="1"/>
      <c r="EO149" s="1"/>
      <c r="EP149" s="1"/>
      <c r="EQ149" s="1"/>
      <c r="ER149" s="1"/>
      <c r="ES149" s="1"/>
      <c r="ET149" s="1"/>
      <c r="EU149" s="1"/>
      <c r="EV149" s="1"/>
      <c r="EW149" s="1"/>
      <c r="EX149" s="1"/>
      <c r="EY149" s="1"/>
      <c r="EZ149" s="1"/>
      <c r="FA149" s="1"/>
      <c r="FB149" s="1"/>
      <c r="FC149" s="1"/>
      <c r="FD149" s="1"/>
      <c r="FE149" s="1"/>
      <c r="FF149" s="1"/>
      <c r="FG149" s="1"/>
      <c r="FH149" s="1"/>
      <c r="FI149" s="1"/>
      <c r="FJ149" s="1"/>
      <c r="FK149" s="1"/>
      <c r="FL149" s="1"/>
      <c r="FM149" s="1"/>
      <c r="FN149" s="1"/>
      <c r="FO149" s="1"/>
      <c r="FP149" s="1"/>
      <c r="FQ149" s="1"/>
      <c r="FR149" s="1"/>
      <c r="FS149" s="1"/>
      <c r="FT149" s="1"/>
      <c r="FU149" s="1"/>
      <c r="FV149" s="1"/>
      <c r="FW149" s="1"/>
      <c r="FX149" s="1"/>
      <c r="FY149" s="1"/>
      <c r="FZ149" s="1"/>
      <c r="GA149" s="1"/>
      <c r="GB149" s="1"/>
      <c r="GC149" s="1"/>
      <c r="GD149" s="1"/>
      <c r="GE149" s="1"/>
      <c r="GF149" s="1"/>
      <c r="GG149" s="1"/>
      <c r="GH149" s="1"/>
      <c r="GI149" s="1"/>
      <c r="GJ149" s="1"/>
      <c r="GK149" s="1"/>
      <c r="GL149" s="1"/>
      <c r="GM149" s="1"/>
      <c r="GN149" s="1"/>
      <c r="GO149" s="1"/>
      <c r="GP149" s="1"/>
      <c r="GQ149" s="1"/>
      <c r="GR149" s="1"/>
      <c r="GS149" s="1"/>
      <c r="GT149" s="1"/>
      <c r="GU149" s="1"/>
      <c r="GV149" s="1"/>
      <c r="GW149" s="1"/>
      <c r="GX149" s="1"/>
      <c r="GY149" s="1"/>
      <c r="GZ149" s="1"/>
      <c r="HA149" s="1"/>
      <c r="HB149" s="1"/>
      <c r="HC149" s="1"/>
      <c r="HD149" s="1"/>
      <c r="HE149" s="1"/>
      <c r="HF149" s="1"/>
      <c r="HG149" s="1"/>
      <c r="HH149" s="1"/>
      <c r="HI149" s="1"/>
      <c r="HJ149" s="1"/>
      <c r="HK149" s="1"/>
      <c r="HL149" s="1"/>
      <c r="HM149" s="1"/>
      <c r="HN149" s="1"/>
      <c r="HO149" s="1"/>
      <c r="HP149" s="1"/>
      <c r="HQ149" s="1"/>
      <c r="HR149" s="1"/>
      <c r="HS149" s="1"/>
      <c r="HT149" s="1"/>
      <c r="HU149" s="1"/>
      <c r="HV149" s="1"/>
      <c r="HW149" s="1"/>
      <c r="HX149" s="1"/>
      <c r="HY149" s="1"/>
      <c r="HZ149" s="1"/>
      <c r="IA149" s="1"/>
      <c r="IB149" s="1"/>
      <c r="IC149" s="1"/>
      <c r="ID149" s="1"/>
      <c r="IE149" s="1"/>
      <c r="IF149" s="1"/>
      <c r="IG149" s="1"/>
      <c r="IH149" s="1"/>
      <c r="II149" s="1"/>
      <c r="IJ149" s="1"/>
      <c r="IK149" s="1"/>
      <c r="IL149" s="1"/>
      <c r="IM149" s="1"/>
      <c r="IN149" s="1"/>
      <c r="IO149" s="1"/>
      <c r="IP149" s="1"/>
      <c r="IQ149" s="1"/>
      <c r="IR149" s="1"/>
      <c r="IS149" s="1"/>
      <c r="IT149" s="1"/>
      <c r="IU149" s="1"/>
      <c r="IV149" s="1"/>
      <c r="IW149" s="1"/>
      <c r="IX149" s="1"/>
      <c r="IY149" s="1"/>
      <c r="IZ149" s="1"/>
      <c r="JA149" s="1"/>
      <c r="JB149" s="1"/>
      <c r="JC149" s="1"/>
      <c r="JD149" s="1"/>
    </row>
    <row r="150" spans="1:264" s="347" customFormat="1" x14ac:dyDescent="0.2">
      <c r="A150" s="424" t="str">
        <f>+A146</f>
        <v>Total Loans</v>
      </c>
      <c r="B150" s="348" t="s">
        <v>140</v>
      </c>
      <c r="BH150" s="398"/>
      <c r="BI150" s="428">
        <f>+BI146/BH146-1</f>
        <v>9.8134391355731987E-2</v>
      </c>
      <c r="BJ150" s="348"/>
      <c r="BK150" s="348"/>
      <c r="BL150" s="428">
        <f>+BL146/BI146-1</f>
        <v>0.11676980435868844</v>
      </c>
      <c r="BM150" s="428">
        <f>+BM146/BL146-1</f>
        <v>2.4315952503871863E-2</v>
      </c>
      <c r="BN150" s="348"/>
      <c r="BO150" s="348"/>
      <c r="BP150" s="428">
        <f>+BP146/BM146-1</f>
        <v>6.2496849957159428E-2</v>
      </c>
      <c r="BQ150" s="428">
        <f>+BQ146/BP146-1</f>
        <v>-2.8192843476748441E-2</v>
      </c>
      <c r="BR150" s="348"/>
      <c r="BT150" s="428">
        <f>+BT146/BQ146-1</f>
        <v>0.10981125935567859</v>
      </c>
      <c r="BU150" s="428">
        <f>+BU146/BT146-1</f>
        <v>6.1619434385491667E-2</v>
      </c>
      <c r="BV150" s="348"/>
      <c r="BX150" s="428">
        <f>+BX146/BU146-1</f>
        <v>5.7946196762967528E-2</v>
      </c>
      <c r="BY150" s="428">
        <f>+BY146/BX146-1</f>
        <v>1.445018796992481E-2</v>
      </c>
      <c r="BZ150" s="348"/>
      <c r="CB150" s="428">
        <f>+CB146/BY146-1</f>
        <v>-1.8168950653027038E-2</v>
      </c>
      <c r="CC150" s="481">
        <f>+CC146/CB146-1</f>
        <v>3.3602872757296565E-2</v>
      </c>
      <c r="CD150" s="348"/>
      <c r="CF150" s="428">
        <f>+CF146/CC146-1</f>
        <v>6.7455336198917193E-2</v>
      </c>
      <c r="CG150" s="481">
        <f>+CG146/CF146-1</f>
        <v>3.1453787401855449E-2</v>
      </c>
      <c r="CH150" s="348"/>
      <c r="CJ150" s="428">
        <f>+CJ146/CG146-1</f>
        <v>2.7396787009846157E-2</v>
      </c>
      <c r="CK150" s="481">
        <f>+CK146/CJ146-1</f>
        <v>-1.6768668594615233E-2</v>
      </c>
      <c r="CL150" s="348"/>
      <c r="CN150" s="428">
        <f>+CN146/CK146-1</f>
        <v>5.4230602612918677E-2</v>
      </c>
      <c r="CO150" s="481">
        <f>+CO146/CN146-1</f>
        <v>3.8410381184103892E-2</v>
      </c>
      <c r="CP150" s="348"/>
      <c r="CR150" s="428">
        <f>+CR146/CO146-1</f>
        <v>3.9270205254772206E-2</v>
      </c>
      <c r="CS150" s="481">
        <f>+CS146/CR146-1</f>
        <v>-1.5130563738752323E-2</v>
      </c>
      <c r="CT150" s="348"/>
      <c r="CV150" s="428">
        <f>+CV146/CS146-1</f>
        <v>4.8947989581637597E-2</v>
      </c>
      <c r="CW150" s="481">
        <f>+CW146/CV146-1</f>
        <v>-6.0524350381672143E-3</v>
      </c>
      <c r="CX150" s="348"/>
      <c r="CZ150" s="428">
        <f>+CZ146/CW146-1</f>
        <v>3.0836789460844116E-3</v>
      </c>
      <c r="DA150" s="481">
        <f>+DA146/CZ146-1</f>
        <v>-2.7628878014611669E-3</v>
      </c>
      <c r="DB150" s="348"/>
      <c r="DD150" s="428">
        <f>+DD146/DA146-1</f>
        <v>1.6115972567727122E-2</v>
      </c>
      <c r="DE150" s="481">
        <f>+DE146/DD146-1</f>
        <v>5.3255119576800958E-2</v>
      </c>
      <c r="DF150" s="348"/>
      <c r="DH150" s="428">
        <f>+DH146/DE146-1</f>
        <v>-3.7709879131496926E-2</v>
      </c>
      <c r="DI150" s="428">
        <f>+DI146/DH146-1</f>
        <v>1.5511271317426356E-2</v>
      </c>
      <c r="DJ150" s="348"/>
      <c r="DL150" s="428">
        <f>+DL146/DI146-1</f>
        <v>2.0098725559949848E-2</v>
      </c>
      <c r="DM150" s="428">
        <f>+DM146/DL146-1</f>
        <v>2.0110727770183967E-2</v>
      </c>
      <c r="DN150" s="348"/>
      <c r="DP150" s="428">
        <f>+DP146/DM146-1</f>
        <v>1.4999999999999902E-2</v>
      </c>
      <c r="DQ150" s="428">
        <f>+DQ146/DP146-1</f>
        <v>1.5000000000000124E-2</v>
      </c>
      <c r="DR150" s="348"/>
      <c r="DT150" s="1"/>
      <c r="DU150" s="1"/>
      <c r="DV150" s="1"/>
      <c r="DW150" s="1"/>
      <c r="DX150" s="1"/>
      <c r="DY150" s="1"/>
      <c r="DZ150" s="1"/>
      <c r="EA150" s="1"/>
      <c r="EB150" s="1"/>
      <c r="EC150" s="1"/>
      <c r="ED150" s="1"/>
      <c r="EE150" s="1"/>
      <c r="EF150" s="1"/>
      <c r="EG150" s="1"/>
      <c r="EH150" s="1"/>
      <c r="EI150" s="1"/>
      <c r="EJ150" s="1"/>
      <c r="EK150" s="1"/>
      <c r="EL150" s="1"/>
      <c r="EM150" s="1"/>
      <c r="EN150" s="1"/>
      <c r="EO150" s="1"/>
      <c r="EP150" s="1"/>
      <c r="EQ150" s="1"/>
      <c r="ER150" s="1"/>
      <c r="ES150" s="1"/>
      <c r="ET150" s="1"/>
      <c r="EU150" s="1"/>
      <c r="EV150" s="1"/>
      <c r="EW150" s="1"/>
      <c r="EX150" s="1"/>
      <c r="EY150" s="1"/>
      <c r="EZ150" s="1"/>
      <c r="FA150" s="1"/>
      <c r="FB150" s="1"/>
      <c r="FC150" s="1"/>
      <c r="FD150" s="1"/>
      <c r="FE150" s="1"/>
      <c r="FF150" s="1"/>
      <c r="FG150" s="1"/>
      <c r="FH150" s="1"/>
      <c r="FI150" s="1"/>
      <c r="FJ150" s="1"/>
      <c r="FK150" s="1"/>
      <c r="FL150" s="1"/>
      <c r="FM150" s="1"/>
      <c r="FN150" s="1"/>
      <c r="FO150" s="1"/>
      <c r="FP150" s="1"/>
      <c r="FQ150" s="1"/>
      <c r="FR150" s="1"/>
      <c r="FS150" s="1"/>
      <c r="FT150" s="1"/>
      <c r="FU150" s="1"/>
      <c r="FV150" s="1"/>
      <c r="FW150" s="1"/>
      <c r="FX150" s="1"/>
      <c r="FY150" s="1"/>
      <c r="FZ150" s="1"/>
      <c r="GA150" s="1"/>
      <c r="GB150" s="1"/>
      <c r="GC150" s="1"/>
      <c r="GD150" s="1"/>
      <c r="GE150" s="1"/>
      <c r="GF150" s="1"/>
      <c r="GG150" s="1"/>
      <c r="GH150" s="1"/>
      <c r="GI150" s="1"/>
      <c r="GJ150" s="1"/>
      <c r="GK150" s="1"/>
      <c r="GL150" s="1"/>
      <c r="GM150" s="1"/>
      <c r="GN150" s="1"/>
      <c r="GO150" s="1"/>
      <c r="GP150" s="1"/>
      <c r="GQ150" s="1"/>
      <c r="GR150" s="1"/>
      <c r="GS150" s="1"/>
      <c r="GT150" s="1"/>
      <c r="GU150" s="1"/>
      <c r="GV150" s="1"/>
      <c r="GW150" s="1"/>
      <c r="GX150" s="1"/>
      <c r="GY150" s="1"/>
      <c r="GZ150" s="1"/>
      <c r="HA150" s="1"/>
      <c r="HB150" s="1"/>
      <c r="HC150" s="1"/>
      <c r="HD150" s="1"/>
      <c r="HE150" s="1"/>
      <c r="HF150" s="1"/>
      <c r="HG150" s="1"/>
      <c r="HH150" s="1"/>
      <c r="HI150" s="1"/>
      <c r="HJ150" s="1"/>
      <c r="HK150" s="1"/>
      <c r="HL150" s="1"/>
      <c r="HM150" s="1"/>
      <c r="HN150" s="1"/>
      <c r="HO150" s="1"/>
      <c r="HP150" s="1"/>
      <c r="HQ150" s="1"/>
      <c r="HR150" s="1"/>
      <c r="HS150" s="1"/>
      <c r="HT150" s="1"/>
      <c r="HU150" s="1"/>
      <c r="HV150" s="1"/>
      <c r="HW150" s="1"/>
      <c r="HX150" s="1"/>
      <c r="HY150" s="1"/>
      <c r="HZ150" s="1"/>
      <c r="IA150" s="1"/>
      <c r="IB150" s="1"/>
      <c r="IC150" s="1"/>
      <c r="ID150" s="1"/>
      <c r="IE150" s="1"/>
      <c r="IF150" s="1"/>
      <c r="IG150" s="1"/>
      <c r="IH150" s="1"/>
      <c r="II150" s="1"/>
      <c r="IJ150" s="1"/>
      <c r="IK150" s="1"/>
      <c r="IL150" s="1"/>
      <c r="IM150" s="1"/>
      <c r="IN150" s="1"/>
      <c r="IO150" s="1"/>
      <c r="IP150" s="1"/>
      <c r="IQ150" s="1"/>
      <c r="IR150" s="1"/>
      <c r="IS150" s="1"/>
      <c r="IT150" s="1"/>
      <c r="IU150" s="1"/>
      <c r="IV150" s="1"/>
      <c r="IW150" s="1"/>
      <c r="IX150" s="1"/>
      <c r="IY150" s="1"/>
      <c r="IZ150" s="1"/>
      <c r="JA150" s="1"/>
      <c r="JB150" s="1"/>
      <c r="JC150" s="1"/>
      <c r="JD150" s="1"/>
    </row>
    <row r="151" spans="1:264" s="429" customFormat="1" x14ac:dyDescent="0.2">
      <c r="A151" s="429" t="s">
        <v>281</v>
      </c>
      <c r="B151" s="408" t="s">
        <v>236</v>
      </c>
      <c r="BH151" s="442">
        <f>BH64</f>
        <v>1.2609999999999999</v>
      </c>
      <c r="BI151" s="442">
        <f>BI64</f>
        <v>1.1859999999999999</v>
      </c>
      <c r="BJ151" s="408"/>
      <c r="BK151" s="408"/>
      <c r="BL151" s="442">
        <f>BL64</f>
        <v>1.0867</v>
      </c>
      <c r="BM151" s="442">
        <f>BM64</f>
        <v>1.0762</v>
      </c>
      <c r="BN151" s="408"/>
      <c r="BO151" s="408"/>
      <c r="BP151" s="442">
        <f>BP64</f>
        <v>1.0449999999999999</v>
      </c>
      <c r="BQ151" s="442">
        <f>BQ64</f>
        <v>1.0762</v>
      </c>
      <c r="BR151" s="408"/>
      <c r="BT151" s="442">
        <f>BT64</f>
        <v>1.0660000000000001</v>
      </c>
      <c r="BU151" s="442">
        <f>BU64</f>
        <v>1.0469999999999999</v>
      </c>
      <c r="BV151" s="408"/>
      <c r="BX151" s="442">
        <f>BX64</f>
        <v>1.0392999999999999</v>
      </c>
      <c r="BY151" s="442">
        <f>BY64</f>
        <v>1.0492999999999999</v>
      </c>
      <c r="BZ151" s="408"/>
      <c r="CB151" s="442">
        <f>CB64</f>
        <v>1.0983000000000001</v>
      </c>
      <c r="CC151" s="442">
        <f>CC64</f>
        <v>1.0909</v>
      </c>
      <c r="CD151" s="408"/>
      <c r="CF151" s="442">
        <f>CF64</f>
        <v>1.0515000000000001</v>
      </c>
      <c r="CG151" s="442">
        <f>CG64</f>
        <v>1.046</v>
      </c>
      <c r="CH151" s="408"/>
      <c r="CJ151" s="442">
        <f>CJ64</f>
        <v>1.0408999999999999</v>
      </c>
      <c r="CK151" s="442">
        <f>CK64</f>
        <v>1.0705</v>
      </c>
      <c r="CL151" s="408"/>
      <c r="CN151" s="442">
        <f>CN64</f>
        <v>1.0667</v>
      </c>
      <c r="CO151" s="442">
        <f>CO64</f>
        <v>1.0740000000000001</v>
      </c>
      <c r="CP151" s="408"/>
      <c r="CR151" s="442">
        <f>CR64</f>
        <v>1.0628</v>
      </c>
      <c r="CS151" s="442">
        <f>CS64</f>
        <v>1.1073</v>
      </c>
      <c r="CT151" s="408"/>
      <c r="CV151" s="442">
        <f>CV64</f>
        <v>1.0713999999999999</v>
      </c>
      <c r="CW151" s="442">
        <f>CW64</f>
        <v>1.0887</v>
      </c>
      <c r="CX151" s="408"/>
      <c r="CZ151" s="442">
        <f>CZ64</f>
        <v>1.0764</v>
      </c>
      <c r="DA151" s="442">
        <f>DA64</f>
        <v>1.0929</v>
      </c>
      <c r="DB151" s="408"/>
      <c r="DD151" s="442">
        <f>DD64</f>
        <v>1.1042000000000001</v>
      </c>
      <c r="DE151" s="442">
        <f>DE64</f>
        <v>1.0766</v>
      </c>
      <c r="DF151" s="408"/>
      <c r="DH151" s="442">
        <f>DH64</f>
        <v>1.159</v>
      </c>
      <c r="DI151" s="442">
        <f>DI64</f>
        <v>1.17</v>
      </c>
      <c r="DJ151" s="408"/>
      <c r="DL151" s="442">
        <f>DL64</f>
        <v>1.17</v>
      </c>
      <c r="DM151" s="442">
        <f>DM64</f>
        <v>1.17</v>
      </c>
      <c r="DN151" s="408"/>
      <c r="DP151" s="442">
        <f>DP64</f>
        <v>1.17</v>
      </c>
      <c r="DQ151" s="442">
        <f>DQ64</f>
        <v>1.17</v>
      </c>
      <c r="DR151" s="408"/>
      <c r="DT151" s="1"/>
      <c r="DU151" s="1"/>
      <c r="DV151" s="1"/>
      <c r="DW151" s="1"/>
      <c r="DX151" s="1"/>
      <c r="DY151" s="1"/>
      <c r="DZ151" s="1"/>
      <c r="EA151" s="1"/>
      <c r="EB151" s="1"/>
      <c r="EC151" s="1"/>
      <c r="ED151" s="1"/>
      <c r="EE151" s="1"/>
      <c r="EF151" s="1"/>
      <c r="EG151" s="1"/>
      <c r="EH151" s="1"/>
      <c r="EI151" s="1"/>
      <c r="EJ151" s="1"/>
      <c r="EK151" s="1"/>
      <c r="EL151" s="1"/>
      <c r="EM151" s="1"/>
      <c r="EN151" s="1"/>
      <c r="EO151" s="1"/>
      <c r="EP151" s="1"/>
      <c r="EQ151" s="1"/>
      <c r="ER151" s="1"/>
      <c r="ES151" s="1"/>
      <c r="ET151" s="1"/>
      <c r="EU151" s="1"/>
      <c r="EV151" s="1"/>
      <c r="EW151" s="1"/>
      <c r="EX151" s="1"/>
      <c r="EY151" s="1"/>
      <c r="EZ151" s="1"/>
      <c r="FA151" s="1"/>
      <c r="FB151" s="1"/>
      <c r="FC151" s="1"/>
      <c r="FD151" s="1"/>
      <c r="FE151" s="1"/>
      <c r="FF151" s="1"/>
      <c r="FG151" s="1"/>
      <c r="FH151" s="1"/>
      <c r="FI151" s="1"/>
      <c r="FJ151" s="1"/>
      <c r="FK151" s="1"/>
      <c r="FL151" s="1"/>
      <c r="FM151" s="1"/>
      <c r="FN151" s="1"/>
      <c r="FO151" s="1"/>
      <c r="FP151" s="1"/>
      <c r="FQ151" s="1"/>
      <c r="FR151" s="1"/>
      <c r="FS151" s="1"/>
      <c r="FT151" s="1"/>
      <c r="FU151" s="1"/>
      <c r="FV151" s="1"/>
      <c r="FW151" s="1"/>
      <c r="FX151" s="1"/>
      <c r="FY151" s="1"/>
      <c r="FZ151" s="1"/>
      <c r="GA151" s="1"/>
      <c r="GB151" s="1"/>
      <c r="GC151" s="1"/>
      <c r="GD151" s="1"/>
      <c r="GE151" s="1"/>
      <c r="GF151" s="1"/>
      <c r="GG151" s="1"/>
      <c r="GH151" s="1"/>
      <c r="GI151" s="1"/>
      <c r="GJ151" s="1"/>
      <c r="GK151" s="1"/>
      <c r="GL151" s="1"/>
      <c r="GM151" s="1"/>
      <c r="GN151" s="1"/>
      <c r="GO151" s="1"/>
      <c r="GP151" s="1"/>
      <c r="GQ151" s="1"/>
      <c r="GR151" s="1"/>
      <c r="GS151" s="1"/>
      <c r="GT151" s="1"/>
      <c r="GU151" s="1"/>
      <c r="GV151" s="1"/>
      <c r="GW151" s="1"/>
      <c r="GX151" s="1"/>
      <c r="GY151" s="1"/>
      <c r="GZ151" s="1"/>
      <c r="HA151" s="1"/>
      <c r="HB151" s="1"/>
      <c r="HC151" s="1"/>
      <c r="HD151" s="1"/>
      <c r="HE151" s="1"/>
      <c r="HF151" s="1"/>
      <c r="HG151" s="1"/>
      <c r="HH151" s="1"/>
      <c r="HI151" s="1"/>
      <c r="HJ151" s="1"/>
      <c r="HK151" s="1"/>
      <c r="HL151" s="1"/>
      <c r="HM151" s="1"/>
      <c r="HN151" s="1"/>
      <c r="HO151" s="1"/>
      <c r="HP151" s="1"/>
      <c r="HQ151" s="1"/>
      <c r="HR151" s="1"/>
      <c r="HS151" s="1"/>
      <c r="HT151" s="1"/>
      <c r="HU151" s="1"/>
      <c r="HV151" s="1"/>
      <c r="HW151" s="1"/>
      <c r="HX151" s="1"/>
      <c r="HY151" s="1"/>
      <c r="HZ151" s="1"/>
      <c r="IA151" s="1"/>
      <c r="IB151" s="1"/>
      <c r="IC151" s="1"/>
      <c r="ID151" s="1"/>
      <c r="IE151" s="1"/>
      <c r="IF151" s="1"/>
      <c r="IG151" s="1"/>
      <c r="IH151" s="1"/>
      <c r="II151" s="1"/>
      <c r="IJ151" s="1"/>
      <c r="IK151" s="1"/>
      <c r="IL151" s="1"/>
      <c r="IM151" s="1"/>
      <c r="IN151" s="1"/>
      <c r="IO151" s="1"/>
      <c r="IP151" s="1"/>
      <c r="IQ151" s="1"/>
      <c r="IR151" s="1"/>
      <c r="IS151" s="1"/>
      <c r="IT151" s="1"/>
      <c r="IU151" s="1"/>
      <c r="IV151" s="1"/>
      <c r="IW151" s="1"/>
      <c r="IX151" s="1"/>
      <c r="IY151" s="1"/>
      <c r="IZ151" s="1"/>
      <c r="JA151" s="1"/>
      <c r="JB151" s="1"/>
      <c r="JC151" s="1"/>
      <c r="JD151" s="1"/>
    </row>
    <row r="152" spans="1:264" s="347" customFormat="1" x14ac:dyDescent="0.2">
      <c r="A152" s="411" t="s">
        <v>280</v>
      </c>
      <c r="B152" s="348"/>
      <c r="BH152" s="398"/>
      <c r="BI152" s="348"/>
      <c r="BJ152" s="348"/>
      <c r="BK152" s="348"/>
      <c r="BL152" s="398"/>
      <c r="BM152" s="348"/>
      <c r="BN152" s="348"/>
      <c r="BO152" s="348"/>
      <c r="BP152" s="398"/>
      <c r="BQ152" s="348"/>
      <c r="BR152" s="348"/>
      <c r="BT152" s="398"/>
      <c r="BU152" s="348"/>
      <c r="BV152" s="348"/>
      <c r="BX152" s="398"/>
      <c r="BY152" s="348"/>
      <c r="BZ152" s="348"/>
      <c r="CB152" s="398"/>
      <c r="CC152" s="348"/>
      <c r="CD152" s="348"/>
      <c r="CF152" s="398"/>
      <c r="CG152" s="348"/>
      <c r="CH152" s="348"/>
      <c r="CJ152" s="398"/>
      <c r="CK152" s="348"/>
      <c r="CL152" s="348"/>
      <c r="CN152" s="398"/>
      <c r="CO152" s="348"/>
      <c r="CP152" s="348"/>
      <c r="CR152" s="398"/>
      <c r="CS152" s="348"/>
      <c r="CT152" s="348"/>
      <c r="CV152" s="398"/>
      <c r="CW152" s="348"/>
      <c r="CX152" s="348"/>
      <c r="CZ152" s="398"/>
      <c r="DA152" s="348"/>
      <c r="DB152" s="348"/>
      <c r="DD152" s="398"/>
      <c r="DE152" s="348"/>
      <c r="DF152" s="348"/>
      <c r="DH152" s="398"/>
      <c r="DI152" s="348"/>
      <c r="DJ152" s="348"/>
      <c r="DL152" s="348"/>
      <c r="DM152" s="348"/>
      <c r="DN152" s="348"/>
      <c r="DP152" s="348"/>
      <c r="DQ152" s="348"/>
      <c r="DR152" s="348"/>
      <c r="DT152" s="1"/>
      <c r="DU152" s="1"/>
      <c r="DV152" s="1"/>
      <c r="DW152" s="1"/>
      <c r="DX152" s="1"/>
      <c r="DY152" s="1"/>
      <c r="DZ152" s="1"/>
      <c r="EA152" s="1"/>
      <c r="EB152" s="1"/>
      <c r="EC152" s="1"/>
      <c r="ED152" s="1"/>
      <c r="EE152" s="1"/>
      <c r="EF152" s="1"/>
      <c r="EG152" s="1"/>
      <c r="EH152" s="1"/>
      <c r="EI152" s="1"/>
      <c r="EJ152" s="1"/>
      <c r="EK152" s="1"/>
      <c r="EL152" s="1"/>
      <c r="EM152" s="1"/>
      <c r="EN152" s="1"/>
      <c r="EO152" s="1"/>
      <c r="EP152" s="1"/>
      <c r="EQ152" s="1"/>
      <c r="ER152" s="1"/>
      <c r="ES152" s="1"/>
      <c r="ET152" s="1"/>
      <c r="EU152" s="1"/>
      <c r="EV152" s="1"/>
      <c r="EW152" s="1"/>
      <c r="EX152" s="1"/>
      <c r="EY152" s="1"/>
      <c r="EZ152" s="1"/>
      <c r="FA152" s="1"/>
      <c r="FB152" s="1"/>
      <c r="FC152" s="1"/>
      <c r="FD152" s="1"/>
      <c r="FE152" s="1"/>
      <c r="FF152" s="1"/>
      <c r="FG152" s="1"/>
      <c r="FH152" s="1"/>
      <c r="FI152" s="1"/>
      <c r="FJ152" s="1"/>
      <c r="FK152" s="1"/>
      <c r="FL152" s="1"/>
      <c r="FM152" s="1"/>
      <c r="FN152" s="1"/>
      <c r="FO152" s="1"/>
      <c r="FP152" s="1"/>
      <c r="FQ152" s="1"/>
      <c r="FR152" s="1"/>
      <c r="FS152" s="1"/>
      <c r="FT152" s="1"/>
      <c r="FU152" s="1"/>
      <c r="FV152" s="1"/>
      <c r="FW152" s="1"/>
      <c r="FX152" s="1"/>
      <c r="FY152" s="1"/>
      <c r="FZ152" s="1"/>
      <c r="GA152" s="1"/>
      <c r="GB152" s="1"/>
      <c r="GC152" s="1"/>
      <c r="GD152" s="1"/>
      <c r="GE152" s="1"/>
      <c r="GF152" s="1"/>
      <c r="GG152" s="1"/>
      <c r="GH152" s="1"/>
      <c r="GI152" s="1"/>
      <c r="GJ152" s="1"/>
      <c r="GK152" s="1"/>
      <c r="GL152" s="1"/>
      <c r="GM152" s="1"/>
      <c r="GN152" s="1"/>
      <c r="GO152" s="1"/>
      <c r="GP152" s="1"/>
      <c r="GQ152" s="1"/>
      <c r="GR152" s="1"/>
      <c r="GS152" s="1"/>
      <c r="GT152" s="1"/>
      <c r="GU152" s="1"/>
      <c r="GV152" s="1"/>
      <c r="GW152" s="1"/>
      <c r="GX152" s="1"/>
      <c r="GY152" s="1"/>
      <c r="GZ152" s="1"/>
      <c r="HA152" s="1"/>
      <c r="HB152" s="1"/>
      <c r="HC152" s="1"/>
      <c r="HD152" s="1"/>
      <c r="HE152" s="1"/>
      <c r="HF152" s="1"/>
      <c r="HG152" s="1"/>
      <c r="HH152" s="1"/>
      <c r="HI152" s="1"/>
      <c r="HJ152" s="1"/>
      <c r="HK152" s="1"/>
      <c r="HL152" s="1"/>
      <c r="HM152" s="1"/>
      <c r="HN152" s="1"/>
      <c r="HO152" s="1"/>
      <c r="HP152" s="1"/>
      <c r="HQ152" s="1"/>
      <c r="HR152" s="1"/>
      <c r="HS152" s="1"/>
      <c r="HT152" s="1"/>
      <c r="HU152" s="1"/>
      <c r="HV152" s="1"/>
      <c r="HW152" s="1"/>
      <c r="HX152" s="1"/>
      <c r="HY152" s="1"/>
      <c r="HZ152" s="1"/>
      <c r="IA152" s="1"/>
      <c r="IB152" s="1"/>
      <c r="IC152" s="1"/>
      <c r="ID152" s="1"/>
      <c r="IE152" s="1"/>
      <c r="IF152" s="1"/>
      <c r="IG152" s="1"/>
      <c r="IH152" s="1"/>
      <c r="II152" s="1"/>
      <c r="IJ152" s="1"/>
      <c r="IK152" s="1"/>
      <c r="IL152" s="1"/>
      <c r="IM152" s="1"/>
      <c r="IN152" s="1"/>
      <c r="IO152" s="1"/>
      <c r="IP152" s="1"/>
      <c r="IQ152" s="1"/>
      <c r="IR152" s="1"/>
      <c r="IS152" s="1"/>
      <c r="IT152" s="1"/>
      <c r="IU152" s="1"/>
      <c r="IV152" s="1"/>
      <c r="IW152" s="1"/>
      <c r="IX152" s="1"/>
      <c r="IY152" s="1"/>
      <c r="IZ152" s="1"/>
      <c r="JA152" s="1"/>
      <c r="JB152" s="1"/>
      <c r="JC152" s="1"/>
      <c r="JD152" s="1"/>
    </row>
    <row r="153" spans="1:264" s="347" customFormat="1" x14ac:dyDescent="0.2">
      <c r="A153" s="347" t="s">
        <v>89</v>
      </c>
      <c r="B153" s="348" t="s">
        <v>282</v>
      </c>
      <c r="BH153" s="351">
        <f>+BH144*BH$151</f>
        <v>38679.913999999997</v>
      </c>
      <c r="BI153" s="351">
        <f>+BI144*BI$151</f>
        <v>40310.953999999998</v>
      </c>
      <c r="BJ153" s="351">
        <f>BI153</f>
        <v>40310.953999999998</v>
      </c>
      <c r="BK153" s="348"/>
      <c r="BL153" s="351">
        <f>+BL144*BL$151</f>
        <v>40981.630400000002</v>
      </c>
      <c r="BM153" s="351">
        <f>+BM144*BM$151</f>
        <v>41581.1394</v>
      </c>
      <c r="BN153" s="351">
        <f>BM153</f>
        <v>41581.1394</v>
      </c>
      <c r="BO153" s="348"/>
      <c r="BP153" s="351">
        <f>+BP144*BP$151</f>
        <v>42184.56</v>
      </c>
      <c r="BQ153" s="351">
        <f>+BQ144*BQ$151</f>
        <v>41716.740600000005</v>
      </c>
      <c r="BR153" s="351">
        <f>BQ153</f>
        <v>41716.740600000005</v>
      </c>
      <c r="BT153" s="351">
        <f>+BT144*BT$151</f>
        <v>45661.044000000002</v>
      </c>
      <c r="BU153" s="351">
        <f>+BU144*BU$151</f>
        <v>47785.079999999994</v>
      </c>
      <c r="BV153" s="351">
        <f>BU153</f>
        <v>47785.079999999994</v>
      </c>
      <c r="BX153" s="351">
        <f>+BX144*BX$151</f>
        <v>50247.037099999994</v>
      </c>
      <c r="BY153" s="351">
        <f>+BY144*BY$151</f>
        <v>51126.093199999996</v>
      </c>
      <c r="BZ153" s="351">
        <f>BY153</f>
        <v>51126.093199999996</v>
      </c>
      <c r="CB153" s="351">
        <f>+CB144*CB$151</f>
        <v>52580.014200000005</v>
      </c>
      <c r="CC153" s="351">
        <f>+CC144*CC$151</f>
        <v>53917.732499999998</v>
      </c>
      <c r="CD153" s="351">
        <f>CC153</f>
        <v>53917.732499999998</v>
      </c>
      <c r="CE153" s="393">
        <f>CD153/BZ153-1</f>
        <v>5.4603024116851584E-2</v>
      </c>
      <c r="CF153" s="351">
        <f>+CF144*CF$151</f>
        <v>55336.239000000009</v>
      </c>
      <c r="CG153" s="351">
        <f>+CG144*CG$151</f>
        <v>57194.234000000004</v>
      </c>
      <c r="CH153" s="351">
        <f>CG153</f>
        <v>57194.234000000004</v>
      </c>
      <c r="CI153" s="393">
        <f>CH153/CD153-1</f>
        <v>6.0768532875524972E-2</v>
      </c>
      <c r="CJ153" s="351">
        <f>+CJ144*CJ$151</f>
        <v>58868.099499999997</v>
      </c>
      <c r="CK153" s="351">
        <f>+CK144*CK$151</f>
        <v>60334.450499999999</v>
      </c>
      <c r="CL153" s="351">
        <f>CK153</f>
        <v>60334.450499999999</v>
      </c>
      <c r="CM153" s="393">
        <f>CL153/CH153-1</f>
        <v>5.4904424456493128E-2</v>
      </c>
      <c r="CN153" s="351">
        <f>+CN144*CN$151</f>
        <v>64451.080699999999</v>
      </c>
      <c r="CO153" s="351">
        <f>+CO144*CO$151</f>
        <v>67680.258000000002</v>
      </c>
      <c r="CP153" s="351">
        <f>CO153</f>
        <v>67680.258000000002</v>
      </c>
      <c r="CQ153" s="393">
        <f>CP153/CL153-1</f>
        <v>0.12175146104960377</v>
      </c>
      <c r="CR153" s="351">
        <f>+CR144*CR$151</f>
        <v>69876.974399999992</v>
      </c>
      <c r="CS153" s="351">
        <f>+CS144*CS$151</f>
        <v>72054.225599999991</v>
      </c>
      <c r="CT153" s="351">
        <f>CS153</f>
        <v>72054.225599999991</v>
      </c>
      <c r="CU153" s="393">
        <f>CT153/CP153-1</f>
        <v>6.4626934489522725E-2</v>
      </c>
      <c r="CV153" s="351">
        <f>+CV144*CV$151</f>
        <v>73440.184399999998</v>
      </c>
      <c r="CW153" s="351">
        <f>+CW144*CW$151</f>
        <v>74090.389800000004</v>
      </c>
      <c r="CX153" s="351">
        <f>CW153</f>
        <v>74090.389800000004</v>
      </c>
      <c r="CY153" s="393">
        <f>CX153/CT153-1</f>
        <v>2.8258775707389105E-2</v>
      </c>
      <c r="CZ153" s="351">
        <f>+CZ144*CZ$151</f>
        <v>73621.454400000002</v>
      </c>
      <c r="DA153" s="351">
        <f>+DA144*DA$151</f>
        <v>74615.561700000006</v>
      </c>
      <c r="DB153" s="351">
        <f>DA153</f>
        <v>74615.561700000006</v>
      </c>
      <c r="DC153" s="393">
        <f>DB153/CX153-1</f>
        <v>7.0882593736874E-3</v>
      </c>
      <c r="DD153" s="351">
        <f>+DD144*DD$151</f>
        <v>76947.281199999998</v>
      </c>
      <c r="DE153" s="351">
        <f>+DE144*DE$151</f>
        <v>79608.110400000005</v>
      </c>
      <c r="DF153" s="351">
        <f>DE153</f>
        <v>79608.110400000005</v>
      </c>
      <c r="DG153" s="393">
        <f>DF153/DB153-1</f>
        <v>6.6910287696728465E-2</v>
      </c>
      <c r="DH153" s="351">
        <f>+DH144*DH$151</f>
        <v>82788.528999999995</v>
      </c>
      <c r="DI153" s="351">
        <f>+DH153*(1+DI157)</f>
        <v>85272.184869999997</v>
      </c>
      <c r="DJ153" s="351">
        <f>DI153</f>
        <v>85272.184869999997</v>
      </c>
      <c r="DK153" s="393">
        <f>DJ153/DF153-1</f>
        <v>7.1149465067569251E-2</v>
      </c>
      <c r="DL153" s="351">
        <f>+DI153*(1+DL157)</f>
        <v>87190.809029575001</v>
      </c>
      <c r="DM153" s="351">
        <f>+DL153*(1+DM157)</f>
        <v>89152.602232740435</v>
      </c>
      <c r="DN153" s="351">
        <f>DM153</f>
        <v>89152.602232740435</v>
      </c>
      <c r="DO153" s="393">
        <f>DN153/DJ153-1</f>
        <v>4.5506250000000081E-2</v>
      </c>
      <c r="DP153" s="351">
        <f>+DM153*(1+DP157)</f>
        <v>90489.891266231527</v>
      </c>
      <c r="DQ153" s="351">
        <f>+DP153*(1+DQ157)</f>
        <v>91847.239635224993</v>
      </c>
      <c r="DR153" s="351">
        <f>DQ153</f>
        <v>91847.239635224993</v>
      </c>
      <c r="DS153" s="393">
        <f>DR153/DN153-1</f>
        <v>3.0224999999999724E-2</v>
      </c>
      <c r="DT153" s="1"/>
      <c r="DU153" s="1"/>
      <c r="DV153" s="1"/>
      <c r="DW153" s="1"/>
      <c r="DX153" s="1"/>
      <c r="DY153" s="1"/>
      <c r="DZ153" s="1"/>
      <c r="EA153" s="1"/>
      <c r="EB153" s="1"/>
      <c r="EC153" s="1"/>
      <c r="ED153" s="1"/>
      <c r="EE153" s="1"/>
      <c r="EF153" s="1"/>
      <c r="EG153" s="1"/>
      <c r="EH153" s="1"/>
      <c r="EI153" s="1"/>
      <c r="EJ153" s="1"/>
      <c r="EK153" s="1"/>
      <c r="EL153" s="1"/>
      <c r="EM153" s="1"/>
      <c r="EN153" s="1"/>
      <c r="EO153" s="1"/>
      <c r="EP153" s="1"/>
      <c r="EQ153" s="1"/>
      <c r="ER153" s="1"/>
      <c r="ES153" s="1"/>
      <c r="ET153" s="1"/>
      <c r="EU153" s="1"/>
      <c r="EV153" s="1"/>
      <c r="EW153" s="1"/>
      <c r="EX153" s="1"/>
      <c r="EY153" s="1"/>
      <c r="EZ153" s="1"/>
      <c r="FA153" s="1"/>
      <c r="FB153" s="1"/>
      <c r="FC153" s="1"/>
      <c r="FD153" s="1"/>
      <c r="FE153" s="1"/>
      <c r="FF153" s="1"/>
      <c r="FG153" s="1"/>
      <c r="FH153" s="1"/>
      <c r="FI153" s="1"/>
      <c r="FJ153" s="1"/>
      <c r="FK153" s="1"/>
      <c r="FL153" s="1"/>
      <c r="FM153" s="1"/>
      <c r="FN153" s="1"/>
      <c r="FO153" s="1"/>
      <c r="FP153" s="1"/>
      <c r="FQ153" s="1"/>
      <c r="FR153" s="1"/>
      <c r="FS153" s="1"/>
      <c r="FT153" s="1"/>
      <c r="FU153" s="1"/>
      <c r="FV153" s="1"/>
      <c r="FW153" s="1"/>
      <c r="FX153" s="1"/>
      <c r="FY153" s="1"/>
      <c r="FZ153" s="1"/>
      <c r="GA153" s="1"/>
      <c r="GB153" s="1"/>
      <c r="GC153" s="1"/>
      <c r="GD153" s="1"/>
      <c r="GE153" s="1"/>
      <c r="GF153" s="1"/>
      <c r="GG153" s="1"/>
      <c r="GH153" s="1"/>
      <c r="GI153" s="1"/>
      <c r="GJ153" s="1"/>
      <c r="GK153" s="1"/>
      <c r="GL153" s="1"/>
      <c r="GM153" s="1"/>
      <c r="GN153" s="1"/>
      <c r="GO153" s="1"/>
      <c r="GP153" s="1"/>
      <c r="GQ153" s="1"/>
      <c r="GR153" s="1"/>
      <c r="GS153" s="1"/>
      <c r="GT153" s="1"/>
      <c r="GU153" s="1"/>
      <c r="GV153" s="1"/>
      <c r="GW153" s="1"/>
      <c r="GX153" s="1"/>
      <c r="GY153" s="1"/>
      <c r="GZ153" s="1"/>
      <c r="HA153" s="1"/>
      <c r="HB153" s="1"/>
      <c r="HC153" s="1"/>
      <c r="HD153" s="1"/>
      <c r="HE153" s="1"/>
      <c r="HF153" s="1"/>
      <c r="HG153" s="1"/>
      <c r="HH153" s="1"/>
      <c r="HI153" s="1"/>
      <c r="HJ153" s="1"/>
      <c r="HK153" s="1"/>
      <c r="HL153" s="1"/>
      <c r="HM153" s="1"/>
      <c r="HN153" s="1"/>
      <c r="HO153" s="1"/>
      <c r="HP153" s="1"/>
      <c r="HQ153" s="1"/>
      <c r="HR153" s="1"/>
      <c r="HS153" s="1"/>
      <c r="HT153" s="1"/>
      <c r="HU153" s="1"/>
      <c r="HV153" s="1"/>
      <c r="HW153" s="1"/>
      <c r="HX153" s="1"/>
      <c r="HY153" s="1"/>
      <c r="HZ153" s="1"/>
      <c r="IA153" s="1"/>
      <c r="IB153" s="1"/>
      <c r="IC153" s="1"/>
      <c r="ID153" s="1"/>
      <c r="IE153" s="1"/>
      <c r="IF153" s="1"/>
      <c r="IG153" s="1"/>
      <c r="IH153" s="1"/>
      <c r="II153" s="1"/>
      <c r="IJ153" s="1"/>
      <c r="IK153" s="1"/>
      <c r="IL153" s="1"/>
      <c r="IM153" s="1"/>
      <c r="IN153" s="1"/>
      <c r="IO153" s="1"/>
      <c r="IP153" s="1"/>
      <c r="IQ153" s="1"/>
      <c r="IR153" s="1"/>
      <c r="IS153" s="1"/>
      <c r="IT153" s="1"/>
      <c r="IU153" s="1"/>
      <c r="IV153" s="1"/>
      <c r="IW153" s="1"/>
      <c r="IX153" s="1"/>
      <c r="IY153" s="1"/>
      <c r="IZ153" s="1"/>
      <c r="JA153" s="1"/>
      <c r="JB153" s="1"/>
      <c r="JC153" s="1"/>
      <c r="JD153" s="1"/>
    </row>
    <row r="154" spans="1:264" s="347" customFormat="1" x14ac:dyDescent="0.2">
      <c r="A154" s="347" t="s">
        <v>271</v>
      </c>
      <c r="B154" s="348" t="s">
        <v>282</v>
      </c>
      <c r="BH154" s="351">
        <f>+BH155-BH153</f>
        <v>21071.309999999998</v>
      </c>
      <c r="BI154" s="351">
        <f>+BI155-BI153</f>
        <v>21401.370000000003</v>
      </c>
      <c r="BJ154" s="351">
        <f>+BJ155-BJ153</f>
        <v>21401.370000000003</v>
      </c>
      <c r="BK154" s="348"/>
      <c r="BL154" s="351">
        <f>+BL155-BL153</f>
        <v>22166.506600000001</v>
      </c>
      <c r="BM154" s="351">
        <f>+BM155-BM153</f>
        <v>22477.513200000001</v>
      </c>
      <c r="BN154" s="351">
        <f>+BN155-BN153</f>
        <v>22477.513200000001</v>
      </c>
      <c r="BO154" s="348"/>
      <c r="BP154" s="351">
        <f>+BP155-BP153</f>
        <v>23904.375</v>
      </c>
      <c r="BQ154" s="351">
        <f>+BQ155-BQ153</f>
        <v>24426.511400000003</v>
      </c>
      <c r="BR154" s="351">
        <f>+BR155-BR153</f>
        <v>24426.511400000003</v>
      </c>
      <c r="BT154" s="351">
        <f>+BT155-BT153</f>
        <v>27049.750000000007</v>
      </c>
      <c r="BU154" s="351">
        <f>+BU155-BU153</f>
        <v>28030.284000000007</v>
      </c>
      <c r="BV154" s="351">
        <f>+BV155-BV153</f>
        <v>28030.284000000007</v>
      </c>
      <c r="BX154" s="351">
        <f>+BX155-BX153</f>
        <v>29371.657299999999</v>
      </c>
      <c r="BY154" s="351">
        <f>+BY155-BY153</f>
        <v>30420.256300000001</v>
      </c>
      <c r="BZ154" s="351">
        <f>+BZ155-BZ153</f>
        <v>30420.256300000001</v>
      </c>
      <c r="CB154" s="351">
        <f>+CB155-CB153</f>
        <v>31223.570699999997</v>
      </c>
      <c r="CC154" s="351">
        <f>+CC155-CC153</f>
        <v>32118.277799999996</v>
      </c>
      <c r="CD154" s="351">
        <f>+CD155-CD153</f>
        <v>32118.277799999996</v>
      </c>
      <c r="CE154" s="393">
        <f>CD154/BZ154-1</f>
        <v>5.5818776911488177E-2</v>
      </c>
      <c r="CF154" s="351">
        <f>+CF155-CF153</f>
        <v>33186.391500000005</v>
      </c>
      <c r="CG154" s="351">
        <f>+CG155-CG153</f>
        <v>33635.175999999999</v>
      </c>
      <c r="CH154" s="351">
        <f>+CH155-CH153</f>
        <v>33635.175999999999</v>
      </c>
      <c r="CI154" s="393">
        <f>CH154/CD154-1</f>
        <v>4.7228503640379005E-2</v>
      </c>
      <c r="CJ154" s="351">
        <f>+CJ155-CJ153</f>
        <v>33994.753100000002</v>
      </c>
      <c r="CK154" s="351">
        <f>+CK155-CK153</f>
        <v>33567.668500000007</v>
      </c>
      <c r="CL154" s="351">
        <f>+CL155-CL153</f>
        <v>33567.668500000007</v>
      </c>
      <c r="CM154" s="393">
        <f>CL154/CH154-1</f>
        <v>-2.0070505948889261E-3</v>
      </c>
      <c r="CN154" s="351">
        <f>+CN155-CN153</f>
        <v>34192.001800000005</v>
      </c>
      <c r="CO154" s="351">
        <f>+CO155-CO153</f>
        <v>35452.740000000005</v>
      </c>
      <c r="CP154" s="351">
        <f>+CP155-CP153</f>
        <v>35452.740000000005</v>
      </c>
      <c r="CQ154" s="393">
        <f>CP154/CL154-1</f>
        <v>5.6157355700769074E-2</v>
      </c>
      <c r="CR154" s="351">
        <f>+CR155-CR153</f>
        <v>36188.340000000011</v>
      </c>
      <c r="CS154" s="351">
        <f>+CS155-CS153</f>
        <v>36780.07680000001</v>
      </c>
      <c r="CT154" s="351">
        <f>+CT155-CT153</f>
        <v>36780.07680000001</v>
      </c>
      <c r="CU154" s="393">
        <f>CT154/CP154-1</f>
        <v>3.7439611155583474E-2</v>
      </c>
      <c r="CV154" s="351">
        <f>+CV155-CV153</f>
        <v>37020.084199999998</v>
      </c>
      <c r="CW154" s="351">
        <f>+CW155-CW153</f>
        <v>37474.142699999997</v>
      </c>
      <c r="CX154" s="351">
        <f>+CX155-CX153</f>
        <v>37474.142699999997</v>
      </c>
      <c r="CY154" s="393">
        <f>CX154/CT154-1</f>
        <v>1.8870702847471721E-2</v>
      </c>
      <c r="CZ154" s="351">
        <f>+CZ155-CZ153</f>
        <v>37022.778000000006</v>
      </c>
      <c r="DA154" s="351">
        <f>+DA155-DA153</f>
        <v>37414.338599999988</v>
      </c>
      <c r="DB154" s="351">
        <f>+DB155-DB153</f>
        <v>37414.338599999988</v>
      </c>
      <c r="DC154" s="393">
        <f>DB154/CX154-1</f>
        <v>-1.5958764014635252E-3</v>
      </c>
      <c r="DD154" s="351">
        <f>+DD155-DD153</f>
        <v>38065.08660000001</v>
      </c>
      <c r="DE154" s="351">
        <f>+DE155-DE153</f>
        <v>38501.369200000001</v>
      </c>
      <c r="DF154" s="351">
        <f>+DF155-DF153</f>
        <v>38501.369200000001</v>
      </c>
      <c r="DG154" s="393">
        <f>DF154/DB154-1</f>
        <v>2.9053850493564903E-2</v>
      </c>
      <c r="DH154" s="351">
        <f>+DH155-DH153</f>
        <v>39565.94200000001</v>
      </c>
      <c r="DI154" s="351">
        <f>+DH154*(1+DI158)</f>
        <v>40159.431130000004</v>
      </c>
      <c r="DJ154" s="351">
        <f>+DJ155-DJ153</f>
        <v>40159.431130000012</v>
      </c>
      <c r="DK154" s="393">
        <f>DJ154/DF154-1</f>
        <v>4.3065012087934118E-2</v>
      </c>
      <c r="DL154" s="351">
        <f>+DI154*(1+DL158)</f>
        <v>40761.822596949998</v>
      </c>
      <c r="DM154" s="351">
        <f>+DL154*(1+DM158)</f>
        <v>41373.249935904241</v>
      </c>
      <c r="DN154" s="351">
        <f>+DN155-DN153</f>
        <v>41373.249935904241</v>
      </c>
      <c r="DO154" s="393">
        <f>DN154/DJ154-1</f>
        <v>3.0224999999999502E-2</v>
      </c>
      <c r="DP154" s="351">
        <f>+DM154*(1+DP158)</f>
        <v>41993.848684942801</v>
      </c>
      <c r="DQ154" s="351">
        <f>+DP154*(1+DQ158)</f>
        <v>42623.756415216936</v>
      </c>
      <c r="DR154" s="351">
        <f>+DR155-DR153</f>
        <v>42623.756415216936</v>
      </c>
      <c r="DS154" s="393">
        <f>DR154/DN154-1</f>
        <v>3.0224999999999724E-2</v>
      </c>
      <c r="DT154" s="1"/>
      <c r="DU154" s="1"/>
      <c r="DV154" s="1"/>
      <c r="DW154" s="1"/>
      <c r="DX154" s="1"/>
      <c r="DY154" s="1"/>
      <c r="DZ154" s="1"/>
      <c r="EA154" s="1"/>
      <c r="EB154" s="1"/>
      <c r="EC154" s="1"/>
      <c r="ED154" s="1"/>
      <c r="EE154" s="1"/>
      <c r="EF154" s="1"/>
      <c r="EG154" s="1"/>
      <c r="EH154" s="1"/>
      <c r="EI154" s="1"/>
      <c r="EJ154" s="1"/>
      <c r="EK154" s="1"/>
      <c r="EL154" s="1"/>
      <c r="EM154" s="1"/>
      <c r="EN154" s="1"/>
      <c r="EO154" s="1"/>
      <c r="EP154" s="1"/>
      <c r="EQ154" s="1"/>
      <c r="ER154" s="1"/>
      <c r="ES154" s="1"/>
      <c r="ET154" s="1"/>
      <c r="EU154" s="1"/>
      <c r="EV154" s="1"/>
      <c r="EW154" s="1"/>
      <c r="EX154" s="1"/>
      <c r="EY154" s="1"/>
      <c r="EZ154" s="1"/>
      <c r="FA154" s="1"/>
      <c r="FB154" s="1"/>
      <c r="FC154" s="1"/>
      <c r="FD154" s="1"/>
      <c r="FE154" s="1"/>
      <c r="FF154" s="1"/>
      <c r="FG154" s="1"/>
      <c r="FH154" s="1"/>
      <c r="FI154" s="1"/>
      <c r="FJ154" s="1"/>
      <c r="FK154" s="1"/>
      <c r="FL154" s="1"/>
      <c r="FM154" s="1"/>
      <c r="FN154" s="1"/>
      <c r="FO154" s="1"/>
      <c r="FP154" s="1"/>
      <c r="FQ154" s="1"/>
      <c r="FR154" s="1"/>
      <c r="FS154" s="1"/>
      <c r="FT154" s="1"/>
      <c r="FU154" s="1"/>
      <c r="FV154" s="1"/>
      <c r="FW154" s="1"/>
      <c r="FX154" s="1"/>
      <c r="FY154" s="1"/>
      <c r="FZ154" s="1"/>
      <c r="GA154" s="1"/>
      <c r="GB154" s="1"/>
      <c r="GC154" s="1"/>
      <c r="GD154" s="1"/>
      <c r="GE154" s="1"/>
      <c r="GF154" s="1"/>
      <c r="GG154" s="1"/>
      <c r="GH154" s="1"/>
      <c r="GI154" s="1"/>
      <c r="GJ154" s="1"/>
      <c r="GK154" s="1"/>
      <c r="GL154" s="1"/>
      <c r="GM154" s="1"/>
      <c r="GN154" s="1"/>
      <c r="GO154" s="1"/>
      <c r="GP154" s="1"/>
      <c r="GQ154" s="1"/>
      <c r="GR154" s="1"/>
      <c r="GS154" s="1"/>
      <c r="GT154" s="1"/>
      <c r="GU154" s="1"/>
      <c r="GV154" s="1"/>
      <c r="GW154" s="1"/>
      <c r="GX154" s="1"/>
      <c r="GY154" s="1"/>
      <c r="GZ154" s="1"/>
      <c r="HA154" s="1"/>
      <c r="HB154" s="1"/>
      <c r="HC154" s="1"/>
      <c r="HD154" s="1"/>
      <c r="HE154" s="1"/>
      <c r="HF154" s="1"/>
      <c r="HG154" s="1"/>
      <c r="HH154" s="1"/>
      <c r="HI154" s="1"/>
      <c r="HJ154" s="1"/>
      <c r="HK154" s="1"/>
      <c r="HL154" s="1"/>
      <c r="HM154" s="1"/>
      <c r="HN154" s="1"/>
      <c r="HO154" s="1"/>
      <c r="HP154" s="1"/>
      <c r="HQ154" s="1"/>
      <c r="HR154" s="1"/>
      <c r="HS154" s="1"/>
      <c r="HT154" s="1"/>
      <c r="HU154" s="1"/>
      <c r="HV154" s="1"/>
      <c r="HW154" s="1"/>
      <c r="HX154" s="1"/>
      <c r="HY154" s="1"/>
      <c r="HZ154" s="1"/>
      <c r="IA154" s="1"/>
      <c r="IB154" s="1"/>
      <c r="IC154" s="1"/>
      <c r="ID154" s="1"/>
      <c r="IE154" s="1"/>
      <c r="IF154" s="1"/>
      <c r="IG154" s="1"/>
      <c r="IH154" s="1"/>
      <c r="II154" s="1"/>
      <c r="IJ154" s="1"/>
      <c r="IK154" s="1"/>
      <c r="IL154" s="1"/>
      <c r="IM154" s="1"/>
      <c r="IN154" s="1"/>
      <c r="IO154" s="1"/>
      <c r="IP154" s="1"/>
      <c r="IQ154" s="1"/>
      <c r="IR154" s="1"/>
      <c r="IS154" s="1"/>
      <c r="IT154" s="1"/>
      <c r="IU154" s="1"/>
      <c r="IV154" s="1"/>
      <c r="IW154" s="1"/>
      <c r="IX154" s="1"/>
      <c r="IY154" s="1"/>
      <c r="IZ154" s="1"/>
      <c r="JA154" s="1"/>
      <c r="JB154" s="1"/>
      <c r="JC154" s="1"/>
      <c r="JD154" s="1"/>
    </row>
    <row r="155" spans="1:264" s="347" customFormat="1" x14ac:dyDescent="0.2">
      <c r="A155" s="411" t="s">
        <v>272</v>
      </c>
      <c r="B155" s="348" t="s">
        <v>282</v>
      </c>
      <c r="BH155" s="397">
        <f>+BH146*BH$151</f>
        <v>59751.223999999995</v>
      </c>
      <c r="BI155" s="397">
        <f>+BI146*BI$151</f>
        <v>61712.324000000001</v>
      </c>
      <c r="BJ155" s="397">
        <f>BI155</f>
        <v>61712.324000000001</v>
      </c>
      <c r="BK155" s="348"/>
      <c r="BL155" s="397">
        <f>+BL146*BL$151</f>
        <v>63148.137000000002</v>
      </c>
      <c r="BM155" s="397">
        <f>+BM146*BM$151</f>
        <v>64058.652600000001</v>
      </c>
      <c r="BN155" s="397">
        <f>BM155</f>
        <v>64058.652600000001</v>
      </c>
      <c r="BO155" s="348"/>
      <c r="BP155" s="397">
        <f>+BP146*BP$151</f>
        <v>66088.934999999998</v>
      </c>
      <c r="BQ155" s="397">
        <f>+BQ146*BQ$151</f>
        <v>66143.252000000008</v>
      </c>
      <c r="BR155" s="397">
        <f>BQ155</f>
        <v>66143.252000000008</v>
      </c>
      <c r="BT155" s="397">
        <f>+BT146*BT$151</f>
        <v>72710.794000000009</v>
      </c>
      <c r="BU155" s="397">
        <f>+BU146*BU$151</f>
        <v>75815.364000000001</v>
      </c>
      <c r="BV155" s="397">
        <f>BU155</f>
        <v>75815.364000000001</v>
      </c>
      <c r="BX155" s="397">
        <f>+BX146*BX$151</f>
        <v>79618.694399999993</v>
      </c>
      <c r="BY155" s="397">
        <f>+BY146*BY$151</f>
        <v>81546.349499999997</v>
      </c>
      <c r="BZ155" s="397">
        <f>BY155</f>
        <v>81546.349499999997</v>
      </c>
      <c r="CB155" s="397">
        <f>+CB146*CB$151</f>
        <v>83803.584900000002</v>
      </c>
      <c r="CC155" s="397">
        <f>+CC146*CC$151</f>
        <v>86036.010299999994</v>
      </c>
      <c r="CD155" s="397">
        <f>CC155</f>
        <v>86036.010299999994</v>
      </c>
      <c r="CE155" s="393">
        <f>CD155/BZ155-1</f>
        <v>5.5056551611792237E-2</v>
      </c>
      <c r="CF155" s="397">
        <f>+CF146*CF$151</f>
        <v>88522.630500000014</v>
      </c>
      <c r="CG155" s="397">
        <f>+CG146*CG$151</f>
        <v>90829.41</v>
      </c>
      <c r="CH155" s="397">
        <f>CG155</f>
        <v>90829.41</v>
      </c>
      <c r="CI155" s="393">
        <f>CH155/CD155-1</f>
        <v>5.5713877053176208E-2</v>
      </c>
      <c r="CJ155" s="397">
        <f>+CJ146*CJ$151</f>
        <v>92862.852599999998</v>
      </c>
      <c r="CK155" s="397">
        <f>+CK146*CK$151</f>
        <v>93902.119000000006</v>
      </c>
      <c r="CL155" s="397">
        <f>CK155</f>
        <v>93902.119000000006</v>
      </c>
      <c r="CM155" s="393">
        <f>CL155/CH155-1</f>
        <v>3.3829450174783782E-2</v>
      </c>
      <c r="CN155" s="397">
        <f>+CN146*CN$151</f>
        <v>98643.082500000004</v>
      </c>
      <c r="CO155" s="397">
        <f>+CO146*CO$151</f>
        <v>103132.99800000001</v>
      </c>
      <c r="CP155" s="397">
        <f>CO155</f>
        <v>103132.99800000001</v>
      </c>
      <c r="CQ155" s="393">
        <f>CP155/CL155-1</f>
        <v>9.8303202295147329E-2</v>
      </c>
      <c r="CR155" s="397">
        <f>+CR146*CR$151</f>
        <v>106065.3144</v>
      </c>
      <c r="CS155" s="397">
        <f>+CS146*CS$151</f>
        <v>108834.3024</v>
      </c>
      <c r="CT155" s="397">
        <f>CS155</f>
        <v>108834.3024</v>
      </c>
      <c r="CU155" s="393">
        <f>CT155/CP155-1</f>
        <v>5.5281088599790307E-2</v>
      </c>
      <c r="CV155" s="397">
        <f>+CV146*CV$151</f>
        <v>110460.2686</v>
      </c>
      <c r="CW155" s="397">
        <f>+CW146*CW$151</f>
        <v>111564.5325</v>
      </c>
      <c r="CX155" s="397">
        <f>CW155</f>
        <v>111564.5325</v>
      </c>
      <c r="CY155" s="393">
        <f>CX155/CT155-1</f>
        <v>2.5086117518037243E-2</v>
      </c>
      <c r="CZ155" s="397">
        <f>+CZ146*CZ$151</f>
        <v>110644.23240000001</v>
      </c>
      <c r="DA155" s="397">
        <f>+DA146*DA$151</f>
        <v>112029.90029999999</v>
      </c>
      <c r="DB155" s="397">
        <f>DA155</f>
        <v>112029.90029999999</v>
      </c>
      <c r="DC155" s="393">
        <f>DB155/CX155-1</f>
        <v>4.1712880390547546E-3</v>
      </c>
      <c r="DD155" s="397">
        <f>+DD146*DD$151</f>
        <v>115012.36780000001</v>
      </c>
      <c r="DE155" s="397">
        <f>+DE146*DE$151</f>
        <v>118109.47960000001</v>
      </c>
      <c r="DF155" s="397">
        <f>DE155</f>
        <v>118109.47960000001</v>
      </c>
      <c r="DG155" s="393">
        <f>DF155/DB155-1</f>
        <v>5.4267470413878582E-2</v>
      </c>
      <c r="DH155" s="397">
        <f>+DH146*DH$151</f>
        <v>122354.47100000001</v>
      </c>
      <c r="DI155" s="397">
        <f>SUM(DI153:DI154)</f>
        <v>125431.61600000001</v>
      </c>
      <c r="DJ155" s="397">
        <f>DI155</f>
        <v>125431.61600000001</v>
      </c>
      <c r="DK155" s="393">
        <f>DJ155/DF155-1</f>
        <v>6.1994485326646087E-2</v>
      </c>
      <c r="DL155" s="397">
        <f>SUM(DL153:DL154)</f>
        <v>127952.63162652499</v>
      </c>
      <c r="DM155" s="397">
        <f>SUM(DM153:DM154)</f>
        <v>130525.85216864468</v>
      </c>
      <c r="DN155" s="397">
        <f>DM155</f>
        <v>130525.85216864468</v>
      </c>
      <c r="DO155" s="393">
        <f>DN155/DJ155-1</f>
        <v>4.0613653328397392E-2</v>
      </c>
      <c r="DP155" s="397">
        <f>SUM(DP153:DP154)</f>
        <v>132483.73995117433</v>
      </c>
      <c r="DQ155" s="397">
        <f>SUM(DQ153:DQ154)</f>
        <v>134470.99605044193</v>
      </c>
      <c r="DR155" s="397">
        <f>DQ155</f>
        <v>134470.99605044193</v>
      </c>
      <c r="DS155" s="393">
        <f>DR155/DN155-1</f>
        <v>3.0224999999999724E-2</v>
      </c>
      <c r="DT155" s="1"/>
      <c r="DU155" s="1"/>
      <c r="DV155" s="1"/>
      <c r="DW155" s="1"/>
      <c r="DX155" s="1"/>
      <c r="DY155" s="1"/>
      <c r="DZ155" s="1"/>
      <c r="EA155" s="1"/>
      <c r="EB155" s="1"/>
      <c r="EC155" s="1"/>
      <c r="ED155" s="1"/>
      <c r="EE155" s="1"/>
      <c r="EF155" s="1"/>
      <c r="EG155" s="1"/>
      <c r="EH155" s="1"/>
      <c r="EI155" s="1"/>
      <c r="EJ155" s="1"/>
      <c r="EK155" s="1"/>
      <c r="EL155" s="1"/>
      <c r="EM155" s="1"/>
      <c r="EN155" s="1"/>
      <c r="EO155" s="1"/>
      <c r="EP155" s="1"/>
      <c r="EQ155" s="1"/>
      <c r="ER155" s="1"/>
      <c r="ES155" s="1"/>
      <c r="ET155" s="1"/>
      <c r="EU155" s="1"/>
      <c r="EV155" s="1"/>
      <c r="EW155" s="1"/>
      <c r="EX155" s="1"/>
      <c r="EY155" s="1"/>
      <c r="EZ155" s="1"/>
      <c r="FA155" s="1"/>
      <c r="FB155" s="1"/>
      <c r="FC155" s="1"/>
      <c r="FD155" s="1"/>
      <c r="FE155" s="1"/>
      <c r="FF155" s="1"/>
      <c r="FG155" s="1"/>
      <c r="FH155" s="1"/>
      <c r="FI155" s="1"/>
      <c r="FJ155" s="1"/>
      <c r="FK155" s="1"/>
      <c r="FL155" s="1"/>
      <c r="FM155" s="1"/>
      <c r="FN155" s="1"/>
      <c r="FO155" s="1"/>
      <c r="FP155" s="1"/>
      <c r="FQ155" s="1"/>
      <c r="FR155" s="1"/>
      <c r="FS155" s="1"/>
      <c r="FT155" s="1"/>
      <c r="FU155" s="1"/>
      <c r="FV155" s="1"/>
      <c r="FW155" s="1"/>
      <c r="FX155" s="1"/>
      <c r="FY155" s="1"/>
      <c r="FZ155" s="1"/>
      <c r="GA155" s="1"/>
      <c r="GB155" s="1"/>
      <c r="GC155" s="1"/>
      <c r="GD155" s="1"/>
      <c r="GE155" s="1"/>
      <c r="GF155" s="1"/>
      <c r="GG155" s="1"/>
      <c r="GH155" s="1"/>
      <c r="GI155" s="1"/>
      <c r="GJ155" s="1"/>
      <c r="GK155" s="1"/>
      <c r="GL155" s="1"/>
      <c r="GM155" s="1"/>
      <c r="GN155" s="1"/>
      <c r="GO155" s="1"/>
      <c r="GP155" s="1"/>
      <c r="GQ155" s="1"/>
      <c r="GR155" s="1"/>
      <c r="GS155" s="1"/>
      <c r="GT155" s="1"/>
      <c r="GU155" s="1"/>
      <c r="GV155" s="1"/>
      <c r="GW155" s="1"/>
      <c r="GX155" s="1"/>
      <c r="GY155" s="1"/>
      <c r="GZ155" s="1"/>
      <c r="HA155" s="1"/>
      <c r="HB155" s="1"/>
      <c r="HC155" s="1"/>
      <c r="HD155" s="1"/>
      <c r="HE155" s="1"/>
      <c r="HF155" s="1"/>
      <c r="HG155" s="1"/>
      <c r="HH155" s="1"/>
      <c r="HI155" s="1"/>
      <c r="HJ155" s="1"/>
      <c r="HK155" s="1"/>
      <c r="HL155" s="1"/>
      <c r="HM155" s="1"/>
      <c r="HN155" s="1"/>
      <c r="HO155" s="1"/>
      <c r="HP155" s="1"/>
      <c r="HQ155" s="1"/>
      <c r="HR155" s="1"/>
      <c r="HS155" s="1"/>
      <c r="HT155" s="1"/>
      <c r="HU155" s="1"/>
      <c r="HV155" s="1"/>
      <c r="HW155" s="1"/>
      <c r="HX155" s="1"/>
      <c r="HY155" s="1"/>
      <c r="HZ155" s="1"/>
      <c r="IA155" s="1"/>
      <c r="IB155" s="1"/>
      <c r="IC155" s="1"/>
      <c r="ID155" s="1"/>
      <c r="IE155" s="1"/>
      <c r="IF155" s="1"/>
      <c r="IG155" s="1"/>
      <c r="IH155" s="1"/>
      <c r="II155" s="1"/>
      <c r="IJ155" s="1"/>
      <c r="IK155" s="1"/>
      <c r="IL155" s="1"/>
      <c r="IM155" s="1"/>
      <c r="IN155" s="1"/>
      <c r="IO155" s="1"/>
      <c r="IP155" s="1"/>
      <c r="IQ155" s="1"/>
      <c r="IR155" s="1"/>
      <c r="IS155" s="1"/>
      <c r="IT155" s="1"/>
      <c r="IU155" s="1"/>
      <c r="IV155" s="1"/>
      <c r="IW155" s="1"/>
      <c r="IX155" s="1"/>
      <c r="IY155" s="1"/>
      <c r="IZ155" s="1"/>
      <c r="JA155" s="1"/>
      <c r="JB155" s="1"/>
      <c r="JC155" s="1"/>
      <c r="JD155" s="1"/>
    </row>
    <row r="156" spans="1:264" s="347" customFormat="1" x14ac:dyDescent="0.2">
      <c r="A156" s="424" t="s">
        <v>273</v>
      </c>
      <c r="B156" s="348"/>
      <c r="BH156" s="398"/>
      <c r="BI156" s="348"/>
      <c r="BJ156" s="348"/>
      <c r="BK156" s="348"/>
      <c r="BL156" s="398"/>
      <c r="BM156" s="348"/>
      <c r="BN156" s="348"/>
      <c r="BO156" s="348"/>
      <c r="BP156" s="398"/>
      <c r="BQ156" s="348"/>
      <c r="BR156" s="348"/>
      <c r="BT156" s="398"/>
      <c r="BU156" s="348"/>
      <c r="BV156" s="348"/>
      <c r="BX156" s="398"/>
      <c r="BY156" s="348"/>
      <c r="BZ156" s="348"/>
      <c r="CB156" s="398"/>
      <c r="CC156" s="348"/>
      <c r="CD156" s="348"/>
      <c r="CF156" s="398"/>
      <c r="CG156" s="348"/>
      <c r="CH156" s="348"/>
      <c r="CJ156" s="398"/>
      <c r="CK156" s="348"/>
      <c r="CL156" s="348"/>
      <c r="CN156" s="398"/>
      <c r="CO156" s="348"/>
      <c r="CP156" s="348"/>
      <c r="CR156" s="398"/>
      <c r="CS156" s="348"/>
      <c r="CT156" s="348"/>
      <c r="CV156" s="398"/>
      <c r="CW156" s="348"/>
      <c r="CX156" s="348"/>
      <c r="CZ156" s="398"/>
      <c r="DA156" s="348"/>
      <c r="DB156" s="348"/>
      <c r="DD156" s="398"/>
      <c r="DE156" s="348"/>
      <c r="DF156" s="348"/>
      <c r="DH156" s="398"/>
      <c r="DI156" s="348"/>
      <c r="DJ156" s="348"/>
      <c r="DL156" s="348"/>
      <c r="DM156" s="348"/>
      <c r="DN156" s="348"/>
      <c r="DP156" s="348"/>
      <c r="DQ156" s="348"/>
      <c r="DR156" s="348"/>
      <c r="DT156" s="1"/>
      <c r="DU156" s="1"/>
      <c r="DV156" s="1"/>
      <c r="DW156" s="1"/>
      <c r="DX156" s="1"/>
      <c r="DY156" s="1"/>
      <c r="DZ156" s="1"/>
      <c r="EA156" s="1"/>
      <c r="EB156" s="1"/>
      <c r="EC156" s="1"/>
      <c r="ED156" s="1"/>
      <c r="EE156" s="1"/>
      <c r="EF156" s="1"/>
      <c r="EG156" s="1"/>
      <c r="EH156" s="1"/>
      <c r="EI156" s="1"/>
      <c r="EJ156" s="1"/>
      <c r="EK156" s="1"/>
      <c r="EL156" s="1"/>
      <c r="EM156" s="1"/>
      <c r="EN156" s="1"/>
      <c r="EO156" s="1"/>
      <c r="EP156" s="1"/>
      <c r="EQ156" s="1"/>
      <c r="ER156" s="1"/>
      <c r="ES156" s="1"/>
      <c r="ET156" s="1"/>
      <c r="EU156" s="1"/>
      <c r="EV156" s="1"/>
      <c r="EW156" s="1"/>
      <c r="EX156" s="1"/>
      <c r="EY156" s="1"/>
      <c r="EZ156" s="1"/>
      <c r="FA156" s="1"/>
      <c r="FB156" s="1"/>
      <c r="FC156" s="1"/>
      <c r="FD156" s="1"/>
      <c r="FE156" s="1"/>
      <c r="FF156" s="1"/>
      <c r="FG156" s="1"/>
      <c r="FH156" s="1"/>
      <c r="FI156" s="1"/>
      <c r="FJ156" s="1"/>
      <c r="FK156" s="1"/>
      <c r="FL156" s="1"/>
      <c r="FM156" s="1"/>
      <c r="FN156" s="1"/>
      <c r="FO156" s="1"/>
      <c r="FP156" s="1"/>
      <c r="FQ156" s="1"/>
      <c r="FR156" s="1"/>
      <c r="FS156" s="1"/>
      <c r="FT156" s="1"/>
      <c r="FU156" s="1"/>
      <c r="FV156" s="1"/>
      <c r="FW156" s="1"/>
      <c r="FX156" s="1"/>
      <c r="FY156" s="1"/>
      <c r="FZ156" s="1"/>
      <c r="GA156" s="1"/>
      <c r="GB156" s="1"/>
      <c r="GC156" s="1"/>
      <c r="GD156" s="1"/>
      <c r="GE156" s="1"/>
      <c r="GF156" s="1"/>
      <c r="GG156" s="1"/>
      <c r="GH156" s="1"/>
      <c r="GI156" s="1"/>
      <c r="GJ156" s="1"/>
      <c r="GK156" s="1"/>
      <c r="GL156" s="1"/>
      <c r="GM156" s="1"/>
      <c r="GN156" s="1"/>
      <c r="GO156" s="1"/>
      <c r="GP156" s="1"/>
      <c r="GQ156" s="1"/>
      <c r="GR156" s="1"/>
      <c r="GS156" s="1"/>
      <c r="GT156" s="1"/>
      <c r="GU156" s="1"/>
      <c r="GV156" s="1"/>
      <c r="GW156" s="1"/>
      <c r="GX156" s="1"/>
      <c r="GY156" s="1"/>
      <c r="GZ156" s="1"/>
      <c r="HA156" s="1"/>
      <c r="HB156" s="1"/>
      <c r="HC156" s="1"/>
      <c r="HD156" s="1"/>
      <c r="HE156" s="1"/>
      <c r="HF156" s="1"/>
      <c r="HG156" s="1"/>
      <c r="HH156" s="1"/>
      <c r="HI156" s="1"/>
      <c r="HJ156" s="1"/>
      <c r="HK156" s="1"/>
      <c r="HL156" s="1"/>
      <c r="HM156" s="1"/>
      <c r="HN156" s="1"/>
      <c r="HO156" s="1"/>
      <c r="HP156" s="1"/>
      <c r="HQ156" s="1"/>
      <c r="HR156" s="1"/>
      <c r="HS156" s="1"/>
      <c r="HT156" s="1"/>
      <c r="HU156" s="1"/>
      <c r="HV156" s="1"/>
      <c r="HW156" s="1"/>
      <c r="HX156" s="1"/>
      <c r="HY156" s="1"/>
      <c r="HZ156" s="1"/>
      <c r="IA156" s="1"/>
      <c r="IB156" s="1"/>
      <c r="IC156" s="1"/>
      <c r="ID156" s="1"/>
      <c r="IE156" s="1"/>
      <c r="IF156" s="1"/>
      <c r="IG156" s="1"/>
      <c r="IH156" s="1"/>
      <c r="II156" s="1"/>
      <c r="IJ156" s="1"/>
      <c r="IK156" s="1"/>
      <c r="IL156" s="1"/>
      <c r="IM156" s="1"/>
      <c r="IN156" s="1"/>
      <c r="IO156" s="1"/>
      <c r="IP156" s="1"/>
      <c r="IQ156" s="1"/>
      <c r="IR156" s="1"/>
      <c r="IS156" s="1"/>
      <c r="IT156" s="1"/>
      <c r="IU156" s="1"/>
      <c r="IV156" s="1"/>
      <c r="IW156" s="1"/>
      <c r="IX156" s="1"/>
      <c r="IY156" s="1"/>
      <c r="IZ156" s="1"/>
      <c r="JA156" s="1"/>
      <c r="JB156" s="1"/>
      <c r="JC156" s="1"/>
      <c r="JD156" s="1"/>
    </row>
    <row r="157" spans="1:264" s="347" customFormat="1" x14ac:dyDescent="0.2">
      <c r="A157" s="436" t="str">
        <f>+A153</f>
        <v>Housing Loans</v>
      </c>
      <c r="B157" s="437" t="s">
        <v>236</v>
      </c>
      <c r="C157" s="463"/>
      <c r="D157" s="463"/>
      <c r="E157" s="463"/>
      <c r="F157" s="463"/>
      <c r="G157" s="463"/>
      <c r="H157" s="463"/>
      <c r="I157" s="463"/>
      <c r="J157" s="463"/>
      <c r="K157" s="463"/>
      <c r="L157" s="463"/>
      <c r="M157" s="463"/>
      <c r="N157" s="463"/>
      <c r="O157" s="463"/>
      <c r="P157" s="463"/>
      <c r="Q157" s="463"/>
      <c r="R157" s="463"/>
      <c r="S157" s="463"/>
      <c r="T157" s="463"/>
      <c r="U157" s="463"/>
      <c r="V157" s="463"/>
      <c r="W157" s="463"/>
      <c r="X157" s="463"/>
      <c r="Y157" s="463"/>
      <c r="Z157" s="463"/>
      <c r="AA157" s="463"/>
      <c r="AB157" s="463"/>
      <c r="AC157" s="463"/>
      <c r="AD157" s="463"/>
      <c r="AE157" s="463"/>
      <c r="AF157" s="463"/>
      <c r="AG157" s="463"/>
      <c r="AH157" s="463"/>
      <c r="AI157" s="463"/>
      <c r="AJ157" s="463"/>
      <c r="AK157" s="463"/>
      <c r="AL157" s="463"/>
      <c r="AM157" s="463"/>
      <c r="AN157" s="463"/>
      <c r="AO157" s="463"/>
      <c r="AP157" s="463"/>
      <c r="AQ157" s="463"/>
      <c r="AR157" s="463"/>
      <c r="AS157" s="463"/>
      <c r="AT157" s="463"/>
      <c r="AU157" s="463"/>
      <c r="AV157" s="463"/>
      <c r="AW157" s="463"/>
      <c r="AX157" s="463"/>
      <c r="AY157" s="463"/>
      <c r="AZ157" s="463"/>
      <c r="BA157" s="463"/>
      <c r="BB157" s="463"/>
      <c r="BC157" s="463"/>
      <c r="BD157" s="463"/>
      <c r="BE157" s="463"/>
      <c r="BF157" s="463"/>
      <c r="BG157" s="463"/>
      <c r="BH157" s="464"/>
      <c r="BI157" s="465">
        <f>+BI153/BH153-1</f>
        <v>4.21676221927485E-2</v>
      </c>
      <c r="BJ157" s="466"/>
      <c r="BK157" s="466"/>
      <c r="BL157" s="465">
        <f>+BL153/BI153-1</f>
        <v>1.6637572010823831E-2</v>
      </c>
      <c r="BM157" s="465">
        <f>+BM153/BL153-1</f>
        <v>1.4628724971371465E-2</v>
      </c>
      <c r="BN157" s="466"/>
      <c r="BO157" s="466"/>
      <c r="BP157" s="465">
        <f>+BP153/BM153-1</f>
        <v>1.4511882279012234E-2</v>
      </c>
      <c r="BQ157" s="465">
        <f>+BQ153/BP153-1</f>
        <v>-1.1089825282046162E-2</v>
      </c>
      <c r="BR157" s="466"/>
      <c r="BS157" s="463"/>
      <c r="BT157" s="465">
        <f>+BT153/BQ153-1</f>
        <v>9.454965424599826E-2</v>
      </c>
      <c r="BU157" s="465">
        <f>+BU153/BT153-1</f>
        <v>4.6517464646668838E-2</v>
      </c>
      <c r="BV157" s="466"/>
      <c r="BW157" s="463"/>
      <c r="BX157" s="465">
        <f>+BX153/BU153-1</f>
        <v>5.1521460254958296E-2</v>
      </c>
      <c r="BY157" s="465">
        <f>+BY153/BX153-1</f>
        <v>1.7494685273691468E-2</v>
      </c>
      <c r="BZ157" s="466"/>
      <c r="CA157" s="463"/>
      <c r="CB157" s="465">
        <f>+CB153/BY153-1</f>
        <v>2.8437944481938482E-2</v>
      </c>
      <c r="CC157" s="465">
        <f>+CC153/CB153-1</f>
        <v>2.5441573577969834E-2</v>
      </c>
      <c r="CD157" s="466"/>
      <c r="CE157" s="463"/>
      <c r="CF157" s="465">
        <f>+CF153/CC153-1</f>
        <v>2.6308719492237786E-2</v>
      </c>
      <c r="CG157" s="465">
        <f>+CG153/CF153-1</f>
        <v>3.3576459722895136E-2</v>
      </c>
      <c r="CH157" s="466"/>
      <c r="CI157" s="463"/>
      <c r="CJ157" s="465">
        <f>+CJ153/CG153-1</f>
        <v>2.9266333036298553E-2</v>
      </c>
      <c r="CK157" s="465">
        <f>+CK153/CJ153-1</f>
        <v>2.4909093591513054E-2</v>
      </c>
      <c r="CL157" s="466"/>
      <c r="CM157" s="463"/>
      <c r="CN157" s="465">
        <f>+CN153/CK153-1</f>
        <v>6.8230176389855401E-2</v>
      </c>
      <c r="CO157" s="465">
        <f>+CO153/CN153-1</f>
        <v>5.0102764219436935E-2</v>
      </c>
      <c r="CP157" s="466"/>
      <c r="CQ157" s="463"/>
      <c r="CR157" s="465">
        <f>+CR153/CO153-1</f>
        <v>3.2457269888066742E-2</v>
      </c>
      <c r="CS157" s="465">
        <f>+CS153/CR153-1</f>
        <v>3.1158349637988803E-2</v>
      </c>
      <c r="CT157" s="466"/>
      <c r="CU157" s="463"/>
      <c r="CV157" s="465">
        <f>+CV153/CS153-1</f>
        <v>1.9234941302318509E-2</v>
      </c>
      <c r="CW157" s="465">
        <f>+CW153/CV153-1</f>
        <v>8.8535371379052652E-3</v>
      </c>
      <c r="CX157" s="466"/>
      <c r="CY157" s="463"/>
      <c r="CZ157" s="465">
        <f>+CZ153/CW153-1</f>
        <v>-6.3292338084041111E-3</v>
      </c>
      <c r="DA157" s="465">
        <f>+DA153/CZ153-1</f>
        <v>1.3502956551208811E-2</v>
      </c>
      <c r="DB157" s="466"/>
      <c r="DC157" s="463"/>
      <c r="DD157" s="465">
        <f>+DD153/DA153-1</f>
        <v>3.1249774804013697E-2</v>
      </c>
      <c r="DE157" s="465">
        <f>+DE153/DD153-1</f>
        <v>3.4579898841182288E-2</v>
      </c>
      <c r="DF157" s="466"/>
      <c r="DG157" s="463"/>
      <c r="DH157" s="465">
        <f>+DH153/DE153-1</f>
        <v>3.9950936958804917E-2</v>
      </c>
      <c r="DI157" s="468">
        <v>0.03</v>
      </c>
      <c r="DJ157" s="446"/>
      <c r="DK157" s="447"/>
      <c r="DL157" s="468">
        <v>2.2499999999999999E-2</v>
      </c>
      <c r="DM157" s="468">
        <v>2.2499999999999999E-2</v>
      </c>
      <c r="DN157" s="446"/>
      <c r="DO157" s="463"/>
      <c r="DP157" s="468">
        <v>1.4999999999999999E-2</v>
      </c>
      <c r="DQ157" s="468">
        <v>1.4999999999999999E-2</v>
      </c>
      <c r="DR157" s="466"/>
      <c r="DS157" s="463"/>
      <c r="DT157" s="1"/>
      <c r="DU157" s="1"/>
      <c r="DV157" s="1"/>
      <c r="DW157" s="1"/>
      <c r="DX157" s="1"/>
      <c r="DY157" s="1"/>
      <c r="DZ157" s="1"/>
      <c r="EA157" s="1"/>
      <c r="EB157" s="1"/>
      <c r="EC157" s="1"/>
      <c r="ED157" s="1"/>
      <c r="EE157" s="1"/>
      <c r="EF157" s="1"/>
      <c r="EG157" s="1"/>
      <c r="EH157" s="1"/>
      <c r="EI157" s="1"/>
      <c r="EJ157" s="1"/>
      <c r="EK157" s="1"/>
      <c r="EL157" s="1"/>
      <c r="EM157" s="1"/>
      <c r="EN157" s="1"/>
      <c r="EO157" s="1"/>
      <c r="EP157" s="1"/>
      <c r="EQ157" s="1"/>
      <c r="ER157" s="1"/>
      <c r="ES157" s="1"/>
      <c r="ET157" s="1"/>
      <c r="EU157" s="1"/>
      <c r="EV157" s="1"/>
      <c r="EW157" s="1"/>
      <c r="EX157" s="1"/>
      <c r="EY157" s="1"/>
      <c r="EZ157" s="1"/>
      <c r="FA157" s="1"/>
      <c r="FB157" s="1"/>
      <c r="FC157" s="1"/>
      <c r="FD157" s="1"/>
      <c r="FE157" s="1"/>
      <c r="FF157" s="1"/>
      <c r="FG157" s="1"/>
      <c r="FH157" s="1"/>
      <c r="FI157" s="1"/>
      <c r="FJ157" s="1"/>
      <c r="FK157" s="1"/>
      <c r="FL157" s="1"/>
      <c r="FM157" s="1"/>
      <c r="FN157" s="1"/>
      <c r="FO157" s="1"/>
      <c r="FP157" s="1"/>
      <c r="FQ157" s="1"/>
      <c r="FR157" s="1"/>
      <c r="FS157" s="1"/>
      <c r="FT157" s="1"/>
      <c r="FU157" s="1"/>
      <c r="FV157" s="1"/>
      <c r="FW157" s="1"/>
      <c r="FX157" s="1"/>
      <c r="FY157" s="1"/>
      <c r="FZ157" s="1"/>
      <c r="GA157" s="1"/>
      <c r="GB157" s="1"/>
      <c r="GC157" s="1"/>
      <c r="GD157" s="1"/>
      <c r="GE157" s="1"/>
      <c r="GF157" s="1"/>
      <c r="GG157" s="1"/>
      <c r="GH157" s="1"/>
      <c r="GI157" s="1"/>
      <c r="GJ157" s="1"/>
      <c r="GK157" s="1"/>
      <c r="GL157" s="1"/>
      <c r="GM157" s="1"/>
      <c r="GN157" s="1"/>
      <c r="GO157" s="1"/>
      <c r="GP157" s="1"/>
      <c r="GQ157" s="1"/>
      <c r="GR157" s="1"/>
      <c r="GS157" s="1"/>
      <c r="GT157" s="1"/>
      <c r="GU157" s="1"/>
      <c r="GV157" s="1"/>
      <c r="GW157" s="1"/>
      <c r="GX157" s="1"/>
      <c r="GY157" s="1"/>
      <c r="GZ157" s="1"/>
      <c r="HA157" s="1"/>
      <c r="HB157" s="1"/>
      <c r="HC157" s="1"/>
      <c r="HD157" s="1"/>
      <c r="HE157" s="1"/>
      <c r="HF157" s="1"/>
      <c r="HG157" s="1"/>
      <c r="HH157" s="1"/>
      <c r="HI157" s="1"/>
      <c r="HJ157" s="1"/>
      <c r="HK157" s="1"/>
      <c r="HL157" s="1"/>
      <c r="HM157" s="1"/>
      <c r="HN157" s="1"/>
      <c r="HO157" s="1"/>
      <c r="HP157" s="1"/>
      <c r="HQ157" s="1"/>
      <c r="HR157" s="1"/>
      <c r="HS157" s="1"/>
      <c r="HT157" s="1"/>
      <c r="HU157" s="1"/>
      <c r="HV157" s="1"/>
      <c r="HW157" s="1"/>
      <c r="HX157" s="1"/>
      <c r="HY157" s="1"/>
      <c r="HZ157" s="1"/>
      <c r="IA157" s="1"/>
      <c r="IB157" s="1"/>
      <c r="IC157" s="1"/>
      <c r="ID157" s="1"/>
      <c r="IE157" s="1"/>
      <c r="IF157" s="1"/>
      <c r="IG157" s="1"/>
      <c r="IH157" s="1"/>
      <c r="II157" s="1"/>
      <c r="IJ157" s="1"/>
      <c r="IK157" s="1"/>
      <c r="IL157" s="1"/>
      <c r="IM157" s="1"/>
      <c r="IN157" s="1"/>
      <c r="IO157" s="1"/>
      <c r="IP157" s="1"/>
      <c r="IQ157" s="1"/>
      <c r="IR157" s="1"/>
      <c r="IS157" s="1"/>
      <c r="IT157" s="1"/>
      <c r="IU157" s="1"/>
      <c r="IV157" s="1"/>
      <c r="IW157" s="1"/>
      <c r="IX157" s="1"/>
      <c r="IY157" s="1"/>
      <c r="IZ157" s="1"/>
      <c r="JA157" s="1"/>
      <c r="JB157" s="1"/>
      <c r="JC157" s="1"/>
      <c r="JD157" s="1"/>
    </row>
    <row r="158" spans="1:264" s="347" customFormat="1" x14ac:dyDescent="0.2">
      <c r="A158" s="436" t="str">
        <f>+A154</f>
        <v>Non Housing Loans</v>
      </c>
      <c r="B158" s="437" t="s">
        <v>236</v>
      </c>
      <c r="C158" s="463"/>
      <c r="D158" s="463"/>
      <c r="E158" s="463"/>
      <c r="F158" s="463"/>
      <c r="G158" s="463"/>
      <c r="H158" s="463"/>
      <c r="I158" s="463"/>
      <c r="J158" s="463"/>
      <c r="K158" s="463"/>
      <c r="L158" s="463"/>
      <c r="M158" s="463"/>
      <c r="N158" s="463"/>
      <c r="O158" s="463"/>
      <c r="P158" s="463"/>
      <c r="Q158" s="463"/>
      <c r="R158" s="463"/>
      <c r="S158" s="463"/>
      <c r="T158" s="463"/>
      <c r="U158" s="463"/>
      <c r="V158" s="463"/>
      <c r="W158" s="463"/>
      <c r="X158" s="463"/>
      <c r="Y158" s="463"/>
      <c r="Z158" s="463"/>
      <c r="AA158" s="463"/>
      <c r="AB158" s="463"/>
      <c r="AC158" s="463"/>
      <c r="AD158" s="463"/>
      <c r="AE158" s="463"/>
      <c r="AF158" s="463"/>
      <c r="AG158" s="463"/>
      <c r="AH158" s="463"/>
      <c r="AI158" s="463"/>
      <c r="AJ158" s="463"/>
      <c r="AK158" s="463"/>
      <c r="AL158" s="463"/>
      <c r="AM158" s="463"/>
      <c r="AN158" s="463"/>
      <c r="AO158" s="463"/>
      <c r="AP158" s="463"/>
      <c r="AQ158" s="463"/>
      <c r="AR158" s="463"/>
      <c r="AS158" s="463"/>
      <c r="AT158" s="463"/>
      <c r="AU158" s="463"/>
      <c r="AV158" s="463"/>
      <c r="AW158" s="463"/>
      <c r="AX158" s="463"/>
      <c r="AY158" s="463"/>
      <c r="AZ158" s="463"/>
      <c r="BA158" s="463"/>
      <c r="BB158" s="463"/>
      <c r="BC158" s="463"/>
      <c r="BD158" s="463"/>
      <c r="BE158" s="463"/>
      <c r="BF158" s="463"/>
      <c r="BG158" s="463"/>
      <c r="BH158" s="464"/>
      <c r="BI158" s="465">
        <f>+BI154/BH154-1</f>
        <v>1.5663952549699323E-2</v>
      </c>
      <c r="BJ158" s="466"/>
      <c r="BK158" s="466"/>
      <c r="BL158" s="465">
        <f>+BL154/BI154-1</f>
        <v>3.5751757948206064E-2</v>
      </c>
      <c r="BM158" s="465">
        <f>+BM154/BL154-1</f>
        <v>1.4030474247123781E-2</v>
      </c>
      <c r="BN158" s="466"/>
      <c r="BO158" s="466"/>
      <c r="BP158" s="465">
        <f>+BP154/BM154-1</f>
        <v>6.3479522280961209E-2</v>
      </c>
      <c r="BQ158" s="465">
        <f>+BQ154/BP154-1</f>
        <v>2.1842712892514493E-2</v>
      </c>
      <c r="BR158" s="466"/>
      <c r="BS158" s="463"/>
      <c r="BT158" s="465">
        <f>+BT154/BQ154-1</f>
        <v>0.10739309257235985</v>
      </c>
      <c r="BU158" s="465">
        <f>+BU154/BT154-1</f>
        <v>3.6249281416648849E-2</v>
      </c>
      <c r="BV158" s="466"/>
      <c r="BW158" s="463"/>
      <c r="BX158" s="465">
        <f>+BX154/BU154-1</f>
        <v>4.7854431300089262E-2</v>
      </c>
      <c r="BY158" s="465">
        <f>+BY154/BX154-1</f>
        <v>3.5701049800822782E-2</v>
      </c>
      <c r="BZ158" s="466"/>
      <c r="CA158" s="463"/>
      <c r="CB158" s="465">
        <f>+CB154/BY154-1</f>
        <v>2.6407219981246399E-2</v>
      </c>
      <c r="CC158" s="465">
        <f>+CC154/CB154-1</f>
        <v>2.8654861693957479E-2</v>
      </c>
      <c r="CD158" s="466"/>
      <c r="CE158" s="463"/>
      <c r="CF158" s="465">
        <f>+CF154/CC154-1</f>
        <v>3.3255634273142931E-2</v>
      </c>
      <c r="CG158" s="465">
        <f>+CG154/CF154-1</f>
        <v>1.3523148486933145E-2</v>
      </c>
      <c r="CH158" s="466"/>
      <c r="CI158" s="463"/>
      <c r="CJ158" s="465">
        <f>+CJ154/CG154-1</f>
        <v>1.0690507461593279E-2</v>
      </c>
      <c r="CK158" s="465">
        <f>+CK154/CJ154-1</f>
        <v>-1.2563250532918069E-2</v>
      </c>
      <c r="CL158" s="466"/>
      <c r="CM158" s="463"/>
      <c r="CN158" s="465">
        <f>+CN154/CK154-1</f>
        <v>1.8599245282703958E-2</v>
      </c>
      <c r="CO158" s="465">
        <f>+CO154/CN154-1</f>
        <v>3.6872313220339237E-2</v>
      </c>
      <c r="CP158" s="466"/>
      <c r="CQ158" s="463"/>
      <c r="CR158" s="465">
        <f>+CR154/CO154-1</f>
        <v>2.0748748897828628E-2</v>
      </c>
      <c r="CS158" s="465">
        <f>+CS154/CR154-1</f>
        <v>1.6351587279217483E-2</v>
      </c>
      <c r="CT158" s="466"/>
      <c r="CU158" s="463"/>
      <c r="CV158" s="465">
        <f>+CV154/CS154-1</f>
        <v>6.5254730517578796E-3</v>
      </c>
      <c r="CW158" s="465">
        <f>+CW154/CV154-1</f>
        <v>1.2265193605367264E-2</v>
      </c>
      <c r="CX158" s="466"/>
      <c r="CY158" s="463"/>
      <c r="CZ158" s="465">
        <f>+CZ154/CW154-1</f>
        <v>-1.2044697155940254E-2</v>
      </c>
      <c r="DA158" s="465">
        <f>+DA154/CZ154-1</f>
        <v>1.0576207976613183E-2</v>
      </c>
      <c r="DB158" s="466"/>
      <c r="DC158" s="463"/>
      <c r="DD158" s="465">
        <f>+DD154/DA154-1</f>
        <v>1.7393010924427355E-2</v>
      </c>
      <c r="DE158" s="465">
        <f>+DE154/DD154-1</f>
        <v>1.146148975265926E-2</v>
      </c>
      <c r="DF158" s="466"/>
      <c r="DG158" s="463"/>
      <c r="DH158" s="465">
        <f>+DH154/DE154-1</f>
        <v>2.7650258214713341E-2</v>
      </c>
      <c r="DI158" s="468">
        <v>1.4999999999999999E-2</v>
      </c>
      <c r="DJ158" s="466"/>
      <c r="DK158" s="463"/>
      <c r="DL158" s="468">
        <v>1.4999999999999999E-2</v>
      </c>
      <c r="DM158" s="468">
        <v>1.4999999999999999E-2</v>
      </c>
      <c r="DN158" s="466"/>
      <c r="DO158" s="463"/>
      <c r="DP158" s="468">
        <v>1.4999999999999999E-2</v>
      </c>
      <c r="DQ158" s="468">
        <v>1.4999999999999999E-2</v>
      </c>
      <c r="DR158" s="466"/>
      <c r="DS158" s="463"/>
      <c r="DT158" s="1"/>
      <c r="DU158" s="1"/>
      <c r="DV158" s="1"/>
      <c r="DW158" s="1"/>
      <c r="DX158" s="1"/>
      <c r="DY158" s="1"/>
      <c r="DZ158" s="1"/>
      <c r="EA158" s="1"/>
      <c r="EB158" s="1"/>
      <c r="EC158" s="1"/>
      <c r="ED158" s="1"/>
      <c r="EE158" s="1"/>
      <c r="EF158" s="1"/>
      <c r="EG158" s="1"/>
      <c r="EH158" s="1"/>
      <c r="EI158" s="1"/>
      <c r="EJ158" s="1"/>
      <c r="EK158" s="1"/>
      <c r="EL158" s="1"/>
      <c r="EM158" s="1"/>
      <c r="EN158" s="1"/>
      <c r="EO158" s="1"/>
      <c r="EP158" s="1"/>
      <c r="EQ158" s="1"/>
      <c r="ER158" s="1"/>
      <c r="ES158" s="1"/>
      <c r="ET158" s="1"/>
      <c r="EU158" s="1"/>
      <c r="EV158" s="1"/>
      <c r="EW158" s="1"/>
      <c r="EX158" s="1"/>
      <c r="EY158" s="1"/>
      <c r="EZ158" s="1"/>
      <c r="FA158" s="1"/>
      <c r="FB158" s="1"/>
      <c r="FC158" s="1"/>
      <c r="FD158" s="1"/>
      <c r="FE158" s="1"/>
      <c r="FF158" s="1"/>
      <c r="FG158" s="1"/>
      <c r="FH158" s="1"/>
      <c r="FI158" s="1"/>
      <c r="FJ158" s="1"/>
      <c r="FK158" s="1"/>
      <c r="FL158" s="1"/>
      <c r="FM158" s="1"/>
      <c r="FN158" s="1"/>
      <c r="FO158" s="1"/>
      <c r="FP158" s="1"/>
      <c r="FQ158" s="1"/>
      <c r="FR158" s="1"/>
      <c r="FS158" s="1"/>
      <c r="FT158" s="1"/>
      <c r="FU158" s="1"/>
      <c r="FV158" s="1"/>
      <c r="FW158" s="1"/>
      <c r="FX158" s="1"/>
      <c r="FY158" s="1"/>
      <c r="FZ158" s="1"/>
      <c r="GA158" s="1"/>
      <c r="GB158" s="1"/>
      <c r="GC158" s="1"/>
      <c r="GD158" s="1"/>
      <c r="GE158" s="1"/>
      <c r="GF158" s="1"/>
      <c r="GG158" s="1"/>
      <c r="GH158" s="1"/>
      <c r="GI158" s="1"/>
      <c r="GJ158" s="1"/>
      <c r="GK158" s="1"/>
      <c r="GL158" s="1"/>
      <c r="GM158" s="1"/>
      <c r="GN158" s="1"/>
      <c r="GO158" s="1"/>
      <c r="GP158" s="1"/>
      <c r="GQ158" s="1"/>
      <c r="GR158" s="1"/>
      <c r="GS158" s="1"/>
      <c r="GT158" s="1"/>
      <c r="GU158" s="1"/>
      <c r="GV158" s="1"/>
      <c r="GW158" s="1"/>
      <c r="GX158" s="1"/>
      <c r="GY158" s="1"/>
      <c r="GZ158" s="1"/>
      <c r="HA158" s="1"/>
      <c r="HB158" s="1"/>
      <c r="HC158" s="1"/>
      <c r="HD158" s="1"/>
      <c r="HE158" s="1"/>
      <c r="HF158" s="1"/>
      <c r="HG158" s="1"/>
      <c r="HH158" s="1"/>
      <c r="HI158" s="1"/>
      <c r="HJ158" s="1"/>
      <c r="HK158" s="1"/>
      <c r="HL158" s="1"/>
      <c r="HM158" s="1"/>
      <c r="HN158" s="1"/>
      <c r="HO158" s="1"/>
      <c r="HP158" s="1"/>
      <c r="HQ158" s="1"/>
      <c r="HR158" s="1"/>
      <c r="HS158" s="1"/>
      <c r="HT158" s="1"/>
      <c r="HU158" s="1"/>
      <c r="HV158" s="1"/>
      <c r="HW158" s="1"/>
      <c r="HX158" s="1"/>
      <c r="HY158" s="1"/>
      <c r="HZ158" s="1"/>
      <c r="IA158" s="1"/>
      <c r="IB158" s="1"/>
      <c r="IC158" s="1"/>
      <c r="ID158" s="1"/>
      <c r="IE158" s="1"/>
      <c r="IF158" s="1"/>
      <c r="IG158" s="1"/>
      <c r="IH158" s="1"/>
      <c r="II158" s="1"/>
      <c r="IJ158" s="1"/>
      <c r="IK158" s="1"/>
      <c r="IL158" s="1"/>
      <c r="IM158" s="1"/>
      <c r="IN158" s="1"/>
      <c r="IO158" s="1"/>
      <c r="IP158" s="1"/>
      <c r="IQ158" s="1"/>
      <c r="IR158" s="1"/>
      <c r="IS158" s="1"/>
      <c r="IT158" s="1"/>
      <c r="IU158" s="1"/>
      <c r="IV158" s="1"/>
      <c r="IW158" s="1"/>
      <c r="IX158" s="1"/>
      <c r="IY158" s="1"/>
      <c r="IZ158" s="1"/>
      <c r="JA158" s="1"/>
      <c r="JB158" s="1"/>
      <c r="JC158" s="1"/>
      <c r="JD158" s="1"/>
    </row>
    <row r="159" spans="1:264" s="347" customFormat="1" x14ac:dyDescent="0.2">
      <c r="A159" s="424" t="str">
        <f>+A155</f>
        <v>Total Loans</v>
      </c>
      <c r="B159" s="348" t="s">
        <v>140</v>
      </c>
      <c r="BH159" s="398"/>
      <c r="BI159" s="428">
        <f>+BI155/BH155-1</f>
        <v>3.2821084970577452E-2</v>
      </c>
      <c r="BJ159" s="348"/>
      <c r="BK159" s="348"/>
      <c r="BL159" s="428">
        <f>+BL155/BI155-1</f>
        <v>2.3266227990376809E-2</v>
      </c>
      <c r="BM159" s="428">
        <f>+BM155/BL155-1</f>
        <v>1.441872465691274E-2</v>
      </c>
      <c r="BN159" s="348"/>
      <c r="BO159" s="348"/>
      <c r="BP159" s="428">
        <f>+BP155/BM155-1</f>
        <v>3.1694116525953886E-2</v>
      </c>
      <c r="BQ159" s="428">
        <f>+BQ155/BP155-1</f>
        <v>8.2187736873073902E-4</v>
      </c>
      <c r="BR159" s="348"/>
      <c r="BT159" s="428">
        <f>+BT155/BQ155-1</f>
        <v>9.9292698822851966E-2</v>
      </c>
      <c r="BU159" s="428">
        <f>+BU155/BT155-1</f>
        <v>4.2697512009014726E-2</v>
      </c>
      <c r="BV159" s="348"/>
      <c r="BX159" s="428">
        <f>+BX155/BU155-1</f>
        <v>5.0165694647327674E-2</v>
      </c>
      <c r="BY159" s="428">
        <f>+BY155/BX155-1</f>
        <v>2.4211086535978144E-2</v>
      </c>
      <c r="BZ159" s="348"/>
      <c r="CB159" s="428">
        <f>+CB155/BY155-1</f>
        <v>2.7680397882188457E-2</v>
      </c>
      <c r="CC159" s="428">
        <f>+CC155/CB155-1</f>
        <v>2.6638781654315435E-2</v>
      </c>
      <c r="CD159" s="348"/>
      <c r="CF159" s="428">
        <f>+CF155/CC155-1</f>
        <v>2.8902086362784463E-2</v>
      </c>
      <c r="CG159" s="428">
        <f>+CG155/CF155-1</f>
        <v>2.605864158092297E-2</v>
      </c>
      <c r="CH159" s="348"/>
      <c r="CJ159" s="428">
        <f>+CJ155/CG155-1</f>
        <v>2.2387491011996996E-2</v>
      </c>
      <c r="CK159" s="428">
        <f>+CK155/CJ155-1</f>
        <v>1.1191411537577522E-2</v>
      </c>
      <c r="CL159" s="348"/>
      <c r="CN159" s="428">
        <f>+CN155/CK155-1</f>
        <v>5.0488354794208545E-2</v>
      </c>
      <c r="CO159" s="428">
        <f>+CO155/CN155-1</f>
        <v>4.5516780155364645E-2</v>
      </c>
      <c r="CP159" s="348"/>
      <c r="CR159" s="428">
        <f>+CR155/CO155-1</f>
        <v>2.8432378160867522E-2</v>
      </c>
      <c r="CS159" s="428">
        <f>+CS155/CR155-1</f>
        <v>2.6106442201806246E-2</v>
      </c>
      <c r="CT159" s="348"/>
      <c r="CV159" s="428">
        <f>+CV155/CS155-1</f>
        <v>1.4939832057948577E-2</v>
      </c>
      <c r="CW159" s="428">
        <f>+CW155/CV155-1</f>
        <v>9.996932960563143E-3</v>
      </c>
      <c r="CX159" s="348"/>
      <c r="CZ159" s="428">
        <f>+CZ155/CW155-1</f>
        <v>-8.2490382864284229E-3</v>
      </c>
      <c r="DA159" s="428">
        <f>+DA155/CZ155-1</f>
        <v>1.2523634264012262E-2</v>
      </c>
      <c r="DB159" s="348"/>
      <c r="DD159" s="428">
        <f>+DD155/DA155-1</f>
        <v>2.6622066894760987E-2</v>
      </c>
      <c r="DE159" s="428">
        <f>+DE155/DD155-1</f>
        <v>2.692851090054682E-2</v>
      </c>
      <c r="DF159" s="348"/>
      <c r="DH159" s="428">
        <f>+DH155/DE155-1</f>
        <v>3.5941157427638037E-2</v>
      </c>
      <c r="DI159" s="428">
        <f>+DI155/DH155-1</f>
        <v>2.5149428335969892E-2</v>
      </c>
      <c r="DJ159" s="348"/>
      <c r="DL159" s="428">
        <f>+DL155/DI155-1</f>
        <v>2.0098725559949626E-2</v>
      </c>
      <c r="DM159" s="428">
        <f>+DM155/DL155-1</f>
        <v>2.0110727770183967E-2</v>
      </c>
      <c r="DN159" s="348"/>
      <c r="DP159" s="428">
        <f>+DP155/DM155-1</f>
        <v>1.4999999999999902E-2</v>
      </c>
      <c r="DQ159" s="428">
        <f>+DQ155/DP155-1</f>
        <v>1.4999999999999902E-2</v>
      </c>
      <c r="DR159" s="348"/>
      <c r="DT159" s="1"/>
      <c r="DU159" s="1"/>
      <c r="DV159" s="1"/>
      <c r="DW159" s="1"/>
      <c r="DX159" s="1"/>
      <c r="DY159" s="1"/>
      <c r="DZ159" s="1"/>
      <c r="EA159" s="1"/>
      <c r="EB159" s="1"/>
      <c r="EC159" s="1"/>
      <c r="ED159" s="1"/>
      <c r="EE159" s="1"/>
      <c r="EF159" s="1"/>
      <c r="EG159" s="1"/>
      <c r="EH159" s="1"/>
      <c r="EI159" s="1"/>
      <c r="EJ159" s="1"/>
      <c r="EK159" s="1"/>
      <c r="EL159" s="1"/>
      <c r="EM159" s="1"/>
      <c r="EN159" s="1"/>
      <c r="EO159" s="1"/>
      <c r="EP159" s="1"/>
      <c r="EQ159" s="1"/>
      <c r="ER159" s="1"/>
      <c r="ES159" s="1"/>
      <c r="ET159" s="1"/>
      <c r="EU159" s="1"/>
      <c r="EV159" s="1"/>
      <c r="EW159" s="1"/>
      <c r="EX159" s="1"/>
      <c r="EY159" s="1"/>
      <c r="EZ159" s="1"/>
      <c r="FA159" s="1"/>
      <c r="FB159" s="1"/>
      <c r="FC159" s="1"/>
      <c r="FD159" s="1"/>
      <c r="FE159" s="1"/>
      <c r="FF159" s="1"/>
      <c r="FG159" s="1"/>
      <c r="FH159" s="1"/>
      <c r="FI159" s="1"/>
      <c r="FJ159" s="1"/>
      <c r="FK159" s="1"/>
      <c r="FL159" s="1"/>
      <c r="FM159" s="1"/>
      <c r="FN159" s="1"/>
      <c r="FO159" s="1"/>
      <c r="FP159" s="1"/>
      <c r="FQ159" s="1"/>
      <c r="FR159" s="1"/>
      <c r="FS159" s="1"/>
      <c r="FT159" s="1"/>
      <c r="FU159" s="1"/>
      <c r="FV159" s="1"/>
      <c r="FW159" s="1"/>
      <c r="FX159" s="1"/>
      <c r="FY159" s="1"/>
      <c r="FZ159" s="1"/>
      <c r="GA159" s="1"/>
      <c r="GB159" s="1"/>
      <c r="GC159" s="1"/>
      <c r="GD159" s="1"/>
      <c r="GE159" s="1"/>
      <c r="GF159" s="1"/>
      <c r="GG159" s="1"/>
      <c r="GH159" s="1"/>
      <c r="GI159" s="1"/>
      <c r="GJ159" s="1"/>
      <c r="GK159" s="1"/>
      <c r="GL159" s="1"/>
      <c r="GM159" s="1"/>
      <c r="GN159" s="1"/>
      <c r="GO159" s="1"/>
      <c r="GP159" s="1"/>
      <c r="GQ159" s="1"/>
      <c r="GR159" s="1"/>
      <c r="GS159" s="1"/>
      <c r="GT159" s="1"/>
      <c r="GU159" s="1"/>
      <c r="GV159" s="1"/>
      <c r="GW159" s="1"/>
      <c r="GX159" s="1"/>
      <c r="GY159" s="1"/>
      <c r="GZ159" s="1"/>
      <c r="HA159" s="1"/>
      <c r="HB159" s="1"/>
      <c r="HC159" s="1"/>
      <c r="HD159" s="1"/>
      <c r="HE159" s="1"/>
      <c r="HF159" s="1"/>
      <c r="HG159" s="1"/>
      <c r="HH159" s="1"/>
      <c r="HI159" s="1"/>
      <c r="HJ159" s="1"/>
      <c r="HK159" s="1"/>
      <c r="HL159" s="1"/>
      <c r="HM159" s="1"/>
      <c r="HN159" s="1"/>
      <c r="HO159" s="1"/>
      <c r="HP159" s="1"/>
      <c r="HQ159" s="1"/>
      <c r="HR159" s="1"/>
      <c r="HS159" s="1"/>
      <c r="HT159" s="1"/>
      <c r="HU159" s="1"/>
      <c r="HV159" s="1"/>
      <c r="HW159" s="1"/>
      <c r="HX159" s="1"/>
      <c r="HY159" s="1"/>
      <c r="HZ159" s="1"/>
      <c r="IA159" s="1"/>
      <c r="IB159" s="1"/>
      <c r="IC159" s="1"/>
      <c r="ID159" s="1"/>
      <c r="IE159" s="1"/>
      <c r="IF159" s="1"/>
      <c r="IG159" s="1"/>
      <c r="IH159" s="1"/>
      <c r="II159" s="1"/>
      <c r="IJ159" s="1"/>
      <c r="IK159" s="1"/>
      <c r="IL159" s="1"/>
      <c r="IM159" s="1"/>
      <c r="IN159" s="1"/>
      <c r="IO159" s="1"/>
      <c r="IP159" s="1"/>
      <c r="IQ159" s="1"/>
      <c r="IR159" s="1"/>
      <c r="IS159" s="1"/>
      <c r="IT159" s="1"/>
      <c r="IU159" s="1"/>
      <c r="IV159" s="1"/>
      <c r="IW159" s="1"/>
      <c r="IX159" s="1"/>
      <c r="IY159" s="1"/>
      <c r="IZ159" s="1"/>
      <c r="JA159" s="1"/>
      <c r="JB159" s="1"/>
      <c r="JC159" s="1"/>
      <c r="JD159" s="1"/>
    </row>
    <row r="160" spans="1:264" s="347" customFormat="1" x14ac:dyDescent="0.2">
      <c r="A160" s="424"/>
      <c r="B160" s="348"/>
      <c r="BH160" s="398"/>
      <c r="BI160" s="428"/>
      <c r="BJ160" s="348"/>
      <c r="BK160" s="348"/>
      <c r="BL160" s="428"/>
      <c r="BM160" s="428"/>
      <c r="BN160" s="348"/>
      <c r="BO160" s="348"/>
      <c r="BP160" s="428"/>
      <c r="BQ160" s="428"/>
      <c r="BR160" s="348"/>
      <c r="BT160" s="428"/>
      <c r="BU160" s="428"/>
      <c r="BV160" s="348"/>
      <c r="BX160" s="428"/>
      <c r="BY160" s="428"/>
      <c r="BZ160" s="348"/>
      <c r="CB160" s="428"/>
      <c r="CC160" s="428"/>
      <c r="CD160" s="348"/>
      <c r="CF160" s="428"/>
      <c r="CG160" s="428"/>
      <c r="CH160" s="348"/>
      <c r="CJ160" s="428"/>
      <c r="CK160" s="428"/>
      <c r="CL160" s="348"/>
      <c r="CN160" s="428"/>
      <c r="CO160" s="428"/>
      <c r="CP160" s="348"/>
      <c r="CR160" s="428"/>
      <c r="CS160" s="428"/>
      <c r="CT160" s="348"/>
      <c r="CV160" s="428"/>
      <c r="CW160" s="428"/>
      <c r="CX160" s="348"/>
      <c r="CZ160" s="428"/>
      <c r="DA160" s="428"/>
      <c r="DB160" s="348"/>
      <c r="DD160" s="428"/>
      <c r="DE160" s="428"/>
      <c r="DF160" s="348"/>
      <c r="DH160" s="428"/>
      <c r="DI160" s="428"/>
      <c r="DJ160" s="348"/>
      <c r="DL160" s="428"/>
      <c r="DM160" s="428"/>
      <c r="DN160" s="348"/>
      <c r="DP160" s="428"/>
      <c r="DQ160" s="428"/>
      <c r="DR160" s="348"/>
      <c r="DT160" s="1"/>
      <c r="DU160" s="1"/>
      <c r="DV160" s="1"/>
      <c r="DW160" s="1"/>
      <c r="DX160" s="1"/>
      <c r="DY160" s="1"/>
      <c r="DZ160" s="1"/>
      <c r="EA160" s="1"/>
      <c r="EB160" s="1"/>
      <c r="EC160" s="1"/>
      <c r="ED160" s="1"/>
      <c r="EE160" s="1"/>
      <c r="EF160" s="1"/>
      <c r="EG160" s="1"/>
      <c r="EH160" s="1"/>
      <c r="EI160" s="1"/>
      <c r="EJ160" s="1"/>
      <c r="EK160" s="1"/>
      <c r="EL160" s="1"/>
      <c r="EM160" s="1"/>
      <c r="EN160" s="1"/>
      <c r="EO160" s="1"/>
      <c r="EP160" s="1"/>
      <c r="EQ160" s="1"/>
      <c r="ER160" s="1"/>
      <c r="ES160" s="1"/>
      <c r="ET160" s="1"/>
      <c r="EU160" s="1"/>
      <c r="EV160" s="1"/>
      <c r="EW160" s="1"/>
      <c r="EX160" s="1"/>
      <c r="EY160" s="1"/>
      <c r="EZ160" s="1"/>
      <c r="FA160" s="1"/>
      <c r="FB160" s="1"/>
      <c r="FC160" s="1"/>
      <c r="FD160" s="1"/>
      <c r="FE160" s="1"/>
      <c r="FF160" s="1"/>
      <c r="FG160" s="1"/>
      <c r="FH160" s="1"/>
      <c r="FI160" s="1"/>
      <c r="FJ160" s="1"/>
      <c r="FK160" s="1"/>
      <c r="FL160" s="1"/>
      <c r="FM160" s="1"/>
      <c r="FN160" s="1"/>
      <c r="FO160" s="1"/>
      <c r="FP160" s="1"/>
      <c r="FQ160" s="1"/>
      <c r="FR160" s="1"/>
      <c r="FS160" s="1"/>
      <c r="FT160" s="1"/>
      <c r="FU160" s="1"/>
      <c r="FV160" s="1"/>
      <c r="FW160" s="1"/>
      <c r="FX160" s="1"/>
      <c r="FY160" s="1"/>
      <c r="FZ160" s="1"/>
      <c r="GA160" s="1"/>
      <c r="GB160" s="1"/>
      <c r="GC160" s="1"/>
      <c r="GD160" s="1"/>
      <c r="GE160" s="1"/>
      <c r="GF160" s="1"/>
      <c r="GG160" s="1"/>
      <c r="GH160" s="1"/>
      <c r="GI160" s="1"/>
      <c r="GJ160" s="1"/>
      <c r="GK160" s="1"/>
      <c r="GL160" s="1"/>
      <c r="GM160" s="1"/>
      <c r="GN160" s="1"/>
      <c r="GO160" s="1"/>
      <c r="GP160" s="1"/>
      <c r="GQ160" s="1"/>
      <c r="GR160" s="1"/>
      <c r="GS160" s="1"/>
      <c r="GT160" s="1"/>
      <c r="GU160" s="1"/>
      <c r="GV160" s="1"/>
      <c r="GW160" s="1"/>
      <c r="GX160" s="1"/>
      <c r="GY160" s="1"/>
      <c r="GZ160" s="1"/>
      <c r="HA160" s="1"/>
      <c r="HB160" s="1"/>
      <c r="HC160" s="1"/>
      <c r="HD160" s="1"/>
      <c r="HE160" s="1"/>
      <c r="HF160" s="1"/>
      <c r="HG160" s="1"/>
      <c r="HH160" s="1"/>
      <c r="HI160" s="1"/>
      <c r="HJ160" s="1"/>
      <c r="HK160" s="1"/>
      <c r="HL160" s="1"/>
      <c r="HM160" s="1"/>
      <c r="HN160" s="1"/>
      <c r="HO160" s="1"/>
      <c r="HP160" s="1"/>
      <c r="HQ160" s="1"/>
      <c r="HR160" s="1"/>
      <c r="HS160" s="1"/>
      <c r="HT160" s="1"/>
      <c r="HU160" s="1"/>
      <c r="HV160" s="1"/>
      <c r="HW160" s="1"/>
      <c r="HX160" s="1"/>
      <c r="HY160" s="1"/>
      <c r="HZ160" s="1"/>
      <c r="IA160" s="1"/>
      <c r="IB160" s="1"/>
      <c r="IC160" s="1"/>
      <c r="ID160" s="1"/>
      <c r="IE160" s="1"/>
      <c r="IF160" s="1"/>
      <c r="IG160" s="1"/>
      <c r="IH160" s="1"/>
      <c r="II160" s="1"/>
      <c r="IJ160" s="1"/>
      <c r="IK160" s="1"/>
      <c r="IL160" s="1"/>
      <c r="IM160" s="1"/>
      <c r="IN160" s="1"/>
      <c r="IO160" s="1"/>
      <c r="IP160" s="1"/>
      <c r="IQ160" s="1"/>
      <c r="IR160" s="1"/>
      <c r="IS160" s="1"/>
      <c r="IT160" s="1"/>
      <c r="IU160" s="1"/>
      <c r="IV160" s="1"/>
      <c r="IW160" s="1"/>
      <c r="IX160" s="1"/>
      <c r="IY160" s="1"/>
      <c r="IZ160" s="1"/>
      <c r="JA160" s="1"/>
      <c r="JB160" s="1"/>
      <c r="JC160" s="1"/>
      <c r="JD160" s="1"/>
    </row>
    <row r="161" spans="1:264" s="347" customFormat="1" x14ac:dyDescent="0.2">
      <c r="A161" s="469" t="s">
        <v>1176</v>
      </c>
      <c r="B161" s="446"/>
      <c r="C161" s="447"/>
      <c r="D161" s="447"/>
      <c r="E161" s="447"/>
      <c r="F161" s="447"/>
      <c r="G161" s="447"/>
      <c r="H161" s="447"/>
      <c r="I161" s="447"/>
      <c r="J161" s="447"/>
      <c r="K161" s="447"/>
      <c r="L161" s="447"/>
      <c r="M161" s="447"/>
      <c r="N161" s="447"/>
      <c r="O161" s="447"/>
      <c r="P161" s="447"/>
      <c r="Q161" s="447"/>
      <c r="R161" s="447"/>
      <c r="S161" s="447"/>
      <c r="T161" s="447"/>
      <c r="U161" s="447"/>
      <c r="V161" s="447"/>
      <c r="W161" s="447"/>
      <c r="X161" s="447"/>
      <c r="Y161" s="447"/>
      <c r="Z161" s="447"/>
      <c r="AA161" s="447"/>
      <c r="AB161" s="447"/>
      <c r="AC161" s="447"/>
      <c r="AD161" s="447"/>
      <c r="AE161" s="447"/>
      <c r="AF161" s="447"/>
      <c r="AG161" s="447"/>
      <c r="AH161" s="447"/>
      <c r="AI161" s="447"/>
      <c r="AJ161" s="447"/>
      <c r="AK161" s="447"/>
      <c r="AL161" s="447"/>
      <c r="AM161" s="447"/>
      <c r="AN161" s="447"/>
      <c r="AO161" s="447"/>
      <c r="AP161" s="447"/>
      <c r="AQ161" s="447"/>
      <c r="AR161" s="447"/>
      <c r="AS161" s="447"/>
      <c r="AT161" s="447"/>
      <c r="AU161" s="447"/>
      <c r="AV161" s="447"/>
      <c r="AW161" s="447"/>
      <c r="AX161" s="447"/>
      <c r="AY161" s="447"/>
      <c r="AZ161" s="447"/>
      <c r="BA161" s="447"/>
      <c r="BB161" s="447"/>
      <c r="BC161" s="447"/>
      <c r="BD161" s="447"/>
      <c r="BE161" s="447"/>
      <c r="BF161" s="447"/>
      <c r="BG161" s="447"/>
      <c r="BH161" s="448"/>
      <c r="BI161" s="470"/>
      <c r="BJ161" s="446"/>
      <c r="BK161" s="446"/>
      <c r="BL161" s="470"/>
      <c r="BM161" s="470"/>
      <c r="BN161" s="446"/>
      <c r="BO161" s="446"/>
      <c r="BP161" s="470"/>
      <c r="BQ161" s="470"/>
      <c r="BR161" s="446"/>
      <c r="BS161" s="447"/>
      <c r="BT161" s="470"/>
      <c r="BU161" s="470"/>
      <c r="BV161" s="446"/>
      <c r="BW161" s="447"/>
      <c r="BX161" s="470"/>
      <c r="BY161" s="470"/>
      <c r="BZ161" s="446"/>
      <c r="CA161" s="447"/>
      <c r="CB161" s="470"/>
      <c r="CC161" s="470"/>
      <c r="CD161" s="446"/>
      <c r="CE161" s="447"/>
      <c r="CF161" s="470"/>
      <c r="CG161" s="470"/>
      <c r="CH161" s="446"/>
      <c r="CI161" s="447"/>
      <c r="CJ161" s="470"/>
      <c r="CK161" s="470"/>
      <c r="CL161" s="446"/>
      <c r="CM161" s="447"/>
      <c r="CN161" s="470"/>
      <c r="CO161" s="470"/>
      <c r="CP161" s="446"/>
      <c r="CQ161" s="447"/>
      <c r="CR161" s="471">
        <v>0.04</v>
      </c>
      <c r="CS161" s="471">
        <v>2.3E-2</v>
      </c>
      <c r="CT161" s="472"/>
      <c r="CU161" s="473"/>
      <c r="CV161" s="471">
        <v>1.7999999999999999E-2</v>
      </c>
      <c r="CW161" s="471">
        <v>1.4999999999999999E-2</v>
      </c>
      <c r="CX161" s="1497">
        <f>CV161+CW161</f>
        <v>3.3000000000000002E-2</v>
      </c>
      <c r="CY161" s="473"/>
      <c r="CZ161" s="471">
        <v>1.4999999999999999E-2</v>
      </c>
      <c r="DA161" s="471">
        <v>1.7000000000000001E-2</v>
      </c>
      <c r="DB161" s="1497">
        <f>CZ161+DA161</f>
        <v>3.2000000000000001E-2</v>
      </c>
      <c r="DC161" s="473"/>
      <c r="DD161" s="471">
        <v>2.5000000000000001E-2</v>
      </c>
      <c r="DE161" s="471">
        <v>2.75E-2</v>
      </c>
      <c r="DF161" s="1497">
        <f>DD161+DE161</f>
        <v>5.2500000000000005E-2</v>
      </c>
      <c r="DG161" s="473"/>
      <c r="DH161" s="471">
        <v>0.03</v>
      </c>
      <c r="DI161" s="474">
        <v>2.5000000000000001E-2</v>
      </c>
      <c r="DJ161" s="1497">
        <f>DH161+DI161</f>
        <v>5.5E-2</v>
      </c>
      <c r="DK161" s="473"/>
      <c r="DL161" s="474">
        <v>0.02</v>
      </c>
      <c r="DM161" s="474">
        <v>0.02</v>
      </c>
      <c r="DN161" s="1497">
        <f>DL161+DM161</f>
        <v>0.04</v>
      </c>
      <c r="DO161" s="473"/>
      <c r="DP161" s="474">
        <v>1.4999999999999999E-2</v>
      </c>
      <c r="DQ161" s="474">
        <v>1.4999999999999999E-2</v>
      </c>
      <c r="DR161" s="1497">
        <f>DP161+DQ161</f>
        <v>0.03</v>
      </c>
      <c r="DS161" s="473"/>
      <c r="DT161" s="1"/>
      <c r="DU161" s="1"/>
      <c r="DV161" s="1"/>
      <c r="DW161" s="1"/>
      <c r="DX161" s="1"/>
      <c r="DY161" s="1"/>
      <c r="DZ161" s="1"/>
      <c r="EA161" s="1"/>
      <c r="EB161" s="1"/>
      <c r="EC161" s="1"/>
      <c r="ED161" s="1"/>
      <c r="EE161" s="1"/>
      <c r="EF161" s="1"/>
      <c r="EG161" s="1"/>
      <c r="EH161" s="1"/>
      <c r="EI161" s="1"/>
      <c r="EJ161" s="1"/>
      <c r="EK161" s="1"/>
      <c r="EL161" s="1"/>
      <c r="EM161" s="1"/>
      <c r="EN161" s="1"/>
      <c r="EO161" s="1"/>
      <c r="EP161" s="1"/>
      <c r="EQ161" s="1"/>
      <c r="ER161" s="1"/>
      <c r="ES161" s="1"/>
      <c r="ET161" s="1"/>
      <c r="EU161" s="1"/>
      <c r="EV161" s="1"/>
      <c r="EW161" s="1"/>
      <c r="EX161" s="1"/>
      <c r="EY161" s="1"/>
      <c r="EZ161" s="1"/>
      <c r="FA161" s="1"/>
      <c r="FB161" s="1"/>
      <c r="FC161" s="1"/>
      <c r="FD161" s="1"/>
      <c r="FE161" s="1"/>
      <c r="FF161" s="1"/>
      <c r="FG161" s="1"/>
      <c r="FH161" s="1"/>
      <c r="FI161" s="1"/>
      <c r="FJ161" s="1"/>
      <c r="FK161" s="1"/>
      <c r="FL161" s="1"/>
      <c r="FM161" s="1"/>
      <c r="FN161" s="1"/>
      <c r="FO161" s="1"/>
      <c r="FP161" s="1"/>
      <c r="FQ161" s="1"/>
      <c r="FR161" s="1"/>
      <c r="FS161" s="1"/>
      <c r="FT161" s="1"/>
      <c r="FU161" s="1"/>
      <c r="FV161" s="1"/>
      <c r="FW161" s="1"/>
      <c r="FX161" s="1"/>
      <c r="FY161" s="1"/>
      <c r="FZ161" s="1"/>
      <c r="GA161" s="1"/>
      <c r="GB161" s="1"/>
      <c r="GC161" s="1"/>
      <c r="GD161" s="1"/>
      <c r="GE161" s="1"/>
      <c r="GF161" s="1"/>
      <c r="GG161" s="1"/>
      <c r="GH161" s="1"/>
      <c r="GI161" s="1"/>
      <c r="GJ161" s="1"/>
      <c r="GK161" s="1"/>
      <c r="GL161" s="1"/>
      <c r="GM161" s="1"/>
      <c r="GN161" s="1"/>
      <c r="GO161" s="1"/>
      <c r="GP161" s="1"/>
      <c r="GQ161" s="1"/>
      <c r="GR161" s="1"/>
      <c r="GS161" s="1"/>
      <c r="GT161" s="1"/>
      <c r="GU161" s="1"/>
      <c r="GV161" s="1"/>
      <c r="GW161" s="1"/>
      <c r="GX161" s="1"/>
      <c r="GY161" s="1"/>
      <c r="GZ161" s="1"/>
      <c r="HA161" s="1"/>
      <c r="HB161" s="1"/>
      <c r="HC161" s="1"/>
      <c r="HD161" s="1"/>
      <c r="HE161" s="1"/>
      <c r="HF161" s="1"/>
      <c r="HG161" s="1"/>
      <c r="HH161" s="1"/>
      <c r="HI161" s="1"/>
      <c r="HJ161" s="1"/>
      <c r="HK161" s="1"/>
      <c r="HL161" s="1"/>
      <c r="HM161" s="1"/>
      <c r="HN161" s="1"/>
      <c r="HO161" s="1"/>
      <c r="HP161" s="1"/>
      <c r="HQ161" s="1"/>
      <c r="HR161" s="1"/>
      <c r="HS161" s="1"/>
      <c r="HT161" s="1"/>
      <c r="HU161" s="1"/>
      <c r="HV161" s="1"/>
      <c r="HW161" s="1"/>
      <c r="HX161" s="1"/>
      <c r="HY161" s="1"/>
      <c r="HZ161" s="1"/>
      <c r="IA161" s="1"/>
      <c r="IB161" s="1"/>
      <c r="IC161" s="1"/>
      <c r="ID161" s="1"/>
      <c r="IE161" s="1"/>
      <c r="IF161" s="1"/>
      <c r="IG161" s="1"/>
      <c r="IH161" s="1"/>
      <c r="II161" s="1"/>
      <c r="IJ161" s="1"/>
      <c r="IK161" s="1"/>
      <c r="IL161" s="1"/>
      <c r="IM161" s="1"/>
      <c r="IN161" s="1"/>
      <c r="IO161" s="1"/>
      <c r="IP161" s="1"/>
      <c r="IQ161" s="1"/>
      <c r="IR161" s="1"/>
      <c r="IS161" s="1"/>
      <c r="IT161" s="1"/>
      <c r="IU161" s="1"/>
      <c r="IV161" s="1"/>
      <c r="IW161" s="1"/>
      <c r="IX161" s="1"/>
      <c r="IY161" s="1"/>
      <c r="IZ161" s="1"/>
      <c r="JA161" s="1"/>
      <c r="JB161" s="1"/>
      <c r="JC161" s="1"/>
      <c r="JD161" s="1"/>
    </row>
    <row r="162" spans="1:264" s="347" customFormat="1" x14ac:dyDescent="0.2">
      <c r="A162" s="475" t="s">
        <v>275</v>
      </c>
      <c r="B162" s="348"/>
      <c r="BH162" s="398"/>
      <c r="BI162" s="428"/>
      <c r="BJ162" s="348"/>
      <c r="BK162" s="348"/>
      <c r="BL162" s="428"/>
      <c r="BM162" s="428"/>
      <c r="BN162" s="348"/>
      <c r="BO162" s="348"/>
      <c r="BP162" s="428"/>
      <c r="BQ162" s="428"/>
      <c r="BR162" s="348"/>
      <c r="BT162" s="428"/>
      <c r="BU162" s="428"/>
      <c r="BV162" s="348"/>
      <c r="BX162" s="428"/>
      <c r="BY162" s="428"/>
      <c r="BZ162" s="348"/>
      <c r="CB162" s="428"/>
      <c r="CC162" s="428"/>
      <c r="CD162" s="348"/>
      <c r="CF162" s="428"/>
      <c r="CG162" s="428"/>
      <c r="CH162" s="348"/>
      <c r="CJ162" s="428"/>
      <c r="CK162" s="428"/>
      <c r="CL162" s="348"/>
      <c r="CN162" s="428"/>
      <c r="CO162" s="428"/>
      <c r="CP162" s="348"/>
      <c r="CR162" s="476">
        <f>+CR157/CR161</f>
        <v>0.81143174720166855</v>
      </c>
      <c r="CS162" s="476">
        <f>+CS157/CS161</f>
        <v>1.3547108538256001</v>
      </c>
      <c r="CT162" s="476"/>
      <c r="CU162" s="476"/>
      <c r="CV162" s="476">
        <f>+CV157/CV161</f>
        <v>1.0686078501288061</v>
      </c>
      <c r="CW162" s="476">
        <f>+CW157/CW161</f>
        <v>0.59023580919368435</v>
      </c>
      <c r="CX162" s="476"/>
      <c r="CY162" s="476"/>
      <c r="CZ162" s="476">
        <f>+CZ157/CZ161</f>
        <v>-0.42194892056027411</v>
      </c>
      <c r="DA162" s="476">
        <f>+DA157/DA161</f>
        <v>0.7942915618358124</v>
      </c>
      <c r="DB162" s="476"/>
      <c r="DC162" s="476"/>
      <c r="DD162" s="476">
        <f>+DD157/DD161</f>
        <v>1.2499909921605479</v>
      </c>
      <c r="DE162" s="476">
        <f>+DE157/DE161</f>
        <v>1.2574508669520832</v>
      </c>
      <c r="DF162" s="476"/>
      <c r="DG162" s="476"/>
      <c r="DH162" s="476">
        <f>+DH157/DH161</f>
        <v>1.3316978986268306</v>
      </c>
      <c r="DI162" s="476">
        <f>+DI157/DI161</f>
        <v>1.2</v>
      </c>
      <c r="DJ162" s="476"/>
      <c r="DK162" s="476"/>
      <c r="DL162" s="476">
        <f>+DL157/DL161</f>
        <v>1.125</v>
      </c>
      <c r="DM162" s="476">
        <f>+DM157/DM161</f>
        <v>1.125</v>
      </c>
      <c r="DN162" s="476"/>
      <c r="DO162" s="476"/>
      <c r="DP162" s="476">
        <f>+DP157/DP161</f>
        <v>1</v>
      </c>
      <c r="DQ162" s="476">
        <f>+DQ157/DQ161</f>
        <v>1</v>
      </c>
      <c r="DR162" s="476"/>
      <c r="DS162" s="476"/>
      <c r="DT162" s="1"/>
      <c r="DU162" s="1"/>
      <c r="DV162" s="1"/>
      <c r="DW162" s="1"/>
      <c r="DX162" s="1"/>
      <c r="DY162" s="1"/>
      <c r="DZ162" s="1"/>
      <c r="EA162" s="1"/>
      <c r="EB162" s="1"/>
      <c r="EC162" s="1"/>
      <c r="ED162" s="1"/>
      <c r="EE162" s="1"/>
      <c r="EF162" s="1"/>
      <c r="EG162" s="1"/>
      <c r="EH162" s="1"/>
      <c r="EI162" s="1"/>
      <c r="EJ162" s="1"/>
      <c r="EK162" s="1"/>
      <c r="EL162" s="1"/>
      <c r="EM162" s="1"/>
      <c r="EN162" s="1"/>
      <c r="EO162" s="1"/>
      <c r="EP162" s="1"/>
      <c r="EQ162" s="1"/>
      <c r="ER162" s="1"/>
      <c r="ES162" s="1"/>
      <c r="ET162" s="1"/>
      <c r="EU162" s="1"/>
      <c r="EV162" s="1"/>
      <c r="EW162" s="1"/>
      <c r="EX162" s="1"/>
      <c r="EY162" s="1"/>
      <c r="EZ162" s="1"/>
      <c r="FA162" s="1"/>
      <c r="FB162" s="1"/>
      <c r="FC162" s="1"/>
      <c r="FD162" s="1"/>
      <c r="FE162" s="1"/>
      <c r="FF162" s="1"/>
      <c r="FG162" s="1"/>
      <c r="FH162" s="1"/>
      <c r="FI162" s="1"/>
      <c r="FJ162" s="1"/>
      <c r="FK162" s="1"/>
      <c r="FL162" s="1"/>
      <c r="FM162" s="1"/>
      <c r="FN162" s="1"/>
      <c r="FO162" s="1"/>
      <c r="FP162" s="1"/>
      <c r="FQ162" s="1"/>
      <c r="FR162" s="1"/>
      <c r="FS162" s="1"/>
      <c r="FT162" s="1"/>
      <c r="FU162" s="1"/>
      <c r="FV162" s="1"/>
      <c r="FW162" s="1"/>
      <c r="FX162" s="1"/>
      <c r="FY162" s="1"/>
      <c r="FZ162" s="1"/>
      <c r="GA162" s="1"/>
      <c r="GB162" s="1"/>
      <c r="GC162" s="1"/>
      <c r="GD162" s="1"/>
      <c r="GE162" s="1"/>
      <c r="GF162" s="1"/>
      <c r="GG162" s="1"/>
      <c r="GH162" s="1"/>
      <c r="GI162" s="1"/>
      <c r="GJ162" s="1"/>
      <c r="GK162" s="1"/>
      <c r="GL162" s="1"/>
      <c r="GM162" s="1"/>
      <c r="GN162" s="1"/>
      <c r="GO162" s="1"/>
      <c r="GP162" s="1"/>
      <c r="GQ162" s="1"/>
      <c r="GR162" s="1"/>
      <c r="GS162" s="1"/>
      <c r="GT162" s="1"/>
      <c r="GU162" s="1"/>
      <c r="GV162" s="1"/>
      <c r="GW162" s="1"/>
      <c r="GX162" s="1"/>
      <c r="GY162" s="1"/>
      <c r="GZ162" s="1"/>
      <c r="HA162" s="1"/>
      <c r="HB162" s="1"/>
      <c r="HC162" s="1"/>
      <c r="HD162" s="1"/>
      <c r="HE162" s="1"/>
      <c r="HF162" s="1"/>
      <c r="HG162" s="1"/>
      <c r="HH162" s="1"/>
      <c r="HI162" s="1"/>
      <c r="HJ162" s="1"/>
      <c r="HK162" s="1"/>
      <c r="HL162" s="1"/>
      <c r="HM162" s="1"/>
      <c r="HN162" s="1"/>
      <c r="HO162" s="1"/>
      <c r="HP162" s="1"/>
      <c r="HQ162" s="1"/>
      <c r="HR162" s="1"/>
      <c r="HS162" s="1"/>
      <c r="HT162" s="1"/>
      <c r="HU162" s="1"/>
      <c r="HV162" s="1"/>
      <c r="HW162" s="1"/>
      <c r="HX162" s="1"/>
      <c r="HY162" s="1"/>
      <c r="HZ162" s="1"/>
      <c r="IA162" s="1"/>
      <c r="IB162" s="1"/>
      <c r="IC162" s="1"/>
      <c r="ID162" s="1"/>
      <c r="IE162" s="1"/>
      <c r="IF162" s="1"/>
      <c r="IG162" s="1"/>
      <c r="IH162" s="1"/>
      <c r="II162" s="1"/>
      <c r="IJ162" s="1"/>
      <c r="IK162" s="1"/>
      <c r="IL162" s="1"/>
      <c r="IM162" s="1"/>
      <c r="IN162" s="1"/>
      <c r="IO162" s="1"/>
      <c r="IP162" s="1"/>
      <c r="IQ162" s="1"/>
      <c r="IR162" s="1"/>
      <c r="IS162" s="1"/>
      <c r="IT162" s="1"/>
      <c r="IU162" s="1"/>
      <c r="IV162" s="1"/>
      <c r="IW162" s="1"/>
      <c r="IX162" s="1"/>
      <c r="IY162" s="1"/>
      <c r="IZ162" s="1"/>
      <c r="JA162" s="1"/>
      <c r="JB162" s="1"/>
      <c r="JC162" s="1"/>
      <c r="JD162" s="1"/>
    </row>
    <row r="163" spans="1:264" s="347" customFormat="1" x14ac:dyDescent="0.2">
      <c r="B163" s="348"/>
      <c r="BH163" s="398"/>
      <c r="BI163" s="348"/>
      <c r="BJ163" s="348"/>
      <c r="BK163" s="348"/>
      <c r="BL163" s="398"/>
      <c r="BM163" s="348"/>
      <c r="BN163" s="348"/>
      <c r="BO163" s="348"/>
      <c r="BP163" s="398"/>
      <c r="BQ163" s="348"/>
      <c r="BR163" s="348"/>
      <c r="BT163" s="398"/>
      <c r="BU163" s="348"/>
      <c r="BV163" s="348"/>
      <c r="BX163" s="398"/>
      <c r="BY163" s="348"/>
      <c r="BZ163" s="348"/>
      <c r="CB163" s="398"/>
      <c r="CC163" s="348"/>
      <c r="CD163" s="348"/>
      <c r="CF163" s="398"/>
      <c r="CG163" s="348"/>
      <c r="CH163" s="348"/>
      <c r="CJ163" s="398"/>
      <c r="CK163" s="348"/>
      <c r="CL163" s="348"/>
      <c r="CN163" s="348"/>
      <c r="CO163" s="348"/>
      <c r="CP163" s="348"/>
      <c r="CR163" s="348"/>
      <c r="CS163" s="348"/>
      <c r="CT163" s="348"/>
      <c r="CV163" s="348"/>
      <c r="CW163" s="348"/>
      <c r="CX163" s="348"/>
      <c r="CZ163" s="348"/>
      <c r="DA163" s="348"/>
      <c r="DB163" s="348"/>
      <c r="DD163" s="348"/>
      <c r="DE163" s="348"/>
      <c r="DF163" s="348"/>
      <c r="DH163" s="348"/>
      <c r="DI163" s="348"/>
      <c r="DJ163" s="348"/>
      <c r="DL163" s="348"/>
      <c r="DM163" s="348"/>
      <c r="DN163" s="348"/>
      <c r="DP163" s="348"/>
      <c r="DQ163" s="348"/>
      <c r="DR163" s="348"/>
      <c r="DT163" s="1"/>
      <c r="DU163" s="1"/>
      <c r="DV163" s="1"/>
      <c r="DW163" s="1"/>
      <c r="DX163" s="1"/>
      <c r="DY163" s="1"/>
      <c r="DZ163" s="1"/>
      <c r="EA163" s="1"/>
      <c r="EB163" s="1"/>
      <c r="EC163" s="1"/>
      <c r="ED163" s="1"/>
      <c r="EE163" s="1"/>
      <c r="EF163" s="1"/>
      <c r="EG163" s="1"/>
      <c r="EH163" s="1"/>
      <c r="EI163" s="1"/>
      <c r="EJ163" s="1"/>
      <c r="EK163" s="1"/>
      <c r="EL163" s="1"/>
      <c r="EM163" s="1"/>
      <c r="EN163" s="1"/>
      <c r="EO163" s="1"/>
      <c r="EP163" s="1"/>
      <c r="EQ163" s="1"/>
      <c r="ER163" s="1"/>
      <c r="ES163" s="1"/>
      <c r="ET163" s="1"/>
      <c r="EU163" s="1"/>
      <c r="EV163" s="1"/>
      <c r="EW163" s="1"/>
      <c r="EX163" s="1"/>
      <c r="EY163" s="1"/>
      <c r="EZ163" s="1"/>
      <c r="FA163" s="1"/>
      <c r="FB163" s="1"/>
      <c r="FC163" s="1"/>
      <c r="FD163" s="1"/>
      <c r="FE163" s="1"/>
      <c r="FF163" s="1"/>
      <c r="FG163" s="1"/>
      <c r="FH163" s="1"/>
      <c r="FI163" s="1"/>
      <c r="FJ163" s="1"/>
      <c r="FK163" s="1"/>
      <c r="FL163" s="1"/>
      <c r="FM163" s="1"/>
      <c r="FN163" s="1"/>
      <c r="FO163" s="1"/>
      <c r="FP163" s="1"/>
      <c r="FQ163" s="1"/>
      <c r="FR163" s="1"/>
      <c r="FS163" s="1"/>
      <c r="FT163" s="1"/>
      <c r="FU163" s="1"/>
      <c r="FV163" s="1"/>
      <c r="FW163" s="1"/>
      <c r="FX163" s="1"/>
      <c r="FY163" s="1"/>
      <c r="FZ163" s="1"/>
      <c r="GA163" s="1"/>
      <c r="GB163" s="1"/>
      <c r="GC163" s="1"/>
      <c r="GD163" s="1"/>
      <c r="GE163" s="1"/>
      <c r="GF163" s="1"/>
      <c r="GG163" s="1"/>
      <c r="GH163" s="1"/>
      <c r="GI163" s="1"/>
      <c r="GJ163" s="1"/>
      <c r="GK163" s="1"/>
      <c r="GL163" s="1"/>
      <c r="GM163" s="1"/>
      <c r="GN163" s="1"/>
      <c r="GO163" s="1"/>
      <c r="GP163" s="1"/>
      <c r="GQ163" s="1"/>
      <c r="GR163" s="1"/>
      <c r="GS163" s="1"/>
      <c r="GT163" s="1"/>
      <c r="GU163" s="1"/>
      <c r="GV163" s="1"/>
      <c r="GW163" s="1"/>
      <c r="GX163" s="1"/>
      <c r="GY163" s="1"/>
      <c r="GZ163" s="1"/>
      <c r="HA163" s="1"/>
      <c r="HB163" s="1"/>
      <c r="HC163" s="1"/>
      <c r="HD163" s="1"/>
      <c r="HE163" s="1"/>
      <c r="HF163" s="1"/>
      <c r="HG163" s="1"/>
      <c r="HH163" s="1"/>
      <c r="HI163" s="1"/>
      <c r="HJ163" s="1"/>
      <c r="HK163" s="1"/>
      <c r="HL163" s="1"/>
      <c r="HM163" s="1"/>
      <c r="HN163" s="1"/>
      <c r="HO163" s="1"/>
      <c r="HP163" s="1"/>
      <c r="HQ163" s="1"/>
      <c r="HR163" s="1"/>
      <c r="HS163" s="1"/>
      <c r="HT163" s="1"/>
      <c r="HU163" s="1"/>
      <c r="HV163" s="1"/>
      <c r="HW163" s="1"/>
      <c r="HX163" s="1"/>
      <c r="HY163" s="1"/>
      <c r="HZ163" s="1"/>
      <c r="IA163" s="1"/>
      <c r="IB163" s="1"/>
      <c r="IC163" s="1"/>
      <c r="ID163" s="1"/>
      <c r="IE163" s="1"/>
      <c r="IF163" s="1"/>
      <c r="IG163" s="1"/>
      <c r="IH163" s="1"/>
      <c r="II163" s="1"/>
      <c r="IJ163" s="1"/>
      <c r="IK163" s="1"/>
      <c r="IL163" s="1"/>
      <c r="IM163" s="1"/>
      <c r="IN163" s="1"/>
      <c r="IO163" s="1"/>
      <c r="IP163" s="1"/>
      <c r="IQ163" s="1"/>
      <c r="IR163" s="1"/>
      <c r="IS163" s="1"/>
      <c r="IT163" s="1"/>
      <c r="IU163" s="1"/>
      <c r="IV163" s="1"/>
      <c r="IW163" s="1"/>
      <c r="IX163" s="1"/>
      <c r="IY163" s="1"/>
      <c r="IZ163" s="1"/>
      <c r="JA163" s="1"/>
      <c r="JB163" s="1"/>
      <c r="JC163" s="1"/>
      <c r="JD163" s="1"/>
    </row>
    <row r="164" spans="1:264" s="347" customFormat="1" x14ac:dyDescent="0.2">
      <c r="A164" s="411" t="s">
        <v>283</v>
      </c>
      <c r="B164" s="348"/>
      <c r="BH164" s="398"/>
      <c r="BI164" s="348"/>
      <c r="BJ164" s="348"/>
      <c r="BK164" s="348"/>
      <c r="BL164" s="398"/>
      <c r="BM164" s="348"/>
      <c r="BN164" s="348"/>
      <c r="BO164" s="348"/>
      <c r="BP164" s="398"/>
      <c r="BQ164" s="348"/>
      <c r="BR164" s="348"/>
      <c r="BT164" s="398"/>
      <c r="BU164" s="348"/>
      <c r="BV164" s="348"/>
      <c r="BX164" s="398"/>
      <c r="BY164" s="348"/>
      <c r="BZ164" s="348"/>
      <c r="CB164" s="398"/>
      <c r="CC164" s="348"/>
      <c r="CD164" s="348"/>
      <c r="CF164" s="398"/>
      <c r="CG164" s="348"/>
      <c r="CH164" s="348"/>
      <c r="CJ164" s="398"/>
      <c r="CK164" s="348"/>
      <c r="CL164" s="348"/>
      <c r="CN164" s="348"/>
      <c r="CO164" s="348"/>
      <c r="CP164" s="348"/>
      <c r="CR164" s="348"/>
      <c r="CS164" s="348"/>
      <c r="CT164" s="348"/>
      <c r="CV164" s="348"/>
      <c r="CW164" s="348"/>
      <c r="CX164" s="348"/>
      <c r="CZ164" s="348"/>
      <c r="DA164" s="348"/>
      <c r="DB164" s="348"/>
      <c r="DD164" s="348"/>
      <c r="DE164" s="348"/>
      <c r="DF164" s="348"/>
      <c r="DH164" s="348"/>
      <c r="DI164" s="348"/>
      <c r="DJ164" s="348"/>
      <c r="DL164" s="348"/>
      <c r="DM164" s="348"/>
      <c r="DN164" s="348"/>
      <c r="DP164" s="348"/>
      <c r="DQ164" s="348"/>
      <c r="DR164" s="348"/>
      <c r="DT164" s="1"/>
      <c r="DU164" s="1"/>
      <c r="DV164" s="1"/>
      <c r="DW164" s="1"/>
      <c r="DX164" s="1"/>
      <c r="DY164" s="1"/>
      <c r="DZ164" s="1"/>
      <c r="EA164" s="1"/>
      <c r="EB164" s="1"/>
      <c r="EC164" s="1"/>
      <c r="ED164" s="1"/>
      <c r="EE164" s="1"/>
      <c r="EF164" s="1"/>
      <c r="EG164" s="1"/>
      <c r="EH164" s="1"/>
      <c r="EI164" s="1"/>
      <c r="EJ164" s="1"/>
      <c r="EK164" s="1"/>
      <c r="EL164" s="1"/>
      <c r="EM164" s="1"/>
      <c r="EN164" s="1"/>
      <c r="EO164" s="1"/>
      <c r="EP164" s="1"/>
      <c r="EQ164" s="1"/>
      <c r="ER164" s="1"/>
      <c r="ES164" s="1"/>
      <c r="ET164" s="1"/>
      <c r="EU164" s="1"/>
      <c r="EV164" s="1"/>
      <c r="EW164" s="1"/>
      <c r="EX164" s="1"/>
      <c r="EY164" s="1"/>
      <c r="EZ164" s="1"/>
      <c r="FA164" s="1"/>
      <c r="FB164" s="1"/>
      <c r="FC164" s="1"/>
      <c r="FD164" s="1"/>
      <c r="FE164" s="1"/>
      <c r="FF164" s="1"/>
      <c r="FG164" s="1"/>
      <c r="FH164" s="1"/>
      <c r="FI164" s="1"/>
      <c r="FJ164" s="1"/>
      <c r="FK164" s="1"/>
      <c r="FL164" s="1"/>
      <c r="FM164" s="1"/>
      <c r="FN164" s="1"/>
      <c r="FO164" s="1"/>
      <c r="FP164" s="1"/>
      <c r="FQ164" s="1"/>
      <c r="FR164" s="1"/>
      <c r="FS164" s="1"/>
      <c r="FT164" s="1"/>
      <c r="FU164" s="1"/>
      <c r="FV164" s="1"/>
      <c r="FW164" s="1"/>
      <c r="FX164" s="1"/>
      <c r="FY164" s="1"/>
      <c r="FZ164" s="1"/>
      <c r="GA164" s="1"/>
      <c r="GB164" s="1"/>
      <c r="GC164" s="1"/>
      <c r="GD164" s="1"/>
      <c r="GE164" s="1"/>
      <c r="GF164" s="1"/>
      <c r="GG164" s="1"/>
      <c r="GH164" s="1"/>
      <c r="GI164" s="1"/>
      <c r="GJ164" s="1"/>
      <c r="GK164" s="1"/>
      <c r="GL164" s="1"/>
      <c r="GM164" s="1"/>
      <c r="GN164" s="1"/>
      <c r="GO164" s="1"/>
      <c r="GP164" s="1"/>
      <c r="GQ164" s="1"/>
      <c r="GR164" s="1"/>
      <c r="GS164" s="1"/>
      <c r="GT164" s="1"/>
      <c r="GU164" s="1"/>
      <c r="GV164" s="1"/>
      <c r="GW164" s="1"/>
      <c r="GX164" s="1"/>
      <c r="GY164" s="1"/>
      <c r="GZ164" s="1"/>
      <c r="HA164" s="1"/>
      <c r="HB164" s="1"/>
      <c r="HC164" s="1"/>
      <c r="HD164" s="1"/>
      <c r="HE164" s="1"/>
      <c r="HF164" s="1"/>
      <c r="HG164" s="1"/>
      <c r="HH164" s="1"/>
      <c r="HI164" s="1"/>
      <c r="HJ164" s="1"/>
      <c r="HK164" s="1"/>
      <c r="HL164" s="1"/>
      <c r="HM164" s="1"/>
      <c r="HN164" s="1"/>
      <c r="HO164" s="1"/>
      <c r="HP164" s="1"/>
      <c r="HQ164" s="1"/>
      <c r="HR164" s="1"/>
      <c r="HS164" s="1"/>
      <c r="HT164" s="1"/>
      <c r="HU164" s="1"/>
      <c r="HV164" s="1"/>
      <c r="HW164" s="1"/>
      <c r="HX164" s="1"/>
      <c r="HY164" s="1"/>
      <c r="HZ164" s="1"/>
      <c r="IA164" s="1"/>
      <c r="IB164" s="1"/>
      <c r="IC164" s="1"/>
      <c r="ID164" s="1"/>
      <c r="IE164" s="1"/>
      <c r="IF164" s="1"/>
      <c r="IG164" s="1"/>
      <c r="IH164" s="1"/>
      <c r="II164" s="1"/>
      <c r="IJ164" s="1"/>
      <c r="IK164" s="1"/>
      <c r="IL164" s="1"/>
      <c r="IM164" s="1"/>
      <c r="IN164" s="1"/>
      <c r="IO164" s="1"/>
      <c r="IP164" s="1"/>
      <c r="IQ164" s="1"/>
      <c r="IR164" s="1"/>
      <c r="IS164" s="1"/>
      <c r="IT164" s="1"/>
      <c r="IU164" s="1"/>
      <c r="IV164" s="1"/>
      <c r="IW164" s="1"/>
      <c r="IX164" s="1"/>
      <c r="IY164" s="1"/>
      <c r="IZ164" s="1"/>
      <c r="JA164" s="1"/>
      <c r="JB164" s="1"/>
      <c r="JC164" s="1"/>
      <c r="JD164" s="1"/>
    </row>
    <row r="165" spans="1:264" s="347" customFormat="1" x14ac:dyDescent="0.2">
      <c r="A165" s="347" t="s">
        <v>89</v>
      </c>
      <c r="B165" s="348" t="s">
        <v>22</v>
      </c>
      <c r="BE165" s="398">
        <v>737</v>
      </c>
      <c r="BF165" s="351">
        <f>BE165</f>
        <v>737</v>
      </c>
      <c r="BH165" s="398">
        <v>758</v>
      </c>
      <c r="BI165" s="398">
        <v>828</v>
      </c>
      <c r="BJ165" s="351">
        <f>BI165</f>
        <v>828</v>
      </c>
      <c r="BK165" s="348"/>
      <c r="BL165" s="398">
        <v>823</v>
      </c>
      <c r="BM165" s="398">
        <v>830</v>
      </c>
      <c r="BN165" s="351">
        <f>BM165</f>
        <v>830</v>
      </c>
      <c r="BO165" s="348"/>
      <c r="BP165" s="398">
        <v>894</v>
      </c>
      <c r="BQ165" s="398">
        <v>914</v>
      </c>
      <c r="BR165" s="351">
        <f>BQ165</f>
        <v>914</v>
      </c>
      <c r="BT165" s="398">
        <v>947</v>
      </c>
      <c r="BU165" s="398">
        <v>982</v>
      </c>
      <c r="BV165" s="351">
        <f>BU165</f>
        <v>982</v>
      </c>
      <c r="BX165" s="398">
        <v>1022</v>
      </c>
      <c r="BY165" s="398">
        <v>949</v>
      </c>
      <c r="BZ165" s="351">
        <f>BY165</f>
        <v>949</v>
      </c>
      <c r="CB165" s="398">
        <v>861</v>
      </c>
      <c r="CC165" s="398">
        <v>873</v>
      </c>
      <c r="CD165" s="351">
        <f>CC165</f>
        <v>873</v>
      </c>
      <c r="CF165" s="398">
        <v>896</v>
      </c>
      <c r="CG165" s="398">
        <v>902</v>
      </c>
      <c r="CH165" s="351">
        <f>CG165</f>
        <v>902</v>
      </c>
      <c r="CJ165" s="398">
        <v>834</v>
      </c>
      <c r="CK165" s="398">
        <v>724</v>
      </c>
      <c r="CL165" s="351">
        <f>CK165</f>
        <v>724</v>
      </c>
      <c r="CN165" s="398">
        <v>592</v>
      </c>
      <c r="CO165" s="398">
        <v>522</v>
      </c>
      <c r="CP165" s="351">
        <f>CO165</f>
        <v>522</v>
      </c>
      <c r="CR165" s="398">
        <v>472</v>
      </c>
      <c r="CS165" s="398">
        <v>422</v>
      </c>
      <c r="CT165" s="351">
        <f>CS165</f>
        <v>422</v>
      </c>
      <c r="CV165" s="398">
        <v>353</v>
      </c>
      <c r="CW165" s="398">
        <v>337</v>
      </c>
      <c r="CX165" s="351">
        <f>CW165</f>
        <v>337</v>
      </c>
      <c r="CZ165" s="398">
        <v>99</v>
      </c>
      <c r="DA165" s="398">
        <v>82</v>
      </c>
      <c r="DB165" s="351">
        <f>DA165</f>
        <v>82</v>
      </c>
      <c r="DD165" s="398">
        <v>61</v>
      </c>
      <c r="DE165" s="398">
        <v>53</v>
      </c>
      <c r="DF165" s="351">
        <f>DE165</f>
        <v>53</v>
      </c>
      <c r="DH165" s="398">
        <v>41</v>
      </c>
      <c r="DI165" s="351">
        <f>DI174/DI66</f>
        <v>37.859746478873241</v>
      </c>
      <c r="DJ165" s="351">
        <f>DI165</f>
        <v>37.859746478873241</v>
      </c>
      <c r="DL165" s="351">
        <f>DL174/DL66</f>
        <v>37.102551549295775</v>
      </c>
      <c r="DM165" s="351">
        <f>DM174/DM66</f>
        <v>36.360500518309863</v>
      </c>
      <c r="DN165" s="351">
        <f>DM165</f>
        <v>36.360500518309863</v>
      </c>
      <c r="DP165" s="351">
        <f>DP174/DP66</f>
        <v>35.633290507943663</v>
      </c>
      <c r="DQ165" s="351">
        <f>DQ174/DQ66</f>
        <v>34.920624697784788</v>
      </c>
      <c r="DR165" s="351">
        <f>DQ165</f>
        <v>34.920624697784788</v>
      </c>
      <c r="DT165" s="1"/>
      <c r="DU165" s="1"/>
      <c r="DV165" s="1"/>
      <c r="DW165" s="1"/>
      <c r="DX165" s="1"/>
      <c r="DY165" s="1"/>
      <c r="DZ165" s="1"/>
      <c r="EA165" s="1"/>
      <c r="EB165" s="1"/>
      <c r="EC165" s="1"/>
      <c r="ED165" s="1"/>
      <c r="EE165" s="1"/>
      <c r="EF165" s="1"/>
      <c r="EG165" s="1"/>
      <c r="EH165" s="1"/>
      <c r="EI165" s="1"/>
      <c r="EJ165" s="1"/>
      <c r="EK165" s="1"/>
      <c r="EL165" s="1"/>
      <c r="EM165" s="1"/>
      <c r="EN165" s="1"/>
      <c r="EO165" s="1"/>
      <c r="EP165" s="1"/>
      <c r="EQ165" s="1"/>
      <c r="ER165" s="1"/>
      <c r="ES165" s="1"/>
      <c r="ET165" s="1"/>
      <c r="EU165" s="1"/>
      <c r="EV165" s="1"/>
      <c r="EW165" s="1"/>
      <c r="EX165" s="1"/>
      <c r="EY165" s="1"/>
      <c r="EZ165" s="1"/>
      <c r="FA165" s="1"/>
      <c r="FB165" s="1"/>
      <c r="FC165" s="1"/>
      <c r="FD165" s="1"/>
      <c r="FE165" s="1"/>
      <c r="FF165" s="1"/>
      <c r="FG165" s="1"/>
      <c r="FH165" s="1"/>
      <c r="FI165" s="1"/>
      <c r="FJ165" s="1"/>
      <c r="FK165" s="1"/>
      <c r="FL165" s="1"/>
      <c r="FM165" s="1"/>
      <c r="FN165" s="1"/>
      <c r="FO165" s="1"/>
      <c r="FP165" s="1"/>
      <c r="FQ165" s="1"/>
      <c r="FR165" s="1"/>
      <c r="FS165" s="1"/>
      <c r="FT165" s="1"/>
      <c r="FU165" s="1"/>
      <c r="FV165" s="1"/>
      <c r="FW165" s="1"/>
      <c r="FX165" s="1"/>
      <c r="FY165" s="1"/>
      <c r="FZ165" s="1"/>
      <c r="GA165" s="1"/>
      <c r="GB165" s="1"/>
      <c r="GC165" s="1"/>
      <c r="GD165" s="1"/>
      <c r="GE165" s="1"/>
      <c r="GF165" s="1"/>
      <c r="GG165" s="1"/>
      <c r="GH165" s="1"/>
      <c r="GI165" s="1"/>
      <c r="GJ165" s="1"/>
      <c r="GK165" s="1"/>
      <c r="GL165" s="1"/>
      <c r="GM165" s="1"/>
      <c r="GN165" s="1"/>
      <c r="GO165" s="1"/>
      <c r="GP165" s="1"/>
      <c r="GQ165" s="1"/>
      <c r="GR165" s="1"/>
      <c r="GS165" s="1"/>
      <c r="GT165" s="1"/>
      <c r="GU165" s="1"/>
      <c r="GV165" s="1"/>
      <c r="GW165" s="1"/>
      <c r="GX165" s="1"/>
      <c r="GY165" s="1"/>
      <c r="GZ165" s="1"/>
      <c r="HA165" s="1"/>
      <c r="HB165" s="1"/>
      <c r="HC165" s="1"/>
      <c r="HD165" s="1"/>
      <c r="HE165" s="1"/>
      <c r="HF165" s="1"/>
      <c r="HG165" s="1"/>
      <c r="HH165" s="1"/>
      <c r="HI165" s="1"/>
      <c r="HJ165" s="1"/>
      <c r="HK165" s="1"/>
      <c r="HL165" s="1"/>
      <c r="HM165" s="1"/>
      <c r="HN165" s="1"/>
      <c r="HO165" s="1"/>
      <c r="HP165" s="1"/>
      <c r="HQ165" s="1"/>
      <c r="HR165" s="1"/>
      <c r="HS165" s="1"/>
      <c r="HT165" s="1"/>
      <c r="HU165" s="1"/>
      <c r="HV165" s="1"/>
      <c r="HW165" s="1"/>
      <c r="HX165" s="1"/>
      <c r="HY165" s="1"/>
      <c r="HZ165" s="1"/>
      <c r="IA165" s="1"/>
      <c r="IB165" s="1"/>
      <c r="IC165" s="1"/>
      <c r="ID165" s="1"/>
      <c r="IE165" s="1"/>
      <c r="IF165" s="1"/>
      <c r="IG165" s="1"/>
      <c r="IH165" s="1"/>
      <c r="II165" s="1"/>
      <c r="IJ165" s="1"/>
      <c r="IK165" s="1"/>
      <c r="IL165" s="1"/>
      <c r="IM165" s="1"/>
      <c r="IN165" s="1"/>
      <c r="IO165" s="1"/>
      <c r="IP165" s="1"/>
      <c r="IQ165" s="1"/>
      <c r="IR165" s="1"/>
      <c r="IS165" s="1"/>
      <c r="IT165" s="1"/>
      <c r="IU165" s="1"/>
      <c r="IV165" s="1"/>
      <c r="IW165" s="1"/>
      <c r="IX165" s="1"/>
      <c r="IY165" s="1"/>
      <c r="IZ165" s="1"/>
      <c r="JA165" s="1"/>
      <c r="JB165" s="1"/>
      <c r="JC165" s="1"/>
      <c r="JD165" s="1"/>
    </row>
    <row r="166" spans="1:264" s="347" customFormat="1" x14ac:dyDescent="0.2">
      <c r="A166" s="347" t="s">
        <v>271</v>
      </c>
      <c r="B166" s="348" t="s">
        <v>22</v>
      </c>
      <c r="BE166" s="351">
        <f>+BE167-BE165</f>
        <v>9518</v>
      </c>
      <c r="BF166" s="351">
        <f>BE166</f>
        <v>9518</v>
      </c>
      <c r="BH166" s="351">
        <f>+BH167-BH165</f>
        <v>9949</v>
      </c>
      <c r="BI166" s="351">
        <f>+BI167-BI165</f>
        <v>12613</v>
      </c>
      <c r="BJ166" s="351">
        <f>+BJ167-BJ165</f>
        <v>12613</v>
      </c>
      <c r="BK166" s="348"/>
      <c r="BL166" s="351">
        <f>+BL167-BL165</f>
        <v>16203</v>
      </c>
      <c r="BM166" s="351">
        <f>+BM167-BM165</f>
        <v>16309</v>
      </c>
      <c r="BN166" s="351">
        <f>+BN167-BN165</f>
        <v>16309</v>
      </c>
      <c r="BO166" s="348"/>
      <c r="BP166" s="351">
        <f>+BP167-BP165</f>
        <v>19543</v>
      </c>
      <c r="BQ166" s="351">
        <f>+BQ167-BQ165</f>
        <v>20796</v>
      </c>
      <c r="BR166" s="351">
        <f>+BR167-BR165</f>
        <v>20796</v>
      </c>
      <c r="BT166" s="351">
        <f>+BT167-BT165</f>
        <v>22834</v>
      </c>
      <c r="BU166" s="351">
        <f>+BU167-BU165</f>
        <v>22771</v>
      </c>
      <c r="BV166" s="351">
        <f>+BV167-BV165</f>
        <v>22771</v>
      </c>
      <c r="BX166" s="351">
        <f>+BX167-BX165</f>
        <v>23100</v>
      </c>
      <c r="BY166" s="351">
        <f>+BY167-BY165</f>
        <v>23939</v>
      </c>
      <c r="BZ166" s="351">
        <f>+BZ167-BZ165</f>
        <v>23939</v>
      </c>
      <c r="CB166" s="351">
        <f>+CB167-CB165</f>
        <v>24092</v>
      </c>
      <c r="CC166" s="351">
        <f>+CC167-CC165</f>
        <v>24202</v>
      </c>
      <c r="CD166" s="351">
        <f>+CD167-CD165</f>
        <v>24202</v>
      </c>
      <c r="CF166" s="351">
        <f>+CF167-CF165</f>
        <v>23921</v>
      </c>
      <c r="CG166" s="351">
        <f>+CG167-CG165</f>
        <v>20255</v>
      </c>
      <c r="CH166" s="351">
        <f>+CH167-CH165</f>
        <v>20255</v>
      </c>
      <c r="CJ166" s="351">
        <f>+CJ167-CJ165</f>
        <v>18397</v>
      </c>
      <c r="CK166" s="351">
        <f>+CK167-CK165</f>
        <v>17188</v>
      </c>
      <c r="CL166" s="351">
        <f>+CL167-CL165</f>
        <v>17188</v>
      </c>
      <c r="CN166" s="351">
        <f>+CN167-CN165</f>
        <v>15320</v>
      </c>
      <c r="CO166" s="351">
        <f>+CO167-CO165</f>
        <v>16122</v>
      </c>
      <c r="CP166" s="351">
        <f>+CP167-CP165</f>
        <v>16122</v>
      </c>
      <c r="CR166" s="351">
        <f>+CR167-CR165</f>
        <v>16624</v>
      </c>
      <c r="CS166" s="351">
        <f>+CS167-CS165</f>
        <v>16616</v>
      </c>
      <c r="CT166" s="351">
        <f>+CT167-CT165</f>
        <v>16616</v>
      </c>
      <c r="CV166" s="351">
        <f>+CV167-CV165</f>
        <v>14282</v>
      </c>
      <c r="CW166" s="351">
        <f>+CW167-CW165</f>
        <v>14445</v>
      </c>
      <c r="CX166" s="351">
        <f>+CX167-CX165</f>
        <v>14445</v>
      </c>
      <c r="CZ166" s="351">
        <f>+CZ167-CZ165</f>
        <v>13820</v>
      </c>
      <c r="DA166" s="351">
        <f>+DA167-DA165</f>
        <v>15025</v>
      </c>
      <c r="DB166" s="351">
        <f>+DB167-DB165</f>
        <v>15025</v>
      </c>
      <c r="DD166" s="351">
        <f>+DD167-DD165</f>
        <v>17906</v>
      </c>
      <c r="DE166" s="351">
        <f>+DE167-DE165</f>
        <v>18988</v>
      </c>
      <c r="DF166" s="351">
        <f>+DF167-DF165</f>
        <v>18988</v>
      </c>
      <c r="DH166" s="351">
        <f>+DH167-DH165</f>
        <v>18556</v>
      </c>
      <c r="DI166" s="351">
        <f>DI175/DI66</f>
        <v>17659.300901408449</v>
      </c>
      <c r="DJ166" s="351">
        <f>+DJ167-DJ165</f>
        <v>17659.300901408449</v>
      </c>
      <c r="DL166" s="351">
        <f>DL175/DL66</f>
        <v>17835.893910422536</v>
      </c>
      <c r="DM166" s="351">
        <f>DM175/DM66</f>
        <v>18014.252849526762</v>
      </c>
      <c r="DN166" s="351">
        <f>+DN167-DN165</f>
        <v>18014.252849526762</v>
      </c>
      <c r="DP166" s="351">
        <f>DP175/DP66</f>
        <v>18194.395378022029</v>
      </c>
      <c r="DQ166" s="351">
        <f>DQ175/DQ66</f>
        <v>18376.339331802246</v>
      </c>
      <c r="DR166" s="351">
        <f>+DR167-DR165</f>
        <v>18376.339331802246</v>
      </c>
      <c r="DT166" s="1"/>
      <c r="DU166" s="1"/>
      <c r="DV166" s="1"/>
      <c r="DW166" s="1"/>
      <c r="DX166" s="1"/>
      <c r="DY166" s="1"/>
      <c r="DZ166" s="1"/>
      <c r="EA166" s="1"/>
      <c r="EB166" s="1"/>
      <c r="EC166" s="1"/>
      <c r="ED166" s="1"/>
      <c r="EE166" s="1"/>
      <c r="EF166" s="1"/>
      <c r="EG166" s="1"/>
      <c r="EH166" s="1"/>
      <c r="EI166" s="1"/>
      <c r="EJ166" s="1"/>
      <c r="EK166" s="1"/>
      <c r="EL166" s="1"/>
      <c r="EM166" s="1"/>
      <c r="EN166" s="1"/>
      <c r="EO166" s="1"/>
      <c r="EP166" s="1"/>
      <c r="EQ166" s="1"/>
      <c r="ER166" s="1"/>
      <c r="ES166" s="1"/>
      <c r="ET166" s="1"/>
      <c r="EU166" s="1"/>
      <c r="EV166" s="1"/>
      <c r="EW166" s="1"/>
      <c r="EX166" s="1"/>
      <c r="EY166" s="1"/>
      <c r="EZ166" s="1"/>
      <c r="FA166" s="1"/>
      <c r="FB166" s="1"/>
      <c r="FC166" s="1"/>
      <c r="FD166" s="1"/>
      <c r="FE166" s="1"/>
      <c r="FF166" s="1"/>
      <c r="FG166" s="1"/>
      <c r="FH166" s="1"/>
      <c r="FI166" s="1"/>
      <c r="FJ166" s="1"/>
      <c r="FK166" s="1"/>
      <c r="FL166" s="1"/>
      <c r="FM166" s="1"/>
      <c r="FN166" s="1"/>
      <c r="FO166" s="1"/>
      <c r="FP166" s="1"/>
      <c r="FQ166" s="1"/>
      <c r="FR166" s="1"/>
      <c r="FS166" s="1"/>
      <c r="FT166" s="1"/>
      <c r="FU166" s="1"/>
      <c r="FV166" s="1"/>
      <c r="FW166" s="1"/>
      <c r="FX166" s="1"/>
      <c r="FY166" s="1"/>
      <c r="FZ166" s="1"/>
      <c r="GA166" s="1"/>
      <c r="GB166" s="1"/>
      <c r="GC166" s="1"/>
      <c r="GD166" s="1"/>
      <c r="GE166" s="1"/>
      <c r="GF166" s="1"/>
      <c r="GG166" s="1"/>
      <c r="GH166" s="1"/>
      <c r="GI166" s="1"/>
      <c r="GJ166" s="1"/>
      <c r="GK166" s="1"/>
      <c r="GL166" s="1"/>
      <c r="GM166" s="1"/>
      <c r="GN166" s="1"/>
      <c r="GO166" s="1"/>
      <c r="GP166" s="1"/>
      <c r="GQ166" s="1"/>
      <c r="GR166" s="1"/>
      <c r="GS166" s="1"/>
      <c r="GT166" s="1"/>
      <c r="GU166" s="1"/>
      <c r="GV166" s="1"/>
      <c r="GW166" s="1"/>
      <c r="GX166" s="1"/>
      <c r="GY166" s="1"/>
      <c r="GZ166" s="1"/>
      <c r="HA166" s="1"/>
      <c r="HB166" s="1"/>
      <c r="HC166" s="1"/>
      <c r="HD166" s="1"/>
      <c r="HE166" s="1"/>
      <c r="HF166" s="1"/>
      <c r="HG166" s="1"/>
      <c r="HH166" s="1"/>
      <c r="HI166" s="1"/>
      <c r="HJ166" s="1"/>
      <c r="HK166" s="1"/>
      <c r="HL166" s="1"/>
      <c r="HM166" s="1"/>
      <c r="HN166" s="1"/>
      <c r="HO166" s="1"/>
      <c r="HP166" s="1"/>
      <c r="HQ166" s="1"/>
      <c r="HR166" s="1"/>
      <c r="HS166" s="1"/>
      <c r="HT166" s="1"/>
      <c r="HU166" s="1"/>
      <c r="HV166" s="1"/>
      <c r="HW166" s="1"/>
      <c r="HX166" s="1"/>
      <c r="HY166" s="1"/>
      <c r="HZ166" s="1"/>
      <c r="IA166" s="1"/>
      <c r="IB166" s="1"/>
      <c r="IC166" s="1"/>
      <c r="ID166" s="1"/>
      <c r="IE166" s="1"/>
      <c r="IF166" s="1"/>
      <c r="IG166" s="1"/>
      <c r="IH166" s="1"/>
      <c r="II166" s="1"/>
      <c r="IJ166" s="1"/>
      <c r="IK166" s="1"/>
      <c r="IL166" s="1"/>
      <c r="IM166" s="1"/>
      <c r="IN166" s="1"/>
      <c r="IO166" s="1"/>
      <c r="IP166" s="1"/>
      <c r="IQ166" s="1"/>
      <c r="IR166" s="1"/>
      <c r="IS166" s="1"/>
      <c r="IT166" s="1"/>
      <c r="IU166" s="1"/>
      <c r="IV166" s="1"/>
      <c r="IW166" s="1"/>
      <c r="IX166" s="1"/>
      <c r="IY166" s="1"/>
      <c r="IZ166" s="1"/>
      <c r="JA166" s="1"/>
      <c r="JB166" s="1"/>
      <c r="JC166" s="1"/>
      <c r="JD166" s="1"/>
    </row>
    <row r="167" spans="1:264" s="347" customFormat="1" x14ac:dyDescent="0.2">
      <c r="A167" s="411" t="s">
        <v>272</v>
      </c>
      <c r="B167" s="348" t="s">
        <v>22</v>
      </c>
      <c r="BE167" s="398">
        <v>10255</v>
      </c>
      <c r="BF167" s="351">
        <f>BE167</f>
        <v>10255</v>
      </c>
      <c r="BH167" s="396">
        <v>10707</v>
      </c>
      <c r="BI167" s="396">
        <v>13441</v>
      </c>
      <c r="BJ167" s="397">
        <f>BI167</f>
        <v>13441</v>
      </c>
      <c r="BK167" s="348"/>
      <c r="BL167" s="396">
        <v>17026</v>
      </c>
      <c r="BM167" s="396">
        <v>17139</v>
      </c>
      <c r="BN167" s="397">
        <f>BM167</f>
        <v>17139</v>
      </c>
      <c r="BO167" s="348"/>
      <c r="BP167" s="396">
        <v>20437</v>
      </c>
      <c r="BQ167" s="396">
        <v>21710</v>
      </c>
      <c r="BR167" s="397">
        <f>BQ167</f>
        <v>21710</v>
      </c>
      <c r="BT167" s="396">
        <v>23781</v>
      </c>
      <c r="BU167" s="396">
        <v>23753</v>
      </c>
      <c r="BV167" s="397">
        <f>BU167</f>
        <v>23753</v>
      </c>
      <c r="BX167" s="396">
        <v>24122</v>
      </c>
      <c r="BY167" s="396">
        <v>24888</v>
      </c>
      <c r="BZ167" s="397">
        <f>BY167</f>
        <v>24888</v>
      </c>
      <c r="CB167" s="396">
        <v>24953</v>
      </c>
      <c r="CC167" s="396">
        <v>25075</v>
      </c>
      <c r="CD167" s="397">
        <f>CC167</f>
        <v>25075</v>
      </c>
      <c r="CF167" s="396">
        <v>24817</v>
      </c>
      <c r="CG167" s="396">
        <v>21157</v>
      </c>
      <c r="CH167" s="397">
        <f>CG167</f>
        <v>21157</v>
      </c>
      <c r="CJ167" s="396">
        <v>19231</v>
      </c>
      <c r="CK167" s="396">
        <v>17912</v>
      </c>
      <c r="CL167" s="397">
        <f>CK167</f>
        <v>17912</v>
      </c>
      <c r="CN167" s="396">
        <v>15912</v>
      </c>
      <c r="CO167" s="396">
        <v>16644</v>
      </c>
      <c r="CP167" s="397">
        <f>CO167</f>
        <v>16644</v>
      </c>
      <c r="CR167" s="396">
        <v>17096</v>
      </c>
      <c r="CS167" s="396">
        <v>17038</v>
      </c>
      <c r="CT167" s="397">
        <f>CS167</f>
        <v>17038</v>
      </c>
      <c r="CV167" s="396">
        <v>14635</v>
      </c>
      <c r="CW167" s="396">
        <v>14782</v>
      </c>
      <c r="CX167" s="397">
        <f>CW167</f>
        <v>14782</v>
      </c>
      <c r="CZ167" s="396">
        <v>13919</v>
      </c>
      <c r="DA167" s="396">
        <v>15107</v>
      </c>
      <c r="DB167" s="397">
        <f>DA167</f>
        <v>15107</v>
      </c>
      <c r="DD167" s="396">
        <v>17967</v>
      </c>
      <c r="DE167" s="396">
        <v>19041</v>
      </c>
      <c r="DF167" s="397">
        <f>DE167</f>
        <v>19041</v>
      </c>
      <c r="DH167" s="396">
        <v>18597</v>
      </c>
      <c r="DI167" s="397">
        <f>SUM(DI165:DI166)</f>
        <v>17697.160647887322</v>
      </c>
      <c r="DJ167" s="397">
        <f>DI167</f>
        <v>17697.160647887322</v>
      </c>
      <c r="DL167" s="397">
        <f>SUM(DL165:DL166)</f>
        <v>17872.99646197183</v>
      </c>
      <c r="DM167" s="397">
        <f>SUM(DM165:DM166)</f>
        <v>18050.613350045071</v>
      </c>
      <c r="DN167" s="397">
        <f>DM167</f>
        <v>18050.613350045071</v>
      </c>
      <c r="DP167" s="397">
        <f>SUM(DP165:DP166)</f>
        <v>18230.028668529972</v>
      </c>
      <c r="DQ167" s="397">
        <f>SUM(DQ165:DQ166)</f>
        <v>18411.259956500031</v>
      </c>
      <c r="DR167" s="397">
        <f>DQ167</f>
        <v>18411.259956500031</v>
      </c>
      <c r="DT167" s="1"/>
      <c r="DU167" s="1"/>
      <c r="DV167" s="1"/>
      <c r="DW167" s="1"/>
      <c r="DX167" s="1"/>
      <c r="DY167" s="1"/>
      <c r="DZ167" s="1"/>
      <c r="EA167" s="1"/>
      <c r="EB167" s="1"/>
      <c r="EC167" s="1"/>
      <c r="ED167" s="1"/>
      <c r="EE167" s="1"/>
      <c r="EF167" s="1"/>
      <c r="EG167" s="1"/>
      <c r="EH167" s="1"/>
      <c r="EI167" s="1"/>
      <c r="EJ167" s="1"/>
      <c r="EK167" s="1"/>
      <c r="EL167" s="1"/>
      <c r="EM167" s="1"/>
      <c r="EN167" s="1"/>
      <c r="EO167" s="1"/>
      <c r="EP167" s="1"/>
      <c r="EQ167" s="1"/>
      <c r="ER167" s="1"/>
      <c r="ES167" s="1"/>
      <c r="ET167" s="1"/>
      <c r="EU167" s="1"/>
      <c r="EV167" s="1"/>
      <c r="EW167" s="1"/>
      <c r="EX167" s="1"/>
      <c r="EY167" s="1"/>
      <c r="EZ167" s="1"/>
      <c r="FA167" s="1"/>
      <c r="FB167" s="1"/>
      <c r="FC167" s="1"/>
      <c r="FD167" s="1"/>
      <c r="FE167" s="1"/>
      <c r="FF167" s="1"/>
      <c r="FG167" s="1"/>
      <c r="FH167" s="1"/>
      <c r="FI167" s="1"/>
      <c r="FJ167" s="1"/>
      <c r="FK167" s="1"/>
      <c r="FL167" s="1"/>
      <c r="FM167" s="1"/>
      <c r="FN167" s="1"/>
      <c r="FO167" s="1"/>
      <c r="FP167" s="1"/>
      <c r="FQ167" s="1"/>
      <c r="FR167" s="1"/>
      <c r="FS167" s="1"/>
      <c r="FT167" s="1"/>
      <c r="FU167" s="1"/>
      <c r="FV167" s="1"/>
      <c r="FW167" s="1"/>
      <c r="FX167" s="1"/>
      <c r="FY167" s="1"/>
      <c r="FZ167" s="1"/>
      <c r="GA167" s="1"/>
      <c r="GB167" s="1"/>
      <c r="GC167" s="1"/>
      <c r="GD167" s="1"/>
      <c r="GE167" s="1"/>
      <c r="GF167" s="1"/>
      <c r="GG167" s="1"/>
      <c r="GH167" s="1"/>
      <c r="GI167" s="1"/>
      <c r="GJ167" s="1"/>
      <c r="GK167" s="1"/>
      <c r="GL167" s="1"/>
      <c r="GM167" s="1"/>
      <c r="GN167" s="1"/>
      <c r="GO167" s="1"/>
      <c r="GP167" s="1"/>
      <c r="GQ167" s="1"/>
      <c r="GR167" s="1"/>
      <c r="GS167" s="1"/>
      <c r="GT167" s="1"/>
      <c r="GU167" s="1"/>
      <c r="GV167" s="1"/>
      <c r="GW167" s="1"/>
      <c r="GX167" s="1"/>
      <c r="GY167" s="1"/>
      <c r="GZ167" s="1"/>
      <c r="HA167" s="1"/>
      <c r="HB167" s="1"/>
      <c r="HC167" s="1"/>
      <c r="HD167" s="1"/>
      <c r="HE167" s="1"/>
      <c r="HF167" s="1"/>
      <c r="HG167" s="1"/>
      <c r="HH167" s="1"/>
      <c r="HI167" s="1"/>
      <c r="HJ167" s="1"/>
      <c r="HK167" s="1"/>
      <c r="HL167" s="1"/>
      <c r="HM167" s="1"/>
      <c r="HN167" s="1"/>
      <c r="HO167" s="1"/>
      <c r="HP167" s="1"/>
      <c r="HQ167" s="1"/>
      <c r="HR167" s="1"/>
      <c r="HS167" s="1"/>
      <c r="HT167" s="1"/>
      <c r="HU167" s="1"/>
      <c r="HV167" s="1"/>
      <c r="HW167" s="1"/>
      <c r="HX167" s="1"/>
      <c r="HY167" s="1"/>
      <c r="HZ167" s="1"/>
      <c r="IA167" s="1"/>
      <c r="IB167" s="1"/>
      <c r="IC167" s="1"/>
      <c r="ID167" s="1"/>
      <c r="IE167" s="1"/>
      <c r="IF167" s="1"/>
      <c r="IG167" s="1"/>
      <c r="IH167" s="1"/>
      <c r="II167" s="1"/>
      <c r="IJ167" s="1"/>
      <c r="IK167" s="1"/>
      <c r="IL167" s="1"/>
      <c r="IM167" s="1"/>
      <c r="IN167" s="1"/>
      <c r="IO167" s="1"/>
      <c r="IP167" s="1"/>
      <c r="IQ167" s="1"/>
      <c r="IR167" s="1"/>
      <c r="IS167" s="1"/>
      <c r="IT167" s="1"/>
      <c r="IU167" s="1"/>
      <c r="IV167" s="1"/>
      <c r="IW167" s="1"/>
      <c r="IX167" s="1"/>
      <c r="IY167" s="1"/>
      <c r="IZ167" s="1"/>
      <c r="JA167" s="1"/>
      <c r="JB167" s="1"/>
      <c r="JC167" s="1"/>
      <c r="JD167" s="1"/>
    </row>
    <row r="168" spans="1:264" s="347" customFormat="1" x14ac:dyDescent="0.2">
      <c r="A168" s="424" t="s">
        <v>273</v>
      </c>
      <c r="B168" s="348"/>
      <c r="BH168" s="398"/>
      <c r="BI168" s="348"/>
      <c r="BJ168" s="348"/>
      <c r="BK168" s="348"/>
      <c r="BL168" s="398"/>
      <c r="BM168" s="348"/>
      <c r="BN168" s="348"/>
      <c r="BO168" s="348"/>
      <c r="BP168" s="398"/>
      <c r="BQ168" s="348"/>
      <c r="BR168" s="348"/>
      <c r="BT168" s="398"/>
      <c r="BU168" s="348"/>
      <c r="BV168" s="348"/>
      <c r="BX168" s="398"/>
      <c r="BY168" s="348"/>
      <c r="BZ168" s="348"/>
      <c r="CB168" s="398"/>
      <c r="CC168" s="348"/>
      <c r="CD168" s="348"/>
      <c r="CF168" s="398"/>
      <c r="CG168" s="348"/>
      <c r="CH168" s="348"/>
      <c r="CJ168" s="398"/>
      <c r="CK168" s="348"/>
      <c r="CL168" s="348"/>
      <c r="CN168" s="398"/>
      <c r="CO168" s="348"/>
      <c r="CP168" s="348"/>
      <c r="CR168" s="398"/>
      <c r="CS168" s="348"/>
      <c r="CT168" s="348"/>
      <c r="CV168" s="398"/>
      <c r="CW168" s="348"/>
      <c r="CX168" s="348"/>
      <c r="CZ168" s="398"/>
      <c r="DA168" s="348"/>
      <c r="DB168" s="348"/>
      <c r="DD168" s="398"/>
      <c r="DE168" s="348"/>
      <c r="DF168" s="348"/>
      <c r="DH168" s="398"/>
      <c r="DI168" s="348"/>
      <c r="DJ168" s="348"/>
      <c r="DL168" s="348"/>
      <c r="DM168" s="348"/>
      <c r="DN168" s="348"/>
      <c r="DP168" s="348"/>
      <c r="DQ168" s="348"/>
      <c r="DR168" s="348"/>
      <c r="DT168" s="1"/>
      <c r="DU168" s="1"/>
      <c r="DV168" s="1"/>
      <c r="DW168" s="1"/>
      <c r="DX168" s="1"/>
      <c r="DY168" s="1"/>
      <c r="DZ168" s="1"/>
      <c r="EA168" s="1"/>
      <c r="EB168" s="1"/>
      <c r="EC168" s="1"/>
      <c r="ED168" s="1"/>
      <c r="EE168" s="1"/>
      <c r="EF168" s="1"/>
      <c r="EG168" s="1"/>
      <c r="EH168" s="1"/>
      <c r="EI168" s="1"/>
      <c r="EJ168" s="1"/>
      <c r="EK168" s="1"/>
      <c r="EL168" s="1"/>
      <c r="EM168" s="1"/>
      <c r="EN168" s="1"/>
      <c r="EO168" s="1"/>
      <c r="EP168" s="1"/>
      <c r="EQ168" s="1"/>
      <c r="ER168" s="1"/>
      <c r="ES168" s="1"/>
      <c r="ET168" s="1"/>
      <c r="EU168" s="1"/>
      <c r="EV168" s="1"/>
      <c r="EW168" s="1"/>
      <c r="EX168" s="1"/>
      <c r="EY168" s="1"/>
      <c r="EZ168" s="1"/>
      <c r="FA168" s="1"/>
      <c r="FB168" s="1"/>
      <c r="FC168" s="1"/>
      <c r="FD168" s="1"/>
      <c r="FE168" s="1"/>
      <c r="FF168" s="1"/>
      <c r="FG168" s="1"/>
      <c r="FH168" s="1"/>
      <c r="FI168" s="1"/>
      <c r="FJ168" s="1"/>
      <c r="FK168" s="1"/>
      <c r="FL168" s="1"/>
      <c r="FM168" s="1"/>
      <c r="FN168" s="1"/>
      <c r="FO168" s="1"/>
      <c r="FP168" s="1"/>
      <c r="FQ168" s="1"/>
      <c r="FR168" s="1"/>
      <c r="FS168" s="1"/>
      <c r="FT168" s="1"/>
      <c r="FU168" s="1"/>
      <c r="FV168" s="1"/>
      <c r="FW168" s="1"/>
      <c r="FX168" s="1"/>
      <c r="FY168" s="1"/>
      <c r="FZ168" s="1"/>
      <c r="GA168" s="1"/>
      <c r="GB168" s="1"/>
      <c r="GC168" s="1"/>
      <c r="GD168" s="1"/>
      <c r="GE168" s="1"/>
      <c r="GF168" s="1"/>
      <c r="GG168" s="1"/>
      <c r="GH168" s="1"/>
      <c r="GI168" s="1"/>
      <c r="GJ168" s="1"/>
      <c r="GK168" s="1"/>
      <c r="GL168" s="1"/>
      <c r="GM168" s="1"/>
      <c r="GN168" s="1"/>
      <c r="GO168" s="1"/>
      <c r="GP168" s="1"/>
      <c r="GQ168" s="1"/>
      <c r="GR168" s="1"/>
      <c r="GS168" s="1"/>
      <c r="GT168" s="1"/>
      <c r="GU168" s="1"/>
      <c r="GV168" s="1"/>
      <c r="GW168" s="1"/>
      <c r="GX168" s="1"/>
      <c r="GY168" s="1"/>
      <c r="GZ168" s="1"/>
      <c r="HA168" s="1"/>
      <c r="HB168" s="1"/>
      <c r="HC168" s="1"/>
      <c r="HD168" s="1"/>
      <c r="HE168" s="1"/>
      <c r="HF168" s="1"/>
      <c r="HG168" s="1"/>
      <c r="HH168" s="1"/>
      <c r="HI168" s="1"/>
      <c r="HJ168" s="1"/>
      <c r="HK168" s="1"/>
      <c r="HL168" s="1"/>
      <c r="HM168" s="1"/>
      <c r="HN168" s="1"/>
      <c r="HO168" s="1"/>
      <c r="HP168" s="1"/>
      <c r="HQ168" s="1"/>
      <c r="HR168" s="1"/>
      <c r="HS168" s="1"/>
      <c r="HT168" s="1"/>
      <c r="HU168" s="1"/>
      <c r="HV168" s="1"/>
      <c r="HW168" s="1"/>
      <c r="HX168" s="1"/>
      <c r="HY168" s="1"/>
      <c r="HZ168" s="1"/>
      <c r="IA168" s="1"/>
      <c r="IB168" s="1"/>
      <c r="IC168" s="1"/>
      <c r="ID168" s="1"/>
      <c r="IE168" s="1"/>
      <c r="IF168" s="1"/>
      <c r="IG168" s="1"/>
      <c r="IH168" s="1"/>
      <c r="II168" s="1"/>
      <c r="IJ168" s="1"/>
      <c r="IK168" s="1"/>
      <c r="IL168" s="1"/>
      <c r="IM168" s="1"/>
      <c r="IN168" s="1"/>
      <c r="IO168" s="1"/>
      <c r="IP168" s="1"/>
      <c r="IQ168" s="1"/>
      <c r="IR168" s="1"/>
      <c r="IS168" s="1"/>
      <c r="IT168" s="1"/>
      <c r="IU168" s="1"/>
      <c r="IV168" s="1"/>
      <c r="IW168" s="1"/>
      <c r="IX168" s="1"/>
      <c r="IY168" s="1"/>
      <c r="IZ168" s="1"/>
      <c r="JA168" s="1"/>
      <c r="JB168" s="1"/>
      <c r="JC168" s="1"/>
      <c r="JD168" s="1"/>
    </row>
    <row r="169" spans="1:264" s="347" customFormat="1" x14ac:dyDescent="0.2">
      <c r="A169" s="429" t="str">
        <f>+A165</f>
        <v>Housing Loans</v>
      </c>
      <c r="B169" s="408" t="s">
        <v>236</v>
      </c>
      <c r="BH169" s="398"/>
      <c r="BI169" s="394">
        <f>+BI165/BH165-1</f>
        <v>9.2348284960422244E-2</v>
      </c>
      <c r="BJ169" s="348"/>
      <c r="BK169" s="348"/>
      <c r="BL169" s="394">
        <f>+BL165/BI165-1</f>
        <v>-6.0386473429951959E-3</v>
      </c>
      <c r="BM169" s="394">
        <f>+BM165/BL165-1</f>
        <v>8.5054678007290274E-3</v>
      </c>
      <c r="BN169" s="348"/>
      <c r="BO169" s="348"/>
      <c r="BP169" s="394">
        <f>+BP165/BM165-1</f>
        <v>7.7108433734939696E-2</v>
      </c>
      <c r="BQ169" s="394">
        <f>+BQ165/BP165-1</f>
        <v>2.2371364653243742E-2</v>
      </c>
      <c r="BR169" s="348"/>
      <c r="BT169" s="394">
        <f>+BT165/BQ165-1</f>
        <v>3.6105032822757011E-2</v>
      </c>
      <c r="BU169" s="394">
        <f>+BU165/BT165-1</f>
        <v>3.6958817317845893E-2</v>
      </c>
      <c r="BV169" s="348"/>
      <c r="BX169" s="394">
        <f>+BX165/BU165-1</f>
        <v>4.0733197556008127E-2</v>
      </c>
      <c r="BY169" s="394">
        <f>+BY165/BX165-1</f>
        <v>-7.1428571428571397E-2</v>
      </c>
      <c r="BZ169" s="348"/>
      <c r="CB169" s="394">
        <f>+CB165/BY165-1</f>
        <v>-9.2729188619599556E-2</v>
      </c>
      <c r="CC169" s="394">
        <f>+CC165/CB165-1</f>
        <v>1.3937282229965264E-2</v>
      </c>
      <c r="CD169" s="348"/>
      <c r="CF169" s="394">
        <f>+CF165/CC165-1</f>
        <v>2.6345933562428314E-2</v>
      </c>
      <c r="CG169" s="394">
        <f>+CG165/CF165-1</f>
        <v>6.6964285714286031E-3</v>
      </c>
      <c r="CH169" s="348"/>
      <c r="CJ169" s="394">
        <f>+CJ165/CG165-1</f>
        <v>-7.5388026607538849E-2</v>
      </c>
      <c r="CK169" s="394">
        <f>+CK165/CJ165-1</f>
        <v>-0.13189448441246998</v>
      </c>
      <c r="CL169" s="348"/>
      <c r="CN169" s="394">
        <f>+CN165/CK165-1</f>
        <v>-0.18232044198895025</v>
      </c>
      <c r="CO169" s="394">
        <f>+CO165/CN165-1</f>
        <v>-0.1182432432432432</v>
      </c>
      <c r="CP169" s="348"/>
      <c r="CR169" s="394">
        <f>+CR165/CO165-1</f>
        <v>-9.5785440613026851E-2</v>
      </c>
      <c r="CS169" s="394">
        <f>+CS165/CR165-1</f>
        <v>-0.10593220338983056</v>
      </c>
      <c r="CT169" s="348"/>
      <c r="CV169" s="394">
        <f>+CV165/CS165-1</f>
        <v>-0.1635071090047393</v>
      </c>
      <c r="CW169" s="394">
        <f>+CW165/CV165-1</f>
        <v>-4.5325779036827218E-2</v>
      </c>
      <c r="CX169" s="348"/>
      <c r="CZ169" s="394">
        <f>+CZ165/CW165-1</f>
        <v>-0.70623145400593468</v>
      </c>
      <c r="DA169" s="394">
        <f>+DA165/CZ165-1</f>
        <v>-0.17171717171717171</v>
      </c>
      <c r="DB169" s="348"/>
      <c r="DD169" s="394">
        <f>+DD165/DA165-1</f>
        <v>-0.25609756097560976</v>
      </c>
      <c r="DE169" s="394">
        <f>+DE165/DD165-1</f>
        <v>-0.13114754098360659</v>
      </c>
      <c r="DF169" s="348"/>
      <c r="DH169" s="394">
        <f>+DH165/DE165-1</f>
        <v>-0.22641509433962259</v>
      </c>
      <c r="DI169" s="394">
        <f>+DI165/DH165-1</f>
        <v>-7.6591549295774608E-2</v>
      </c>
      <c r="DJ169" s="348"/>
      <c r="DL169" s="394">
        <f>+DL165/DI165-1</f>
        <v>-2.0000000000000018E-2</v>
      </c>
      <c r="DM169" s="394">
        <f>+DM165/DL165-1</f>
        <v>-1.9999999999999907E-2</v>
      </c>
      <c r="DN169" s="348"/>
      <c r="DP169" s="394">
        <f>+DP165/DM165-1</f>
        <v>-2.0000000000000018E-2</v>
      </c>
      <c r="DQ169" s="394">
        <f>+DQ165/DP165-1</f>
        <v>-2.0000000000000018E-2</v>
      </c>
      <c r="DR169" s="348"/>
      <c r="DT169" s="1"/>
      <c r="DU169" s="1"/>
      <c r="DV169" s="1"/>
      <c r="DW169" s="1"/>
      <c r="DX169" s="1"/>
      <c r="DY169" s="1"/>
      <c r="DZ169" s="1"/>
      <c r="EA169" s="1"/>
      <c r="EB169" s="1"/>
      <c r="EC169" s="1"/>
      <c r="ED169" s="1"/>
      <c r="EE169" s="1"/>
      <c r="EF169" s="1"/>
      <c r="EG169" s="1"/>
      <c r="EH169" s="1"/>
      <c r="EI169" s="1"/>
      <c r="EJ169" s="1"/>
      <c r="EK169" s="1"/>
      <c r="EL169" s="1"/>
      <c r="EM169" s="1"/>
      <c r="EN169" s="1"/>
      <c r="EO169" s="1"/>
      <c r="EP169" s="1"/>
      <c r="EQ169" s="1"/>
      <c r="ER169" s="1"/>
      <c r="ES169" s="1"/>
      <c r="ET169" s="1"/>
      <c r="EU169" s="1"/>
      <c r="EV169" s="1"/>
      <c r="EW169" s="1"/>
      <c r="EX169" s="1"/>
      <c r="EY169" s="1"/>
      <c r="EZ169" s="1"/>
      <c r="FA169" s="1"/>
      <c r="FB169" s="1"/>
      <c r="FC169" s="1"/>
      <c r="FD169" s="1"/>
      <c r="FE169" s="1"/>
      <c r="FF169" s="1"/>
      <c r="FG169" s="1"/>
      <c r="FH169" s="1"/>
      <c r="FI169" s="1"/>
      <c r="FJ169" s="1"/>
      <c r="FK169" s="1"/>
      <c r="FL169" s="1"/>
      <c r="FM169" s="1"/>
      <c r="FN169" s="1"/>
      <c r="FO169" s="1"/>
      <c r="FP169" s="1"/>
      <c r="FQ169" s="1"/>
      <c r="FR169" s="1"/>
      <c r="FS169" s="1"/>
      <c r="FT169" s="1"/>
      <c r="FU169" s="1"/>
      <c r="FV169" s="1"/>
      <c r="FW169" s="1"/>
      <c r="FX169" s="1"/>
      <c r="FY169" s="1"/>
      <c r="FZ169" s="1"/>
      <c r="GA169" s="1"/>
      <c r="GB169" s="1"/>
      <c r="GC169" s="1"/>
      <c r="GD169" s="1"/>
      <c r="GE169" s="1"/>
      <c r="GF169" s="1"/>
      <c r="GG169" s="1"/>
      <c r="GH169" s="1"/>
      <c r="GI169" s="1"/>
      <c r="GJ169" s="1"/>
      <c r="GK169" s="1"/>
      <c r="GL169" s="1"/>
      <c r="GM169" s="1"/>
      <c r="GN169" s="1"/>
      <c r="GO169" s="1"/>
      <c r="GP169" s="1"/>
      <c r="GQ169" s="1"/>
      <c r="GR169" s="1"/>
      <c r="GS169" s="1"/>
      <c r="GT169" s="1"/>
      <c r="GU169" s="1"/>
      <c r="GV169" s="1"/>
      <c r="GW169" s="1"/>
      <c r="GX169" s="1"/>
      <c r="GY169" s="1"/>
      <c r="GZ169" s="1"/>
      <c r="HA169" s="1"/>
      <c r="HB169" s="1"/>
      <c r="HC169" s="1"/>
      <c r="HD169" s="1"/>
      <c r="HE169" s="1"/>
      <c r="HF169" s="1"/>
      <c r="HG169" s="1"/>
      <c r="HH169" s="1"/>
      <c r="HI169" s="1"/>
      <c r="HJ169" s="1"/>
      <c r="HK169" s="1"/>
      <c r="HL169" s="1"/>
      <c r="HM169" s="1"/>
      <c r="HN169" s="1"/>
      <c r="HO169" s="1"/>
      <c r="HP169" s="1"/>
      <c r="HQ169" s="1"/>
      <c r="HR169" s="1"/>
      <c r="HS169" s="1"/>
      <c r="HT169" s="1"/>
      <c r="HU169" s="1"/>
      <c r="HV169" s="1"/>
      <c r="HW169" s="1"/>
      <c r="HX169" s="1"/>
      <c r="HY169" s="1"/>
      <c r="HZ169" s="1"/>
      <c r="IA169" s="1"/>
      <c r="IB169" s="1"/>
      <c r="IC169" s="1"/>
      <c r="ID169" s="1"/>
      <c r="IE169" s="1"/>
      <c r="IF169" s="1"/>
      <c r="IG169" s="1"/>
      <c r="IH169" s="1"/>
      <c r="II169" s="1"/>
      <c r="IJ169" s="1"/>
      <c r="IK169" s="1"/>
      <c r="IL169" s="1"/>
      <c r="IM169" s="1"/>
      <c r="IN169" s="1"/>
      <c r="IO169" s="1"/>
      <c r="IP169" s="1"/>
      <c r="IQ169" s="1"/>
      <c r="IR169" s="1"/>
      <c r="IS169" s="1"/>
      <c r="IT169" s="1"/>
      <c r="IU169" s="1"/>
      <c r="IV169" s="1"/>
      <c r="IW169" s="1"/>
      <c r="IX169" s="1"/>
      <c r="IY169" s="1"/>
      <c r="IZ169" s="1"/>
      <c r="JA169" s="1"/>
      <c r="JB169" s="1"/>
      <c r="JC169" s="1"/>
      <c r="JD169" s="1"/>
    </row>
    <row r="170" spans="1:264" s="347" customFormat="1" x14ac:dyDescent="0.2">
      <c r="A170" s="429" t="str">
        <f>+A166</f>
        <v>Non Housing Loans</v>
      </c>
      <c r="B170" s="408" t="s">
        <v>236</v>
      </c>
      <c r="BH170" s="398"/>
      <c r="BI170" s="394">
        <f>+BI166/BH166-1</f>
        <v>0.26776560458337517</v>
      </c>
      <c r="BJ170" s="348"/>
      <c r="BK170" s="348"/>
      <c r="BL170" s="394">
        <f>+BL166/BI166-1</f>
        <v>0.28462697217156907</v>
      </c>
      <c r="BM170" s="394">
        <f>+BM166/BL166-1</f>
        <v>6.5419983953589611E-3</v>
      </c>
      <c r="BN170" s="348"/>
      <c r="BO170" s="348"/>
      <c r="BP170" s="394">
        <f>+BP166/BM166-1</f>
        <v>0.19829541970691023</v>
      </c>
      <c r="BQ170" s="394">
        <f>+BQ166/BP166-1</f>
        <v>6.4115028398915141E-2</v>
      </c>
      <c r="BR170" s="348"/>
      <c r="BT170" s="394">
        <f>+BT166/BQ166-1</f>
        <v>9.7999615310636612E-2</v>
      </c>
      <c r="BU170" s="394">
        <f>+BU166/BT166-1</f>
        <v>-2.7590435315757444E-3</v>
      </c>
      <c r="BV170" s="348"/>
      <c r="BX170" s="394">
        <f>+BX166/BU166-1</f>
        <v>1.4448201660006044E-2</v>
      </c>
      <c r="BY170" s="394">
        <f>+BY166/BX166-1</f>
        <v>3.6320346320346308E-2</v>
      </c>
      <c r="BZ170" s="348"/>
      <c r="CB170" s="394">
        <f>+CB166/BY166-1</f>
        <v>6.3912444128826351E-3</v>
      </c>
      <c r="CC170" s="394">
        <f>+CC166/CB166-1</f>
        <v>4.5658309812386388E-3</v>
      </c>
      <c r="CD170" s="348"/>
      <c r="CF170" s="394">
        <f>+CF166/CC166-1</f>
        <v>-1.1610610693331136E-2</v>
      </c>
      <c r="CG170" s="394">
        <f>+CG166/CF166-1</f>
        <v>-0.15325446260607833</v>
      </c>
      <c r="CH170" s="348"/>
      <c r="CJ170" s="394">
        <f>+CJ166/CG166-1</f>
        <v>-9.1730436929153281E-2</v>
      </c>
      <c r="CK170" s="394">
        <f>+CK166/CJ166-1</f>
        <v>-6.571723650595207E-2</v>
      </c>
      <c r="CL170" s="348"/>
      <c r="CN170" s="394">
        <f>+CN166/CK166-1</f>
        <v>-0.10868047474982545</v>
      </c>
      <c r="CO170" s="394">
        <f>+CO166/CN166-1</f>
        <v>5.2349869451697062E-2</v>
      </c>
      <c r="CP170" s="348"/>
      <c r="CR170" s="394">
        <f>+CR166/CO166-1</f>
        <v>3.1137575983128718E-2</v>
      </c>
      <c r="CS170" s="394">
        <f>+CS166/CR166-1</f>
        <v>-4.8123195380178618E-4</v>
      </c>
      <c r="CT170" s="348"/>
      <c r="CV170" s="394">
        <f>+CV166/CS166-1</f>
        <v>-0.14046701974000964</v>
      </c>
      <c r="CW170" s="394">
        <f>+CW166/CV166-1</f>
        <v>1.1412967371516647E-2</v>
      </c>
      <c r="CX170" s="348"/>
      <c r="CZ170" s="394">
        <f>+CZ166/CW166-1</f>
        <v>-4.3267566632052668E-2</v>
      </c>
      <c r="DA170" s="394">
        <f>+DA166/CZ166-1</f>
        <v>8.7192474674384846E-2</v>
      </c>
      <c r="DB170" s="348"/>
      <c r="DD170" s="394">
        <f>+DD166/DA166-1</f>
        <v>0.19174708818635611</v>
      </c>
      <c r="DE170" s="394">
        <f>+DE166/DD166-1</f>
        <v>6.0426672623701494E-2</v>
      </c>
      <c r="DF170" s="348"/>
      <c r="DH170" s="394">
        <f>+DH166/DE166-1</f>
        <v>-2.2751211291341944E-2</v>
      </c>
      <c r="DI170" s="394">
        <f>+DI166/DH166-1</f>
        <v>-4.8323943661971902E-2</v>
      </c>
      <c r="DJ170" s="348"/>
      <c r="DL170" s="394">
        <f>+DL166/DI166-1</f>
        <v>1.0000000000000009E-2</v>
      </c>
      <c r="DM170" s="394">
        <f>+DM166/DL166-1</f>
        <v>1.0000000000000009E-2</v>
      </c>
      <c r="DN170" s="348"/>
      <c r="DP170" s="394">
        <f>+DP166/DM166-1</f>
        <v>1.0000000000000009E-2</v>
      </c>
      <c r="DQ170" s="394">
        <f>+DQ166/DP166-1</f>
        <v>9.9999999999997868E-3</v>
      </c>
      <c r="DR170" s="348"/>
      <c r="DT170" s="1"/>
      <c r="DU170" s="1"/>
      <c r="DV170" s="1"/>
      <c r="DW170" s="1"/>
      <c r="DX170" s="1"/>
      <c r="DY170" s="1"/>
      <c r="DZ170" s="1"/>
      <c r="EA170" s="1"/>
      <c r="EB170" s="1"/>
      <c r="EC170" s="1"/>
      <c r="ED170" s="1"/>
      <c r="EE170" s="1"/>
      <c r="EF170" s="1"/>
      <c r="EG170" s="1"/>
      <c r="EH170" s="1"/>
      <c r="EI170" s="1"/>
      <c r="EJ170" s="1"/>
      <c r="EK170" s="1"/>
      <c r="EL170" s="1"/>
      <c r="EM170" s="1"/>
      <c r="EN170" s="1"/>
      <c r="EO170" s="1"/>
      <c r="EP170" s="1"/>
      <c r="EQ170" s="1"/>
      <c r="ER170" s="1"/>
      <c r="ES170" s="1"/>
      <c r="ET170" s="1"/>
      <c r="EU170" s="1"/>
      <c r="EV170" s="1"/>
      <c r="EW170" s="1"/>
      <c r="EX170" s="1"/>
      <c r="EY170" s="1"/>
      <c r="EZ170" s="1"/>
      <c r="FA170" s="1"/>
      <c r="FB170" s="1"/>
      <c r="FC170" s="1"/>
      <c r="FD170" s="1"/>
      <c r="FE170" s="1"/>
      <c r="FF170" s="1"/>
      <c r="FG170" s="1"/>
      <c r="FH170" s="1"/>
      <c r="FI170" s="1"/>
      <c r="FJ170" s="1"/>
      <c r="FK170" s="1"/>
      <c r="FL170" s="1"/>
      <c r="FM170" s="1"/>
      <c r="FN170" s="1"/>
      <c r="FO170" s="1"/>
      <c r="FP170" s="1"/>
      <c r="FQ170" s="1"/>
      <c r="FR170" s="1"/>
      <c r="FS170" s="1"/>
      <c r="FT170" s="1"/>
      <c r="FU170" s="1"/>
      <c r="FV170" s="1"/>
      <c r="FW170" s="1"/>
      <c r="FX170" s="1"/>
      <c r="FY170" s="1"/>
      <c r="FZ170" s="1"/>
      <c r="GA170" s="1"/>
      <c r="GB170" s="1"/>
      <c r="GC170" s="1"/>
      <c r="GD170" s="1"/>
      <c r="GE170" s="1"/>
      <c r="GF170" s="1"/>
      <c r="GG170" s="1"/>
      <c r="GH170" s="1"/>
      <c r="GI170" s="1"/>
      <c r="GJ170" s="1"/>
      <c r="GK170" s="1"/>
      <c r="GL170" s="1"/>
      <c r="GM170" s="1"/>
      <c r="GN170" s="1"/>
      <c r="GO170" s="1"/>
      <c r="GP170" s="1"/>
      <c r="GQ170" s="1"/>
      <c r="GR170" s="1"/>
      <c r="GS170" s="1"/>
      <c r="GT170" s="1"/>
      <c r="GU170" s="1"/>
      <c r="GV170" s="1"/>
      <c r="GW170" s="1"/>
      <c r="GX170" s="1"/>
      <c r="GY170" s="1"/>
      <c r="GZ170" s="1"/>
      <c r="HA170" s="1"/>
      <c r="HB170" s="1"/>
      <c r="HC170" s="1"/>
      <c r="HD170" s="1"/>
      <c r="HE170" s="1"/>
      <c r="HF170" s="1"/>
      <c r="HG170" s="1"/>
      <c r="HH170" s="1"/>
      <c r="HI170" s="1"/>
      <c r="HJ170" s="1"/>
      <c r="HK170" s="1"/>
      <c r="HL170" s="1"/>
      <c r="HM170" s="1"/>
      <c r="HN170" s="1"/>
      <c r="HO170" s="1"/>
      <c r="HP170" s="1"/>
      <c r="HQ170" s="1"/>
      <c r="HR170" s="1"/>
      <c r="HS170" s="1"/>
      <c r="HT170" s="1"/>
      <c r="HU170" s="1"/>
      <c r="HV170" s="1"/>
      <c r="HW170" s="1"/>
      <c r="HX170" s="1"/>
      <c r="HY170" s="1"/>
      <c r="HZ170" s="1"/>
      <c r="IA170" s="1"/>
      <c r="IB170" s="1"/>
      <c r="IC170" s="1"/>
      <c r="ID170" s="1"/>
      <c r="IE170" s="1"/>
      <c r="IF170" s="1"/>
      <c r="IG170" s="1"/>
      <c r="IH170" s="1"/>
      <c r="II170" s="1"/>
      <c r="IJ170" s="1"/>
      <c r="IK170" s="1"/>
      <c r="IL170" s="1"/>
      <c r="IM170" s="1"/>
      <c r="IN170" s="1"/>
      <c r="IO170" s="1"/>
      <c r="IP170" s="1"/>
      <c r="IQ170" s="1"/>
      <c r="IR170" s="1"/>
      <c r="IS170" s="1"/>
      <c r="IT170" s="1"/>
      <c r="IU170" s="1"/>
      <c r="IV170" s="1"/>
      <c r="IW170" s="1"/>
      <c r="IX170" s="1"/>
      <c r="IY170" s="1"/>
      <c r="IZ170" s="1"/>
      <c r="JA170" s="1"/>
      <c r="JB170" s="1"/>
      <c r="JC170" s="1"/>
      <c r="JD170" s="1"/>
    </row>
    <row r="171" spans="1:264" s="347" customFormat="1" x14ac:dyDescent="0.2">
      <c r="A171" s="424" t="str">
        <f>+A167</f>
        <v>Total Loans</v>
      </c>
      <c r="B171" s="348" t="s">
        <v>140</v>
      </c>
      <c r="BH171" s="398"/>
      <c r="BI171" s="428">
        <f>+BI167/BH167-1</f>
        <v>0.25534696927243861</v>
      </c>
      <c r="BJ171" s="348"/>
      <c r="BK171" s="348"/>
      <c r="BL171" s="428">
        <f>+BL167/BI167-1</f>
        <v>0.26672122609924864</v>
      </c>
      <c r="BM171" s="428">
        <f>+BM167/BL167-1</f>
        <v>6.6369082579584848E-3</v>
      </c>
      <c r="BN171" s="348"/>
      <c r="BO171" s="348"/>
      <c r="BP171" s="428">
        <f>+BP167/BM167-1</f>
        <v>0.19242662932493149</v>
      </c>
      <c r="BQ171" s="428">
        <f>+BQ167/BP167-1</f>
        <v>6.2288985663257801E-2</v>
      </c>
      <c r="BR171" s="348"/>
      <c r="BT171" s="428">
        <f>+BT167/BQ167-1</f>
        <v>9.5393827729157055E-2</v>
      </c>
      <c r="BU171" s="428">
        <f>+BU167/BT167-1</f>
        <v>-1.177410537824275E-3</v>
      </c>
      <c r="BV171" s="348"/>
      <c r="BX171" s="428">
        <f>+BX167/BU167-1</f>
        <v>1.5534879804656176E-2</v>
      </c>
      <c r="BY171" s="428">
        <f>+BY167/BX167-1</f>
        <v>3.1755244175441399E-2</v>
      </c>
      <c r="BZ171" s="348"/>
      <c r="CB171" s="428">
        <f>+CB167/BY167-1</f>
        <v>2.6117004178720649E-3</v>
      </c>
      <c r="CC171" s="428">
        <f>+CC167/CB167-1</f>
        <v>4.8891916803590618E-3</v>
      </c>
      <c r="CD171" s="348"/>
      <c r="CF171" s="428">
        <f>+CF167/CC167-1</f>
        <v>-1.028913260219344E-2</v>
      </c>
      <c r="CG171" s="428">
        <f>+CG167/CF167-1</f>
        <v>-0.14747955030825644</v>
      </c>
      <c r="CH171" s="348"/>
      <c r="CJ171" s="428">
        <f>+CJ167/CG167-1</f>
        <v>-9.1033700430117714E-2</v>
      </c>
      <c r="CK171" s="428">
        <f>+CK167/CJ167-1</f>
        <v>-6.8587176953876505E-2</v>
      </c>
      <c r="CL171" s="348"/>
      <c r="CN171" s="428">
        <f>+CN167/CK167-1</f>
        <v>-0.111656989727557</v>
      </c>
      <c r="CO171" s="428">
        <f>+CO167/CN167-1</f>
        <v>4.6003016591251944E-2</v>
      </c>
      <c r="CP171" s="348"/>
      <c r="CR171" s="428">
        <f>+CR167/CO167-1</f>
        <v>2.7156933429464125E-2</v>
      </c>
      <c r="CS171" s="428">
        <f>+CS167/CR167-1</f>
        <v>-3.3926064576509374E-3</v>
      </c>
      <c r="CT171" s="348"/>
      <c r="CV171" s="428">
        <f>+CV167/CS167-1</f>
        <v>-0.14103768047892951</v>
      </c>
      <c r="CW171" s="428">
        <f>+CW167/CV167-1</f>
        <v>1.0044414075845554E-2</v>
      </c>
      <c r="CX171" s="348"/>
      <c r="CZ171" s="428">
        <f>+CZ167/CW167-1</f>
        <v>-5.8381815721823882E-2</v>
      </c>
      <c r="DA171" s="428">
        <f>+DA167/CZ167-1</f>
        <v>8.5350959120626513E-2</v>
      </c>
      <c r="DB171" s="348"/>
      <c r="DD171" s="428">
        <f>+DD167/DA167-1</f>
        <v>0.18931621102800023</v>
      </c>
      <c r="DE171" s="428">
        <f>+DE167/DD167-1</f>
        <v>5.9776256470195355E-2</v>
      </c>
      <c r="DF171" s="348"/>
      <c r="DH171" s="428">
        <f>+DH167/DE167-1</f>
        <v>-2.3318103040806726E-2</v>
      </c>
      <c r="DI171" s="428">
        <f>+DI167/DH167-1</f>
        <v>-4.8386264027137638E-2</v>
      </c>
      <c r="DJ171" s="348"/>
      <c r="DL171" s="428">
        <f>+DL167/DI167-1</f>
        <v>9.9358206428159512E-3</v>
      </c>
      <c r="DM171" s="428">
        <f>+DM167/DL167-1</f>
        <v>9.9377230030315289E-3</v>
      </c>
      <c r="DN171" s="348"/>
      <c r="DP171" s="428">
        <f>+DP167/DM167-1</f>
        <v>9.93956908862903E-3</v>
      </c>
      <c r="DQ171" s="428">
        <f>+DQ167/DP167-1</f>
        <v>9.9413605576448294E-3</v>
      </c>
      <c r="DR171" s="348"/>
      <c r="DT171" s="1"/>
      <c r="DU171" s="1"/>
      <c r="DV171" s="1"/>
      <c r="DW171" s="1"/>
      <c r="DX171" s="1"/>
      <c r="DY171" s="1"/>
      <c r="DZ171" s="1"/>
      <c r="EA171" s="1"/>
      <c r="EB171" s="1"/>
      <c r="EC171" s="1"/>
      <c r="ED171" s="1"/>
      <c r="EE171" s="1"/>
      <c r="EF171" s="1"/>
      <c r="EG171" s="1"/>
      <c r="EH171" s="1"/>
      <c r="EI171" s="1"/>
      <c r="EJ171" s="1"/>
      <c r="EK171" s="1"/>
      <c r="EL171" s="1"/>
      <c r="EM171" s="1"/>
      <c r="EN171" s="1"/>
      <c r="EO171" s="1"/>
      <c r="EP171" s="1"/>
      <c r="EQ171" s="1"/>
      <c r="ER171" s="1"/>
      <c r="ES171" s="1"/>
      <c r="ET171" s="1"/>
      <c r="EU171" s="1"/>
      <c r="EV171" s="1"/>
      <c r="EW171" s="1"/>
      <c r="EX171" s="1"/>
      <c r="EY171" s="1"/>
      <c r="EZ171" s="1"/>
      <c r="FA171" s="1"/>
      <c r="FB171" s="1"/>
      <c r="FC171" s="1"/>
      <c r="FD171" s="1"/>
      <c r="FE171" s="1"/>
      <c r="FF171" s="1"/>
      <c r="FG171" s="1"/>
      <c r="FH171" s="1"/>
      <c r="FI171" s="1"/>
      <c r="FJ171" s="1"/>
      <c r="FK171" s="1"/>
      <c r="FL171" s="1"/>
      <c r="FM171" s="1"/>
      <c r="FN171" s="1"/>
      <c r="FO171" s="1"/>
      <c r="FP171" s="1"/>
      <c r="FQ171" s="1"/>
      <c r="FR171" s="1"/>
      <c r="FS171" s="1"/>
      <c r="FT171" s="1"/>
      <c r="FU171" s="1"/>
      <c r="FV171" s="1"/>
      <c r="FW171" s="1"/>
      <c r="FX171" s="1"/>
      <c r="FY171" s="1"/>
      <c r="FZ171" s="1"/>
      <c r="GA171" s="1"/>
      <c r="GB171" s="1"/>
      <c r="GC171" s="1"/>
      <c r="GD171" s="1"/>
      <c r="GE171" s="1"/>
      <c r="GF171" s="1"/>
      <c r="GG171" s="1"/>
      <c r="GH171" s="1"/>
      <c r="GI171" s="1"/>
      <c r="GJ171" s="1"/>
      <c r="GK171" s="1"/>
      <c r="GL171" s="1"/>
      <c r="GM171" s="1"/>
      <c r="GN171" s="1"/>
      <c r="GO171" s="1"/>
      <c r="GP171" s="1"/>
      <c r="GQ171" s="1"/>
      <c r="GR171" s="1"/>
      <c r="GS171" s="1"/>
      <c r="GT171" s="1"/>
      <c r="GU171" s="1"/>
      <c r="GV171" s="1"/>
      <c r="GW171" s="1"/>
      <c r="GX171" s="1"/>
      <c r="GY171" s="1"/>
      <c r="GZ171" s="1"/>
      <c r="HA171" s="1"/>
      <c r="HB171" s="1"/>
      <c r="HC171" s="1"/>
      <c r="HD171" s="1"/>
      <c r="HE171" s="1"/>
      <c r="HF171" s="1"/>
      <c r="HG171" s="1"/>
      <c r="HH171" s="1"/>
      <c r="HI171" s="1"/>
      <c r="HJ171" s="1"/>
      <c r="HK171" s="1"/>
      <c r="HL171" s="1"/>
      <c r="HM171" s="1"/>
      <c r="HN171" s="1"/>
      <c r="HO171" s="1"/>
      <c r="HP171" s="1"/>
      <c r="HQ171" s="1"/>
      <c r="HR171" s="1"/>
      <c r="HS171" s="1"/>
      <c r="HT171" s="1"/>
      <c r="HU171" s="1"/>
      <c r="HV171" s="1"/>
      <c r="HW171" s="1"/>
      <c r="HX171" s="1"/>
      <c r="HY171" s="1"/>
      <c r="HZ171" s="1"/>
      <c r="IA171" s="1"/>
      <c r="IB171" s="1"/>
      <c r="IC171" s="1"/>
      <c r="ID171" s="1"/>
      <c r="IE171" s="1"/>
      <c r="IF171" s="1"/>
      <c r="IG171" s="1"/>
      <c r="IH171" s="1"/>
      <c r="II171" s="1"/>
      <c r="IJ171" s="1"/>
      <c r="IK171" s="1"/>
      <c r="IL171" s="1"/>
      <c r="IM171" s="1"/>
      <c r="IN171" s="1"/>
      <c r="IO171" s="1"/>
      <c r="IP171" s="1"/>
      <c r="IQ171" s="1"/>
      <c r="IR171" s="1"/>
      <c r="IS171" s="1"/>
      <c r="IT171" s="1"/>
      <c r="IU171" s="1"/>
      <c r="IV171" s="1"/>
      <c r="IW171" s="1"/>
      <c r="IX171" s="1"/>
      <c r="IY171" s="1"/>
      <c r="IZ171" s="1"/>
      <c r="JA171" s="1"/>
      <c r="JB171" s="1"/>
      <c r="JC171" s="1"/>
      <c r="JD171" s="1"/>
    </row>
    <row r="172" spans="1:264" s="429" customFormat="1" x14ac:dyDescent="0.2">
      <c r="A172" s="429" t="s">
        <v>18</v>
      </c>
      <c r="B172" s="408" t="s">
        <v>236</v>
      </c>
      <c r="BH172" s="442">
        <f>BH66</f>
        <v>1.0386</v>
      </c>
      <c r="BI172" s="442">
        <f>BI66</f>
        <v>0.92679999999999996</v>
      </c>
      <c r="BJ172" s="408"/>
      <c r="BK172" s="408"/>
      <c r="BL172" s="442">
        <f>BL66</f>
        <v>0.89390000000000003</v>
      </c>
      <c r="BM172" s="442">
        <f>BM66</f>
        <v>0.9405</v>
      </c>
      <c r="BN172" s="408"/>
      <c r="BO172" s="408"/>
      <c r="BP172" s="442">
        <f>BP66</f>
        <v>0.81879999999999997</v>
      </c>
      <c r="BQ172" s="442">
        <f>BQ66</f>
        <v>0.7681</v>
      </c>
      <c r="BR172" s="408"/>
      <c r="BT172" s="442">
        <f>BT66</f>
        <v>0.73080000000000001</v>
      </c>
      <c r="BU172" s="442">
        <f>BU66</f>
        <v>0.74309999999999998</v>
      </c>
      <c r="BV172" s="408"/>
      <c r="BX172" s="442">
        <f>BX66</f>
        <v>0.72360000000000002</v>
      </c>
      <c r="BY172" s="442">
        <f>BY66</f>
        <v>0.76839999999999997</v>
      </c>
      <c r="BZ172" s="408"/>
      <c r="CB172" s="442">
        <f>CB66</f>
        <v>0.77990000000000004</v>
      </c>
      <c r="CC172" s="442">
        <f>CC66</f>
        <v>0.73870000000000002</v>
      </c>
      <c r="CD172" s="408"/>
      <c r="CF172" s="442">
        <f>CF66</f>
        <v>0.70569999999999999</v>
      </c>
      <c r="CG172" s="442">
        <f>CG66</f>
        <v>0.70130000000000003</v>
      </c>
      <c r="CH172" s="408"/>
      <c r="CJ172" s="442">
        <f>CJ66</f>
        <v>0.70040000000000002</v>
      </c>
      <c r="CK172" s="442">
        <f>CK66</f>
        <v>0.68540000000000001</v>
      </c>
      <c r="CL172" s="408"/>
      <c r="CN172" s="442">
        <f>CN66</f>
        <v>0.77049999999999996</v>
      </c>
      <c r="CO172" s="442">
        <f>CO66</f>
        <v>0.75209999999999999</v>
      </c>
      <c r="CP172" s="408"/>
      <c r="CR172" s="442">
        <f>CR66</f>
        <v>0.72599999999999998</v>
      </c>
      <c r="CS172" s="442">
        <f>CS66</f>
        <v>0.68789999999999996</v>
      </c>
      <c r="CT172" s="408"/>
      <c r="CV172" s="442">
        <f>CV66</f>
        <v>0.67789999999999995</v>
      </c>
      <c r="CW172" s="442">
        <f>CW66</f>
        <v>0.66269999999999996</v>
      </c>
      <c r="CX172" s="408"/>
      <c r="CZ172" s="442">
        <f>CZ66</f>
        <v>0.68389999999999995</v>
      </c>
      <c r="DA172" s="442">
        <f>DA66</f>
        <v>0.66279999999999994</v>
      </c>
      <c r="DB172" s="408"/>
      <c r="DD172" s="442">
        <f>DD66</f>
        <v>0.62190000000000001</v>
      </c>
      <c r="DE172" s="442">
        <f>DE66</f>
        <v>0.65449999999999997</v>
      </c>
      <c r="DF172" s="408"/>
      <c r="DH172" s="442">
        <f>DH66</f>
        <v>0.66900000000000004</v>
      </c>
      <c r="DI172" s="442">
        <f>DI66</f>
        <v>0.71</v>
      </c>
      <c r="DJ172" s="408"/>
      <c r="DL172" s="442">
        <f>DL66</f>
        <v>0.71</v>
      </c>
      <c r="DM172" s="442">
        <f>DM66</f>
        <v>0.71</v>
      </c>
      <c r="DN172" s="408"/>
      <c r="DP172" s="442">
        <f>DP66</f>
        <v>0.71</v>
      </c>
      <c r="DQ172" s="442">
        <f>DQ66</f>
        <v>0.71</v>
      </c>
      <c r="DR172" s="408"/>
      <c r="DT172" s="1"/>
      <c r="DU172" s="1"/>
      <c r="DV172" s="1"/>
      <c r="DW172" s="1"/>
      <c r="DX172" s="1"/>
      <c r="DY172" s="1"/>
      <c r="DZ172" s="1"/>
      <c r="EA172" s="1"/>
      <c r="EB172" s="1"/>
      <c r="EC172" s="1"/>
      <c r="ED172" s="1"/>
      <c r="EE172" s="1"/>
      <c r="EF172" s="1"/>
      <c r="EG172" s="1"/>
      <c r="EH172" s="1"/>
      <c r="EI172" s="1"/>
      <c r="EJ172" s="1"/>
      <c r="EK172" s="1"/>
      <c r="EL172" s="1"/>
      <c r="EM172" s="1"/>
      <c r="EN172" s="1"/>
      <c r="EO172" s="1"/>
      <c r="EP172" s="1"/>
      <c r="EQ172" s="1"/>
      <c r="ER172" s="1"/>
      <c r="ES172" s="1"/>
      <c r="ET172" s="1"/>
      <c r="EU172" s="1"/>
      <c r="EV172" s="1"/>
      <c r="EW172" s="1"/>
      <c r="EX172" s="1"/>
      <c r="EY172" s="1"/>
      <c r="EZ172" s="1"/>
      <c r="FA172" s="1"/>
      <c r="FB172" s="1"/>
      <c r="FC172" s="1"/>
      <c r="FD172" s="1"/>
      <c r="FE172" s="1"/>
      <c r="FF172" s="1"/>
      <c r="FG172" s="1"/>
      <c r="FH172" s="1"/>
      <c r="FI172" s="1"/>
      <c r="FJ172" s="1"/>
      <c r="FK172" s="1"/>
      <c r="FL172" s="1"/>
      <c r="FM172" s="1"/>
      <c r="FN172" s="1"/>
      <c r="FO172" s="1"/>
      <c r="FP172" s="1"/>
      <c r="FQ172" s="1"/>
      <c r="FR172" s="1"/>
      <c r="FS172" s="1"/>
      <c r="FT172" s="1"/>
      <c r="FU172" s="1"/>
      <c r="FV172" s="1"/>
      <c r="FW172" s="1"/>
      <c r="FX172" s="1"/>
      <c r="FY172" s="1"/>
      <c r="FZ172" s="1"/>
      <c r="GA172" s="1"/>
      <c r="GB172" s="1"/>
      <c r="GC172" s="1"/>
      <c r="GD172" s="1"/>
      <c r="GE172" s="1"/>
      <c r="GF172" s="1"/>
      <c r="GG172" s="1"/>
      <c r="GH172" s="1"/>
      <c r="GI172" s="1"/>
      <c r="GJ172" s="1"/>
      <c r="GK172" s="1"/>
      <c r="GL172" s="1"/>
      <c r="GM172" s="1"/>
      <c r="GN172" s="1"/>
      <c r="GO172" s="1"/>
      <c r="GP172" s="1"/>
      <c r="GQ172" s="1"/>
      <c r="GR172" s="1"/>
      <c r="GS172" s="1"/>
      <c r="GT172" s="1"/>
      <c r="GU172" s="1"/>
      <c r="GV172" s="1"/>
      <c r="GW172" s="1"/>
      <c r="GX172" s="1"/>
      <c r="GY172" s="1"/>
      <c r="GZ172" s="1"/>
      <c r="HA172" s="1"/>
      <c r="HB172" s="1"/>
      <c r="HC172" s="1"/>
      <c r="HD172" s="1"/>
      <c r="HE172" s="1"/>
      <c r="HF172" s="1"/>
      <c r="HG172" s="1"/>
      <c r="HH172" s="1"/>
      <c r="HI172" s="1"/>
      <c r="HJ172" s="1"/>
      <c r="HK172" s="1"/>
      <c r="HL172" s="1"/>
      <c r="HM172" s="1"/>
      <c r="HN172" s="1"/>
      <c r="HO172" s="1"/>
      <c r="HP172" s="1"/>
      <c r="HQ172" s="1"/>
      <c r="HR172" s="1"/>
      <c r="HS172" s="1"/>
      <c r="HT172" s="1"/>
      <c r="HU172" s="1"/>
      <c r="HV172" s="1"/>
      <c r="HW172" s="1"/>
      <c r="HX172" s="1"/>
      <c r="HY172" s="1"/>
      <c r="HZ172" s="1"/>
      <c r="IA172" s="1"/>
      <c r="IB172" s="1"/>
      <c r="IC172" s="1"/>
      <c r="ID172" s="1"/>
      <c r="IE172" s="1"/>
      <c r="IF172" s="1"/>
      <c r="IG172" s="1"/>
      <c r="IH172" s="1"/>
      <c r="II172" s="1"/>
      <c r="IJ172" s="1"/>
      <c r="IK172" s="1"/>
      <c r="IL172" s="1"/>
      <c r="IM172" s="1"/>
      <c r="IN172" s="1"/>
      <c r="IO172" s="1"/>
      <c r="IP172" s="1"/>
      <c r="IQ172" s="1"/>
      <c r="IR172" s="1"/>
      <c r="IS172" s="1"/>
      <c r="IT172" s="1"/>
      <c r="IU172" s="1"/>
      <c r="IV172" s="1"/>
      <c r="IW172" s="1"/>
      <c r="IX172" s="1"/>
      <c r="IY172" s="1"/>
      <c r="IZ172" s="1"/>
      <c r="JA172" s="1"/>
      <c r="JB172" s="1"/>
      <c r="JC172" s="1"/>
      <c r="JD172" s="1"/>
    </row>
    <row r="173" spans="1:264" s="347" customFormat="1" x14ac:dyDescent="0.2">
      <c r="A173" s="411" t="s">
        <v>283</v>
      </c>
      <c r="B173" s="348"/>
      <c r="BH173" s="398"/>
      <c r="BI173" s="348"/>
      <c r="BJ173" s="348"/>
      <c r="BK173" s="348"/>
      <c r="BL173" s="398"/>
      <c r="BM173" s="348"/>
      <c r="BN173" s="348"/>
      <c r="BO173" s="348"/>
      <c r="BP173" s="398"/>
      <c r="BQ173" s="348"/>
      <c r="BR173" s="348"/>
      <c r="BT173" s="398"/>
      <c r="BU173" s="348"/>
      <c r="BV173" s="348"/>
      <c r="BX173" s="398"/>
      <c r="BY173" s="348"/>
      <c r="BZ173" s="348"/>
      <c r="CB173" s="398"/>
      <c r="CC173" s="348"/>
      <c r="CD173" s="348"/>
      <c r="CF173" s="398"/>
      <c r="CG173" s="348"/>
      <c r="CH173" s="348"/>
      <c r="CJ173" s="398"/>
      <c r="CK173" s="348"/>
      <c r="CL173" s="348"/>
      <c r="CN173" s="398"/>
      <c r="CO173" s="348"/>
      <c r="CP173" s="348"/>
      <c r="CR173" s="398"/>
      <c r="CS173" s="348"/>
      <c r="CT173" s="348"/>
      <c r="CV173" s="398"/>
      <c r="CW173" s="348"/>
      <c r="CX173" s="348"/>
      <c r="CZ173" s="398"/>
      <c r="DA173" s="348"/>
      <c r="DB173" s="348"/>
      <c r="DD173" s="398"/>
      <c r="DE173" s="348"/>
      <c r="DF173" s="348"/>
      <c r="DH173" s="398"/>
      <c r="DI173" s="348"/>
      <c r="DJ173" s="348"/>
      <c r="DL173" s="348"/>
      <c r="DM173" s="348"/>
      <c r="DN173" s="348"/>
      <c r="DP173" s="348"/>
      <c r="DQ173" s="348"/>
      <c r="DR173" s="348"/>
      <c r="DT173" s="1"/>
      <c r="DU173" s="1"/>
      <c r="DV173" s="1"/>
      <c r="DW173" s="1"/>
      <c r="DX173" s="1"/>
      <c r="DY173" s="1"/>
      <c r="DZ173" s="1"/>
      <c r="EA173" s="1"/>
      <c r="EB173" s="1"/>
      <c r="EC173" s="1"/>
      <c r="ED173" s="1"/>
      <c r="EE173" s="1"/>
      <c r="EF173" s="1"/>
      <c r="EG173" s="1"/>
      <c r="EH173" s="1"/>
      <c r="EI173" s="1"/>
      <c r="EJ173" s="1"/>
      <c r="EK173" s="1"/>
      <c r="EL173" s="1"/>
      <c r="EM173" s="1"/>
      <c r="EN173" s="1"/>
      <c r="EO173" s="1"/>
      <c r="EP173" s="1"/>
      <c r="EQ173" s="1"/>
      <c r="ER173" s="1"/>
      <c r="ES173" s="1"/>
      <c r="ET173" s="1"/>
      <c r="EU173" s="1"/>
      <c r="EV173" s="1"/>
      <c r="EW173" s="1"/>
      <c r="EX173" s="1"/>
      <c r="EY173" s="1"/>
      <c r="EZ173" s="1"/>
      <c r="FA173" s="1"/>
      <c r="FB173" s="1"/>
      <c r="FC173" s="1"/>
      <c r="FD173" s="1"/>
      <c r="FE173" s="1"/>
      <c r="FF173" s="1"/>
      <c r="FG173" s="1"/>
      <c r="FH173" s="1"/>
      <c r="FI173" s="1"/>
      <c r="FJ173" s="1"/>
      <c r="FK173" s="1"/>
      <c r="FL173" s="1"/>
      <c r="FM173" s="1"/>
      <c r="FN173" s="1"/>
      <c r="FO173" s="1"/>
      <c r="FP173" s="1"/>
      <c r="FQ173" s="1"/>
      <c r="FR173" s="1"/>
      <c r="FS173" s="1"/>
      <c r="FT173" s="1"/>
      <c r="FU173" s="1"/>
      <c r="FV173" s="1"/>
      <c r="FW173" s="1"/>
      <c r="FX173" s="1"/>
      <c r="FY173" s="1"/>
      <c r="FZ173" s="1"/>
      <c r="GA173" s="1"/>
      <c r="GB173" s="1"/>
      <c r="GC173" s="1"/>
      <c r="GD173" s="1"/>
      <c r="GE173" s="1"/>
      <c r="GF173" s="1"/>
      <c r="GG173" s="1"/>
      <c r="GH173" s="1"/>
      <c r="GI173" s="1"/>
      <c r="GJ173" s="1"/>
      <c r="GK173" s="1"/>
      <c r="GL173" s="1"/>
      <c r="GM173" s="1"/>
      <c r="GN173" s="1"/>
      <c r="GO173" s="1"/>
      <c r="GP173" s="1"/>
      <c r="GQ173" s="1"/>
      <c r="GR173" s="1"/>
      <c r="GS173" s="1"/>
      <c r="GT173" s="1"/>
      <c r="GU173" s="1"/>
      <c r="GV173" s="1"/>
      <c r="GW173" s="1"/>
      <c r="GX173" s="1"/>
      <c r="GY173" s="1"/>
      <c r="GZ173" s="1"/>
      <c r="HA173" s="1"/>
      <c r="HB173" s="1"/>
      <c r="HC173" s="1"/>
      <c r="HD173" s="1"/>
      <c r="HE173" s="1"/>
      <c r="HF173" s="1"/>
      <c r="HG173" s="1"/>
      <c r="HH173" s="1"/>
      <c r="HI173" s="1"/>
      <c r="HJ173" s="1"/>
      <c r="HK173" s="1"/>
      <c r="HL173" s="1"/>
      <c r="HM173" s="1"/>
      <c r="HN173" s="1"/>
      <c r="HO173" s="1"/>
      <c r="HP173" s="1"/>
      <c r="HQ173" s="1"/>
      <c r="HR173" s="1"/>
      <c r="HS173" s="1"/>
      <c r="HT173" s="1"/>
      <c r="HU173" s="1"/>
      <c r="HV173" s="1"/>
      <c r="HW173" s="1"/>
      <c r="HX173" s="1"/>
      <c r="HY173" s="1"/>
      <c r="HZ173" s="1"/>
      <c r="IA173" s="1"/>
      <c r="IB173" s="1"/>
      <c r="IC173" s="1"/>
      <c r="ID173" s="1"/>
      <c r="IE173" s="1"/>
      <c r="IF173" s="1"/>
      <c r="IG173" s="1"/>
      <c r="IH173" s="1"/>
      <c r="II173" s="1"/>
      <c r="IJ173" s="1"/>
      <c r="IK173" s="1"/>
      <c r="IL173" s="1"/>
      <c r="IM173" s="1"/>
      <c r="IN173" s="1"/>
      <c r="IO173" s="1"/>
      <c r="IP173" s="1"/>
      <c r="IQ173" s="1"/>
      <c r="IR173" s="1"/>
      <c r="IS173" s="1"/>
      <c r="IT173" s="1"/>
      <c r="IU173" s="1"/>
      <c r="IV173" s="1"/>
      <c r="IW173" s="1"/>
      <c r="IX173" s="1"/>
      <c r="IY173" s="1"/>
      <c r="IZ173" s="1"/>
      <c r="JA173" s="1"/>
      <c r="JB173" s="1"/>
      <c r="JC173" s="1"/>
      <c r="JD173" s="1"/>
    </row>
    <row r="174" spans="1:264" s="347" customFormat="1" x14ac:dyDescent="0.2">
      <c r="A174" s="347" t="s">
        <v>89</v>
      </c>
      <c r="B174" s="348" t="s">
        <v>284</v>
      </c>
      <c r="BH174" s="351">
        <f>+BH165*BH$172</f>
        <v>787.25879999999995</v>
      </c>
      <c r="BI174" s="351">
        <f>+BI165*BI$172</f>
        <v>767.3904</v>
      </c>
      <c r="BJ174" s="351">
        <f>BI174</f>
        <v>767.3904</v>
      </c>
      <c r="BK174" s="348"/>
      <c r="BL174" s="351">
        <f>+BL165*BL$172</f>
        <v>735.67970000000003</v>
      </c>
      <c r="BM174" s="351">
        <f>+BM165*BM$172</f>
        <v>780.61500000000001</v>
      </c>
      <c r="BN174" s="351">
        <f>BM174</f>
        <v>780.61500000000001</v>
      </c>
      <c r="BO174" s="348"/>
      <c r="BP174" s="351">
        <f>+BP165*BP$172</f>
        <v>732.00720000000001</v>
      </c>
      <c r="BQ174" s="351">
        <f>+BQ165*BQ$172</f>
        <v>702.04340000000002</v>
      </c>
      <c r="BR174" s="351">
        <f>BQ174</f>
        <v>702.04340000000002</v>
      </c>
      <c r="BT174" s="351">
        <f>+BT165*BT$172</f>
        <v>692.06759999999997</v>
      </c>
      <c r="BU174" s="351">
        <f>+BU165*BU$172</f>
        <v>729.7242</v>
      </c>
      <c r="BV174" s="351">
        <f>BU174</f>
        <v>729.7242</v>
      </c>
      <c r="BX174" s="351">
        <f>+BX165*BX$172</f>
        <v>739.51920000000007</v>
      </c>
      <c r="BY174" s="351">
        <f>+BY165*BY$172</f>
        <v>729.21159999999998</v>
      </c>
      <c r="BZ174" s="351">
        <f>BY174</f>
        <v>729.21159999999998</v>
      </c>
      <c r="CB174" s="351">
        <f>+CB165*CB$172</f>
        <v>671.49390000000005</v>
      </c>
      <c r="CC174" s="351">
        <f>+CC165*CC$172</f>
        <v>644.88509999999997</v>
      </c>
      <c r="CD174" s="351">
        <f>CC174</f>
        <v>644.88509999999997</v>
      </c>
      <c r="CF174" s="351">
        <f>+CF165*CF$172</f>
        <v>632.30719999999997</v>
      </c>
      <c r="CG174" s="351">
        <f>+CG165*CG$172</f>
        <v>632.57260000000008</v>
      </c>
      <c r="CH174" s="351">
        <f>CG174</f>
        <v>632.57260000000008</v>
      </c>
      <c r="CJ174" s="351">
        <f>+CJ165*CJ$172</f>
        <v>584.1336</v>
      </c>
      <c r="CK174" s="351">
        <f>+CK165*CK$172</f>
        <v>496.2296</v>
      </c>
      <c r="CL174" s="351">
        <f>CK174</f>
        <v>496.2296</v>
      </c>
      <c r="CN174" s="351">
        <f>+CN165*CN$172</f>
        <v>456.13599999999997</v>
      </c>
      <c r="CO174" s="351">
        <f>+CO165*CO$172</f>
        <v>392.59620000000001</v>
      </c>
      <c r="CP174" s="351">
        <f>CO174</f>
        <v>392.59620000000001</v>
      </c>
      <c r="CR174" s="351">
        <f>+CR165*CR$172</f>
        <v>342.67199999999997</v>
      </c>
      <c r="CS174" s="351">
        <f>+CS165*CS$172</f>
        <v>290.29379999999998</v>
      </c>
      <c r="CT174" s="351">
        <f>CS174</f>
        <v>290.29379999999998</v>
      </c>
      <c r="CU174" s="393">
        <f>CT174/CP174-1</f>
        <v>-0.26057919052706069</v>
      </c>
      <c r="CV174" s="351">
        <f>+CV165*CV$172</f>
        <v>239.29869999999997</v>
      </c>
      <c r="CW174" s="351">
        <f>+CW165*CW$172</f>
        <v>223.32989999999998</v>
      </c>
      <c r="CX174" s="351">
        <f>CW174</f>
        <v>223.32989999999998</v>
      </c>
      <c r="CY174" s="393">
        <f>CX174/CT174-1</f>
        <v>-0.23067630104397685</v>
      </c>
      <c r="CZ174" s="351">
        <f>+CZ165*CZ$172</f>
        <v>67.706099999999992</v>
      </c>
      <c r="DA174" s="351">
        <f>+DA165*DA$172</f>
        <v>54.349599999999995</v>
      </c>
      <c r="DB174" s="351">
        <f>DA174</f>
        <v>54.349599999999995</v>
      </c>
      <c r="DC174" s="393">
        <f>DB174/CX174-1</f>
        <v>-0.75663984088113589</v>
      </c>
      <c r="DD174" s="351">
        <f>+DD165*DD$172</f>
        <v>37.935900000000004</v>
      </c>
      <c r="DE174" s="351">
        <f>+DE165*DE$172</f>
        <v>34.688499999999998</v>
      </c>
      <c r="DF174" s="351">
        <f>DE174</f>
        <v>34.688499999999998</v>
      </c>
      <c r="DG174" s="393">
        <f>DF174/DB174-1</f>
        <v>-0.36175243240060639</v>
      </c>
      <c r="DH174" s="351">
        <f>+DH165*DH$172</f>
        <v>27.429000000000002</v>
      </c>
      <c r="DI174" s="351">
        <f>+DH174*(1+DI178)</f>
        <v>26.880420000000001</v>
      </c>
      <c r="DJ174" s="351">
        <f>DI174</f>
        <v>26.880420000000001</v>
      </c>
      <c r="DK174" s="393">
        <f>DJ174/DF174-1</f>
        <v>-0.22509131268287752</v>
      </c>
      <c r="DL174" s="351">
        <f>+DI174*(1+DL178)</f>
        <v>26.342811600000001</v>
      </c>
      <c r="DM174" s="351">
        <f>+DL174*(1+DM178)</f>
        <v>25.815955368000001</v>
      </c>
      <c r="DN174" s="351">
        <f>DM174</f>
        <v>25.815955368000001</v>
      </c>
      <c r="DO174" s="393">
        <f>DN174/DJ174-1</f>
        <v>-3.9599999999999969E-2</v>
      </c>
      <c r="DP174" s="351">
        <f>+DM174*(1+DP178)</f>
        <v>25.29963626064</v>
      </c>
      <c r="DQ174" s="351">
        <f>+DP174*(1+DQ178)</f>
        <v>24.793643535427201</v>
      </c>
      <c r="DR174" s="351">
        <f>DQ174</f>
        <v>24.793643535427201</v>
      </c>
      <c r="DS174" s="393">
        <f>DR174/DN174-1</f>
        <v>-3.9599999999999969E-2</v>
      </c>
      <c r="DT174" s="1"/>
      <c r="DU174" s="1"/>
      <c r="DV174" s="1"/>
      <c r="DW174" s="1"/>
      <c r="DX174" s="1"/>
      <c r="DY174" s="1"/>
      <c r="DZ174" s="1"/>
      <c r="EA174" s="1"/>
      <c r="EB174" s="1"/>
      <c r="EC174" s="1"/>
      <c r="ED174" s="1"/>
      <c r="EE174" s="1"/>
      <c r="EF174" s="1"/>
      <c r="EG174" s="1"/>
      <c r="EH174" s="1"/>
      <c r="EI174" s="1"/>
      <c r="EJ174" s="1"/>
      <c r="EK174" s="1"/>
      <c r="EL174" s="1"/>
      <c r="EM174" s="1"/>
      <c r="EN174" s="1"/>
      <c r="EO174" s="1"/>
      <c r="EP174" s="1"/>
      <c r="EQ174" s="1"/>
      <c r="ER174" s="1"/>
      <c r="ES174" s="1"/>
      <c r="ET174" s="1"/>
      <c r="EU174" s="1"/>
      <c r="EV174" s="1"/>
      <c r="EW174" s="1"/>
      <c r="EX174" s="1"/>
      <c r="EY174" s="1"/>
      <c r="EZ174" s="1"/>
      <c r="FA174" s="1"/>
      <c r="FB174" s="1"/>
      <c r="FC174" s="1"/>
      <c r="FD174" s="1"/>
      <c r="FE174" s="1"/>
      <c r="FF174" s="1"/>
      <c r="FG174" s="1"/>
      <c r="FH174" s="1"/>
      <c r="FI174" s="1"/>
      <c r="FJ174" s="1"/>
      <c r="FK174" s="1"/>
      <c r="FL174" s="1"/>
      <c r="FM174" s="1"/>
      <c r="FN174" s="1"/>
      <c r="FO174" s="1"/>
      <c r="FP174" s="1"/>
      <c r="FQ174" s="1"/>
      <c r="FR174" s="1"/>
      <c r="FS174" s="1"/>
      <c r="FT174" s="1"/>
      <c r="FU174" s="1"/>
      <c r="FV174" s="1"/>
      <c r="FW174" s="1"/>
      <c r="FX174" s="1"/>
      <c r="FY174" s="1"/>
      <c r="FZ174" s="1"/>
      <c r="GA174" s="1"/>
      <c r="GB174" s="1"/>
      <c r="GC174" s="1"/>
      <c r="GD174" s="1"/>
      <c r="GE174" s="1"/>
      <c r="GF174" s="1"/>
      <c r="GG174" s="1"/>
      <c r="GH174" s="1"/>
      <c r="GI174" s="1"/>
      <c r="GJ174" s="1"/>
      <c r="GK174" s="1"/>
      <c r="GL174" s="1"/>
      <c r="GM174" s="1"/>
      <c r="GN174" s="1"/>
      <c r="GO174" s="1"/>
      <c r="GP174" s="1"/>
      <c r="GQ174" s="1"/>
      <c r="GR174" s="1"/>
      <c r="GS174" s="1"/>
      <c r="GT174" s="1"/>
      <c r="GU174" s="1"/>
      <c r="GV174" s="1"/>
      <c r="GW174" s="1"/>
      <c r="GX174" s="1"/>
      <c r="GY174" s="1"/>
      <c r="GZ174" s="1"/>
      <c r="HA174" s="1"/>
      <c r="HB174" s="1"/>
      <c r="HC174" s="1"/>
      <c r="HD174" s="1"/>
      <c r="HE174" s="1"/>
      <c r="HF174" s="1"/>
      <c r="HG174" s="1"/>
      <c r="HH174" s="1"/>
      <c r="HI174" s="1"/>
      <c r="HJ174" s="1"/>
      <c r="HK174" s="1"/>
      <c r="HL174" s="1"/>
      <c r="HM174" s="1"/>
      <c r="HN174" s="1"/>
      <c r="HO174" s="1"/>
      <c r="HP174" s="1"/>
      <c r="HQ174" s="1"/>
      <c r="HR174" s="1"/>
      <c r="HS174" s="1"/>
      <c r="HT174" s="1"/>
      <c r="HU174" s="1"/>
      <c r="HV174" s="1"/>
      <c r="HW174" s="1"/>
      <c r="HX174" s="1"/>
      <c r="HY174" s="1"/>
      <c r="HZ174" s="1"/>
      <c r="IA174" s="1"/>
      <c r="IB174" s="1"/>
      <c r="IC174" s="1"/>
      <c r="ID174" s="1"/>
      <c r="IE174" s="1"/>
      <c r="IF174" s="1"/>
      <c r="IG174" s="1"/>
      <c r="IH174" s="1"/>
      <c r="II174" s="1"/>
      <c r="IJ174" s="1"/>
      <c r="IK174" s="1"/>
      <c r="IL174" s="1"/>
      <c r="IM174" s="1"/>
      <c r="IN174" s="1"/>
      <c r="IO174" s="1"/>
      <c r="IP174" s="1"/>
      <c r="IQ174" s="1"/>
      <c r="IR174" s="1"/>
      <c r="IS174" s="1"/>
      <c r="IT174" s="1"/>
      <c r="IU174" s="1"/>
      <c r="IV174" s="1"/>
      <c r="IW174" s="1"/>
      <c r="IX174" s="1"/>
      <c r="IY174" s="1"/>
      <c r="IZ174" s="1"/>
      <c r="JA174" s="1"/>
      <c r="JB174" s="1"/>
      <c r="JC174" s="1"/>
      <c r="JD174" s="1"/>
    </row>
    <row r="175" spans="1:264" s="347" customFormat="1" x14ac:dyDescent="0.2">
      <c r="A175" s="347" t="s">
        <v>271</v>
      </c>
      <c r="B175" s="348" t="s">
        <v>284</v>
      </c>
      <c r="BH175" s="351">
        <f>+BH166*BH172</f>
        <v>10333.0314</v>
      </c>
      <c r="BI175" s="351">
        <f>+BI166*BI172</f>
        <v>11689.7284</v>
      </c>
      <c r="BJ175" s="351">
        <f>+BJ176-BJ174</f>
        <v>11689.7284</v>
      </c>
      <c r="BK175" s="348"/>
      <c r="BL175" s="351">
        <f>+BL166*BL172</f>
        <v>14483.861700000001</v>
      </c>
      <c r="BM175" s="351">
        <f>+BM166*BM172</f>
        <v>15338.6145</v>
      </c>
      <c r="BN175" s="351">
        <f>+BN176-BN174</f>
        <v>15338.6145</v>
      </c>
      <c r="BO175" s="348"/>
      <c r="BP175" s="351">
        <f>+BP166*BP172</f>
        <v>16001.8084</v>
      </c>
      <c r="BQ175" s="351">
        <f>+BQ166*BQ172</f>
        <v>15973.4076</v>
      </c>
      <c r="BR175" s="351">
        <f>+BR176-BR174</f>
        <v>15973.4076</v>
      </c>
      <c r="BT175" s="351">
        <f>+BT166*BT172</f>
        <v>16687.087200000002</v>
      </c>
      <c r="BU175" s="351">
        <f>+BU166*BU172</f>
        <v>16921.130099999998</v>
      </c>
      <c r="BV175" s="351">
        <f>+BV176-BV174</f>
        <v>16921.130099999998</v>
      </c>
      <c r="BX175" s="351">
        <f>+BX166*BX172</f>
        <v>16715.16</v>
      </c>
      <c r="BY175" s="351">
        <f>+BY166*BY172</f>
        <v>18394.727599999998</v>
      </c>
      <c r="BZ175" s="351">
        <f>+BZ176-BZ174</f>
        <v>18394.727600000002</v>
      </c>
      <c r="CB175" s="351">
        <f>+CB166*CB172</f>
        <v>18789.3508</v>
      </c>
      <c r="CC175" s="351">
        <f>+CC166*CC172</f>
        <v>17878.017400000001</v>
      </c>
      <c r="CD175" s="351">
        <f>+CD176-CD174</f>
        <v>17878.017400000001</v>
      </c>
      <c r="CF175" s="351">
        <f>+CF166*CF172</f>
        <v>16881.0497</v>
      </c>
      <c r="CG175" s="351">
        <f>+CG166*CG172</f>
        <v>14204.8315</v>
      </c>
      <c r="CH175" s="351">
        <f>+CH176-CH174</f>
        <v>14204.831500000002</v>
      </c>
      <c r="CJ175" s="351">
        <f>+CJ166*CJ172</f>
        <v>12885.2588</v>
      </c>
      <c r="CK175" s="351">
        <f>+CK166*CK172</f>
        <v>11780.655200000001</v>
      </c>
      <c r="CL175" s="351">
        <f>+CL176-CL174</f>
        <v>11780.655199999999</v>
      </c>
      <c r="CN175" s="351">
        <f>+CN166*CN172</f>
        <v>11804.06</v>
      </c>
      <c r="CO175" s="351">
        <f>+CO166*CO172</f>
        <v>12125.3562</v>
      </c>
      <c r="CP175" s="351">
        <f>+CP176-CP174</f>
        <v>12125.3562</v>
      </c>
      <c r="CR175" s="351">
        <f>+CR166*CR172</f>
        <v>12069.023999999999</v>
      </c>
      <c r="CS175" s="351">
        <f>+CS166*CS172</f>
        <v>11430.1464</v>
      </c>
      <c r="CT175" s="351">
        <f>+CT176-CT174</f>
        <v>11430.1464</v>
      </c>
      <c r="CU175" s="393">
        <f>CT175/CP175-1</f>
        <v>-5.7335206366968428E-2</v>
      </c>
      <c r="CV175" s="351">
        <f>+CV166*CV172</f>
        <v>9681.7677999999996</v>
      </c>
      <c r="CW175" s="351">
        <f>+CW166*CW172</f>
        <v>9572.7014999999992</v>
      </c>
      <c r="CX175" s="351">
        <f>+CX176-CX174</f>
        <v>9572.7014999999992</v>
      </c>
      <c r="CY175" s="393">
        <f>CX175/CT175-1</f>
        <v>-0.162504034069065</v>
      </c>
      <c r="CZ175" s="351">
        <f>+CZ166*CZ172</f>
        <v>9451.4979999999996</v>
      </c>
      <c r="DA175" s="351">
        <f>+DA166*DA172</f>
        <v>9958.57</v>
      </c>
      <c r="DB175" s="351">
        <f>+DB176-DB174</f>
        <v>9958.57</v>
      </c>
      <c r="DC175" s="393">
        <f>DB175/CX175-1</f>
        <v>4.03092585724103E-2</v>
      </c>
      <c r="DD175" s="351">
        <f>+DD166*DD172</f>
        <v>11135.741400000001</v>
      </c>
      <c r="DE175" s="351">
        <f>+DE166*DE172</f>
        <v>12427.645999999999</v>
      </c>
      <c r="DF175" s="351">
        <f>+DF176-DF174</f>
        <v>12427.645999999999</v>
      </c>
      <c r="DG175" s="393">
        <f>DF175/DB175-1</f>
        <v>0.24793479385092421</v>
      </c>
      <c r="DH175" s="351">
        <f>+DH166*DH172</f>
        <v>12413.964</v>
      </c>
      <c r="DI175" s="351">
        <f>+DH175*(1+DI179)</f>
        <v>12538.103639999999</v>
      </c>
      <c r="DJ175" s="351">
        <f>+DJ176-DJ174</f>
        <v>12538.103639999999</v>
      </c>
      <c r="DK175" s="393">
        <f>DJ175/DF175-1</f>
        <v>8.8880581246038037E-3</v>
      </c>
      <c r="DL175" s="351">
        <f>+DI175*(1+DL179)</f>
        <v>12663.484676399999</v>
      </c>
      <c r="DM175" s="351">
        <f>+DL175*(1+DM179)</f>
        <v>12790.119523163999</v>
      </c>
      <c r="DN175" s="351">
        <f>+DN176-DN174</f>
        <v>12790.119523163999</v>
      </c>
      <c r="DO175" s="393">
        <f>DN175/DJ175-1</f>
        <v>2.0100000000000007E-2</v>
      </c>
      <c r="DP175" s="351">
        <f>+DM175*(1+DP179)</f>
        <v>12918.020718395639</v>
      </c>
      <c r="DQ175" s="351">
        <f>+DP175*(1+DQ179)</f>
        <v>13047.200925579595</v>
      </c>
      <c r="DR175" s="351">
        <f>+DR176-DR174</f>
        <v>13047.200925579595</v>
      </c>
      <c r="DS175" s="393">
        <f>DR175/DN175-1</f>
        <v>2.0100000000000007E-2</v>
      </c>
      <c r="DT175" s="1"/>
      <c r="DU175" s="1"/>
      <c r="DV175" s="1"/>
      <c r="DW175" s="1"/>
      <c r="DX175" s="1"/>
      <c r="DY175" s="1"/>
      <c r="DZ175" s="1"/>
      <c r="EA175" s="1"/>
      <c r="EB175" s="1"/>
      <c r="EC175" s="1"/>
      <c r="ED175" s="1"/>
      <c r="EE175" s="1"/>
      <c r="EF175" s="1"/>
      <c r="EG175" s="1"/>
      <c r="EH175" s="1"/>
      <c r="EI175" s="1"/>
      <c r="EJ175" s="1"/>
      <c r="EK175" s="1"/>
      <c r="EL175" s="1"/>
      <c r="EM175" s="1"/>
      <c r="EN175" s="1"/>
      <c r="EO175" s="1"/>
      <c r="EP175" s="1"/>
      <c r="EQ175" s="1"/>
      <c r="ER175" s="1"/>
      <c r="ES175" s="1"/>
      <c r="ET175" s="1"/>
      <c r="EU175" s="1"/>
      <c r="EV175" s="1"/>
      <c r="EW175" s="1"/>
      <c r="EX175" s="1"/>
      <c r="EY175" s="1"/>
      <c r="EZ175" s="1"/>
      <c r="FA175" s="1"/>
      <c r="FB175" s="1"/>
      <c r="FC175" s="1"/>
      <c r="FD175" s="1"/>
      <c r="FE175" s="1"/>
      <c r="FF175" s="1"/>
      <c r="FG175" s="1"/>
      <c r="FH175" s="1"/>
      <c r="FI175" s="1"/>
      <c r="FJ175" s="1"/>
      <c r="FK175" s="1"/>
      <c r="FL175" s="1"/>
      <c r="FM175" s="1"/>
      <c r="FN175" s="1"/>
      <c r="FO175" s="1"/>
      <c r="FP175" s="1"/>
      <c r="FQ175" s="1"/>
      <c r="FR175" s="1"/>
      <c r="FS175" s="1"/>
      <c r="FT175" s="1"/>
      <c r="FU175" s="1"/>
      <c r="FV175" s="1"/>
      <c r="FW175" s="1"/>
      <c r="FX175" s="1"/>
      <c r="FY175" s="1"/>
      <c r="FZ175" s="1"/>
      <c r="GA175" s="1"/>
      <c r="GB175" s="1"/>
      <c r="GC175" s="1"/>
      <c r="GD175" s="1"/>
      <c r="GE175" s="1"/>
      <c r="GF175" s="1"/>
      <c r="GG175" s="1"/>
      <c r="GH175" s="1"/>
      <c r="GI175" s="1"/>
      <c r="GJ175" s="1"/>
      <c r="GK175" s="1"/>
      <c r="GL175" s="1"/>
      <c r="GM175" s="1"/>
      <c r="GN175" s="1"/>
      <c r="GO175" s="1"/>
      <c r="GP175" s="1"/>
      <c r="GQ175" s="1"/>
      <c r="GR175" s="1"/>
      <c r="GS175" s="1"/>
      <c r="GT175" s="1"/>
      <c r="GU175" s="1"/>
      <c r="GV175" s="1"/>
      <c r="GW175" s="1"/>
      <c r="GX175" s="1"/>
      <c r="GY175" s="1"/>
      <c r="GZ175" s="1"/>
      <c r="HA175" s="1"/>
      <c r="HB175" s="1"/>
      <c r="HC175" s="1"/>
      <c r="HD175" s="1"/>
      <c r="HE175" s="1"/>
      <c r="HF175" s="1"/>
      <c r="HG175" s="1"/>
      <c r="HH175" s="1"/>
      <c r="HI175" s="1"/>
      <c r="HJ175" s="1"/>
      <c r="HK175" s="1"/>
      <c r="HL175" s="1"/>
      <c r="HM175" s="1"/>
      <c r="HN175" s="1"/>
      <c r="HO175" s="1"/>
      <c r="HP175" s="1"/>
      <c r="HQ175" s="1"/>
      <c r="HR175" s="1"/>
      <c r="HS175" s="1"/>
      <c r="HT175" s="1"/>
      <c r="HU175" s="1"/>
      <c r="HV175" s="1"/>
      <c r="HW175" s="1"/>
      <c r="HX175" s="1"/>
      <c r="HY175" s="1"/>
      <c r="HZ175" s="1"/>
      <c r="IA175" s="1"/>
      <c r="IB175" s="1"/>
      <c r="IC175" s="1"/>
      <c r="ID175" s="1"/>
      <c r="IE175" s="1"/>
      <c r="IF175" s="1"/>
      <c r="IG175" s="1"/>
      <c r="IH175" s="1"/>
      <c r="II175" s="1"/>
      <c r="IJ175" s="1"/>
      <c r="IK175" s="1"/>
      <c r="IL175" s="1"/>
      <c r="IM175" s="1"/>
      <c r="IN175" s="1"/>
      <c r="IO175" s="1"/>
      <c r="IP175" s="1"/>
      <c r="IQ175" s="1"/>
      <c r="IR175" s="1"/>
      <c r="IS175" s="1"/>
      <c r="IT175" s="1"/>
      <c r="IU175" s="1"/>
      <c r="IV175" s="1"/>
      <c r="IW175" s="1"/>
      <c r="IX175" s="1"/>
      <c r="IY175" s="1"/>
      <c r="IZ175" s="1"/>
      <c r="JA175" s="1"/>
      <c r="JB175" s="1"/>
      <c r="JC175" s="1"/>
      <c r="JD175" s="1"/>
    </row>
    <row r="176" spans="1:264" s="347" customFormat="1" x14ac:dyDescent="0.2">
      <c r="A176" s="411" t="s">
        <v>272</v>
      </c>
      <c r="B176" s="348" t="s">
        <v>284</v>
      </c>
      <c r="BH176" s="351">
        <f>+BH167*BH$172</f>
        <v>11120.290199999999</v>
      </c>
      <c r="BI176" s="351">
        <f>+BI167*BI$172</f>
        <v>12457.1188</v>
      </c>
      <c r="BJ176" s="397">
        <f>BI176</f>
        <v>12457.1188</v>
      </c>
      <c r="BK176" s="348"/>
      <c r="BL176" s="351">
        <f>+BL167*BL$172</f>
        <v>15219.5414</v>
      </c>
      <c r="BM176" s="351">
        <f>+BM167*BM$172</f>
        <v>16119.229499999999</v>
      </c>
      <c r="BN176" s="397">
        <f>BM176</f>
        <v>16119.229499999999</v>
      </c>
      <c r="BO176" s="348"/>
      <c r="BP176" s="351">
        <f>+BP167*BP$172</f>
        <v>16733.815599999998</v>
      </c>
      <c r="BQ176" s="351">
        <f>+BQ167*BQ$172</f>
        <v>16675.451000000001</v>
      </c>
      <c r="BR176" s="397">
        <f>BQ176</f>
        <v>16675.451000000001</v>
      </c>
      <c r="BT176" s="351">
        <f>+BT167*BT$172</f>
        <v>17379.1548</v>
      </c>
      <c r="BU176" s="351">
        <f>+BU167*BU$172</f>
        <v>17650.854299999999</v>
      </c>
      <c r="BV176" s="397">
        <f>BU176</f>
        <v>17650.854299999999</v>
      </c>
      <c r="BX176" s="351">
        <f>+BX167*BX$172</f>
        <v>17454.679200000002</v>
      </c>
      <c r="BY176" s="351">
        <f>+BY167*BY$172</f>
        <v>19123.939200000001</v>
      </c>
      <c r="BZ176" s="397">
        <f>BY176</f>
        <v>19123.939200000001</v>
      </c>
      <c r="CB176" s="351">
        <f>+CB167*CB$172</f>
        <v>19460.844700000001</v>
      </c>
      <c r="CC176" s="351">
        <f>+CC167*CC$172</f>
        <v>18522.9025</v>
      </c>
      <c r="CD176" s="397">
        <f>CC176</f>
        <v>18522.9025</v>
      </c>
      <c r="CF176" s="351">
        <f>+CF167*CF$172</f>
        <v>17513.356899999999</v>
      </c>
      <c r="CG176" s="351">
        <f>+CG167*CG$172</f>
        <v>14837.404100000002</v>
      </c>
      <c r="CH176" s="397">
        <f>CG176</f>
        <v>14837.404100000002</v>
      </c>
      <c r="CJ176" s="351">
        <f>+CJ167*CJ$172</f>
        <v>13469.392400000001</v>
      </c>
      <c r="CK176" s="351">
        <f>+CK167*CK$172</f>
        <v>12276.8848</v>
      </c>
      <c r="CL176" s="397">
        <f>CK176</f>
        <v>12276.8848</v>
      </c>
      <c r="CN176" s="351">
        <f>+CN167*CN$172</f>
        <v>12260.196</v>
      </c>
      <c r="CO176" s="351">
        <f>+CO167*CO$172</f>
        <v>12517.9524</v>
      </c>
      <c r="CP176" s="397">
        <f>CO176</f>
        <v>12517.9524</v>
      </c>
      <c r="CR176" s="351">
        <f>+CR167*CR$172</f>
        <v>12411.696</v>
      </c>
      <c r="CS176" s="351">
        <f>+CS167*CS$172</f>
        <v>11720.440199999999</v>
      </c>
      <c r="CT176" s="397">
        <f>CS176</f>
        <v>11720.440199999999</v>
      </c>
      <c r="CU176" s="393">
        <f>CT176/CP176-1</f>
        <v>-6.3709476958867528E-2</v>
      </c>
      <c r="CV176" s="351">
        <f>+CV167*CV$172</f>
        <v>9921.066499999999</v>
      </c>
      <c r="CW176" s="351">
        <f>+CW167*CW$172</f>
        <v>9796.0313999999998</v>
      </c>
      <c r="CX176" s="397">
        <f>CW176</f>
        <v>9796.0313999999998</v>
      </c>
      <c r="CY176" s="393">
        <f>CX176/CT176-1</f>
        <v>-0.16419253604484918</v>
      </c>
      <c r="CZ176" s="351">
        <f>+CZ167*CZ$172</f>
        <v>9519.204099999999</v>
      </c>
      <c r="DA176" s="351">
        <f>+DA167*DA$172</f>
        <v>10012.919599999999</v>
      </c>
      <c r="DB176" s="397">
        <f>DA176</f>
        <v>10012.919599999999</v>
      </c>
      <c r="DC176" s="393">
        <f>DB176/CX176-1</f>
        <v>2.214041494395369E-2</v>
      </c>
      <c r="DD176" s="351">
        <f>+DD167*DD$172</f>
        <v>11173.677299999999</v>
      </c>
      <c r="DE176" s="351">
        <f>+DE167*DE$172</f>
        <v>12462.334499999999</v>
      </c>
      <c r="DF176" s="397">
        <f>DE176</f>
        <v>12462.334499999999</v>
      </c>
      <c r="DG176" s="393">
        <f>DF176/DB176-1</f>
        <v>0.24462544371174211</v>
      </c>
      <c r="DH176" s="351">
        <f>+DH167*DH$172</f>
        <v>12441.393</v>
      </c>
      <c r="DI176" s="397">
        <f>SUM(DI174:DI175)</f>
        <v>12564.984059999999</v>
      </c>
      <c r="DJ176" s="397">
        <f>DI176</f>
        <v>12564.984059999999</v>
      </c>
      <c r="DK176" s="393">
        <f>DJ176/DF176-1</f>
        <v>8.236784207645842E-3</v>
      </c>
      <c r="DL176" s="397">
        <f>SUM(DL174:DL175)</f>
        <v>12689.827487999999</v>
      </c>
      <c r="DM176" s="397">
        <f>SUM(DM174:DM175)</f>
        <v>12815.935478531999</v>
      </c>
      <c r="DN176" s="397">
        <f>DM176</f>
        <v>12815.935478531999</v>
      </c>
      <c r="DO176" s="393">
        <f>DN176/DJ176-1</f>
        <v>1.9972283079203512E-2</v>
      </c>
      <c r="DP176" s="397">
        <f>SUM(DP174:DP175)</f>
        <v>12943.32035465628</v>
      </c>
      <c r="DQ176" s="397">
        <f>SUM(DQ174:DQ175)</f>
        <v>13071.994569115022</v>
      </c>
      <c r="DR176" s="397">
        <f>DQ176</f>
        <v>13071.994569115022</v>
      </c>
      <c r="DS176" s="393">
        <f>DR176/DN176-1</f>
        <v>1.9979742486371688E-2</v>
      </c>
      <c r="DT176" s="1"/>
      <c r="DU176" s="1"/>
      <c r="DV176" s="1"/>
      <c r="DW176" s="1"/>
      <c r="DX176" s="1"/>
      <c r="DY176" s="1"/>
      <c r="DZ176" s="1"/>
      <c r="EA176" s="1"/>
      <c r="EB176" s="1"/>
      <c r="EC176" s="1"/>
      <c r="ED176" s="1"/>
      <c r="EE176" s="1"/>
      <c r="EF176" s="1"/>
      <c r="EG176" s="1"/>
      <c r="EH176" s="1"/>
      <c r="EI176" s="1"/>
      <c r="EJ176" s="1"/>
      <c r="EK176" s="1"/>
      <c r="EL176" s="1"/>
      <c r="EM176" s="1"/>
      <c r="EN176" s="1"/>
      <c r="EO176" s="1"/>
      <c r="EP176" s="1"/>
      <c r="EQ176" s="1"/>
      <c r="ER176" s="1"/>
      <c r="ES176" s="1"/>
      <c r="ET176" s="1"/>
      <c r="EU176" s="1"/>
      <c r="EV176" s="1"/>
      <c r="EW176" s="1"/>
      <c r="EX176" s="1"/>
      <c r="EY176" s="1"/>
      <c r="EZ176" s="1"/>
      <c r="FA176" s="1"/>
      <c r="FB176" s="1"/>
      <c r="FC176" s="1"/>
      <c r="FD176" s="1"/>
      <c r="FE176" s="1"/>
      <c r="FF176" s="1"/>
      <c r="FG176" s="1"/>
      <c r="FH176" s="1"/>
      <c r="FI176" s="1"/>
      <c r="FJ176" s="1"/>
      <c r="FK176" s="1"/>
      <c r="FL176" s="1"/>
      <c r="FM176" s="1"/>
      <c r="FN176" s="1"/>
      <c r="FO176" s="1"/>
      <c r="FP176" s="1"/>
      <c r="FQ176" s="1"/>
      <c r="FR176" s="1"/>
      <c r="FS176" s="1"/>
      <c r="FT176" s="1"/>
      <c r="FU176" s="1"/>
      <c r="FV176" s="1"/>
      <c r="FW176" s="1"/>
      <c r="FX176" s="1"/>
      <c r="FY176" s="1"/>
      <c r="FZ176" s="1"/>
      <c r="GA176" s="1"/>
      <c r="GB176" s="1"/>
      <c r="GC176" s="1"/>
      <c r="GD176" s="1"/>
      <c r="GE176" s="1"/>
      <c r="GF176" s="1"/>
      <c r="GG176" s="1"/>
      <c r="GH176" s="1"/>
      <c r="GI176" s="1"/>
      <c r="GJ176" s="1"/>
      <c r="GK176" s="1"/>
      <c r="GL176" s="1"/>
      <c r="GM176" s="1"/>
      <c r="GN176" s="1"/>
      <c r="GO176" s="1"/>
      <c r="GP176" s="1"/>
      <c r="GQ176" s="1"/>
      <c r="GR176" s="1"/>
      <c r="GS176" s="1"/>
      <c r="GT176" s="1"/>
      <c r="GU176" s="1"/>
      <c r="GV176" s="1"/>
      <c r="GW176" s="1"/>
      <c r="GX176" s="1"/>
      <c r="GY176" s="1"/>
      <c r="GZ176" s="1"/>
      <c r="HA176" s="1"/>
      <c r="HB176" s="1"/>
      <c r="HC176" s="1"/>
      <c r="HD176" s="1"/>
      <c r="HE176" s="1"/>
      <c r="HF176" s="1"/>
      <c r="HG176" s="1"/>
      <c r="HH176" s="1"/>
      <c r="HI176" s="1"/>
      <c r="HJ176" s="1"/>
      <c r="HK176" s="1"/>
      <c r="HL176" s="1"/>
      <c r="HM176" s="1"/>
      <c r="HN176" s="1"/>
      <c r="HO176" s="1"/>
      <c r="HP176" s="1"/>
      <c r="HQ176" s="1"/>
      <c r="HR176" s="1"/>
      <c r="HS176" s="1"/>
      <c r="HT176" s="1"/>
      <c r="HU176" s="1"/>
      <c r="HV176" s="1"/>
      <c r="HW176" s="1"/>
      <c r="HX176" s="1"/>
      <c r="HY176" s="1"/>
      <c r="HZ176" s="1"/>
      <c r="IA176" s="1"/>
      <c r="IB176" s="1"/>
      <c r="IC176" s="1"/>
      <c r="ID176" s="1"/>
      <c r="IE176" s="1"/>
      <c r="IF176" s="1"/>
      <c r="IG176" s="1"/>
      <c r="IH176" s="1"/>
      <c r="II176" s="1"/>
      <c r="IJ176" s="1"/>
      <c r="IK176" s="1"/>
      <c r="IL176" s="1"/>
      <c r="IM176" s="1"/>
      <c r="IN176" s="1"/>
      <c r="IO176" s="1"/>
      <c r="IP176" s="1"/>
      <c r="IQ176" s="1"/>
      <c r="IR176" s="1"/>
      <c r="IS176" s="1"/>
      <c r="IT176" s="1"/>
      <c r="IU176" s="1"/>
      <c r="IV176" s="1"/>
      <c r="IW176" s="1"/>
      <c r="IX176" s="1"/>
      <c r="IY176" s="1"/>
      <c r="IZ176" s="1"/>
      <c r="JA176" s="1"/>
      <c r="JB176" s="1"/>
      <c r="JC176" s="1"/>
      <c r="JD176" s="1"/>
    </row>
    <row r="177" spans="1:264" s="347" customFormat="1" x14ac:dyDescent="0.2">
      <c r="A177" s="424" t="s">
        <v>273</v>
      </c>
      <c r="B177" s="348"/>
      <c r="BH177" s="398"/>
      <c r="BI177" s="348"/>
      <c r="BJ177" s="348"/>
      <c r="BK177" s="348"/>
      <c r="BL177" s="398"/>
      <c r="BM177" s="348"/>
      <c r="BN177" s="348"/>
      <c r="BO177" s="348"/>
      <c r="BP177" s="398"/>
      <c r="BQ177" s="348"/>
      <c r="BR177" s="348"/>
      <c r="BT177" s="398"/>
      <c r="BU177" s="348"/>
      <c r="BV177" s="348"/>
      <c r="BX177" s="398"/>
      <c r="BY177" s="348"/>
      <c r="BZ177" s="348"/>
      <c r="CB177" s="398"/>
      <c r="CC177" s="348"/>
      <c r="CD177" s="348"/>
      <c r="CF177" s="398"/>
      <c r="CG177" s="348"/>
      <c r="CH177" s="348"/>
      <c r="CJ177" s="398"/>
      <c r="CK177" s="348"/>
      <c r="CL177" s="348"/>
      <c r="CN177" s="398"/>
      <c r="CO177" s="348"/>
      <c r="CP177" s="348"/>
      <c r="CR177" s="398"/>
      <c r="CS177" s="348"/>
      <c r="CT177" s="348"/>
      <c r="CV177" s="398"/>
      <c r="CW177" s="348"/>
      <c r="CX177" s="348"/>
      <c r="CZ177" s="398"/>
      <c r="DA177" s="348"/>
      <c r="DB177" s="348"/>
      <c r="DD177" s="398"/>
      <c r="DE177" s="348"/>
      <c r="DF177" s="348"/>
      <c r="DH177" s="398"/>
      <c r="DI177" s="348"/>
      <c r="DJ177" s="348"/>
      <c r="DL177" s="348"/>
      <c r="DM177" s="348"/>
      <c r="DN177" s="348"/>
      <c r="DP177" s="348"/>
      <c r="DQ177" s="348"/>
      <c r="DR177" s="348"/>
      <c r="DT177" s="1"/>
      <c r="DU177" s="1"/>
      <c r="DV177" s="1"/>
      <c r="DW177" s="1"/>
      <c r="DX177" s="1"/>
      <c r="DY177" s="1"/>
      <c r="DZ177" s="1"/>
      <c r="EA177" s="1"/>
      <c r="EB177" s="1"/>
      <c r="EC177" s="1"/>
      <c r="ED177" s="1"/>
      <c r="EE177" s="1"/>
      <c r="EF177" s="1"/>
      <c r="EG177" s="1"/>
      <c r="EH177" s="1"/>
      <c r="EI177" s="1"/>
      <c r="EJ177" s="1"/>
      <c r="EK177" s="1"/>
      <c r="EL177" s="1"/>
      <c r="EM177" s="1"/>
      <c r="EN177" s="1"/>
      <c r="EO177" s="1"/>
      <c r="EP177" s="1"/>
      <c r="EQ177" s="1"/>
      <c r="ER177" s="1"/>
      <c r="ES177" s="1"/>
      <c r="ET177" s="1"/>
      <c r="EU177" s="1"/>
      <c r="EV177" s="1"/>
      <c r="EW177" s="1"/>
      <c r="EX177" s="1"/>
      <c r="EY177" s="1"/>
      <c r="EZ177" s="1"/>
      <c r="FA177" s="1"/>
      <c r="FB177" s="1"/>
      <c r="FC177" s="1"/>
      <c r="FD177" s="1"/>
      <c r="FE177" s="1"/>
      <c r="FF177" s="1"/>
      <c r="FG177" s="1"/>
      <c r="FH177" s="1"/>
      <c r="FI177" s="1"/>
      <c r="FJ177" s="1"/>
      <c r="FK177" s="1"/>
      <c r="FL177" s="1"/>
      <c r="FM177" s="1"/>
      <c r="FN177" s="1"/>
      <c r="FO177" s="1"/>
      <c r="FP177" s="1"/>
      <c r="FQ177" s="1"/>
      <c r="FR177" s="1"/>
      <c r="FS177" s="1"/>
      <c r="FT177" s="1"/>
      <c r="FU177" s="1"/>
      <c r="FV177" s="1"/>
      <c r="FW177" s="1"/>
      <c r="FX177" s="1"/>
      <c r="FY177" s="1"/>
      <c r="FZ177" s="1"/>
      <c r="GA177" s="1"/>
      <c r="GB177" s="1"/>
      <c r="GC177" s="1"/>
      <c r="GD177" s="1"/>
      <c r="GE177" s="1"/>
      <c r="GF177" s="1"/>
      <c r="GG177" s="1"/>
      <c r="GH177" s="1"/>
      <c r="GI177" s="1"/>
      <c r="GJ177" s="1"/>
      <c r="GK177" s="1"/>
      <c r="GL177" s="1"/>
      <c r="GM177" s="1"/>
      <c r="GN177" s="1"/>
      <c r="GO177" s="1"/>
      <c r="GP177" s="1"/>
      <c r="GQ177" s="1"/>
      <c r="GR177" s="1"/>
      <c r="GS177" s="1"/>
      <c r="GT177" s="1"/>
      <c r="GU177" s="1"/>
      <c r="GV177" s="1"/>
      <c r="GW177" s="1"/>
      <c r="GX177" s="1"/>
      <c r="GY177" s="1"/>
      <c r="GZ177" s="1"/>
      <c r="HA177" s="1"/>
      <c r="HB177" s="1"/>
      <c r="HC177" s="1"/>
      <c r="HD177" s="1"/>
      <c r="HE177" s="1"/>
      <c r="HF177" s="1"/>
      <c r="HG177" s="1"/>
      <c r="HH177" s="1"/>
      <c r="HI177" s="1"/>
      <c r="HJ177" s="1"/>
      <c r="HK177" s="1"/>
      <c r="HL177" s="1"/>
      <c r="HM177" s="1"/>
      <c r="HN177" s="1"/>
      <c r="HO177" s="1"/>
      <c r="HP177" s="1"/>
      <c r="HQ177" s="1"/>
      <c r="HR177" s="1"/>
      <c r="HS177" s="1"/>
      <c r="HT177" s="1"/>
      <c r="HU177" s="1"/>
      <c r="HV177" s="1"/>
      <c r="HW177" s="1"/>
      <c r="HX177" s="1"/>
      <c r="HY177" s="1"/>
      <c r="HZ177" s="1"/>
      <c r="IA177" s="1"/>
      <c r="IB177" s="1"/>
      <c r="IC177" s="1"/>
      <c r="ID177" s="1"/>
      <c r="IE177" s="1"/>
      <c r="IF177" s="1"/>
      <c r="IG177" s="1"/>
      <c r="IH177" s="1"/>
      <c r="II177" s="1"/>
      <c r="IJ177" s="1"/>
      <c r="IK177" s="1"/>
      <c r="IL177" s="1"/>
      <c r="IM177" s="1"/>
      <c r="IN177" s="1"/>
      <c r="IO177" s="1"/>
      <c r="IP177" s="1"/>
      <c r="IQ177" s="1"/>
      <c r="IR177" s="1"/>
      <c r="IS177" s="1"/>
      <c r="IT177" s="1"/>
      <c r="IU177" s="1"/>
      <c r="IV177" s="1"/>
      <c r="IW177" s="1"/>
      <c r="IX177" s="1"/>
      <c r="IY177" s="1"/>
      <c r="IZ177" s="1"/>
      <c r="JA177" s="1"/>
      <c r="JB177" s="1"/>
      <c r="JC177" s="1"/>
      <c r="JD177" s="1"/>
    </row>
    <row r="178" spans="1:264" s="347" customFormat="1" x14ac:dyDescent="0.2">
      <c r="A178" s="436" t="str">
        <f>+A174</f>
        <v>Housing Loans</v>
      </c>
      <c r="B178" s="437" t="s">
        <v>236</v>
      </c>
      <c r="C178" s="463"/>
      <c r="D178" s="463"/>
      <c r="E178" s="463"/>
      <c r="F178" s="463"/>
      <c r="G178" s="463"/>
      <c r="H178" s="463"/>
      <c r="I178" s="463"/>
      <c r="J178" s="463"/>
      <c r="K178" s="463"/>
      <c r="L178" s="463"/>
      <c r="M178" s="463"/>
      <c r="N178" s="463"/>
      <c r="O178" s="463"/>
      <c r="P178" s="463"/>
      <c r="Q178" s="463"/>
      <c r="R178" s="463"/>
      <c r="S178" s="463"/>
      <c r="T178" s="463"/>
      <c r="U178" s="463"/>
      <c r="V178" s="463"/>
      <c r="W178" s="463"/>
      <c r="X178" s="463"/>
      <c r="Y178" s="463"/>
      <c r="Z178" s="463"/>
      <c r="AA178" s="463"/>
      <c r="AB178" s="463"/>
      <c r="AC178" s="463"/>
      <c r="AD178" s="463"/>
      <c r="AE178" s="463"/>
      <c r="AF178" s="463"/>
      <c r="AG178" s="463"/>
      <c r="AH178" s="463"/>
      <c r="AI178" s="463"/>
      <c r="AJ178" s="463"/>
      <c r="AK178" s="463"/>
      <c r="AL178" s="463"/>
      <c r="AM178" s="463"/>
      <c r="AN178" s="463"/>
      <c r="AO178" s="463"/>
      <c r="AP178" s="463"/>
      <c r="AQ178" s="463"/>
      <c r="AR178" s="463"/>
      <c r="AS178" s="463"/>
      <c r="AT178" s="463"/>
      <c r="AU178" s="463"/>
      <c r="AV178" s="463"/>
      <c r="AW178" s="463"/>
      <c r="AX178" s="463"/>
      <c r="AY178" s="463"/>
      <c r="AZ178" s="463"/>
      <c r="BA178" s="463"/>
      <c r="BB178" s="463"/>
      <c r="BC178" s="463"/>
      <c r="BD178" s="463"/>
      <c r="BE178" s="463"/>
      <c r="BF178" s="463"/>
      <c r="BG178" s="463"/>
      <c r="BH178" s="464"/>
      <c r="BI178" s="465">
        <f>+BI174/BH174-1</f>
        <v>-2.5237444154323829E-2</v>
      </c>
      <c r="BJ178" s="466"/>
      <c r="BK178" s="466"/>
      <c r="BL178" s="465">
        <f>+BL174/BI174-1</f>
        <v>-4.1322773910124511E-2</v>
      </c>
      <c r="BM178" s="465">
        <f>+BM174/BL174-1</f>
        <v>6.1079978148098846E-2</v>
      </c>
      <c r="BN178" s="466"/>
      <c r="BO178" s="466"/>
      <c r="BP178" s="465">
        <f>+BP174/BM174-1</f>
        <v>-6.2268595914759528E-2</v>
      </c>
      <c r="BQ178" s="465">
        <f>+BQ174/BP174-1</f>
        <v>-4.0933750378411515E-2</v>
      </c>
      <c r="BR178" s="466"/>
      <c r="BS178" s="463"/>
      <c r="BT178" s="465">
        <f>+BT174/BQ174-1</f>
        <v>-1.4209662821415336E-2</v>
      </c>
      <c r="BU178" s="465">
        <f>+BU174/BT174-1</f>
        <v>5.4411736656939436E-2</v>
      </c>
      <c r="BV178" s="466"/>
      <c r="BW178" s="463"/>
      <c r="BX178" s="465">
        <f>+BX174/BU174-1</f>
        <v>1.3422879493375728E-2</v>
      </c>
      <c r="BY178" s="465">
        <f>+BY174/BX174-1</f>
        <v>-1.3938245281528983E-2</v>
      </c>
      <c r="BZ178" s="466"/>
      <c r="CA178" s="463"/>
      <c r="CB178" s="465">
        <f>+CB174/BY174-1</f>
        <v>-7.9150825357139021E-2</v>
      </c>
      <c r="CC178" s="465">
        <f>+CC174/CB174-1</f>
        <v>-3.9626272107609717E-2</v>
      </c>
      <c r="CD178" s="466"/>
      <c r="CE178" s="463"/>
      <c r="CF178" s="465">
        <f>+CF174/CC174-1</f>
        <v>-1.9504094605380051E-2</v>
      </c>
      <c r="CG178" s="465">
        <f>+CG174/CF174-1</f>
        <v>4.1973268689665666E-4</v>
      </c>
      <c r="CH178" s="466"/>
      <c r="CI178" s="463"/>
      <c r="CJ178" s="465">
        <f>+CJ174/CG174-1</f>
        <v>-7.6574609776016378E-2</v>
      </c>
      <c r="CK178" s="465">
        <f>+CK174/CJ174-1</f>
        <v>-0.15048612166805675</v>
      </c>
      <c r="CL178" s="466"/>
      <c r="CM178" s="463"/>
      <c r="CN178" s="465">
        <f>+CN174/CK174-1</f>
        <v>-8.0796470021135436E-2</v>
      </c>
      <c r="CO178" s="465">
        <f>+CO174/CN174-1</f>
        <v>-0.13930012101653888</v>
      </c>
      <c r="CP178" s="466"/>
      <c r="CQ178" s="463"/>
      <c r="CR178" s="465">
        <f>+CR174/CO174-1</f>
        <v>-0.12716424662286607</v>
      </c>
      <c r="CS178" s="465">
        <f>+CS174/CR174-1</f>
        <v>-0.15285229023672786</v>
      </c>
      <c r="CT178" s="466"/>
      <c r="CU178" s="463"/>
      <c r="CV178" s="465">
        <f>+CV174/CS174-1</f>
        <v>-0.17566720336431574</v>
      </c>
      <c r="CW178" s="465">
        <f>+CW174/CV174-1</f>
        <v>-6.6731662144424497E-2</v>
      </c>
      <c r="CX178" s="466"/>
      <c r="CY178" s="463"/>
      <c r="CZ178" s="465">
        <f>+CZ174/CW174-1</f>
        <v>-0.69683369759266456</v>
      </c>
      <c r="DA178" s="465">
        <f>+DA174/CZ174-1</f>
        <v>-0.19727173770162509</v>
      </c>
      <c r="DB178" s="466"/>
      <c r="DC178" s="463"/>
      <c r="DD178" s="465">
        <f>+DD174/DA174-1</f>
        <v>-0.30200222264745269</v>
      </c>
      <c r="DE178" s="465">
        <f>+DE174/DD174-1</f>
        <v>-8.5602292287780379E-2</v>
      </c>
      <c r="DF178" s="466"/>
      <c r="DG178" s="463"/>
      <c r="DH178" s="465">
        <f>+DH174/DE174-1</f>
        <v>-0.20927684967640559</v>
      </c>
      <c r="DI178" s="482">
        <v>-0.02</v>
      </c>
      <c r="DJ178" s="466"/>
      <c r="DK178" s="463"/>
      <c r="DL178" s="482">
        <v>-0.02</v>
      </c>
      <c r="DM178" s="482">
        <v>-0.02</v>
      </c>
      <c r="DN178" s="466"/>
      <c r="DO178" s="463"/>
      <c r="DP178" s="482">
        <v>-0.02</v>
      </c>
      <c r="DQ178" s="482">
        <v>-0.02</v>
      </c>
      <c r="DR178" s="466"/>
      <c r="DS178" s="463"/>
      <c r="DT178" s="1"/>
      <c r="DU178" s="1"/>
      <c r="DV178" s="1"/>
      <c r="DW178" s="1"/>
      <c r="DX178" s="1"/>
      <c r="DY178" s="1"/>
      <c r="DZ178" s="1"/>
      <c r="EA178" s="1"/>
      <c r="EB178" s="1"/>
      <c r="EC178" s="1"/>
      <c r="ED178" s="1"/>
      <c r="EE178" s="1"/>
      <c r="EF178" s="1"/>
      <c r="EG178" s="1"/>
      <c r="EH178" s="1"/>
      <c r="EI178" s="1"/>
      <c r="EJ178" s="1"/>
      <c r="EK178" s="1"/>
      <c r="EL178" s="1"/>
      <c r="EM178" s="1"/>
      <c r="EN178" s="1"/>
      <c r="EO178" s="1"/>
      <c r="EP178" s="1"/>
      <c r="EQ178" s="1"/>
      <c r="ER178" s="1"/>
      <c r="ES178" s="1"/>
      <c r="ET178" s="1"/>
      <c r="EU178" s="1"/>
      <c r="EV178" s="1"/>
      <c r="EW178" s="1"/>
      <c r="EX178" s="1"/>
      <c r="EY178" s="1"/>
      <c r="EZ178" s="1"/>
      <c r="FA178" s="1"/>
      <c r="FB178" s="1"/>
      <c r="FC178" s="1"/>
      <c r="FD178" s="1"/>
      <c r="FE178" s="1"/>
      <c r="FF178" s="1"/>
      <c r="FG178" s="1"/>
      <c r="FH178" s="1"/>
      <c r="FI178" s="1"/>
      <c r="FJ178" s="1"/>
      <c r="FK178" s="1"/>
      <c r="FL178" s="1"/>
      <c r="FM178" s="1"/>
      <c r="FN178" s="1"/>
      <c r="FO178" s="1"/>
      <c r="FP178" s="1"/>
      <c r="FQ178" s="1"/>
      <c r="FR178" s="1"/>
      <c r="FS178" s="1"/>
      <c r="FT178" s="1"/>
      <c r="FU178" s="1"/>
      <c r="FV178" s="1"/>
      <c r="FW178" s="1"/>
      <c r="FX178" s="1"/>
      <c r="FY178" s="1"/>
      <c r="FZ178" s="1"/>
      <c r="GA178" s="1"/>
      <c r="GB178" s="1"/>
      <c r="GC178" s="1"/>
      <c r="GD178" s="1"/>
      <c r="GE178" s="1"/>
      <c r="GF178" s="1"/>
      <c r="GG178" s="1"/>
      <c r="GH178" s="1"/>
      <c r="GI178" s="1"/>
      <c r="GJ178" s="1"/>
      <c r="GK178" s="1"/>
      <c r="GL178" s="1"/>
      <c r="GM178" s="1"/>
      <c r="GN178" s="1"/>
      <c r="GO178" s="1"/>
      <c r="GP178" s="1"/>
      <c r="GQ178" s="1"/>
      <c r="GR178" s="1"/>
      <c r="GS178" s="1"/>
      <c r="GT178" s="1"/>
      <c r="GU178" s="1"/>
      <c r="GV178" s="1"/>
      <c r="GW178" s="1"/>
      <c r="GX178" s="1"/>
      <c r="GY178" s="1"/>
      <c r="GZ178" s="1"/>
      <c r="HA178" s="1"/>
      <c r="HB178" s="1"/>
      <c r="HC178" s="1"/>
      <c r="HD178" s="1"/>
      <c r="HE178" s="1"/>
      <c r="HF178" s="1"/>
      <c r="HG178" s="1"/>
      <c r="HH178" s="1"/>
      <c r="HI178" s="1"/>
      <c r="HJ178" s="1"/>
      <c r="HK178" s="1"/>
      <c r="HL178" s="1"/>
      <c r="HM178" s="1"/>
      <c r="HN178" s="1"/>
      <c r="HO178" s="1"/>
      <c r="HP178" s="1"/>
      <c r="HQ178" s="1"/>
      <c r="HR178" s="1"/>
      <c r="HS178" s="1"/>
      <c r="HT178" s="1"/>
      <c r="HU178" s="1"/>
      <c r="HV178" s="1"/>
      <c r="HW178" s="1"/>
      <c r="HX178" s="1"/>
      <c r="HY178" s="1"/>
      <c r="HZ178" s="1"/>
      <c r="IA178" s="1"/>
      <c r="IB178" s="1"/>
      <c r="IC178" s="1"/>
      <c r="ID178" s="1"/>
      <c r="IE178" s="1"/>
      <c r="IF178" s="1"/>
      <c r="IG178" s="1"/>
      <c r="IH178" s="1"/>
      <c r="II178" s="1"/>
      <c r="IJ178" s="1"/>
      <c r="IK178" s="1"/>
      <c r="IL178" s="1"/>
      <c r="IM178" s="1"/>
      <c r="IN178" s="1"/>
      <c r="IO178" s="1"/>
      <c r="IP178" s="1"/>
      <c r="IQ178" s="1"/>
      <c r="IR178" s="1"/>
      <c r="IS178" s="1"/>
      <c r="IT178" s="1"/>
      <c r="IU178" s="1"/>
      <c r="IV178" s="1"/>
      <c r="IW178" s="1"/>
      <c r="IX178" s="1"/>
      <c r="IY178" s="1"/>
      <c r="IZ178" s="1"/>
      <c r="JA178" s="1"/>
      <c r="JB178" s="1"/>
      <c r="JC178" s="1"/>
      <c r="JD178" s="1"/>
    </row>
    <row r="179" spans="1:264" s="347" customFormat="1" x14ac:dyDescent="0.2">
      <c r="A179" s="436" t="str">
        <f>+A175</f>
        <v>Non Housing Loans</v>
      </c>
      <c r="B179" s="437" t="s">
        <v>236</v>
      </c>
      <c r="C179" s="463"/>
      <c r="D179" s="463"/>
      <c r="E179" s="463"/>
      <c r="F179" s="463"/>
      <c r="G179" s="463"/>
      <c r="H179" s="463"/>
      <c r="I179" s="463"/>
      <c r="J179" s="463"/>
      <c r="K179" s="463"/>
      <c r="L179" s="463"/>
      <c r="M179" s="463"/>
      <c r="N179" s="463"/>
      <c r="O179" s="463"/>
      <c r="P179" s="463"/>
      <c r="Q179" s="463"/>
      <c r="R179" s="463"/>
      <c r="S179" s="463"/>
      <c r="T179" s="463"/>
      <c r="U179" s="463"/>
      <c r="V179" s="463"/>
      <c r="W179" s="463"/>
      <c r="X179" s="463"/>
      <c r="Y179" s="463"/>
      <c r="Z179" s="463"/>
      <c r="AA179" s="463"/>
      <c r="AB179" s="463"/>
      <c r="AC179" s="463"/>
      <c r="AD179" s="463"/>
      <c r="AE179" s="463"/>
      <c r="AF179" s="463"/>
      <c r="AG179" s="463"/>
      <c r="AH179" s="463"/>
      <c r="AI179" s="463"/>
      <c r="AJ179" s="463"/>
      <c r="AK179" s="463"/>
      <c r="AL179" s="463"/>
      <c r="AM179" s="463"/>
      <c r="AN179" s="463"/>
      <c r="AO179" s="463"/>
      <c r="AP179" s="463"/>
      <c r="AQ179" s="463"/>
      <c r="AR179" s="463"/>
      <c r="AS179" s="463"/>
      <c r="AT179" s="463"/>
      <c r="AU179" s="463"/>
      <c r="AV179" s="463"/>
      <c r="AW179" s="463"/>
      <c r="AX179" s="463"/>
      <c r="AY179" s="463"/>
      <c r="AZ179" s="463"/>
      <c r="BA179" s="463"/>
      <c r="BB179" s="463"/>
      <c r="BC179" s="463"/>
      <c r="BD179" s="463"/>
      <c r="BE179" s="463"/>
      <c r="BF179" s="463"/>
      <c r="BG179" s="463"/>
      <c r="BH179" s="464"/>
      <c r="BI179" s="465">
        <f>+BI175/BH175-1</f>
        <v>0.13129709448090909</v>
      </c>
      <c r="BJ179" s="466"/>
      <c r="BK179" s="466"/>
      <c r="BL179" s="465">
        <f>+BL175/BI175-1</f>
        <v>0.23902465518360549</v>
      </c>
      <c r="BM179" s="465">
        <f>+BM175/BL175-1</f>
        <v>5.9014150901482099E-2</v>
      </c>
      <c r="BN179" s="466"/>
      <c r="BO179" s="466"/>
      <c r="BP179" s="465">
        <f>+BP175/BM175-1</f>
        <v>4.3236884270088316E-2</v>
      </c>
      <c r="BQ179" s="465">
        <f>+BQ175/BP175-1</f>
        <v>-1.7748493976468271E-3</v>
      </c>
      <c r="BR179" s="466"/>
      <c r="BS179" s="463"/>
      <c r="BT179" s="465">
        <f>+BT175/BQ175-1</f>
        <v>4.4679233002230534E-2</v>
      </c>
      <c r="BU179" s="465">
        <f>+BU175/BT175-1</f>
        <v>1.4025389643795849E-2</v>
      </c>
      <c r="BV179" s="466"/>
      <c r="BW179" s="463"/>
      <c r="BX179" s="465">
        <f>+BX175/BU175-1</f>
        <v>-1.217236075739403E-2</v>
      </c>
      <c r="BY179" s="465">
        <f>+BY175/BX175-1</f>
        <v>0.10048169446179389</v>
      </c>
      <c r="BZ179" s="466"/>
      <c r="CA179" s="463"/>
      <c r="CB179" s="465">
        <f>+CB175/BY175-1</f>
        <v>2.1453060277989655E-2</v>
      </c>
      <c r="CC179" s="465">
        <f>+CC175/CB175-1</f>
        <v>-4.850265502520712E-2</v>
      </c>
      <c r="CD179" s="466"/>
      <c r="CE179" s="463"/>
      <c r="CF179" s="465">
        <f>+CF175/CC175-1</f>
        <v>-5.5765003338681174E-2</v>
      </c>
      <c r="CG179" s="465">
        <f>+CG175/CF175-1</f>
        <v>-0.15853387363701676</v>
      </c>
      <c r="CH179" s="466"/>
      <c r="CI179" s="463"/>
      <c r="CJ179" s="465">
        <f>+CJ175/CG175-1</f>
        <v>-9.2896047376556434E-2</v>
      </c>
      <c r="CK179" s="465">
        <f>+CK175/CJ175-1</f>
        <v>-8.5726147774385253E-2</v>
      </c>
      <c r="CL179" s="466"/>
      <c r="CM179" s="463"/>
      <c r="CN179" s="465">
        <f>+CN175/CK175-1</f>
        <v>1.9867146268739422E-3</v>
      </c>
      <c r="CO179" s="465">
        <f>+CO175/CN175-1</f>
        <v>2.7219126300611851E-2</v>
      </c>
      <c r="CP179" s="466"/>
      <c r="CQ179" s="463"/>
      <c r="CR179" s="465">
        <f>+CR175/CO175-1</f>
        <v>-4.6458181574905444E-3</v>
      </c>
      <c r="CS179" s="465">
        <f>+CS175/CR175-1</f>
        <v>-5.2935316062011295E-2</v>
      </c>
      <c r="CT179" s="466"/>
      <c r="CU179" s="463"/>
      <c r="CV179" s="465">
        <f>+CV175/CS175-1</f>
        <v>-0.15296204780019262</v>
      </c>
      <c r="CW179" s="465">
        <f>+CW175/CV175-1</f>
        <v>-1.126512247071243E-2</v>
      </c>
      <c r="CX179" s="466"/>
      <c r="CY179" s="463"/>
      <c r="CZ179" s="465">
        <f>+CZ175/CW175-1</f>
        <v>-1.2661368371300386E-2</v>
      </c>
      <c r="DA179" s="465">
        <f>+DA175/CZ175-1</f>
        <v>5.3649908194447038E-2</v>
      </c>
      <c r="DB179" s="466"/>
      <c r="DC179" s="463"/>
      <c r="DD179" s="465">
        <f>+DD175/DA175-1</f>
        <v>0.11820687106683003</v>
      </c>
      <c r="DE179" s="465">
        <f>+DE175/DD175-1</f>
        <v>0.11601424221291623</v>
      </c>
      <c r="DF179" s="466"/>
      <c r="DG179" s="463"/>
      <c r="DH179" s="465">
        <f>+DH175/DE175-1</f>
        <v>-1.1009325498971823E-3</v>
      </c>
      <c r="DI179" s="482">
        <v>0.01</v>
      </c>
      <c r="DJ179" s="466"/>
      <c r="DK179" s="463"/>
      <c r="DL179" s="482">
        <v>0.01</v>
      </c>
      <c r="DM179" s="482">
        <v>0.01</v>
      </c>
      <c r="DN179" s="466"/>
      <c r="DO179" s="463"/>
      <c r="DP179" s="482">
        <v>0.01</v>
      </c>
      <c r="DQ179" s="482">
        <v>0.01</v>
      </c>
      <c r="DR179" s="466"/>
      <c r="DS179" s="463"/>
      <c r="DT179" s="1"/>
      <c r="DU179" s="1"/>
      <c r="DV179" s="1"/>
      <c r="DW179" s="1"/>
      <c r="DX179" s="1"/>
      <c r="DY179" s="1"/>
      <c r="DZ179" s="1"/>
      <c r="EA179" s="1"/>
      <c r="EB179" s="1"/>
      <c r="EC179" s="1"/>
      <c r="ED179" s="1"/>
      <c r="EE179" s="1"/>
      <c r="EF179" s="1"/>
      <c r="EG179" s="1"/>
      <c r="EH179" s="1"/>
      <c r="EI179" s="1"/>
      <c r="EJ179" s="1"/>
      <c r="EK179" s="1"/>
      <c r="EL179" s="1"/>
      <c r="EM179" s="1"/>
      <c r="EN179" s="1"/>
      <c r="EO179" s="1"/>
      <c r="EP179" s="1"/>
      <c r="EQ179" s="1"/>
      <c r="ER179" s="1"/>
      <c r="ES179" s="1"/>
      <c r="ET179" s="1"/>
      <c r="EU179" s="1"/>
      <c r="EV179" s="1"/>
      <c r="EW179" s="1"/>
      <c r="EX179" s="1"/>
      <c r="EY179" s="1"/>
      <c r="EZ179" s="1"/>
      <c r="FA179" s="1"/>
      <c r="FB179" s="1"/>
      <c r="FC179" s="1"/>
      <c r="FD179" s="1"/>
      <c r="FE179" s="1"/>
      <c r="FF179" s="1"/>
      <c r="FG179" s="1"/>
      <c r="FH179" s="1"/>
      <c r="FI179" s="1"/>
      <c r="FJ179" s="1"/>
      <c r="FK179" s="1"/>
      <c r="FL179" s="1"/>
      <c r="FM179" s="1"/>
      <c r="FN179" s="1"/>
      <c r="FO179" s="1"/>
      <c r="FP179" s="1"/>
      <c r="FQ179" s="1"/>
      <c r="FR179" s="1"/>
      <c r="FS179" s="1"/>
      <c r="FT179" s="1"/>
      <c r="FU179" s="1"/>
      <c r="FV179" s="1"/>
      <c r="FW179" s="1"/>
      <c r="FX179" s="1"/>
      <c r="FY179" s="1"/>
      <c r="FZ179" s="1"/>
      <c r="GA179" s="1"/>
      <c r="GB179" s="1"/>
      <c r="GC179" s="1"/>
      <c r="GD179" s="1"/>
      <c r="GE179" s="1"/>
      <c r="GF179" s="1"/>
      <c r="GG179" s="1"/>
      <c r="GH179" s="1"/>
      <c r="GI179" s="1"/>
      <c r="GJ179" s="1"/>
      <c r="GK179" s="1"/>
      <c r="GL179" s="1"/>
      <c r="GM179" s="1"/>
      <c r="GN179" s="1"/>
      <c r="GO179" s="1"/>
      <c r="GP179" s="1"/>
      <c r="GQ179" s="1"/>
      <c r="GR179" s="1"/>
      <c r="GS179" s="1"/>
      <c r="GT179" s="1"/>
      <c r="GU179" s="1"/>
      <c r="GV179" s="1"/>
      <c r="GW179" s="1"/>
      <c r="GX179" s="1"/>
      <c r="GY179" s="1"/>
      <c r="GZ179" s="1"/>
      <c r="HA179" s="1"/>
      <c r="HB179" s="1"/>
      <c r="HC179" s="1"/>
      <c r="HD179" s="1"/>
      <c r="HE179" s="1"/>
      <c r="HF179" s="1"/>
      <c r="HG179" s="1"/>
      <c r="HH179" s="1"/>
      <c r="HI179" s="1"/>
      <c r="HJ179" s="1"/>
      <c r="HK179" s="1"/>
      <c r="HL179" s="1"/>
      <c r="HM179" s="1"/>
      <c r="HN179" s="1"/>
      <c r="HO179" s="1"/>
      <c r="HP179" s="1"/>
      <c r="HQ179" s="1"/>
      <c r="HR179" s="1"/>
      <c r="HS179" s="1"/>
      <c r="HT179" s="1"/>
      <c r="HU179" s="1"/>
      <c r="HV179" s="1"/>
      <c r="HW179" s="1"/>
      <c r="HX179" s="1"/>
      <c r="HY179" s="1"/>
      <c r="HZ179" s="1"/>
      <c r="IA179" s="1"/>
      <c r="IB179" s="1"/>
      <c r="IC179" s="1"/>
      <c r="ID179" s="1"/>
      <c r="IE179" s="1"/>
      <c r="IF179" s="1"/>
      <c r="IG179" s="1"/>
      <c r="IH179" s="1"/>
      <c r="II179" s="1"/>
      <c r="IJ179" s="1"/>
      <c r="IK179" s="1"/>
      <c r="IL179" s="1"/>
      <c r="IM179" s="1"/>
      <c r="IN179" s="1"/>
      <c r="IO179" s="1"/>
      <c r="IP179" s="1"/>
      <c r="IQ179" s="1"/>
      <c r="IR179" s="1"/>
      <c r="IS179" s="1"/>
      <c r="IT179" s="1"/>
      <c r="IU179" s="1"/>
      <c r="IV179" s="1"/>
      <c r="IW179" s="1"/>
      <c r="IX179" s="1"/>
      <c r="IY179" s="1"/>
      <c r="IZ179" s="1"/>
      <c r="JA179" s="1"/>
      <c r="JB179" s="1"/>
      <c r="JC179" s="1"/>
      <c r="JD179" s="1"/>
    </row>
    <row r="180" spans="1:264" s="347" customFormat="1" x14ac:dyDescent="0.2">
      <c r="A180" s="424" t="str">
        <f>+A176</f>
        <v>Total Loans</v>
      </c>
      <c r="B180" s="348" t="s">
        <v>140</v>
      </c>
      <c r="BH180" s="398"/>
      <c r="BI180" s="428">
        <f>+BI176/BH176-1</f>
        <v>0.12021526200818045</v>
      </c>
      <c r="BJ180" s="348"/>
      <c r="BK180" s="348"/>
      <c r="BL180" s="428">
        <f>+BL176/BI176-1</f>
        <v>0.2217545360488975</v>
      </c>
      <c r="BM180" s="428">
        <f>+BM176/BL176-1</f>
        <v>5.9114008520650962E-2</v>
      </c>
      <c r="BN180" s="348"/>
      <c r="BO180" s="348"/>
      <c r="BP180" s="428">
        <f>+BP176/BM176-1</f>
        <v>3.8127510995485059E-2</v>
      </c>
      <c r="BQ180" s="428">
        <f>+BQ176/BP176-1</f>
        <v>-3.4878237812060453E-3</v>
      </c>
      <c r="BR180" s="348"/>
      <c r="BT180" s="428">
        <f>+BT176/BQ176-1</f>
        <v>4.2199986075339035E-2</v>
      </c>
      <c r="BU180" s="428">
        <f>+BU176/BT176-1</f>
        <v>1.5633642897294298E-2</v>
      </c>
      <c r="BV180" s="348"/>
      <c r="BX180" s="428">
        <f>+BX176/BU176-1</f>
        <v>-1.1114198591509306E-2</v>
      </c>
      <c r="BY180" s="428">
        <f>+BY176/BX176-1</f>
        <v>9.5633954704821944E-2</v>
      </c>
      <c r="BZ180" s="348"/>
      <c r="CB180" s="428">
        <f>+CB176/BY176-1</f>
        <v>1.7616951009758575E-2</v>
      </c>
      <c r="CC180" s="428">
        <f>+CC176/CB176-1</f>
        <v>-4.8196376594074608E-2</v>
      </c>
      <c r="CD180" s="348"/>
      <c r="CF180" s="428">
        <f>+CF176/CC176-1</f>
        <v>-5.450255973652085E-2</v>
      </c>
      <c r="CG180" s="428">
        <f>+CG176/CF176-1</f>
        <v>-0.15279496759413369</v>
      </c>
      <c r="CH180" s="348"/>
      <c r="CJ180" s="428">
        <f>+CJ176/CG176-1</f>
        <v>-9.2200205021038761E-2</v>
      </c>
      <c r="CK180" s="428">
        <f>+CK176/CJ176-1</f>
        <v>-8.8534624620484004E-2</v>
      </c>
      <c r="CL180" s="348"/>
      <c r="CN180" s="428">
        <f>+CN176/CK176-1</f>
        <v>-1.3593676467502647E-3</v>
      </c>
      <c r="CO180" s="428">
        <f>+CO176/CN176-1</f>
        <v>2.1023840075639955E-2</v>
      </c>
      <c r="CP180" s="348"/>
      <c r="CR180" s="428">
        <f>+CR176/CO176-1</f>
        <v>-8.4883211410837767E-3</v>
      </c>
      <c r="CS180" s="428">
        <f>+CS176/CR176-1</f>
        <v>-5.5693903556774282E-2</v>
      </c>
      <c r="CT180" s="348"/>
      <c r="CV180" s="428">
        <f>+CV176/CS176-1</f>
        <v>-0.15352441284585883</v>
      </c>
      <c r="CW180" s="428">
        <f>+CW176/CV176-1</f>
        <v>-1.2602989809613607E-2</v>
      </c>
      <c r="CX180" s="348"/>
      <c r="CZ180" s="428">
        <f>+CZ176/CW176-1</f>
        <v>-2.8259127466659706E-2</v>
      </c>
      <c r="DA180" s="428">
        <f>+DA176/CZ176-1</f>
        <v>5.1865207932667357E-2</v>
      </c>
      <c r="DB180" s="348"/>
      <c r="DD180" s="428">
        <f>+DD176/DA176-1</f>
        <v>0.11592599824730443</v>
      </c>
      <c r="DE180" s="428">
        <f>+DE176/DD176-1</f>
        <v>0.11532973124255164</v>
      </c>
      <c r="DF180" s="348"/>
      <c r="DH180" s="428">
        <f>+DH176/DE176-1</f>
        <v>-1.6803833984715411E-3</v>
      </c>
      <c r="DI180" s="428">
        <f>+DI176/DH176-1</f>
        <v>9.9338603000482806E-3</v>
      </c>
      <c r="DJ180" s="348"/>
      <c r="DL180" s="428">
        <f>+DL176/DI176-1</f>
        <v>9.9358206428159512E-3</v>
      </c>
      <c r="DM180" s="428">
        <f>+DM176/DL176-1</f>
        <v>9.9377230030315289E-3</v>
      </c>
      <c r="DN180" s="348"/>
      <c r="DP180" s="428">
        <f>+DP176/DM176-1</f>
        <v>9.93956908862903E-3</v>
      </c>
      <c r="DQ180" s="428">
        <f>+DQ176/DP176-1</f>
        <v>9.9413605576448294E-3</v>
      </c>
      <c r="DR180" s="348"/>
      <c r="DT180" s="1"/>
      <c r="DU180" s="1"/>
      <c r="DV180" s="1"/>
      <c r="DW180" s="1"/>
      <c r="DX180" s="1"/>
      <c r="DY180" s="1"/>
      <c r="DZ180" s="1"/>
      <c r="EA180" s="1"/>
      <c r="EB180" s="1"/>
      <c r="EC180" s="1"/>
      <c r="ED180" s="1"/>
      <c r="EE180" s="1"/>
      <c r="EF180" s="1"/>
      <c r="EG180" s="1"/>
      <c r="EH180" s="1"/>
      <c r="EI180" s="1"/>
      <c r="EJ180" s="1"/>
      <c r="EK180" s="1"/>
      <c r="EL180" s="1"/>
      <c r="EM180" s="1"/>
      <c r="EN180" s="1"/>
      <c r="EO180" s="1"/>
      <c r="EP180" s="1"/>
      <c r="EQ180" s="1"/>
      <c r="ER180" s="1"/>
      <c r="ES180" s="1"/>
      <c r="ET180" s="1"/>
      <c r="EU180" s="1"/>
      <c r="EV180" s="1"/>
      <c r="EW180" s="1"/>
      <c r="EX180" s="1"/>
      <c r="EY180" s="1"/>
      <c r="EZ180" s="1"/>
      <c r="FA180" s="1"/>
      <c r="FB180" s="1"/>
      <c r="FC180" s="1"/>
      <c r="FD180" s="1"/>
      <c r="FE180" s="1"/>
      <c r="FF180" s="1"/>
      <c r="FG180" s="1"/>
      <c r="FH180" s="1"/>
      <c r="FI180" s="1"/>
      <c r="FJ180" s="1"/>
      <c r="FK180" s="1"/>
      <c r="FL180" s="1"/>
      <c r="FM180" s="1"/>
      <c r="FN180" s="1"/>
      <c r="FO180" s="1"/>
      <c r="FP180" s="1"/>
      <c r="FQ180" s="1"/>
      <c r="FR180" s="1"/>
      <c r="FS180" s="1"/>
      <c r="FT180" s="1"/>
      <c r="FU180" s="1"/>
      <c r="FV180" s="1"/>
      <c r="FW180" s="1"/>
      <c r="FX180" s="1"/>
      <c r="FY180" s="1"/>
      <c r="FZ180" s="1"/>
      <c r="GA180" s="1"/>
      <c r="GB180" s="1"/>
      <c r="GC180" s="1"/>
      <c r="GD180" s="1"/>
      <c r="GE180" s="1"/>
      <c r="GF180" s="1"/>
      <c r="GG180" s="1"/>
      <c r="GH180" s="1"/>
      <c r="GI180" s="1"/>
      <c r="GJ180" s="1"/>
      <c r="GK180" s="1"/>
      <c r="GL180" s="1"/>
      <c r="GM180" s="1"/>
      <c r="GN180" s="1"/>
      <c r="GO180" s="1"/>
      <c r="GP180" s="1"/>
      <c r="GQ180" s="1"/>
      <c r="GR180" s="1"/>
      <c r="GS180" s="1"/>
      <c r="GT180" s="1"/>
      <c r="GU180" s="1"/>
      <c r="GV180" s="1"/>
      <c r="GW180" s="1"/>
      <c r="GX180" s="1"/>
      <c r="GY180" s="1"/>
      <c r="GZ180" s="1"/>
      <c r="HA180" s="1"/>
      <c r="HB180" s="1"/>
      <c r="HC180" s="1"/>
      <c r="HD180" s="1"/>
      <c r="HE180" s="1"/>
      <c r="HF180" s="1"/>
      <c r="HG180" s="1"/>
      <c r="HH180" s="1"/>
      <c r="HI180" s="1"/>
      <c r="HJ180" s="1"/>
      <c r="HK180" s="1"/>
      <c r="HL180" s="1"/>
      <c r="HM180" s="1"/>
      <c r="HN180" s="1"/>
      <c r="HO180" s="1"/>
      <c r="HP180" s="1"/>
      <c r="HQ180" s="1"/>
      <c r="HR180" s="1"/>
      <c r="HS180" s="1"/>
      <c r="HT180" s="1"/>
      <c r="HU180" s="1"/>
      <c r="HV180" s="1"/>
      <c r="HW180" s="1"/>
      <c r="HX180" s="1"/>
      <c r="HY180" s="1"/>
      <c r="HZ180" s="1"/>
      <c r="IA180" s="1"/>
      <c r="IB180" s="1"/>
      <c r="IC180" s="1"/>
      <c r="ID180" s="1"/>
      <c r="IE180" s="1"/>
      <c r="IF180" s="1"/>
      <c r="IG180" s="1"/>
      <c r="IH180" s="1"/>
      <c r="II180" s="1"/>
      <c r="IJ180" s="1"/>
      <c r="IK180" s="1"/>
      <c r="IL180" s="1"/>
      <c r="IM180" s="1"/>
      <c r="IN180" s="1"/>
      <c r="IO180" s="1"/>
      <c r="IP180" s="1"/>
      <c r="IQ180" s="1"/>
      <c r="IR180" s="1"/>
      <c r="IS180" s="1"/>
      <c r="IT180" s="1"/>
      <c r="IU180" s="1"/>
      <c r="IV180" s="1"/>
      <c r="IW180" s="1"/>
      <c r="IX180" s="1"/>
      <c r="IY180" s="1"/>
      <c r="IZ180" s="1"/>
      <c r="JA180" s="1"/>
      <c r="JB180" s="1"/>
      <c r="JC180" s="1"/>
      <c r="JD180" s="1"/>
    </row>
    <row r="181" spans="1:264" s="347" customFormat="1" x14ac:dyDescent="0.2">
      <c r="B181" s="348"/>
      <c r="BH181" s="398"/>
      <c r="BI181" s="348"/>
      <c r="BJ181" s="348"/>
      <c r="BK181" s="348"/>
      <c r="BL181" s="398"/>
      <c r="BM181" s="348"/>
      <c r="BN181" s="348"/>
      <c r="BO181" s="348"/>
      <c r="BP181" s="398"/>
      <c r="BQ181" s="348"/>
      <c r="BR181" s="348"/>
      <c r="BT181" s="398"/>
      <c r="BU181" s="348"/>
      <c r="BV181" s="348"/>
      <c r="BX181" s="398"/>
      <c r="BY181" s="348"/>
      <c r="BZ181" s="348"/>
      <c r="CB181" s="398"/>
      <c r="CC181" s="348"/>
      <c r="CD181" s="348"/>
      <c r="CF181" s="398"/>
      <c r="CG181" s="348"/>
      <c r="CH181" s="348"/>
      <c r="CJ181" s="398"/>
      <c r="CK181" s="348"/>
      <c r="CL181" s="348"/>
      <c r="CN181" s="398"/>
      <c r="CO181" s="348"/>
      <c r="CP181" s="348"/>
      <c r="CR181" s="398"/>
      <c r="CS181" s="348"/>
      <c r="CT181" s="348"/>
      <c r="CV181" s="398"/>
      <c r="CW181" s="348"/>
      <c r="CX181" s="348"/>
      <c r="CZ181" s="398"/>
      <c r="DA181" s="348"/>
      <c r="DB181" s="348"/>
      <c r="DD181" s="398"/>
      <c r="DE181" s="348"/>
      <c r="DF181" s="348"/>
      <c r="DH181" s="398"/>
      <c r="DI181" s="348"/>
      <c r="DJ181" s="348"/>
      <c r="DL181" s="348"/>
      <c r="DM181" s="348"/>
      <c r="DN181" s="348"/>
      <c r="DP181" s="348"/>
      <c r="DQ181" s="348"/>
      <c r="DR181" s="348"/>
      <c r="DT181" s="1"/>
      <c r="DU181" s="1"/>
      <c r="DV181" s="1"/>
      <c r="DW181" s="1"/>
      <c r="DX181" s="1"/>
      <c r="DY181" s="1"/>
      <c r="DZ181" s="1"/>
      <c r="EA181" s="1"/>
      <c r="EB181" s="1"/>
      <c r="EC181" s="1"/>
      <c r="ED181" s="1"/>
      <c r="EE181" s="1"/>
      <c r="EF181" s="1"/>
      <c r="EG181" s="1"/>
      <c r="EH181" s="1"/>
      <c r="EI181" s="1"/>
      <c r="EJ181" s="1"/>
      <c r="EK181" s="1"/>
      <c r="EL181" s="1"/>
      <c r="EM181" s="1"/>
      <c r="EN181" s="1"/>
      <c r="EO181" s="1"/>
      <c r="EP181" s="1"/>
      <c r="EQ181" s="1"/>
      <c r="ER181" s="1"/>
      <c r="ES181" s="1"/>
      <c r="ET181" s="1"/>
      <c r="EU181" s="1"/>
      <c r="EV181" s="1"/>
      <c r="EW181" s="1"/>
      <c r="EX181" s="1"/>
      <c r="EY181" s="1"/>
      <c r="EZ181" s="1"/>
      <c r="FA181" s="1"/>
      <c r="FB181" s="1"/>
      <c r="FC181" s="1"/>
      <c r="FD181" s="1"/>
      <c r="FE181" s="1"/>
      <c r="FF181" s="1"/>
      <c r="FG181" s="1"/>
      <c r="FH181" s="1"/>
      <c r="FI181" s="1"/>
      <c r="FJ181" s="1"/>
      <c r="FK181" s="1"/>
      <c r="FL181" s="1"/>
      <c r="FM181" s="1"/>
      <c r="FN181" s="1"/>
      <c r="FO181" s="1"/>
      <c r="FP181" s="1"/>
      <c r="FQ181" s="1"/>
      <c r="FR181" s="1"/>
      <c r="FS181" s="1"/>
      <c r="FT181" s="1"/>
      <c r="FU181" s="1"/>
      <c r="FV181" s="1"/>
      <c r="FW181" s="1"/>
      <c r="FX181" s="1"/>
      <c r="FY181" s="1"/>
      <c r="FZ181" s="1"/>
      <c r="GA181" s="1"/>
      <c r="GB181" s="1"/>
      <c r="GC181" s="1"/>
      <c r="GD181" s="1"/>
      <c r="GE181" s="1"/>
      <c r="GF181" s="1"/>
      <c r="GG181" s="1"/>
      <c r="GH181" s="1"/>
      <c r="GI181" s="1"/>
      <c r="GJ181" s="1"/>
      <c r="GK181" s="1"/>
      <c r="GL181" s="1"/>
      <c r="GM181" s="1"/>
      <c r="GN181" s="1"/>
      <c r="GO181" s="1"/>
      <c r="GP181" s="1"/>
      <c r="GQ181" s="1"/>
      <c r="GR181" s="1"/>
      <c r="GS181" s="1"/>
      <c r="GT181" s="1"/>
      <c r="GU181" s="1"/>
      <c r="GV181" s="1"/>
      <c r="GW181" s="1"/>
      <c r="GX181" s="1"/>
      <c r="GY181" s="1"/>
      <c r="GZ181" s="1"/>
      <c r="HA181" s="1"/>
      <c r="HB181" s="1"/>
      <c r="HC181" s="1"/>
      <c r="HD181" s="1"/>
      <c r="HE181" s="1"/>
      <c r="HF181" s="1"/>
      <c r="HG181" s="1"/>
      <c r="HH181" s="1"/>
      <c r="HI181" s="1"/>
      <c r="HJ181" s="1"/>
      <c r="HK181" s="1"/>
      <c r="HL181" s="1"/>
      <c r="HM181" s="1"/>
      <c r="HN181" s="1"/>
      <c r="HO181" s="1"/>
      <c r="HP181" s="1"/>
      <c r="HQ181" s="1"/>
      <c r="HR181" s="1"/>
      <c r="HS181" s="1"/>
      <c r="HT181" s="1"/>
      <c r="HU181" s="1"/>
      <c r="HV181" s="1"/>
      <c r="HW181" s="1"/>
      <c r="HX181" s="1"/>
      <c r="HY181" s="1"/>
      <c r="HZ181" s="1"/>
      <c r="IA181" s="1"/>
      <c r="IB181" s="1"/>
      <c r="IC181" s="1"/>
      <c r="ID181" s="1"/>
      <c r="IE181" s="1"/>
      <c r="IF181" s="1"/>
      <c r="IG181" s="1"/>
      <c r="IH181" s="1"/>
      <c r="II181" s="1"/>
      <c r="IJ181" s="1"/>
      <c r="IK181" s="1"/>
      <c r="IL181" s="1"/>
      <c r="IM181" s="1"/>
      <c r="IN181" s="1"/>
      <c r="IO181" s="1"/>
      <c r="IP181" s="1"/>
      <c r="IQ181" s="1"/>
      <c r="IR181" s="1"/>
      <c r="IS181" s="1"/>
      <c r="IT181" s="1"/>
      <c r="IU181" s="1"/>
      <c r="IV181" s="1"/>
      <c r="IW181" s="1"/>
      <c r="IX181" s="1"/>
      <c r="IY181" s="1"/>
      <c r="IZ181" s="1"/>
      <c r="JA181" s="1"/>
      <c r="JB181" s="1"/>
      <c r="JC181" s="1"/>
      <c r="JD181" s="1"/>
    </row>
    <row r="182" spans="1:264" s="347" customFormat="1" x14ac:dyDescent="0.2">
      <c r="A182" s="411" t="s">
        <v>285</v>
      </c>
      <c r="B182" s="348"/>
      <c r="BH182" s="348"/>
      <c r="BI182" s="348"/>
      <c r="BJ182" s="348"/>
      <c r="BK182" s="348"/>
      <c r="BL182" s="348"/>
      <c r="BM182" s="348"/>
      <c r="BN182" s="348"/>
      <c r="BO182" s="348"/>
      <c r="BP182" s="348"/>
      <c r="BQ182" s="348"/>
      <c r="BR182" s="348"/>
      <c r="BT182" s="348"/>
      <c r="BU182" s="348"/>
      <c r="BV182" s="348"/>
      <c r="BX182" s="483"/>
      <c r="BY182" s="483"/>
      <c r="BZ182" s="348"/>
      <c r="CB182" s="483"/>
      <c r="CC182" s="483"/>
      <c r="CD182" s="348"/>
      <c r="CF182" s="483"/>
      <c r="CG182" s="483"/>
      <c r="CH182" s="348"/>
      <c r="CJ182" s="483"/>
      <c r="CK182" s="483"/>
      <c r="CL182" s="348"/>
      <c r="CN182" s="348"/>
      <c r="CO182" s="483"/>
      <c r="CP182" s="348"/>
      <c r="CR182" s="348"/>
      <c r="CS182" s="483"/>
      <c r="CT182" s="348"/>
      <c r="CV182" s="348"/>
      <c r="CW182" s="483"/>
      <c r="CX182" s="348"/>
      <c r="CZ182" s="348"/>
      <c r="DA182" s="483"/>
      <c r="DB182" s="348"/>
      <c r="DD182" s="348"/>
      <c r="DE182" s="483"/>
      <c r="DF182" s="348"/>
      <c r="DH182" s="348"/>
      <c r="DI182" s="348"/>
      <c r="DJ182" s="348"/>
      <c r="DL182" s="348"/>
      <c r="DM182" s="348"/>
      <c r="DN182" s="348"/>
      <c r="DP182" s="348"/>
      <c r="DQ182" s="348"/>
      <c r="DR182" s="348"/>
      <c r="DT182" s="1"/>
      <c r="DU182" s="1"/>
      <c r="DV182" s="1"/>
      <c r="DW182" s="1"/>
      <c r="DX182" s="1"/>
      <c r="DY182" s="1"/>
      <c r="DZ182" s="1"/>
      <c r="EA182" s="1"/>
      <c r="EB182" s="1"/>
      <c r="EC182" s="1"/>
      <c r="ED182" s="1"/>
      <c r="EE182" s="1"/>
      <c r="EF182" s="1"/>
      <c r="EG182" s="1"/>
      <c r="EH182" s="1"/>
      <c r="EI182" s="1"/>
      <c r="EJ182" s="1"/>
      <c r="EK182" s="1"/>
      <c r="EL182" s="1"/>
      <c r="EM182" s="1"/>
      <c r="EN182" s="1"/>
      <c r="EO182" s="1"/>
      <c r="EP182" s="1"/>
      <c r="EQ182" s="1"/>
      <c r="ER182" s="1"/>
      <c r="ES182" s="1"/>
      <c r="ET182" s="1"/>
      <c r="EU182" s="1"/>
      <c r="EV182" s="1"/>
      <c r="EW182" s="1"/>
      <c r="EX182" s="1"/>
      <c r="EY182" s="1"/>
      <c r="EZ182" s="1"/>
      <c r="FA182" s="1"/>
      <c r="FB182" s="1"/>
      <c r="FC182" s="1"/>
      <c r="FD182" s="1"/>
      <c r="FE182" s="1"/>
      <c r="FF182" s="1"/>
      <c r="FG182" s="1"/>
      <c r="FH182" s="1"/>
      <c r="FI182" s="1"/>
      <c r="FJ182" s="1"/>
      <c r="FK182" s="1"/>
      <c r="FL182" s="1"/>
      <c r="FM182" s="1"/>
      <c r="FN182" s="1"/>
      <c r="FO182" s="1"/>
      <c r="FP182" s="1"/>
      <c r="FQ182" s="1"/>
      <c r="FR182" s="1"/>
      <c r="FS182" s="1"/>
      <c r="FT182" s="1"/>
      <c r="FU182" s="1"/>
      <c r="FV182" s="1"/>
      <c r="FW182" s="1"/>
      <c r="FX182" s="1"/>
      <c r="FY182" s="1"/>
      <c r="FZ182" s="1"/>
      <c r="GA182" s="1"/>
      <c r="GB182" s="1"/>
      <c r="GC182" s="1"/>
      <c r="GD182" s="1"/>
      <c r="GE182" s="1"/>
      <c r="GF182" s="1"/>
      <c r="GG182" s="1"/>
      <c r="GH182" s="1"/>
      <c r="GI182" s="1"/>
      <c r="GJ182" s="1"/>
      <c r="GK182" s="1"/>
      <c r="GL182" s="1"/>
      <c r="GM182" s="1"/>
      <c r="GN182" s="1"/>
      <c r="GO182" s="1"/>
      <c r="GP182" s="1"/>
      <c r="GQ182" s="1"/>
      <c r="GR182" s="1"/>
      <c r="GS182" s="1"/>
      <c r="GT182" s="1"/>
      <c r="GU182" s="1"/>
      <c r="GV182" s="1"/>
      <c r="GW182" s="1"/>
      <c r="GX182" s="1"/>
      <c r="GY182" s="1"/>
      <c r="GZ182" s="1"/>
      <c r="HA182" s="1"/>
      <c r="HB182" s="1"/>
      <c r="HC182" s="1"/>
      <c r="HD182" s="1"/>
      <c r="HE182" s="1"/>
      <c r="HF182" s="1"/>
      <c r="HG182" s="1"/>
      <c r="HH182" s="1"/>
      <c r="HI182" s="1"/>
      <c r="HJ182" s="1"/>
      <c r="HK182" s="1"/>
      <c r="HL182" s="1"/>
      <c r="HM182" s="1"/>
      <c r="HN182" s="1"/>
      <c r="HO182" s="1"/>
      <c r="HP182" s="1"/>
      <c r="HQ182" s="1"/>
      <c r="HR182" s="1"/>
      <c r="HS182" s="1"/>
      <c r="HT182" s="1"/>
      <c r="HU182" s="1"/>
      <c r="HV182" s="1"/>
      <c r="HW182" s="1"/>
      <c r="HX182" s="1"/>
      <c r="HY182" s="1"/>
      <c r="HZ182" s="1"/>
      <c r="IA182" s="1"/>
      <c r="IB182" s="1"/>
      <c r="IC182" s="1"/>
      <c r="ID182" s="1"/>
      <c r="IE182" s="1"/>
      <c r="IF182" s="1"/>
      <c r="IG182" s="1"/>
      <c r="IH182" s="1"/>
      <c r="II182" s="1"/>
      <c r="IJ182" s="1"/>
      <c r="IK182" s="1"/>
      <c r="IL182" s="1"/>
      <c r="IM182" s="1"/>
      <c r="IN182" s="1"/>
      <c r="IO182" s="1"/>
      <c r="IP182" s="1"/>
      <c r="IQ182" s="1"/>
      <c r="IR182" s="1"/>
      <c r="IS182" s="1"/>
      <c r="IT182" s="1"/>
      <c r="IU182" s="1"/>
      <c r="IV182" s="1"/>
      <c r="IW182" s="1"/>
      <c r="IX182" s="1"/>
      <c r="IY182" s="1"/>
      <c r="IZ182" s="1"/>
      <c r="JA182" s="1"/>
      <c r="JB182" s="1"/>
      <c r="JC182" s="1"/>
      <c r="JD182" s="1"/>
    </row>
    <row r="183" spans="1:264" s="347" customFormat="1" x14ac:dyDescent="0.2">
      <c r="A183" s="347" t="s">
        <v>89</v>
      </c>
      <c r="B183" s="348"/>
      <c r="BE183" s="351">
        <f t="shared" ref="BE183:BF185" si="110">+BE122+BE144+BE165</f>
        <v>352981</v>
      </c>
      <c r="BF183" s="351">
        <f t="shared" si="110"/>
        <v>352981</v>
      </c>
      <c r="BH183" s="351">
        <f t="shared" ref="BH183:BJ185" si="111">+BH122+BH144+BH165</f>
        <v>359058</v>
      </c>
      <c r="BI183" s="351">
        <f t="shared" si="111"/>
        <v>372840</v>
      </c>
      <c r="BJ183" s="351">
        <f t="shared" si="111"/>
        <v>372840</v>
      </c>
      <c r="BK183" s="393"/>
      <c r="BL183" s="351">
        <f t="shared" ref="BL183:BN185" si="112">+BL122+BL144+BL165</f>
        <v>387021</v>
      </c>
      <c r="BM183" s="351">
        <f t="shared" si="112"/>
        <v>399685</v>
      </c>
      <c r="BN183" s="351">
        <f t="shared" si="112"/>
        <v>399685</v>
      </c>
      <c r="BO183" s="393">
        <f>+BN183/BJ183-1</f>
        <v>7.2001394700139443E-2</v>
      </c>
      <c r="BP183" s="351">
        <f t="shared" ref="BP183:BR185" si="113">+BP122+BP144+BP165</f>
        <v>411305</v>
      </c>
      <c r="BQ183" s="351">
        <f t="shared" si="113"/>
        <v>422851</v>
      </c>
      <c r="BR183" s="351">
        <f t="shared" si="113"/>
        <v>422851</v>
      </c>
      <c r="BS183" s="393">
        <f>+BR183/BN183-1</f>
        <v>5.7960644007155615E-2</v>
      </c>
      <c r="BT183" s="351">
        <f t="shared" ref="BT183:BV185" si="114">+BT122+BT144+BT165</f>
        <v>437176</v>
      </c>
      <c r="BU183" s="351">
        <f t="shared" si="114"/>
        <v>456074</v>
      </c>
      <c r="BV183" s="351">
        <f t="shared" si="114"/>
        <v>456074</v>
      </c>
      <c r="BW183" s="393">
        <f>+BV183/BR183-1</f>
        <v>7.8569046780071483E-2</v>
      </c>
      <c r="BX183" s="351">
        <f t="shared" ref="BX183:BZ185" si="115">+BX122+BX144+BX165</f>
        <v>472532</v>
      </c>
      <c r="BY183" s="351">
        <f t="shared" si="115"/>
        <v>485857</v>
      </c>
      <c r="BZ183" s="351">
        <f t="shared" si="115"/>
        <v>485857</v>
      </c>
      <c r="CA183" s="393">
        <f>+BZ183/BV183-1</f>
        <v>6.5302999074711598E-2</v>
      </c>
      <c r="CB183" s="351">
        <f t="shared" ref="CB183:CD185" si="116">+CB122+CB144+CB165</f>
        <v>492688</v>
      </c>
      <c r="CC183" s="351">
        <f t="shared" si="116"/>
        <v>501665</v>
      </c>
      <c r="CD183" s="351">
        <f t="shared" si="116"/>
        <v>501665</v>
      </c>
      <c r="CE183" s="393">
        <f>+CD183/BZ183-1</f>
        <v>3.2536322415854801E-2</v>
      </c>
      <c r="CF183" s="351">
        <f t="shared" ref="CF183:CH185" si="117">+CF122+CF144+CF165</f>
        <v>512505</v>
      </c>
      <c r="CG183" s="351">
        <f t="shared" si="117"/>
        <v>522942</v>
      </c>
      <c r="CH183" s="351">
        <f t="shared" si="117"/>
        <v>522942</v>
      </c>
      <c r="CI183" s="393">
        <f>+CH183/CD183-1</f>
        <v>4.2412765490915216E-2</v>
      </c>
      <c r="CJ183" s="351">
        <f t="shared" ref="CJ183:CL185" si="118">+CJ122+CJ144+CJ165</f>
        <v>535090</v>
      </c>
      <c r="CK183" s="351">
        <f t="shared" si="118"/>
        <v>542880</v>
      </c>
      <c r="CL183" s="351">
        <f t="shared" si="118"/>
        <v>542880</v>
      </c>
      <c r="CM183" s="393">
        <f>+CL183/CH183-1</f>
        <v>3.8126599125715588E-2</v>
      </c>
      <c r="CN183" s="351">
        <f t="shared" ref="CN183:CP185" si="119">+CN122+CN144+CN165</f>
        <v>559318</v>
      </c>
      <c r="CO183" s="351">
        <f t="shared" si="119"/>
        <v>579756</v>
      </c>
      <c r="CP183" s="351">
        <f t="shared" si="119"/>
        <v>579756</v>
      </c>
      <c r="CQ183" s="393">
        <f>+CP183/CL183-1</f>
        <v>6.7926613616268838E-2</v>
      </c>
      <c r="CR183" s="351">
        <f t="shared" ref="CR183:CT185" si="120">+CR122+CR144+CR165</f>
        <v>605910</v>
      </c>
      <c r="CS183" s="351">
        <f t="shared" si="120"/>
        <v>621993</v>
      </c>
      <c r="CT183" s="351">
        <f t="shared" si="120"/>
        <v>621993</v>
      </c>
      <c r="CU183" s="393">
        <f>+CT183/CP183-1</f>
        <v>7.2853062322770334E-2</v>
      </c>
      <c r="CV183" s="351">
        <f t="shared" ref="CV183:CX185" si="121">+CV122+CV144+CV165</f>
        <v>639326</v>
      </c>
      <c r="CW183" s="351">
        <f t="shared" si="121"/>
        <v>652218</v>
      </c>
      <c r="CX183" s="351">
        <f t="shared" si="121"/>
        <v>652218</v>
      </c>
      <c r="CY183" s="393">
        <f>+CX183/CT183-1</f>
        <v>4.8593794463924755E-2</v>
      </c>
      <c r="CZ183" s="351">
        <f t="shared" ref="CZ183:DB185" si="122">+CZ122+CZ144+CZ165</f>
        <v>650460</v>
      </c>
      <c r="DA183" s="351">
        <f t="shared" si="122"/>
        <v>664701</v>
      </c>
      <c r="DB183" s="351">
        <f t="shared" si="122"/>
        <v>664701</v>
      </c>
      <c r="DC183" s="393">
        <f>+DB183/CX183-1</f>
        <v>1.9139306182901938E-2</v>
      </c>
      <c r="DD183" s="351">
        <f t="shared" ref="DD183:DF183" si="123">+DD122+DD144+DD165</f>
        <v>685269</v>
      </c>
      <c r="DE183" s="351">
        <f t="shared" si="123"/>
        <v>707862</v>
      </c>
      <c r="DF183" s="351">
        <f t="shared" si="123"/>
        <v>707862</v>
      </c>
      <c r="DG183" s="393">
        <f>+DF183/DB183-1</f>
        <v>6.4932954817278787E-2</v>
      </c>
      <c r="DH183" s="351">
        <f t="shared" ref="DH183" si="124">+DH122+DH144+DH165</f>
        <v>730188</v>
      </c>
      <c r="DI183" s="351">
        <f t="shared" ref="DI183:DJ185" si="125">+DI122+DI144+DI165</f>
        <v>756337.91903707723</v>
      </c>
      <c r="DJ183" s="351">
        <f t="shared" si="125"/>
        <v>756337.91903707723</v>
      </c>
      <c r="DK183" s="393">
        <f>+DJ183/DF183-1</f>
        <v>6.8482160416970084E-2</v>
      </c>
      <c r="DL183" s="351">
        <f t="shared" ref="DL183:DN185" si="126">+DL122+DL144+DL165</f>
        <v>780188.09167618619</v>
      </c>
      <c r="DM183" s="351">
        <f t="shared" si="126"/>
        <v>803032.96385639708</v>
      </c>
      <c r="DN183" s="351">
        <f t="shared" si="126"/>
        <v>803032.96385639708</v>
      </c>
      <c r="DO183" s="393">
        <f>+DN183/DJ183-1</f>
        <v>6.1738336322961329E-2</v>
      </c>
      <c r="DP183" s="351">
        <f t="shared" ref="DP183:DR183" si="127">+DP122+DP144+DP165</f>
        <v>822345.1636770122</v>
      </c>
      <c r="DQ183" s="351">
        <f t="shared" si="127"/>
        <v>842128.77139679424</v>
      </c>
      <c r="DR183" s="351">
        <f t="shared" si="127"/>
        <v>842128.77139679424</v>
      </c>
      <c r="DS183" s="393">
        <f>+DR183/DN183-1</f>
        <v>4.868518392152632E-2</v>
      </c>
      <c r="DT183" s="1"/>
      <c r="DU183" s="1"/>
      <c r="DV183" s="1"/>
      <c r="DW183" s="1"/>
      <c r="DX183" s="1"/>
      <c r="DY183" s="1"/>
      <c r="DZ183" s="1"/>
      <c r="EA183" s="1"/>
      <c r="EB183" s="1"/>
      <c r="EC183" s="1"/>
      <c r="ED183" s="1"/>
      <c r="EE183" s="1"/>
      <c r="EF183" s="1"/>
      <c r="EG183" s="1"/>
      <c r="EH183" s="1"/>
      <c r="EI183" s="1"/>
      <c r="EJ183" s="1"/>
      <c r="EK183" s="1"/>
      <c r="EL183" s="1"/>
      <c r="EM183" s="1"/>
      <c r="EN183" s="1"/>
      <c r="EO183" s="1"/>
      <c r="EP183" s="1"/>
      <c r="EQ183" s="1"/>
      <c r="ER183" s="1"/>
      <c r="ES183" s="1"/>
      <c r="ET183" s="1"/>
      <c r="EU183" s="1"/>
      <c r="EV183" s="1"/>
      <c r="EW183" s="1"/>
      <c r="EX183" s="1"/>
      <c r="EY183" s="1"/>
      <c r="EZ183" s="1"/>
      <c r="FA183" s="1"/>
      <c r="FB183" s="1"/>
      <c r="FC183" s="1"/>
      <c r="FD183" s="1"/>
      <c r="FE183" s="1"/>
      <c r="FF183" s="1"/>
      <c r="FG183" s="1"/>
      <c r="FH183" s="1"/>
      <c r="FI183" s="1"/>
      <c r="FJ183" s="1"/>
      <c r="FK183" s="1"/>
      <c r="FL183" s="1"/>
      <c r="FM183" s="1"/>
      <c r="FN183" s="1"/>
      <c r="FO183" s="1"/>
      <c r="FP183" s="1"/>
      <c r="FQ183" s="1"/>
      <c r="FR183" s="1"/>
      <c r="FS183" s="1"/>
      <c r="FT183" s="1"/>
      <c r="FU183" s="1"/>
      <c r="FV183" s="1"/>
      <c r="FW183" s="1"/>
      <c r="FX183" s="1"/>
      <c r="FY183" s="1"/>
      <c r="FZ183" s="1"/>
      <c r="GA183" s="1"/>
      <c r="GB183" s="1"/>
      <c r="GC183" s="1"/>
      <c r="GD183" s="1"/>
      <c r="GE183" s="1"/>
      <c r="GF183" s="1"/>
      <c r="GG183" s="1"/>
      <c r="GH183" s="1"/>
      <c r="GI183" s="1"/>
      <c r="GJ183" s="1"/>
      <c r="GK183" s="1"/>
      <c r="GL183" s="1"/>
      <c r="GM183" s="1"/>
      <c r="GN183" s="1"/>
      <c r="GO183" s="1"/>
      <c r="GP183" s="1"/>
      <c r="GQ183" s="1"/>
      <c r="GR183" s="1"/>
      <c r="GS183" s="1"/>
      <c r="GT183" s="1"/>
      <c r="GU183" s="1"/>
      <c r="GV183" s="1"/>
      <c r="GW183" s="1"/>
      <c r="GX183" s="1"/>
      <c r="GY183" s="1"/>
      <c r="GZ183" s="1"/>
      <c r="HA183" s="1"/>
      <c r="HB183" s="1"/>
      <c r="HC183" s="1"/>
      <c r="HD183" s="1"/>
      <c r="HE183" s="1"/>
      <c r="HF183" s="1"/>
      <c r="HG183" s="1"/>
      <c r="HH183" s="1"/>
      <c r="HI183" s="1"/>
      <c r="HJ183" s="1"/>
      <c r="HK183" s="1"/>
      <c r="HL183" s="1"/>
      <c r="HM183" s="1"/>
      <c r="HN183" s="1"/>
      <c r="HO183" s="1"/>
      <c r="HP183" s="1"/>
      <c r="HQ183" s="1"/>
      <c r="HR183" s="1"/>
      <c r="HS183" s="1"/>
      <c r="HT183" s="1"/>
      <c r="HU183" s="1"/>
      <c r="HV183" s="1"/>
      <c r="HW183" s="1"/>
      <c r="HX183" s="1"/>
      <c r="HY183" s="1"/>
      <c r="HZ183" s="1"/>
      <c r="IA183" s="1"/>
      <c r="IB183" s="1"/>
      <c r="IC183" s="1"/>
      <c r="ID183" s="1"/>
      <c r="IE183" s="1"/>
      <c r="IF183" s="1"/>
      <c r="IG183" s="1"/>
      <c r="IH183" s="1"/>
      <c r="II183" s="1"/>
      <c r="IJ183" s="1"/>
      <c r="IK183" s="1"/>
      <c r="IL183" s="1"/>
      <c r="IM183" s="1"/>
      <c r="IN183" s="1"/>
      <c r="IO183" s="1"/>
      <c r="IP183" s="1"/>
      <c r="IQ183" s="1"/>
      <c r="IR183" s="1"/>
      <c r="IS183" s="1"/>
      <c r="IT183" s="1"/>
      <c r="IU183" s="1"/>
      <c r="IV183" s="1"/>
      <c r="IW183" s="1"/>
      <c r="IX183" s="1"/>
      <c r="IY183" s="1"/>
      <c r="IZ183" s="1"/>
      <c r="JA183" s="1"/>
      <c r="JB183" s="1"/>
      <c r="JC183" s="1"/>
      <c r="JD183" s="1"/>
    </row>
    <row r="184" spans="1:264" s="347" customFormat="1" x14ac:dyDescent="0.2">
      <c r="A184" s="347" t="s">
        <v>271</v>
      </c>
      <c r="B184" s="348"/>
      <c r="BE184" s="351">
        <f t="shared" si="110"/>
        <v>179399</v>
      </c>
      <c r="BF184" s="351">
        <f t="shared" si="110"/>
        <v>179399</v>
      </c>
      <c r="BH184" s="351">
        <f t="shared" si="111"/>
        <v>182003</v>
      </c>
      <c r="BI184" s="351">
        <f t="shared" si="111"/>
        <v>189918</v>
      </c>
      <c r="BJ184" s="351">
        <f t="shared" si="111"/>
        <v>189918</v>
      </c>
      <c r="BK184" s="348"/>
      <c r="BL184" s="351">
        <f t="shared" si="112"/>
        <v>199947</v>
      </c>
      <c r="BM184" s="351">
        <f t="shared" si="112"/>
        <v>203415</v>
      </c>
      <c r="BN184" s="351">
        <f t="shared" si="112"/>
        <v>203415</v>
      </c>
      <c r="BO184" s="393">
        <f>+BN184/BJ184-1</f>
        <v>7.1067513347865985E-2</v>
      </c>
      <c r="BP184" s="351">
        <f t="shared" si="113"/>
        <v>214367</v>
      </c>
      <c r="BQ184" s="351">
        <f t="shared" si="113"/>
        <v>221377</v>
      </c>
      <c r="BR184" s="351">
        <f t="shared" si="113"/>
        <v>221377</v>
      </c>
      <c r="BS184" s="393">
        <f>+BR184/BN184-1</f>
        <v>8.8302239264557603E-2</v>
      </c>
      <c r="BT184" s="351">
        <f t="shared" si="114"/>
        <v>236912</v>
      </c>
      <c r="BU184" s="351">
        <f t="shared" si="114"/>
        <v>244225</v>
      </c>
      <c r="BV184" s="351">
        <f t="shared" si="114"/>
        <v>244225</v>
      </c>
      <c r="BW184" s="393">
        <f>+BV184/BR184-1</f>
        <v>0.10320855373412785</v>
      </c>
      <c r="BX184" s="351">
        <f t="shared" si="115"/>
        <v>245278</v>
      </c>
      <c r="BY184" s="351">
        <f t="shared" si="115"/>
        <v>250682</v>
      </c>
      <c r="BZ184" s="351">
        <f t="shared" si="115"/>
        <v>250682</v>
      </c>
      <c r="CA184" s="393">
        <f>+BZ184/BV184-1</f>
        <v>2.6438734773262418E-2</v>
      </c>
      <c r="CB184" s="351">
        <f t="shared" si="116"/>
        <v>248408</v>
      </c>
      <c r="CC184" s="351">
        <f t="shared" si="116"/>
        <v>246364</v>
      </c>
      <c r="CD184" s="351">
        <f t="shared" si="116"/>
        <v>246364</v>
      </c>
      <c r="CE184" s="393">
        <f>+CD184/BZ184-1</f>
        <v>-1.7225010172250088E-2</v>
      </c>
      <c r="CF184" s="351">
        <f t="shared" si="117"/>
        <v>246905</v>
      </c>
      <c r="CG184" s="351">
        <f t="shared" si="117"/>
        <v>238071</v>
      </c>
      <c r="CH184" s="351">
        <f t="shared" si="117"/>
        <v>238071</v>
      </c>
      <c r="CI184" s="393">
        <f>+CH184/CD184-1</f>
        <v>-3.3661573931256239E-2</v>
      </c>
      <c r="CJ184" s="351">
        <f t="shared" si="118"/>
        <v>236293</v>
      </c>
      <c r="CK184" s="351">
        <f t="shared" si="118"/>
        <v>237228</v>
      </c>
      <c r="CL184" s="351">
        <f t="shared" si="118"/>
        <v>237228</v>
      </c>
      <c r="CM184" s="393">
        <f>+CL184/CH184-1</f>
        <v>-3.5409604697758112E-3</v>
      </c>
      <c r="CN184" s="351">
        <f t="shared" si="119"/>
        <v>235155</v>
      </c>
      <c r="CO184" s="351">
        <f t="shared" si="119"/>
        <v>238510</v>
      </c>
      <c r="CP184" s="351">
        <f t="shared" si="119"/>
        <v>238510</v>
      </c>
      <c r="CQ184" s="393">
        <f>+CP184/CL184-1</f>
        <v>5.4040838349604936E-3</v>
      </c>
      <c r="CR184" s="351">
        <f t="shared" si="120"/>
        <v>244599</v>
      </c>
      <c r="CS184" s="351">
        <f t="shared" si="120"/>
        <v>262970</v>
      </c>
      <c r="CT184" s="351">
        <f t="shared" si="120"/>
        <v>262970</v>
      </c>
      <c r="CU184" s="393">
        <f>+CT184/CP184-1</f>
        <v>0.10255335206071026</v>
      </c>
      <c r="CV184" s="351">
        <f t="shared" si="121"/>
        <v>273509</v>
      </c>
      <c r="CW184" s="351">
        <f t="shared" si="121"/>
        <v>281033</v>
      </c>
      <c r="CX184" s="351">
        <f t="shared" si="121"/>
        <v>281033</v>
      </c>
      <c r="CY184" s="393">
        <f>+CX184/CT184-1</f>
        <v>6.8688443548693856E-2</v>
      </c>
      <c r="CZ184" s="351">
        <f t="shared" si="122"/>
        <v>278347</v>
      </c>
      <c r="DA184" s="351">
        <f t="shared" si="122"/>
        <v>285247</v>
      </c>
      <c r="DB184" s="351">
        <f t="shared" si="122"/>
        <v>285247</v>
      </c>
      <c r="DC184" s="393">
        <f>+DB184/CX184-1</f>
        <v>1.4994680340031152E-2</v>
      </c>
      <c r="DD184" s="351">
        <f t="shared" ref="DD184:DF184" si="128">+DD123+DD145+DD166</f>
        <v>292115</v>
      </c>
      <c r="DE184" s="351">
        <f t="shared" si="128"/>
        <v>308021</v>
      </c>
      <c r="DF184" s="351">
        <f t="shared" si="128"/>
        <v>308021</v>
      </c>
      <c r="DG184" s="393">
        <f>+DF184/DB184-1</f>
        <v>7.9839577629212677E-2</v>
      </c>
      <c r="DH184" s="351">
        <f t="shared" ref="DH184" si="129">+DH123+DH145+DH166</f>
        <v>318800</v>
      </c>
      <c r="DI184" s="351">
        <f t="shared" si="125"/>
        <v>329225.46601251955</v>
      </c>
      <c r="DJ184" s="351">
        <f t="shared" si="125"/>
        <v>329225.46601251955</v>
      </c>
      <c r="DK184" s="393">
        <f>+DJ184/DF184-1</f>
        <v>6.8840975168964258E-2</v>
      </c>
      <c r="DL184" s="351">
        <f t="shared" si="126"/>
        <v>337219.52449820028</v>
      </c>
      <c r="DM184" s="351">
        <f t="shared" si="126"/>
        <v>349137.25673012121</v>
      </c>
      <c r="DN184" s="351">
        <f t="shared" si="126"/>
        <v>349137.25673012121</v>
      </c>
      <c r="DO184" s="393">
        <f>+DN184/DJ184-1</f>
        <v>6.0480712378563339E-2</v>
      </c>
      <c r="DP184" s="351">
        <f t="shared" ref="DP184:DR184" si="130">+DP123+DP145+DP166</f>
        <v>356775.36967378791</v>
      </c>
      <c r="DQ184" s="351">
        <f t="shared" si="130"/>
        <v>366612.09389009181</v>
      </c>
      <c r="DR184" s="351">
        <f t="shared" si="130"/>
        <v>366612.09389009193</v>
      </c>
      <c r="DS184" s="393">
        <f>+DR184/DN184-1</f>
        <v>5.0051482112315915E-2</v>
      </c>
      <c r="DT184" s="1"/>
      <c r="DU184" s="1"/>
      <c r="DV184" s="1"/>
      <c r="DW184" s="1"/>
      <c r="DX184" s="1"/>
      <c r="DY184" s="1"/>
      <c r="DZ184" s="1"/>
      <c r="EA184" s="1"/>
      <c r="EB184" s="1"/>
      <c r="EC184" s="1"/>
      <c r="ED184" s="1"/>
      <c r="EE184" s="1"/>
      <c r="EF184" s="1"/>
      <c r="EG184" s="1"/>
      <c r="EH184" s="1"/>
      <c r="EI184" s="1"/>
      <c r="EJ184" s="1"/>
      <c r="EK184" s="1"/>
      <c r="EL184" s="1"/>
      <c r="EM184" s="1"/>
      <c r="EN184" s="1"/>
      <c r="EO184" s="1"/>
      <c r="EP184" s="1"/>
      <c r="EQ184" s="1"/>
      <c r="ER184" s="1"/>
      <c r="ES184" s="1"/>
      <c r="ET184" s="1"/>
      <c r="EU184" s="1"/>
      <c r="EV184" s="1"/>
      <c r="EW184" s="1"/>
      <c r="EX184" s="1"/>
      <c r="EY184" s="1"/>
      <c r="EZ184" s="1"/>
      <c r="FA184" s="1"/>
      <c r="FB184" s="1"/>
      <c r="FC184" s="1"/>
      <c r="FD184" s="1"/>
      <c r="FE184" s="1"/>
      <c r="FF184" s="1"/>
      <c r="FG184" s="1"/>
      <c r="FH184" s="1"/>
      <c r="FI184" s="1"/>
      <c r="FJ184" s="1"/>
      <c r="FK184" s="1"/>
      <c r="FL184" s="1"/>
      <c r="FM184" s="1"/>
      <c r="FN184" s="1"/>
      <c r="FO184" s="1"/>
      <c r="FP184" s="1"/>
      <c r="FQ184" s="1"/>
      <c r="FR184" s="1"/>
      <c r="FS184" s="1"/>
      <c r="FT184" s="1"/>
      <c r="FU184" s="1"/>
      <c r="FV184" s="1"/>
      <c r="FW184" s="1"/>
      <c r="FX184" s="1"/>
      <c r="FY184" s="1"/>
      <c r="FZ184" s="1"/>
      <c r="GA184" s="1"/>
      <c r="GB184" s="1"/>
      <c r="GC184" s="1"/>
      <c r="GD184" s="1"/>
      <c r="GE184" s="1"/>
      <c r="GF184" s="1"/>
      <c r="GG184" s="1"/>
      <c r="GH184" s="1"/>
      <c r="GI184" s="1"/>
      <c r="GJ184" s="1"/>
      <c r="GK184" s="1"/>
      <c r="GL184" s="1"/>
      <c r="GM184" s="1"/>
      <c r="GN184" s="1"/>
      <c r="GO184" s="1"/>
      <c r="GP184" s="1"/>
      <c r="GQ184" s="1"/>
      <c r="GR184" s="1"/>
      <c r="GS184" s="1"/>
      <c r="GT184" s="1"/>
      <c r="GU184" s="1"/>
      <c r="GV184" s="1"/>
      <c r="GW184" s="1"/>
      <c r="GX184" s="1"/>
      <c r="GY184" s="1"/>
      <c r="GZ184" s="1"/>
      <c r="HA184" s="1"/>
      <c r="HB184" s="1"/>
      <c r="HC184" s="1"/>
      <c r="HD184" s="1"/>
      <c r="HE184" s="1"/>
      <c r="HF184" s="1"/>
      <c r="HG184" s="1"/>
      <c r="HH184" s="1"/>
      <c r="HI184" s="1"/>
      <c r="HJ184" s="1"/>
      <c r="HK184" s="1"/>
      <c r="HL184" s="1"/>
      <c r="HM184" s="1"/>
      <c r="HN184" s="1"/>
      <c r="HO184" s="1"/>
      <c r="HP184" s="1"/>
      <c r="HQ184" s="1"/>
      <c r="HR184" s="1"/>
      <c r="HS184" s="1"/>
      <c r="HT184" s="1"/>
      <c r="HU184" s="1"/>
      <c r="HV184" s="1"/>
      <c r="HW184" s="1"/>
      <c r="HX184" s="1"/>
      <c r="HY184" s="1"/>
      <c r="HZ184" s="1"/>
      <c r="IA184" s="1"/>
      <c r="IB184" s="1"/>
      <c r="IC184" s="1"/>
      <c r="ID184" s="1"/>
      <c r="IE184" s="1"/>
      <c r="IF184" s="1"/>
      <c r="IG184" s="1"/>
      <c r="IH184" s="1"/>
      <c r="II184" s="1"/>
      <c r="IJ184" s="1"/>
      <c r="IK184" s="1"/>
      <c r="IL184" s="1"/>
      <c r="IM184" s="1"/>
      <c r="IN184" s="1"/>
      <c r="IO184" s="1"/>
      <c r="IP184" s="1"/>
      <c r="IQ184" s="1"/>
      <c r="IR184" s="1"/>
      <c r="IS184" s="1"/>
      <c r="IT184" s="1"/>
      <c r="IU184" s="1"/>
      <c r="IV184" s="1"/>
      <c r="IW184" s="1"/>
      <c r="IX184" s="1"/>
      <c r="IY184" s="1"/>
      <c r="IZ184" s="1"/>
      <c r="JA184" s="1"/>
      <c r="JB184" s="1"/>
      <c r="JC184" s="1"/>
      <c r="JD184" s="1"/>
    </row>
    <row r="185" spans="1:264" s="347" customFormat="1" x14ac:dyDescent="0.2">
      <c r="A185" s="411" t="s">
        <v>286</v>
      </c>
      <c r="B185" s="348"/>
      <c r="BE185" s="397">
        <f t="shared" si="110"/>
        <v>532380</v>
      </c>
      <c r="BF185" s="397">
        <f t="shared" si="110"/>
        <v>532380</v>
      </c>
      <c r="BH185" s="397">
        <f t="shared" si="111"/>
        <v>541061</v>
      </c>
      <c r="BI185" s="397">
        <f t="shared" si="111"/>
        <v>562758</v>
      </c>
      <c r="BJ185" s="397">
        <f t="shared" si="111"/>
        <v>562758</v>
      </c>
      <c r="BK185" s="348"/>
      <c r="BL185" s="397">
        <f t="shared" si="112"/>
        <v>586968</v>
      </c>
      <c r="BM185" s="397">
        <f t="shared" si="112"/>
        <v>603100</v>
      </c>
      <c r="BN185" s="397">
        <f t="shared" si="112"/>
        <v>603100</v>
      </c>
      <c r="BP185" s="397">
        <f t="shared" si="113"/>
        <v>625672</v>
      </c>
      <c r="BQ185" s="397">
        <f t="shared" si="113"/>
        <v>644228</v>
      </c>
      <c r="BR185" s="397">
        <f t="shared" si="113"/>
        <v>644228</v>
      </c>
      <c r="BT185" s="397">
        <f t="shared" si="114"/>
        <v>674088</v>
      </c>
      <c r="BU185" s="397">
        <f t="shared" si="114"/>
        <v>700299</v>
      </c>
      <c r="BV185" s="397">
        <f t="shared" si="114"/>
        <v>700299</v>
      </c>
      <c r="BX185" s="397">
        <f t="shared" si="115"/>
        <v>717810</v>
      </c>
      <c r="BY185" s="397">
        <f t="shared" si="115"/>
        <v>736539</v>
      </c>
      <c r="BZ185" s="397">
        <f t="shared" si="115"/>
        <v>736539</v>
      </c>
      <c r="CA185" s="393">
        <f>+BZ185/BV185-1</f>
        <v>5.1749324217227111E-2</v>
      </c>
      <c r="CB185" s="397">
        <f t="shared" si="116"/>
        <v>741096</v>
      </c>
      <c r="CC185" s="397">
        <f t="shared" si="116"/>
        <v>748029</v>
      </c>
      <c r="CD185" s="397">
        <f t="shared" si="116"/>
        <v>748029</v>
      </c>
      <c r="CE185" s="393">
        <f>+CD185/BZ185-1</f>
        <v>1.5599988595308645E-2</v>
      </c>
      <c r="CF185" s="397">
        <f t="shared" si="117"/>
        <v>759410</v>
      </c>
      <c r="CG185" s="397">
        <f t="shared" si="117"/>
        <v>761013</v>
      </c>
      <c r="CH185" s="397">
        <f t="shared" si="117"/>
        <v>761013</v>
      </c>
      <c r="CI185" s="393">
        <f>+CH185/CD185-1</f>
        <v>1.7357615814360239E-2</v>
      </c>
      <c r="CJ185" s="397">
        <f t="shared" si="118"/>
        <v>771383</v>
      </c>
      <c r="CK185" s="397">
        <f t="shared" si="118"/>
        <v>780108</v>
      </c>
      <c r="CL185" s="397">
        <f t="shared" si="118"/>
        <v>780108</v>
      </c>
      <c r="CM185" s="393">
        <f>+CL185/CH185-1</f>
        <v>2.5091555597604787E-2</v>
      </c>
      <c r="CN185" s="397">
        <f t="shared" si="119"/>
        <v>794473</v>
      </c>
      <c r="CO185" s="397">
        <f t="shared" si="119"/>
        <v>818266</v>
      </c>
      <c r="CP185" s="397">
        <f t="shared" si="119"/>
        <v>818266</v>
      </c>
      <c r="CQ185" s="393">
        <f>+CP185/CL185-1</f>
        <v>4.8913740148800011E-2</v>
      </c>
      <c r="CR185" s="397">
        <f t="shared" si="120"/>
        <v>850509</v>
      </c>
      <c r="CS185" s="397">
        <f t="shared" si="120"/>
        <v>884963</v>
      </c>
      <c r="CT185" s="397">
        <f t="shared" si="120"/>
        <v>884963</v>
      </c>
      <c r="CU185" s="393">
        <f>+CT185/CP185-1</f>
        <v>8.151016906482722E-2</v>
      </c>
      <c r="CV185" s="397">
        <f t="shared" si="121"/>
        <v>912835</v>
      </c>
      <c r="CW185" s="397">
        <f t="shared" si="121"/>
        <v>933251</v>
      </c>
      <c r="CX185" s="397">
        <f t="shared" si="121"/>
        <v>933251</v>
      </c>
      <c r="CY185" s="393">
        <f>+CX185/CT185-1</f>
        <v>5.456499311270635E-2</v>
      </c>
      <c r="CZ185" s="397">
        <f t="shared" si="122"/>
        <v>928807</v>
      </c>
      <c r="DA185" s="397">
        <f t="shared" si="122"/>
        <v>949948</v>
      </c>
      <c r="DB185" s="397">
        <f t="shared" si="122"/>
        <v>949948</v>
      </c>
      <c r="DC185" s="393">
        <f>+DB185/CX185-1</f>
        <v>1.7891221118434331E-2</v>
      </c>
      <c r="DD185" s="397">
        <f t="shared" ref="DD185:DF185" si="131">+DD124+DD146+DD167</f>
        <v>977384</v>
      </c>
      <c r="DE185" s="397">
        <f t="shared" si="131"/>
        <v>1015883</v>
      </c>
      <c r="DF185" s="397">
        <f t="shared" si="131"/>
        <v>1015883</v>
      </c>
      <c r="DG185" s="393">
        <f>+DF185/DB185-1</f>
        <v>6.9409062390783482E-2</v>
      </c>
      <c r="DH185" s="397">
        <f t="shared" ref="DH185" si="132">+DH124+DH146+DH167</f>
        <v>1048988</v>
      </c>
      <c r="DI185" s="397">
        <f t="shared" si="125"/>
        <v>1085563.3850495967</v>
      </c>
      <c r="DJ185" s="397">
        <f t="shared" si="125"/>
        <v>1085563.3850495967</v>
      </c>
      <c r="DK185" s="393">
        <f>+DJ185/DF185-1</f>
        <v>6.8590954912717939E-2</v>
      </c>
      <c r="DL185" s="397">
        <f t="shared" si="126"/>
        <v>1117407.6161743863</v>
      </c>
      <c r="DM185" s="397">
        <f t="shared" si="126"/>
        <v>1152170.2205865183</v>
      </c>
      <c r="DN185" s="397">
        <f t="shared" si="126"/>
        <v>1152170.2205865183</v>
      </c>
      <c r="DO185" s="393">
        <f>+DN185/DJ185-1</f>
        <v>6.1356928995793814E-2</v>
      </c>
      <c r="DP185" s="397">
        <f t="shared" ref="DP185:DR185" si="133">+DP124+DP146+DP167</f>
        <v>1179120.5333508002</v>
      </c>
      <c r="DQ185" s="397">
        <f t="shared" si="133"/>
        <v>1208740.8652868862</v>
      </c>
      <c r="DR185" s="397">
        <f t="shared" si="133"/>
        <v>1208740.8652868862</v>
      </c>
      <c r="DS185" s="393">
        <f>+DR185/DN185-1</f>
        <v>4.9099207469162298E-2</v>
      </c>
      <c r="DT185" s="1"/>
      <c r="DU185" s="1"/>
      <c r="DV185" s="1"/>
      <c r="DW185" s="1"/>
      <c r="DX185" s="1"/>
      <c r="DY185" s="1"/>
      <c r="DZ185" s="1"/>
      <c r="EA185" s="1"/>
      <c r="EB185" s="1"/>
      <c r="EC185" s="1"/>
      <c r="ED185" s="1"/>
      <c r="EE185" s="1"/>
      <c r="EF185" s="1"/>
      <c r="EG185" s="1"/>
      <c r="EH185" s="1"/>
      <c r="EI185" s="1"/>
      <c r="EJ185" s="1"/>
      <c r="EK185" s="1"/>
      <c r="EL185" s="1"/>
      <c r="EM185" s="1"/>
      <c r="EN185" s="1"/>
      <c r="EO185" s="1"/>
      <c r="EP185" s="1"/>
      <c r="EQ185" s="1"/>
      <c r="ER185" s="1"/>
      <c r="ES185" s="1"/>
      <c r="ET185" s="1"/>
      <c r="EU185" s="1"/>
      <c r="EV185" s="1"/>
      <c r="EW185" s="1"/>
      <c r="EX185" s="1"/>
      <c r="EY185" s="1"/>
      <c r="EZ185" s="1"/>
      <c r="FA185" s="1"/>
      <c r="FB185" s="1"/>
      <c r="FC185" s="1"/>
      <c r="FD185" s="1"/>
      <c r="FE185" s="1"/>
      <c r="FF185" s="1"/>
      <c r="FG185" s="1"/>
      <c r="FH185" s="1"/>
      <c r="FI185" s="1"/>
      <c r="FJ185" s="1"/>
      <c r="FK185" s="1"/>
      <c r="FL185" s="1"/>
      <c r="FM185" s="1"/>
      <c r="FN185" s="1"/>
      <c r="FO185" s="1"/>
      <c r="FP185" s="1"/>
      <c r="FQ185" s="1"/>
      <c r="FR185" s="1"/>
      <c r="FS185" s="1"/>
      <c r="FT185" s="1"/>
      <c r="FU185" s="1"/>
      <c r="FV185" s="1"/>
      <c r="FW185" s="1"/>
      <c r="FX185" s="1"/>
      <c r="FY185" s="1"/>
      <c r="FZ185" s="1"/>
      <c r="GA185" s="1"/>
      <c r="GB185" s="1"/>
      <c r="GC185" s="1"/>
      <c r="GD185" s="1"/>
      <c r="GE185" s="1"/>
      <c r="GF185" s="1"/>
      <c r="GG185" s="1"/>
      <c r="GH185" s="1"/>
      <c r="GI185" s="1"/>
      <c r="GJ185" s="1"/>
      <c r="GK185" s="1"/>
      <c r="GL185" s="1"/>
      <c r="GM185" s="1"/>
      <c r="GN185" s="1"/>
      <c r="GO185" s="1"/>
      <c r="GP185" s="1"/>
      <c r="GQ185" s="1"/>
      <c r="GR185" s="1"/>
      <c r="GS185" s="1"/>
      <c r="GT185" s="1"/>
      <c r="GU185" s="1"/>
      <c r="GV185" s="1"/>
      <c r="GW185" s="1"/>
      <c r="GX185" s="1"/>
      <c r="GY185" s="1"/>
      <c r="GZ185" s="1"/>
      <c r="HA185" s="1"/>
      <c r="HB185" s="1"/>
      <c r="HC185" s="1"/>
      <c r="HD185" s="1"/>
      <c r="HE185" s="1"/>
      <c r="HF185" s="1"/>
      <c r="HG185" s="1"/>
      <c r="HH185" s="1"/>
      <c r="HI185" s="1"/>
      <c r="HJ185" s="1"/>
      <c r="HK185" s="1"/>
      <c r="HL185" s="1"/>
      <c r="HM185" s="1"/>
      <c r="HN185" s="1"/>
      <c r="HO185" s="1"/>
      <c r="HP185" s="1"/>
      <c r="HQ185" s="1"/>
      <c r="HR185" s="1"/>
      <c r="HS185" s="1"/>
      <c r="HT185" s="1"/>
      <c r="HU185" s="1"/>
      <c r="HV185" s="1"/>
      <c r="HW185" s="1"/>
      <c r="HX185" s="1"/>
      <c r="HY185" s="1"/>
      <c r="HZ185" s="1"/>
      <c r="IA185" s="1"/>
      <c r="IB185" s="1"/>
      <c r="IC185" s="1"/>
      <c r="ID185" s="1"/>
      <c r="IE185" s="1"/>
      <c r="IF185" s="1"/>
      <c r="IG185" s="1"/>
      <c r="IH185" s="1"/>
      <c r="II185" s="1"/>
      <c r="IJ185" s="1"/>
      <c r="IK185" s="1"/>
      <c r="IL185" s="1"/>
      <c r="IM185" s="1"/>
      <c r="IN185" s="1"/>
      <c r="IO185" s="1"/>
      <c r="IP185" s="1"/>
      <c r="IQ185" s="1"/>
      <c r="IR185" s="1"/>
      <c r="IS185" s="1"/>
      <c r="IT185" s="1"/>
      <c r="IU185" s="1"/>
      <c r="IV185" s="1"/>
      <c r="IW185" s="1"/>
      <c r="IX185" s="1"/>
      <c r="IY185" s="1"/>
      <c r="IZ185" s="1"/>
      <c r="JA185" s="1"/>
      <c r="JB185" s="1"/>
      <c r="JC185" s="1"/>
      <c r="JD185" s="1"/>
    </row>
    <row r="186" spans="1:264" s="347" customFormat="1" x14ac:dyDescent="0.2">
      <c r="A186" s="347" t="s">
        <v>287</v>
      </c>
      <c r="B186" s="348" t="s">
        <v>288</v>
      </c>
      <c r="BD186" s="398">
        <v>10732</v>
      </c>
      <c r="BE186" s="398">
        <v>9717</v>
      </c>
      <c r="BF186" s="351">
        <f>BE186</f>
        <v>9717</v>
      </c>
      <c r="BH186" s="398">
        <v>8155</v>
      </c>
      <c r="BI186" s="398">
        <v>6063</v>
      </c>
      <c r="BJ186" s="351">
        <f>BI186</f>
        <v>6063</v>
      </c>
      <c r="BK186" s="348"/>
      <c r="BL186" s="398">
        <v>4807</v>
      </c>
      <c r="BM186" s="398">
        <v>5027</v>
      </c>
      <c r="BN186" s="351">
        <f>BM186</f>
        <v>5027</v>
      </c>
      <c r="BP186" s="398">
        <v>2026</v>
      </c>
      <c r="BQ186" s="398">
        <v>1944</v>
      </c>
      <c r="BR186" s="351">
        <f>BQ186</f>
        <v>1944</v>
      </c>
      <c r="BT186" s="398">
        <v>1640</v>
      </c>
      <c r="BU186" s="398">
        <v>1431</v>
      </c>
      <c r="BV186" s="351">
        <f>BU186</f>
        <v>1431</v>
      </c>
      <c r="BX186" s="398">
        <v>1440</v>
      </c>
      <c r="BY186" s="398">
        <v>463</v>
      </c>
      <c r="BZ186" s="351">
        <f>BY186</f>
        <v>463</v>
      </c>
      <c r="CB186" s="398">
        <v>222</v>
      </c>
      <c r="CC186" s="398">
        <v>379</v>
      </c>
      <c r="CD186" s="351">
        <f>CC186</f>
        <v>379</v>
      </c>
      <c r="CF186" s="398">
        <v>53</v>
      </c>
      <c r="CG186" s="398">
        <v>0</v>
      </c>
      <c r="CH186" s="351">
        <f>CG186</f>
        <v>0</v>
      </c>
      <c r="CJ186" s="398">
        <v>0</v>
      </c>
      <c r="CK186" s="398">
        <v>0</v>
      </c>
      <c r="CL186" s="351">
        <f>CK186</f>
        <v>0</v>
      </c>
      <c r="CN186" s="398">
        <v>0</v>
      </c>
      <c r="CO186" s="398">
        <v>0</v>
      </c>
      <c r="CP186" s="351">
        <f>CO186</f>
        <v>0</v>
      </c>
      <c r="CR186" s="398">
        <v>0</v>
      </c>
      <c r="CS186" s="398">
        <v>0</v>
      </c>
      <c r="CT186" s="351">
        <f>CS186</f>
        <v>0</v>
      </c>
      <c r="CV186" s="398">
        <v>0</v>
      </c>
      <c r="CW186" s="398">
        <v>0</v>
      </c>
      <c r="CX186" s="351">
        <f>CW186</f>
        <v>0</v>
      </c>
      <c r="CZ186" s="398">
        <v>0</v>
      </c>
      <c r="DA186" s="398">
        <v>0</v>
      </c>
      <c r="DB186" s="351">
        <f>DA186</f>
        <v>0</v>
      </c>
      <c r="DD186" s="398">
        <v>0</v>
      </c>
      <c r="DE186" s="398">
        <v>0</v>
      </c>
      <c r="DF186" s="351">
        <f>DE186</f>
        <v>0</v>
      </c>
      <c r="DH186" s="398">
        <v>0</v>
      </c>
      <c r="DI186" s="351">
        <f>+DH186*(1+DI192)</f>
        <v>0</v>
      </c>
      <c r="DJ186" s="351">
        <f>DI186</f>
        <v>0</v>
      </c>
      <c r="DL186" s="351">
        <f>+DI186*(1+DL192)</f>
        <v>0</v>
      </c>
      <c r="DM186" s="351">
        <f>+DL186*(1+DM192)</f>
        <v>0</v>
      </c>
      <c r="DN186" s="351">
        <f>DM186</f>
        <v>0</v>
      </c>
      <c r="DP186" s="351">
        <f>+DM186*(1+DP192)</f>
        <v>0</v>
      </c>
      <c r="DQ186" s="351">
        <f>+DP186*(1+DQ192)</f>
        <v>0</v>
      </c>
      <c r="DR186" s="351">
        <f>DQ186</f>
        <v>0</v>
      </c>
      <c r="DT186" s="1"/>
      <c r="DU186" s="1"/>
      <c r="DV186" s="1"/>
      <c r="DW186" s="1"/>
      <c r="DX186" s="1"/>
      <c r="DY186" s="1"/>
      <c r="DZ186" s="1"/>
      <c r="EA186" s="1"/>
      <c r="EB186" s="1"/>
      <c r="EC186" s="1"/>
      <c r="ED186" s="1"/>
      <c r="EE186" s="1"/>
      <c r="EF186" s="1"/>
      <c r="EG186" s="1"/>
      <c r="EH186" s="1"/>
      <c r="EI186" s="1"/>
      <c r="EJ186" s="1"/>
      <c r="EK186" s="1"/>
      <c r="EL186" s="1"/>
      <c r="EM186" s="1"/>
      <c r="EN186" s="1"/>
      <c r="EO186" s="1"/>
      <c r="EP186" s="1"/>
      <c r="EQ186" s="1"/>
      <c r="ER186" s="1"/>
      <c r="ES186" s="1"/>
      <c r="ET186" s="1"/>
      <c r="EU186" s="1"/>
      <c r="EV186" s="1"/>
      <c r="EW186" s="1"/>
      <c r="EX186" s="1"/>
      <c r="EY186" s="1"/>
      <c r="EZ186" s="1"/>
      <c r="FA186" s="1"/>
      <c r="FB186" s="1"/>
      <c r="FC186" s="1"/>
      <c r="FD186" s="1"/>
      <c r="FE186" s="1"/>
      <c r="FF186" s="1"/>
      <c r="FG186" s="1"/>
      <c r="FH186" s="1"/>
      <c r="FI186" s="1"/>
      <c r="FJ186" s="1"/>
      <c r="FK186" s="1"/>
      <c r="FL186" s="1"/>
      <c r="FM186" s="1"/>
      <c r="FN186" s="1"/>
      <c r="FO186" s="1"/>
      <c r="FP186" s="1"/>
      <c r="FQ186" s="1"/>
      <c r="FR186" s="1"/>
      <c r="FS186" s="1"/>
      <c r="FT186" s="1"/>
      <c r="FU186" s="1"/>
      <c r="FV186" s="1"/>
      <c r="FW186" s="1"/>
      <c r="FX186" s="1"/>
      <c r="FY186" s="1"/>
      <c r="FZ186" s="1"/>
      <c r="GA186" s="1"/>
      <c r="GB186" s="1"/>
      <c r="GC186" s="1"/>
      <c r="GD186" s="1"/>
      <c r="GE186" s="1"/>
      <c r="GF186" s="1"/>
      <c r="GG186" s="1"/>
      <c r="GH186" s="1"/>
      <c r="GI186" s="1"/>
      <c r="GJ186" s="1"/>
      <c r="GK186" s="1"/>
      <c r="GL186" s="1"/>
      <c r="GM186" s="1"/>
      <c r="GN186" s="1"/>
      <c r="GO186" s="1"/>
      <c r="GP186" s="1"/>
      <c r="GQ186" s="1"/>
      <c r="GR186" s="1"/>
      <c r="GS186" s="1"/>
      <c r="GT186" s="1"/>
      <c r="GU186" s="1"/>
      <c r="GV186" s="1"/>
      <c r="GW186" s="1"/>
      <c r="GX186" s="1"/>
      <c r="GY186" s="1"/>
      <c r="GZ186" s="1"/>
      <c r="HA186" s="1"/>
      <c r="HB186" s="1"/>
      <c r="HC186" s="1"/>
      <c r="HD186" s="1"/>
      <c r="HE186" s="1"/>
      <c r="HF186" s="1"/>
      <c r="HG186" s="1"/>
      <c r="HH186" s="1"/>
      <c r="HI186" s="1"/>
      <c r="HJ186" s="1"/>
      <c r="HK186" s="1"/>
      <c r="HL186" s="1"/>
      <c r="HM186" s="1"/>
      <c r="HN186" s="1"/>
      <c r="HO186" s="1"/>
      <c r="HP186" s="1"/>
      <c r="HQ186" s="1"/>
      <c r="HR186" s="1"/>
      <c r="HS186" s="1"/>
      <c r="HT186" s="1"/>
      <c r="HU186" s="1"/>
      <c r="HV186" s="1"/>
      <c r="HW186" s="1"/>
      <c r="HX186" s="1"/>
      <c r="HY186" s="1"/>
      <c r="HZ186" s="1"/>
      <c r="IA186" s="1"/>
      <c r="IB186" s="1"/>
      <c r="IC186" s="1"/>
      <c r="ID186" s="1"/>
      <c r="IE186" s="1"/>
      <c r="IF186" s="1"/>
      <c r="IG186" s="1"/>
      <c r="IH186" s="1"/>
      <c r="II186" s="1"/>
      <c r="IJ186" s="1"/>
      <c r="IK186" s="1"/>
      <c r="IL186" s="1"/>
      <c r="IM186" s="1"/>
      <c r="IN186" s="1"/>
      <c r="IO186" s="1"/>
      <c r="IP186" s="1"/>
      <c r="IQ186" s="1"/>
      <c r="IR186" s="1"/>
      <c r="IS186" s="1"/>
      <c r="IT186" s="1"/>
      <c r="IU186" s="1"/>
      <c r="IV186" s="1"/>
      <c r="IW186" s="1"/>
      <c r="IX186" s="1"/>
      <c r="IY186" s="1"/>
      <c r="IZ186" s="1"/>
      <c r="JA186" s="1"/>
      <c r="JB186" s="1"/>
      <c r="JC186" s="1"/>
      <c r="JD186" s="1"/>
    </row>
    <row r="187" spans="1:264" s="347" customFormat="1" x14ac:dyDescent="0.2">
      <c r="A187" s="411" t="s">
        <v>93</v>
      </c>
      <c r="B187" s="348"/>
      <c r="BE187" s="397">
        <f>SUM(BE185:BE186)</f>
        <v>542097</v>
      </c>
      <c r="BF187" s="397">
        <f>SUM(BF185:BF186)</f>
        <v>542097</v>
      </c>
      <c r="BH187" s="397">
        <f>SUM(BH185:BH186)</f>
        <v>549216</v>
      </c>
      <c r="BI187" s="397">
        <f>SUM(BI185:BI186)</f>
        <v>568821</v>
      </c>
      <c r="BJ187" s="397">
        <f>SUM(BJ185:BJ186)</f>
        <v>568821</v>
      </c>
      <c r="BK187" s="348"/>
      <c r="BL187" s="397">
        <f>SUM(BL185:BL186)</f>
        <v>591775</v>
      </c>
      <c r="BM187" s="397">
        <f>SUM(BM185:BM186)</f>
        <v>608127</v>
      </c>
      <c r="BN187" s="397">
        <f>SUM(BN185:BN186)</f>
        <v>608127</v>
      </c>
      <c r="BO187" s="393">
        <f>+BN187/BJ187-1</f>
        <v>6.910082433665421E-2</v>
      </c>
      <c r="BP187" s="397">
        <f>SUM(BP185:BP186)</f>
        <v>627698</v>
      </c>
      <c r="BQ187" s="397">
        <f>SUM(BQ185:BQ186)</f>
        <v>646172</v>
      </c>
      <c r="BR187" s="397">
        <f>SUM(BR185:BR186)</f>
        <v>646172</v>
      </c>
      <c r="BS187" s="393">
        <f>+BR187/BN187-1</f>
        <v>6.2560945328854034E-2</v>
      </c>
      <c r="BT187" s="397">
        <f>SUM(BT185:BT186)</f>
        <v>675728</v>
      </c>
      <c r="BU187" s="397">
        <f>SUM(BU185:BU186)</f>
        <v>701730</v>
      </c>
      <c r="BV187" s="397">
        <f>SUM(BV185:BV186)</f>
        <v>701730</v>
      </c>
      <c r="BW187" s="393">
        <f>+BV187/BR187-1</f>
        <v>8.5980203413332568E-2</v>
      </c>
      <c r="BX187" s="397">
        <f>SUM(BX185:BX186)</f>
        <v>719250</v>
      </c>
      <c r="BY187" s="397">
        <f>SUM(BY185:BY186)</f>
        <v>737002</v>
      </c>
      <c r="BZ187" s="397">
        <f>SUM(BZ185:BZ186)</f>
        <v>737002</v>
      </c>
      <c r="CA187" s="393">
        <f>+BZ187/BV187-1</f>
        <v>5.026434668604729E-2</v>
      </c>
      <c r="CB187" s="397">
        <f>SUM(CB185:CB186)</f>
        <v>741318</v>
      </c>
      <c r="CC187" s="397">
        <f>SUM(CC185:CC186)</f>
        <v>748408</v>
      </c>
      <c r="CD187" s="397">
        <f>SUM(CD185:CD186)</f>
        <v>748408</v>
      </c>
      <c r="CE187" s="393">
        <f>+CD187/BZ187-1</f>
        <v>1.5476213090330759E-2</v>
      </c>
      <c r="CF187" s="397">
        <f>SUM(CF185:CF186)</f>
        <v>759463</v>
      </c>
      <c r="CG187" s="397">
        <f>SUM(CG185:CG186)</f>
        <v>761013</v>
      </c>
      <c r="CH187" s="397">
        <f>SUM(CH185:CH186)</f>
        <v>761013</v>
      </c>
      <c r="CI187" s="393">
        <f>+CH187/CD187-1</f>
        <v>1.6842417504890461E-2</v>
      </c>
      <c r="CJ187" s="397">
        <f>SUM(CJ185:CJ186)</f>
        <v>771383</v>
      </c>
      <c r="CK187" s="397">
        <f>SUM(CK185:CK186)</f>
        <v>780108</v>
      </c>
      <c r="CL187" s="397">
        <f>SUM(CL185:CL186)</f>
        <v>780108</v>
      </c>
      <c r="CM187" s="393">
        <f>+CL187/CH187-1</f>
        <v>2.5091555597604787E-2</v>
      </c>
      <c r="CN187" s="397">
        <f>SUM(CN185:CN186)</f>
        <v>794473</v>
      </c>
      <c r="CO187" s="397">
        <f>SUM(CO185:CO186)</f>
        <v>818266</v>
      </c>
      <c r="CP187" s="397">
        <f>SUM(CP185:CP186)</f>
        <v>818266</v>
      </c>
      <c r="CQ187" s="393">
        <f>+CP187/CL187-1</f>
        <v>4.8913740148800011E-2</v>
      </c>
      <c r="CR187" s="397">
        <f>SUM(CR185:CR186)</f>
        <v>850509</v>
      </c>
      <c r="CS187" s="397">
        <f>SUM(CS185:CS186)</f>
        <v>884963</v>
      </c>
      <c r="CT187" s="397">
        <f>SUM(CT185:CT186)</f>
        <v>884963</v>
      </c>
      <c r="CU187" s="393">
        <f>+CT187/CP187-1</f>
        <v>8.151016906482722E-2</v>
      </c>
      <c r="CV187" s="397">
        <f>SUM(CV185:CV186)</f>
        <v>912835</v>
      </c>
      <c r="CW187" s="397">
        <f>SUM(CW185:CW186)</f>
        <v>933251</v>
      </c>
      <c r="CX187" s="397">
        <f>SUM(CX185:CX186)</f>
        <v>933251</v>
      </c>
      <c r="CY187" s="393">
        <f>+CX187/CT187-1</f>
        <v>5.456499311270635E-2</v>
      </c>
      <c r="CZ187" s="397">
        <f>SUM(CZ185:CZ186)</f>
        <v>928807</v>
      </c>
      <c r="DA187" s="397">
        <f>SUM(DA185:DA186)</f>
        <v>949948</v>
      </c>
      <c r="DB187" s="397">
        <f>SUM(DB185:DB186)</f>
        <v>949948</v>
      </c>
      <c r="DC187" s="393">
        <f>+DB187/CX187-1</f>
        <v>1.7891221118434331E-2</v>
      </c>
      <c r="DD187" s="397">
        <f>SUM(DD185:DD186)</f>
        <v>977384</v>
      </c>
      <c r="DE187" s="397">
        <f>SUM(DE185:DE186)</f>
        <v>1015883</v>
      </c>
      <c r="DF187" s="397">
        <f>SUM(DF185:DF186)</f>
        <v>1015883</v>
      </c>
      <c r="DG187" s="393">
        <f>+DF187/DB187-1</f>
        <v>6.9409062390783482E-2</v>
      </c>
      <c r="DH187" s="397">
        <f>SUM(DH185:DH186)</f>
        <v>1048988</v>
      </c>
      <c r="DI187" s="397">
        <f>SUM(DI185:DI186)</f>
        <v>1085563.3850495967</v>
      </c>
      <c r="DJ187" s="397">
        <f>SUM(DJ185:DJ186)</f>
        <v>1085563.3850495967</v>
      </c>
      <c r="DK187" s="393">
        <f>+DJ187/DF187-1</f>
        <v>6.8590954912717939E-2</v>
      </c>
      <c r="DL187" s="397">
        <f>SUM(DL185:DL186)</f>
        <v>1117407.6161743863</v>
      </c>
      <c r="DM187" s="397">
        <f>SUM(DM185:DM186)</f>
        <v>1152170.2205865183</v>
      </c>
      <c r="DN187" s="397">
        <f>SUM(DN185:DN186)</f>
        <v>1152170.2205865183</v>
      </c>
      <c r="DO187" s="393">
        <f>+DN187/DJ187-1</f>
        <v>6.1356928995793814E-2</v>
      </c>
      <c r="DP187" s="397">
        <f>SUM(DP185:DP186)</f>
        <v>1179120.5333508002</v>
      </c>
      <c r="DQ187" s="397">
        <f>SUM(DQ185:DQ186)</f>
        <v>1208740.8652868862</v>
      </c>
      <c r="DR187" s="397">
        <f>SUM(DR185:DR186)</f>
        <v>1208740.8652868862</v>
      </c>
      <c r="DS187" s="393">
        <f>+DR187/DN187-1</f>
        <v>4.9099207469162298E-2</v>
      </c>
      <c r="DT187" s="1"/>
      <c r="DU187" s="1"/>
      <c r="DV187" s="1"/>
      <c r="DW187" s="1"/>
      <c r="DX187" s="1"/>
      <c r="DY187" s="1"/>
      <c r="DZ187" s="1"/>
      <c r="EA187" s="1"/>
      <c r="EB187" s="1"/>
      <c r="EC187" s="1"/>
      <c r="ED187" s="1"/>
      <c r="EE187" s="1"/>
      <c r="EF187" s="1"/>
      <c r="EG187" s="1"/>
      <c r="EH187" s="1"/>
      <c r="EI187" s="1"/>
      <c r="EJ187" s="1"/>
      <c r="EK187" s="1"/>
      <c r="EL187" s="1"/>
      <c r="EM187" s="1"/>
      <c r="EN187" s="1"/>
      <c r="EO187" s="1"/>
      <c r="EP187" s="1"/>
      <c r="EQ187" s="1"/>
      <c r="ER187" s="1"/>
      <c r="ES187" s="1"/>
      <c r="ET187" s="1"/>
      <c r="EU187" s="1"/>
      <c r="EV187" s="1"/>
      <c r="EW187" s="1"/>
      <c r="EX187" s="1"/>
      <c r="EY187" s="1"/>
      <c r="EZ187" s="1"/>
      <c r="FA187" s="1"/>
      <c r="FB187" s="1"/>
      <c r="FC187" s="1"/>
      <c r="FD187" s="1"/>
      <c r="FE187" s="1"/>
      <c r="FF187" s="1"/>
      <c r="FG187" s="1"/>
      <c r="FH187" s="1"/>
      <c r="FI187" s="1"/>
      <c r="FJ187" s="1"/>
      <c r="FK187" s="1"/>
      <c r="FL187" s="1"/>
      <c r="FM187" s="1"/>
      <c r="FN187" s="1"/>
      <c r="FO187" s="1"/>
      <c r="FP187" s="1"/>
      <c r="FQ187" s="1"/>
      <c r="FR187" s="1"/>
      <c r="FS187" s="1"/>
      <c r="FT187" s="1"/>
      <c r="FU187" s="1"/>
      <c r="FV187" s="1"/>
      <c r="FW187" s="1"/>
      <c r="FX187" s="1"/>
      <c r="FY187" s="1"/>
      <c r="FZ187" s="1"/>
      <c r="GA187" s="1"/>
      <c r="GB187" s="1"/>
      <c r="GC187" s="1"/>
      <c r="GD187" s="1"/>
      <c r="GE187" s="1"/>
      <c r="GF187" s="1"/>
      <c r="GG187" s="1"/>
      <c r="GH187" s="1"/>
      <c r="GI187" s="1"/>
      <c r="GJ187" s="1"/>
      <c r="GK187" s="1"/>
      <c r="GL187" s="1"/>
      <c r="GM187" s="1"/>
      <c r="GN187" s="1"/>
      <c r="GO187" s="1"/>
      <c r="GP187" s="1"/>
      <c r="GQ187" s="1"/>
      <c r="GR187" s="1"/>
      <c r="GS187" s="1"/>
      <c r="GT187" s="1"/>
      <c r="GU187" s="1"/>
      <c r="GV187" s="1"/>
      <c r="GW187" s="1"/>
      <c r="GX187" s="1"/>
      <c r="GY187" s="1"/>
      <c r="GZ187" s="1"/>
      <c r="HA187" s="1"/>
      <c r="HB187" s="1"/>
      <c r="HC187" s="1"/>
      <c r="HD187" s="1"/>
      <c r="HE187" s="1"/>
      <c r="HF187" s="1"/>
      <c r="HG187" s="1"/>
      <c r="HH187" s="1"/>
      <c r="HI187" s="1"/>
      <c r="HJ187" s="1"/>
      <c r="HK187" s="1"/>
      <c r="HL187" s="1"/>
      <c r="HM187" s="1"/>
      <c r="HN187" s="1"/>
      <c r="HO187" s="1"/>
      <c r="HP187" s="1"/>
      <c r="HQ187" s="1"/>
      <c r="HR187" s="1"/>
      <c r="HS187" s="1"/>
      <c r="HT187" s="1"/>
      <c r="HU187" s="1"/>
      <c r="HV187" s="1"/>
      <c r="HW187" s="1"/>
      <c r="HX187" s="1"/>
      <c r="HY187" s="1"/>
      <c r="HZ187" s="1"/>
      <c r="IA187" s="1"/>
      <c r="IB187" s="1"/>
      <c r="IC187" s="1"/>
      <c r="ID187" s="1"/>
      <c r="IE187" s="1"/>
      <c r="IF187" s="1"/>
      <c r="IG187" s="1"/>
      <c r="IH187" s="1"/>
      <c r="II187" s="1"/>
      <c r="IJ187" s="1"/>
      <c r="IK187" s="1"/>
      <c r="IL187" s="1"/>
      <c r="IM187" s="1"/>
      <c r="IN187" s="1"/>
      <c r="IO187" s="1"/>
      <c r="IP187" s="1"/>
      <c r="IQ187" s="1"/>
      <c r="IR187" s="1"/>
      <c r="IS187" s="1"/>
      <c r="IT187" s="1"/>
      <c r="IU187" s="1"/>
      <c r="IV187" s="1"/>
      <c r="IW187" s="1"/>
      <c r="IX187" s="1"/>
      <c r="IY187" s="1"/>
      <c r="IZ187" s="1"/>
      <c r="JA187" s="1"/>
      <c r="JB187" s="1"/>
      <c r="JC187" s="1"/>
      <c r="JD187" s="1"/>
    </row>
    <row r="188" spans="1:264" s="347" customFormat="1" x14ac:dyDescent="0.2">
      <c r="A188" s="424" t="s">
        <v>273</v>
      </c>
      <c r="B188" s="348"/>
      <c r="BH188" s="398"/>
      <c r="BI188" s="348"/>
      <c r="BJ188" s="397"/>
      <c r="BK188" s="348"/>
      <c r="BL188" s="398"/>
      <c r="BM188" s="348"/>
      <c r="BN188" s="397"/>
      <c r="BO188" s="348"/>
      <c r="BP188" s="398"/>
      <c r="BQ188" s="348"/>
      <c r="BR188" s="397"/>
      <c r="BT188" s="398"/>
      <c r="BU188" s="348"/>
      <c r="BV188" s="397"/>
      <c r="BX188" s="484"/>
      <c r="BY188" s="484"/>
      <c r="BZ188" s="397"/>
      <c r="CB188" s="484"/>
      <c r="CC188" s="484"/>
      <c r="CD188" s="397"/>
      <c r="CF188" s="484"/>
      <c r="CG188" s="484"/>
      <c r="CH188" s="397"/>
      <c r="CJ188" s="484"/>
      <c r="CK188" s="484"/>
      <c r="CL188" s="397"/>
      <c r="CN188" s="484"/>
      <c r="CO188" s="484"/>
      <c r="CP188" s="397"/>
      <c r="CR188" s="484"/>
      <c r="CS188" s="484"/>
      <c r="CT188" s="397"/>
      <c r="CV188" s="484"/>
      <c r="CW188" s="484"/>
      <c r="CX188" s="397"/>
      <c r="CZ188" s="484"/>
      <c r="DA188" s="484"/>
      <c r="DB188" s="397"/>
      <c r="DD188" s="484"/>
      <c r="DE188" s="484"/>
      <c r="DF188" s="397"/>
      <c r="DH188" s="484"/>
      <c r="DI188" s="348"/>
      <c r="DJ188" s="397"/>
      <c r="DL188" s="348"/>
      <c r="DM188" s="348"/>
      <c r="DN188" s="397"/>
      <c r="DP188" s="348"/>
      <c r="DQ188" s="348"/>
      <c r="DR188" s="397"/>
      <c r="DT188" s="1"/>
      <c r="DU188" s="1"/>
      <c r="DV188" s="1"/>
      <c r="DW188" s="1"/>
      <c r="DX188" s="1"/>
      <c r="DY188" s="1"/>
      <c r="DZ188" s="1"/>
      <c r="EA188" s="1"/>
      <c r="EB188" s="1"/>
      <c r="EC188" s="1"/>
      <c r="ED188" s="1"/>
      <c r="EE188" s="1"/>
      <c r="EF188" s="1"/>
      <c r="EG188" s="1"/>
      <c r="EH188" s="1"/>
      <c r="EI188" s="1"/>
      <c r="EJ188" s="1"/>
      <c r="EK188" s="1"/>
      <c r="EL188" s="1"/>
      <c r="EM188" s="1"/>
      <c r="EN188" s="1"/>
      <c r="EO188" s="1"/>
      <c r="EP188" s="1"/>
      <c r="EQ188" s="1"/>
      <c r="ER188" s="1"/>
      <c r="ES188" s="1"/>
      <c r="ET188" s="1"/>
      <c r="EU188" s="1"/>
      <c r="EV188" s="1"/>
      <c r="EW188" s="1"/>
      <c r="EX188" s="1"/>
      <c r="EY188" s="1"/>
      <c r="EZ188" s="1"/>
      <c r="FA188" s="1"/>
      <c r="FB188" s="1"/>
      <c r="FC188" s="1"/>
      <c r="FD188" s="1"/>
      <c r="FE188" s="1"/>
      <c r="FF188" s="1"/>
      <c r="FG188" s="1"/>
      <c r="FH188" s="1"/>
      <c r="FI188" s="1"/>
      <c r="FJ188" s="1"/>
      <c r="FK188" s="1"/>
      <c r="FL188" s="1"/>
      <c r="FM188" s="1"/>
      <c r="FN188" s="1"/>
      <c r="FO188" s="1"/>
      <c r="FP188" s="1"/>
      <c r="FQ188" s="1"/>
      <c r="FR188" s="1"/>
      <c r="FS188" s="1"/>
      <c r="FT188" s="1"/>
      <c r="FU188" s="1"/>
      <c r="FV188" s="1"/>
      <c r="FW188" s="1"/>
      <c r="FX188" s="1"/>
      <c r="FY188" s="1"/>
      <c r="FZ188" s="1"/>
      <c r="GA188" s="1"/>
      <c r="GB188" s="1"/>
      <c r="GC188" s="1"/>
      <c r="GD188" s="1"/>
      <c r="GE188" s="1"/>
      <c r="GF188" s="1"/>
      <c r="GG188" s="1"/>
      <c r="GH188" s="1"/>
      <c r="GI188" s="1"/>
      <c r="GJ188" s="1"/>
      <c r="GK188" s="1"/>
      <c r="GL188" s="1"/>
      <c r="GM188" s="1"/>
      <c r="GN188" s="1"/>
      <c r="GO188" s="1"/>
      <c r="GP188" s="1"/>
      <c r="GQ188" s="1"/>
      <c r="GR188" s="1"/>
      <c r="GS188" s="1"/>
      <c r="GT188" s="1"/>
      <c r="GU188" s="1"/>
      <c r="GV188" s="1"/>
      <c r="GW188" s="1"/>
      <c r="GX188" s="1"/>
      <c r="GY188" s="1"/>
      <c r="GZ188" s="1"/>
      <c r="HA188" s="1"/>
      <c r="HB188" s="1"/>
      <c r="HC188" s="1"/>
      <c r="HD188" s="1"/>
      <c r="HE188" s="1"/>
      <c r="HF188" s="1"/>
      <c r="HG188" s="1"/>
      <c r="HH188" s="1"/>
      <c r="HI188" s="1"/>
      <c r="HJ188" s="1"/>
      <c r="HK188" s="1"/>
      <c r="HL188" s="1"/>
      <c r="HM188" s="1"/>
      <c r="HN188" s="1"/>
      <c r="HO188" s="1"/>
      <c r="HP188" s="1"/>
      <c r="HQ188" s="1"/>
      <c r="HR188" s="1"/>
      <c r="HS188" s="1"/>
      <c r="HT188" s="1"/>
      <c r="HU188" s="1"/>
      <c r="HV188" s="1"/>
      <c r="HW188" s="1"/>
      <c r="HX188" s="1"/>
      <c r="HY188" s="1"/>
      <c r="HZ188" s="1"/>
      <c r="IA188" s="1"/>
      <c r="IB188" s="1"/>
      <c r="IC188" s="1"/>
      <c r="ID188" s="1"/>
      <c r="IE188" s="1"/>
      <c r="IF188" s="1"/>
      <c r="IG188" s="1"/>
      <c r="IH188" s="1"/>
      <c r="II188" s="1"/>
      <c r="IJ188" s="1"/>
      <c r="IK188" s="1"/>
      <c r="IL188" s="1"/>
      <c r="IM188" s="1"/>
      <c r="IN188" s="1"/>
      <c r="IO188" s="1"/>
      <c r="IP188" s="1"/>
      <c r="IQ188" s="1"/>
      <c r="IR188" s="1"/>
      <c r="IS188" s="1"/>
      <c r="IT188" s="1"/>
      <c r="IU188" s="1"/>
      <c r="IV188" s="1"/>
      <c r="IW188" s="1"/>
      <c r="IX188" s="1"/>
      <c r="IY188" s="1"/>
      <c r="IZ188" s="1"/>
      <c r="JA188" s="1"/>
      <c r="JB188" s="1"/>
      <c r="JC188" s="1"/>
      <c r="JD188" s="1"/>
    </row>
    <row r="189" spans="1:264" s="347" customFormat="1" x14ac:dyDescent="0.2">
      <c r="A189" s="429" t="str">
        <f>+A183</f>
        <v>Housing Loans</v>
      </c>
      <c r="B189" s="348"/>
      <c r="BH189" s="398"/>
      <c r="BI189" s="393">
        <f>+BI183/BH183-1</f>
        <v>3.8383770867102207E-2</v>
      </c>
      <c r="BJ189" s="397"/>
      <c r="BK189" s="348"/>
      <c r="BL189" s="393">
        <f>+BL183/BI183-1</f>
        <v>3.8035082072738868E-2</v>
      </c>
      <c r="BM189" s="393">
        <f>+BM183/BL183-1</f>
        <v>3.2721738613666895E-2</v>
      </c>
      <c r="BN189" s="397"/>
      <c r="BO189" s="348"/>
      <c r="BP189" s="393">
        <f>+BP183/BM183-1</f>
        <v>2.9072894904737412E-2</v>
      </c>
      <c r="BQ189" s="393">
        <f>+BQ183/BP183-1</f>
        <v>2.8071625679240375E-2</v>
      </c>
      <c r="BR189" s="397"/>
      <c r="BT189" s="393">
        <f>+BT183/BQ183-1</f>
        <v>3.3877181323917815E-2</v>
      </c>
      <c r="BU189" s="393">
        <f>+BU183/BT183-1</f>
        <v>4.3227441579592574E-2</v>
      </c>
      <c r="BV189" s="397"/>
      <c r="BX189" s="393">
        <f>+BX183/BU183-1</f>
        <v>3.6086249161320305E-2</v>
      </c>
      <c r="BY189" s="393">
        <f>+BY183/BX183-1</f>
        <v>2.8199148417461739E-2</v>
      </c>
      <c r="BZ189" s="397"/>
      <c r="CB189" s="393">
        <f>+CB183/BY183-1</f>
        <v>1.4059692460950401E-2</v>
      </c>
      <c r="CC189" s="393">
        <f>+CC183/CB183-1</f>
        <v>1.8220455947780323E-2</v>
      </c>
      <c r="CD189" s="397"/>
      <c r="CF189" s="393">
        <f>+CF183/CC183-1</f>
        <v>2.1608045209452476E-2</v>
      </c>
      <c r="CG189" s="393">
        <f>+CG183/CF183-1</f>
        <v>2.0364679368981786E-2</v>
      </c>
      <c r="CH189" s="397"/>
      <c r="CJ189" s="393">
        <f>+CJ183/CG183-1</f>
        <v>2.3230109648871178E-2</v>
      </c>
      <c r="CK189" s="393">
        <f>+CK183/CJ183-1</f>
        <v>1.4558298603973174E-2</v>
      </c>
      <c r="CL189" s="397"/>
      <c r="CN189" s="393">
        <f>+CN183/CK183-1</f>
        <v>3.0279251399941032E-2</v>
      </c>
      <c r="CO189" s="393">
        <f>+CO183/CN183-1</f>
        <v>3.6540930204284505E-2</v>
      </c>
      <c r="CP189" s="397"/>
      <c r="CR189" s="393">
        <f>+CR183/CO183-1</f>
        <v>4.511208163434266E-2</v>
      </c>
      <c r="CS189" s="393">
        <f>+CS183/CR183-1</f>
        <v>2.6543546071198687E-2</v>
      </c>
      <c r="CT189" s="397"/>
      <c r="CV189" s="393">
        <f>+CV183/CS183-1</f>
        <v>2.7866873099858136E-2</v>
      </c>
      <c r="CW189" s="393">
        <f>+CW183/CV183-1</f>
        <v>2.0164986251145711E-2</v>
      </c>
      <c r="CX189" s="397"/>
      <c r="CZ189" s="393">
        <f>+CZ183/CW183-1</f>
        <v>-2.6954177897574594E-3</v>
      </c>
      <c r="DA189" s="393">
        <f>+DA183/CZ183-1</f>
        <v>2.1893736740153047E-2</v>
      </c>
      <c r="DB189" s="397"/>
      <c r="DD189" s="393">
        <f>+DD183/DA183-1</f>
        <v>3.0943236131734331E-2</v>
      </c>
      <c r="DE189" s="393">
        <f>+DE183/DD183-1</f>
        <v>3.2969534591525296E-2</v>
      </c>
      <c r="DF189" s="397"/>
      <c r="DH189" s="393">
        <f>+DH183/DE183-1</f>
        <v>3.1540045941158112E-2</v>
      </c>
      <c r="DI189" s="393">
        <f>+DI183/DH183-1</f>
        <v>3.581258393328457E-2</v>
      </c>
      <c r="DJ189" s="397"/>
      <c r="DL189" s="393">
        <f>+DL183/DI183-1</f>
        <v>3.1533752359624634E-2</v>
      </c>
      <c r="DM189" s="393">
        <f>+DM183/DL183-1</f>
        <v>2.9281236696563795E-2</v>
      </c>
      <c r="DN189" s="397"/>
      <c r="DP189" s="393">
        <f>+DP183/DM183-1</f>
        <v>2.4049074807430459E-2</v>
      </c>
      <c r="DQ189" s="393">
        <f>+DQ183/DP183-1</f>
        <v>2.4057547358000031E-2</v>
      </c>
      <c r="DR189" s="397"/>
      <c r="DT189" s="1"/>
      <c r="DU189" s="1"/>
      <c r="DV189" s="1"/>
      <c r="DW189" s="1"/>
      <c r="DX189" s="1"/>
      <c r="DY189" s="1"/>
      <c r="DZ189" s="1"/>
      <c r="EA189" s="1"/>
      <c r="EB189" s="1"/>
      <c r="EC189" s="1"/>
      <c r="ED189" s="1"/>
      <c r="EE189" s="1"/>
      <c r="EF189" s="1"/>
      <c r="EG189" s="1"/>
      <c r="EH189" s="1"/>
      <c r="EI189" s="1"/>
      <c r="EJ189" s="1"/>
      <c r="EK189" s="1"/>
      <c r="EL189" s="1"/>
      <c r="EM189" s="1"/>
      <c r="EN189" s="1"/>
      <c r="EO189" s="1"/>
      <c r="EP189" s="1"/>
      <c r="EQ189" s="1"/>
      <c r="ER189" s="1"/>
      <c r="ES189" s="1"/>
      <c r="ET189" s="1"/>
      <c r="EU189" s="1"/>
      <c r="EV189" s="1"/>
      <c r="EW189" s="1"/>
      <c r="EX189" s="1"/>
      <c r="EY189" s="1"/>
      <c r="EZ189" s="1"/>
      <c r="FA189" s="1"/>
      <c r="FB189" s="1"/>
      <c r="FC189" s="1"/>
      <c r="FD189" s="1"/>
      <c r="FE189" s="1"/>
      <c r="FF189" s="1"/>
      <c r="FG189" s="1"/>
      <c r="FH189" s="1"/>
      <c r="FI189" s="1"/>
      <c r="FJ189" s="1"/>
      <c r="FK189" s="1"/>
      <c r="FL189" s="1"/>
      <c r="FM189" s="1"/>
      <c r="FN189" s="1"/>
      <c r="FO189" s="1"/>
      <c r="FP189" s="1"/>
      <c r="FQ189" s="1"/>
      <c r="FR189" s="1"/>
      <c r="FS189" s="1"/>
      <c r="FT189" s="1"/>
      <c r="FU189" s="1"/>
      <c r="FV189" s="1"/>
      <c r="FW189" s="1"/>
      <c r="FX189" s="1"/>
      <c r="FY189" s="1"/>
      <c r="FZ189" s="1"/>
      <c r="GA189" s="1"/>
      <c r="GB189" s="1"/>
      <c r="GC189" s="1"/>
      <c r="GD189" s="1"/>
      <c r="GE189" s="1"/>
      <c r="GF189" s="1"/>
      <c r="GG189" s="1"/>
      <c r="GH189" s="1"/>
      <c r="GI189" s="1"/>
      <c r="GJ189" s="1"/>
      <c r="GK189" s="1"/>
      <c r="GL189" s="1"/>
      <c r="GM189" s="1"/>
      <c r="GN189" s="1"/>
      <c r="GO189" s="1"/>
      <c r="GP189" s="1"/>
      <c r="GQ189" s="1"/>
      <c r="GR189" s="1"/>
      <c r="GS189" s="1"/>
      <c r="GT189" s="1"/>
      <c r="GU189" s="1"/>
      <c r="GV189" s="1"/>
      <c r="GW189" s="1"/>
      <c r="GX189" s="1"/>
      <c r="GY189" s="1"/>
      <c r="GZ189" s="1"/>
      <c r="HA189" s="1"/>
      <c r="HB189" s="1"/>
      <c r="HC189" s="1"/>
      <c r="HD189" s="1"/>
      <c r="HE189" s="1"/>
      <c r="HF189" s="1"/>
      <c r="HG189" s="1"/>
      <c r="HH189" s="1"/>
      <c r="HI189" s="1"/>
      <c r="HJ189" s="1"/>
      <c r="HK189" s="1"/>
      <c r="HL189" s="1"/>
      <c r="HM189" s="1"/>
      <c r="HN189" s="1"/>
      <c r="HO189" s="1"/>
      <c r="HP189" s="1"/>
      <c r="HQ189" s="1"/>
      <c r="HR189" s="1"/>
      <c r="HS189" s="1"/>
      <c r="HT189" s="1"/>
      <c r="HU189" s="1"/>
      <c r="HV189" s="1"/>
      <c r="HW189" s="1"/>
      <c r="HX189" s="1"/>
      <c r="HY189" s="1"/>
      <c r="HZ189" s="1"/>
      <c r="IA189" s="1"/>
      <c r="IB189" s="1"/>
      <c r="IC189" s="1"/>
      <c r="ID189" s="1"/>
      <c r="IE189" s="1"/>
      <c r="IF189" s="1"/>
      <c r="IG189" s="1"/>
      <c r="IH189" s="1"/>
      <c r="II189" s="1"/>
      <c r="IJ189" s="1"/>
      <c r="IK189" s="1"/>
      <c r="IL189" s="1"/>
      <c r="IM189" s="1"/>
      <c r="IN189" s="1"/>
      <c r="IO189" s="1"/>
      <c r="IP189" s="1"/>
      <c r="IQ189" s="1"/>
      <c r="IR189" s="1"/>
      <c r="IS189" s="1"/>
      <c r="IT189" s="1"/>
      <c r="IU189" s="1"/>
      <c r="IV189" s="1"/>
      <c r="IW189" s="1"/>
      <c r="IX189" s="1"/>
      <c r="IY189" s="1"/>
      <c r="IZ189" s="1"/>
      <c r="JA189" s="1"/>
      <c r="JB189" s="1"/>
      <c r="JC189" s="1"/>
      <c r="JD189" s="1"/>
    </row>
    <row r="190" spans="1:264" s="347" customFormat="1" x14ac:dyDescent="0.2">
      <c r="A190" s="429" t="str">
        <f>+A184</f>
        <v>Non Housing Loans</v>
      </c>
      <c r="B190" s="348"/>
      <c r="BH190" s="398"/>
      <c r="BI190" s="393">
        <f>+BI184/BH184-1</f>
        <v>4.3488294148997575E-2</v>
      </c>
      <c r="BJ190" s="397"/>
      <c r="BK190" s="348"/>
      <c r="BL190" s="393">
        <f>+BL184/BI184-1</f>
        <v>5.2807000916184954E-2</v>
      </c>
      <c r="BM190" s="393">
        <f>+BM184/BL184-1</f>
        <v>1.7344596318024319E-2</v>
      </c>
      <c r="BN190" s="397"/>
      <c r="BO190" s="348"/>
      <c r="BP190" s="393">
        <f>+BP184/BM184-1</f>
        <v>5.3840670550352687E-2</v>
      </c>
      <c r="BQ190" s="393">
        <f>+BQ184/BP184-1</f>
        <v>3.2700928781015826E-2</v>
      </c>
      <c r="BR190" s="397"/>
      <c r="BT190" s="393">
        <f>+BT184/BQ184-1</f>
        <v>7.0174408362205565E-2</v>
      </c>
      <c r="BU190" s="393">
        <f>+BU184/BT184-1</f>
        <v>3.0868001620854901E-2</v>
      </c>
      <c r="BV190" s="397"/>
      <c r="BX190" s="393">
        <f>+BX184/BU184-1</f>
        <v>4.311597911761611E-3</v>
      </c>
      <c r="BY190" s="393">
        <f>+BY184/BX184-1</f>
        <v>2.2032143119236069E-2</v>
      </c>
      <c r="BZ190" s="397"/>
      <c r="CB190" s="393">
        <f>+CB184/BY184-1</f>
        <v>-9.0712536201242866E-3</v>
      </c>
      <c r="CC190" s="393">
        <f>+CC184/CB184-1</f>
        <v>-8.2283984412739875E-3</v>
      </c>
      <c r="CD190" s="397"/>
      <c r="CF190" s="393">
        <f>+CF184/CC184-1</f>
        <v>2.1959377181730577E-3</v>
      </c>
      <c r="CG190" s="393">
        <f>+CG184/CF184-1</f>
        <v>-3.5778943318280354E-2</v>
      </c>
      <c r="CH190" s="397"/>
      <c r="CJ190" s="393">
        <f>+CJ184/CG184-1</f>
        <v>-7.4683602790763803E-3</v>
      </c>
      <c r="CK190" s="393">
        <f>+CK184/CJ184-1</f>
        <v>3.9569517505808616E-3</v>
      </c>
      <c r="CL190" s="397"/>
      <c r="CN190" s="393">
        <f>+CN184/CK184-1</f>
        <v>-8.7384288532550425E-3</v>
      </c>
      <c r="CO190" s="393">
        <f>+CO184/CN184-1</f>
        <v>1.4267185473411104E-2</v>
      </c>
      <c r="CP190" s="397"/>
      <c r="CR190" s="393">
        <f>+CR184/CO184-1</f>
        <v>2.5529327910779331E-2</v>
      </c>
      <c r="CS190" s="393">
        <f>+CS184/CR184-1</f>
        <v>7.5106603052342846E-2</v>
      </c>
      <c r="CT190" s="397"/>
      <c r="CV190" s="393">
        <f>+CV184/CS184-1</f>
        <v>4.0076814845799946E-2</v>
      </c>
      <c r="CW190" s="393">
        <f>+CW184/CV184-1</f>
        <v>2.7509149607508387E-2</v>
      </c>
      <c r="CX190" s="397"/>
      <c r="CZ190" s="393">
        <f>+CZ184/CW184-1</f>
        <v>-9.5575964388523449E-3</v>
      </c>
      <c r="DA190" s="393">
        <f>+DA184/CZ184-1</f>
        <v>2.4789201967328589E-2</v>
      </c>
      <c r="DB190" s="397"/>
      <c r="DD190" s="393">
        <f>+DD184/DA184-1</f>
        <v>2.4077378552622708E-2</v>
      </c>
      <c r="DE190" s="393">
        <f>+DE184/DD184-1</f>
        <v>5.4451157934375161E-2</v>
      </c>
      <c r="DF190" s="397"/>
      <c r="DH190" s="393">
        <f>+DH184/DE184-1</f>
        <v>3.499436726716687E-2</v>
      </c>
      <c r="DI190" s="393">
        <f>+DI184/DH184-1</f>
        <v>3.2702214593850476E-2</v>
      </c>
      <c r="DJ190" s="397"/>
      <c r="DL190" s="393">
        <f>+DL184/DI184-1</f>
        <v>2.4281409887583649E-2</v>
      </c>
      <c r="DM190" s="393">
        <f>+DM184/DL184-1</f>
        <v>3.5341169078674017E-2</v>
      </c>
      <c r="DN190" s="397"/>
      <c r="DP190" s="393">
        <f>+DP184/DM184-1</f>
        <v>2.1877106485862274E-2</v>
      </c>
      <c r="DQ190" s="393">
        <f>+DQ184/DP184-1</f>
        <v>2.7571197600602115E-2</v>
      </c>
      <c r="DR190" s="397"/>
      <c r="DT190" s="1"/>
      <c r="DU190" s="1"/>
      <c r="DV190" s="1"/>
      <c r="DW190" s="1"/>
      <c r="DX190" s="1"/>
      <c r="DY190" s="1"/>
      <c r="DZ190" s="1"/>
      <c r="EA190" s="1"/>
      <c r="EB190" s="1"/>
      <c r="EC190" s="1"/>
      <c r="ED190" s="1"/>
      <c r="EE190" s="1"/>
      <c r="EF190" s="1"/>
      <c r="EG190" s="1"/>
      <c r="EH190" s="1"/>
      <c r="EI190" s="1"/>
      <c r="EJ190" s="1"/>
      <c r="EK190" s="1"/>
      <c r="EL190" s="1"/>
      <c r="EM190" s="1"/>
      <c r="EN190" s="1"/>
      <c r="EO190" s="1"/>
      <c r="EP190" s="1"/>
      <c r="EQ190" s="1"/>
      <c r="ER190" s="1"/>
      <c r="ES190" s="1"/>
      <c r="ET190" s="1"/>
      <c r="EU190" s="1"/>
      <c r="EV190" s="1"/>
      <c r="EW190" s="1"/>
      <c r="EX190" s="1"/>
      <c r="EY190" s="1"/>
      <c r="EZ190" s="1"/>
      <c r="FA190" s="1"/>
      <c r="FB190" s="1"/>
      <c r="FC190" s="1"/>
      <c r="FD190" s="1"/>
      <c r="FE190" s="1"/>
      <c r="FF190" s="1"/>
      <c r="FG190" s="1"/>
      <c r="FH190" s="1"/>
      <c r="FI190" s="1"/>
      <c r="FJ190" s="1"/>
      <c r="FK190" s="1"/>
      <c r="FL190" s="1"/>
      <c r="FM190" s="1"/>
      <c r="FN190" s="1"/>
      <c r="FO190" s="1"/>
      <c r="FP190" s="1"/>
      <c r="FQ190" s="1"/>
      <c r="FR190" s="1"/>
      <c r="FS190" s="1"/>
      <c r="FT190" s="1"/>
      <c r="FU190" s="1"/>
      <c r="FV190" s="1"/>
      <c r="FW190" s="1"/>
      <c r="FX190" s="1"/>
      <c r="FY190" s="1"/>
      <c r="FZ190" s="1"/>
      <c r="GA190" s="1"/>
      <c r="GB190" s="1"/>
      <c r="GC190" s="1"/>
      <c r="GD190" s="1"/>
      <c r="GE190" s="1"/>
      <c r="GF190" s="1"/>
      <c r="GG190" s="1"/>
      <c r="GH190" s="1"/>
      <c r="GI190" s="1"/>
      <c r="GJ190" s="1"/>
      <c r="GK190" s="1"/>
      <c r="GL190" s="1"/>
      <c r="GM190" s="1"/>
      <c r="GN190" s="1"/>
      <c r="GO190" s="1"/>
      <c r="GP190" s="1"/>
      <c r="GQ190" s="1"/>
      <c r="GR190" s="1"/>
      <c r="GS190" s="1"/>
      <c r="GT190" s="1"/>
      <c r="GU190" s="1"/>
      <c r="GV190" s="1"/>
      <c r="GW190" s="1"/>
      <c r="GX190" s="1"/>
      <c r="GY190" s="1"/>
      <c r="GZ190" s="1"/>
      <c r="HA190" s="1"/>
      <c r="HB190" s="1"/>
      <c r="HC190" s="1"/>
      <c r="HD190" s="1"/>
      <c r="HE190" s="1"/>
      <c r="HF190" s="1"/>
      <c r="HG190" s="1"/>
      <c r="HH190" s="1"/>
      <c r="HI190" s="1"/>
      <c r="HJ190" s="1"/>
      <c r="HK190" s="1"/>
      <c r="HL190" s="1"/>
      <c r="HM190" s="1"/>
      <c r="HN190" s="1"/>
      <c r="HO190" s="1"/>
      <c r="HP190" s="1"/>
      <c r="HQ190" s="1"/>
      <c r="HR190" s="1"/>
      <c r="HS190" s="1"/>
      <c r="HT190" s="1"/>
      <c r="HU190" s="1"/>
      <c r="HV190" s="1"/>
      <c r="HW190" s="1"/>
      <c r="HX190" s="1"/>
      <c r="HY190" s="1"/>
      <c r="HZ190" s="1"/>
      <c r="IA190" s="1"/>
      <c r="IB190" s="1"/>
      <c r="IC190" s="1"/>
      <c r="ID190" s="1"/>
      <c r="IE190" s="1"/>
      <c r="IF190" s="1"/>
      <c r="IG190" s="1"/>
      <c r="IH190" s="1"/>
      <c r="II190" s="1"/>
      <c r="IJ190" s="1"/>
      <c r="IK190" s="1"/>
      <c r="IL190" s="1"/>
      <c r="IM190" s="1"/>
      <c r="IN190" s="1"/>
      <c r="IO190" s="1"/>
      <c r="IP190" s="1"/>
      <c r="IQ190" s="1"/>
      <c r="IR190" s="1"/>
      <c r="IS190" s="1"/>
      <c r="IT190" s="1"/>
      <c r="IU190" s="1"/>
      <c r="IV190" s="1"/>
      <c r="IW190" s="1"/>
      <c r="IX190" s="1"/>
      <c r="IY190" s="1"/>
      <c r="IZ190" s="1"/>
      <c r="JA190" s="1"/>
      <c r="JB190" s="1"/>
      <c r="JC190" s="1"/>
      <c r="JD190" s="1"/>
    </row>
    <row r="191" spans="1:264" s="347" customFormat="1" x14ac:dyDescent="0.2">
      <c r="A191" s="424" t="str">
        <f>+A185</f>
        <v>Gross Loans</v>
      </c>
      <c r="B191" s="348"/>
      <c r="BH191" s="398"/>
      <c r="BI191" s="428">
        <f>+BI185/BH185-1</f>
        <v>4.0100838907258129E-2</v>
      </c>
      <c r="BJ191" s="397"/>
      <c r="BK191" s="348"/>
      <c r="BL191" s="428">
        <f>+BL185/BI185-1</f>
        <v>4.3020268037060383E-2</v>
      </c>
      <c r="BM191" s="428">
        <f>+BM185/BL185-1</f>
        <v>2.7483610690872462E-2</v>
      </c>
      <c r="BN191" s="397"/>
      <c r="BO191" s="348"/>
      <c r="BP191" s="428">
        <f>+BP185/BM185-1</f>
        <v>3.7426629083070706E-2</v>
      </c>
      <c r="BQ191" s="428">
        <f>+BQ185/BP185-1</f>
        <v>2.9657712028027472E-2</v>
      </c>
      <c r="BR191" s="397"/>
      <c r="BT191" s="428">
        <f>+BT185/BQ185-1</f>
        <v>4.6350049982304409E-2</v>
      </c>
      <c r="BU191" s="428">
        <f>+BU185/BT185-1</f>
        <v>3.8883647238936225E-2</v>
      </c>
      <c r="BV191" s="397"/>
      <c r="BX191" s="428">
        <f>+BX185/BU185-1</f>
        <v>2.5005033564234669E-2</v>
      </c>
      <c r="BY191" s="428">
        <f>+BY185/BX185-1</f>
        <v>2.6091862749195505E-2</v>
      </c>
      <c r="BZ191" s="397"/>
      <c r="CB191" s="428">
        <f>+CB185/BY185-1</f>
        <v>6.1870450851890801E-3</v>
      </c>
      <c r="CC191" s="428">
        <f>+CC185/CB185-1</f>
        <v>9.355063311635714E-3</v>
      </c>
      <c r="CD191" s="397"/>
      <c r="CF191" s="428">
        <f>+CF185/CC185-1</f>
        <v>1.5214650768887283E-2</v>
      </c>
      <c r="CG191" s="428">
        <f>+CG185/CF185-1</f>
        <v>2.1108492118881994E-3</v>
      </c>
      <c r="CH191" s="397"/>
      <c r="CJ191" s="428">
        <f>+CJ185/CG185-1</f>
        <v>1.3626574053268392E-2</v>
      </c>
      <c r="CK191" s="428">
        <f>+CK185/CJ185-1</f>
        <v>1.1310853363374562E-2</v>
      </c>
      <c r="CL191" s="397"/>
      <c r="CN191" s="428">
        <f>+CN185/CK185-1</f>
        <v>1.8414117019694753E-2</v>
      </c>
      <c r="CO191" s="428">
        <f>+CO185/CN185-1</f>
        <v>2.9948154311096875E-2</v>
      </c>
      <c r="CP191" s="397"/>
      <c r="CR191" s="428">
        <f>+CR185/CO185-1</f>
        <v>3.9404056871481963E-2</v>
      </c>
      <c r="CS191" s="428">
        <f>+CS185/CR185-1</f>
        <v>4.0509859390082781E-2</v>
      </c>
      <c r="CT191" s="397"/>
      <c r="CV191" s="428">
        <f>+CV185/CS185-1</f>
        <v>3.1495102055114188E-2</v>
      </c>
      <c r="CW191" s="428">
        <f>+CW185/CV185-1</f>
        <v>2.2365487738748024E-2</v>
      </c>
      <c r="CX191" s="397"/>
      <c r="CZ191" s="428">
        <f>+CZ185/CW185-1</f>
        <v>-4.761848634504573E-3</v>
      </c>
      <c r="DA191" s="428">
        <f>+DA185/CZ185-1</f>
        <v>2.2761456362839549E-2</v>
      </c>
      <c r="DB191" s="397"/>
      <c r="DD191" s="428">
        <f>+DD185/DA185-1</f>
        <v>2.8881580886532809E-2</v>
      </c>
      <c r="DE191" s="428">
        <f>+DE185/DD185-1</f>
        <v>3.9389840635819739E-2</v>
      </c>
      <c r="DF191" s="397"/>
      <c r="DH191" s="428">
        <f>+DH185/DE185-1</f>
        <v>3.2587414101820755E-2</v>
      </c>
      <c r="DI191" s="428">
        <f>+DI185/DH185-1</f>
        <v>3.4867305488334166E-2</v>
      </c>
      <c r="DJ191" s="397"/>
      <c r="DL191" s="428">
        <f>+DL185/DI185-1</f>
        <v>2.9334289976383765E-2</v>
      </c>
      <c r="DM191" s="428">
        <f>+DM185/DL185-1</f>
        <v>3.1110047854467693E-2</v>
      </c>
      <c r="DN191" s="397"/>
      <c r="DP191" s="428">
        <f>+DP185/DM185-1</f>
        <v>2.339091245611491E-2</v>
      </c>
      <c r="DQ191" s="428">
        <f>+DQ185/DP185-1</f>
        <v>2.5120698943229769E-2</v>
      </c>
      <c r="DR191" s="397"/>
      <c r="DT191" s="1"/>
      <c r="DU191" s="1"/>
      <c r="DV191" s="1"/>
      <c r="DW191" s="1"/>
      <c r="DX191" s="1"/>
      <c r="DY191" s="1"/>
      <c r="DZ191" s="1"/>
      <c r="EA191" s="1"/>
      <c r="EB191" s="1"/>
      <c r="EC191" s="1"/>
      <c r="ED191" s="1"/>
      <c r="EE191" s="1"/>
      <c r="EF191" s="1"/>
      <c r="EG191" s="1"/>
      <c r="EH191" s="1"/>
      <c r="EI191" s="1"/>
      <c r="EJ191" s="1"/>
      <c r="EK191" s="1"/>
      <c r="EL191" s="1"/>
      <c r="EM191" s="1"/>
      <c r="EN191" s="1"/>
      <c r="EO191" s="1"/>
      <c r="EP191" s="1"/>
      <c r="EQ191" s="1"/>
      <c r="ER191" s="1"/>
      <c r="ES191" s="1"/>
      <c r="ET191" s="1"/>
      <c r="EU191" s="1"/>
      <c r="EV191" s="1"/>
      <c r="EW191" s="1"/>
      <c r="EX191" s="1"/>
      <c r="EY191" s="1"/>
      <c r="EZ191" s="1"/>
      <c r="FA191" s="1"/>
      <c r="FB191" s="1"/>
      <c r="FC191" s="1"/>
      <c r="FD191" s="1"/>
      <c r="FE191" s="1"/>
      <c r="FF191" s="1"/>
      <c r="FG191" s="1"/>
      <c r="FH191" s="1"/>
      <c r="FI191" s="1"/>
      <c r="FJ191" s="1"/>
      <c r="FK191" s="1"/>
      <c r="FL191" s="1"/>
      <c r="FM191" s="1"/>
      <c r="FN191" s="1"/>
      <c r="FO191" s="1"/>
      <c r="FP191" s="1"/>
      <c r="FQ191" s="1"/>
      <c r="FR191" s="1"/>
      <c r="FS191" s="1"/>
      <c r="FT191" s="1"/>
      <c r="FU191" s="1"/>
      <c r="FV191" s="1"/>
      <c r="FW191" s="1"/>
      <c r="FX191" s="1"/>
      <c r="FY191" s="1"/>
      <c r="FZ191" s="1"/>
      <c r="GA191" s="1"/>
      <c r="GB191" s="1"/>
      <c r="GC191" s="1"/>
      <c r="GD191" s="1"/>
      <c r="GE191" s="1"/>
      <c r="GF191" s="1"/>
      <c r="GG191" s="1"/>
      <c r="GH191" s="1"/>
      <c r="GI191" s="1"/>
      <c r="GJ191" s="1"/>
      <c r="GK191" s="1"/>
      <c r="GL191" s="1"/>
      <c r="GM191" s="1"/>
      <c r="GN191" s="1"/>
      <c r="GO191" s="1"/>
      <c r="GP191" s="1"/>
      <c r="GQ191" s="1"/>
      <c r="GR191" s="1"/>
      <c r="GS191" s="1"/>
      <c r="GT191" s="1"/>
      <c r="GU191" s="1"/>
      <c r="GV191" s="1"/>
      <c r="GW191" s="1"/>
      <c r="GX191" s="1"/>
      <c r="GY191" s="1"/>
      <c r="GZ191" s="1"/>
      <c r="HA191" s="1"/>
      <c r="HB191" s="1"/>
      <c r="HC191" s="1"/>
      <c r="HD191" s="1"/>
      <c r="HE191" s="1"/>
      <c r="HF191" s="1"/>
      <c r="HG191" s="1"/>
      <c r="HH191" s="1"/>
      <c r="HI191" s="1"/>
      <c r="HJ191" s="1"/>
      <c r="HK191" s="1"/>
      <c r="HL191" s="1"/>
      <c r="HM191" s="1"/>
      <c r="HN191" s="1"/>
      <c r="HO191" s="1"/>
      <c r="HP191" s="1"/>
      <c r="HQ191" s="1"/>
      <c r="HR191" s="1"/>
      <c r="HS191" s="1"/>
      <c r="HT191" s="1"/>
      <c r="HU191" s="1"/>
      <c r="HV191" s="1"/>
      <c r="HW191" s="1"/>
      <c r="HX191" s="1"/>
      <c r="HY191" s="1"/>
      <c r="HZ191" s="1"/>
      <c r="IA191" s="1"/>
      <c r="IB191" s="1"/>
      <c r="IC191" s="1"/>
      <c r="ID191" s="1"/>
      <c r="IE191" s="1"/>
      <c r="IF191" s="1"/>
      <c r="IG191" s="1"/>
      <c r="IH191" s="1"/>
      <c r="II191" s="1"/>
      <c r="IJ191" s="1"/>
      <c r="IK191" s="1"/>
      <c r="IL191" s="1"/>
      <c r="IM191" s="1"/>
      <c r="IN191" s="1"/>
      <c r="IO191" s="1"/>
      <c r="IP191" s="1"/>
      <c r="IQ191" s="1"/>
      <c r="IR191" s="1"/>
      <c r="IS191" s="1"/>
      <c r="IT191" s="1"/>
      <c r="IU191" s="1"/>
      <c r="IV191" s="1"/>
      <c r="IW191" s="1"/>
      <c r="IX191" s="1"/>
      <c r="IY191" s="1"/>
      <c r="IZ191" s="1"/>
      <c r="JA191" s="1"/>
      <c r="JB191" s="1"/>
      <c r="JC191" s="1"/>
      <c r="JD191" s="1"/>
    </row>
    <row r="192" spans="1:264" s="347" customFormat="1" x14ac:dyDescent="0.2">
      <c r="A192" s="436" t="str">
        <f>+A186</f>
        <v>Acceptances</v>
      </c>
      <c r="B192" s="437" t="s">
        <v>236</v>
      </c>
      <c r="C192" s="463"/>
      <c r="D192" s="463"/>
      <c r="E192" s="463"/>
      <c r="F192" s="463"/>
      <c r="G192" s="463"/>
      <c r="H192" s="463"/>
      <c r="I192" s="463"/>
      <c r="J192" s="463"/>
      <c r="K192" s="463"/>
      <c r="L192" s="463"/>
      <c r="M192" s="463"/>
      <c r="N192" s="463"/>
      <c r="O192" s="463"/>
      <c r="P192" s="463"/>
      <c r="Q192" s="463"/>
      <c r="R192" s="463"/>
      <c r="S192" s="463"/>
      <c r="T192" s="463"/>
      <c r="U192" s="463"/>
      <c r="V192" s="463"/>
      <c r="W192" s="463"/>
      <c r="X192" s="463"/>
      <c r="Y192" s="463"/>
      <c r="Z192" s="463"/>
      <c r="AA192" s="463"/>
      <c r="AB192" s="463"/>
      <c r="AC192" s="463"/>
      <c r="AD192" s="463"/>
      <c r="AE192" s="463"/>
      <c r="AF192" s="463"/>
      <c r="AG192" s="463"/>
      <c r="AH192" s="463"/>
      <c r="AI192" s="463"/>
      <c r="AJ192" s="463"/>
      <c r="AK192" s="463"/>
      <c r="AL192" s="463"/>
      <c r="AM192" s="463"/>
      <c r="AN192" s="463"/>
      <c r="AO192" s="463"/>
      <c r="AP192" s="463"/>
      <c r="AQ192" s="463"/>
      <c r="AR192" s="463"/>
      <c r="AS192" s="463"/>
      <c r="AT192" s="463"/>
      <c r="AU192" s="463"/>
      <c r="AV192" s="463"/>
      <c r="AW192" s="463"/>
      <c r="AX192" s="463"/>
      <c r="AY192" s="463"/>
      <c r="AZ192" s="463"/>
      <c r="BA192" s="463"/>
      <c r="BB192" s="463"/>
      <c r="BC192" s="463"/>
      <c r="BD192" s="463"/>
      <c r="BE192" s="463"/>
      <c r="BF192" s="463"/>
      <c r="BG192" s="463"/>
      <c r="BH192" s="464"/>
      <c r="BI192" s="465">
        <f>+BI186/BH186-1</f>
        <v>-0.25652973635806253</v>
      </c>
      <c r="BJ192" s="466"/>
      <c r="BK192" s="466"/>
      <c r="BL192" s="465">
        <f>+BL186/BI186-1</f>
        <v>-0.20715817252185387</v>
      </c>
      <c r="BM192" s="465">
        <f>+BM186/BL186-1</f>
        <v>4.5766590389016093E-2</v>
      </c>
      <c r="BN192" s="466"/>
      <c r="BO192" s="466"/>
      <c r="BP192" s="465">
        <f>+BP186/BM186-1</f>
        <v>-0.59697632782971954</v>
      </c>
      <c r="BQ192" s="465">
        <f>+BQ186/BP186-1</f>
        <v>-4.0473840078973367E-2</v>
      </c>
      <c r="BR192" s="466"/>
      <c r="BS192" s="463"/>
      <c r="BT192" s="465">
        <f>+BT186/BQ186-1</f>
        <v>-0.15637860082304522</v>
      </c>
      <c r="BU192" s="465">
        <f>+BU186/BT186-1</f>
        <v>-0.1274390243902439</v>
      </c>
      <c r="BV192" s="466"/>
      <c r="BW192" s="463"/>
      <c r="BX192" s="465">
        <f>+BX186/BU186-1</f>
        <v>6.2893081761006275E-3</v>
      </c>
      <c r="BY192" s="465">
        <f>+BY186/BX186-1</f>
        <v>-0.67847222222222214</v>
      </c>
      <c r="BZ192" s="466"/>
      <c r="CA192" s="463"/>
      <c r="CB192" s="465">
        <f>+CB186/BY186-1</f>
        <v>-0.52051835853131756</v>
      </c>
      <c r="CC192" s="465">
        <f>+CC186/CB186-1</f>
        <v>0.70720720720720731</v>
      </c>
      <c r="CD192" s="466"/>
      <c r="CE192" s="463"/>
      <c r="CF192" s="465">
        <f>+CF186/CC186-1</f>
        <v>-0.86015831134564646</v>
      </c>
      <c r="CG192" s="465">
        <f>+CG186/CF186-1</f>
        <v>-1</v>
      </c>
      <c r="CH192" s="466"/>
      <c r="CI192" s="463"/>
      <c r="CJ192" s="465"/>
      <c r="CK192" s="465"/>
      <c r="CL192" s="485"/>
      <c r="CM192" s="463"/>
      <c r="CN192" s="465"/>
      <c r="CO192" s="465"/>
      <c r="CP192" s="485"/>
      <c r="CQ192" s="463"/>
      <c r="CR192" s="465"/>
      <c r="CS192" s="465"/>
      <c r="CT192" s="485"/>
      <c r="CU192" s="463"/>
      <c r="CV192" s="465"/>
      <c r="CW192" s="465"/>
      <c r="CX192" s="485"/>
      <c r="CY192" s="463"/>
      <c r="CZ192" s="465"/>
      <c r="DA192" s="465"/>
      <c r="DB192" s="485"/>
      <c r="DC192" s="463"/>
      <c r="DD192" s="465"/>
      <c r="DE192" s="465"/>
      <c r="DF192" s="485"/>
      <c r="DG192" s="463"/>
      <c r="DH192" s="465"/>
      <c r="DI192" s="482"/>
      <c r="DJ192" s="485"/>
      <c r="DK192" s="463"/>
      <c r="DL192" s="482"/>
      <c r="DM192" s="482"/>
      <c r="DN192" s="485"/>
      <c r="DO192" s="463"/>
      <c r="DP192" s="482"/>
      <c r="DQ192" s="482"/>
      <c r="DR192" s="485"/>
      <c r="DS192" s="463"/>
      <c r="DT192" s="1"/>
      <c r="DU192" s="1"/>
      <c r="DV192" s="1"/>
      <c r="DW192" s="1"/>
      <c r="DX192" s="1"/>
      <c r="DY192" s="1"/>
      <c r="DZ192" s="1"/>
      <c r="EA192" s="1"/>
      <c r="EB192" s="1"/>
      <c r="EC192" s="1"/>
      <c r="ED192" s="1"/>
      <c r="EE192" s="1"/>
      <c r="EF192" s="1"/>
      <c r="EG192" s="1"/>
      <c r="EH192" s="1"/>
      <c r="EI192" s="1"/>
      <c r="EJ192" s="1"/>
      <c r="EK192" s="1"/>
      <c r="EL192" s="1"/>
      <c r="EM192" s="1"/>
      <c r="EN192" s="1"/>
      <c r="EO192" s="1"/>
      <c r="EP192" s="1"/>
      <c r="EQ192" s="1"/>
      <c r="ER192" s="1"/>
      <c r="ES192" s="1"/>
      <c r="ET192" s="1"/>
      <c r="EU192" s="1"/>
      <c r="EV192" s="1"/>
      <c r="EW192" s="1"/>
      <c r="EX192" s="1"/>
      <c r="EY192" s="1"/>
      <c r="EZ192" s="1"/>
      <c r="FA192" s="1"/>
      <c r="FB192" s="1"/>
      <c r="FC192" s="1"/>
      <c r="FD192" s="1"/>
      <c r="FE192" s="1"/>
      <c r="FF192" s="1"/>
      <c r="FG192" s="1"/>
      <c r="FH192" s="1"/>
      <c r="FI192" s="1"/>
      <c r="FJ192" s="1"/>
      <c r="FK192" s="1"/>
      <c r="FL192" s="1"/>
      <c r="FM192" s="1"/>
      <c r="FN192" s="1"/>
      <c r="FO192" s="1"/>
      <c r="FP192" s="1"/>
      <c r="FQ192" s="1"/>
      <c r="FR192" s="1"/>
      <c r="FS192" s="1"/>
      <c r="FT192" s="1"/>
      <c r="FU192" s="1"/>
      <c r="FV192" s="1"/>
      <c r="FW192" s="1"/>
      <c r="FX192" s="1"/>
      <c r="FY192" s="1"/>
      <c r="FZ192" s="1"/>
      <c r="GA192" s="1"/>
      <c r="GB192" s="1"/>
      <c r="GC192" s="1"/>
      <c r="GD192" s="1"/>
      <c r="GE192" s="1"/>
      <c r="GF192" s="1"/>
      <c r="GG192" s="1"/>
      <c r="GH192" s="1"/>
      <c r="GI192" s="1"/>
      <c r="GJ192" s="1"/>
      <c r="GK192" s="1"/>
      <c r="GL192" s="1"/>
      <c r="GM192" s="1"/>
      <c r="GN192" s="1"/>
      <c r="GO192" s="1"/>
      <c r="GP192" s="1"/>
      <c r="GQ192" s="1"/>
      <c r="GR192" s="1"/>
      <c r="GS192" s="1"/>
      <c r="GT192" s="1"/>
      <c r="GU192" s="1"/>
      <c r="GV192" s="1"/>
      <c r="GW192" s="1"/>
      <c r="GX192" s="1"/>
      <c r="GY192" s="1"/>
      <c r="GZ192" s="1"/>
      <c r="HA192" s="1"/>
      <c r="HB192" s="1"/>
      <c r="HC192" s="1"/>
      <c r="HD192" s="1"/>
      <c r="HE192" s="1"/>
      <c r="HF192" s="1"/>
      <c r="HG192" s="1"/>
      <c r="HH192" s="1"/>
      <c r="HI192" s="1"/>
      <c r="HJ192" s="1"/>
      <c r="HK192" s="1"/>
      <c r="HL192" s="1"/>
      <c r="HM192" s="1"/>
      <c r="HN192" s="1"/>
      <c r="HO192" s="1"/>
      <c r="HP192" s="1"/>
      <c r="HQ192" s="1"/>
      <c r="HR192" s="1"/>
      <c r="HS192" s="1"/>
      <c r="HT192" s="1"/>
      <c r="HU192" s="1"/>
      <c r="HV192" s="1"/>
      <c r="HW192" s="1"/>
      <c r="HX192" s="1"/>
      <c r="HY192" s="1"/>
      <c r="HZ192" s="1"/>
      <c r="IA192" s="1"/>
      <c r="IB192" s="1"/>
      <c r="IC192" s="1"/>
      <c r="ID192" s="1"/>
      <c r="IE192" s="1"/>
      <c r="IF192" s="1"/>
      <c r="IG192" s="1"/>
      <c r="IH192" s="1"/>
      <c r="II192" s="1"/>
      <c r="IJ192" s="1"/>
      <c r="IK192" s="1"/>
      <c r="IL192" s="1"/>
      <c r="IM192" s="1"/>
      <c r="IN192" s="1"/>
      <c r="IO192" s="1"/>
      <c r="IP192" s="1"/>
      <c r="IQ192" s="1"/>
      <c r="IR192" s="1"/>
      <c r="IS192" s="1"/>
      <c r="IT192" s="1"/>
      <c r="IU192" s="1"/>
      <c r="IV192" s="1"/>
      <c r="IW192" s="1"/>
      <c r="IX192" s="1"/>
      <c r="IY192" s="1"/>
      <c r="IZ192" s="1"/>
      <c r="JA192" s="1"/>
      <c r="JB192" s="1"/>
      <c r="JC192" s="1"/>
      <c r="JD192" s="1"/>
    </row>
    <row r="193" spans="1:264" s="347" customFormat="1" x14ac:dyDescent="0.2">
      <c r="A193" s="424" t="str">
        <f>+A187</f>
        <v>Gross Loans &amp; Acceptances</v>
      </c>
      <c r="B193" s="348"/>
      <c r="BH193" s="398"/>
      <c r="BI193" s="428">
        <f>+BI187/BH187-1</f>
        <v>3.5696338052787935E-2</v>
      </c>
      <c r="BJ193" s="397"/>
      <c r="BK193" s="348"/>
      <c r="BL193" s="428">
        <f>+BL187/BI187-1</f>
        <v>4.035364376491013E-2</v>
      </c>
      <c r="BM193" s="428">
        <f>+BM187/BL187-1</f>
        <v>2.763212369566137E-2</v>
      </c>
      <c r="BN193" s="397"/>
      <c r="BO193" s="348"/>
      <c r="BP193" s="428">
        <f>+BP187/BM187-1</f>
        <v>3.2182422421632273E-2</v>
      </c>
      <c r="BQ193" s="428">
        <f>+BQ187/BP187-1</f>
        <v>2.9431350745103613E-2</v>
      </c>
      <c r="BR193" s="397"/>
      <c r="BT193" s="428">
        <f>+BT187/BQ187-1</f>
        <v>4.5740143491206586E-2</v>
      </c>
      <c r="BU193" s="428">
        <f>+BU187/BT187-1</f>
        <v>3.8479980110340151E-2</v>
      </c>
      <c r="BV193" s="397"/>
      <c r="BX193" s="428">
        <f>+BX187/BU187-1</f>
        <v>2.4966867598648967E-2</v>
      </c>
      <c r="BY193" s="428">
        <f>+BY187/BX187-1</f>
        <v>2.4681265206812686E-2</v>
      </c>
      <c r="BZ193" s="397"/>
      <c r="CB193" s="428">
        <f>+CB187/BY187-1</f>
        <v>5.8561577851892199E-3</v>
      </c>
      <c r="CC193" s="428">
        <f>+CC187/CB187-1</f>
        <v>9.5640467383768524E-3</v>
      </c>
      <c r="CD193" s="397"/>
      <c r="CF193" s="428">
        <f>+CF187/CC187-1</f>
        <v>1.4771354662162839E-2</v>
      </c>
      <c r="CG193" s="428">
        <f>+CG187/CF187-1</f>
        <v>2.040915752314465E-3</v>
      </c>
      <c r="CH193" s="397"/>
      <c r="CJ193" s="428">
        <f>+CJ187/CG187-1</f>
        <v>1.3626574053268392E-2</v>
      </c>
      <c r="CK193" s="428">
        <f>+CK187/CJ187-1</f>
        <v>1.1310853363374562E-2</v>
      </c>
      <c r="CL193" s="397"/>
      <c r="CN193" s="428">
        <f>+CN187/CK187-1</f>
        <v>1.8414117019694753E-2</v>
      </c>
      <c r="CO193" s="428">
        <f>+CO187/CN187-1</f>
        <v>2.9948154311096875E-2</v>
      </c>
      <c r="CP193" s="397"/>
      <c r="CR193" s="428">
        <f>+CR187/CO187-1</f>
        <v>3.9404056871481963E-2</v>
      </c>
      <c r="CS193" s="428">
        <f>+CS187/CR187-1</f>
        <v>4.0509859390082781E-2</v>
      </c>
      <c r="CT193" s="397"/>
      <c r="CV193" s="428">
        <f>+CV187/CS187-1</f>
        <v>3.1495102055114188E-2</v>
      </c>
      <c r="CW193" s="428">
        <f>+CW187/CV187-1</f>
        <v>2.2365487738748024E-2</v>
      </c>
      <c r="CX193" s="397"/>
      <c r="CZ193" s="428">
        <f>+CZ187/CW187-1</f>
        <v>-4.761848634504573E-3</v>
      </c>
      <c r="DA193" s="428">
        <f>+DA187/CZ187-1</f>
        <v>2.2761456362839549E-2</v>
      </c>
      <c r="DB193" s="397"/>
      <c r="DD193" s="428">
        <f>+DD187/DA187-1</f>
        <v>2.8881580886532809E-2</v>
      </c>
      <c r="DE193" s="428">
        <f>+DE187/DD187-1</f>
        <v>3.9389840635819739E-2</v>
      </c>
      <c r="DF193" s="397"/>
      <c r="DH193" s="428">
        <f>+DH187/DE187-1</f>
        <v>3.2587414101820755E-2</v>
      </c>
      <c r="DI193" s="428">
        <f>+DI187/DH187-1</f>
        <v>3.4867305488334166E-2</v>
      </c>
      <c r="DJ193" s="397"/>
      <c r="DL193" s="428">
        <f>+DL187/DI187-1</f>
        <v>2.9334289976383765E-2</v>
      </c>
      <c r="DM193" s="428">
        <f>+DM187/DL187-1</f>
        <v>3.1110047854467693E-2</v>
      </c>
      <c r="DN193" s="397"/>
      <c r="DP193" s="428">
        <f>+DP187/DM187-1</f>
        <v>2.339091245611491E-2</v>
      </c>
      <c r="DQ193" s="428">
        <f>+DQ187/DP187-1</f>
        <v>2.5120698943229769E-2</v>
      </c>
      <c r="DR193" s="397"/>
      <c r="DT193" s="1"/>
      <c r="DU193" s="1"/>
      <c r="DV193" s="1"/>
      <c r="DW193" s="1"/>
      <c r="DX193" s="1"/>
      <c r="DY193" s="1"/>
      <c r="DZ193" s="1"/>
      <c r="EA193" s="1"/>
      <c r="EB193" s="1"/>
      <c r="EC193" s="1"/>
      <c r="ED193" s="1"/>
      <c r="EE193" s="1"/>
      <c r="EF193" s="1"/>
      <c r="EG193" s="1"/>
      <c r="EH193" s="1"/>
      <c r="EI193" s="1"/>
      <c r="EJ193" s="1"/>
      <c r="EK193" s="1"/>
      <c r="EL193" s="1"/>
      <c r="EM193" s="1"/>
      <c r="EN193" s="1"/>
      <c r="EO193" s="1"/>
      <c r="EP193" s="1"/>
      <c r="EQ193" s="1"/>
      <c r="ER193" s="1"/>
      <c r="ES193" s="1"/>
      <c r="ET193" s="1"/>
      <c r="EU193" s="1"/>
      <c r="EV193" s="1"/>
      <c r="EW193" s="1"/>
      <c r="EX193" s="1"/>
      <c r="EY193" s="1"/>
      <c r="EZ193" s="1"/>
      <c r="FA193" s="1"/>
      <c r="FB193" s="1"/>
      <c r="FC193" s="1"/>
      <c r="FD193" s="1"/>
      <c r="FE193" s="1"/>
      <c r="FF193" s="1"/>
      <c r="FG193" s="1"/>
      <c r="FH193" s="1"/>
      <c r="FI193" s="1"/>
      <c r="FJ193" s="1"/>
      <c r="FK193" s="1"/>
      <c r="FL193" s="1"/>
      <c r="FM193" s="1"/>
      <c r="FN193" s="1"/>
      <c r="FO193" s="1"/>
      <c r="FP193" s="1"/>
      <c r="FQ193" s="1"/>
      <c r="FR193" s="1"/>
      <c r="FS193" s="1"/>
      <c r="FT193" s="1"/>
      <c r="FU193" s="1"/>
      <c r="FV193" s="1"/>
      <c r="FW193" s="1"/>
      <c r="FX193" s="1"/>
      <c r="FY193" s="1"/>
      <c r="FZ193" s="1"/>
      <c r="GA193" s="1"/>
      <c r="GB193" s="1"/>
      <c r="GC193" s="1"/>
      <c r="GD193" s="1"/>
      <c r="GE193" s="1"/>
      <c r="GF193" s="1"/>
      <c r="GG193" s="1"/>
      <c r="GH193" s="1"/>
      <c r="GI193" s="1"/>
      <c r="GJ193" s="1"/>
      <c r="GK193" s="1"/>
      <c r="GL193" s="1"/>
      <c r="GM193" s="1"/>
      <c r="GN193" s="1"/>
      <c r="GO193" s="1"/>
      <c r="GP193" s="1"/>
      <c r="GQ193" s="1"/>
      <c r="GR193" s="1"/>
      <c r="GS193" s="1"/>
      <c r="GT193" s="1"/>
      <c r="GU193" s="1"/>
      <c r="GV193" s="1"/>
      <c r="GW193" s="1"/>
      <c r="GX193" s="1"/>
      <c r="GY193" s="1"/>
      <c r="GZ193" s="1"/>
      <c r="HA193" s="1"/>
      <c r="HB193" s="1"/>
      <c r="HC193" s="1"/>
      <c r="HD193" s="1"/>
      <c r="HE193" s="1"/>
      <c r="HF193" s="1"/>
      <c r="HG193" s="1"/>
      <c r="HH193" s="1"/>
      <c r="HI193" s="1"/>
      <c r="HJ193" s="1"/>
      <c r="HK193" s="1"/>
      <c r="HL193" s="1"/>
      <c r="HM193" s="1"/>
      <c r="HN193" s="1"/>
      <c r="HO193" s="1"/>
      <c r="HP193" s="1"/>
      <c r="HQ193" s="1"/>
      <c r="HR193" s="1"/>
      <c r="HS193" s="1"/>
      <c r="HT193" s="1"/>
      <c r="HU193" s="1"/>
      <c r="HV193" s="1"/>
      <c r="HW193" s="1"/>
      <c r="HX193" s="1"/>
      <c r="HY193" s="1"/>
      <c r="HZ193" s="1"/>
      <c r="IA193" s="1"/>
      <c r="IB193" s="1"/>
      <c r="IC193" s="1"/>
      <c r="ID193" s="1"/>
      <c r="IE193" s="1"/>
      <c r="IF193" s="1"/>
      <c r="IG193" s="1"/>
      <c r="IH193" s="1"/>
      <c r="II193" s="1"/>
      <c r="IJ193" s="1"/>
      <c r="IK193" s="1"/>
      <c r="IL193" s="1"/>
      <c r="IM193" s="1"/>
      <c r="IN193" s="1"/>
      <c r="IO193" s="1"/>
      <c r="IP193" s="1"/>
      <c r="IQ193" s="1"/>
      <c r="IR193" s="1"/>
      <c r="IS193" s="1"/>
      <c r="IT193" s="1"/>
      <c r="IU193" s="1"/>
      <c r="IV193" s="1"/>
      <c r="IW193" s="1"/>
      <c r="IX193" s="1"/>
      <c r="IY193" s="1"/>
      <c r="IZ193" s="1"/>
      <c r="JA193" s="1"/>
      <c r="JB193" s="1"/>
      <c r="JC193" s="1"/>
      <c r="JD193" s="1"/>
    </row>
    <row r="194" spans="1:264" s="347" customFormat="1" x14ac:dyDescent="0.2">
      <c r="A194" s="424"/>
      <c r="B194" s="348"/>
      <c r="BH194" s="398"/>
      <c r="BI194" s="428"/>
      <c r="BJ194" s="397"/>
      <c r="BK194" s="348"/>
      <c r="BL194" s="348"/>
      <c r="BM194" s="348"/>
      <c r="BN194" s="348"/>
      <c r="BO194" s="348"/>
      <c r="BP194" s="348"/>
      <c r="BQ194" s="348"/>
      <c r="BR194" s="348"/>
      <c r="BT194" s="348"/>
      <c r="BU194" s="348"/>
      <c r="BV194" s="348"/>
      <c r="BX194" s="348"/>
      <c r="BY194" s="348"/>
      <c r="BZ194" s="348"/>
      <c r="CB194" s="348"/>
      <c r="CC194" s="348"/>
      <c r="CD194" s="348"/>
      <c r="CF194" s="348"/>
      <c r="CG194" s="348"/>
      <c r="CH194" s="348"/>
      <c r="CJ194" s="348"/>
      <c r="CK194" s="348"/>
      <c r="CL194" s="348"/>
      <c r="CN194" s="348"/>
      <c r="CO194" s="348"/>
      <c r="CP194" s="348"/>
      <c r="CR194" s="348"/>
      <c r="CS194" s="348"/>
      <c r="CT194" s="348"/>
      <c r="CV194" s="348"/>
      <c r="CW194" s="348"/>
      <c r="CX194" s="348"/>
      <c r="CZ194" s="348"/>
      <c r="DA194" s="348"/>
      <c r="DB194" s="348"/>
      <c r="DD194" s="348"/>
      <c r="DE194" s="348"/>
      <c r="DF194" s="348"/>
      <c r="DH194" s="348"/>
      <c r="DI194" s="348"/>
      <c r="DJ194" s="348"/>
      <c r="DL194" s="348"/>
      <c r="DM194" s="348"/>
      <c r="DN194" s="348"/>
      <c r="DP194" s="348"/>
      <c r="DQ194" s="348"/>
      <c r="DR194" s="348"/>
      <c r="DT194" s="1"/>
      <c r="DU194" s="1"/>
      <c r="DV194" s="1"/>
      <c r="DW194" s="1"/>
      <c r="DX194" s="1"/>
      <c r="DY194" s="1"/>
      <c r="DZ194" s="1"/>
      <c r="EA194" s="1"/>
      <c r="EB194" s="1"/>
      <c r="EC194" s="1"/>
      <c r="ED194" s="1"/>
      <c r="EE194" s="1"/>
      <c r="EF194" s="1"/>
      <c r="EG194" s="1"/>
      <c r="EH194" s="1"/>
      <c r="EI194" s="1"/>
      <c r="EJ194" s="1"/>
      <c r="EK194" s="1"/>
      <c r="EL194" s="1"/>
      <c r="EM194" s="1"/>
      <c r="EN194" s="1"/>
      <c r="EO194" s="1"/>
      <c r="EP194" s="1"/>
      <c r="EQ194" s="1"/>
      <c r="ER194" s="1"/>
      <c r="ES194" s="1"/>
      <c r="ET194" s="1"/>
      <c r="EU194" s="1"/>
      <c r="EV194" s="1"/>
      <c r="EW194" s="1"/>
      <c r="EX194" s="1"/>
      <c r="EY194" s="1"/>
      <c r="EZ194" s="1"/>
      <c r="FA194" s="1"/>
      <c r="FB194" s="1"/>
      <c r="FC194" s="1"/>
      <c r="FD194" s="1"/>
      <c r="FE194" s="1"/>
      <c r="FF194" s="1"/>
      <c r="FG194" s="1"/>
      <c r="FH194" s="1"/>
      <c r="FI194" s="1"/>
      <c r="FJ194" s="1"/>
      <c r="FK194" s="1"/>
      <c r="FL194" s="1"/>
      <c r="FM194" s="1"/>
      <c r="FN194" s="1"/>
      <c r="FO194" s="1"/>
      <c r="FP194" s="1"/>
      <c r="FQ194" s="1"/>
      <c r="FR194" s="1"/>
      <c r="FS194" s="1"/>
      <c r="FT194" s="1"/>
      <c r="FU194" s="1"/>
      <c r="FV194" s="1"/>
      <c r="FW194" s="1"/>
      <c r="FX194" s="1"/>
      <c r="FY194" s="1"/>
      <c r="FZ194" s="1"/>
      <c r="GA194" s="1"/>
      <c r="GB194" s="1"/>
      <c r="GC194" s="1"/>
      <c r="GD194" s="1"/>
      <c r="GE194" s="1"/>
      <c r="GF194" s="1"/>
      <c r="GG194" s="1"/>
      <c r="GH194" s="1"/>
      <c r="GI194" s="1"/>
      <c r="GJ194" s="1"/>
      <c r="GK194" s="1"/>
      <c r="GL194" s="1"/>
      <c r="GM194" s="1"/>
      <c r="GN194" s="1"/>
      <c r="GO194" s="1"/>
      <c r="GP194" s="1"/>
      <c r="GQ194" s="1"/>
      <c r="GR194" s="1"/>
      <c r="GS194" s="1"/>
      <c r="GT194" s="1"/>
      <c r="GU194" s="1"/>
      <c r="GV194" s="1"/>
      <c r="GW194" s="1"/>
      <c r="GX194" s="1"/>
      <c r="GY194" s="1"/>
      <c r="GZ194" s="1"/>
      <c r="HA194" s="1"/>
      <c r="HB194" s="1"/>
      <c r="HC194" s="1"/>
      <c r="HD194" s="1"/>
      <c r="HE194" s="1"/>
      <c r="HF194" s="1"/>
      <c r="HG194" s="1"/>
      <c r="HH194" s="1"/>
      <c r="HI194" s="1"/>
      <c r="HJ194" s="1"/>
      <c r="HK194" s="1"/>
      <c r="HL194" s="1"/>
      <c r="HM194" s="1"/>
      <c r="HN194" s="1"/>
      <c r="HO194" s="1"/>
      <c r="HP194" s="1"/>
      <c r="HQ194" s="1"/>
      <c r="HR194" s="1"/>
      <c r="HS194" s="1"/>
      <c r="HT194" s="1"/>
      <c r="HU194" s="1"/>
      <c r="HV194" s="1"/>
      <c r="HW194" s="1"/>
      <c r="HX194" s="1"/>
      <c r="HY194" s="1"/>
      <c r="HZ194" s="1"/>
      <c r="IA194" s="1"/>
      <c r="IB194" s="1"/>
      <c r="IC194" s="1"/>
      <c r="ID194" s="1"/>
      <c r="IE194" s="1"/>
      <c r="IF194" s="1"/>
      <c r="IG194" s="1"/>
      <c r="IH194" s="1"/>
      <c r="II194" s="1"/>
      <c r="IJ194" s="1"/>
      <c r="IK194" s="1"/>
      <c r="IL194" s="1"/>
      <c r="IM194" s="1"/>
      <c r="IN194" s="1"/>
      <c r="IO194" s="1"/>
      <c r="IP194" s="1"/>
      <c r="IQ194" s="1"/>
      <c r="IR194" s="1"/>
      <c r="IS194" s="1"/>
      <c r="IT194" s="1"/>
      <c r="IU194" s="1"/>
      <c r="IV194" s="1"/>
      <c r="IW194" s="1"/>
      <c r="IX194" s="1"/>
      <c r="IY194" s="1"/>
      <c r="IZ194" s="1"/>
      <c r="JA194" s="1"/>
      <c r="JB194" s="1"/>
      <c r="JC194" s="1"/>
      <c r="JD194" s="1"/>
    </row>
    <row r="195" spans="1:264" s="347" customFormat="1" x14ac:dyDescent="0.2">
      <c r="A195" s="424"/>
      <c r="B195" s="348"/>
      <c r="BH195" s="398"/>
      <c r="BI195" s="428"/>
      <c r="BJ195" s="397"/>
      <c r="BK195" s="348"/>
      <c r="BL195" s="348"/>
      <c r="BM195" s="348"/>
      <c r="BN195" s="348"/>
      <c r="BO195" s="348"/>
      <c r="BP195" s="348"/>
      <c r="BQ195" s="348"/>
      <c r="BR195" s="348"/>
      <c r="BT195" s="348"/>
      <c r="BU195" s="348"/>
      <c r="BV195" s="348"/>
      <c r="BX195" s="348"/>
      <c r="BY195" s="348"/>
      <c r="BZ195" s="348"/>
      <c r="CB195" s="348"/>
      <c r="CC195" s="348"/>
      <c r="CD195" s="348"/>
      <c r="CF195" s="348"/>
      <c r="CG195" s="348"/>
      <c r="CH195" s="348"/>
      <c r="CJ195" s="348"/>
      <c r="CK195" s="348"/>
      <c r="CL195" s="348"/>
      <c r="CN195" s="348"/>
      <c r="CO195" s="348"/>
      <c r="CP195" s="348"/>
      <c r="CR195" s="348"/>
      <c r="CS195" s="348"/>
      <c r="CT195" s="348"/>
      <c r="CV195" s="348"/>
      <c r="CW195" s="348"/>
      <c r="CX195" s="348"/>
      <c r="CZ195" s="348"/>
      <c r="DA195" s="348"/>
      <c r="DB195" s="348"/>
      <c r="DD195" s="348"/>
      <c r="DE195" s="348"/>
      <c r="DF195" s="348"/>
      <c r="DH195" s="348"/>
      <c r="DI195" s="348"/>
      <c r="DJ195" s="348"/>
      <c r="DL195" s="348"/>
      <c r="DM195" s="348"/>
      <c r="DN195" s="348"/>
      <c r="DP195" s="348"/>
      <c r="DQ195" s="348"/>
      <c r="DR195" s="348"/>
      <c r="DT195" s="1"/>
      <c r="DU195" s="1"/>
      <c r="DV195" s="1"/>
      <c r="DW195" s="1"/>
      <c r="DX195" s="1"/>
      <c r="DY195" s="1"/>
      <c r="DZ195" s="1"/>
      <c r="EA195" s="1"/>
      <c r="EB195" s="1"/>
      <c r="EC195" s="1"/>
      <c r="ED195" s="1"/>
      <c r="EE195" s="1"/>
      <c r="EF195" s="1"/>
      <c r="EG195" s="1"/>
      <c r="EH195" s="1"/>
      <c r="EI195" s="1"/>
      <c r="EJ195" s="1"/>
      <c r="EK195" s="1"/>
      <c r="EL195" s="1"/>
      <c r="EM195" s="1"/>
      <c r="EN195" s="1"/>
      <c r="EO195" s="1"/>
      <c r="EP195" s="1"/>
      <c r="EQ195" s="1"/>
      <c r="ER195" s="1"/>
      <c r="ES195" s="1"/>
      <c r="ET195" s="1"/>
      <c r="EU195" s="1"/>
      <c r="EV195" s="1"/>
      <c r="EW195" s="1"/>
      <c r="EX195" s="1"/>
      <c r="EY195" s="1"/>
      <c r="EZ195" s="1"/>
      <c r="FA195" s="1"/>
      <c r="FB195" s="1"/>
      <c r="FC195" s="1"/>
      <c r="FD195" s="1"/>
      <c r="FE195" s="1"/>
      <c r="FF195" s="1"/>
      <c r="FG195" s="1"/>
      <c r="FH195" s="1"/>
      <c r="FI195" s="1"/>
      <c r="FJ195" s="1"/>
      <c r="FK195" s="1"/>
      <c r="FL195" s="1"/>
      <c r="FM195" s="1"/>
      <c r="FN195" s="1"/>
      <c r="FO195" s="1"/>
      <c r="FP195" s="1"/>
      <c r="FQ195" s="1"/>
      <c r="FR195" s="1"/>
      <c r="FS195" s="1"/>
      <c r="FT195" s="1"/>
      <c r="FU195" s="1"/>
      <c r="FV195" s="1"/>
      <c r="FW195" s="1"/>
      <c r="FX195" s="1"/>
      <c r="FY195" s="1"/>
      <c r="FZ195" s="1"/>
      <c r="GA195" s="1"/>
      <c r="GB195" s="1"/>
      <c r="GC195" s="1"/>
      <c r="GD195" s="1"/>
      <c r="GE195" s="1"/>
      <c r="GF195" s="1"/>
      <c r="GG195" s="1"/>
      <c r="GH195" s="1"/>
      <c r="GI195" s="1"/>
      <c r="GJ195" s="1"/>
      <c r="GK195" s="1"/>
      <c r="GL195" s="1"/>
      <c r="GM195" s="1"/>
      <c r="GN195" s="1"/>
      <c r="GO195" s="1"/>
      <c r="GP195" s="1"/>
      <c r="GQ195" s="1"/>
      <c r="GR195" s="1"/>
      <c r="GS195" s="1"/>
      <c r="GT195" s="1"/>
      <c r="GU195" s="1"/>
      <c r="GV195" s="1"/>
      <c r="GW195" s="1"/>
      <c r="GX195" s="1"/>
      <c r="GY195" s="1"/>
      <c r="GZ195" s="1"/>
      <c r="HA195" s="1"/>
      <c r="HB195" s="1"/>
      <c r="HC195" s="1"/>
      <c r="HD195" s="1"/>
      <c r="HE195" s="1"/>
      <c r="HF195" s="1"/>
      <c r="HG195" s="1"/>
      <c r="HH195" s="1"/>
      <c r="HI195" s="1"/>
      <c r="HJ195" s="1"/>
      <c r="HK195" s="1"/>
      <c r="HL195" s="1"/>
      <c r="HM195" s="1"/>
      <c r="HN195" s="1"/>
      <c r="HO195" s="1"/>
      <c r="HP195" s="1"/>
      <c r="HQ195" s="1"/>
      <c r="HR195" s="1"/>
      <c r="HS195" s="1"/>
      <c r="HT195" s="1"/>
      <c r="HU195" s="1"/>
      <c r="HV195" s="1"/>
      <c r="HW195" s="1"/>
      <c r="HX195" s="1"/>
      <c r="HY195" s="1"/>
      <c r="HZ195" s="1"/>
      <c r="IA195" s="1"/>
      <c r="IB195" s="1"/>
      <c r="IC195" s="1"/>
      <c r="ID195" s="1"/>
      <c r="IE195" s="1"/>
      <c r="IF195" s="1"/>
      <c r="IG195" s="1"/>
      <c r="IH195" s="1"/>
      <c r="II195" s="1"/>
      <c r="IJ195" s="1"/>
      <c r="IK195" s="1"/>
      <c r="IL195" s="1"/>
      <c r="IM195" s="1"/>
      <c r="IN195" s="1"/>
      <c r="IO195" s="1"/>
      <c r="IP195" s="1"/>
      <c r="IQ195" s="1"/>
      <c r="IR195" s="1"/>
      <c r="IS195" s="1"/>
      <c r="IT195" s="1"/>
      <c r="IU195" s="1"/>
      <c r="IV195" s="1"/>
      <c r="IW195" s="1"/>
      <c r="IX195" s="1"/>
      <c r="IY195" s="1"/>
      <c r="IZ195" s="1"/>
      <c r="JA195" s="1"/>
      <c r="JB195" s="1"/>
      <c r="JC195" s="1"/>
      <c r="JD195" s="1"/>
    </row>
    <row r="196" spans="1:264" s="460" customFormat="1" x14ac:dyDescent="0.2">
      <c r="A196" s="458" t="s">
        <v>289</v>
      </c>
      <c r="B196" s="459"/>
      <c r="C196" s="458"/>
      <c r="D196" s="458"/>
      <c r="E196" s="458"/>
      <c r="F196" s="458"/>
      <c r="G196" s="458"/>
      <c r="H196" s="458"/>
      <c r="I196" s="458"/>
      <c r="J196" s="458"/>
      <c r="K196" s="458"/>
      <c r="L196" s="458"/>
      <c r="M196" s="458"/>
      <c r="N196" s="458"/>
      <c r="O196" s="458"/>
      <c r="P196" s="458"/>
      <c r="Q196" s="458"/>
      <c r="R196" s="458"/>
      <c r="S196" s="458"/>
      <c r="T196" s="458"/>
      <c r="U196" s="458"/>
      <c r="V196" s="458"/>
      <c r="W196" s="458"/>
      <c r="X196" s="458"/>
      <c r="Y196" s="458"/>
      <c r="Z196" s="458"/>
      <c r="AA196" s="458"/>
      <c r="AB196" s="458"/>
      <c r="AC196" s="458"/>
      <c r="AD196" s="458"/>
      <c r="AE196" s="458"/>
      <c r="AF196" s="458"/>
      <c r="AG196" s="458"/>
      <c r="AH196" s="458"/>
      <c r="AI196" s="458"/>
      <c r="AJ196" s="458"/>
      <c r="AK196" s="458"/>
      <c r="AL196" s="458"/>
      <c r="AM196" s="458"/>
      <c r="AN196" s="458"/>
      <c r="AO196" s="458"/>
      <c r="AP196" s="458"/>
      <c r="AQ196" s="458"/>
      <c r="AR196" s="458"/>
      <c r="AS196" s="458"/>
      <c r="AT196" s="458"/>
      <c r="AU196" s="458"/>
      <c r="AV196" s="458"/>
      <c r="AW196" s="458"/>
      <c r="AX196" s="458"/>
      <c r="AY196" s="458"/>
      <c r="AZ196" s="458"/>
      <c r="BA196" s="458"/>
      <c r="BB196" s="458"/>
      <c r="BC196" s="458"/>
      <c r="BD196" s="458"/>
      <c r="BE196" s="458"/>
      <c r="BF196" s="458"/>
      <c r="BG196" s="458"/>
      <c r="BH196" s="459"/>
      <c r="BI196" s="459"/>
      <c r="BJ196" s="459"/>
      <c r="BK196" s="459"/>
      <c r="BL196" s="459"/>
      <c r="BM196" s="459"/>
      <c r="BN196" s="459"/>
      <c r="BO196" s="459"/>
      <c r="BP196" s="459"/>
      <c r="BQ196" s="459"/>
      <c r="BR196" s="459"/>
      <c r="BS196" s="458"/>
      <c r="BT196" s="459"/>
      <c r="BU196" s="459"/>
      <c r="BV196" s="459"/>
      <c r="BW196" s="458"/>
      <c r="BX196" s="459"/>
      <c r="BY196" s="459"/>
      <c r="BZ196" s="459"/>
      <c r="CA196" s="458"/>
      <c r="CB196" s="459"/>
      <c r="CC196" s="459"/>
      <c r="CD196" s="459"/>
      <c r="CE196" s="458"/>
      <c r="CF196" s="459"/>
      <c r="CG196" s="459"/>
      <c r="CH196" s="459"/>
      <c r="CI196" s="458"/>
      <c r="CJ196" s="459"/>
      <c r="CK196" s="459"/>
      <c r="CL196" s="459"/>
      <c r="CM196" s="458"/>
      <c r="CN196" s="459"/>
      <c r="CO196" s="459"/>
      <c r="CP196" s="459"/>
      <c r="CQ196" s="458"/>
      <c r="CR196" s="459"/>
      <c r="CS196" s="459"/>
      <c r="CT196" s="459"/>
      <c r="CU196" s="458"/>
      <c r="CV196" s="459"/>
      <c r="CW196" s="459"/>
      <c r="CX196" s="459"/>
      <c r="CY196" s="458"/>
      <c r="CZ196" s="459"/>
      <c r="DA196" s="459"/>
      <c r="DB196" s="459"/>
      <c r="DC196" s="458"/>
      <c r="DD196" s="459"/>
      <c r="DE196" s="459"/>
      <c r="DF196" s="459"/>
      <c r="DG196" s="458"/>
      <c r="DH196" s="459"/>
      <c r="DI196" s="459"/>
      <c r="DJ196" s="459"/>
      <c r="DK196" s="458"/>
      <c r="DL196" s="459"/>
      <c r="DM196" s="459"/>
      <c r="DN196" s="459"/>
      <c r="DO196" s="458"/>
      <c r="DP196" s="459"/>
      <c r="DQ196" s="459"/>
      <c r="DR196" s="459"/>
      <c r="DS196" s="458"/>
      <c r="DT196" s="1"/>
      <c r="DU196" s="1"/>
      <c r="DV196" s="1"/>
      <c r="DW196" s="1"/>
      <c r="DX196" s="1"/>
      <c r="DY196" s="1"/>
      <c r="DZ196" s="1"/>
      <c r="EA196" s="1"/>
      <c r="EB196" s="1"/>
      <c r="EC196" s="1"/>
      <c r="ED196" s="1"/>
      <c r="EE196" s="1"/>
      <c r="EF196" s="1"/>
      <c r="EG196" s="1"/>
      <c r="EH196" s="1"/>
      <c r="EI196" s="1"/>
      <c r="EJ196" s="1"/>
      <c r="EK196" s="1"/>
      <c r="EL196" s="1"/>
      <c r="EM196" s="1"/>
      <c r="EN196" s="1"/>
      <c r="EO196" s="1"/>
      <c r="EP196" s="1"/>
      <c r="EQ196" s="1"/>
      <c r="ER196" s="1"/>
      <c r="ES196" s="1"/>
      <c r="ET196" s="1"/>
      <c r="EU196" s="1"/>
      <c r="EV196" s="1"/>
      <c r="EW196" s="1"/>
      <c r="EX196" s="1"/>
      <c r="EY196" s="1"/>
      <c r="EZ196" s="1"/>
      <c r="FA196" s="1"/>
      <c r="FB196" s="1"/>
      <c r="FC196" s="1"/>
      <c r="FD196" s="1"/>
      <c r="FE196" s="1"/>
      <c r="FF196" s="1"/>
      <c r="FG196" s="1"/>
      <c r="FH196" s="1"/>
      <c r="FI196" s="1"/>
      <c r="FJ196" s="1"/>
      <c r="FK196" s="1"/>
      <c r="FL196" s="1"/>
      <c r="FM196" s="1"/>
      <c r="FN196" s="1"/>
      <c r="FO196" s="1"/>
      <c r="FP196" s="1"/>
      <c r="FQ196" s="1"/>
      <c r="FR196" s="1"/>
      <c r="FS196" s="1"/>
      <c r="FT196" s="1"/>
      <c r="FU196" s="1"/>
      <c r="FV196" s="1"/>
      <c r="FW196" s="1"/>
      <c r="FX196" s="1"/>
      <c r="FY196" s="1"/>
      <c r="FZ196" s="1"/>
      <c r="GA196" s="1"/>
      <c r="GB196" s="1"/>
      <c r="GC196" s="1"/>
      <c r="GD196" s="1"/>
      <c r="GE196" s="1"/>
      <c r="GF196" s="1"/>
      <c r="GG196" s="1"/>
      <c r="GH196" s="1"/>
      <c r="GI196" s="1"/>
      <c r="GJ196" s="1"/>
      <c r="GK196" s="1"/>
      <c r="GL196" s="1"/>
      <c r="GM196" s="1"/>
      <c r="GN196" s="1"/>
      <c r="GO196" s="1"/>
      <c r="GP196" s="1"/>
      <c r="GQ196" s="1"/>
      <c r="GR196" s="1"/>
      <c r="GS196" s="1"/>
      <c r="GT196" s="1"/>
      <c r="GU196" s="1"/>
      <c r="GV196" s="1"/>
      <c r="GW196" s="1"/>
      <c r="GX196" s="1"/>
      <c r="GY196" s="1"/>
      <c r="GZ196" s="1"/>
      <c r="HA196" s="1"/>
      <c r="HB196" s="1"/>
      <c r="HC196" s="1"/>
      <c r="HD196" s="1"/>
      <c r="HE196" s="1"/>
      <c r="HF196" s="1"/>
      <c r="HG196" s="1"/>
      <c r="HH196" s="1"/>
      <c r="HI196" s="1"/>
      <c r="HJ196" s="1"/>
      <c r="HK196" s="1"/>
      <c r="HL196" s="1"/>
      <c r="HM196" s="1"/>
      <c r="HN196" s="1"/>
      <c r="HO196" s="1"/>
      <c r="HP196" s="1"/>
      <c r="HQ196" s="1"/>
      <c r="HR196" s="1"/>
      <c r="HS196" s="1"/>
      <c r="HT196" s="1"/>
      <c r="HU196" s="1"/>
      <c r="HV196" s="1"/>
      <c r="HW196" s="1"/>
      <c r="HX196" s="1"/>
      <c r="HY196" s="1"/>
      <c r="HZ196" s="1"/>
      <c r="IA196" s="1"/>
      <c r="IB196" s="1"/>
      <c r="IC196" s="1"/>
      <c r="ID196" s="1"/>
      <c r="IE196" s="1"/>
      <c r="IF196" s="1"/>
      <c r="IG196" s="1"/>
      <c r="IH196" s="1"/>
      <c r="II196" s="1"/>
      <c r="IJ196" s="1"/>
      <c r="IK196" s="1"/>
      <c r="IL196" s="1"/>
      <c r="IM196" s="1"/>
      <c r="IN196" s="1"/>
      <c r="IO196" s="1"/>
      <c r="IP196" s="1"/>
      <c r="IQ196" s="1"/>
      <c r="IR196" s="1"/>
      <c r="IS196" s="1"/>
      <c r="IT196" s="1"/>
      <c r="IU196" s="1"/>
      <c r="IV196" s="1"/>
      <c r="IW196" s="1"/>
      <c r="IX196" s="1"/>
      <c r="IY196" s="1"/>
      <c r="IZ196" s="1"/>
      <c r="JA196" s="1"/>
      <c r="JB196" s="1"/>
      <c r="JC196" s="1"/>
      <c r="JD196" s="1"/>
    </row>
    <row r="197" spans="1:264" s="347" customFormat="1" x14ac:dyDescent="0.2">
      <c r="A197" s="424"/>
      <c r="B197" s="348"/>
      <c r="BH197" s="398"/>
      <c r="BI197" s="428"/>
      <c r="BJ197" s="397"/>
      <c r="BK197" s="348"/>
      <c r="BL197" s="348"/>
      <c r="BM197" s="348"/>
      <c r="BN197" s="348"/>
      <c r="BO197" s="348"/>
      <c r="BP197" s="484"/>
      <c r="BQ197" s="484"/>
      <c r="BR197" s="348"/>
      <c r="BT197" s="348"/>
      <c r="BU197" s="348"/>
      <c r="BV197" s="348"/>
      <c r="BX197" s="348"/>
      <c r="BY197" s="348"/>
      <c r="BZ197" s="348"/>
      <c r="CB197" s="348"/>
      <c r="CC197" s="348"/>
      <c r="CD197" s="348"/>
      <c r="CF197" s="348"/>
      <c r="CG197" s="348"/>
      <c r="CH197" s="348"/>
      <c r="CJ197" s="348"/>
      <c r="CK197" s="348"/>
      <c r="CL197" s="348"/>
      <c r="CN197" s="348"/>
      <c r="CO197" s="348"/>
      <c r="CP197" s="348"/>
      <c r="CR197" s="348"/>
      <c r="CS197" s="348"/>
      <c r="CT197" s="348"/>
      <c r="CV197" s="348"/>
      <c r="CW197" s="348"/>
      <c r="CX197" s="348"/>
      <c r="CZ197" s="348"/>
      <c r="DA197" s="348"/>
      <c r="DB197" s="348"/>
      <c r="DD197" s="348"/>
      <c r="DE197" s="348"/>
      <c r="DF197" s="348"/>
      <c r="DH197" s="348"/>
      <c r="DI197" s="348"/>
      <c r="DJ197" s="348"/>
      <c r="DL197" s="348"/>
      <c r="DM197" s="348"/>
      <c r="DN197" s="348"/>
      <c r="DP197" s="348"/>
      <c r="DQ197" s="348"/>
      <c r="DR197" s="348"/>
    </row>
    <row r="198" spans="1:264" s="347" customFormat="1" x14ac:dyDescent="0.2">
      <c r="A198" s="411" t="s">
        <v>290</v>
      </c>
      <c r="B198" s="348"/>
      <c r="BH198" s="398">
        <v>1547</v>
      </c>
      <c r="BI198" s="398">
        <v>1469</v>
      </c>
      <c r="BJ198" s="351">
        <f>+BH198+BI198</f>
        <v>3016</v>
      </c>
      <c r="BK198" s="348"/>
      <c r="BL198" s="398">
        <v>1316</v>
      </c>
      <c r="BM198" s="398">
        <v>1077</v>
      </c>
      <c r="BN198" s="351">
        <f>+BL198+BM198</f>
        <v>2393</v>
      </c>
      <c r="BO198" s="393">
        <f>+BN198/BJ198-1</f>
        <v>-0.20656498673740054</v>
      </c>
      <c r="BP198" s="398">
        <v>961</v>
      </c>
      <c r="BQ198" s="398">
        <v>1134</v>
      </c>
      <c r="BR198" s="351">
        <f>+BP198+BQ198</f>
        <v>2095</v>
      </c>
      <c r="BS198" s="393">
        <f>+BR198/BN198-1</f>
        <v>-0.12452987881320521</v>
      </c>
      <c r="BT198" s="398">
        <v>1068</v>
      </c>
      <c r="BU198" s="398">
        <v>1302</v>
      </c>
      <c r="BV198" s="351">
        <f>+BT198+BU198</f>
        <v>2370</v>
      </c>
      <c r="BW198" s="393">
        <f>+BV198/BR198-1</f>
        <v>0.13126491646778038</v>
      </c>
      <c r="BX198" s="398">
        <v>1194</v>
      </c>
      <c r="BY198" s="398">
        <v>970</v>
      </c>
      <c r="BZ198" s="351">
        <f>+BX198+BY198</f>
        <v>2164</v>
      </c>
      <c r="CA198" s="393">
        <f>+BZ198/BV198-1</f>
        <v>-8.6919831223628674E-2</v>
      </c>
      <c r="CB198" s="398">
        <v>1254</v>
      </c>
      <c r="CC198" s="398">
        <v>882</v>
      </c>
      <c r="CD198" s="351">
        <f>+CB198+CC198</f>
        <v>2136</v>
      </c>
      <c r="CE198" s="393">
        <f>+CD198/BZ198-1</f>
        <v>-1.2939001848428888E-2</v>
      </c>
      <c r="CF198" s="398">
        <v>1186</v>
      </c>
      <c r="CG198" s="398">
        <v>1103</v>
      </c>
      <c r="CH198" s="351">
        <f>+CF198+CG198</f>
        <v>2289</v>
      </c>
      <c r="CI198" s="393">
        <f>+CH198/CD198-1</f>
        <v>7.1629213483145993E-2</v>
      </c>
      <c r="CJ198" s="398">
        <v>1332</v>
      </c>
      <c r="CK198" s="398">
        <v>1299</v>
      </c>
      <c r="CL198" s="351">
        <f>+CJ198+CK198</f>
        <v>2631</v>
      </c>
      <c r="CM198" s="393">
        <f>+CL198/CH198-1</f>
        <v>0.14941022280471827</v>
      </c>
      <c r="CN198" s="398">
        <v>799</v>
      </c>
      <c r="CO198" s="398">
        <v>1361</v>
      </c>
      <c r="CP198" s="351">
        <f>+CN198+CO198</f>
        <v>2160</v>
      </c>
      <c r="CQ198" s="393">
        <f>+CP198/CL198-1</f>
        <v>-0.17901938426453823</v>
      </c>
      <c r="CR198" s="398">
        <v>1285</v>
      </c>
      <c r="CS198" s="398">
        <v>907</v>
      </c>
      <c r="CT198" s="351">
        <f>+CR198+CS198</f>
        <v>2192</v>
      </c>
      <c r="CU198" s="393">
        <f>+CT198/CP198-1</f>
        <v>1.4814814814814836E-2</v>
      </c>
      <c r="CV198" s="398">
        <v>1060</v>
      </c>
      <c r="CW198" s="398">
        <v>1519</v>
      </c>
      <c r="CX198" s="351">
        <f>+CV198+CW198</f>
        <v>2579</v>
      </c>
      <c r="CY198" s="393">
        <f>+CX198/CT198-1</f>
        <v>0.17655109489051091</v>
      </c>
      <c r="CZ198" s="398">
        <v>1154</v>
      </c>
      <c r="DA198" s="398">
        <v>1776</v>
      </c>
      <c r="DB198" s="351">
        <f>+CZ198+DA198</f>
        <v>2930</v>
      </c>
      <c r="DC198" s="393">
        <f>+DB198/CX198-1</f>
        <v>0.13609926328034128</v>
      </c>
      <c r="DD198" s="406"/>
      <c r="DE198" s="406"/>
      <c r="DF198" s="406"/>
      <c r="DG198" s="406"/>
      <c r="DH198" s="406"/>
      <c r="DI198" s="351"/>
      <c r="DJ198" s="351"/>
      <c r="DK198" s="394"/>
      <c r="DL198" s="351"/>
      <c r="DM198" s="351"/>
      <c r="DN198" s="351"/>
      <c r="DO198" s="394"/>
      <c r="DP198" s="351"/>
      <c r="DQ198" s="351"/>
      <c r="DR198" s="351"/>
      <c r="DS198" s="394"/>
    </row>
    <row r="199" spans="1:264" s="347" customFormat="1" x14ac:dyDescent="0.2">
      <c r="A199" s="429" t="s">
        <v>291</v>
      </c>
      <c r="B199" s="348"/>
      <c r="BH199" s="398"/>
      <c r="BI199" s="398"/>
      <c r="BJ199" s="351"/>
      <c r="BK199" s="348"/>
      <c r="BL199" s="398"/>
      <c r="BM199" s="398"/>
      <c r="BN199" s="351"/>
      <c r="BO199" s="393"/>
      <c r="BP199" s="398"/>
      <c r="BQ199" s="486"/>
      <c r="BR199" s="351"/>
      <c r="BS199" s="393"/>
      <c r="BT199" s="394">
        <f>BT198/BQ198-1</f>
        <v>-5.8201058201058253E-2</v>
      </c>
      <c r="BU199" s="394">
        <f>+BU198/BT198-1</f>
        <v>0.2191011235955056</v>
      </c>
      <c r="BV199" s="351"/>
      <c r="BW199" s="393"/>
      <c r="BX199" s="394">
        <f>BX198/BU198-1</f>
        <v>-8.2949308755760343E-2</v>
      </c>
      <c r="BY199" s="394">
        <f>+BY198/BX198-1</f>
        <v>-0.18760469011725289</v>
      </c>
      <c r="BZ199" s="351"/>
      <c r="CA199" s="393"/>
      <c r="CB199" s="394">
        <f>CB198/BY198-1</f>
        <v>0.29278350515463925</v>
      </c>
      <c r="CC199" s="394">
        <f>+CC198/CB198-1</f>
        <v>-0.29665071770334928</v>
      </c>
      <c r="CD199" s="351"/>
      <c r="CF199" s="394">
        <f>CF198/CC198-1</f>
        <v>0.34467120181405897</v>
      </c>
      <c r="CG199" s="394">
        <f>+CG198/CF198-1</f>
        <v>-6.9983136593591899E-2</v>
      </c>
      <c r="CH199" s="351"/>
      <c r="CJ199" s="394">
        <f>CJ198/CG198-1</f>
        <v>0.2076155938349955</v>
      </c>
      <c r="CK199" s="394">
        <f>+CK198/CJ198-1</f>
        <v>-2.4774774774774744E-2</v>
      </c>
      <c r="CL199" s="351"/>
      <c r="CN199" s="394">
        <f>CN198/CK198-1</f>
        <v>-0.38491147036181683</v>
      </c>
      <c r="CO199" s="394">
        <f>+CO198/CN198-1</f>
        <v>0.70337922403003761</v>
      </c>
      <c r="CP199" s="351"/>
      <c r="CR199" s="394">
        <f>CR198/CO198-1</f>
        <v>-5.5841293166789097E-2</v>
      </c>
      <c r="CS199" s="394">
        <f>+CS198/CR198-1</f>
        <v>-0.29416342412451357</v>
      </c>
      <c r="CT199" s="351"/>
      <c r="CV199" s="394">
        <f>CV198/CS198-1</f>
        <v>0.16868798235942672</v>
      </c>
      <c r="CW199" s="394">
        <f>+CW198/CV198-1</f>
        <v>0.43301886792452837</v>
      </c>
      <c r="CX199" s="351"/>
      <c r="CZ199" s="394">
        <f>CZ198/CW198-1</f>
        <v>-0.24028966425279785</v>
      </c>
      <c r="DA199" s="394">
        <f>+DA198/CZ198-1</f>
        <v>0.53899480069324079</v>
      </c>
      <c r="DB199" s="351"/>
      <c r="DD199" s="394"/>
      <c r="DE199" s="394"/>
      <c r="DF199" s="394"/>
      <c r="DG199" s="394"/>
      <c r="DH199" s="394"/>
      <c r="DI199" s="394"/>
      <c r="DJ199" s="348"/>
      <c r="DL199" s="394"/>
      <c r="DM199" s="394"/>
      <c r="DN199" s="348"/>
      <c r="DP199" s="394"/>
      <c r="DQ199" s="394"/>
      <c r="DR199" s="348"/>
    </row>
    <row r="200" spans="1:264" s="347" customFormat="1" x14ac:dyDescent="0.2">
      <c r="A200" s="411"/>
      <c r="B200" s="348"/>
      <c r="BH200" s="398"/>
      <c r="BI200" s="398"/>
      <c r="BJ200" s="351"/>
      <c r="BK200" s="348"/>
      <c r="BL200" s="398"/>
      <c r="BM200" s="398"/>
      <c r="BN200" s="351"/>
      <c r="BO200" s="393"/>
      <c r="BP200" s="398"/>
      <c r="BQ200" s="486"/>
      <c r="BR200" s="351"/>
      <c r="BS200" s="393"/>
      <c r="BT200" s="398"/>
      <c r="BU200" s="486"/>
      <c r="BV200" s="351"/>
      <c r="BW200" s="393"/>
      <c r="BX200" s="398"/>
      <c r="BY200" s="486"/>
      <c r="BZ200" s="351"/>
      <c r="CA200" s="393"/>
      <c r="CB200" s="486"/>
      <c r="CC200" s="486"/>
      <c r="CD200" s="351"/>
      <c r="CF200" s="486"/>
      <c r="CG200" s="486"/>
      <c r="CH200" s="351"/>
      <c r="CJ200" s="486"/>
      <c r="CK200" s="486"/>
      <c r="CL200" s="351"/>
      <c r="CN200" s="486"/>
      <c r="CO200" s="486"/>
      <c r="CP200" s="351"/>
      <c r="CR200" s="486"/>
      <c r="CS200" s="486"/>
      <c r="CT200" s="351"/>
      <c r="CV200" s="486"/>
      <c r="CW200" s="486"/>
      <c r="CX200" s="351"/>
      <c r="CZ200" s="486"/>
      <c r="DA200" s="486"/>
      <c r="DB200" s="351"/>
      <c r="DD200" s="486"/>
      <c r="DE200" s="486"/>
      <c r="DF200" s="486"/>
      <c r="DG200" s="486"/>
      <c r="DH200" s="486"/>
      <c r="DI200" s="348"/>
      <c r="DJ200" s="348"/>
      <c r="DL200" s="348"/>
      <c r="DM200" s="348"/>
      <c r="DN200" s="348"/>
      <c r="DP200" s="348"/>
      <c r="DQ200" s="348"/>
      <c r="DR200" s="348"/>
    </row>
    <row r="201" spans="1:264" s="347" customFormat="1" x14ac:dyDescent="0.2">
      <c r="A201" s="347" t="s">
        <v>292</v>
      </c>
      <c r="B201" s="348"/>
      <c r="BH201" s="398">
        <f>1315+1324</f>
        <v>2639</v>
      </c>
      <c r="BI201" s="398">
        <f>1111+1104</f>
        <v>2215</v>
      </c>
      <c r="BJ201" s="351">
        <f>BI201</f>
        <v>2215</v>
      </c>
      <c r="BK201" s="348"/>
      <c r="BL201" s="398">
        <f>1290+1322</f>
        <v>2612</v>
      </c>
      <c r="BM201" s="398">
        <f>1212+1141</f>
        <v>2353</v>
      </c>
      <c r="BN201" s="351">
        <f>BM201</f>
        <v>2353</v>
      </c>
      <c r="BO201" s="393">
        <f>+BN201/BJ201-1</f>
        <v>6.2302483069977432E-2</v>
      </c>
      <c r="BP201" s="398">
        <f>1126+1025</f>
        <v>2151</v>
      </c>
      <c r="BQ201" s="398">
        <f>1258+1065</f>
        <v>2323</v>
      </c>
      <c r="BR201" s="351">
        <f>BQ201</f>
        <v>2323</v>
      </c>
      <c r="BS201" s="393">
        <f>+BR201/BN201-1</f>
        <v>-1.2749681257968604E-2</v>
      </c>
      <c r="BT201" s="398">
        <f>1050+995</f>
        <v>2045</v>
      </c>
      <c r="BU201" s="398">
        <f>1265+1078</f>
        <v>2343</v>
      </c>
      <c r="BV201" s="351">
        <f>BU201</f>
        <v>2343</v>
      </c>
      <c r="BW201" s="393">
        <f>+BV201/BR201-1</f>
        <v>8.6095566078348007E-3</v>
      </c>
      <c r="BX201" s="398">
        <f>1171+1169</f>
        <v>2340</v>
      </c>
      <c r="BY201" s="398">
        <f>1351+1318</f>
        <v>2669</v>
      </c>
      <c r="BZ201" s="351">
        <f>BY201</f>
        <v>2669</v>
      </c>
      <c r="CA201" s="393">
        <f>+BZ201/BV201-1</f>
        <v>0.13913785744771667</v>
      </c>
      <c r="CB201" s="398">
        <f>1306+1354</f>
        <v>2660</v>
      </c>
      <c r="CC201" s="398">
        <f>1628+1588</f>
        <v>3216</v>
      </c>
      <c r="CD201" s="351">
        <f>CC201</f>
        <v>3216</v>
      </c>
      <c r="CE201" s="393">
        <f>+CD201/BZ201-1</f>
        <v>0.20494567253653062</v>
      </c>
      <c r="CF201" s="398">
        <f>1560+1655</f>
        <v>3215</v>
      </c>
      <c r="CG201" s="398">
        <f>1567+1770</f>
        <v>3337</v>
      </c>
      <c r="CH201" s="351">
        <f>CG201</f>
        <v>3337</v>
      </c>
      <c r="CI201" s="393">
        <f>+CH201/CD201-1</f>
        <v>3.7624378109452739E-2</v>
      </c>
      <c r="CJ201" s="398">
        <f>1443+1711</f>
        <v>3154</v>
      </c>
      <c r="CK201" s="398">
        <f>1559+1802</f>
        <v>3361</v>
      </c>
      <c r="CL201" s="351">
        <f>CK201</f>
        <v>3361</v>
      </c>
      <c r="CM201" s="393">
        <f>+CL201/CH201-1</f>
        <v>7.1920887024272684E-3</v>
      </c>
      <c r="CN201" s="398">
        <f>1366+1756</f>
        <v>3122</v>
      </c>
      <c r="CO201" s="398">
        <f>1572+2188</f>
        <v>3760</v>
      </c>
      <c r="CP201" s="351">
        <f>CO201</f>
        <v>3760</v>
      </c>
      <c r="CQ201" s="393">
        <f>+CP201/CL201-1</f>
        <v>0.11871466825349608</v>
      </c>
      <c r="CR201" s="398">
        <f>1205+2140</f>
        <v>3345</v>
      </c>
      <c r="CS201" s="398">
        <v>3153</v>
      </c>
      <c r="CT201" s="351">
        <f>CS201</f>
        <v>3153</v>
      </c>
      <c r="CU201" s="393">
        <f>+CT201/CP201-1</f>
        <v>-0.16143617021276591</v>
      </c>
      <c r="CV201" s="398">
        <v>2769</v>
      </c>
      <c r="CW201" s="398">
        <f>1399+1653</f>
        <v>3052</v>
      </c>
      <c r="CX201" s="351">
        <f>CW201</f>
        <v>3052</v>
      </c>
      <c r="CY201" s="393">
        <f>+CX201/CT201-1</f>
        <v>-3.2032984459245184E-2</v>
      </c>
      <c r="CZ201" s="398">
        <f>1496+1733</f>
        <v>3229</v>
      </c>
      <c r="DA201" s="398">
        <f>2034+1905</f>
        <v>3939</v>
      </c>
      <c r="DB201" s="351">
        <f>DA201</f>
        <v>3939</v>
      </c>
      <c r="DC201" s="393">
        <f>+DB201/CX201-1</f>
        <v>0.29062909567496731</v>
      </c>
      <c r="DD201" s="406"/>
      <c r="DE201" s="406"/>
      <c r="DF201" s="406"/>
      <c r="DG201" s="406"/>
      <c r="DH201" s="406"/>
      <c r="DI201" s="351"/>
      <c r="DJ201" s="351"/>
      <c r="DK201" s="394"/>
      <c r="DL201" s="351"/>
      <c r="DM201" s="351"/>
      <c r="DN201" s="351"/>
      <c r="DO201" s="394"/>
      <c r="DP201" s="351"/>
      <c r="DQ201" s="351"/>
      <c r="DR201" s="351"/>
      <c r="DS201" s="394"/>
    </row>
    <row r="202" spans="1:264" s="347" customFormat="1" x14ac:dyDescent="0.2">
      <c r="A202" s="347" t="s">
        <v>293</v>
      </c>
      <c r="B202" s="348"/>
      <c r="BE202" s="398">
        <v>4687</v>
      </c>
      <c r="BF202" s="351">
        <f>BE202</f>
        <v>4687</v>
      </c>
      <c r="BH202" s="398">
        <v>4480</v>
      </c>
      <c r="BI202" s="398">
        <v>4330</v>
      </c>
      <c r="BJ202" s="351">
        <f>BI202</f>
        <v>4330</v>
      </c>
      <c r="BK202" s="348"/>
      <c r="BL202" s="398">
        <v>3939</v>
      </c>
      <c r="BM202" s="398">
        <v>3367</v>
      </c>
      <c r="BN202" s="351">
        <f>BM202</f>
        <v>3367</v>
      </c>
      <c r="BO202" s="393">
        <f>+BN202/BJ202-1</f>
        <v>-0.22240184757505777</v>
      </c>
      <c r="BP202" s="398">
        <v>3360</v>
      </c>
      <c r="BQ202" s="398">
        <v>2855</v>
      </c>
      <c r="BR202" s="351">
        <f>BQ202</f>
        <v>2855</v>
      </c>
      <c r="BS202" s="393">
        <f>+BR202/BN202-1</f>
        <v>-0.15206415206415203</v>
      </c>
      <c r="BT202" s="398">
        <v>2788</v>
      </c>
      <c r="BU202" s="398">
        <v>3116</v>
      </c>
      <c r="BV202" s="351">
        <f>BU202</f>
        <v>3116</v>
      </c>
      <c r="BW202" s="393">
        <f>+BV202/BR202-1</f>
        <v>9.141856392294212E-2</v>
      </c>
      <c r="BX202" s="398">
        <v>3375</v>
      </c>
      <c r="BY202" s="398">
        <v>3187</v>
      </c>
      <c r="BZ202" s="351">
        <f>BY202</f>
        <v>3187</v>
      </c>
      <c r="CA202" s="393">
        <f>+BZ202/BV202-1</f>
        <v>2.2785622593068044E-2</v>
      </c>
      <c r="CB202" s="398">
        <v>3367</v>
      </c>
      <c r="CC202" s="398">
        <v>3179</v>
      </c>
      <c r="CD202" s="351">
        <f>CC202</f>
        <v>3179</v>
      </c>
      <c r="CE202" s="393">
        <f>+CD202/BZ202-1</f>
        <v>-2.5101976780671498E-3</v>
      </c>
      <c r="CF202" s="398">
        <v>3560</v>
      </c>
      <c r="CG202" s="398">
        <v>3622</v>
      </c>
      <c r="CH202" s="351">
        <f>CG202</f>
        <v>3622</v>
      </c>
      <c r="CI202" s="393">
        <f>+CH202/CD202-1</f>
        <v>0.13935199748348537</v>
      </c>
      <c r="CJ202" s="398">
        <v>3383</v>
      </c>
      <c r="CK202" s="398">
        <v>3548</v>
      </c>
      <c r="CL202" s="351">
        <f>CK202</f>
        <v>3548</v>
      </c>
      <c r="CM202" s="393">
        <f>+CL202/CH202-1</f>
        <v>-2.043070127001656E-2</v>
      </c>
      <c r="CN202" s="398">
        <v>3100</v>
      </c>
      <c r="CO202" s="398">
        <v>3409</v>
      </c>
      <c r="CP202" s="351">
        <f>CO202</f>
        <v>3409</v>
      </c>
      <c r="CQ202" s="393">
        <f>+CP202/CL202-1</f>
        <v>-3.917700112739575E-2</v>
      </c>
      <c r="CR202" s="398">
        <v>3482</v>
      </c>
      <c r="CS202" s="398">
        <v>2951</v>
      </c>
      <c r="CT202" s="351">
        <f>CS202</f>
        <v>2951</v>
      </c>
      <c r="CU202" s="393">
        <f>+CT202/CP202-1</f>
        <v>-0.13435024933998241</v>
      </c>
      <c r="CV202" s="398">
        <v>3036</v>
      </c>
      <c r="CW202" s="398">
        <v>3326</v>
      </c>
      <c r="CX202" s="351">
        <f>CW202</f>
        <v>3326</v>
      </c>
      <c r="CY202" s="393">
        <f>+CX202/CT202-1</f>
        <v>0.12707556760420191</v>
      </c>
      <c r="CZ202" s="398">
        <v>3237</v>
      </c>
      <c r="DA202" s="398">
        <v>3900</v>
      </c>
      <c r="DB202" s="351">
        <f>DA202</f>
        <v>3900</v>
      </c>
      <c r="DC202" s="393">
        <f>+DB202/CX202-1</f>
        <v>0.17257967528562834</v>
      </c>
      <c r="DD202" s="406"/>
      <c r="DE202" s="406"/>
      <c r="DF202" s="406"/>
      <c r="DG202" s="406"/>
      <c r="DH202" s="406"/>
      <c r="DI202" s="351"/>
      <c r="DJ202" s="351"/>
      <c r="DK202" s="394"/>
      <c r="DL202" s="351"/>
      <c r="DM202" s="351"/>
      <c r="DN202" s="351"/>
      <c r="DO202" s="394"/>
      <c r="DP202" s="351"/>
      <c r="DQ202" s="351"/>
      <c r="DR202" s="351"/>
      <c r="DS202" s="394"/>
    </row>
    <row r="203" spans="1:264" s="347" customFormat="1" x14ac:dyDescent="0.2">
      <c r="A203" s="411" t="s">
        <v>294</v>
      </c>
      <c r="B203" s="348"/>
      <c r="BH203" s="397">
        <f>SUM(BH201:BH202)</f>
        <v>7119</v>
      </c>
      <c r="BI203" s="397">
        <f>SUM(BI201:BI202)</f>
        <v>6545</v>
      </c>
      <c r="BJ203" s="397">
        <f>SUM(BJ201:BJ202)</f>
        <v>6545</v>
      </c>
      <c r="BK203" s="348"/>
      <c r="BL203" s="397">
        <f>SUM(BL201:BL202)</f>
        <v>6551</v>
      </c>
      <c r="BM203" s="397">
        <f>SUM(BM201:BM202)</f>
        <v>5720</v>
      </c>
      <c r="BN203" s="397">
        <f>SUM(BN201:BN202)</f>
        <v>5720</v>
      </c>
      <c r="BO203" s="393">
        <f>+BN203/BJ203-1</f>
        <v>-0.12605042016806722</v>
      </c>
      <c r="BP203" s="397">
        <f>SUM(BP201:BP202)</f>
        <v>5511</v>
      </c>
      <c r="BQ203" s="397">
        <f>SUM(BQ201:BQ202)</f>
        <v>5178</v>
      </c>
      <c r="BR203" s="397">
        <f>SUM(BR201:BR202)</f>
        <v>5178</v>
      </c>
      <c r="BS203" s="393">
        <f>+BR203/BN203-1</f>
        <v>-9.4755244755244772E-2</v>
      </c>
      <c r="BT203" s="397">
        <f>SUM(BT201:BT202)</f>
        <v>4833</v>
      </c>
      <c r="BU203" s="397">
        <f>SUM(BU201:BU202)</f>
        <v>5459</v>
      </c>
      <c r="BV203" s="397">
        <f>SUM(BV201:BV202)</f>
        <v>5459</v>
      </c>
      <c r="BW203" s="393">
        <f>+BV203/BR203-1</f>
        <v>5.4268057164928551E-2</v>
      </c>
      <c r="BX203" s="397">
        <f>SUM(BX201:BX202)</f>
        <v>5715</v>
      </c>
      <c r="BY203" s="397">
        <f>SUM(BY201:BY202)</f>
        <v>5856</v>
      </c>
      <c r="BZ203" s="397">
        <f>SUM(BZ201:BZ202)</f>
        <v>5856</v>
      </c>
      <c r="CA203" s="393">
        <f>+BZ203/BV203-1</f>
        <v>7.2723942113940288E-2</v>
      </c>
      <c r="CB203" s="397">
        <f>SUM(CB201:CB202)</f>
        <v>6027</v>
      </c>
      <c r="CC203" s="397">
        <f>SUM(CC201:CC202)</f>
        <v>6395</v>
      </c>
      <c r="CD203" s="397">
        <f>SUM(CD201:CD202)</f>
        <v>6395</v>
      </c>
      <c r="CE203" s="393">
        <f>+CD203/BZ203-1</f>
        <v>9.2042349726775941E-2</v>
      </c>
      <c r="CF203" s="397">
        <f>SUM(CF201:CF202)</f>
        <v>6775</v>
      </c>
      <c r="CG203" s="397">
        <f>SUM(CG201:CG202)</f>
        <v>6959</v>
      </c>
      <c r="CH203" s="397">
        <f>SUM(CH201:CH202)</f>
        <v>6959</v>
      </c>
      <c r="CI203" s="393">
        <f>+CH203/CD203-1</f>
        <v>8.819390148553552E-2</v>
      </c>
      <c r="CJ203" s="397">
        <f>SUM(CJ201:CJ202)</f>
        <v>6537</v>
      </c>
      <c r="CK203" s="397">
        <f>SUM(CK201:CK202)</f>
        <v>6909</v>
      </c>
      <c r="CL203" s="397">
        <f>SUM(CL201:CL202)</f>
        <v>6909</v>
      </c>
      <c r="CM203" s="393">
        <f>+CL203/CH203-1</f>
        <v>-7.1849403649949517E-3</v>
      </c>
      <c r="CN203" s="397">
        <f>SUM(CN201:CN202)</f>
        <v>6222</v>
      </c>
      <c r="CO203" s="397">
        <f>SUM(CO201:CO202)</f>
        <v>7169</v>
      </c>
      <c r="CP203" s="397">
        <f>SUM(CP201:CP202)</f>
        <v>7169</v>
      </c>
      <c r="CQ203" s="393">
        <f>+CP203/CL203-1</f>
        <v>3.7632074106238145E-2</v>
      </c>
      <c r="CR203" s="397">
        <f>SUM(CR201:CR202)</f>
        <v>6827</v>
      </c>
      <c r="CS203" s="397">
        <f>SUM(CS201:CS202)</f>
        <v>6104</v>
      </c>
      <c r="CT203" s="397">
        <f>SUM(CT201:CT202)</f>
        <v>6104</v>
      </c>
      <c r="CU203" s="393">
        <f>+CT203/CP203-1</f>
        <v>-0.14855628400055798</v>
      </c>
      <c r="CV203" s="397">
        <f>SUM(CV201:CV202)</f>
        <v>5805</v>
      </c>
      <c r="CW203" s="397">
        <f>SUM(CW201:CW202)</f>
        <v>6378</v>
      </c>
      <c r="CX203" s="397">
        <f>SUM(CX201:CX202)</f>
        <v>6378</v>
      </c>
      <c r="CY203" s="393">
        <f>+CX203/CT203-1</f>
        <v>4.4888597640891259E-2</v>
      </c>
      <c r="CZ203" s="397">
        <f>SUM(CZ201:CZ202)</f>
        <v>6466</v>
      </c>
      <c r="DA203" s="397">
        <f>SUM(DA201:DA202)</f>
        <v>7839</v>
      </c>
      <c r="DB203" s="397">
        <f>SUM(DB201:DB202)</f>
        <v>7839</v>
      </c>
      <c r="DC203" s="393">
        <f>+DB203/CX203-1</f>
        <v>0.22906867356538108</v>
      </c>
      <c r="DD203" s="397"/>
      <c r="DE203" s="397"/>
      <c r="DF203" s="397"/>
      <c r="DG203" s="397"/>
      <c r="DH203" s="397"/>
      <c r="DI203" s="397"/>
      <c r="DJ203" s="397"/>
      <c r="DK203" s="394"/>
      <c r="DL203" s="397"/>
      <c r="DM203" s="397"/>
      <c r="DN203" s="397"/>
      <c r="DO203" s="394"/>
      <c r="DP203" s="397"/>
      <c r="DQ203" s="397"/>
      <c r="DR203" s="397"/>
      <c r="DS203" s="394"/>
    </row>
    <row r="204" spans="1:264" s="347" customFormat="1" x14ac:dyDescent="0.2">
      <c r="A204" s="411"/>
      <c r="B204" s="348"/>
      <c r="BH204" s="397"/>
      <c r="BI204" s="397"/>
      <c r="BJ204" s="397"/>
      <c r="BK204" s="348"/>
      <c r="BL204" s="397"/>
      <c r="BM204" s="397"/>
      <c r="BN204" s="397"/>
      <c r="BO204" s="393"/>
      <c r="BP204" s="397"/>
      <c r="BQ204" s="397"/>
      <c r="BR204" s="397"/>
      <c r="BS204" s="393"/>
      <c r="BT204" s="397"/>
      <c r="BU204" s="397"/>
      <c r="BV204" s="397"/>
      <c r="BW204" s="393"/>
      <c r="BX204" s="397"/>
      <c r="BY204" s="397"/>
      <c r="BZ204" s="397"/>
      <c r="CA204" s="393"/>
      <c r="CB204" s="397"/>
      <c r="CC204" s="397"/>
      <c r="CD204" s="397"/>
      <c r="CE204" s="393"/>
      <c r="CF204" s="397"/>
      <c r="CG204" s="397"/>
      <c r="CH204" s="397"/>
      <c r="CI204" s="393"/>
      <c r="CJ204" s="397"/>
      <c r="CK204" s="397"/>
      <c r="CL204" s="397"/>
      <c r="CM204" s="393"/>
      <c r="CN204" s="397"/>
      <c r="CO204" s="397"/>
      <c r="CP204" s="397"/>
      <c r="CQ204" s="393"/>
      <c r="CR204" s="397"/>
      <c r="CS204" s="397"/>
      <c r="CT204" s="397"/>
      <c r="CU204" s="393"/>
      <c r="CV204" s="397"/>
      <c r="CW204" s="397"/>
      <c r="CX204" s="397"/>
      <c r="CY204" s="393"/>
      <c r="CZ204" s="397"/>
      <c r="DA204" s="397"/>
      <c r="DB204" s="397"/>
      <c r="DC204" s="393"/>
      <c r="DD204" s="397"/>
      <c r="DE204" s="397"/>
      <c r="DF204" s="397"/>
      <c r="DG204" s="397"/>
      <c r="DH204" s="397"/>
      <c r="DI204" s="397"/>
      <c r="DJ204" s="397"/>
      <c r="DK204" s="394"/>
      <c r="DL204" s="397"/>
      <c r="DM204" s="397"/>
      <c r="DN204" s="397"/>
      <c r="DO204" s="394"/>
      <c r="DP204" s="397"/>
      <c r="DQ204" s="397"/>
      <c r="DR204" s="397"/>
      <c r="DS204" s="394"/>
    </row>
    <row r="205" spans="1:264" s="347" customFormat="1" x14ac:dyDescent="0.2">
      <c r="A205" s="463" t="s">
        <v>295</v>
      </c>
      <c r="B205" s="466"/>
      <c r="C205" s="463"/>
      <c r="D205" s="463"/>
      <c r="E205" s="463"/>
      <c r="F205" s="463"/>
      <c r="G205" s="463"/>
      <c r="H205" s="463"/>
      <c r="I205" s="463"/>
      <c r="J205" s="463"/>
      <c r="K205" s="463"/>
      <c r="L205" s="463"/>
      <c r="M205" s="463"/>
      <c r="N205" s="463"/>
      <c r="O205" s="463"/>
      <c r="P205" s="463"/>
      <c r="Q205" s="463"/>
      <c r="R205" s="463"/>
      <c r="S205" s="463"/>
      <c r="T205" s="463"/>
      <c r="U205" s="463"/>
      <c r="V205" s="463"/>
      <c r="W205" s="463"/>
      <c r="X205" s="463"/>
      <c r="Y205" s="463"/>
      <c r="Z205" s="463"/>
      <c r="AA205" s="463"/>
      <c r="AB205" s="463"/>
      <c r="AC205" s="463"/>
      <c r="AD205" s="463"/>
      <c r="AE205" s="463"/>
      <c r="AF205" s="463"/>
      <c r="AG205" s="463"/>
      <c r="AH205" s="463"/>
      <c r="AI205" s="463"/>
      <c r="AJ205" s="463"/>
      <c r="AK205" s="463"/>
      <c r="AL205" s="463"/>
      <c r="AM205" s="463"/>
      <c r="AN205" s="463"/>
      <c r="AO205" s="463"/>
      <c r="AP205" s="463"/>
      <c r="AQ205" s="463"/>
      <c r="AR205" s="463"/>
      <c r="AS205" s="463"/>
      <c r="AT205" s="463"/>
      <c r="AU205" s="463"/>
      <c r="AV205" s="463"/>
      <c r="AW205" s="463"/>
      <c r="AX205" s="463"/>
      <c r="AY205" s="463"/>
      <c r="AZ205" s="463"/>
      <c r="BA205" s="463"/>
      <c r="BB205" s="463"/>
      <c r="BC205" s="463"/>
      <c r="BD205" s="463"/>
      <c r="BE205" s="463"/>
      <c r="BF205" s="463"/>
      <c r="BG205" s="463"/>
      <c r="BH205" s="487">
        <f>(BH198*(BH$4/BH$3))/BH187</f>
        <v>5.587559673995374E-3</v>
      </c>
      <c r="BI205" s="487">
        <f>(BI198*(BI$4/BI$3))/BI187</f>
        <v>5.2078739468098796E-3</v>
      </c>
      <c r="BJ205" s="487">
        <f>(BJ198*(BJ$4/BJ$3))/BJ187</f>
        <v>5.3021952424400646E-3</v>
      </c>
      <c r="BK205" s="466"/>
      <c r="BL205" s="487">
        <f>(BL198*(BL$4/BL$3))/BL187</f>
        <v>4.411378443261154E-3</v>
      </c>
      <c r="BM205" s="487">
        <f>(BM198*(BM$4/BM$3))/BM187</f>
        <v>3.5713770786846861E-3</v>
      </c>
      <c r="BN205" s="487">
        <f>(BN198*(BN$4/BN$3))/BN187</f>
        <v>3.9350333071874787E-3</v>
      </c>
      <c r="BO205" s="466"/>
      <c r="BP205" s="487">
        <f>(BP198*(BP$4/BP$3))/BP187</f>
        <v>3.0370202258715663E-3</v>
      </c>
      <c r="BQ205" s="487">
        <f>(BQ198*(BQ$4/BQ$3))/BQ187</f>
        <v>3.5389889690523534E-3</v>
      </c>
      <c r="BR205" s="487">
        <f>(BR198*(BR$4/BR$3))/BR187</f>
        <v>3.2421708152009063E-3</v>
      </c>
      <c r="BS205" s="463"/>
      <c r="BT205" s="487">
        <f>(BT198*(BT$4/BT$3))/BT187</f>
        <v>3.143855670251678E-3</v>
      </c>
      <c r="BU205" s="487">
        <f>(BU198*(BU$4/BU$3))/BU187</f>
        <v>3.7312181213681791E-3</v>
      </c>
      <c r="BV205" s="487">
        <f>(BV198*(BV$4/BV$3))/BV187</f>
        <v>3.3773673635158824E-3</v>
      </c>
      <c r="BW205" s="463"/>
      <c r="BX205" s="487">
        <f>(BX198*(BX$4/BX$3))/BX187</f>
        <v>3.2930588928684768E-3</v>
      </c>
      <c r="BY205" s="487">
        <f>(BY198*(BY$4/BY$3))/BY187</f>
        <v>2.6541004611470502E-3</v>
      </c>
      <c r="BZ205" s="487">
        <f>(BZ198*(BZ$4/BZ$3))/BZ187</f>
        <v>2.9362199831208056E-3</v>
      </c>
      <c r="CA205" s="463"/>
      <c r="CB205" s="487">
        <f>(CB198*(CB$4/CB$3))/CB187</f>
        <v>3.3555833634500809E-3</v>
      </c>
      <c r="CC205" s="487">
        <f>(CC198*(CC$4/CC$3))/CC187</f>
        <v>2.3765363071084045E-3</v>
      </c>
      <c r="CD205" s="487">
        <f>(CD198*(CD$4/CD$3))/CD187</f>
        <v>2.8540582142360851E-3</v>
      </c>
      <c r="CE205" s="463"/>
      <c r="CF205" s="487">
        <f>(CF198*(CF$4/CF$3))/CF187</f>
        <v>3.0977981066599176E-3</v>
      </c>
      <c r="CG205" s="487">
        <f>(CG198*(CG$4/CG$3))/CG187</f>
        <v>2.9227907643572465E-3</v>
      </c>
      <c r="CH205" s="487">
        <f>(CH198*(CH$4/CH$3))/CH187</f>
        <v>3.0078329805141306E-3</v>
      </c>
      <c r="CI205" s="463"/>
      <c r="CJ205" s="487">
        <f>(CJ198*(CJ$4/CJ$3))/CJ187</f>
        <v>3.4347681231378375E-3</v>
      </c>
      <c r="CK205" s="487">
        <f>(CK198*(CK$4/CK$3))/CK187</f>
        <v>3.3486065073999051E-3</v>
      </c>
      <c r="CL205" s="487">
        <f>(CL198*(CL$4/CL$3))/CL187</f>
        <v>3.3726099463151256E-3</v>
      </c>
      <c r="CM205" s="463"/>
      <c r="CN205" s="487">
        <f>(CN198*(CN$4/CN$3))/CN187</f>
        <v>1.9949989818243748E-3</v>
      </c>
      <c r="CO205" s="487">
        <f>(CO198*(CO$4/CO$3))/CO187</f>
        <v>3.3541146901493206E-3</v>
      </c>
      <c r="CP205" s="487">
        <f>(CP198*(CP$4/CP$3))/CP187</f>
        <v>2.6397284012778239E-3</v>
      </c>
      <c r="CQ205" s="463"/>
      <c r="CR205" s="487">
        <f>(CR198*(CR$4/CR$3))/CR187</f>
        <v>2.9970863483437314E-3</v>
      </c>
      <c r="CS205" s="487">
        <f>(CS198*(CS$4/CS$3))/CS187</f>
        <v>2.0667905315490823E-3</v>
      </c>
      <c r="CT205" s="487">
        <f>(CT198*(CT$4/CT$3))/CT187</f>
        <v>2.4769397138637433E-3</v>
      </c>
      <c r="CU205" s="463"/>
      <c r="CV205" s="487">
        <f>(CV198*(CV$4/CV$3))/CV187</f>
        <v>2.3035021568019939E-3</v>
      </c>
      <c r="CW205" s="487">
        <f>(CW198*(CW$4/CW$3))/CW187</f>
        <v>3.2822646807558853E-3</v>
      </c>
      <c r="CX205" s="487">
        <f>(CX198*(CX$4/CX$3))/CX187</f>
        <v>2.7634580621933437E-3</v>
      </c>
      <c r="CY205" s="463"/>
      <c r="CZ205" s="487">
        <f>(CZ198*(CZ$4/CZ$3))/CZ187</f>
        <v>2.4714031243725882E-3</v>
      </c>
      <c r="DA205" s="487">
        <f>(DA198*(DA$4/DA$3))/DA187</f>
        <v>3.7596968292122131E-3</v>
      </c>
      <c r="DB205" s="487">
        <f>(DB198*(DB$4/DB$3))/DB187</f>
        <v>3.0843793555015643E-3</v>
      </c>
      <c r="DC205" s="463"/>
      <c r="DD205" s="499"/>
      <c r="DE205" s="499"/>
      <c r="DF205" s="499"/>
      <c r="DG205" s="499"/>
      <c r="DH205" s="499"/>
      <c r="DI205" s="1357"/>
      <c r="DJ205" s="499"/>
      <c r="DL205" s="1357"/>
      <c r="DM205" s="1357"/>
      <c r="DN205" s="499"/>
      <c r="DP205" s="1357"/>
      <c r="DQ205" s="1357"/>
      <c r="DR205" s="499"/>
    </row>
    <row r="206" spans="1:264" s="347" customFormat="1" x14ac:dyDescent="0.2">
      <c r="A206" s="347" t="s">
        <v>296</v>
      </c>
      <c r="B206" s="348"/>
      <c r="BH206" s="489">
        <f>(BH198*(BH$4/BH$3))/(BH184+BH186)</f>
        <v>1.6138038756786689E-2</v>
      </c>
      <c r="BI206" s="489">
        <f>(BI198*(BI$4/BI$3))/(BI184+BI186)</f>
        <v>1.5115486023126437E-2</v>
      </c>
      <c r="BJ206" s="489">
        <f>(BJ198*(BJ$4/BJ$3))/(BJ184+BJ186)</f>
        <v>1.5389246916792955E-2</v>
      </c>
      <c r="BK206" s="348"/>
      <c r="BL206" s="489">
        <f>(BL198*(BL$4/BL$3))/(BL184+BL186)</f>
        <v>1.2749658020165025E-2</v>
      </c>
      <c r="BM206" s="489">
        <f>(BM198*(BM$4/BM$3))/(BM184+BM186)</f>
        <v>1.0419449193201379E-2</v>
      </c>
      <c r="BN206" s="489">
        <f>(BN198*(BN$4/BN$3))/(BN184+BN186)</f>
        <v>1.148041181719615E-2</v>
      </c>
      <c r="BO206" s="348"/>
      <c r="BP206" s="489">
        <f>(BP198*(BP$4/BP$3))/(BP184+BP186)</f>
        <v>8.8095803549057983E-3</v>
      </c>
      <c r="BQ206" s="489">
        <f>(BQ198*(BQ$4/BQ$3))/(BQ184+BQ186)</f>
        <v>1.0239948684228072E-2</v>
      </c>
      <c r="BR206" s="489">
        <f>(BR198*(BR$4/BR$3))/(BR184+BR186)</f>
        <v>9.3811150765042255E-3</v>
      </c>
      <c r="BT206" s="489">
        <f>(BT198*(BT$4/BT$3))/(BT184+BT186)</f>
        <v>8.9053594367174711E-3</v>
      </c>
      <c r="BU206" s="489">
        <f>(BU198*(BU$4/BU$3))/(BU184+BU186)</f>
        <v>1.0658431678068894E-2</v>
      </c>
      <c r="BV206" s="489">
        <f>(BV198*(BV$4/BV$3))/(BV184+BV186)</f>
        <v>9.6476373465333633E-3</v>
      </c>
      <c r="BX206" s="489">
        <f>(BX198*(BX$4/BX$3))/(BX184+BX186)</f>
        <v>9.6001613530251224E-3</v>
      </c>
      <c r="BY206" s="489">
        <f>(BY198*(BY$4/BY$3))/(BY184+BY186)</f>
        <v>7.7886374328228645E-3</v>
      </c>
      <c r="BZ206" s="489">
        <f>(BZ198*(BZ$4/BZ$3))/(BZ184+BZ186)</f>
        <v>8.6165362639112862E-3</v>
      </c>
      <c r="CB206" s="489">
        <f>(CB198*(CB$4/CB$3))/(CB184+CB186)</f>
        <v>1.0005045038113208E-2</v>
      </c>
      <c r="CC206" s="489">
        <f>(CC198*(CC$4/CC$3))/(CC184+CC186)</f>
        <v>7.2083859908098173E-3</v>
      </c>
      <c r="CD206" s="489">
        <f>(CD198*(CD$4/CD$3))/(CD184+CD186)</f>
        <v>8.6567805368338718E-3</v>
      </c>
      <c r="CF206" s="489">
        <f>(CF198*(CF$4/CF$3))/(CF184+CF186)</f>
        <v>9.5265714958748492E-3</v>
      </c>
      <c r="CG206" s="489">
        <f>(CG198*(CG$4/CG$3))/(CG184+CG186)</f>
        <v>9.342934536150144E-3</v>
      </c>
      <c r="CH206" s="489">
        <f>(CH198*(CH$4/CH$3))/(CH184+CH186)</f>
        <v>9.6147787844802594E-3</v>
      </c>
      <c r="CJ206" s="489">
        <f>(CJ198*(CJ$4/CJ$3))/(CJ184+CJ186)</f>
        <v>1.1212865972036558E-2</v>
      </c>
      <c r="CK206" s="489">
        <f>(CK198*(CK$4/CK$3))/(CK184+CK186)</f>
        <v>1.1011662726468736E-2</v>
      </c>
      <c r="CL206" s="489">
        <f>(CL198*(CL$4/CL$3))/(CL184+CL186)</f>
        <v>1.1090596388284689E-2</v>
      </c>
      <c r="CN206" s="489">
        <f>(CN198*(CN$4/CN$3))/(CN184+CN186)</f>
        <v>6.7401196065869596E-3</v>
      </c>
      <c r="CO206" s="489">
        <f>(CO198*(CO$4/CO$3))/(CO184+CO186)</f>
        <v>1.1507098281202985E-2</v>
      </c>
      <c r="CP206" s="489">
        <f>(CP198*(CP$4/CP$3))/(CP184+CP186)</f>
        <v>9.0562240576915008E-3</v>
      </c>
      <c r="CR206" s="489">
        <f>(CR198*(CR$4/CR$3))/(CR184+CR186)</f>
        <v>1.0421338243588398E-2</v>
      </c>
      <c r="CS206" s="489">
        <f>(CS198*(CS$4/CS$3))/(CS184+CS186)</f>
        <v>6.9552920453712233E-3</v>
      </c>
      <c r="CT206" s="489">
        <f>(CT198*(CT$4/CT$3))/(CT184+CT186)</f>
        <v>8.3355515838308553E-3</v>
      </c>
      <c r="CV206" s="489">
        <f>(CV198*(CV$4/CV$3))/(CV184+CV186)</f>
        <v>7.6879276049575994E-3</v>
      </c>
      <c r="CW206" s="489">
        <f>(CW198*(CW$4/CW$3))/(CW184+CW186)</f>
        <v>1.0899705001121258E-2</v>
      </c>
      <c r="CX206" s="489">
        <f>(CX198*(CX$4/CX$3))/(CX184+CX186)</f>
        <v>9.1768582337305588E-3</v>
      </c>
      <c r="CZ206" s="489">
        <f>(CZ198*(CZ$4/CZ$3))/(CZ184+CZ186)</f>
        <v>8.2467442499438853E-3</v>
      </c>
      <c r="DA206" s="489">
        <f>(DA198*(DA$4/DA$3))/(DA184+DA186)</f>
        <v>1.2520785436889725E-2</v>
      </c>
      <c r="DB206" s="489">
        <f>(DB198*(DB$4/DB$3))/(DB184+DB186)</f>
        <v>1.0271799528128255E-2</v>
      </c>
      <c r="DD206" s="499"/>
      <c r="DE206" s="499"/>
      <c r="DF206" s="499"/>
      <c r="DG206" s="499"/>
      <c r="DH206" s="499"/>
      <c r="DI206" s="499"/>
      <c r="DJ206" s="499"/>
      <c r="DL206" s="499"/>
      <c r="DM206" s="499"/>
      <c r="DN206" s="499"/>
      <c r="DP206" s="499"/>
      <c r="DQ206" s="499"/>
      <c r="DR206" s="499"/>
    </row>
    <row r="207" spans="1:264" s="347" customFormat="1" x14ac:dyDescent="0.2">
      <c r="A207" s="347" t="s">
        <v>297</v>
      </c>
      <c r="B207" s="348"/>
      <c r="BH207" s="489">
        <f>+BH201/BH187</f>
        <v>4.8050311717065782E-3</v>
      </c>
      <c r="BI207" s="489">
        <f>+BI201/BI187</f>
        <v>3.8940193839538274E-3</v>
      </c>
      <c r="BJ207" s="489">
        <f>+BJ201/BJ187</f>
        <v>3.8940193839538274E-3</v>
      </c>
      <c r="BK207" s="348"/>
      <c r="BL207" s="489">
        <f>+BL201/BL187</f>
        <v>4.4138397194879815E-3</v>
      </c>
      <c r="BM207" s="489">
        <f>+BM201/BM187</f>
        <v>3.8692575728425148E-3</v>
      </c>
      <c r="BN207" s="489">
        <f>+BN201/BN187</f>
        <v>3.8692575728425148E-3</v>
      </c>
      <c r="BO207" s="348"/>
      <c r="BP207" s="489">
        <f>+BP201/BP187</f>
        <v>3.4268071588566475E-3</v>
      </c>
      <c r="BQ207" s="489">
        <f>+BQ201/BQ187</f>
        <v>3.5950180447311244E-3</v>
      </c>
      <c r="BR207" s="489">
        <f>+BR201/BR187</f>
        <v>3.5950180447311244E-3</v>
      </c>
      <c r="BT207" s="489">
        <f>+BT201/BT187</f>
        <v>3.0263656382449743E-3</v>
      </c>
      <c r="BU207" s="489">
        <f>+BU201/BU187</f>
        <v>3.3388910264631694E-3</v>
      </c>
      <c r="BV207" s="489">
        <f>+BV201/BV187</f>
        <v>3.3388910264631694E-3</v>
      </c>
      <c r="BX207" s="489">
        <f>+BX201/BX187</f>
        <v>3.2533889468196039E-3</v>
      </c>
      <c r="BY207" s="489">
        <f>+BY201/BY187</f>
        <v>3.6214284357437292E-3</v>
      </c>
      <c r="BZ207" s="489">
        <f>+BZ201/BZ187</f>
        <v>3.6214284357437292E-3</v>
      </c>
      <c r="CB207" s="489">
        <f>+CB201/CB187</f>
        <v>3.5882037128465785E-3</v>
      </c>
      <c r="CC207" s="489">
        <f>+CC201/CC187</f>
        <v>4.2971213562655666E-3</v>
      </c>
      <c r="CD207" s="489">
        <f>+CD201/CD187</f>
        <v>4.2971213562655666E-3</v>
      </c>
      <c r="CF207" s="489">
        <f>+CF201/CF187</f>
        <v>4.2332542862522594E-3</v>
      </c>
      <c r="CG207" s="489">
        <f>+CG201/CG187</f>
        <v>4.3849448038338372E-3</v>
      </c>
      <c r="CH207" s="489">
        <f>+CH201/CH187</f>
        <v>4.3849448038338372E-3</v>
      </c>
      <c r="CJ207" s="489">
        <f>+CJ201/CJ187</f>
        <v>4.0887600582330697E-3</v>
      </c>
      <c r="CK207" s="489">
        <f>+CK201/CK187</f>
        <v>4.3083778143539102E-3</v>
      </c>
      <c r="CL207" s="489">
        <f>+CL201/CL187</f>
        <v>4.3083778143539102E-3</v>
      </c>
      <c r="CN207" s="489">
        <f>+CN201/CN187</f>
        <v>3.9296489622680699E-3</v>
      </c>
      <c r="CO207" s="489">
        <f>+CO201/CO187</f>
        <v>4.5950827725947307E-3</v>
      </c>
      <c r="CP207" s="489">
        <f>+CP201/CP187</f>
        <v>4.5950827725947307E-3</v>
      </c>
      <c r="CR207" s="489">
        <f>+CR201/CR187</f>
        <v>3.9329389812453484E-3</v>
      </c>
      <c r="CS207" s="489">
        <f>+CS201/CS187</f>
        <v>3.5628608201698827E-3</v>
      </c>
      <c r="CT207" s="489">
        <f>+CT201/CT187</f>
        <v>3.5628608201698827E-3</v>
      </c>
      <c r="CV207" s="489">
        <f>+CV201/CV187</f>
        <v>3.0334069136262304E-3</v>
      </c>
      <c r="CW207" s="489">
        <f>+CW201/CW187</f>
        <v>3.2702884861628865E-3</v>
      </c>
      <c r="CX207" s="489">
        <f>+CX201/CX187</f>
        <v>3.2702884861628865E-3</v>
      </c>
      <c r="CZ207" s="489">
        <f>+CZ201/CZ187</f>
        <v>3.4765026534037749E-3</v>
      </c>
      <c r="DA207" s="489">
        <f>+DA201/DA187</f>
        <v>4.1465427581299187E-3</v>
      </c>
      <c r="DB207" s="489">
        <f>+DB201/DB187</f>
        <v>4.1465427581299187E-3</v>
      </c>
      <c r="DD207" s="499"/>
      <c r="DE207" s="499"/>
      <c r="DF207" s="499"/>
      <c r="DG207" s="499"/>
      <c r="DH207" s="499"/>
      <c r="DI207" s="499"/>
      <c r="DJ207" s="499"/>
      <c r="DL207" s="499"/>
      <c r="DM207" s="499"/>
      <c r="DN207" s="499"/>
      <c r="DP207" s="499"/>
      <c r="DQ207" s="499"/>
      <c r="DR207" s="499"/>
    </row>
    <row r="208" spans="1:264" s="347" customFormat="1" x14ac:dyDescent="0.2">
      <c r="A208" s="347" t="s">
        <v>298</v>
      </c>
      <c r="B208" s="348"/>
      <c r="BH208" s="489">
        <f>+BH202/BH187</f>
        <v>8.1570820952048002E-3</v>
      </c>
      <c r="BI208" s="489">
        <f>+BI202/BI187</f>
        <v>7.6122365383837799E-3</v>
      </c>
      <c r="BJ208" s="489">
        <f>+BJ202/BJ187</f>
        <v>7.6122365383837799E-3</v>
      </c>
      <c r="BK208" s="348"/>
      <c r="BL208" s="489">
        <f>+BL202/BL187</f>
        <v>6.6562460394575642E-3</v>
      </c>
      <c r="BM208" s="489">
        <f>+BM202/BM187</f>
        <v>5.5366724384873552E-3</v>
      </c>
      <c r="BN208" s="489">
        <f>+BN202/BN187</f>
        <v>5.5366724384873552E-3</v>
      </c>
      <c r="BO208" s="348"/>
      <c r="BP208" s="489">
        <f>+BP202/BP187</f>
        <v>5.352892633081514E-3</v>
      </c>
      <c r="BQ208" s="489">
        <f>+BQ202/BQ187</f>
        <v>4.4183282469682991E-3</v>
      </c>
      <c r="BR208" s="489">
        <f>+BR202/BR187</f>
        <v>4.4183282469682991E-3</v>
      </c>
      <c r="BT208" s="489">
        <f>+BT202/BT187</f>
        <v>4.1259204887173538E-3</v>
      </c>
      <c r="BU208" s="489">
        <f>+BU202/BU187</f>
        <v>4.4404543057871265E-3</v>
      </c>
      <c r="BV208" s="489">
        <f>+BV202/BV187</f>
        <v>4.4404543057871265E-3</v>
      </c>
      <c r="BX208" s="489">
        <f>+BX202/BX187</f>
        <v>4.6923879040667365E-3</v>
      </c>
      <c r="BY208" s="489">
        <f>+BY202/BY187</f>
        <v>4.3242759178401145E-3</v>
      </c>
      <c r="BZ208" s="489">
        <f>+BZ202/BZ187</f>
        <v>4.3242759178401145E-3</v>
      </c>
      <c r="CB208" s="489">
        <f>+CB202/CB187</f>
        <v>4.5419104891558006E-3</v>
      </c>
      <c r="CC208" s="489">
        <f>+CC202/CC187</f>
        <v>4.2476830819552971E-3</v>
      </c>
      <c r="CD208" s="489">
        <f>+CD202/CD187</f>
        <v>4.2476830819552971E-3</v>
      </c>
      <c r="CF208" s="489">
        <f>+CF202/CF187</f>
        <v>4.6875226311222538E-3</v>
      </c>
      <c r="CG208" s="489">
        <f>+CG202/CG187</f>
        <v>4.7594456336488341E-3</v>
      </c>
      <c r="CH208" s="489">
        <f>+CH202/CH187</f>
        <v>4.7594456336488341E-3</v>
      </c>
      <c r="CJ208" s="489">
        <f>+CJ202/CJ187</f>
        <v>4.3856294473692053E-3</v>
      </c>
      <c r="CK208" s="489">
        <f>+CK202/CK187</f>
        <v>4.5480882134268591E-3</v>
      </c>
      <c r="CL208" s="489">
        <f>+CL202/CL187</f>
        <v>4.5480882134268591E-3</v>
      </c>
      <c r="CN208" s="489">
        <f>+CN202/CN187</f>
        <v>3.9019576499138421E-3</v>
      </c>
      <c r="CO208" s="489">
        <f>+CO202/CO187</f>
        <v>4.1661269073870848E-3</v>
      </c>
      <c r="CP208" s="489">
        <f>+CP202/CP187</f>
        <v>4.1661269073870848E-3</v>
      </c>
      <c r="CR208" s="489">
        <f>+CR202/CR187</f>
        <v>4.0940189933322277E-3</v>
      </c>
      <c r="CS208" s="489">
        <f>+CS202/CS187</f>
        <v>3.3346026896039723E-3</v>
      </c>
      <c r="CT208" s="489">
        <f>+CT202/CT187</f>
        <v>3.3346026896039723E-3</v>
      </c>
      <c r="CV208" s="489">
        <f>+CV202/CV187</f>
        <v>3.3259022714948487E-3</v>
      </c>
      <c r="CW208" s="489">
        <f>+CW202/CW187</f>
        <v>3.5638858142128965E-3</v>
      </c>
      <c r="CX208" s="489">
        <f>+CX202/CX187</f>
        <v>3.5638858142128965E-3</v>
      </c>
      <c r="CZ208" s="489">
        <f>+CZ202/CZ187</f>
        <v>3.4851158529166986E-3</v>
      </c>
      <c r="DA208" s="489">
        <f>+DA202/DA187</f>
        <v>4.1054878793365529E-3</v>
      </c>
      <c r="DB208" s="489">
        <f>+DB202/DB187</f>
        <v>4.1054878793365529E-3</v>
      </c>
      <c r="DD208" s="499"/>
      <c r="DE208" s="499"/>
      <c r="DF208" s="499"/>
      <c r="DG208" s="499"/>
      <c r="DH208" s="499"/>
      <c r="DI208" s="499"/>
      <c r="DJ208" s="499"/>
      <c r="DL208" s="499"/>
      <c r="DM208" s="499"/>
      <c r="DN208" s="499"/>
      <c r="DP208" s="499"/>
      <c r="DQ208" s="499"/>
      <c r="DR208" s="499"/>
    </row>
    <row r="209" spans="1:123" s="347" customFormat="1" x14ac:dyDescent="0.2">
      <c r="A209" s="411" t="s">
        <v>299</v>
      </c>
      <c r="B209" s="348"/>
      <c r="BH209" s="490">
        <f>BH203/BH187</f>
        <v>1.2962113266911379E-2</v>
      </c>
      <c r="BI209" s="490">
        <f>BI203/BI187</f>
        <v>1.1506255922337607E-2</v>
      </c>
      <c r="BJ209" s="490">
        <f>BJ203/BJ187</f>
        <v>1.1506255922337607E-2</v>
      </c>
      <c r="BK209" s="348"/>
      <c r="BL209" s="490">
        <f>BL203/BL187</f>
        <v>1.1070085758945546E-2</v>
      </c>
      <c r="BM209" s="490">
        <f>BM203/BM187</f>
        <v>9.4059300113298709E-3</v>
      </c>
      <c r="BN209" s="490">
        <f>BN203/BN187</f>
        <v>9.4059300113298709E-3</v>
      </c>
      <c r="BO209" s="348"/>
      <c r="BP209" s="490">
        <f>BP203/BP187</f>
        <v>8.7796997919381611E-3</v>
      </c>
      <c r="BQ209" s="490">
        <f>BQ203/BQ187</f>
        <v>8.0133462916994243E-3</v>
      </c>
      <c r="BR209" s="490">
        <f>BR203/BR187</f>
        <v>8.0133462916994243E-3</v>
      </c>
      <c r="BT209" s="490">
        <f>BT203/BT187</f>
        <v>7.1522861269623277E-3</v>
      </c>
      <c r="BU209" s="490">
        <f>BU203/BU187</f>
        <v>7.7793453322502959E-3</v>
      </c>
      <c r="BV209" s="490">
        <f>BV203/BV187</f>
        <v>7.7793453322502959E-3</v>
      </c>
      <c r="BX209" s="490">
        <f>BX203/BX187</f>
        <v>7.9457768508863404E-3</v>
      </c>
      <c r="BY209" s="490">
        <f>BY203/BY187</f>
        <v>7.9457043535838441E-3</v>
      </c>
      <c r="BZ209" s="490">
        <f>BZ203/BZ187</f>
        <v>7.9457043535838441E-3</v>
      </c>
      <c r="CB209" s="490">
        <f>CB203/CB187</f>
        <v>8.1301142020023792E-3</v>
      </c>
      <c r="CC209" s="490">
        <f>CC203/CC187</f>
        <v>8.5448044382208637E-3</v>
      </c>
      <c r="CD209" s="490">
        <f>CD203/CD187</f>
        <v>8.5448044382208637E-3</v>
      </c>
      <c r="CF209" s="490">
        <f>CF203/CF187</f>
        <v>8.9207769173745132E-3</v>
      </c>
      <c r="CG209" s="490">
        <f>CG203/CG187</f>
        <v>9.1443904374826704E-3</v>
      </c>
      <c r="CH209" s="490">
        <f>CH203/CH187</f>
        <v>9.1443904374826704E-3</v>
      </c>
      <c r="CJ209" s="490">
        <f>CJ203/CJ187</f>
        <v>8.4743895056022759E-3</v>
      </c>
      <c r="CK209" s="490">
        <f>CK203/CK187</f>
        <v>8.8564660277807693E-3</v>
      </c>
      <c r="CL209" s="490">
        <f>CL203/CL187</f>
        <v>8.8564660277807693E-3</v>
      </c>
      <c r="CN209" s="490">
        <f>CN203/CN187</f>
        <v>7.8316066121819124E-3</v>
      </c>
      <c r="CO209" s="490">
        <f>CO203/CO187</f>
        <v>8.7612096799818146E-3</v>
      </c>
      <c r="CP209" s="490">
        <f>CP203/CP187</f>
        <v>8.7612096799818146E-3</v>
      </c>
      <c r="CR209" s="490">
        <f>CR203/CR187</f>
        <v>8.0269579745775761E-3</v>
      </c>
      <c r="CS209" s="490">
        <f>CS203/CS187</f>
        <v>6.8974635097738546E-3</v>
      </c>
      <c r="CT209" s="490">
        <f>CT203/CT187</f>
        <v>6.8974635097738546E-3</v>
      </c>
      <c r="CV209" s="490">
        <f>CV203/CV187</f>
        <v>6.3593091851210787E-3</v>
      </c>
      <c r="CW209" s="490">
        <f>CW203/CW187</f>
        <v>6.8341743003757834E-3</v>
      </c>
      <c r="CX209" s="490">
        <f>CX203/CX187</f>
        <v>6.8341743003757834E-3</v>
      </c>
      <c r="CZ209" s="490">
        <f>CZ203/CZ187</f>
        <v>6.9616185063204735E-3</v>
      </c>
      <c r="DA209" s="490">
        <f>DA203/DA187</f>
        <v>8.2520306374664724E-3</v>
      </c>
      <c r="DB209" s="490">
        <f>DB203/DB187</f>
        <v>8.2520306374664724E-3</v>
      </c>
      <c r="DD209" s="791"/>
      <c r="DE209" s="791"/>
      <c r="DF209" s="791"/>
      <c r="DG209" s="791"/>
      <c r="DH209" s="791"/>
      <c r="DI209" s="791"/>
      <c r="DJ209" s="791"/>
      <c r="DL209" s="791"/>
      <c r="DM209" s="791"/>
      <c r="DN209" s="791"/>
      <c r="DP209" s="791"/>
      <c r="DQ209" s="791"/>
      <c r="DR209" s="791"/>
    </row>
    <row r="210" spans="1:123" s="347" customFormat="1" x14ac:dyDescent="0.2">
      <c r="A210" s="411"/>
      <c r="B210" s="348"/>
      <c r="BH210" s="490"/>
      <c r="BI210" s="490"/>
      <c r="BJ210" s="490"/>
      <c r="BK210" s="348"/>
      <c r="BL210" s="490"/>
      <c r="BM210" s="490"/>
      <c r="BN210" s="490"/>
      <c r="BO210" s="348"/>
      <c r="BP210" s="490"/>
      <c r="BQ210" s="490"/>
      <c r="BR210" s="490"/>
      <c r="BT210" s="490"/>
      <c r="BU210" s="490"/>
      <c r="BV210" s="490"/>
      <c r="BX210" s="490"/>
      <c r="BY210" s="490"/>
      <c r="BZ210" s="490"/>
      <c r="CB210" s="490"/>
      <c r="CC210" s="490"/>
      <c r="CD210" s="490"/>
      <c r="CF210" s="490"/>
      <c r="CG210" s="490"/>
      <c r="CH210" s="490"/>
      <c r="CJ210" s="490"/>
      <c r="CK210" s="490"/>
      <c r="CL210" s="490"/>
      <c r="CN210" s="490"/>
      <c r="CO210" s="490"/>
      <c r="CP210" s="490"/>
      <c r="CR210" s="490"/>
      <c r="CS210" s="490"/>
      <c r="CT210" s="490"/>
      <c r="CV210" s="490"/>
      <c r="CW210" s="490"/>
      <c r="CX210" s="490"/>
      <c r="CZ210" s="490"/>
      <c r="DA210" s="490"/>
      <c r="DB210" s="490"/>
      <c r="DD210" s="791"/>
      <c r="DE210" s="791"/>
      <c r="DF210" s="791"/>
      <c r="DG210" s="791"/>
      <c r="DH210" s="791"/>
      <c r="DI210" s="791"/>
      <c r="DJ210" s="791"/>
      <c r="DL210" s="791"/>
      <c r="DM210" s="791"/>
      <c r="DN210" s="791"/>
      <c r="DP210" s="791"/>
      <c r="DQ210" s="791"/>
      <c r="DR210" s="791"/>
    </row>
    <row r="211" spans="1:123" s="347" customFormat="1" ht="15" x14ac:dyDescent="0.25">
      <c r="A211" s="424" t="s">
        <v>273</v>
      </c>
      <c r="B211" s="348"/>
      <c r="BH211" s="491"/>
      <c r="BI211" s="491"/>
      <c r="BJ211" s="491"/>
      <c r="BK211" s="348"/>
      <c r="BL211" s="348"/>
      <c r="BM211" s="491"/>
      <c r="BN211" s="491"/>
      <c r="BO211" s="348"/>
      <c r="BP211" s="348"/>
      <c r="BQ211" s="491"/>
      <c r="BR211" s="491"/>
      <c r="BT211" s="348"/>
      <c r="BU211" s="491"/>
      <c r="BV211" s="491"/>
      <c r="BX211" s="348"/>
      <c r="BY211" s="491"/>
      <c r="BZ211" s="491"/>
      <c r="CB211" s="348"/>
      <c r="CC211" s="491"/>
      <c r="CD211" s="491"/>
      <c r="CF211" s="348"/>
      <c r="CG211" s="491"/>
      <c r="CH211" s="491"/>
      <c r="CJ211" s="348"/>
      <c r="CK211" s="491"/>
      <c r="CL211" s="348"/>
      <c r="CN211" s="348"/>
      <c r="CO211" s="491"/>
      <c r="CP211" s="348"/>
      <c r="CR211" s="348"/>
      <c r="CS211" s="491"/>
      <c r="CT211" s="348"/>
      <c r="CV211" s="348"/>
      <c r="CW211" s="491"/>
      <c r="CX211" s="348"/>
      <c r="CZ211" s="348"/>
      <c r="DA211" s="491"/>
      <c r="DB211" s="348"/>
      <c r="DD211"/>
      <c r="DE211"/>
      <c r="DF211"/>
      <c r="DG211"/>
      <c r="DH211"/>
      <c r="DI211"/>
      <c r="DJ211"/>
      <c r="DK211"/>
      <c r="DL211"/>
      <c r="DM211"/>
      <c r="DN211"/>
      <c r="DO211"/>
      <c r="DP211"/>
      <c r="DQ211"/>
      <c r="DR211"/>
      <c r="DS211"/>
    </row>
    <row r="212" spans="1:123" s="347" customFormat="1" ht="15" x14ac:dyDescent="0.25">
      <c r="A212" s="436" t="str">
        <f>A207</f>
        <v>&gt;90DPD / Gross Loans &amp; Acceptances</v>
      </c>
      <c r="B212" s="466"/>
      <c r="C212" s="463"/>
      <c r="D212" s="463"/>
      <c r="E212" s="463"/>
      <c r="F212" s="463"/>
      <c r="G212" s="463"/>
      <c r="H212" s="463"/>
      <c r="I212" s="463"/>
      <c r="J212" s="463"/>
      <c r="K212" s="463"/>
      <c r="L212" s="463"/>
      <c r="M212" s="463"/>
      <c r="N212" s="463"/>
      <c r="O212" s="463"/>
      <c r="P212" s="463"/>
      <c r="Q212" s="463"/>
      <c r="R212" s="463"/>
      <c r="S212" s="463"/>
      <c r="T212" s="463"/>
      <c r="U212" s="463"/>
      <c r="V212" s="463"/>
      <c r="W212" s="463"/>
      <c r="X212" s="463"/>
      <c r="Y212" s="463"/>
      <c r="Z212" s="463"/>
      <c r="AA212" s="463"/>
      <c r="AB212" s="463"/>
      <c r="AC212" s="463"/>
      <c r="AD212" s="463"/>
      <c r="AE212" s="463"/>
      <c r="AF212" s="463"/>
      <c r="AG212" s="463"/>
      <c r="AH212" s="463"/>
      <c r="AI212" s="463"/>
      <c r="AJ212" s="463"/>
      <c r="AK212" s="463"/>
      <c r="AL212" s="463"/>
      <c r="AM212" s="463"/>
      <c r="AN212" s="463"/>
      <c r="AO212" s="463"/>
      <c r="AP212" s="463"/>
      <c r="AQ212" s="463"/>
      <c r="AR212" s="463"/>
      <c r="AS212" s="463"/>
      <c r="AT212" s="463"/>
      <c r="AU212" s="463"/>
      <c r="AV212" s="463"/>
      <c r="AW212" s="463"/>
      <c r="AX212" s="463"/>
      <c r="AY212" s="463"/>
      <c r="AZ212" s="463"/>
      <c r="BA212" s="463"/>
      <c r="BB212" s="463"/>
      <c r="BC212" s="463"/>
      <c r="BD212" s="463"/>
      <c r="BE212" s="463"/>
      <c r="BF212" s="463"/>
      <c r="BG212" s="463"/>
      <c r="BH212" s="492"/>
      <c r="BI212" s="493">
        <f>+(BI207-BH207)</f>
        <v>-9.1101178775275082E-4</v>
      </c>
      <c r="BJ212" s="492"/>
      <c r="BK212" s="466"/>
      <c r="BL212" s="493">
        <f>+BL207-BI207</f>
        <v>5.1982033553415411E-4</v>
      </c>
      <c r="BM212" s="493">
        <f>+(BM207-BL207)</f>
        <v>-5.4458214664546666E-4</v>
      </c>
      <c r="BN212" s="492"/>
      <c r="BO212" s="466"/>
      <c r="BP212" s="493">
        <f>+BP207-BM207</f>
        <v>-4.4245041398586734E-4</v>
      </c>
      <c r="BQ212" s="493">
        <f>+(BQ207-BP207)</f>
        <v>1.6821088587447687E-4</v>
      </c>
      <c r="BR212" s="492"/>
      <c r="BS212" s="463"/>
      <c r="BT212" s="493">
        <f>+BT207-BQ207</f>
        <v>-5.6865240648615008E-4</v>
      </c>
      <c r="BU212" s="493">
        <f>+(BU207-BT207)</f>
        <v>3.1252538821819513E-4</v>
      </c>
      <c r="BV212" s="492"/>
      <c r="BW212" s="463"/>
      <c r="BX212" s="493">
        <f>+BX207-BU207</f>
        <v>-8.5502079643565501E-5</v>
      </c>
      <c r="BY212" s="493">
        <f>+(BY207-BX207)</f>
        <v>3.6803948892412527E-4</v>
      </c>
      <c r="BZ212" s="492"/>
      <c r="CA212" s="463"/>
      <c r="CB212" s="493">
        <f>+CB207-BY207</f>
        <v>-3.3224722897150661E-5</v>
      </c>
      <c r="CC212" s="493">
        <f>+(CC207-CB207)</f>
        <v>7.0891764341898811E-4</v>
      </c>
      <c r="CD212" s="492"/>
      <c r="CE212" s="463"/>
      <c r="CF212" s="493">
        <f>+CF207-CC207</f>
        <v>-6.3867070013307221E-5</v>
      </c>
      <c r="CG212" s="493">
        <f>+(CG207-CF207)</f>
        <v>1.5169051758157776E-4</v>
      </c>
      <c r="CH212" s="492"/>
      <c r="CI212" s="463"/>
      <c r="CJ212" s="493">
        <f>+CJ207-CG207</f>
        <v>-2.9618474560076744E-4</v>
      </c>
      <c r="CK212" s="493">
        <f>+(CK207-CJ207)</f>
        <v>2.1961775612084049E-4</v>
      </c>
      <c r="CL212" s="493"/>
      <c r="CM212" s="463"/>
      <c r="CN212" s="493">
        <f>+CN207-CK207</f>
        <v>-3.787288520858403E-4</v>
      </c>
      <c r="CO212" s="493">
        <f>+(CO207-CN207)</f>
        <v>6.654338103266608E-4</v>
      </c>
      <c r="CP212" s="493"/>
      <c r="CQ212" s="463"/>
      <c r="CR212" s="493">
        <f>+CR207-CO207</f>
        <v>-6.6214379134938231E-4</v>
      </c>
      <c r="CS212" s="493">
        <f>+(CS207-CR207)</f>
        <v>-3.7007816107546571E-4</v>
      </c>
      <c r="CT212" s="493"/>
      <c r="CU212" s="463"/>
      <c r="CV212" s="493">
        <f>+CV207-CS207</f>
        <v>-5.2945390654365225E-4</v>
      </c>
      <c r="CW212" s="493">
        <f>+(CW207-CV207)</f>
        <v>2.3688157253665609E-4</v>
      </c>
      <c r="CX212" s="493"/>
      <c r="CY212" s="463"/>
      <c r="CZ212" s="493">
        <f>+CZ207-CW207</f>
        <v>2.0621416724088838E-4</v>
      </c>
      <c r="DA212" s="493">
        <f>+(DA207-CZ207)</f>
        <v>6.7004010472614377E-4</v>
      </c>
      <c r="DB212" s="493"/>
      <c r="DC212" s="463"/>
      <c r="DD212"/>
      <c r="DE212"/>
      <c r="DF212"/>
      <c r="DG212"/>
      <c r="DH212"/>
      <c r="DI212"/>
      <c r="DJ212"/>
      <c r="DK212"/>
      <c r="DL212"/>
      <c r="DM212"/>
      <c r="DN212"/>
      <c r="DO212"/>
      <c r="DP212"/>
      <c r="DQ212"/>
      <c r="DR212"/>
      <c r="DS212"/>
    </row>
    <row r="213" spans="1:123" s="347" customFormat="1" ht="15" x14ac:dyDescent="0.25">
      <c r="A213" s="436" t="str">
        <f>A208</f>
        <v>Impaired Assets / Gross Loans &amp; Acceptances</v>
      </c>
      <c r="B213" s="466"/>
      <c r="C213" s="463"/>
      <c r="D213" s="463"/>
      <c r="E213" s="463"/>
      <c r="F213" s="463"/>
      <c r="G213" s="463"/>
      <c r="H213" s="463"/>
      <c r="I213" s="463"/>
      <c r="J213" s="463"/>
      <c r="K213" s="463"/>
      <c r="L213" s="463"/>
      <c r="M213" s="463"/>
      <c r="N213" s="463"/>
      <c r="O213" s="463"/>
      <c r="P213" s="463"/>
      <c r="Q213" s="463"/>
      <c r="R213" s="463"/>
      <c r="S213" s="463"/>
      <c r="T213" s="463"/>
      <c r="U213" s="463"/>
      <c r="V213" s="463"/>
      <c r="W213" s="463"/>
      <c r="X213" s="463"/>
      <c r="Y213" s="463"/>
      <c r="Z213" s="463"/>
      <c r="AA213" s="463"/>
      <c r="AB213" s="463"/>
      <c r="AC213" s="463"/>
      <c r="AD213" s="463"/>
      <c r="AE213" s="463"/>
      <c r="AF213" s="463"/>
      <c r="AG213" s="463"/>
      <c r="AH213" s="463"/>
      <c r="AI213" s="463"/>
      <c r="AJ213" s="463"/>
      <c r="AK213" s="463"/>
      <c r="AL213" s="463"/>
      <c r="AM213" s="463"/>
      <c r="AN213" s="463"/>
      <c r="AO213" s="463"/>
      <c r="AP213" s="463"/>
      <c r="AQ213" s="463"/>
      <c r="AR213" s="463"/>
      <c r="AS213" s="463"/>
      <c r="AT213" s="463"/>
      <c r="AU213" s="463"/>
      <c r="AV213" s="463"/>
      <c r="AW213" s="463"/>
      <c r="AX213" s="463"/>
      <c r="AY213" s="463"/>
      <c r="AZ213" s="463"/>
      <c r="BA213" s="463"/>
      <c r="BB213" s="463"/>
      <c r="BC213" s="463"/>
      <c r="BD213" s="463"/>
      <c r="BE213" s="463"/>
      <c r="BF213" s="463"/>
      <c r="BG213" s="463"/>
      <c r="BH213" s="492"/>
      <c r="BI213" s="493">
        <f>+(BI208-BH208)</f>
        <v>-5.4484555682102025E-4</v>
      </c>
      <c r="BJ213" s="492"/>
      <c r="BK213" s="466"/>
      <c r="BL213" s="493">
        <f>+BL208-BI208</f>
        <v>-9.5599049892621576E-4</v>
      </c>
      <c r="BM213" s="493">
        <f>+(BM208-BL208)</f>
        <v>-1.1195736009702089E-3</v>
      </c>
      <c r="BN213" s="492"/>
      <c r="BO213" s="466"/>
      <c r="BP213" s="493">
        <f>+BP208-BM208</f>
        <v>-1.8377980540584121E-4</v>
      </c>
      <c r="BQ213" s="493">
        <f>+(BQ208-BP208)</f>
        <v>-9.3456438611321489E-4</v>
      </c>
      <c r="BR213" s="492"/>
      <c r="BS213" s="463"/>
      <c r="BT213" s="493">
        <f>+BT208-BQ208</f>
        <v>-2.9240775825094528E-4</v>
      </c>
      <c r="BU213" s="493">
        <f>+(BU208-BT208)</f>
        <v>3.145338170697726E-4</v>
      </c>
      <c r="BV213" s="492"/>
      <c r="BW213" s="463"/>
      <c r="BX213" s="493">
        <f>+BX208-BU208</f>
        <v>2.5193359827961007E-4</v>
      </c>
      <c r="BY213" s="493">
        <f>+(BY208-BX208)</f>
        <v>-3.6811198622662203E-4</v>
      </c>
      <c r="BZ213" s="492"/>
      <c r="CA213" s="463"/>
      <c r="CB213" s="493">
        <f>+CB208-BY208</f>
        <v>2.1763457131568614E-4</v>
      </c>
      <c r="CC213" s="493">
        <f>+(CC208-CB208)</f>
        <v>-2.9422740720050355E-4</v>
      </c>
      <c r="CD213" s="492"/>
      <c r="CE213" s="463"/>
      <c r="CF213" s="493">
        <f>+CF208-CC208</f>
        <v>4.3983954916695673E-4</v>
      </c>
      <c r="CG213" s="493">
        <f>+(CG208-CF208)</f>
        <v>7.1923002526580286E-5</v>
      </c>
      <c r="CH213" s="492"/>
      <c r="CI213" s="463"/>
      <c r="CJ213" s="493">
        <f>+CJ208-CG208</f>
        <v>-3.7381618627962878E-4</v>
      </c>
      <c r="CK213" s="493">
        <f>+(CK208-CJ208)</f>
        <v>1.6245876605765382E-4</v>
      </c>
      <c r="CL213" s="493"/>
      <c r="CM213" s="463"/>
      <c r="CN213" s="493">
        <f>+CN208-CK208</f>
        <v>-6.4613056351301703E-4</v>
      </c>
      <c r="CO213" s="493">
        <f>+(CO208-CN208)</f>
        <v>2.6416925747324268E-4</v>
      </c>
      <c r="CP213" s="493"/>
      <c r="CQ213" s="463"/>
      <c r="CR213" s="493">
        <f>+CR208-CO208</f>
        <v>-7.2107914054857052E-5</v>
      </c>
      <c r="CS213" s="493">
        <f>+(CS208-CR208)</f>
        <v>-7.5941630372825539E-4</v>
      </c>
      <c r="CT213" s="493"/>
      <c r="CU213" s="463"/>
      <c r="CV213" s="493">
        <f>+CV208-CS208</f>
        <v>-8.7004181091236525E-6</v>
      </c>
      <c r="CW213" s="493">
        <f>+(CW208-CV208)</f>
        <v>2.3798354271804779E-4</v>
      </c>
      <c r="CX213" s="493"/>
      <c r="CY213" s="463"/>
      <c r="CZ213" s="493">
        <f>+CZ208-CW208</f>
        <v>-7.8769961296197826E-5</v>
      </c>
      <c r="DA213" s="493">
        <f>+(DA208-CZ208)</f>
        <v>6.2037202641985426E-4</v>
      </c>
      <c r="DB213" s="493"/>
      <c r="DC213" s="463"/>
      <c r="DD213"/>
      <c r="DE213"/>
      <c r="DF213"/>
      <c r="DG213"/>
      <c r="DH213"/>
      <c r="DI213"/>
      <c r="DJ213"/>
      <c r="DK213"/>
      <c r="DL213"/>
      <c r="DM213"/>
      <c r="DN213"/>
      <c r="DO213"/>
      <c r="DP213"/>
      <c r="DQ213"/>
      <c r="DR213"/>
      <c r="DS213"/>
    </row>
    <row r="214" spans="1:123" s="347" customFormat="1" ht="15" x14ac:dyDescent="0.25">
      <c r="A214" s="424" t="str">
        <f>A209</f>
        <v>NPL Ratio</v>
      </c>
      <c r="B214" s="348"/>
      <c r="BH214" s="491"/>
      <c r="BI214" s="491">
        <f>+(BI209-BH209)</f>
        <v>-1.4558573445737719E-3</v>
      </c>
      <c r="BJ214" s="491"/>
      <c r="BK214" s="348"/>
      <c r="BL214" s="491">
        <f>+BL209-BI209</f>
        <v>-4.3617016339206165E-4</v>
      </c>
      <c r="BM214" s="491">
        <f>+(BM209-BL209)</f>
        <v>-1.6641557476156747E-3</v>
      </c>
      <c r="BN214" s="491"/>
      <c r="BO214" s="348"/>
      <c r="BP214" s="491">
        <f>+BP209-BM209</f>
        <v>-6.2623021939170985E-4</v>
      </c>
      <c r="BQ214" s="491">
        <f>+(BQ209-BP209)</f>
        <v>-7.6635350023873672E-4</v>
      </c>
      <c r="BR214" s="491"/>
      <c r="BT214" s="491">
        <f>+BT209-BQ209</f>
        <v>-8.6106016473709666E-4</v>
      </c>
      <c r="BU214" s="491">
        <f>+(BU209-BT209)</f>
        <v>6.2705920528796817E-4</v>
      </c>
      <c r="BV214" s="491"/>
      <c r="BX214" s="491">
        <f>+BX209-BU209</f>
        <v>1.6643151863604457E-4</v>
      </c>
      <c r="BY214" s="491">
        <f>+(BY209-BX209)</f>
        <v>-7.2497302496324356E-8</v>
      </c>
      <c r="BZ214" s="491"/>
      <c r="CB214" s="491">
        <f>+(CB209-BZ209)</f>
        <v>1.8440984841853504E-4</v>
      </c>
      <c r="CC214" s="491">
        <f>+(CC209-CB209)</f>
        <v>4.1469023621848455E-4</v>
      </c>
      <c r="CD214" s="491"/>
      <c r="CF214" s="491">
        <f>+(CF209-CD209)</f>
        <v>3.7597247915364951E-4</v>
      </c>
      <c r="CG214" s="491">
        <f>+(CG209-CF209)</f>
        <v>2.2361352010815717E-4</v>
      </c>
      <c r="CH214" s="491"/>
      <c r="CJ214" s="491">
        <f>+(CJ209-CH209)</f>
        <v>-6.7000093188039449E-4</v>
      </c>
      <c r="CK214" s="491">
        <f>+(CK209-CJ209)</f>
        <v>3.8207652217849344E-4</v>
      </c>
      <c r="CL214" s="491"/>
      <c r="CN214" s="491">
        <f>+(CN209-CL209)</f>
        <v>-1.0248594155988569E-3</v>
      </c>
      <c r="CO214" s="491">
        <f>+(CO209-CN209)</f>
        <v>9.2960306779990218E-4</v>
      </c>
      <c r="CP214" s="491"/>
      <c r="CR214" s="491">
        <f>+(CR209-CP209)</f>
        <v>-7.3425170540423849E-4</v>
      </c>
      <c r="CS214" s="491">
        <f>+(CS209-CR209)</f>
        <v>-1.1294944648037215E-3</v>
      </c>
      <c r="CT214" s="491"/>
      <c r="CV214" s="491">
        <f>+(CV209-CT209)</f>
        <v>-5.3815432465277591E-4</v>
      </c>
      <c r="CW214" s="491">
        <f>+(CW209-CV209)</f>
        <v>4.7486511525470475E-4</v>
      </c>
      <c r="CX214" s="491"/>
      <c r="CZ214" s="491">
        <f>+(CZ209-CX209)</f>
        <v>1.2744420594469012E-4</v>
      </c>
      <c r="DA214" s="491">
        <f>+(DA209-CZ209)</f>
        <v>1.2904121311459989E-3</v>
      </c>
      <c r="DB214" s="491"/>
      <c r="DD214"/>
      <c r="DE214"/>
      <c r="DF214"/>
      <c r="DG214"/>
      <c r="DH214"/>
      <c r="DI214"/>
      <c r="DJ214"/>
      <c r="DK214"/>
      <c r="DL214"/>
      <c r="DM214"/>
      <c r="DN214"/>
      <c r="DO214"/>
      <c r="DP214"/>
      <c r="DQ214"/>
      <c r="DR214"/>
      <c r="DS214"/>
    </row>
    <row r="215" spans="1:123" s="347" customFormat="1" x14ac:dyDescent="0.2">
      <c r="A215" s="411"/>
      <c r="B215" s="348"/>
      <c r="BH215" s="397"/>
      <c r="BI215" s="397"/>
      <c r="BJ215" s="397"/>
      <c r="BK215" s="348"/>
      <c r="BL215" s="397"/>
      <c r="BM215" s="397"/>
      <c r="BN215" s="397"/>
      <c r="BO215" s="393"/>
      <c r="BP215" s="397"/>
      <c r="BQ215" s="397"/>
      <c r="BR215" s="397"/>
      <c r="BS215" s="393"/>
      <c r="BT215" s="397"/>
      <c r="BU215" s="397"/>
      <c r="BV215" s="397"/>
      <c r="BW215" s="393"/>
      <c r="BX215" s="397"/>
      <c r="BY215" s="397"/>
      <c r="BZ215" s="397"/>
      <c r="CA215" s="393"/>
      <c r="CB215" s="397"/>
      <c r="CC215" s="397"/>
      <c r="CD215" s="397"/>
      <c r="CE215" s="393"/>
      <c r="CF215" s="397"/>
      <c r="CG215" s="397"/>
      <c r="CH215" s="397"/>
      <c r="CI215" s="393"/>
      <c r="CJ215" s="397"/>
      <c r="CK215" s="397"/>
      <c r="CL215" s="397"/>
      <c r="CM215" s="393"/>
      <c r="CN215" s="397"/>
      <c r="CO215" s="397"/>
      <c r="CP215" s="397"/>
      <c r="CQ215" s="393"/>
      <c r="CR215" s="397"/>
      <c r="CS215" s="397"/>
      <c r="CT215" s="397"/>
      <c r="CU215" s="393"/>
      <c r="CV215" s="397"/>
      <c r="CW215" s="397"/>
      <c r="CX215" s="397"/>
      <c r="CY215" s="393"/>
      <c r="CZ215" s="397"/>
      <c r="DA215" s="397"/>
      <c r="DB215" s="397"/>
      <c r="DC215" s="393"/>
      <c r="DD215" s="397"/>
      <c r="DE215" s="397"/>
      <c r="DF215" s="397"/>
      <c r="DG215" s="393"/>
      <c r="DH215" s="397"/>
      <c r="DI215" s="397"/>
      <c r="DJ215" s="397"/>
      <c r="DK215" s="393"/>
      <c r="DL215" s="397"/>
      <c r="DM215" s="397"/>
      <c r="DN215" s="397"/>
      <c r="DO215" s="393"/>
      <c r="DP215" s="397"/>
      <c r="DQ215" s="397"/>
      <c r="DR215" s="397"/>
      <c r="DS215" s="393"/>
    </row>
    <row r="216" spans="1:123" s="347" customFormat="1" x14ac:dyDescent="0.2">
      <c r="A216" s="411" t="s">
        <v>1121</v>
      </c>
      <c r="B216" s="348"/>
      <c r="BH216" s="397"/>
      <c r="BI216" s="397"/>
      <c r="BJ216" s="397"/>
      <c r="BK216" s="348"/>
      <c r="BL216" s="397"/>
      <c r="BM216" s="397"/>
      <c r="BN216" s="397"/>
      <c r="BO216" s="393"/>
      <c r="BP216" s="397"/>
      <c r="BQ216" s="397"/>
      <c r="BR216" s="397"/>
      <c r="BS216" s="393"/>
      <c r="BT216" s="397"/>
      <c r="BU216" s="397"/>
      <c r="BV216" s="397"/>
      <c r="BW216" s="393"/>
      <c r="BX216" s="397"/>
      <c r="BY216" s="397"/>
      <c r="BZ216" s="397"/>
      <c r="CA216" s="393"/>
      <c r="CB216" s="397"/>
      <c r="CC216" s="397"/>
      <c r="CD216" s="397"/>
      <c r="CE216" s="393"/>
      <c r="CF216" s="397"/>
      <c r="CG216" s="397"/>
      <c r="CH216" s="397"/>
      <c r="CI216" s="393"/>
      <c r="CJ216" s="397"/>
      <c r="CK216" s="397"/>
      <c r="CL216" s="397"/>
      <c r="CM216" s="393"/>
      <c r="CN216" s="397"/>
      <c r="CO216" s="397"/>
      <c r="CP216" s="397"/>
      <c r="CQ216" s="393"/>
      <c r="CR216" s="397"/>
      <c r="CS216" s="397"/>
      <c r="CT216" s="397"/>
      <c r="CU216" s="393"/>
      <c r="CV216" s="397"/>
      <c r="CW216" s="397"/>
      <c r="CX216" s="397"/>
      <c r="CY216" s="393"/>
      <c r="CZ216" s="397"/>
      <c r="DA216" s="397"/>
      <c r="DB216" s="397"/>
      <c r="DC216" s="393"/>
      <c r="DD216" s="397"/>
      <c r="DE216" s="397"/>
      <c r="DF216" s="397"/>
      <c r="DG216" s="393"/>
      <c r="DH216" s="397"/>
      <c r="DI216" s="397"/>
      <c r="DJ216" s="397"/>
      <c r="DK216" s="393"/>
      <c r="DL216" s="397"/>
      <c r="DM216" s="397"/>
      <c r="DN216" s="397"/>
      <c r="DO216" s="393"/>
      <c r="DP216" s="397"/>
      <c r="DQ216" s="397"/>
      <c r="DR216" s="397"/>
      <c r="DS216" s="393"/>
    </row>
    <row r="217" spans="1:123" s="347" customFormat="1" x14ac:dyDescent="0.2">
      <c r="A217" s="347" t="s">
        <v>89</v>
      </c>
      <c r="B217" s="348"/>
      <c r="BH217" s="397"/>
      <c r="BI217" s="397"/>
      <c r="BJ217" s="397"/>
      <c r="BK217" s="348"/>
      <c r="BL217" s="397"/>
      <c r="BM217" s="397"/>
      <c r="BN217" s="397"/>
      <c r="BO217" s="393"/>
      <c r="BP217" s="397"/>
      <c r="BQ217" s="397"/>
      <c r="BR217" s="397"/>
      <c r="BS217" s="393"/>
      <c r="BT217" s="397"/>
      <c r="BU217" s="397"/>
      <c r="BV217" s="397"/>
      <c r="BW217" s="393"/>
      <c r="BX217" s="397"/>
      <c r="BY217" s="397"/>
      <c r="BZ217" s="397"/>
      <c r="CA217" s="393"/>
      <c r="CB217" s="397"/>
      <c r="CC217" s="397"/>
      <c r="CD217" s="397"/>
      <c r="CE217" s="393"/>
      <c r="CF217" s="397"/>
      <c r="CG217" s="397"/>
      <c r="CH217" s="397"/>
      <c r="CI217" s="393"/>
      <c r="CJ217" s="397"/>
      <c r="CK217" s="397"/>
      <c r="CL217" s="397"/>
      <c r="CM217" s="393"/>
      <c r="CN217" s="397"/>
      <c r="CO217" s="397"/>
      <c r="CP217" s="397"/>
      <c r="CQ217" s="393"/>
      <c r="CR217" s="397"/>
      <c r="CS217" s="397"/>
      <c r="CT217" s="397"/>
      <c r="CU217" s="393"/>
      <c r="CV217" s="397"/>
      <c r="CW217" s="397"/>
      <c r="CX217" s="397"/>
      <c r="CY217" s="393"/>
      <c r="CZ217" s="398">
        <v>4965</v>
      </c>
      <c r="DA217" s="398">
        <v>6363</v>
      </c>
      <c r="DB217" s="351">
        <f>DA217</f>
        <v>6363</v>
      </c>
      <c r="DC217" s="393"/>
      <c r="DD217" s="398">
        <v>6761</v>
      </c>
      <c r="DE217" s="398">
        <v>7308</v>
      </c>
      <c r="DF217" s="351">
        <f>DE217</f>
        <v>7308</v>
      </c>
      <c r="DG217" s="393"/>
      <c r="DH217" s="398">
        <v>7019</v>
      </c>
      <c r="DI217" s="351">
        <f>DI230*DI183</f>
        <v>7563.3791903707724</v>
      </c>
      <c r="DJ217" s="351">
        <f>DI217</f>
        <v>7563.3791903707724</v>
      </c>
      <c r="DK217" s="393"/>
      <c r="DL217" s="351">
        <f>DL230*DL183</f>
        <v>7801.880916761862</v>
      </c>
      <c r="DM217" s="351">
        <f>DM230*DM183</f>
        <v>8431.8461204921696</v>
      </c>
      <c r="DN217" s="351">
        <f>DM217</f>
        <v>8431.8461204921696</v>
      </c>
      <c r="DO217" s="393"/>
      <c r="DP217" s="351">
        <f>DP230*DP183</f>
        <v>8634.6242186086292</v>
      </c>
      <c r="DQ217" s="351">
        <f>DQ230*DQ183</f>
        <v>9263.4164853647362</v>
      </c>
      <c r="DR217" s="351">
        <f>DQ217</f>
        <v>9263.4164853647362</v>
      </c>
      <c r="DS217" s="393"/>
    </row>
    <row r="218" spans="1:123" s="347" customFormat="1" x14ac:dyDescent="0.2">
      <c r="A218" s="347" t="s">
        <v>91</v>
      </c>
      <c r="B218" s="348"/>
      <c r="BH218" s="397"/>
      <c r="BI218" s="397"/>
      <c r="BJ218" s="397"/>
      <c r="BK218" s="348"/>
      <c r="BL218" s="397"/>
      <c r="BM218" s="397"/>
      <c r="BN218" s="397"/>
      <c r="BO218" s="393"/>
      <c r="BP218" s="397"/>
      <c r="BQ218" s="397"/>
      <c r="BR218" s="397"/>
      <c r="BS218" s="393"/>
      <c r="BT218" s="397"/>
      <c r="BU218" s="397"/>
      <c r="BV218" s="397"/>
      <c r="BW218" s="393"/>
      <c r="BX218" s="397"/>
      <c r="BY218" s="397"/>
      <c r="BZ218" s="397"/>
      <c r="CA218" s="393"/>
      <c r="CB218" s="397"/>
      <c r="CC218" s="397"/>
      <c r="CD218" s="397"/>
      <c r="CE218" s="393"/>
      <c r="CF218" s="397"/>
      <c r="CG218" s="397"/>
      <c r="CH218" s="397"/>
      <c r="CI218" s="393"/>
      <c r="CJ218" s="397"/>
      <c r="CK218" s="397"/>
      <c r="CL218" s="397"/>
      <c r="CM218" s="393"/>
      <c r="CN218" s="397"/>
      <c r="CO218" s="397"/>
      <c r="CP218" s="397"/>
      <c r="CQ218" s="393"/>
      <c r="CR218" s="397"/>
      <c r="CS218" s="397"/>
      <c r="CT218" s="397"/>
      <c r="CU218" s="393"/>
      <c r="CV218" s="397"/>
      <c r="CW218" s="397"/>
      <c r="CX218" s="397"/>
      <c r="CY218" s="393"/>
      <c r="CZ218" s="398">
        <v>1195</v>
      </c>
      <c r="DA218" s="398">
        <v>1161</v>
      </c>
      <c r="DB218" s="351">
        <f>DA218</f>
        <v>1161</v>
      </c>
      <c r="DC218" s="393"/>
      <c r="DD218" s="398">
        <v>1210</v>
      </c>
      <c r="DE218" s="398">
        <v>1388</v>
      </c>
      <c r="DF218" s="351">
        <f>DE218</f>
        <v>1388</v>
      </c>
      <c r="DG218" s="393"/>
      <c r="DH218" s="398">
        <v>1252</v>
      </c>
      <c r="DI218" s="351">
        <f>DI231*DI184</f>
        <v>1316.9018640500783</v>
      </c>
      <c r="DJ218" s="351">
        <f>DI218</f>
        <v>1316.9018640500783</v>
      </c>
      <c r="DK218" s="393"/>
      <c r="DL218" s="351">
        <f>DL231*DL184</f>
        <v>1348.878097992801</v>
      </c>
      <c r="DM218" s="351">
        <f>DM231*DM184</f>
        <v>1396.5490269204849</v>
      </c>
      <c r="DN218" s="351">
        <f>DM218</f>
        <v>1396.5490269204849</v>
      </c>
      <c r="DO218" s="393"/>
      <c r="DP218" s="351">
        <f>DP231*DP184</f>
        <v>1605.4891635320455</v>
      </c>
      <c r="DQ218" s="351">
        <f>DQ231*DQ184</f>
        <v>1649.754422505413</v>
      </c>
      <c r="DR218" s="351">
        <f>DQ218</f>
        <v>1649.754422505413</v>
      </c>
      <c r="DS218" s="393"/>
    </row>
    <row r="219" spans="1:123" s="347" customFormat="1" x14ac:dyDescent="0.2">
      <c r="A219" s="411" t="s">
        <v>1118</v>
      </c>
      <c r="B219" s="348"/>
      <c r="BH219" s="397"/>
      <c r="BI219" s="397"/>
      <c r="BJ219" s="397"/>
      <c r="BK219" s="348"/>
      <c r="BL219" s="397"/>
      <c r="BM219" s="397"/>
      <c r="BN219" s="397"/>
      <c r="BO219" s="393"/>
      <c r="BP219" s="397"/>
      <c r="BQ219" s="397"/>
      <c r="BR219" s="397"/>
      <c r="BS219" s="393"/>
      <c r="BT219" s="397"/>
      <c r="BU219" s="397"/>
      <c r="BV219" s="397"/>
      <c r="BW219" s="393"/>
      <c r="BX219" s="397"/>
      <c r="BY219" s="397"/>
      <c r="BZ219" s="397"/>
      <c r="CA219" s="393"/>
      <c r="CB219" s="397"/>
      <c r="CC219" s="397"/>
      <c r="CD219" s="397"/>
      <c r="CE219" s="393"/>
      <c r="CF219" s="397"/>
      <c r="CG219" s="397"/>
      <c r="CH219" s="397"/>
      <c r="CI219" s="393"/>
      <c r="CJ219" s="397"/>
      <c r="CK219" s="397"/>
      <c r="CL219" s="397"/>
      <c r="CM219" s="393"/>
      <c r="CN219" s="397"/>
      <c r="CO219" s="397"/>
      <c r="CP219" s="397"/>
      <c r="CQ219" s="393"/>
      <c r="CR219" s="397"/>
      <c r="CS219" s="397"/>
      <c r="CT219" s="397"/>
      <c r="CU219" s="393"/>
      <c r="CV219" s="397"/>
      <c r="CW219" s="397"/>
      <c r="CX219" s="397"/>
      <c r="CY219" s="393"/>
      <c r="CZ219" s="397">
        <f>CZ217+CZ218</f>
        <v>6160</v>
      </c>
      <c r="DA219" s="397">
        <f>DA217+DA218</f>
        <v>7524</v>
      </c>
      <c r="DB219" s="397">
        <f>SUM(DB217:DB218)</f>
        <v>7524</v>
      </c>
      <c r="DC219" s="393"/>
      <c r="DD219" s="397">
        <f>DD217+DD218</f>
        <v>7971</v>
      </c>
      <c r="DE219" s="397">
        <f>DE217+DE218</f>
        <v>8696</v>
      </c>
      <c r="DF219" s="397">
        <f>SUM(DF217:DF218)</f>
        <v>8696</v>
      </c>
      <c r="DG219" s="393"/>
      <c r="DH219" s="397">
        <f>DH217+DH218</f>
        <v>8271</v>
      </c>
      <c r="DI219" s="397">
        <f>DI217+DI218</f>
        <v>8880.2810544208514</v>
      </c>
      <c r="DJ219" s="397">
        <f>SUM(DJ217:DJ218)</f>
        <v>8880.2810544208514</v>
      </c>
      <c r="DK219" s="393"/>
      <c r="DL219" s="397">
        <f>DL217+DL218</f>
        <v>9150.7590147546634</v>
      </c>
      <c r="DM219" s="397">
        <f>DM217+DM218</f>
        <v>9828.3951474126552</v>
      </c>
      <c r="DN219" s="397">
        <f>SUM(DN217:DN218)</f>
        <v>9828.3951474126552</v>
      </c>
      <c r="DO219" s="393"/>
      <c r="DP219" s="397">
        <f>DP217+DP218</f>
        <v>10240.113382140675</v>
      </c>
      <c r="DQ219" s="397">
        <f>DQ217+DQ218</f>
        <v>10913.17090787015</v>
      </c>
      <c r="DR219" s="397">
        <f>SUM(DR217:DR218)</f>
        <v>10913.17090787015</v>
      </c>
      <c r="DS219" s="393"/>
    </row>
    <row r="220" spans="1:123" s="347" customFormat="1" x14ac:dyDescent="0.2">
      <c r="A220" s="347" t="s">
        <v>89</v>
      </c>
      <c r="B220" s="348"/>
      <c r="BH220" s="397"/>
      <c r="BI220" s="397"/>
      <c r="BJ220" s="397"/>
      <c r="BK220" s="348"/>
      <c r="BL220" s="397"/>
      <c r="BM220" s="397"/>
      <c r="BN220" s="397"/>
      <c r="BO220" s="393"/>
      <c r="BP220" s="397"/>
      <c r="BQ220" s="397"/>
      <c r="BR220" s="397"/>
      <c r="BS220" s="393"/>
      <c r="BT220" s="397"/>
      <c r="BU220" s="397"/>
      <c r="BV220" s="397"/>
      <c r="BW220" s="393"/>
      <c r="BX220" s="397"/>
      <c r="BY220" s="397"/>
      <c r="BZ220" s="397"/>
      <c r="CA220" s="393"/>
      <c r="CB220" s="397"/>
      <c r="CC220" s="397"/>
      <c r="CD220" s="397"/>
      <c r="CE220" s="393"/>
      <c r="CF220" s="397"/>
      <c r="CG220" s="397"/>
      <c r="CH220" s="397"/>
      <c r="CI220" s="393"/>
      <c r="CJ220" s="397"/>
      <c r="CK220" s="397"/>
      <c r="CL220" s="397"/>
      <c r="CM220" s="393"/>
      <c r="CN220" s="397"/>
      <c r="CO220" s="397"/>
      <c r="CP220" s="397"/>
      <c r="CQ220" s="393"/>
      <c r="CR220" s="397"/>
      <c r="CS220" s="397"/>
      <c r="CT220" s="397"/>
      <c r="CU220" s="393"/>
      <c r="CV220" s="397"/>
      <c r="CW220" s="397"/>
      <c r="CX220" s="397"/>
      <c r="CY220" s="393"/>
      <c r="CZ220" s="398">
        <v>437</v>
      </c>
      <c r="DA220" s="398">
        <v>440</v>
      </c>
      <c r="DB220" s="351">
        <f t="shared" ref="DB220:DB225" si="134">DA220</f>
        <v>440</v>
      </c>
      <c r="DC220" s="393"/>
      <c r="DD220" s="398">
        <v>496</v>
      </c>
      <c r="DE220" s="398">
        <v>673</v>
      </c>
      <c r="DF220" s="351">
        <f t="shared" ref="DF220:DF222" si="135">DE220</f>
        <v>673</v>
      </c>
      <c r="DG220" s="393"/>
      <c r="DH220" s="398">
        <v>585</v>
      </c>
      <c r="DI220" s="351">
        <f>DI233*DI183</f>
        <v>529.43654332595406</v>
      </c>
      <c r="DJ220" s="351">
        <f t="shared" ref="DJ220:DJ222" si="136">DI220</f>
        <v>529.43654332595406</v>
      </c>
      <c r="DK220" s="393"/>
      <c r="DL220" s="351">
        <f>DL233*DL183</f>
        <v>546.13166417333036</v>
      </c>
      <c r="DM220" s="351">
        <f>DM233*DM183</f>
        <v>562.12307469947791</v>
      </c>
      <c r="DN220" s="351">
        <f t="shared" ref="DN220:DN222" si="137">DM220</f>
        <v>562.12307469947791</v>
      </c>
      <c r="DO220" s="393"/>
      <c r="DP220" s="351">
        <f>DP233*DP183</f>
        <v>575.64161457390856</v>
      </c>
      <c r="DQ220" s="351">
        <f>DQ233*DQ183</f>
        <v>589.49013997775592</v>
      </c>
      <c r="DR220" s="351">
        <f t="shared" ref="DR220:DR222" si="138">DQ220</f>
        <v>589.49013997775592</v>
      </c>
      <c r="DS220" s="393"/>
    </row>
    <row r="221" spans="1:123" s="347" customFormat="1" x14ac:dyDescent="0.2">
      <c r="A221" s="347" t="s">
        <v>91</v>
      </c>
      <c r="B221" s="348"/>
      <c r="BH221" s="397"/>
      <c r="BI221" s="397"/>
      <c r="BJ221" s="397"/>
      <c r="BK221" s="348"/>
      <c r="BL221" s="397"/>
      <c r="BM221" s="397"/>
      <c r="BN221" s="397"/>
      <c r="BO221" s="393"/>
      <c r="BP221" s="397"/>
      <c r="BQ221" s="397"/>
      <c r="BR221" s="397"/>
      <c r="BS221" s="393"/>
      <c r="BT221" s="397"/>
      <c r="BU221" s="397"/>
      <c r="BV221" s="397"/>
      <c r="BW221" s="393"/>
      <c r="BX221" s="397"/>
      <c r="BY221" s="397"/>
      <c r="BZ221" s="397"/>
      <c r="CA221" s="393"/>
      <c r="CB221" s="397"/>
      <c r="CC221" s="397"/>
      <c r="CD221" s="397"/>
      <c r="CE221" s="393"/>
      <c r="CF221" s="397"/>
      <c r="CG221" s="397"/>
      <c r="CH221" s="397"/>
      <c r="CI221" s="393"/>
      <c r="CJ221" s="397"/>
      <c r="CK221" s="397"/>
      <c r="CL221" s="397"/>
      <c r="CM221" s="393"/>
      <c r="CN221" s="397"/>
      <c r="CO221" s="397"/>
      <c r="CP221" s="397"/>
      <c r="CQ221" s="393"/>
      <c r="CR221" s="397"/>
      <c r="CS221" s="397"/>
      <c r="CT221" s="397"/>
      <c r="CU221" s="393"/>
      <c r="CV221" s="397"/>
      <c r="CW221" s="397"/>
      <c r="CX221" s="397"/>
      <c r="CY221" s="393"/>
      <c r="CZ221" s="398">
        <v>1525</v>
      </c>
      <c r="DA221" s="398">
        <v>1674</v>
      </c>
      <c r="DB221" s="351">
        <f t="shared" si="134"/>
        <v>1674</v>
      </c>
      <c r="DC221" s="393"/>
      <c r="DD221" s="398">
        <v>1846</v>
      </c>
      <c r="DE221" s="398">
        <v>1633</v>
      </c>
      <c r="DF221" s="351">
        <f t="shared" si="135"/>
        <v>1633</v>
      </c>
      <c r="DG221" s="393"/>
      <c r="DH221" s="398">
        <v>1613</v>
      </c>
      <c r="DI221" s="351">
        <f>DI234*DI184</f>
        <v>1810.7400630688574</v>
      </c>
      <c r="DJ221" s="351">
        <f t="shared" si="136"/>
        <v>1810.7400630688574</v>
      </c>
      <c r="DK221" s="393"/>
      <c r="DL221" s="351">
        <f>DL234*DL184</f>
        <v>1854.7073847401014</v>
      </c>
      <c r="DM221" s="351">
        <f>DM234*DM184</f>
        <v>1745.6862836506061</v>
      </c>
      <c r="DN221" s="351">
        <f t="shared" si="137"/>
        <v>1745.6862836506061</v>
      </c>
      <c r="DO221" s="393"/>
      <c r="DP221" s="351">
        <f>DP234*DP184</f>
        <v>1783.8768483689396</v>
      </c>
      <c r="DQ221" s="351">
        <f>DQ234*DQ184</f>
        <v>1833.0604694504591</v>
      </c>
      <c r="DR221" s="351">
        <f t="shared" si="138"/>
        <v>1833.0604694504591</v>
      </c>
      <c r="DS221" s="393"/>
    </row>
    <row r="222" spans="1:123" s="347" customFormat="1" x14ac:dyDescent="0.2">
      <c r="A222" s="411" t="s">
        <v>1119</v>
      </c>
      <c r="B222" s="348"/>
      <c r="BH222" s="397"/>
      <c r="BI222" s="397"/>
      <c r="BJ222" s="397"/>
      <c r="BK222" s="348"/>
      <c r="BL222" s="397"/>
      <c r="BM222" s="397"/>
      <c r="BN222" s="397"/>
      <c r="BO222" s="393"/>
      <c r="BP222" s="397"/>
      <c r="BQ222" s="397"/>
      <c r="BR222" s="397"/>
      <c r="BS222" s="393"/>
      <c r="BT222" s="397"/>
      <c r="BU222" s="397"/>
      <c r="BV222" s="397"/>
      <c r="BW222" s="393"/>
      <c r="BX222" s="397"/>
      <c r="BY222" s="397"/>
      <c r="BZ222" s="397"/>
      <c r="CA222" s="393"/>
      <c r="CB222" s="397"/>
      <c r="CC222" s="397"/>
      <c r="CD222" s="397"/>
      <c r="CE222" s="393"/>
      <c r="CF222" s="397"/>
      <c r="CG222" s="397"/>
      <c r="CH222" s="397"/>
      <c r="CI222" s="393"/>
      <c r="CJ222" s="397"/>
      <c r="CK222" s="397"/>
      <c r="CL222" s="397"/>
      <c r="CM222" s="393"/>
      <c r="CN222" s="397"/>
      <c r="CO222" s="397"/>
      <c r="CP222" s="397"/>
      <c r="CQ222" s="393"/>
      <c r="CR222" s="397"/>
      <c r="CS222" s="397"/>
      <c r="CT222" s="397"/>
      <c r="CU222" s="393"/>
      <c r="CV222" s="397"/>
      <c r="CW222" s="397"/>
      <c r="CX222" s="397"/>
      <c r="CY222" s="393"/>
      <c r="CZ222" s="397">
        <f>CZ220+CZ221</f>
        <v>1962</v>
      </c>
      <c r="DA222" s="397">
        <f>DA220+DA221</f>
        <v>2114</v>
      </c>
      <c r="DB222" s="397">
        <f t="shared" si="134"/>
        <v>2114</v>
      </c>
      <c r="DC222" s="393"/>
      <c r="DD222" s="397">
        <f>DD220+DD221</f>
        <v>2342</v>
      </c>
      <c r="DE222" s="397">
        <f>DE220+DE221</f>
        <v>2306</v>
      </c>
      <c r="DF222" s="397">
        <f t="shared" si="135"/>
        <v>2306</v>
      </c>
      <c r="DG222" s="393"/>
      <c r="DH222" s="397">
        <f>DH220+DH221</f>
        <v>2198</v>
      </c>
      <c r="DI222" s="397">
        <f>DI220+DI221</f>
        <v>2340.1766063948116</v>
      </c>
      <c r="DJ222" s="397">
        <f t="shared" si="136"/>
        <v>2340.1766063948116</v>
      </c>
      <c r="DK222" s="393"/>
      <c r="DL222" s="397">
        <f>DL220+DL221</f>
        <v>2400.8390489134317</v>
      </c>
      <c r="DM222" s="397">
        <f>DM220+DM221</f>
        <v>2307.809358350084</v>
      </c>
      <c r="DN222" s="397">
        <f t="shared" si="137"/>
        <v>2307.809358350084</v>
      </c>
      <c r="DO222" s="393"/>
      <c r="DP222" s="397">
        <f>DP220+DP221</f>
        <v>2359.5184629428481</v>
      </c>
      <c r="DQ222" s="397">
        <f>DQ220+DQ221</f>
        <v>2422.550609428215</v>
      </c>
      <c r="DR222" s="397">
        <f t="shared" si="138"/>
        <v>2422.550609428215</v>
      </c>
      <c r="DS222" s="393"/>
    </row>
    <row r="223" spans="1:123" s="347" customFormat="1" x14ac:dyDescent="0.2">
      <c r="A223" s="411" t="s">
        <v>1120</v>
      </c>
      <c r="B223" s="348"/>
      <c r="BH223" s="397"/>
      <c r="BI223" s="397"/>
      <c r="BJ223" s="397"/>
      <c r="BK223" s="348"/>
      <c r="BL223" s="397"/>
      <c r="BM223" s="397"/>
      <c r="BN223" s="397"/>
      <c r="BO223" s="393"/>
      <c r="BP223" s="397"/>
      <c r="BQ223" s="397"/>
      <c r="BR223" s="397"/>
      <c r="BS223" s="393"/>
      <c r="BT223" s="397"/>
      <c r="BU223" s="397"/>
      <c r="BV223" s="397"/>
      <c r="BW223" s="393"/>
      <c r="BX223" s="397"/>
      <c r="BY223" s="397"/>
      <c r="BZ223" s="397"/>
      <c r="CA223" s="393"/>
      <c r="CB223" s="397"/>
      <c r="CC223" s="397"/>
      <c r="CD223" s="397"/>
      <c r="CE223" s="393"/>
      <c r="CF223" s="397"/>
      <c r="CG223" s="397"/>
      <c r="CH223" s="397"/>
      <c r="CI223" s="393"/>
      <c r="CJ223" s="397"/>
      <c r="CK223" s="397"/>
      <c r="CL223" s="397"/>
      <c r="CM223" s="393"/>
      <c r="CN223" s="397"/>
      <c r="CO223" s="397"/>
      <c r="CP223" s="397"/>
      <c r="CQ223" s="393"/>
      <c r="CR223" s="397"/>
      <c r="CS223" s="397"/>
      <c r="CT223" s="397"/>
      <c r="CU223" s="393"/>
      <c r="CV223" s="397"/>
      <c r="CW223" s="397"/>
      <c r="CX223" s="397"/>
      <c r="CY223" s="393"/>
      <c r="CZ223" s="397">
        <f>CZ219+CZ222</f>
        <v>8122</v>
      </c>
      <c r="DA223" s="397">
        <f t="shared" ref="DA223:DB223" si="139">DA219+DA222</f>
        <v>9638</v>
      </c>
      <c r="DB223" s="397">
        <f t="shared" si="139"/>
        <v>9638</v>
      </c>
      <c r="DC223" s="393"/>
      <c r="DD223" s="397">
        <f>DD219+DD222</f>
        <v>10313</v>
      </c>
      <c r="DE223" s="397">
        <f t="shared" ref="DE223:DF223" si="140">DE219+DE222</f>
        <v>11002</v>
      </c>
      <c r="DF223" s="397">
        <f t="shared" si="140"/>
        <v>11002</v>
      </c>
      <c r="DG223" s="393"/>
      <c r="DH223" s="397">
        <f>DH219+DH222</f>
        <v>10469</v>
      </c>
      <c r="DI223" s="397">
        <f t="shared" ref="DI223" si="141">DI219+DI222</f>
        <v>11220.457660815664</v>
      </c>
      <c r="DJ223" s="397">
        <f t="shared" ref="DJ223" si="142">DJ219+DJ222</f>
        <v>11220.457660815664</v>
      </c>
      <c r="DK223" s="393">
        <f>+DJ223/DF223-1</f>
        <v>1.985617713285448E-2</v>
      </c>
      <c r="DL223" s="397">
        <f>DL219+DL222</f>
        <v>11551.598063668094</v>
      </c>
      <c r="DM223" s="397">
        <f t="shared" ref="DM223" si="143">DM219+DM222</f>
        <v>12136.20450576274</v>
      </c>
      <c r="DN223" s="397">
        <f t="shared" ref="DN223" si="144">DN219+DN222</f>
        <v>12136.20450576274</v>
      </c>
      <c r="DO223" s="393">
        <f>+DN223/DJ223-1</f>
        <v>8.1614036844955828E-2</v>
      </c>
      <c r="DP223" s="397">
        <f>DP219+DP222</f>
        <v>12599.631845083522</v>
      </c>
      <c r="DQ223" s="397">
        <f t="shared" ref="DQ223:DR223" si="145">DQ219+DQ222</f>
        <v>13335.721517298365</v>
      </c>
      <c r="DR223" s="397">
        <f t="shared" si="145"/>
        <v>13335.721517298365</v>
      </c>
      <c r="DS223" s="393">
        <f>+DR223/DN223-1</f>
        <v>9.8837903643272274E-2</v>
      </c>
    </row>
    <row r="224" spans="1:123" s="347" customFormat="1" x14ac:dyDescent="0.2">
      <c r="A224" s="347" t="s">
        <v>1139</v>
      </c>
      <c r="B224" s="348"/>
      <c r="BH224" s="397"/>
      <c r="BI224" s="397"/>
      <c r="BJ224" s="397"/>
      <c r="BK224" s="348"/>
      <c r="BL224" s="397"/>
      <c r="BM224" s="397"/>
      <c r="BN224" s="397"/>
      <c r="BO224" s="393"/>
      <c r="BP224" s="397"/>
      <c r="BQ224" s="397"/>
      <c r="BR224" s="397"/>
      <c r="BS224" s="393"/>
      <c r="BT224" s="397"/>
      <c r="BU224" s="397"/>
      <c r="BV224" s="397"/>
      <c r="BW224" s="393"/>
      <c r="BX224" s="397"/>
      <c r="BY224" s="397"/>
      <c r="BZ224" s="397"/>
      <c r="CA224" s="393"/>
      <c r="CB224" s="397"/>
      <c r="CC224" s="397"/>
      <c r="CD224" s="397"/>
      <c r="CE224" s="393"/>
      <c r="CF224" s="397"/>
      <c r="CG224" s="397"/>
      <c r="CH224" s="397"/>
      <c r="CI224" s="393"/>
      <c r="CJ224" s="397"/>
      <c r="CK224" s="397"/>
      <c r="CL224" s="397"/>
      <c r="CM224" s="393"/>
      <c r="CN224" s="397"/>
      <c r="CO224" s="397"/>
      <c r="CP224" s="397"/>
      <c r="CQ224" s="393"/>
      <c r="CR224" s="397"/>
      <c r="CS224" s="397"/>
      <c r="CT224" s="397"/>
      <c r="CU224" s="393"/>
      <c r="CV224" s="397"/>
      <c r="CW224" s="397"/>
      <c r="CX224" s="397"/>
      <c r="CY224" s="393"/>
      <c r="CZ224" s="351">
        <f>CZ217+CZ220</f>
        <v>5402</v>
      </c>
      <c r="DA224" s="351">
        <f>DA217+DA220</f>
        <v>6803</v>
      </c>
      <c r="DB224" s="351">
        <f t="shared" si="134"/>
        <v>6803</v>
      </c>
      <c r="DC224" s="393"/>
      <c r="DD224" s="351">
        <f>DD217+DD220</f>
        <v>7257</v>
      </c>
      <c r="DE224" s="351">
        <f>DE217+DE220</f>
        <v>7981</v>
      </c>
      <c r="DF224" s="351">
        <f t="shared" ref="DF224:DF225" si="146">DE224</f>
        <v>7981</v>
      </c>
      <c r="DG224" s="393"/>
      <c r="DH224" s="351">
        <f>DH217+DH220</f>
        <v>7604</v>
      </c>
      <c r="DI224" s="351">
        <f>DI217+DI220</f>
        <v>8092.815733696727</v>
      </c>
      <c r="DJ224" s="351">
        <f t="shared" ref="DJ224:DJ225" si="147">DI224</f>
        <v>8092.815733696727</v>
      </c>
      <c r="DK224" s="393"/>
      <c r="DL224" s="351">
        <f>DL217+DL220</f>
        <v>8348.0125809351921</v>
      </c>
      <c r="DM224" s="351">
        <f>DM217+DM220</f>
        <v>8993.9691951916466</v>
      </c>
      <c r="DN224" s="351">
        <f t="shared" ref="DN224:DN225" si="148">DM224</f>
        <v>8993.9691951916466</v>
      </c>
      <c r="DO224" s="393"/>
      <c r="DP224" s="351">
        <f>DP217+DP220</f>
        <v>9210.2658331825369</v>
      </c>
      <c r="DQ224" s="351">
        <f>DQ217+DQ220</f>
        <v>9852.9066253424917</v>
      </c>
      <c r="DR224" s="351">
        <f t="shared" ref="DR224:DR225" si="149">DQ224</f>
        <v>9852.9066253424917</v>
      </c>
      <c r="DS224" s="393"/>
    </row>
    <row r="225" spans="1:264" s="347" customFormat="1" x14ac:dyDescent="0.2">
      <c r="A225" s="347" t="s">
        <v>1140</v>
      </c>
      <c r="B225" s="348"/>
      <c r="BH225" s="397"/>
      <c r="BI225" s="397"/>
      <c r="BJ225" s="397"/>
      <c r="BK225" s="348"/>
      <c r="BL225" s="397"/>
      <c r="BM225" s="397"/>
      <c r="BN225" s="397"/>
      <c r="BO225" s="393"/>
      <c r="BP225" s="397"/>
      <c r="BQ225" s="397"/>
      <c r="BR225" s="397"/>
      <c r="BS225" s="393"/>
      <c r="BT225" s="397"/>
      <c r="BU225" s="397"/>
      <c r="BV225" s="397"/>
      <c r="BW225" s="393"/>
      <c r="BX225" s="397"/>
      <c r="BY225" s="397"/>
      <c r="BZ225" s="397"/>
      <c r="CA225" s="393"/>
      <c r="CB225" s="397"/>
      <c r="CC225" s="397"/>
      <c r="CD225" s="397"/>
      <c r="CE225" s="393"/>
      <c r="CF225" s="397"/>
      <c r="CG225" s="397"/>
      <c r="CH225" s="397"/>
      <c r="CI225" s="393"/>
      <c r="CJ225" s="397"/>
      <c r="CK225" s="397"/>
      <c r="CL225" s="397"/>
      <c r="CM225" s="393"/>
      <c r="CN225" s="397"/>
      <c r="CO225" s="397"/>
      <c r="CP225" s="397"/>
      <c r="CQ225" s="393"/>
      <c r="CR225" s="397"/>
      <c r="CS225" s="397"/>
      <c r="CT225" s="397"/>
      <c r="CU225" s="393"/>
      <c r="CV225" s="397"/>
      <c r="CW225" s="397"/>
      <c r="CX225" s="397"/>
      <c r="CY225" s="393"/>
      <c r="CZ225" s="351">
        <f>CZ218+CZ221</f>
        <v>2720</v>
      </c>
      <c r="DA225" s="351">
        <f>DA218+DA221</f>
        <v>2835</v>
      </c>
      <c r="DB225" s="351">
        <f t="shared" si="134"/>
        <v>2835</v>
      </c>
      <c r="DC225" s="393"/>
      <c r="DD225" s="351">
        <f>DD218+DD221</f>
        <v>3056</v>
      </c>
      <c r="DE225" s="351">
        <f>DE218+DE221</f>
        <v>3021</v>
      </c>
      <c r="DF225" s="351">
        <f t="shared" si="146"/>
        <v>3021</v>
      </c>
      <c r="DG225" s="393"/>
      <c r="DH225" s="351">
        <f>DH218+DH221</f>
        <v>2865</v>
      </c>
      <c r="DI225" s="351">
        <f>DI218+DI221</f>
        <v>3127.6419271189357</v>
      </c>
      <c r="DJ225" s="351">
        <f t="shared" si="147"/>
        <v>3127.6419271189357</v>
      </c>
      <c r="DK225" s="393"/>
      <c r="DL225" s="351">
        <f>DL218+DL221</f>
        <v>3203.5854827329022</v>
      </c>
      <c r="DM225" s="351">
        <f>DM218+DM221</f>
        <v>3142.2353105710908</v>
      </c>
      <c r="DN225" s="351">
        <f t="shared" si="148"/>
        <v>3142.2353105710908</v>
      </c>
      <c r="DO225" s="393"/>
      <c r="DP225" s="351">
        <f>DP218+DP221</f>
        <v>3389.3660119009851</v>
      </c>
      <c r="DQ225" s="351">
        <f>DQ218+DQ221</f>
        <v>3482.8148919558721</v>
      </c>
      <c r="DR225" s="351">
        <f t="shared" si="149"/>
        <v>3482.8148919558721</v>
      </c>
      <c r="DS225" s="393"/>
    </row>
    <row r="226" spans="1:264" s="347" customFormat="1" x14ac:dyDescent="0.2">
      <c r="A226" s="411"/>
      <c r="B226" s="348"/>
      <c r="BH226" s="397"/>
      <c r="BI226" s="397"/>
      <c r="BJ226" s="397"/>
      <c r="BK226" s="348"/>
      <c r="BL226" s="397"/>
      <c r="BM226" s="397"/>
      <c r="BN226" s="397"/>
      <c r="BO226" s="393"/>
      <c r="BP226" s="397"/>
      <c r="BQ226" s="397"/>
      <c r="BR226" s="397"/>
      <c r="BS226" s="393"/>
      <c r="BT226" s="397"/>
      <c r="BU226" s="397"/>
      <c r="BV226" s="397"/>
      <c r="BW226" s="393"/>
      <c r="BX226" s="397"/>
      <c r="BY226" s="397"/>
      <c r="BZ226" s="397"/>
      <c r="CA226" s="393"/>
      <c r="CB226" s="397"/>
      <c r="CC226" s="397"/>
      <c r="CD226" s="397"/>
      <c r="CE226" s="393"/>
      <c r="CF226" s="397"/>
      <c r="CG226" s="397"/>
      <c r="CH226" s="397"/>
      <c r="CI226" s="393"/>
      <c r="CJ226" s="397"/>
      <c r="CK226" s="397"/>
      <c r="CL226" s="397"/>
      <c r="CM226" s="393"/>
      <c r="CN226" s="397"/>
      <c r="CO226" s="397"/>
      <c r="CP226" s="397"/>
      <c r="CQ226" s="393"/>
      <c r="CR226" s="397"/>
      <c r="CS226" s="397"/>
      <c r="CT226" s="397"/>
      <c r="CU226" s="393"/>
      <c r="CV226" s="397"/>
      <c r="CW226" s="397"/>
      <c r="CX226" s="397"/>
      <c r="CY226" s="393"/>
      <c r="CZ226" s="397"/>
      <c r="DA226" s="397"/>
      <c r="DB226" s="397"/>
      <c r="DC226" s="393"/>
      <c r="DD226" s="397"/>
      <c r="DE226" s="397"/>
      <c r="DF226" s="397"/>
      <c r="DG226" s="393"/>
      <c r="DH226" s="397"/>
      <c r="DI226" s="397"/>
      <c r="DJ226" s="397"/>
      <c r="DK226" s="393"/>
      <c r="DL226" s="397"/>
      <c r="DM226" s="397"/>
      <c r="DN226" s="397"/>
      <c r="DO226" s="393"/>
      <c r="DP226" s="397"/>
      <c r="DQ226" s="397"/>
      <c r="DR226" s="397"/>
      <c r="DS226" s="393"/>
    </row>
    <row r="227" spans="1:264" s="347" customFormat="1" x14ac:dyDescent="0.2">
      <c r="A227" s="411" t="s">
        <v>1122</v>
      </c>
      <c r="B227" s="348"/>
      <c r="BH227" s="397"/>
      <c r="BI227" s="397"/>
      <c r="BJ227" s="397"/>
      <c r="BK227" s="348"/>
      <c r="BL227" s="397"/>
      <c r="BM227" s="397"/>
      <c r="BN227" s="397"/>
      <c r="BO227" s="393"/>
      <c r="BP227" s="397"/>
      <c r="BQ227" s="397"/>
      <c r="BR227" s="397"/>
      <c r="BS227" s="393"/>
      <c r="BT227" s="397"/>
      <c r="BU227" s="397"/>
      <c r="BV227" s="397"/>
      <c r="BW227" s="393"/>
      <c r="BX227" s="397"/>
      <c r="BY227" s="397"/>
      <c r="BZ227" s="397"/>
      <c r="CA227" s="393"/>
      <c r="CB227" s="397"/>
      <c r="CC227" s="397"/>
      <c r="CD227" s="397"/>
      <c r="CE227" s="393"/>
      <c r="CF227" s="397"/>
      <c r="CG227" s="397"/>
      <c r="CH227" s="397"/>
      <c r="CI227" s="393"/>
      <c r="CJ227" s="397"/>
      <c r="CK227" s="397"/>
      <c r="CL227" s="397"/>
      <c r="CM227" s="393"/>
      <c r="CN227" s="397"/>
      <c r="CO227" s="397"/>
      <c r="CP227" s="397"/>
      <c r="CQ227" s="393"/>
      <c r="CR227" s="397"/>
      <c r="CS227" s="397"/>
      <c r="CT227" s="397"/>
      <c r="CU227" s="393"/>
      <c r="CV227" s="397"/>
      <c r="CW227" s="397"/>
      <c r="CX227" s="397"/>
      <c r="CY227" s="393"/>
      <c r="CZ227" s="398">
        <v>3262</v>
      </c>
      <c r="DA227" s="398">
        <v>4345</v>
      </c>
      <c r="DB227" s="351">
        <f>CZ227+DA227</f>
        <v>7607</v>
      </c>
      <c r="DC227" s="393"/>
      <c r="DD227" s="398">
        <v>3739</v>
      </c>
      <c r="DE227" s="398">
        <v>4247</v>
      </c>
      <c r="DF227" s="351">
        <f>DD227+DE227</f>
        <v>7986</v>
      </c>
      <c r="DG227" s="393"/>
      <c r="DH227" s="398">
        <v>3576</v>
      </c>
      <c r="DI227" s="351">
        <f>+DI187*DI228*(DI3/DI4)</f>
        <v>3768.2433119392849</v>
      </c>
      <c r="DJ227" s="351">
        <f>DH227+DI227</f>
        <v>7344.2433119392845</v>
      </c>
      <c r="DK227" s="393">
        <f>+DJ227/DF227-1</f>
        <v>-8.0360216386265448E-2</v>
      </c>
      <c r="DL227" s="351">
        <f>+DL187*DL228*(DL3/DL4)</f>
        <v>4224.7192063579532</v>
      </c>
      <c r="DM227" s="351">
        <f>+DM187*DM228*(DM3/DM4)</f>
        <v>4856.4763955407079</v>
      </c>
      <c r="DN227" s="351">
        <f>DL227+DM227</f>
        <v>9081.1956018986602</v>
      </c>
      <c r="DO227" s="393">
        <f>+DN227/DJ227-1</f>
        <v>0.23650527579004255</v>
      </c>
      <c r="DP227" s="351">
        <f>+DP187*DP228*(DP3/DP4)</f>
        <v>4445.8643060767872</v>
      </c>
      <c r="DQ227" s="351">
        <f>+DQ187*DQ228*(DQ3/DQ4)</f>
        <v>4508.0089647994528</v>
      </c>
      <c r="DR227" s="351">
        <f>DP227+DQ227</f>
        <v>8953.87327087624</v>
      </c>
      <c r="DS227" s="393">
        <f>+DR227/DN227-1</f>
        <v>-1.4020437022169263E-2</v>
      </c>
    </row>
    <row r="228" spans="1:264" s="347" customFormat="1" x14ac:dyDescent="0.2">
      <c r="A228" s="463" t="s">
        <v>1123</v>
      </c>
      <c r="B228" s="466"/>
      <c r="C228" s="463"/>
      <c r="D228" s="463"/>
      <c r="E228" s="463"/>
      <c r="F228" s="463"/>
      <c r="G228" s="463"/>
      <c r="H228" s="463"/>
      <c r="I228" s="463"/>
      <c r="J228" s="463"/>
      <c r="K228" s="463"/>
      <c r="L228" s="463"/>
      <c r="M228" s="463"/>
      <c r="N228" s="463"/>
      <c r="O228" s="463"/>
      <c r="P228" s="463"/>
      <c r="Q228" s="463"/>
      <c r="R228" s="463"/>
      <c r="S228" s="463"/>
      <c r="T228" s="463"/>
      <c r="U228" s="463"/>
      <c r="V228" s="463"/>
      <c r="W228" s="463"/>
      <c r="X228" s="463"/>
      <c r="Y228" s="463"/>
      <c r="Z228" s="463"/>
      <c r="AA228" s="463"/>
      <c r="AB228" s="463"/>
      <c r="AC228" s="463"/>
      <c r="AD228" s="463"/>
      <c r="AE228" s="463"/>
      <c r="AF228" s="463"/>
      <c r="AG228" s="463"/>
      <c r="AH228" s="463"/>
      <c r="AI228" s="463"/>
      <c r="AJ228" s="463"/>
      <c r="AK228" s="463"/>
      <c r="AL228" s="463"/>
      <c r="AM228" s="463"/>
      <c r="AN228" s="463"/>
      <c r="AO228" s="463"/>
      <c r="AP228" s="463"/>
      <c r="AQ228" s="463"/>
      <c r="AR228" s="463"/>
      <c r="AS228" s="463"/>
      <c r="AT228" s="463"/>
      <c r="AU228" s="463"/>
      <c r="AV228" s="463"/>
      <c r="AW228" s="463"/>
      <c r="AX228" s="463"/>
      <c r="AY228" s="463"/>
      <c r="AZ228" s="463"/>
      <c r="BA228" s="463"/>
      <c r="BB228" s="463"/>
      <c r="BC228" s="463"/>
      <c r="BD228" s="463"/>
      <c r="BE228" s="463"/>
      <c r="BF228" s="463"/>
      <c r="BG228" s="463"/>
      <c r="BH228" s="487"/>
      <c r="BI228" s="487"/>
      <c r="BJ228" s="487"/>
      <c r="BK228" s="466"/>
      <c r="BL228" s="487"/>
      <c r="BM228" s="487"/>
      <c r="BN228" s="487"/>
      <c r="BO228" s="466"/>
      <c r="BP228" s="487"/>
      <c r="BQ228" s="487"/>
      <c r="BR228" s="487"/>
      <c r="BS228" s="463"/>
      <c r="BT228" s="487"/>
      <c r="BU228" s="487"/>
      <c r="BV228" s="487"/>
      <c r="BW228" s="463"/>
      <c r="BX228" s="487"/>
      <c r="BY228" s="487"/>
      <c r="BZ228" s="487"/>
      <c r="CA228" s="463"/>
      <c r="CB228" s="487"/>
      <c r="CC228" s="487"/>
      <c r="CD228" s="487"/>
      <c r="CE228" s="463"/>
      <c r="CF228" s="487"/>
      <c r="CG228" s="487"/>
      <c r="CH228" s="487"/>
      <c r="CI228" s="463"/>
      <c r="CJ228" s="487"/>
      <c r="CK228" s="487"/>
      <c r="CL228" s="487"/>
      <c r="CM228" s="463"/>
      <c r="CN228" s="487"/>
      <c r="CO228" s="487"/>
      <c r="CP228" s="487"/>
      <c r="CQ228" s="463"/>
      <c r="CR228" s="487"/>
      <c r="CS228" s="487"/>
      <c r="CT228" s="487"/>
      <c r="CU228" s="463"/>
      <c r="CV228" s="487"/>
      <c r="CW228" s="487"/>
      <c r="CX228" s="487"/>
      <c r="CY228" s="463"/>
      <c r="CZ228" s="487">
        <f>CZ227/CZ187*CZ$4/CZ$3</f>
        <v>6.9858899408174894E-3</v>
      </c>
      <c r="DA228" s="487">
        <f>DA227/DA187*DA$4/DA$3</f>
        <v>9.1981321638102843E-3</v>
      </c>
      <c r="DB228" s="487">
        <f>DB227/DB187*DB$4/DB$3</f>
        <v>8.0078067431059389E-3</v>
      </c>
      <c r="DC228" s="463"/>
      <c r="DD228" s="487">
        <f>DD227/DD187*DD$4/DD$3</f>
        <v>7.5886632515759014E-3</v>
      </c>
      <c r="DE228" s="487">
        <f>DE227/DE187*DE$4/DE$3</f>
        <v>8.4304907801325251E-3</v>
      </c>
      <c r="DF228" s="487">
        <f>DF227/DF187*DF$4/DF$3</f>
        <v>7.8611414897187971E-3</v>
      </c>
      <c r="DG228" s="463"/>
      <c r="DH228" s="487">
        <f>DH227/DH187*DH$4/DH$3</f>
        <v>6.7624183042836643E-3</v>
      </c>
      <c r="DI228" s="488">
        <v>7.0000000000000001E-3</v>
      </c>
      <c r="DJ228" s="487">
        <f>DJ227/DJ187*DJ$4/DJ$3</f>
        <v>6.7653749316570269E-3</v>
      </c>
      <c r="DK228" s="463"/>
      <c r="DL228" s="488">
        <v>7.4999999999999997E-3</v>
      </c>
      <c r="DM228" s="488">
        <v>8.5000000000000006E-3</v>
      </c>
      <c r="DN228" s="487">
        <f>DN227/DN187*DN$4/DN$3</f>
        <v>7.8818176686391277E-3</v>
      </c>
      <c r="DO228" s="463"/>
      <c r="DP228" s="488">
        <v>7.4999999999999997E-3</v>
      </c>
      <c r="DQ228" s="488">
        <v>7.4999999999999997E-3</v>
      </c>
      <c r="DR228" s="487">
        <f>DR227/DR187*DR$4/DR$3</f>
        <v>7.4076036709084872E-3</v>
      </c>
      <c r="DS228" s="463"/>
    </row>
    <row r="229" spans="1:264" s="347" customFormat="1" x14ac:dyDescent="0.2">
      <c r="A229" s="424"/>
      <c r="B229" s="348"/>
      <c r="BH229" s="491"/>
      <c r="BI229" s="491"/>
      <c r="BJ229" s="491"/>
      <c r="BK229" s="348"/>
      <c r="BL229" s="491"/>
      <c r="BM229" s="491"/>
      <c r="BN229" s="491"/>
      <c r="BO229" s="348"/>
      <c r="BP229" s="491"/>
      <c r="BQ229" s="491"/>
      <c r="BR229" s="491"/>
      <c r="BT229" s="491"/>
      <c r="BU229" s="491"/>
      <c r="BV229" s="491"/>
      <c r="BX229" s="491"/>
      <c r="BY229" s="491"/>
      <c r="BZ229" s="491"/>
      <c r="CB229" s="491"/>
      <c r="CC229" s="491"/>
      <c r="CD229" s="491"/>
      <c r="CF229" s="491"/>
      <c r="CG229" s="491"/>
      <c r="CH229" s="491"/>
      <c r="CJ229" s="491"/>
      <c r="CK229" s="491"/>
      <c r="CL229" s="491"/>
      <c r="CN229" s="491"/>
      <c r="CO229" s="491"/>
      <c r="CP229" s="491"/>
      <c r="CR229" s="491"/>
      <c r="CS229" s="491"/>
      <c r="CT229" s="491"/>
      <c r="CV229" s="491"/>
      <c r="CW229" s="491"/>
      <c r="CX229" s="491"/>
      <c r="CZ229" s="491"/>
      <c r="DA229" s="491"/>
      <c r="DB229" s="491"/>
      <c r="DD229" s="491"/>
      <c r="DE229" s="491"/>
      <c r="DF229" s="491"/>
      <c r="DH229" s="491"/>
      <c r="DI229" s="491"/>
      <c r="DJ229" s="491"/>
      <c r="DL229" s="491"/>
      <c r="DM229" s="491"/>
      <c r="DN229" s="491"/>
      <c r="DP229" s="491"/>
      <c r="DQ229" s="491"/>
      <c r="DR229" s="491"/>
    </row>
    <row r="230" spans="1:264" s="347" customFormat="1" x14ac:dyDescent="0.2">
      <c r="A230" s="463" t="s">
        <v>1124</v>
      </c>
      <c r="B230" s="466"/>
      <c r="C230" s="463"/>
      <c r="D230" s="463"/>
      <c r="E230" s="463"/>
      <c r="F230" s="463"/>
      <c r="G230" s="463"/>
      <c r="H230" s="463"/>
      <c r="I230" s="463"/>
      <c r="J230" s="463"/>
      <c r="K230" s="463"/>
      <c r="L230" s="463"/>
      <c r="M230" s="463"/>
      <c r="N230" s="463"/>
      <c r="O230" s="463"/>
      <c r="P230" s="463"/>
      <c r="Q230" s="463"/>
      <c r="R230" s="463"/>
      <c r="S230" s="463"/>
      <c r="T230" s="463"/>
      <c r="U230" s="463"/>
      <c r="V230" s="463"/>
      <c r="W230" s="463"/>
      <c r="X230" s="463"/>
      <c r="Y230" s="463"/>
      <c r="Z230" s="463"/>
      <c r="AA230" s="463"/>
      <c r="AB230" s="463"/>
      <c r="AC230" s="463"/>
      <c r="AD230" s="463"/>
      <c r="AE230" s="463"/>
      <c r="AF230" s="463"/>
      <c r="AG230" s="463"/>
      <c r="AH230" s="463"/>
      <c r="AI230" s="463"/>
      <c r="AJ230" s="463"/>
      <c r="AK230" s="463"/>
      <c r="AL230" s="463"/>
      <c r="AM230" s="463"/>
      <c r="AN230" s="463"/>
      <c r="AO230" s="463"/>
      <c r="AP230" s="463"/>
      <c r="AQ230" s="463"/>
      <c r="AR230" s="463"/>
      <c r="AS230" s="463"/>
      <c r="AT230" s="463"/>
      <c r="AU230" s="463"/>
      <c r="AV230" s="463"/>
      <c r="AW230" s="463"/>
      <c r="AX230" s="463"/>
      <c r="AY230" s="463"/>
      <c r="AZ230" s="463"/>
      <c r="BA230" s="463"/>
      <c r="BB230" s="463"/>
      <c r="BC230" s="463"/>
      <c r="BD230" s="463"/>
      <c r="BE230" s="463"/>
      <c r="BF230" s="463"/>
      <c r="BG230" s="463"/>
      <c r="BH230" s="1347"/>
      <c r="BI230" s="487"/>
      <c r="BJ230" s="1347"/>
      <c r="BK230" s="466"/>
      <c r="BL230" s="487"/>
      <c r="BM230" s="487"/>
      <c r="BN230" s="1347"/>
      <c r="BO230" s="466"/>
      <c r="BP230" s="487"/>
      <c r="BQ230" s="487"/>
      <c r="BR230" s="1347"/>
      <c r="BS230" s="463"/>
      <c r="BT230" s="487"/>
      <c r="BU230" s="487"/>
      <c r="BV230" s="1347"/>
      <c r="BW230" s="463"/>
      <c r="BX230" s="487"/>
      <c r="BY230" s="487"/>
      <c r="BZ230" s="1347"/>
      <c r="CA230" s="463"/>
      <c r="CB230" s="487"/>
      <c r="CC230" s="487"/>
      <c r="CD230" s="1347"/>
      <c r="CE230" s="463"/>
      <c r="CF230" s="487"/>
      <c r="CG230" s="487"/>
      <c r="CH230" s="1347"/>
      <c r="CI230" s="463"/>
      <c r="CJ230" s="487"/>
      <c r="CK230" s="487"/>
      <c r="CL230" s="487"/>
      <c r="CM230" s="463"/>
      <c r="CN230" s="487"/>
      <c r="CO230" s="487"/>
      <c r="CP230" s="487"/>
      <c r="CQ230" s="463"/>
      <c r="CR230" s="487"/>
      <c r="CS230" s="487"/>
      <c r="CT230" s="487"/>
      <c r="CU230" s="463"/>
      <c r="CV230" s="487"/>
      <c r="CW230" s="487"/>
      <c r="CX230" s="487"/>
      <c r="CY230" s="463"/>
      <c r="CZ230" s="487">
        <f t="shared" ref="CZ230:DB232" si="150">CZ217/CZ183</f>
        <v>7.6330596808412508E-3</v>
      </c>
      <c r="DA230" s="487">
        <f t="shared" si="150"/>
        <v>9.5727251801938015E-3</v>
      </c>
      <c r="DB230" s="487">
        <f t="shared" si="150"/>
        <v>9.5727251801938015E-3</v>
      </c>
      <c r="DC230" s="463"/>
      <c r="DD230" s="487">
        <f>DD217/DD183</f>
        <v>9.866198529336654E-3</v>
      </c>
      <c r="DE230" s="487">
        <f t="shared" ref="DE230:DF230" si="151">DE217/DE183</f>
        <v>1.0324046212397332E-2</v>
      </c>
      <c r="DF230" s="487">
        <f t="shared" si="151"/>
        <v>1.0324046212397332E-2</v>
      </c>
      <c r="DG230" s="463"/>
      <c r="DH230" s="487">
        <f>DH217/DH183</f>
        <v>9.6125929212750681E-3</v>
      </c>
      <c r="DI230" s="488">
        <v>0.01</v>
      </c>
      <c r="DJ230" s="487">
        <f>DJ217/DJ183</f>
        <v>0.01</v>
      </c>
      <c r="DK230" s="463"/>
      <c r="DL230" s="488">
        <v>0.01</v>
      </c>
      <c r="DM230" s="488">
        <v>1.0500000000000001E-2</v>
      </c>
      <c r="DN230" s="487">
        <f>DN217/DN183</f>
        <v>1.0500000000000001E-2</v>
      </c>
      <c r="DO230" s="463"/>
      <c r="DP230" s="488">
        <v>1.0500000000000001E-2</v>
      </c>
      <c r="DQ230" s="488">
        <v>1.0999999999999999E-2</v>
      </c>
      <c r="DR230" s="487">
        <f>DR217/DR183</f>
        <v>1.0999999999999999E-2</v>
      </c>
      <c r="DS230" s="463"/>
    </row>
    <row r="231" spans="1:264" s="347" customFormat="1" x14ac:dyDescent="0.2">
      <c r="A231" s="463" t="s">
        <v>1127</v>
      </c>
      <c r="B231" s="466"/>
      <c r="C231" s="463"/>
      <c r="D231" s="463"/>
      <c r="E231" s="463"/>
      <c r="F231" s="463"/>
      <c r="G231" s="463"/>
      <c r="H231" s="463"/>
      <c r="I231" s="463"/>
      <c r="J231" s="463"/>
      <c r="K231" s="463"/>
      <c r="L231" s="463"/>
      <c r="M231" s="463"/>
      <c r="N231" s="463"/>
      <c r="O231" s="463"/>
      <c r="P231" s="463"/>
      <c r="Q231" s="463"/>
      <c r="R231" s="463"/>
      <c r="S231" s="463"/>
      <c r="T231" s="463"/>
      <c r="U231" s="463"/>
      <c r="V231" s="463"/>
      <c r="W231" s="463"/>
      <c r="X231" s="463"/>
      <c r="Y231" s="463"/>
      <c r="Z231" s="463"/>
      <c r="AA231" s="463"/>
      <c r="AB231" s="463"/>
      <c r="AC231" s="463"/>
      <c r="AD231" s="463"/>
      <c r="AE231" s="463"/>
      <c r="AF231" s="463"/>
      <c r="AG231" s="463"/>
      <c r="AH231" s="463"/>
      <c r="AI231" s="463"/>
      <c r="AJ231" s="463"/>
      <c r="AK231" s="463"/>
      <c r="AL231" s="463"/>
      <c r="AM231" s="463"/>
      <c r="AN231" s="463"/>
      <c r="AO231" s="463"/>
      <c r="AP231" s="463"/>
      <c r="AQ231" s="463"/>
      <c r="AR231" s="463"/>
      <c r="AS231" s="463"/>
      <c r="AT231" s="463"/>
      <c r="AU231" s="463"/>
      <c r="AV231" s="463"/>
      <c r="AW231" s="463"/>
      <c r="AX231" s="463"/>
      <c r="AY231" s="463"/>
      <c r="AZ231" s="463"/>
      <c r="BA231" s="463"/>
      <c r="BB231" s="463"/>
      <c r="BC231" s="463"/>
      <c r="BD231" s="463"/>
      <c r="BE231" s="463"/>
      <c r="BF231" s="463"/>
      <c r="BG231" s="463"/>
      <c r="BH231" s="1347"/>
      <c r="BI231" s="487"/>
      <c r="BJ231" s="1347"/>
      <c r="BK231" s="466"/>
      <c r="BL231" s="487"/>
      <c r="BM231" s="487"/>
      <c r="BN231" s="1347"/>
      <c r="BO231" s="466"/>
      <c r="BP231" s="487"/>
      <c r="BQ231" s="487"/>
      <c r="BR231" s="1347"/>
      <c r="BS231" s="463"/>
      <c r="BT231" s="487"/>
      <c r="BU231" s="487"/>
      <c r="BV231" s="1347"/>
      <c r="BW231" s="463"/>
      <c r="BX231" s="487"/>
      <c r="BY231" s="487"/>
      <c r="BZ231" s="1347"/>
      <c r="CA231" s="463"/>
      <c r="CB231" s="487"/>
      <c r="CC231" s="487"/>
      <c r="CD231" s="1347"/>
      <c r="CE231" s="463"/>
      <c r="CF231" s="487"/>
      <c r="CG231" s="487"/>
      <c r="CH231" s="1347"/>
      <c r="CI231" s="463"/>
      <c r="CJ231" s="487"/>
      <c r="CK231" s="487"/>
      <c r="CL231" s="487"/>
      <c r="CM231" s="463"/>
      <c r="CN231" s="487"/>
      <c r="CO231" s="487"/>
      <c r="CP231" s="487"/>
      <c r="CQ231" s="463"/>
      <c r="CR231" s="487"/>
      <c r="CS231" s="487"/>
      <c r="CT231" s="487"/>
      <c r="CU231" s="463"/>
      <c r="CV231" s="487"/>
      <c r="CW231" s="487"/>
      <c r="CX231" s="487"/>
      <c r="CY231" s="463"/>
      <c r="CZ231" s="487">
        <f t="shared" si="150"/>
        <v>4.293202369704003E-3</v>
      </c>
      <c r="DA231" s="487">
        <f t="shared" si="150"/>
        <v>4.0701567413504785E-3</v>
      </c>
      <c r="DB231" s="487">
        <f t="shared" si="150"/>
        <v>4.0701567413504785E-3</v>
      </c>
      <c r="DC231" s="463"/>
      <c r="DD231" s="487">
        <f>DD218/DD184</f>
        <v>4.1422042688667136E-3</v>
      </c>
      <c r="DE231" s="487">
        <f t="shared" ref="DE231:DF231" si="152">DE218/DE184</f>
        <v>4.5061862665207895E-3</v>
      </c>
      <c r="DF231" s="487">
        <f t="shared" si="152"/>
        <v>4.5061862665207895E-3</v>
      </c>
      <c r="DG231" s="463"/>
      <c r="DH231" s="487">
        <f>DH218/DH184</f>
        <v>3.9272271016311169E-3</v>
      </c>
      <c r="DI231" s="488">
        <v>4.0000000000000001E-3</v>
      </c>
      <c r="DJ231" s="487">
        <f>DJ218/DJ184</f>
        <v>4.0000000000000001E-3</v>
      </c>
      <c r="DK231" s="463"/>
      <c r="DL231" s="488">
        <v>4.0000000000000001E-3</v>
      </c>
      <c r="DM231" s="488">
        <v>4.0000000000000001E-3</v>
      </c>
      <c r="DN231" s="487">
        <f>DN218/DN184</f>
        <v>4.0000000000000001E-3</v>
      </c>
      <c r="DO231" s="463"/>
      <c r="DP231" s="488">
        <v>4.4999999999999997E-3</v>
      </c>
      <c r="DQ231" s="488">
        <v>4.4999999999999997E-3</v>
      </c>
      <c r="DR231" s="487">
        <f>DR218/DR184</f>
        <v>4.4999999999999979E-3</v>
      </c>
      <c r="DS231" s="463"/>
    </row>
    <row r="232" spans="1:264" s="347" customFormat="1" x14ac:dyDescent="0.2">
      <c r="A232" s="411" t="s">
        <v>1132</v>
      </c>
      <c r="B232" s="348"/>
      <c r="BH232" s="490"/>
      <c r="BI232" s="490"/>
      <c r="BJ232" s="490"/>
      <c r="BK232" s="348"/>
      <c r="BL232" s="490"/>
      <c r="BM232" s="490"/>
      <c r="BN232" s="490"/>
      <c r="BO232" s="348"/>
      <c r="BP232" s="490"/>
      <c r="BQ232" s="490"/>
      <c r="BR232" s="490"/>
      <c r="BT232" s="490"/>
      <c r="BU232" s="490"/>
      <c r="BV232" s="490"/>
      <c r="BX232" s="490"/>
      <c r="BY232" s="490"/>
      <c r="BZ232" s="490"/>
      <c r="CB232" s="490"/>
      <c r="CC232" s="490"/>
      <c r="CD232" s="490"/>
      <c r="CF232" s="490"/>
      <c r="CG232" s="490"/>
      <c r="CH232" s="490"/>
      <c r="CJ232" s="490"/>
      <c r="CK232" s="490"/>
      <c r="CL232" s="490"/>
      <c r="CN232" s="490"/>
      <c r="CO232" s="490"/>
      <c r="CP232" s="490"/>
      <c r="CR232" s="490"/>
      <c r="CS232" s="490"/>
      <c r="CT232" s="490"/>
      <c r="CV232" s="490"/>
      <c r="CW232" s="490"/>
      <c r="CX232" s="490"/>
      <c r="CZ232" s="490">
        <f t="shared" si="150"/>
        <v>6.6321636249511472E-3</v>
      </c>
      <c r="DA232" s="490">
        <f t="shared" si="150"/>
        <v>7.9204335395200581E-3</v>
      </c>
      <c r="DB232" s="490">
        <f t="shared" si="150"/>
        <v>7.9204335395200581E-3</v>
      </c>
      <c r="DD232" s="490">
        <f>DD219/DD185</f>
        <v>8.1554435104319277E-3</v>
      </c>
      <c r="DE232" s="490">
        <f t="shared" ref="DE232:DF232" si="153">DE219/DE185</f>
        <v>8.5600408708483167E-3</v>
      </c>
      <c r="DF232" s="490">
        <f t="shared" si="153"/>
        <v>8.5600408708483167E-3</v>
      </c>
      <c r="DH232" s="490">
        <f>DH219/DH185</f>
        <v>7.8847422468131187E-3</v>
      </c>
      <c r="DI232" s="490">
        <f>DI219/DI185</f>
        <v>8.180343199411735E-3</v>
      </c>
      <c r="DJ232" s="490">
        <f>DJ219/DJ185</f>
        <v>8.180343199411735E-3</v>
      </c>
      <c r="DL232" s="490">
        <f>DL219/DL185</f>
        <v>8.1892756790791065E-3</v>
      </c>
      <c r="DM232" s="490">
        <f>DM219/DM185</f>
        <v>8.5303325600703857E-3</v>
      </c>
      <c r="DN232" s="490">
        <f>DN219/DN185</f>
        <v>8.5303325600703857E-3</v>
      </c>
      <c r="DP232" s="490">
        <f>DP219/DP185</f>
        <v>8.6845348651850996E-3</v>
      </c>
      <c r="DQ232" s="490">
        <f>DQ219/DQ185</f>
        <v>9.0285446792435411E-3</v>
      </c>
      <c r="DR232" s="490">
        <f>DR219/DR185</f>
        <v>9.0285446792435411E-3</v>
      </c>
    </row>
    <row r="233" spans="1:264" s="347" customFormat="1" x14ac:dyDescent="0.2">
      <c r="A233" s="463" t="s">
        <v>1125</v>
      </c>
      <c r="B233" s="466"/>
      <c r="C233" s="463"/>
      <c r="D233" s="463"/>
      <c r="E233" s="463"/>
      <c r="F233" s="463"/>
      <c r="G233" s="463"/>
      <c r="H233" s="463"/>
      <c r="I233" s="463"/>
      <c r="J233" s="463"/>
      <c r="K233" s="463"/>
      <c r="L233" s="463"/>
      <c r="M233" s="463"/>
      <c r="N233" s="463"/>
      <c r="O233" s="463"/>
      <c r="P233" s="463"/>
      <c r="Q233" s="463"/>
      <c r="R233" s="463"/>
      <c r="S233" s="463"/>
      <c r="T233" s="463"/>
      <c r="U233" s="463"/>
      <c r="V233" s="463"/>
      <c r="W233" s="463"/>
      <c r="X233" s="463"/>
      <c r="Y233" s="463"/>
      <c r="Z233" s="463"/>
      <c r="AA233" s="463"/>
      <c r="AB233" s="463"/>
      <c r="AC233" s="463"/>
      <c r="AD233" s="463"/>
      <c r="AE233" s="463"/>
      <c r="AF233" s="463"/>
      <c r="AG233" s="463"/>
      <c r="AH233" s="463"/>
      <c r="AI233" s="463"/>
      <c r="AJ233" s="463"/>
      <c r="AK233" s="463"/>
      <c r="AL233" s="463"/>
      <c r="AM233" s="463"/>
      <c r="AN233" s="463"/>
      <c r="AO233" s="463"/>
      <c r="AP233" s="463"/>
      <c r="AQ233" s="463"/>
      <c r="AR233" s="463"/>
      <c r="AS233" s="463"/>
      <c r="AT233" s="463"/>
      <c r="AU233" s="463"/>
      <c r="AV233" s="463"/>
      <c r="AW233" s="463"/>
      <c r="AX233" s="463"/>
      <c r="AY233" s="463"/>
      <c r="AZ233" s="463"/>
      <c r="BA233" s="463"/>
      <c r="BB233" s="463"/>
      <c r="BC233" s="463"/>
      <c r="BD233" s="463"/>
      <c r="BE233" s="463"/>
      <c r="BF233" s="463"/>
      <c r="BG233" s="463"/>
      <c r="BH233" s="1347"/>
      <c r="BI233" s="487"/>
      <c r="BJ233" s="1347"/>
      <c r="BK233" s="466"/>
      <c r="BL233" s="487"/>
      <c r="BM233" s="487"/>
      <c r="BN233" s="1347"/>
      <c r="BO233" s="466"/>
      <c r="BP233" s="487"/>
      <c r="BQ233" s="487"/>
      <c r="BR233" s="1347"/>
      <c r="BS233" s="463"/>
      <c r="BT233" s="487"/>
      <c r="BU233" s="487"/>
      <c r="BV233" s="1347"/>
      <c r="BW233" s="463"/>
      <c r="BX233" s="487"/>
      <c r="BY233" s="487"/>
      <c r="BZ233" s="1347"/>
      <c r="CA233" s="463"/>
      <c r="CB233" s="487"/>
      <c r="CC233" s="487"/>
      <c r="CD233" s="1347"/>
      <c r="CE233" s="463"/>
      <c r="CF233" s="487"/>
      <c r="CG233" s="487"/>
      <c r="CH233" s="1347"/>
      <c r="CI233" s="463"/>
      <c r="CJ233" s="487"/>
      <c r="CK233" s="487"/>
      <c r="CL233" s="487"/>
      <c r="CM233" s="463"/>
      <c r="CN233" s="487"/>
      <c r="CO233" s="487"/>
      <c r="CP233" s="487"/>
      <c r="CQ233" s="463"/>
      <c r="CR233" s="487"/>
      <c r="CS233" s="487"/>
      <c r="CT233" s="487"/>
      <c r="CU233" s="463"/>
      <c r="CV233" s="487"/>
      <c r="CW233" s="487"/>
      <c r="CX233" s="487"/>
      <c r="CY233" s="463"/>
      <c r="CZ233" s="487">
        <f t="shared" ref="CZ233:DB234" si="154">CZ220/CZ183</f>
        <v>6.7183224179811205E-4</v>
      </c>
      <c r="DA233" s="487">
        <f t="shared" si="154"/>
        <v>6.6195176477844926E-4</v>
      </c>
      <c r="DB233" s="487">
        <f t="shared" si="154"/>
        <v>6.6195176477844926E-4</v>
      </c>
      <c r="DC233" s="463"/>
      <c r="DD233" s="487">
        <f>DD220/DD183</f>
        <v>7.2380335313577591E-4</v>
      </c>
      <c r="DE233" s="487">
        <f t="shared" ref="DE233:DF233" si="155">DE220/DE183</f>
        <v>9.5075028748541383E-4</v>
      </c>
      <c r="DF233" s="487">
        <f t="shared" si="155"/>
        <v>9.5075028748541383E-4</v>
      </c>
      <c r="DG233" s="463"/>
      <c r="DH233" s="487">
        <f>DH220/DH183</f>
        <v>8.0116353596607992E-4</v>
      </c>
      <c r="DI233" s="1348">
        <v>6.9999999999999999E-4</v>
      </c>
      <c r="DJ233" s="487">
        <f>DJ220/DJ183</f>
        <v>6.9999999999999999E-4</v>
      </c>
      <c r="DK233" s="463"/>
      <c r="DL233" s="1348">
        <v>6.9999999999999999E-4</v>
      </c>
      <c r="DM233" s="1348">
        <v>6.9999999999999999E-4</v>
      </c>
      <c r="DN233" s="487">
        <f>DN220/DN183</f>
        <v>6.9999999999999999E-4</v>
      </c>
      <c r="DO233" s="463"/>
      <c r="DP233" s="1348">
        <v>6.9999999999999999E-4</v>
      </c>
      <c r="DQ233" s="1348">
        <v>6.9999999999999999E-4</v>
      </c>
      <c r="DR233" s="487">
        <f>DR220/DR183</f>
        <v>6.9999999999999988E-4</v>
      </c>
      <c r="DS233" s="463"/>
    </row>
    <row r="234" spans="1:264" s="347" customFormat="1" x14ac:dyDescent="0.2">
      <c r="A234" s="463" t="s">
        <v>1126</v>
      </c>
      <c r="B234" s="466"/>
      <c r="C234" s="463"/>
      <c r="D234" s="463"/>
      <c r="E234" s="463"/>
      <c r="F234" s="463"/>
      <c r="G234" s="463"/>
      <c r="H234" s="463"/>
      <c r="I234" s="463"/>
      <c r="J234" s="463"/>
      <c r="K234" s="463"/>
      <c r="L234" s="463"/>
      <c r="M234" s="463"/>
      <c r="N234" s="463"/>
      <c r="O234" s="463"/>
      <c r="P234" s="463"/>
      <c r="Q234" s="463"/>
      <c r="R234" s="463"/>
      <c r="S234" s="463"/>
      <c r="T234" s="463"/>
      <c r="U234" s="463"/>
      <c r="V234" s="463"/>
      <c r="W234" s="463"/>
      <c r="X234" s="463"/>
      <c r="Y234" s="463"/>
      <c r="Z234" s="463"/>
      <c r="AA234" s="463"/>
      <c r="AB234" s="463"/>
      <c r="AC234" s="463"/>
      <c r="AD234" s="463"/>
      <c r="AE234" s="463"/>
      <c r="AF234" s="463"/>
      <c r="AG234" s="463"/>
      <c r="AH234" s="463"/>
      <c r="AI234" s="463"/>
      <c r="AJ234" s="463"/>
      <c r="AK234" s="463"/>
      <c r="AL234" s="463"/>
      <c r="AM234" s="463"/>
      <c r="AN234" s="463"/>
      <c r="AO234" s="463"/>
      <c r="AP234" s="463"/>
      <c r="AQ234" s="463"/>
      <c r="AR234" s="463"/>
      <c r="AS234" s="463"/>
      <c r="AT234" s="463"/>
      <c r="AU234" s="463"/>
      <c r="AV234" s="463"/>
      <c r="AW234" s="463"/>
      <c r="AX234" s="463"/>
      <c r="AY234" s="463"/>
      <c r="AZ234" s="463"/>
      <c r="BA234" s="463"/>
      <c r="BB234" s="463"/>
      <c r="BC234" s="463"/>
      <c r="BD234" s="463"/>
      <c r="BE234" s="463"/>
      <c r="BF234" s="463"/>
      <c r="BG234" s="463"/>
      <c r="BH234" s="1347"/>
      <c r="BI234" s="487"/>
      <c r="BJ234" s="1347"/>
      <c r="BK234" s="466"/>
      <c r="BL234" s="487"/>
      <c r="BM234" s="487"/>
      <c r="BN234" s="1347"/>
      <c r="BO234" s="466"/>
      <c r="BP234" s="487"/>
      <c r="BQ234" s="487"/>
      <c r="BR234" s="1347"/>
      <c r="BS234" s="463"/>
      <c r="BT234" s="487"/>
      <c r="BU234" s="487"/>
      <c r="BV234" s="1347"/>
      <c r="BW234" s="463"/>
      <c r="BX234" s="487"/>
      <c r="BY234" s="487"/>
      <c r="BZ234" s="1347"/>
      <c r="CA234" s="463"/>
      <c r="CB234" s="487"/>
      <c r="CC234" s="487"/>
      <c r="CD234" s="1347"/>
      <c r="CE234" s="463"/>
      <c r="CF234" s="487"/>
      <c r="CG234" s="487"/>
      <c r="CH234" s="1347"/>
      <c r="CI234" s="463"/>
      <c r="CJ234" s="487"/>
      <c r="CK234" s="487"/>
      <c r="CL234" s="487"/>
      <c r="CM234" s="463"/>
      <c r="CN234" s="487"/>
      <c r="CO234" s="487"/>
      <c r="CP234" s="487"/>
      <c r="CQ234" s="463"/>
      <c r="CR234" s="487"/>
      <c r="CS234" s="487"/>
      <c r="CT234" s="487"/>
      <c r="CU234" s="463"/>
      <c r="CV234" s="487"/>
      <c r="CW234" s="487"/>
      <c r="CX234" s="487"/>
      <c r="CY234" s="463"/>
      <c r="CZ234" s="487">
        <f t="shared" si="154"/>
        <v>5.4787728985762375E-3</v>
      </c>
      <c r="DA234" s="487">
        <f t="shared" si="154"/>
        <v>5.8685980921797604E-3</v>
      </c>
      <c r="DB234" s="487">
        <f t="shared" si="154"/>
        <v>5.8685980921797604E-3</v>
      </c>
      <c r="DC234" s="463"/>
      <c r="DD234" s="487">
        <f>DD221/DD184</f>
        <v>6.3194289920065726E-3</v>
      </c>
      <c r="DE234" s="487">
        <f t="shared" ref="DE234:DF234" si="156">DE221/DE184</f>
        <v>5.3015865801357698E-3</v>
      </c>
      <c r="DF234" s="487">
        <f t="shared" si="156"/>
        <v>5.3015865801357698E-3</v>
      </c>
      <c r="DG234" s="463"/>
      <c r="DH234" s="487">
        <f>DH221/DH184</f>
        <v>5.0595984943538272E-3</v>
      </c>
      <c r="DI234" s="488">
        <v>5.4999999999999997E-3</v>
      </c>
      <c r="DJ234" s="487">
        <f>DJ221/DJ184</f>
        <v>5.4999999999999997E-3</v>
      </c>
      <c r="DK234" s="463"/>
      <c r="DL234" s="488">
        <v>5.4999999999999997E-3</v>
      </c>
      <c r="DM234" s="488">
        <v>5.0000000000000001E-3</v>
      </c>
      <c r="DN234" s="487">
        <f>DN221/DN184</f>
        <v>5.0000000000000001E-3</v>
      </c>
      <c r="DO234" s="463"/>
      <c r="DP234" s="488">
        <v>5.0000000000000001E-3</v>
      </c>
      <c r="DQ234" s="488">
        <v>5.0000000000000001E-3</v>
      </c>
      <c r="DR234" s="487">
        <f>DR221/DR184</f>
        <v>4.9999999999999984E-3</v>
      </c>
      <c r="DS234" s="463"/>
    </row>
    <row r="235" spans="1:264" s="347" customFormat="1" x14ac:dyDescent="0.2">
      <c r="A235" s="411" t="s">
        <v>1133</v>
      </c>
      <c r="B235" s="348"/>
      <c r="BH235" s="490"/>
      <c r="BI235" s="490"/>
      <c r="BJ235" s="490"/>
      <c r="BK235" s="348"/>
      <c r="BL235" s="490"/>
      <c r="BM235" s="490"/>
      <c r="BN235" s="490"/>
      <c r="BO235" s="348"/>
      <c r="BP235" s="490"/>
      <c r="BQ235" s="490"/>
      <c r="BR235" s="490"/>
      <c r="BT235" s="490"/>
      <c r="BU235" s="490"/>
      <c r="BV235" s="490"/>
      <c r="BX235" s="490"/>
      <c r="BY235" s="490"/>
      <c r="BZ235" s="490"/>
      <c r="CB235" s="490"/>
      <c r="CC235" s="490"/>
      <c r="CD235" s="490"/>
      <c r="CF235" s="490"/>
      <c r="CG235" s="490"/>
      <c r="CH235" s="490"/>
      <c r="CJ235" s="490"/>
      <c r="CK235" s="490"/>
      <c r="CL235" s="490"/>
      <c r="CN235" s="490"/>
      <c r="CO235" s="490"/>
      <c r="CP235" s="490"/>
      <c r="CR235" s="490"/>
      <c r="CS235" s="490"/>
      <c r="CT235" s="490"/>
      <c r="CV235" s="490"/>
      <c r="CW235" s="490"/>
      <c r="CX235" s="490"/>
      <c r="CZ235" s="490">
        <f>CZ222/CZ187</f>
        <v>2.112387180544505E-3</v>
      </c>
      <c r="DA235" s="490">
        <f>DA222/DA187</f>
        <v>2.2253849684403778E-3</v>
      </c>
      <c r="DB235" s="490">
        <f>DB222/DB187</f>
        <v>2.2253849684403778E-3</v>
      </c>
      <c r="DD235" s="490">
        <f>DD222/DD187</f>
        <v>2.3961922847110244E-3</v>
      </c>
      <c r="DE235" s="490">
        <f>DE222/DE187</f>
        <v>2.2699464406826376E-3</v>
      </c>
      <c r="DF235" s="490">
        <f>DF222/DF187</f>
        <v>2.2699464406826376E-3</v>
      </c>
      <c r="DH235" s="490">
        <f>DH222/DH187</f>
        <v>2.0953528543701167E-3</v>
      </c>
      <c r="DI235" s="490">
        <f>DI222/DI187</f>
        <v>2.1557254404706134E-3</v>
      </c>
      <c r="DJ235" s="490">
        <f>DJ222/DJ187</f>
        <v>2.1557254404706134E-3</v>
      </c>
      <c r="DL235" s="490">
        <f>DL222/DL187</f>
        <v>2.148579456736716E-3</v>
      </c>
      <c r="DM235" s="490">
        <f>DM222/DM187</f>
        <v>2.0030107679534378E-3</v>
      </c>
      <c r="DN235" s="490">
        <f>DN222/DN187</f>
        <v>2.0030107679534378E-3</v>
      </c>
      <c r="DP235" s="490">
        <f>DP222/DP187</f>
        <v>2.0010833466173454E-3</v>
      </c>
      <c r="DQ235" s="490">
        <f>DQ222/DQ187</f>
        <v>2.0041935198850413E-3</v>
      </c>
      <c r="DR235" s="490">
        <f>DR222/DR187</f>
        <v>2.0041935198850413E-3</v>
      </c>
    </row>
    <row r="236" spans="1:264" s="347" customFormat="1" x14ac:dyDescent="0.2">
      <c r="A236" s="411" t="s">
        <v>1134</v>
      </c>
      <c r="B236" s="348"/>
      <c r="BH236" s="490"/>
      <c r="BI236" s="490"/>
      <c r="BJ236" s="490"/>
      <c r="BK236" s="348"/>
      <c r="BL236" s="490"/>
      <c r="BM236" s="490"/>
      <c r="BN236" s="490"/>
      <c r="BO236" s="348"/>
      <c r="BP236" s="490"/>
      <c r="BQ236" s="490"/>
      <c r="BR236" s="490"/>
      <c r="BT236" s="490"/>
      <c r="BU236" s="490"/>
      <c r="BV236" s="490"/>
      <c r="BX236" s="490"/>
      <c r="BY236" s="490"/>
      <c r="BZ236" s="490"/>
      <c r="CB236" s="490"/>
      <c r="CC236" s="490"/>
      <c r="CD236" s="490"/>
      <c r="CF236" s="490"/>
      <c r="CG236" s="490"/>
      <c r="CH236" s="490"/>
      <c r="CJ236" s="490"/>
      <c r="CK236" s="490"/>
      <c r="CL236" s="490"/>
      <c r="CN236" s="490"/>
      <c r="CO236" s="490"/>
      <c r="CP236" s="490"/>
      <c r="CR236" s="490"/>
      <c r="CS236" s="490"/>
      <c r="CT236" s="490"/>
      <c r="CV236" s="490"/>
      <c r="CW236" s="490"/>
      <c r="CX236" s="490"/>
      <c r="CZ236" s="490">
        <f>CZ223/CZ187</f>
        <v>8.7445508054956513E-3</v>
      </c>
      <c r="DA236" s="490">
        <f>DA223/DA187</f>
        <v>1.0145818507960435E-2</v>
      </c>
      <c r="DB236" s="490">
        <f>DB223/DB187</f>
        <v>1.0145818507960435E-2</v>
      </c>
      <c r="DD236" s="490">
        <f>DD223/DD187</f>
        <v>1.0551635795142953E-2</v>
      </c>
      <c r="DE236" s="490">
        <f>DE223/DE187</f>
        <v>1.0829987311530953E-2</v>
      </c>
      <c r="DF236" s="490">
        <f>DF223/DF187</f>
        <v>1.0829987311530953E-2</v>
      </c>
      <c r="DH236" s="490">
        <f>DH223/DH187</f>
        <v>9.980095101183235E-3</v>
      </c>
      <c r="DI236" s="490">
        <f>DI223/DI187</f>
        <v>1.0336068639882349E-2</v>
      </c>
      <c r="DJ236" s="490">
        <f>DJ223/DJ187</f>
        <v>1.0336068639882349E-2</v>
      </c>
      <c r="DL236" s="490">
        <f>DL223/DL187</f>
        <v>1.0337855135815822E-2</v>
      </c>
      <c r="DM236" s="490">
        <f>DM223/DM187</f>
        <v>1.0533343328023824E-2</v>
      </c>
      <c r="DN236" s="490">
        <f>DN223/DN187</f>
        <v>1.0533343328023824E-2</v>
      </c>
      <c r="DP236" s="490">
        <f>DP223/DP187</f>
        <v>1.0685618211802445E-2</v>
      </c>
      <c r="DQ236" s="490">
        <f>DQ223/DQ187</f>
        <v>1.1032738199128582E-2</v>
      </c>
      <c r="DR236" s="490">
        <f>DR223/DR187</f>
        <v>1.1032738199128582E-2</v>
      </c>
    </row>
    <row r="237" spans="1:264" s="347" customFormat="1" x14ac:dyDescent="0.2">
      <c r="A237" s="347" t="s">
        <v>1141</v>
      </c>
      <c r="B237" s="348"/>
      <c r="BH237" s="490"/>
      <c r="BI237" s="490"/>
      <c r="BJ237" s="490"/>
      <c r="BK237" s="348"/>
      <c r="BL237" s="490"/>
      <c r="BM237" s="490"/>
      <c r="BN237" s="490"/>
      <c r="BO237" s="348"/>
      <c r="BP237" s="490"/>
      <c r="BQ237" s="490"/>
      <c r="BR237" s="490"/>
      <c r="BT237" s="490"/>
      <c r="BU237" s="490"/>
      <c r="BV237" s="490"/>
      <c r="BX237" s="490"/>
      <c r="BY237" s="490"/>
      <c r="BZ237" s="490"/>
      <c r="CB237" s="490"/>
      <c r="CC237" s="490"/>
      <c r="CD237" s="490"/>
      <c r="CF237" s="490"/>
      <c r="CG237" s="490"/>
      <c r="CH237" s="490"/>
      <c r="CJ237" s="490"/>
      <c r="CK237" s="490"/>
      <c r="CL237" s="490"/>
      <c r="CN237" s="490"/>
      <c r="CO237" s="490"/>
      <c r="CP237" s="490"/>
      <c r="CR237" s="490"/>
      <c r="CS237" s="490"/>
      <c r="CT237" s="490"/>
      <c r="CV237" s="490"/>
      <c r="CW237" s="490"/>
      <c r="CX237" s="490"/>
      <c r="CZ237" s="489">
        <f>CZ224/CZ183</f>
        <v>8.3048919226393625E-3</v>
      </c>
      <c r="DA237" s="489">
        <f t="shared" ref="DA237:DB237" si="157">DA224/DA183</f>
        <v>1.0234676944972251E-2</v>
      </c>
      <c r="DB237" s="489">
        <f t="shared" si="157"/>
        <v>1.0234676944972251E-2</v>
      </c>
      <c r="DD237" s="489">
        <f>DD224/DD183</f>
        <v>1.059000188247243E-2</v>
      </c>
      <c r="DE237" s="489">
        <f t="shared" ref="DE237:DF237" si="158">DE224/DE183</f>
        <v>1.1274796499882745E-2</v>
      </c>
      <c r="DF237" s="489">
        <f t="shared" si="158"/>
        <v>1.1274796499882745E-2</v>
      </c>
      <c r="DH237" s="489">
        <f>DH224/DH183</f>
        <v>1.0413756457241149E-2</v>
      </c>
      <c r="DI237" s="489">
        <f t="shared" ref="DI237:DJ237" si="159">DI224/DI183</f>
        <v>1.0700000000000001E-2</v>
      </c>
      <c r="DJ237" s="489">
        <f t="shared" si="159"/>
        <v>1.0700000000000001E-2</v>
      </c>
      <c r="DL237" s="489">
        <f>DL224/DL183</f>
        <v>1.0699999999999999E-2</v>
      </c>
      <c r="DM237" s="489">
        <f t="shared" ref="DM237:DN237" si="160">DM224/DM183</f>
        <v>1.12E-2</v>
      </c>
      <c r="DN237" s="489">
        <f t="shared" si="160"/>
        <v>1.12E-2</v>
      </c>
      <c r="DP237" s="489">
        <f>DP224/DP183</f>
        <v>1.12E-2</v>
      </c>
      <c r="DQ237" s="489">
        <f t="shared" ref="DQ237:DR238" si="161">DQ224/DQ183</f>
        <v>1.1699999999999999E-2</v>
      </c>
      <c r="DR237" s="489">
        <f t="shared" si="161"/>
        <v>1.1699999999999999E-2</v>
      </c>
    </row>
    <row r="238" spans="1:264" s="347" customFormat="1" x14ac:dyDescent="0.2">
      <c r="A238" s="347" t="s">
        <v>1142</v>
      </c>
      <c r="B238" s="348"/>
      <c r="BH238" s="490"/>
      <c r="BI238" s="490"/>
      <c r="BJ238" s="490"/>
      <c r="BK238" s="348"/>
      <c r="BL238" s="490"/>
      <c r="BM238" s="490"/>
      <c r="BN238" s="490"/>
      <c r="BO238" s="348"/>
      <c r="BP238" s="490"/>
      <c r="BQ238" s="490"/>
      <c r="BR238" s="490"/>
      <c r="BT238" s="490"/>
      <c r="BU238" s="490"/>
      <c r="BV238" s="490"/>
      <c r="BX238" s="490"/>
      <c r="BY238" s="490"/>
      <c r="BZ238" s="490"/>
      <c r="CB238" s="490"/>
      <c r="CC238" s="490"/>
      <c r="CD238" s="490"/>
      <c r="CF238" s="490"/>
      <c r="CG238" s="490"/>
      <c r="CH238" s="490"/>
      <c r="CJ238" s="490"/>
      <c r="CK238" s="490"/>
      <c r="CL238" s="490"/>
      <c r="CN238" s="490"/>
      <c r="CO238" s="490"/>
      <c r="CP238" s="490"/>
      <c r="CR238" s="490"/>
      <c r="CS238" s="490"/>
      <c r="CT238" s="490"/>
      <c r="CV238" s="490"/>
      <c r="CW238" s="490"/>
      <c r="CX238" s="490"/>
      <c r="CZ238" s="489">
        <f>CZ225/CZ184</f>
        <v>9.7719752682802405E-3</v>
      </c>
      <c r="DA238" s="489">
        <f t="shared" ref="DA238:DB238" si="162">DA225/DA184</f>
        <v>9.9387548335302389E-3</v>
      </c>
      <c r="DB238" s="489">
        <f t="shared" si="162"/>
        <v>9.9387548335302389E-3</v>
      </c>
      <c r="DD238" s="489">
        <f>DD225/DD184</f>
        <v>1.0461633260873286E-2</v>
      </c>
      <c r="DE238" s="489">
        <f t="shared" ref="DE238:DF238" si="163">DE225/DE184</f>
        <v>9.8077728466565584E-3</v>
      </c>
      <c r="DF238" s="489">
        <f t="shared" si="163"/>
        <v>9.8077728466565584E-3</v>
      </c>
      <c r="DH238" s="489">
        <f>DH225/DH184</f>
        <v>8.9868255959849441E-3</v>
      </c>
      <c r="DI238" s="489">
        <f t="shared" ref="DI238:DJ238" si="164">DI225/DI184</f>
        <v>9.4999999999999998E-3</v>
      </c>
      <c r="DJ238" s="489">
        <f t="shared" si="164"/>
        <v>9.4999999999999998E-3</v>
      </c>
      <c r="DL238" s="489">
        <f>DL225/DL184</f>
        <v>9.499999999999998E-3</v>
      </c>
      <c r="DM238" s="489">
        <f>DM225/DM184</f>
        <v>8.9999999999999993E-3</v>
      </c>
      <c r="DN238" s="489">
        <f t="shared" ref="DN238" si="165">DN225/DN184</f>
        <v>8.9999999999999993E-3</v>
      </c>
      <c r="DP238" s="489">
        <f>DP225/DP184</f>
        <v>9.4999999999999998E-3</v>
      </c>
      <c r="DQ238" s="489">
        <f>DQ225/DQ184</f>
        <v>9.4999999999999998E-3</v>
      </c>
      <c r="DR238" s="489">
        <f t="shared" si="161"/>
        <v>9.4999999999999963E-3</v>
      </c>
    </row>
    <row r="239" spans="1:264" s="347" customFormat="1" x14ac:dyDescent="0.2">
      <c r="A239" s="424"/>
      <c r="B239" s="348"/>
      <c r="BH239" s="398"/>
      <c r="BI239" s="428"/>
      <c r="BJ239" s="397"/>
      <c r="BK239" s="348"/>
      <c r="BL239" s="348"/>
      <c r="BM239" s="428"/>
      <c r="BN239" s="397"/>
      <c r="BO239" s="348"/>
      <c r="BP239" s="348"/>
      <c r="BQ239" s="428"/>
      <c r="BR239" s="397"/>
      <c r="BT239" s="348"/>
      <c r="BU239" s="348"/>
      <c r="BV239" s="348"/>
      <c r="BX239" s="348"/>
      <c r="BY239" s="348"/>
      <c r="BZ239" s="348"/>
      <c r="CB239" s="348"/>
      <c r="CC239" s="348"/>
      <c r="CD239" s="348"/>
      <c r="CF239" s="348"/>
      <c r="CG239" s="348"/>
      <c r="CH239" s="348"/>
      <c r="CJ239" s="348"/>
      <c r="CK239" s="348"/>
      <c r="CL239" s="348"/>
      <c r="CN239" s="348"/>
      <c r="CO239" s="348"/>
      <c r="CP239" s="348"/>
      <c r="CR239" s="348"/>
      <c r="CS239" s="348"/>
      <c r="CT239" s="348"/>
      <c r="CV239" s="348"/>
      <c r="CW239" s="348"/>
      <c r="CX239" s="348"/>
      <c r="CZ239" s="348"/>
      <c r="DA239" s="348"/>
      <c r="DB239" s="348"/>
      <c r="DD239" s="348"/>
      <c r="DE239" s="348"/>
      <c r="DF239" s="348"/>
      <c r="DH239" s="348"/>
      <c r="DI239" s="348"/>
      <c r="DJ239" s="348"/>
      <c r="DL239" s="348"/>
      <c r="DM239" s="348"/>
      <c r="DN239" s="348"/>
      <c r="DP239" s="348"/>
      <c r="DQ239" s="348"/>
      <c r="DR239" s="348"/>
      <c r="DT239" s="1"/>
      <c r="DU239" s="1"/>
      <c r="DV239" s="1"/>
      <c r="DW239" s="1"/>
      <c r="DX239" s="1"/>
      <c r="DY239" s="1"/>
      <c r="DZ239" s="1"/>
      <c r="EA239" s="1"/>
      <c r="EB239" s="1"/>
      <c r="EC239" s="1"/>
      <c r="ED239" s="1"/>
      <c r="EE239" s="1"/>
      <c r="EF239" s="1"/>
      <c r="EG239" s="1"/>
      <c r="EH239" s="1"/>
      <c r="EI239" s="1"/>
      <c r="EJ239" s="1"/>
      <c r="EK239" s="1"/>
      <c r="EL239" s="1"/>
      <c r="EM239" s="1"/>
      <c r="EN239" s="1"/>
      <c r="EO239" s="1"/>
      <c r="EP239" s="1"/>
      <c r="EQ239" s="1"/>
      <c r="ER239" s="1"/>
      <c r="ES239" s="1"/>
      <c r="ET239" s="1"/>
      <c r="EU239" s="1"/>
      <c r="EV239" s="1"/>
      <c r="EW239" s="1"/>
      <c r="EX239" s="1"/>
      <c r="EY239" s="1"/>
      <c r="EZ239" s="1"/>
      <c r="FA239" s="1"/>
      <c r="FB239" s="1"/>
      <c r="FC239" s="1"/>
      <c r="FD239" s="1"/>
      <c r="FE239" s="1"/>
      <c r="FF239" s="1"/>
      <c r="FG239" s="1"/>
      <c r="FH239" s="1"/>
      <c r="FI239" s="1"/>
      <c r="FJ239" s="1"/>
      <c r="FK239" s="1"/>
      <c r="FL239" s="1"/>
      <c r="FM239" s="1"/>
      <c r="FN239" s="1"/>
      <c r="FO239" s="1"/>
      <c r="FP239" s="1"/>
      <c r="FQ239" s="1"/>
      <c r="FR239" s="1"/>
      <c r="FS239" s="1"/>
      <c r="FT239" s="1"/>
      <c r="FU239" s="1"/>
      <c r="FV239" s="1"/>
      <c r="FW239" s="1"/>
      <c r="FX239" s="1"/>
      <c r="FY239" s="1"/>
      <c r="FZ239" s="1"/>
      <c r="GA239" s="1"/>
      <c r="GB239" s="1"/>
      <c r="GC239" s="1"/>
      <c r="GD239" s="1"/>
      <c r="GE239" s="1"/>
      <c r="GF239" s="1"/>
      <c r="GG239" s="1"/>
      <c r="GH239" s="1"/>
      <c r="GI239" s="1"/>
      <c r="GJ239" s="1"/>
      <c r="GK239" s="1"/>
      <c r="GL239" s="1"/>
      <c r="GM239" s="1"/>
      <c r="GN239" s="1"/>
      <c r="GO239" s="1"/>
      <c r="GP239" s="1"/>
      <c r="GQ239" s="1"/>
      <c r="GR239" s="1"/>
      <c r="GS239" s="1"/>
      <c r="GT239" s="1"/>
      <c r="GU239" s="1"/>
      <c r="GV239" s="1"/>
      <c r="GW239" s="1"/>
      <c r="GX239" s="1"/>
      <c r="GY239" s="1"/>
      <c r="GZ239" s="1"/>
      <c r="HA239" s="1"/>
      <c r="HB239" s="1"/>
      <c r="HC239" s="1"/>
      <c r="HD239" s="1"/>
      <c r="HE239" s="1"/>
      <c r="HF239" s="1"/>
      <c r="HG239" s="1"/>
      <c r="HH239" s="1"/>
      <c r="HI239" s="1"/>
      <c r="HJ239" s="1"/>
      <c r="HK239" s="1"/>
      <c r="HL239" s="1"/>
      <c r="HM239" s="1"/>
      <c r="HN239" s="1"/>
      <c r="HO239" s="1"/>
      <c r="HP239" s="1"/>
      <c r="HQ239" s="1"/>
      <c r="HR239" s="1"/>
      <c r="HS239" s="1"/>
      <c r="HT239" s="1"/>
      <c r="HU239" s="1"/>
      <c r="HV239" s="1"/>
      <c r="HW239" s="1"/>
      <c r="HX239" s="1"/>
      <c r="HY239" s="1"/>
      <c r="HZ239" s="1"/>
      <c r="IA239" s="1"/>
      <c r="IB239" s="1"/>
      <c r="IC239" s="1"/>
      <c r="ID239" s="1"/>
      <c r="IE239" s="1"/>
      <c r="IF239" s="1"/>
      <c r="IG239" s="1"/>
      <c r="IH239" s="1"/>
      <c r="II239" s="1"/>
      <c r="IJ239" s="1"/>
      <c r="IK239" s="1"/>
      <c r="IL239" s="1"/>
      <c r="IM239" s="1"/>
      <c r="IN239" s="1"/>
      <c r="IO239" s="1"/>
      <c r="IP239" s="1"/>
      <c r="IQ239" s="1"/>
      <c r="IR239" s="1"/>
      <c r="IS239" s="1"/>
      <c r="IT239" s="1"/>
      <c r="IU239" s="1"/>
      <c r="IV239" s="1"/>
      <c r="IW239" s="1"/>
      <c r="IX239" s="1"/>
      <c r="IY239" s="1"/>
      <c r="IZ239" s="1"/>
      <c r="JA239" s="1"/>
      <c r="JB239" s="1"/>
      <c r="JC239" s="1"/>
      <c r="JD239" s="1"/>
    </row>
    <row r="240" spans="1:264" s="460" customFormat="1" x14ac:dyDescent="0.2">
      <c r="A240" s="458" t="s">
        <v>300</v>
      </c>
      <c r="B240" s="459"/>
      <c r="C240" s="458"/>
      <c r="D240" s="458"/>
      <c r="E240" s="458"/>
      <c r="F240" s="458"/>
      <c r="G240" s="458"/>
      <c r="H240" s="458"/>
      <c r="I240" s="458"/>
      <c r="J240" s="458"/>
      <c r="K240" s="458"/>
      <c r="L240" s="458"/>
      <c r="M240" s="458"/>
      <c r="N240" s="458"/>
      <c r="O240" s="458"/>
      <c r="P240" s="458"/>
      <c r="Q240" s="458"/>
      <c r="R240" s="458"/>
      <c r="S240" s="458"/>
      <c r="T240" s="458"/>
      <c r="U240" s="458"/>
      <c r="V240" s="458"/>
      <c r="W240" s="458"/>
      <c r="X240" s="458"/>
      <c r="Y240" s="458"/>
      <c r="Z240" s="458"/>
      <c r="AA240" s="458"/>
      <c r="AB240" s="458"/>
      <c r="AC240" s="458"/>
      <c r="AD240" s="458"/>
      <c r="AE240" s="458"/>
      <c r="AF240" s="458"/>
      <c r="AG240" s="458"/>
      <c r="AH240" s="458"/>
      <c r="AI240" s="458"/>
      <c r="AJ240" s="458"/>
      <c r="AK240" s="458"/>
      <c r="AL240" s="458"/>
      <c r="AM240" s="458"/>
      <c r="AN240" s="458"/>
      <c r="AO240" s="458"/>
      <c r="AP240" s="458"/>
      <c r="AQ240" s="458"/>
      <c r="AR240" s="458"/>
      <c r="AS240" s="458"/>
      <c r="AT240" s="458"/>
      <c r="AU240" s="458"/>
      <c r="AV240" s="458"/>
      <c r="AW240" s="458"/>
      <c r="AX240" s="458"/>
      <c r="AY240" s="458"/>
      <c r="AZ240" s="458"/>
      <c r="BA240" s="458"/>
      <c r="BB240" s="458"/>
      <c r="BC240" s="458"/>
      <c r="BD240" s="458"/>
      <c r="BE240" s="458"/>
      <c r="BF240" s="458"/>
      <c r="BG240" s="458"/>
      <c r="BH240" s="459"/>
      <c r="BI240" s="459"/>
      <c r="BJ240" s="459"/>
      <c r="BK240" s="459"/>
      <c r="BL240" s="459"/>
      <c r="BM240" s="459"/>
      <c r="BN240" s="459"/>
      <c r="BO240" s="459"/>
      <c r="BP240" s="459"/>
      <c r="BQ240" s="459"/>
      <c r="BR240" s="459"/>
      <c r="BS240" s="458"/>
      <c r="BT240" s="459"/>
      <c r="BU240" s="459"/>
      <c r="BV240" s="459"/>
      <c r="BW240" s="458"/>
      <c r="BX240" s="459"/>
      <c r="BY240" s="459"/>
      <c r="BZ240" s="459"/>
      <c r="CA240" s="458"/>
      <c r="CB240" s="459"/>
      <c r="CC240" s="459"/>
      <c r="CD240" s="459"/>
      <c r="CE240" s="458"/>
      <c r="CF240" s="459"/>
      <c r="CG240" s="459"/>
      <c r="CH240" s="459"/>
      <c r="CI240" s="458"/>
      <c r="CJ240" s="459"/>
      <c r="CK240" s="459"/>
      <c r="CL240" s="459"/>
      <c r="CM240" s="458"/>
      <c r="CN240" s="459"/>
      <c r="CO240" s="459"/>
      <c r="CP240" s="459"/>
      <c r="CQ240" s="458"/>
      <c r="CR240" s="459"/>
      <c r="CS240" s="459"/>
      <c r="CT240" s="459"/>
      <c r="CU240" s="458"/>
      <c r="CV240" s="459"/>
      <c r="CW240" s="459"/>
      <c r="CX240" s="459"/>
      <c r="CY240" s="458"/>
      <c r="CZ240" s="459"/>
      <c r="DA240" s="459"/>
      <c r="DB240" s="459"/>
      <c r="DC240" s="458"/>
      <c r="DD240" s="459"/>
      <c r="DE240" s="459"/>
      <c r="DF240" s="459"/>
      <c r="DG240" s="458"/>
      <c r="DH240" s="459"/>
      <c r="DI240" s="459"/>
      <c r="DJ240" s="459"/>
      <c r="DK240" s="458"/>
      <c r="DL240" s="459"/>
      <c r="DM240" s="459"/>
      <c r="DN240" s="459"/>
      <c r="DO240" s="458"/>
      <c r="DP240" s="459"/>
      <c r="DQ240" s="459"/>
      <c r="DR240" s="459"/>
      <c r="DS240" s="458"/>
      <c r="DT240" s="1"/>
      <c r="DU240" s="1"/>
      <c r="DV240" s="1"/>
      <c r="DW240" s="1"/>
      <c r="DX240" s="1"/>
      <c r="DY240" s="1"/>
      <c r="DZ240" s="1"/>
      <c r="EA240" s="1"/>
      <c r="EB240" s="1"/>
      <c r="EC240" s="1"/>
      <c r="ED240" s="1"/>
      <c r="EE240" s="1"/>
      <c r="EF240" s="1"/>
      <c r="EG240" s="1"/>
      <c r="EH240" s="1"/>
      <c r="EI240" s="1"/>
      <c r="EJ240" s="1"/>
      <c r="EK240" s="1"/>
      <c r="EL240" s="1"/>
      <c r="EM240" s="1"/>
      <c r="EN240" s="1"/>
      <c r="EO240" s="1"/>
      <c r="EP240" s="1"/>
      <c r="EQ240" s="1"/>
      <c r="ER240" s="1"/>
      <c r="ES240" s="1"/>
      <c r="ET240" s="1"/>
      <c r="EU240" s="1"/>
      <c r="EV240" s="1"/>
      <c r="EW240" s="1"/>
      <c r="EX240" s="1"/>
      <c r="EY240" s="1"/>
      <c r="EZ240" s="1"/>
      <c r="FA240" s="1"/>
      <c r="FB240" s="1"/>
      <c r="FC240" s="1"/>
      <c r="FD240" s="1"/>
      <c r="FE240" s="1"/>
      <c r="FF240" s="1"/>
      <c r="FG240" s="1"/>
      <c r="FH240" s="1"/>
      <c r="FI240" s="1"/>
      <c r="FJ240" s="1"/>
      <c r="FK240" s="1"/>
      <c r="FL240" s="1"/>
      <c r="FM240" s="1"/>
      <c r="FN240" s="1"/>
      <c r="FO240" s="1"/>
      <c r="FP240" s="1"/>
      <c r="FQ240" s="1"/>
      <c r="FR240" s="1"/>
      <c r="FS240" s="1"/>
      <c r="FT240" s="1"/>
      <c r="FU240" s="1"/>
      <c r="FV240" s="1"/>
      <c r="FW240" s="1"/>
      <c r="FX240" s="1"/>
      <c r="FY240" s="1"/>
      <c r="FZ240" s="1"/>
      <c r="GA240" s="1"/>
      <c r="GB240" s="1"/>
      <c r="GC240" s="1"/>
      <c r="GD240" s="1"/>
      <c r="GE240" s="1"/>
      <c r="GF240" s="1"/>
      <c r="GG240" s="1"/>
      <c r="GH240" s="1"/>
      <c r="GI240" s="1"/>
      <c r="GJ240" s="1"/>
      <c r="GK240" s="1"/>
      <c r="GL240" s="1"/>
      <c r="GM240" s="1"/>
      <c r="GN240" s="1"/>
      <c r="GO240" s="1"/>
      <c r="GP240" s="1"/>
      <c r="GQ240" s="1"/>
      <c r="GR240" s="1"/>
      <c r="GS240" s="1"/>
      <c r="GT240" s="1"/>
      <c r="GU240" s="1"/>
      <c r="GV240" s="1"/>
      <c r="GW240" s="1"/>
      <c r="GX240" s="1"/>
      <c r="GY240" s="1"/>
      <c r="GZ240" s="1"/>
      <c r="HA240" s="1"/>
      <c r="HB240" s="1"/>
      <c r="HC240" s="1"/>
      <c r="HD240" s="1"/>
      <c r="HE240" s="1"/>
      <c r="HF240" s="1"/>
      <c r="HG240" s="1"/>
      <c r="HH240" s="1"/>
      <c r="HI240" s="1"/>
      <c r="HJ240" s="1"/>
      <c r="HK240" s="1"/>
      <c r="HL240" s="1"/>
      <c r="HM240" s="1"/>
      <c r="HN240" s="1"/>
      <c r="HO240" s="1"/>
      <c r="HP240" s="1"/>
      <c r="HQ240" s="1"/>
      <c r="HR240" s="1"/>
      <c r="HS240" s="1"/>
      <c r="HT240" s="1"/>
      <c r="HU240" s="1"/>
      <c r="HV240" s="1"/>
      <c r="HW240" s="1"/>
      <c r="HX240" s="1"/>
      <c r="HY240" s="1"/>
      <c r="HZ240" s="1"/>
      <c r="IA240" s="1"/>
      <c r="IB240" s="1"/>
      <c r="IC240" s="1"/>
      <c r="ID240" s="1"/>
      <c r="IE240" s="1"/>
      <c r="IF240" s="1"/>
      <c r="IG240" s="1"/>
      <c r="IH240" s="1"/>
      <c r="II240" s="1"/>
      <c r="IJ240" s="1"/>
      <c r="IK240" s="1"/>
      <c r="IL240" s="1"/>
      <c r="IM240" s="1"/>
      <c r="IN240" s="1"/>
      <c r="IO240" s="1"/>
      <c r="IP240" s="1"/>
      <c r="IQ240" s="1"/>
      <c r="IR240" s="1"/>
      <c r="IS240" s="1"/>
      <c r="IT240" s="1"/>
      <c r="IU240" s="1"/>
      <c r="IV240" s="1"/>
      <c r="IW240" s="1"/>
      <c r="IX240" s="1"/>
      <c r="IY240" s="1"/>
      <c r="IZ240" s="1"/>
      <c r="JA240" s="1"/>
      <c r="JB240" s="1"/>
      <c r="JC240" s="1"/>
      <c r="JD240" s="1"/>
    </row>
    <row r="241" spans="1:264" s="347" customFormat="1" x14ac:dyDescent="0.2">
      <c r="A241" s="424"/>
      <c r="B241" s="348"/>
      <c r="BH241" s="398"/>
      <c r="BI241" s="428"/>
      <c r="BJ241" s="397"/>
      <c r="BK241" s="348"/>
      <c r="BL241" s="348"/>
      <c r="BM241" s="428"/>
      <c r="BN241" s="397"/>
      <c r="BO241" s="348"/>
      <c r="BP241" s="348"/>
      <c r="BQ241" s="428"/>
      <c r="BR241" s="397"/>
      <c r="BT241" s="348"/>
      <c r="BU241" s="348"/>
      <c r="BV241" s="348"/>
      <c r="BX241" s="348"/>
      <c r="BY241" s="348"/>
      <c r="BZ241" s="348"/>
      <c r="CB241" s="348"/>
      <c r="CC241" s="348"/>
      <c r="CD241" s="348"/>
      <c r="CF241" s="348"/>
      <c r="CG241" s="348"/>
      <c r="CH241" s="348"/>
      <c r="CJ241" s="348"/>
      <c r="CK241" s="348"/>
      <c r="CL241" s="348"/>
      <c r="CN241" s="348"/>
      <c r="CO241" s="348"/>
      <c r="CP241" s="348"/>
      <c r="CR241" s="348"/>
      <c r="CS241" s="348"/>
      <c r="CT241" s="348"/>
      <c r="CV241" s="348"/>
      <c r="CW241" s="348"/>
      <c r="CX241" s="348"/>
      <c r="CZ241" s="348"/>
      <c r="DA241" s="348"/>
      <c r="DB241" s="348"/>
      <c r="DD241" s="348"/>
      <c r="DE241" s="348"/>
      <c r="DF241" s="348"/>
      <c r="DH241" s="348"/>
      <c r="DI241" s="348"/>
      <c r="DJ241" s="348"/>
      <c r="DL241" s="348"/>
      <c r="DM241" s="348"/>
      <c r="DN241" s="348"/>
      <c r="DP241" s="348"/>
      <c r="DQ241" s="348"/>
      <c r="DR241" s="348"/>
      <c r="DT241" s="1"/>
      <c r="DU241" s="1"/>
      <c r="DV241" s="1"/>
      <c r="DW241" s="1"/>
      <c r="DX241" s="1"/>
      <c r="DY241" s="1"/>
      <c r="DZ241" s="1"/>
      <c r="EA241" s="1"/>
      <c r="EB241" s="1"/>
      <c r="EC241" s="1"/>
      <c r="ED241" s="1"/>
      <c r="EE241" s="1"/>
      <c r="EF241" s="1"/>
      <c r="EG241" s="1"/>
      <c r="EH241" s="1"/>
      <c r="EI241" s="1"/>
      <c r="EJ241" s="1"/>
      <c r="EK241" s="1"/>
      <c r="EL241" s="1"/>
      <c r="EM241" s="1"/>
      <c r="EN241" s="1"/>
      <c r="EO241" s="1"/>
      <c r="EP241" s="1"/>
      <c r="EQ241" s="1"/>
      <c r="ER241" s="1"/>
      <c r="ES241" s="1"/>
      <c r="ET241" s="1"/>
      <c r="EU241" s="1"/>
      <c r="EV241" s="1"/>
      <c r="EW241" s="1"/>
      <c r="EX241" s="1"/>
      <c r="EY241" s="1"/>
      <c r="EZ241" s="1"/>
      <c r="FA241" s="1"/>
      <c r="FB241" s="1"/>
      <c r="FC241" s="1"/>
      <c r="FD241" s="1"/>
      <c r="FE241" s="1"/>
      <c r="FF241" s="1"/>
      <c r="FG241" s="1"/>
      <c r="FH241" s="1"/>
      <c r="FI241" s="1"/>
      <c r="FJ241" s="1"/>
      <c r="FK241" s="1"/>
      <c r="FL241" s="1"/>
      <c r="FM241" s="1"/>
      <c r="FN241" s="1"/>
      <c r="FO241" s="1"/>
      <c r="FP241" s="1"/>
      <c r="FQ241" s="1"/>
      <c r="FR241" s="1"/>
      <c r="FS241" s="1"/>
      <c r="FT241" s="1"/>
      <c r="FU241" s="1"/>
      <c r="FV241" s="1"/>
      <c r="FW241" s="1"/>
      <c r="FX241" s="1"/>
      <c r="FY241" s="1"/>
      <c r="FZ241" s="1"/>
      <c r="GA241" s="1"/>
      <c r="GB241" s="1"/>
      <c r="GC241" s="1"/>
      <c r="GD241" s="1"/>
      <c r="GE241" s="1"/>
      <c r="GF241" s="1"/>
      <c r="GG241" s="1"/>
      <c r="GH241" s="1"/>
      <c r="GI241" s="1"/>
      <c r="GJ241" s="1"/>
      <c r="GK241" s="1"/>
      <c r="GL241" s="1"/>
      <c r="GM241" s="1"/>
      <c r="GN241" s="1"/>
      <c r="GO241" s="1"/>
      <c r="GP241" s="1"/>
      <c r="GQ241" s="1"/>
      <c r="GR241" s="1"/>
      <c r="GS241" s="1"/>
      <c r="GT241" s="1"/>
      <c r="GU241" s="1"/>
      <c r="GV241" s="1"/>
      <c r="GW241" s="1"/>
      <c r="GX241" s="1"/>
      <c r="GY241" s="1"/>
      <c r="GZ241" s="1"/>
      <c r="HA241" s="1"/>
      <c r="HB241" s="1"/>
      <c r="HC241" s="1"/>
      <c r="HD241" s="1"/>
      <c r="HE241" s="1"/>
      <c r="HF241" s="1"/>
      <c r="HG241" s="1"/>
      <c r="HH241" s="1"/>
      <c r="HI241" s="1"/>
      <c r="HJ241" s="1"/>
      <c r="HK241" s="1"/>
      <c r="HL241" s="1"/>
      <c r="HM241" s="1"/>
      <c r="HN241" s="1"/>
      <c r="HO241" s="1"/>
      <c r="HP241" s="1"/>
      <c r="HQ241" s="1"/>
      <c r="HR241" s="1"/>
      <c r="HS241" s="1"/>
      <c r="HT241" s="1"/>
      <c r="HU241" s="1"/>
      <c r="HV241" s="1"/>
      <c r="HW241" s="1"/>
      <c r="HX241" s="1"/>
      <c r="HY241" s="1"/>
      <c r="HZ241" s="1"/>
      <c r="IA241" s="1"/>
      <c r="IB241" s="1"/>
      <c r="IC241" s="1"/>
      <c r="ID241" s="1"/>
      <c r="IE241" s="1"/>
      <c r="IF241" s="1"/>
      <c r="IG241" s="1"/>
      <c r="IH241" s="1"/>
      <c r="II241" s="1"/>
      <c r="IJ241" s="1"/>
      <c r="IK241" s="1"/>
      <c r="IL241" s="1"/>
      <c r="IM241" s="1"/>
      <c r="IN241" s="1"/>
      <c r="IO241" s="1"/>
      <c r="IP241" s="1"/>
      <c r="IQ241" s="1"/>
      <c r="IR241" s="1"/>
      <c r="IS241" s="1"/>
      <c r="IT241" s="1"/>
      <c r="IU241" s="1"/>
      <c r="IV241" s="1"/>
      <c r="IW241" s="1"/>
      <c r="IX241" s="1"/>
      <c r="IY241" s="1"/>
      <c r="IZ241" s="1"/>
      <c r="JA241" s="1"/>
      <c r="JB241" s="1"/>
      <c r="JC241" s="1"/>
      <c r="JD241" s="1"/>
    </row>
    <row r="242" spans="1:264" s="347" customFormat="1" x14ac:dyDescent="0.2">
      <c r="A242" s="411" t="s">
        <v>301</v>
      </c>
      <c r="B242" s="348"/>
      <c r="BH242" s="398"/>
      <c r="BI242" s="428"/>
      <c r="BJ242" s="397"/>
      <c r="BK242" s="348"/>
      <c r="BL242" s="348"/>
      <c r="BM242" s="428"/>
      <c r="BN242" s="397"/>
      <c r="BO242" s="348"/>
      <c r="BP242" s="348"/>
      <c r="BQ242" s="428"/>
      <c r="BR242" s="397"/>
      <c r="BT242" s="348"/>
      <c r="BU242" s="348"/>
      <c r="BV242" s="348"/>
      <c r="BX242" s="348"/>
      <c r="BY242" s="348"/>
      <c r="BZ242" s="348"/>
      <c r="CB242" s="348"/>
      <c r="CC242" s="348"/>
      <c r="CD242" s="348"/>
      <c r="CF242" s="348"/>
      <c r="CG242" s="348"/>
      <c r="CH242" s="348"/>
      <c r="CJ242" s="348"/>
      <c r="CK242" s="348"/>
      <c r="CL242" s="348"/>
      <c r="CN242" s="348"/>
      <c r="CO242" s="348"/>
      <c r="CP242" s="348"/>
      <c r="CR242" s="348"/>
      <c r="CS242" s="348"/>
      <c r="CT242" s="348"/>
      <c r="CV242" s="348"/>
      <c r="CW242" s="348"/>
      <c r="CX242" s="348"/>
      <c r="CZ242" s="348"/>
      <c r="DA242" s="348"/>
      <c r="DB242" s="348"/>
      <c r="DD242" s="348"/>
      <c r="DE242" s="348"/>
      <c r="DF242" s="348"/>
      <c r="DH242" s="348"/>
      <c r="DI242" s="348"/>
      <c r="DJ242" s="348"/>
      <c r="DL242" s="348"/>
      <c r="DM242" s="348"/>
      <c r="DN242" s="348"/>
      <c r="DP242" s="348"/>
      <c r="DQ242" s="348"/>
      <c r="DR242" s="348"/>
      <c r="DT242" s="1"/>
      <c r="DU242" s="1"/>
      <c r="DV242" s="1"/>
      <c r="DW242" s="1"/>
      <c r="DX242" s="1"/>
      <c r="DY242" s="1"/>
      <c r="DZ242" s="1"/>
      <c r="EA242" s="1"/>
      <c r="EB242" s="1"/>
      <c r="EC242" s="1"/>
      <c r="ED242" s="1"/>
      <c r="EE242" s="1"/>
      <c r="EF242" s="1"/>
      <c r="EG242" s="1"/>
      <c r="EH242" s="1"/>
      <c r="EI242" s="1"/>
      <c r="EJ242" s="1"/>
      <c r="EK242" s="1"/>
      <c r="EL242" s="1"/>
      <c r="EM242" s="1"/>
      <c r="EN242" s="1"/>
      <c r="EO242" s="1"/>
      <c r="EP242" s="1"/>
      <c r="EQ242" s="1"/>
      <c r="ER242" s="1"/>
      <c r="ES242" s="1"/>
      <c r="ET242" s="1"/>
      <c r="EU242" s="1"/>
      <c r="EV242" s="1"/>
      <c r="EW242" s="1"/>
      <c r="EX242" s="1"/>
      <c r="EY242" s="1"/>
      <c r="EZ242" s="1"/>
      <c r="FA242" s="1"/>
      <c r="FB242" s="1"/>
      <c r="FC242" s="1"/>
      <c r="FD242" s="1"/>
      <c r="FE242" s="1"/>
      <c r="FF242" s="1"/>
      <c r="FG242" s="1"/>
      <c r="FH242" s="1"/>
      <c r="FI242" s="1"/>
      <c r="FJ242" s="1"/>
      <c r="FK242" s="1"/>
      <c r="FL242" s="1"/>
      <c r="FM242" s="1"/>
      <c r="FN242" s="1"/>
      <c r="FO242" s="1"/>
      <c r="FP242" s="1"/>
      <c r="FQ242" s="1"/>
      <c r="FR242" s="1"/>
      <c r="FS242" s="1"/>
      <c r="FT242" s="1"/>
      <c r="FU242" s="1"/>
      <c r="FV242" s="1"/>
      <c r="FW242" s="1"/>
      <c r="FX242" s="1"/>
      <c r="FY242" s="1"/>
      <c r="FZ242" s="1"/>
      <c r="GA242" s="1"/>
      <c r="GB242" s="1"/>
      <c r="GC242" s="1"/>
      <c r="GD242" s="1"/>
      <c r="GE242" s="1"/>
      <c r="GF242" s="1"/>
      <c r="GG242" s="1"/>
      <c r="GH242" s="1"/>
      <c r="GI242" s="1"/>
      <c r="GJ242" s="1"/>
      <c r="GK242" s="1"/>
      <c r="GL242" s="1"/>
      <c r="GM242" s="1"/>
      <c r="GN242" s="1"/>
      <c r="GO242" s="1"/>
      <c r="GP242" s="1"/>
      <c r="GQ242" s="1"/>
      <c r="GR242" s="1"/>
      <c r="GS242" s="1"/>
      <c r="GT242" s="1"/>
      <c r="GU242" s="1"/>
      <c r="GV242" s="1"/>
      <c r="GW242" s="1"/>
      <c r="GX242" s="1"/>
      <c r="GY242" s="1"/>
      <c r="GZ242" s="1"/>
      <c r="HA242" s="1"/>
      <c r="HB242" s="1"/>
      <c r="HC242" s="1"/>
      <c r="HD242" s="1"/>
      <c r="HE242" s="1"/>
      <c r="HF242" s="1"/>
      <c r="HG242" s="1"/>
      <c r="HH242" s="1"/>
      <c r="HI242" s="1"/>
      <c r="HJ242" s="1"/>
      <c r="HK242" s="1"/>
      <c r="HL242" s="1"/>
      <c r="HM242" s="1"/>
      <c r="HN242" s="1"/>
      <c r="HO242" s="1"/>
      <c r="HP242" s="1"/>
      <c r="HQ242" s="1"/>
      <c r="HR242" s="1"/>
      <c r="HS242" s="1"/>
      <c r="HT242" s="1"/>
      <c r="HU242" s="1"/>
      <c r="HV242" s="1"/>
      <c r="HW242" s="1"/>
      <c r="HX242" s="1"/>
      <c r="HY242" s="1"/>
      <c r="HZ242" s="1"/>
      <c r="IA242" s="1"/>
      <c r="IB242" s="1"/>
      <c r="IC242" s="1"/>
      <c r="ID242" s="1"/>
      <c r="IE242" s="1"/>
      <c r="IF242" s="1"/>
      <c r="IG242" s="1"/>
      <c r="IH242" s="1"/>
      <c r="II242" s="1"/>
      <c r="IJ242" s="1"/>
      <c r="IK242" s="1"/>
      <c r="IL242" s="1"/>
      <c r="IM242" s="1"/>
      <c r="IN242" s="1"/>
      <c r="IO242" s="1"/>
      <c r="IP242" s="1"/>
      <c r="IQ242" s="1"/>
      <c r="IR242" s="1"/>
      <c r="IS242" s="1"/>
      <c r="IT242" s="1"/>
      <c r="IU242" s="1"/>
      <c r="IV242" s="1"/>
      <c r="IW242" s="1"/>
      <c r="IX242" s="1"/>
      <c r="IY242" s="1"/>
      <c r="IZ242" s="1"/>
      <c r="JA242" s="1"/>
      <c r="JB242" s="1"/>
      <c r="JC242" s="1"/>
      <c r="JD242" s="1"/>
    </row>
    <row r="243" spans="1:264" s="347" customFormat="1" x14ac:dyDescent="0.2">
      <c r="A243" s="347" t="s">
        <v>302</v>
      </c>
      <c r="B243" s="348"/>
      <c r="BH243" s="351">
        <f>BH245-BH244</f>
        <v>-595</v>
      </c>
      <c r="BI243" s="351">
        <f>BI245-BI244</f>
        <v>-466</v>
      </c>
      <c r="BJ243" s="351">
        <f>BH243+BI243</f>
        <v>-1061</v>
      </c>
      <c r="BK243" s="348"/>
      <c r="BL243" s="351">
        <f>BL245-BL244</f>
        <v>-445</v>
      </c>
      <c r="BM243" s="351">
        <f>BM245-BM244</f>
        <v>-587</v>
      </c>
      <c r="BN243" s="351">
        <f>BL243+BM243</f>
        <v>-1032</v>
      </c>
      <c r="BO243" s="393">
        <f>+BN243/BJ243-1</f>
        <v>-2.7332704995287505E-2</v>
      </c>
      <c r="BP243" s="351">
        <f>BP245-BP244</f>
        <v>-456</v>
      </c>
      <c r="BQ243" s="351">
        <f>BQ245-BQ244</f>
        <v>-549</v>
      </c>
      <c r="BR243" s="351">
        <f>BP243+BQ243</f>
        <v>-1005</v>
      </c>
      <c r="BS243" s="393">
        <f>+BR243/BN243-1</f>
        <v>-2.6162790697674465E-2</v>
      </c>
      <c r="BT243" s="351">
        <f>BT245-BT244</f>
        <v>-525</v>
      </c>
      <c r="BU243" s="351">
        <f>BU245-BU244</f>
        <v>-675</v>
      </c>
      <c r="BV243" s="351">
        <f>BT243+BU243</f>
        <v>-1200</v>
      </c>
      <c r="BW243" s="393">
        <f>+BV243/BR243-1</f>
        <v>0.19402985074626855</v>
      </c>
      <c r="BX243" s="351">
        <f>BX245-BX244</f>
        <v>-610</v>
      </c>
      <c r="BY243" s="351">
        <f>BY245-BY244</f>
        <v>-556</v>
      </c>
      <c r="BZ243" s="351">
        <f>BX243+BY243</f>
        <v>-1166</v>
      </c>
      <c r="CA243" s="393">
        <f>+BZ243/BV243-1</f>
        <v>-2.8333333333333321E-2</v>
      </c>
      <c r="CB243" s="351">
        <f>CB245-CB244</f>
        <v>-571</v>
      </c>
      <c r="CC243" s="351">
        <f>CC245-CC244</f>
        <v>-492</v>
      </c>
      <c r="CD243" s="351">
        <f>CB243+CC243</f>
        <v>-1063</v>
      </c>
      <c r="CE243" s="393">
        <f>+CD243/BZ243-1</f>
        <v>-8.8336192109777056E-2</v>
      </c>
      <c r="CF243" s="351">
        <f>CF245-CF244</f>
        <v>-581</v>
      </c>
      <c r="CG243" s="351">
        <f>CG245-CG244</f>
        <v>-534</v>
      </c>
      <c r="CH243" s="351">
        <f>CF243+CG243</f>
        <v>-1115</v>
      </c>
      <c r="CI243" s="393">
        <f>+CH243/CD243-1</f>
        <v>4.891815616180617E-2</v>
      </c>
      <c r="CJ243" s="351">
        <f>CJ245-CJ244</f>
        <v>-486</v>
      </c>
      <c r="CK243" s="351">
        <f>CK245-CK244</f>
        <v>-540</v>
      </c>
      <c r="CL243" s="351">
        <f>CJ243+CK243</f>
        <v>-1026</v>
      </c>
      <c r="CM243" s="393">
        <f>+CL243/CH243-1</f>
        <v>-7.9820627802690614E-2</v>
      </c>
      <c r="CN243" s="351">
        <f>CN245-CN244</f>
        <v>-335</v>
      </c>
      <c r="CO243" s="351">
        <f>CO245-CO244</f>
        <v>-304</v>
      </c>
      <c r="CP243" s="351">
        <f>CN243+CO243</f>
        <v>-639</v>
      </c>
      <c r="CQ243" s="393">
        <f>+CP243/CL243-1</f>
        <v>-0.3771929824561403</v>
      </c>
      <c r="CR243" s="351">
        <f>CR245-CR244</f>
        <v>-174</v>
      </c>
      <c r="CS243" s="351">
        <f>CS245-CS244</f>
        <v>-169</v>
      </c>
      <c r="CT243" s="351">
        <f>CR243+CS243</f>
        <v>-343</v>
      </c>
      <c r="CU243" s="393">
        <f>+CT243/CP243-1</f>
        <v>-0.46322378716744916</v>
      </c>
      <c r="CV243" s="351">
        <f>CV245-CV244</f>
        <v>-222</v>
      </c>
      <c r="CW243" s="351">
        <f>CW245-CW244</f>
        <v>-301</v>
      </c>
      <c r="CX243" s="351">
        <f>CV243+CW243</f>
        <v>-523</v>
      </c>
      <c r="CY243" s="393">
        <f>+CX243/CT243-1</f>
        <v>0.52478134110787167</v>
      </c>
      <c r="CZ243" s="351">
        <f>CZ245-CZ244</f>
        <v>-281</v>
      </c>
      <c r="DA243" s="351">
        <f>DA245-DA244</f>
        <v>-294</v>
      </c>
      <c r="DB243" s="351">
        <f>CZ243+DA243</f>
        <v>-575</v>
      </c>
      <c r="DC243" s="393">
        <f>+DB243/CX243-1</f>
        <v>9.9426386233269604E-2</v>
      </c>
      <c r="DD243" s="351">
        <f>DD245-DD244</f>
        <v>-251</v>
      </c>
      <c r="DE243" s="351">
        <f>DE245-DE244</f>
        <v>-337</v>
      </c>
      <c r="DF243" s="351">
        <f>DD243+DE243</f>
        <v>-588</v>
      </c>
      <c r="DG243" s="393">
        <f>+DF243/DB243-1</f>
        <v>2.2608695652173827E-2</v>
      </c>
      <c r="DH243" s="351">
        <f>DH245-DH244</f>
        <v>-338</v>
      </c>
      <c r="DI243" s="351">
        <f ca="1">DI245-DI244</f>
        <v>-411.35249358368139</v>
      </c>
      <c r="DJ243" s="351">
        <f ca="1">DH243+DI243</f>
        <v>-749.35249358368139</v>
      </c>
      <c r="DK243" s="393">
        <f ca="1">+DJ243/DF243-1</f>
        <v>0.27440900269333568</v>
      </c>
      <c r="DL243" s="351">
        <f ca="1">DL245-DL244</f>
        <v>-485.25009772822142</v>
      </c>
      <c r="DM243" s="351">
        <f ca="1">DM245-DM244</f>
        <v>-523.05710154994892</v>
      </c>
      <c r="DN243" s="351">
        <f ca="1">DL243+DM243</f>
        <v>-1008.3071992781704</v>
      </c>
      <c r="DO243" s="393">
        <f ca="1">+DN243/DJ243-1</f>
        <v>0.3455712870935701</v>
      </c>
      <c r="DP243" s="351">
        <f ca="1">DP245-DP244</f>
        <v>-464.42503771653548</v>
      </c>
      <c r="DQ243" s="351">
        <f ca="1">DQ245-DQ244</f>
        <v>-450.86132218778187</v>
      </c>
      <c r="DR243" s="351">
        <f ca="1">DP243+DQ243</f>
        <v>-915.28635990431735</v>
      </c>
      <c r="DS243" s="393">
        <f ca="1">+DR243/DN243-1</f>
        <v>-9.2254463164048617E-2</v>
      </c>
      <c r="DT243" s="1"/>
      <c r="DU243" s="1"/>
      <c r="DV243" s="1"/>
      <c r="DW243" s="1"/>
      <c r="DX243" s="1"/>
      <c r="DY243" s="1"/>
      <c r="DZ243" s="1"/>
      <c r="EA243" s="1"/>
      <c r="EB243" s="1"/>
      <c r="EC243" s="1"/>
      <c r="ED243" s="1"/>
      <c r="EE243" s="1"/>
      <c r="EF243" s="1"/>
      <c r="EG243" s="1"/>
      <c r="EH243" s="1"/>
      <c r="EI243" s="1"/>
      <c r="EJ243" s="1"/>
      <c r="EK243" s="1"/>
      <c r="EL243" s="1"/>
      <c r="EM243" s="1"/>
      <c r="EN243" s="1"/>
      <c r="EO243" s="1"/>
      <c r="EP243" s="1"/>
      <c r="EQ243" s="1"/>
      <c r="ER243" s="1"/>
      <c r="ES243" s="1"/>
      <c r="ET243" s="1"/>
      <c r="EU243" s="1"/>
      <c r="EV243" s="1"/>
      <c r="EW243" s="1"/>
      <c r="EX243" s="1"/>
      <c r="EY243" s="1"/>
      <c r="EZ243" s="1"/>
      <c r="FA243" s="1"/>
      <c r="FB243" s="1"/>
      <c r="FC243" s="1"/>
      <c r="FD243" s="1"/>
      <c r="FE243" s="1"/>
      <c r="FF243" s="1"/>
      <c r="FG243" s="1"/>
      <c r="FH243" s="1"/>
      <c r="FI243" s="1"/>
      <c r="FJ243" s="1"/>
      <c r="FK243" s="1"/>
      <c r="FL243" s="1"/>
      <c r="FM243" s="1"/>
      <c r="FN243" s="1"/>
      <c r="FO243" s="1"/>
      <c r="FP243" s="1"/>
      <c r="FQ243" s="1"/>
      <c r="FR243" s="1"/>
      <c r="FS243" s="1"/>
      <c r="FT243" s="1"/>
      <c r="FU243" s="1"/>
      <c r="FV243" s="1"/>
      <c r="FW243" s="1"/>
      <c r="FX243" s="1"/>
      <c r="FY243" s="1"/>
      <c r="FZ243" s="1"/>
      <c r="GA243" s="1"/>
      <c r="GB243" s="1"/>
      <c r="GC243" s="1"/>
      <c r="GD243" s="1"/>
      <c r="GE243" s="1"/>
      <c r="GF243" s="1"/>
      <c r="GG243" s="1"/>
      <c r="GH243" s="1"/>
      <c r="GI243" s="1"/>
      <c r="GJ243" s="1"/>
      <c r="GK243" s="1"/>
      <c r="GL243" s="1"/>
      <c r="GM243" s="1"/>
      <c r="GN243" s="1"/>
      <c r="GO243" s="1"/>
      <c r="GP243" s="1"/>
      <c r="GQ243" s="1"/>
      <c r="GR243" s="1"/>
      <c r="GS243" s="1"/>
      <c r="GT243" s="1"/>
      <c r="GU243" s="1"/>
      <c r="GV243" s="1"/>
      <c r="GW243" s="1"/>
      <c r="GX243" s="1"/>
      <c r="GY243" s="1"/>
      <c r="GZ243" s="1"/>
      <c r="HA243" s="1"/>
      <c r="HB243" s="1"/>
      <c r="HC243" s="1"/>
      <c r="HD243" s="1"/>
      <c r="HE243" s="1"/>
      <c r="HF243" s="1"/>
      <c r="HG243" s="1"/>
      <c r="HH243" s="1"/>
      <c r="HI243" s="1"/>
      <c r="HJ243" s="1"/>
      <c r="HK243" s="1"/>
      <c r="HL243" s="1"/>
      <c r="HM243" s="1"/>
      <c r="HN243" s="1"/>
      <c r="HO243" s="1"/>
      <c r="HP243" s="1"/>
      <c r="HQ243" s="1"/>
      <c r="HR243" s="1"/>
      <c r="HS243" s="1"/>
      <c r="HT243" s="1"/>
      <c r="HU243" s="1"/>
      <c r="HV243" s="1"/>
      <c r="HW243" s="1"/>
      <c r="HX243" s="1"/>
      <c r="HY243" s="1"/>
      <c r="HZ243" s="1"/>
      <c r="IA243" s="1"/>
      <c r="IB243" s="1"/>
      <c r="IC243" s="1"/>
      <c r="ID243" s="1"/>
      <c r="IE243" s="1"/>
      <c r="IF243" s="1"/>
      <c r="IG243" s="1"/>
      <c r="IH243" s="1"/>
      <c r="II243" s="1"/>
      <c r="IJ243" s="1"/>
      <c r="IK243" s="1"/>
      <c r="IL243" s="1"/>
      <c r="IM243" s="1"/>
      <c r="IN243" s="1"/>
      <c r="IO243" s="1"/>
      <c r="IP243" s="1"/>
      <c r="IQ243" s="1"/>
      <c r="IR243" s="1"/>
      <c r="IS243" s="1"/>
      <c r="IT243" s="1"/>
      <c r="IU243" s="1"/>
      <c r="IV243" s="1"/>
      <c r="IW243" s="1"/>
      <c r="IX243" s="1"/>
      <c r="IY243" s="1"/>
      <c r="IZ243" s="1"/>
      <c r="JA243" s="1"/>
      <c r="JB243" s="1"/>
      <c r="JC243" s="1"/>
      <c r="JD243" s="1"/>
    </row>
    <row r="244" spans="1:264" s="347" customFormat="1" x14ac:dyDescent="0.2">
      <c r="A244" s="347" t="s">
        <v>303</v>
      </c>
      <c r="B244" s="348"/>
      <c r="BH244" s="398">
        <f>-(2858-2837)</f>
        <v>-21</v>
      </c>
      <c r="BI244" s="398">
        <f>-(2858-2858)</f>
        <v>0</v>
      </c>
      <c r="BJ244" s="351">
        <f>+BI244+BH244</f>
        <v>-21</v>
      </c>
      <c r="BK244" s="348"/>
      <c r="BL244" s="351">
        <f>BL251-BI251</f>
        <v>-12</v>
      </c>
      <c r="BM244" s="351">
        <f>BM251-BL251</f>
        <v>91</v>
      </c>
      <c r="BN244" s="351">
        <f>+BM244+BL244</f>
        <v>79</v>
      </c>
      <c r="BO244" s="393"/>
      <c r="BP244" s="351">
        <f>BP251-BM251</f>
        <v>16</v>
      </c>
      <c r="BQ244" s="351">
        <f>BQ251-BP251</f>
        <v>1</v>
      </c>
      <c r="BR244" s="351">
        <f>+BQ244+BP244</f>
        <v>17</v>
      </c>
      <c r="BS244" s="393"/>
      <c r="BT244" s="351">
        <f>BT251-BQ251</f>
        <v>-39</v>
      </c>
      <c r="BU244" s="351">
        <f>BU251-BT251</f>
        <v>-17</v>
      </c>
      <c r="BV244" s="351">
        <f>+BU244+BT244</f>
        <v>-56</v>
      </c>
      <c r="BW244" s="393"/>
      <c r="BX244" s="351">
        <f>BX251-BU251</f>
        <v>11</v>
      </c>
      <c r="BY244" s="351">
        <f>BY251-BX251</f>
        <v>60</v>
      </c>
      <c r="BZ244" s="351">
        <f>+BY244+BX244</f>
        <v>71</v>
      </c>
      <c r="CA244" s="393"/>
      <c r="CB244" s="351">
        <f>CB251-BY251</f>
        <v>-25</v>
      </c>
      <c r="CC244" s="351">
        <f>CC251-CB251</f>
        <v>9</v>
      </c>
      <c r="CD244" s="351">
        <f>+CC244+CB244</f>
        <v>-16</v>
      </c>
      <c r="CE244" s="393"/>
      <c r="CF244" s="496">
        <f>CF251-CC251+1055</f>
        <v>4</v>
      </c>
      <c r="CG244" s="351">
        <f>CG251-CF251</f>
        <v>-90</v>
      </c>
      <c r="CH244" s="351">
        <f>+CG244+CF244</f>
        <v>-86</v>
      </c>
      <c r="CI244" s="393"/>
      <c r="CJ244" s="351">
        <f>CJ251-CG251</f>
        <v>-163</v>
      </c>
      <c r="CK244" s="351">
        <f>CK251-CJ251</f>
        <v>-1329</v>
      </c>
      <c r="CL244" s="351">
        <f>+CK244+CJ244</f>
        <v>-1492</v>
      </c>
      <c r="CM244" s="393"/>
      <c r="CN244" s="351">
        <f>CN251-CK251</f>
        <v>-547</v>
      </c>
      <c r="CO244" s="351">
        <f>CO251-CN251</f>
        <v>632</v>
      </c>
      <c r="CP244" s="351">
        <f>+CO244+CN244</f>
        <v>85</v>
      </c>
      <c r="CQ244" s="393"/>
      <c r="CR244" s="351">
        <f>CR251-CO251</f>
        <v>249</v>
      </c>
      <c r="CS244" s="351">
        <f>CS251-CR251</f>
        <v>451</v>
      </c>
      <c r="CT244" s="351">
        <f>+CS244+CR244</f>
        <v>700</v>
      </c>
      <c r="CU244" s="393"/>
      <c r="CV244" s="351">
        <f>CV251-CS251</f>
        <v>-289</v>
      </c>
      <c r="CW244" s="351">
        <f>CW251-CV251</f>
        <v>-296</v>
      </c>
      <c r="CX244" s="351">
        <f>+CW244+CV244</f>
        <v>-585</v>
      </c>
      <c r="CY244" s="393"/>
      <c r="CZ244" s="351">
        <f>CZ251-CW251</f>
        <v>-134</v>
      </c>
      <c r="DA244" s="351">
        <f>DA251-CZ251</f>
        <v>-93</v>
      </c>
      <c r="DB244" s="351">
        <f>+DA244+CZ244</f>
        <v>-227</v>
      </c>
      <c r="DC244" s="393"/>
      <c r="DD244" s="351">
        <f>DD251-DA251</f>
        <v>-69</v>
      </c>
      <c r="DE244" s="351">
        <f>DE251-DD251</f>
        <v>-69</v>
      </c>
      <c r="DF244" s="351">
        <f>+DE244+DD244</f>
        <v>-138</v>
      </c>
      <c r="DG244" s="393"/>
      <c r="DH244" s="351">
        <f>DH251-DE251</f>
        <v>19</v>
      </c>
      <c r="DI244" s="351">
        <f ca="1">DI250</f>
        <v>-19.303884923665464</v>
      </c>
      <c r="DJ244" s="351">
        <f ca="1">DH244+DI244</f>
        <v>-0.30388492366546416</v>
      </c>
      <c r="DK244" s="393"/>
      <c r="DL244" s="351">
        <f ca="1">DL250</f>
        <v>-21.716207034733088</v>
      </c>
      <c r="DM244" s="351">
        <f ca="1">DM250</f>
        <v>-48.293062631310931</v>
      </c>
      <c r="DN244" s="351">
        <f ca="1">DL244+DM244</f>
        <v>-70.00926966604402</v>
      </c>
      <c r="DO244" s="393"/>
      <c r="DP244" s="351">
        <f ca="1">DP250</f>
        <v>-128.35686976036959</v>
      </c>
      <c r="DQ244" s="351">
        <f ca="1">DQ250</f>
        <v>-150.20653978547853</v>
      </c>
      <c r="DR244" s="351">
        <f ca="1">DP244+DQ244</f>
        <v>-278.56340954584812</v>
      </c>
      <c r="DS244" s="393"/>
      <c r="DT244" s="1"/>
      <c r="DU244" s="1"/>
      <c r="DV244" s="1"/>
      <c r="DW244" s="1"/>
      <c r="DX244" s="1"/>
      <c r="DY244" s="1"/>
      <c r="DZ244" s="1"/>
      <c r="EA244" s="1"/>
      <c r="EB244" s="1"/>
      <c r="EC244" s="1"/>
      <c r="ED244" s="1"/>
      <c r="EE244" s="1"/>
      <c r="EF244" s="1"/>
      <c r="EG244" s="1"/>
      <c r="EH244" s="1"/>
      <c r="EI244" s="1"/>
      <c r="EJ244" s="1"/>
      <c r="EK244" s="1"/>
      <c r="EL244" s="1"/>
      <c r="EM244" s="1"/>
      <c r="EN244" s="1"/>
      <c r="EO244" s="1"/>
      <c r="EP244" s="1"/>
      <c r="EQ244" s="1"/>
      <c r="ER244" s="1"/>
      <c r="ES244" s="1"/>
      <c r="ET244" s="1"/>
      <c r="EU244" s="1"/>
      <c r="EV244" s="1"/>
      <c r="EW244" s="1"/>
      <c r="EX244" s="1"/>
      <c r="EY244" s="1"/>
      <c r="EZ244" s="1"/>
      <c r="FA244" s="1"/>
      <c r="FB244" s="1"/>
      <c r="FC244" s="1"/>
      <c r="FD244" s="1"/>
      <c r="FE244" s="1"/>
      <c r="FF244" s="1"/>
      <c r="FG244" s="1"/>
      <c r="FH244" s="1"/>
      <c r="FI244" s="1"/>
      <c r="FJ244" s="1"/>
      <c r="FK244" s="1"/>
      <c r="FL244" s="1"/>
      <c r="FM244" s="1"/>
      <c r="FN244" s="1"/>
      <c r="FO244" s="1"/>
      <c r="FP244" s="1"/>
      <c r="FQ244" s="1"/>
      <c r="FR244" s="1"/>
      <c r="FS244" s="1"/>
      <c r="FT244" s="1"/>
      <c r="FU244" s="1"/>
      <c r="FV244" s="1"/>
      <c r="FW244" s="1"/>
      <c r="FX244" s="1"/>
      <c r="FY244" s="1"/>
      <c r="FZ244" s="1"/>
      <c r="GA244" s="1"/>
      <c r="GB244" s="1"/>
      <c r="GC244" s="1"/>
      <c r="GD244" s="1"/>
      <c r="GE244" s="1"/>
      <c r="GF244" s="1"/>
      <c r="GG244" s="1"/>
      <c r="GH244" s="1"/>
      <c r="GI244" s="1"/>
      <c r="GJ244" s="1"/>
      <c r="GK244" s="1"/>
      <c r="GL244" s="1"/>
      <c r="GM244" s="1"/>
      <c r="GN244" s="1"/>
      <c r="GO244" s="1"/>
      <c r="GP244" s="1"/>
      <c r="GQ244" s="1"/>
      <c r="GR244" s="1"/>
      <c r="GS244" s="1"/>
      <c r="GT244" s="1"/>
      <c r="GU244" s="1"/>
      <c r="GV244" s="1"/>
      <c r="GW244" s="1"/>
      <c r="GX244" s="1"/>
      <c r="GY244" s="1"/>
      <c r="GZ244" s="1"/>
      <c r="HA244" s="1"/>
      <c r="HB244" s="1"/>
      <c r="HC244" s="1"/>
      <c r="HD244" s="1"/>
      <c r="HE244" s="1"/>
      <c r="HF244" s="1"/>
      <c r="HG244" s="1"/>
      <c r="HH244" s="1"/>
      <c r="HI244" s="1"/>
      <c r="HJ244" s="1"/>
      <c r="HK244" s="1"/>
      <c r="HL244" s="1"/>
      <c r="HM244" s="1"/>
      <c r="HN244" s="1"/>
      <c r="HO244" s="1"/>
      <c r="HP244" s="1"/>
      <c r="HQ244" s="1"/>
      <c r="HR244" s="1"/>
      <c r="HS244" s="1"/>
      <c r="HT244" s="1"/>
      <c r="HU244" s="1"/>
      <c r="HV244" s="1"/>
      <c r="HW244" s="1"/>
      <c r="HX244" s="1"/>
      <c r="HY244" s="1"/>
      <c r="HZ244" s="1"/>
      <c r="IA244" s="1"/>
      <c r="IB244" s="1"/>
      <c r="IC244" s="1"/>
      <c r="ID244" s="1"/>
      <c r="IE244" s="1"/>
      <c r="IF244" s="1"/>
      <c r="IG244" s="1"/>
      <c r="IH244" s="1"/>
      <c r="II244" s="1"/>
      <c r="IJ244" s="1"/>
      <c r="IK244" s="1"/>
      <c r="IL244" s="1"/>
      <c r="IM244" s="1"/>
      <c r="IN244" s="1"/>
      <c r="IO244" s="1"/>
      <c r="IP244" s="1"/>
      <c r="IQ244" s="1"/>
      <c r="IR244" s="1"/>
      <c r="IS244" s="1"/>
      <c r="IT244" s="1"/>
      <c r="IU244" s="1"/>
      <c r="IV244" s="1"/>
      <c r="IW244" s="1"/>
      <c r="IX244" s="1"/>
      <c r="IY244" s="1"/>
      <c r="IZ244" s="1"/>
      <c r="JA244" s="1"/>
      <c r="JB244" s="1"/>
      <c r="JC244" s="1"/>
      <c r="JD244" s="1"/>
    </row>
    <row r="245" spans="1:264" s="347" customFormat="1" x14ac:dyDescent="0.2">
      <c r="A245" s="411" t="s">
        <v>301</v>
      </c>
      <c r="B245" s="348"/>
      <c r="BH245" s="397">
        <f>BH32</f>
        <v>-616</v>
      </c>
      <c r="BI245" s="397">
        <f>BI32</f>
        <v>-466</v>
      </c>
      <c r="BJ245" s="397">
        <f>BJ32</f>
        <v>-1082</v>
      </c>
      <c r="BK245" s="348"/>
      <c r="BL245" s="397">
        <f>BL32</f>
        <v>-457</v>
      </c>
      <c r="BM245" s="397">
        <f>BM32</f>
        <v>-496</v>
      </c>
      <c r="BN245" s="397">
        <f>BN32</f>
        <v>-953</v>
      </c>
      <c r="BO245" s="393">
        <f>+BN245/BJ245-1</f>
        <v>-0.11922365988909422</v>
      </c>
      <c r="BP245" s="397">
        <f>BP32</f>
        <v>-440</v>
      </c>
      <c r="BQ245" s="397">
        <f>BQ32</f>
        <v>-548</v>
      </c>
      <c r="BR245" s="397">
        <f>BR32</f>
        <v>-988</v>
      </c>
      <c r="BS245" s="393">
        <f>+BR245/BN245-1</f>
        <v>3.6726128016788984E-2</v>
      </c>
      <c r="BT245" s="397">
        <f>BT32</f>
        <v>-564</v>
      </c>
      <c r="BU245" s="397">
        <f>BU32</f>
        <v>-692</v>
      </c>
      <c r="BV245" s="397">
        <f>BV32</f>
        <v>-1256</v>
      </c>
      <c r="BW245" s="393">
        <f>+BV245/BR245-1</f>
        <v>0.27125506072874495</v>
      </c>
      <c r="BX245" s="397">
        <f>BX32</f>
        <v>-599</v>
      </c>
      <c r="BY245" s="397">
        <f>BY32</f>
        <v>-496</v>
      </c>
      <c r="BZ245" s="397">
        <f>BZ32</f>
        <v>-1095</v>
      </c>
      <c r="CA245" s="393">
        <f>+BZ245/BV245-1</f>
        <v>-0.12818471337579618</v>
      </c>
      <c r="CB245" s="397">
        <f>CB32</f>
        <v>-596</v>
      </c>
      <c r="CC245" s="397">
        <f>CC32</f>
        <v>-483</v>
      </c>
      <c r="CD245" s="397">
        <f>CD32</f>
        <v>-1079</v>
      </c>
      <c r="CE245" s="393">
        <f>+CD245/BZ245-1</f>
        <v>-1.4611872146118698E-2</v>
      </c>
      <c r="CF245" s="397">
        <f>CF32</f>
        <v>-577</v>
      </c>
      <c r="CG245" s="397">
        <f>CG32</f>
        <v>-624</v>
      </c>
      <c r="CH245" s="397">
        <f>CH32</f>
        <v>-1201</v>
      </c>
      <c r="CI245" s="393">
        <f>+CH245/CD245-1</f>
        <v>0.11306765523632989</v>
      </c>
      <c r="CJ245" s="397">
        <f>CJ32</f>
        <v>-649</v>
      </c>
      <c r="CK245" s="397">
        <f>CK32</f>
        <v>-1869</v>
      </c>
      <c r="CL245" s="397">
        <f>CL32</f>
        <v>-2518</v>
      </c>
      <c r="CM245" s="393">
        <f>+CL245/CH245-1</f>
        <v>1.0965861781848458</v>
      </c>
      <c r="CN245" s="397">
        <f>CN32</f>
        <v>-882</v>
      </c>
      <c r="CO245" s="397">
        <f>CO32</f>
        <v>328</v>
      </c>
      <c r="CP245" s="397">
        <f>CP32</f>
        <v>-554</v>
      </c>
      <c r="CQ245" s="393">
        <f>+CP245/CL245-1</f>
        <v>-0.77998411437648929</v>
      </c>
      <c r="CR245" s="397">
        <f>CR32</f>
        <v>75</v>
      </c>
      <c r="CS245" s="397">
        <f>CS32</f>
        <v>282</v>
      </c>
      <c r="CT245" s="397">
        <f>CT32</f>
        <v>357</v>
      </c>
      <c r="CU245" s="393">
        <f>+CT245/CP245-1</f>
        <v>-1.644404332129964</v>
      </c>
      <c r="CV245" s="397">
        <f>CV32</f>
        <v>-511</v>
      </c>
      <c r="CW245" s="397">
        <f>CW32</f>
        <v>-597</v>
      </c>
      <c r="CX245" s="397">
        <f>CX32</f>
        <v>-1108</v>
      </c>
      <c r="CY245" s="393">
        <f>+CX245/CT245-1</f>
        <v>-4.1036414565826327</v>
      </c>
      <c r="CZ245" s="397">
        <f>CZ32</f>
        <v>-415</v>
      </c>
      <c r="DA245" s="397">
        <f>DA32</f>
        <v>-387</v>
      </c>
      <c r="DB245" s="397">
        <f>DB32</f>
        <v>-802</v>
      </c>
      <c r="DC245" s="393">
        <f>+DB245/CX245-1</f>
        <v>-0.276173285198556</v>
      </c>
      <c r="DD245" s="397">
        <f>DD32</f>
        <v>-320</v>
      </c>
      <c r="DE245" s="397">
        <f>DE32</f>
        <v>-406</v>
      </c>
      <c r="DF245" s="397">
        <f>DF32</f>
        <v>-726</v>
      </c>
      <c r="DG245" s="393">
        <f>+DF245/DB245-1</f>
        <v>-9.4763092269326665E-2</v>
      </c>
      <c r="DH245" s="397">
        <f>DH32</f>
        <v>-319</v>
      </c>
      <c r="DI245" s="397">
        <f>DI32</f>
        <v>-430.65637850734686</v>
      </c>
      <c r="DJ245" s="397">
        <f>DJ32</f>
        <v>-749.65637850734686</v>
      </c>
      <c r="DK245" s="393">
        <f>+DJ245/DF245-1</f>
        <v>3.2584543398549437E-2</v>
      </c>
      <c r="DL245" s="397">
        <f>DL32</f>
        <v>-506.96630476295451</v>
      </c>
      <c r="DM245" s="397">
        <f>DM32</f>
        <v>-571.35016418125986</v>
      </c>
      <c r="DN245" s="397">
        <f>DN32</f>
        <v>-1078.3164689442144</v>
      </c>
      <c r="DO245" s="393">
        <f>+DN245/DJ245-1</f>
        <v>0.43841431869260972</v>
      </c>
      <c r="DP245" s="397">
        <f>DP32</f>
        <v>-592.78190747690508</v>
      </c>
      <c r="DQ245" s="397">
        <f>DQ32</f>
        <v>-601.06786197326039</v>
      </c>
      <c r="DR245" s="397">
        <f>DR32</f>
        <v>-1193.8497694501655</v>
      </c>
      <c r="DS245" s="393">
        <f>+DR245/DN245-1</f>
        <v>0.10714229433875788</v>
      </c>
      <c r="DT245" s="1"/>
      <c r="DU245" s="1"/>
      <c r="DV245" s="1"/>
      <c r="DW245" s="1"/>
      <c r="DX245" s="1"/>
      <c r="DY245" s="1"/>
      <c r="DZ245" s="1"/>
      <c r="EA245" s="1"/>
      <c r="EB245" s="1"/>
      <c r="EC245" s="1"/>
      <c r="ED245" s="1"/>
      <c r="EE245" s="1"/>
      <c r="EF245" s="1"/>
      <c r="EG245" s="1"/>
      <c r="EH245" s="1"/>
      <c r="EI245" s="1"/>
      <c r="EJ245" s="1"/>
      <c r="EK245" s="1"/>
      <c r="EL245" s="1"/>
      <c r="EM245" s="1"/>
      <c r="EN245" s="1"/>
      <c r="EO245" s="1"/>
      <c r="EP245" s="1"/>
      <c r="EQ245" s="1"/>
      <c r="ER245" s="1"/>
      <c r="ES245" s="1"/>
      <c r="ET245" s="1"/>
      <c r="EU245" s="1"/>
      <c r="EV245" s="1"/>
      <c r="EW245" s="1"/>
      <c r="EX245" s="1"/>
      <c r="EY245" s="1"/>
      <c r="EZ245" s="1"/>
      <c r="FA245" s="1"/>
      <c r="FB245" s="1"/>
      <c r="FC245" s="1"/>
      <c r="FD245" s="1"/>
      <c r="FE245" s="1"/>
      <c r="FF245" s="1"/>
      <c r="FG245" s="1"/>
      <c r="FH245" s="1"/>
      <c r="FI245" s="1"/>
      <c r="FJ245" s="1"/>
      <c r="FK245" s="1"/>
      <c r="FL245" s="1"/>
      <c r="FM245" s="1"/>
      <c r="FN245" s="1"/>
      <c r="FO245" s="1"/>
      <c r="FP245" s="1"/>
      <c r="FQ245" s="1"/>
      <c r="FR245" s="1"/>
      <c r="FS245" s="1"/>
      <c r="FT245" s="1"/>
      <c r="FU245" s="1"/>
      <c r="FV245" s="1"/>
      <c r="FW245" s="1"/>
      <c r="FX245" s="1"/>
      <c r="FY245" s="1"/>
      <c r="FZ245" s="1"/>
      <c r="GA245" s="1"/>
      <c r="GB245" s="1"/>
      <c r="GC245" s="1"/>
      <c r="GD245" s="1"/>
      <c r="GE245" s="1"/>
      <c r="GF245" s="1"/>
      <c r="GG245" s="1"/>
      <c r="GH245" s="1"/>
      <c r="GI245" s="1"/>
      <c r="GJ245" s="1"/>
      <c r="GK245" s="1"/>
      <c r="GL245" s="1"/>
      <c r="GM245" s="1"/>
      <c r="GN245" s="1"/>
      <c r="GO245" s="1"/>
      <c r="GP245" s="1"/>
      <c r="GQ245" s="1"/>
      <c r="GR245" s="1"/>
      <c r="GS245" s="1"/>
      <c r="GT245" s="1"/>
      <c r="GU245" s="1"/>
      <c r="GV245" s="1"/>
      <c r="GW245" s="1"/>
      <c r="GX245" s="1"/>
      <c r="GY245" s="1"/>
      <c r="GZ245" s="1"/>
      <c r="HA245" s="1"/>
      <c r="HB245" s="1"/>
      <c r="HC245" s="1"/>
      <c r="HD245" s="1"/>
      <c r="HE245" s="1"/>
      <c r="HF245" s="1"/>
      <c r="HG245" s="1"/>
      <c r="HH245" s="1"/>
      <c r="HI245" s="1"/>
      <c r="HJ245" s="1"/>
      <c r="HK245" s="1"/>
      <c r="HL245" s="1"/>
      <c r="HM245" s="1"/>
      <c r="HN245" s="1"/>
      <c r="HO245" s="1"/>
      <c r="HP245" s="1"/>
      <c r="HQ245" s="1"/>
      <c r="HR245" s="1"/>
      <c r="HS245" s="1"/>
      <c r="HT245" s="1"/>
      <c r="HU245" s="1"/>
      <c r="HV245" s="1"/>
      <c r="HW245" s="1"/>
      <c r="HX245" s="1"/>
      <c r="HY245" s="1"/>
      <c r="HZ245" s="1"/>
      <c r="IA245" s="1"/>
      <c r="IB245" s="1"/>
      <c r="IC245" s="1"/>
      <c r="ID245" s="1"/>
      <c r="IE245" s="1"/>
      <c r="IF245" s="1"/>
      <c r="IG245" s="1"/>
      <c r="IH245" s="1"/>
      <c r="II245" s="1"/>
      <c r="IJ245" s="1"/>
      <c r="IK245" s="1"/>
      <c r="IL245" s="1"/>
      <c r="IM245" s="1"/>
      <c r="IN245" s="1"/>
      <c r="IO245" s="1"/>
      <c r="IP245" s="1"/>
      <c r="IQ245" s="1"/>
      <c r="IR245" s="1"/>
      <c r="IS245" s="1"/>
      <c r="IT245" s="1"/>
      <c r="IU245" s="1"/>
      <c r="IV245" s="1"/>
      <c r="IW245" s="1"/>
      <c r="IX245" s="1"/>
      <c r="IY245" s="1"/>
      <c r="IZ245" s="1"/>
      <c r="JA245" s="1"/>
      <c r="JB245" s="1"/>
      <c r="JC245" s="1"/>
      <c r="JD245" s="1"/>
    </row>
    <row r="246" spans="1:264" s="347" customFormat="1" x14ac:dyDescent="0.2">
      <c r="A246" s="424"/>
      <c r="B246" s="348"/>
      <c r="BH246" s="398"/>
      <c r="BI246" s="428"/>
      <c r="BJ246" s="397"/>
      <c r="BK246" s="348"/>
      <c r="BL246" s="348"/>
      <c r="BM246" s="428"/>
      <c r="BN246" s="397"/>
      <c r="BO246" s="348"/>
      <c r="BP246" s="348"/>
      <c r="BQ246" s="428"/>
      <c r="BR246" s="397"/>
      <c r="BT246" s="348"/>
      <c r="BU246" s="428"/>
      <c r="BV246" s="397"/>
      <c r="BX246" s="348"/>
      <c r="BY246" s="348"/>
      <c r="BZ246" s="348"/>
      <c r="CB246" s="348"/>
      <c r="CC246" s="348"/>
      <c r="CD246" s="348"/>
      <c r="CF246" s="348"/>
      <c r="CG246" s="348"/>
      <c r="CH246" s="348"/>
      <c r="CJ246" s="348"/>
      <c r="CK246" s="348"/>
      <c r="CL246" s="348"/>
      <c r="CN246" s="348"/>
      <c r="CO246" s="348"/>
      <c r="CP246" s="348"/>
      <c r="CR246" s="348"/>
      <c r="CS246" s="348"/>
      <c r="CT246" s="348"/>
      <c r="CV246" s="348"/>
      <c r="CW246" s="348"/>
      <c r="CX246" s="348"/>
      <c r="CZ246" s="348"/>
      <c r="DA246" s="348"/>
      <c r="DB246" s="348"/>
      <c r="DD246" s="348"/>
      <c r="DE246" s="348"/>
      <c r="DF246" s="348"/>
      <c r="DH246" s="348"/>
      <c r="DI246" s="348"/>
      <c r="DJ246" s="348"/>
      <c r="DL246" s="348"/>
      <c r="DM246" s="348"/>
      <c r="DN246" s="348"/>
      <c r="DP246" s="348"/>
      <c r="DQ246" s="348"/>
      <c r="DR246" s="348"/>
      <c r="DT246" s="1"/>
      <c r="DU246" s="1"/>
      <c r="DV246" s="1"/>
      <c r="DW246" s="1"/>
      <c r="DX246" s="1"/>
      <c r="DY246" s="1"/>
      <c r="DZ246" s="1"/>
      <c r="EA246" s="1"/>
      <c r="EB246" s="1"/>
      <c r="EC246" s="1"/>
      <c r="ED246" s="1"/>
      <c r="EE246" s="1"/>
      <c r="EF246" s="1"/>
      <c r="EG246" s="1"/>
      <c r="EH246" s="1"/>
      <c r="EI246" s="1"/>
      <c r="EJ246" s="1"/>
      <c r="EK246" s="1"/>
      <c r="EL246" s="1"/>
      <c r="EM246" s="1"/>
      <c r="EN246" s="1"/>
      <c r="EO246" s="1"/>
      <c r="EP246" s="1"/>
      <c r="EQ246" s="1"/>
      <c r="ER246" s="1"/>
      <c r="ES246" s="1"/>
      <c r="ET246" s="1"/>
      <c r="EU246" s="1"/>
      <c r="EV246" s="1"/>
      <c r="EW246" s="1"/>
      <c r="EX246" s="1"/>
      <c r="EY246" s="1"/>
      <c r="EZ246" s="1"/>
      <c r="FA246" s="1"/>
      <c r="FB246" s="1"/>
      <c r="FC246" s="1"/>
      <c r="FD246" s="1"/>
      <c r="FE246" s="1"/>
      <c r="FF246" s="1"/>
      <c r="FG246" s="1"/>
      <c r="FH246" s="1"/>
      <c r="FI246" s="1"/>
      <c r="FJ246" s="1"/>
      <c r="FK246" s="1"/>
      <c r="FL246" s="1"/>
      <c r="FM246" s="1"/>
      <c r="FN246" s="1"/>
      <c r="FO246" s="1"/>
      <c r="FP246" s="1"/>
      <c r="FQ246" s="1"/>
      <c r="FR246" s="1"/>
      <c r="FS246" s="1"/>
      <c r="FT246" s="1"/>
      <c r="FU246" s="1"/>
      <c r="FV246" s="1"/>
      <c r="FW246" s="1"/>
      <c r="FX246" s="1"/>
      <c r="FY246" s="1"/>
      <c r="FZ246" s="1"/>
      <c r="GA246" s="1"/>
      <c r="GB246" s="1"/>
      <c r="GC246" s="1"/>
      <c r="GD246" s="1"/>
      <c r="GE246" s="1"/>
      <c r="GF246" s="1"/>
      <c r="GG246" s="1"/>
      <c r="GH246" s="1"/>
      <c r="GI246" s="1"/>
      <c r="GJ246" s="1"/>
      <c r="GK246" s="1"/>
      <c r="GL246" s="1"/>
      <c r="GM246" s="1"/>
      <c r="GN246" s="1"/>
      <c r="GO246" s="1"/>
      <c r="GP246" s="1"/>
      <c r="GQ246" s="1"/>
      <c r="GR246" s="1"/>
      <c r="GS246" s="1"/>
      <c r="GT246" s="1"/>
      <c r="GU246" s="1"/>
      <c r="GV246" s="1"/>
      <c r="GW246" s="1"/>
      <c r="GX246" s="1"/>
      <c r="GY246" s="1"/>
      <c r="GZ246" s="1"/>
      <c r="HA246" s="1"/>
      <c r="HB246" s="1"/>
      <c r="HC246" s="1"/>
      <c r="HD246" s="1"/>
      <c r="HE246" s="1"/>
      <c r="HF246" s="1"/>
      <c r="HG246" s="1"/>
      <c r="HH246" s="1"/>
      <c r="HI246" s="1"/>
      <c r="HJ246" s="1"/>
      <c r="HK246" s="1"/>
      <c r="HL246" s="1"/>
      <c r="HM246" s="1"/>
      <c r="HN246" s="1"/>
      <c r="HO246" s="1"/>
      <c r="HP246" s="1"/>
      <c r="HQ246" s="1"/>
      <c r="HR246" s="1"/>
      <c r="HS246" s="1"/>
      <c r="HT246" s="1"/>
      <c r="HU246" s="1"/>
      <c r="HV246" s="1"/>
      <c r="HW246" s="1"/>
      <c r="HX246" s="1"/>
      <c r="HY246" s="1"/>
      <c r="HZ246" s="1"/>
      <c r="IA246" s="1"/>
      <c r="IB246" s="1"/>
      <c r="IC246" s="1"/>
      <c r="ID246" s="1"/>
      <c r="IE246" s="1"/>
      <c r="IF246" s="1"/>
      <c r="IG246" s="1"/>
      <c r="IH246" s="1"/>
      <c r="II246" s="1"/>
      <c r="IJ246" s="1"/>
      <c r="IK246" s="1"/>
      <c r="IL246" s="1"/>
      <c r="IM246" s="1"/>
      <c r="IN246" s="1"/>
      <c r="IO246" s="1"/>
      <c r="IP246" s="1"/>
      <c r="IQ246" s="1"/>
      <c r="IR246" s="1"/>
      <c r="IS246" s="1"/>
      <c r="IT246" s="1"/>
      <c r="IU246" s="1"/>
      <c r="IV246" s="1"/>
      <c r="IW246" s="1"/>
      <c r="IX246" s="1"/>
      <c r="IY246" s="1"/>
      <c r="IZ246" s="1"/>
      <c r="JA246" s="1"/>
      <c r="JB246" s="1"/>
      <c r="JC246" s="1"/>
      <c r="JD246" s="1"/>
    </row>
    <row r="247" spans="1:264" s="347" customFormat="1" x14ac:dyDescent="0.2">
      <c r="A247" s="411" t="s">
        <v>304</v>
      </c>
      <c r="B247" s="348"/>
      <c r="BH247" s="398"/>
      <c r="BI247" s="428"/>
      <c r="BJ247" s="397"/>
      <c r="BK247" s="348"/>
      <c r="BL247" s="348"/>
      <c r="BM247" s="428"/>
      <c r="BN247" s="397"/>
      <c r="BO247" s="348"/>
      <c r="BP247" s="348"/>
      <c r="BQ247" s="428"/>
      <c r="BR247" s="397"/>
      <c r="BT247" s="348"/>
      <c r="BU247" s="428"/>
      <c r="BV247" s="397"/>
      <c r="BX247" s="348"/>
      <c r="BY247" s="348"/>
      <c r="BZ247" s="348"/>
      <c r="CB247" s="348"/>
      <c r="CC247" s="348"/>
      <c r="CD247" s="348"/>
      <c r="CF247" s="348"/>
      <c r="CG247" s="348"/>
      <c r="CH247" s="348"/>
      <c r="CJ247" s="348"/>
      <c r="CK247" s="348"/>
      <c r="CL247" s="348"/>
      <c r="CN247" s="348"/>
      <c r="CO247" s="348"/>
      <c r="CP247" s="348"/>
      <c r="CR247" s="348"/>
      <c r="CS247" s="348"/>
      <c r="CT247" s="348"/>
      <c r="CV247" s="348"/>
      <c r="CW247" s="348"/>
      <c r="CX247" s="348"/>
      <c r="CZ247" s="348"/>
      <c r="DA247" s="348"/>
      <c r="DB247" s="348"/>
      <c r="DD247" s="348"/>
      <c r="DE247" s="348"/>
      <c r="DF247" s="348"/>
      <c r="DH247" s="348"/>
      <c r="DI247" s="348"/>
      <c r="DJ247" s="348"/>
      <c r="DL247" s="348"/>
      <c r="DM247" s="348"/>
      <c r="DN247" s="348"/>
      <c r="DP247" s="348"/>
      <c r="DQ247" s="348"/>
      <c r="DR247" s="348"/>
      <c r="DT247" s="1"/>
      <c r="DU247" s="1"/>
      <c r="DV247" s="1"/>
      <c r="DW247" s="1"/>
      <c r="DX247" s="1"/>
      <c r="DY247" s="1"/>
      <c r="DZ247" s="1"/>
      <c r="EA247" s="1"/>
      <c r="EB247" s="1"/>
      <c r="EC247" s="1"/>
      <c r="ED247" s="1"/>
      <c r="EE247" s="1"/>
      <c r="EF247" s="1"/>
      <c r="EG247" s="1"/>
      <c r="EH247" s="1"/>
      <c r="EI247" s="1"/>
      <c r="EJ247" s="1"/>
      <c r="EK247" s="1"/>
      <c r="EL247" s="1"/>
      <c r="EM247" s="1"/>
      <c r="EN247" s="1"/>
      <c r="EO247" s="1"/>
      <c r="EP247" s="1"/>
      <c r="EQ247" s="1"/>
      <c r="ER247" s="1"/>
      <c r="ES247" s="1"/>
      <c r="ET247" s="1"/>
      <c r="EU247" s="1"/>
      <c r="EV247" s="1"/>
      <c r="EW247" s="1"/>
      <c r="EX247" s="1"/>
      <c r="EY247" s="1"/>
      <c r="EZ247" s="1"/>
      <c r="FA247" s="1"/>
      <c r="FB247" s="1"/>
      <c r="FC247" s="1"/>
      <c r="FD247" s="1"/>
      <c r="FE247" s="1"/>
      <c r="FF247" s="1"/>
      <c r="FG247" s="1"/>
      <c r="FH247" s="1"/>
      <c r="FI247" s="1"/>
      <c r="FJ247" s="1"/>
      <c r="FK247" s="1"/>
      <c r="FL247" s="1"/>
      <c r="FM247" s="1"/>
      <c r="FN247" s="1"/>
      <c r="FO247" s="1"/>
      <c r="FP247" s="1"/>
      <c r="FQ247" s="1"/>
      <c r="FR247" s="1"/>
      <c r="FS247" s="1"/>
      <c r="FT247" s="1"/>
      <c r="FU247" s="1"/>
      <c r="FV247" s="1"/>
      <c r="FW247" s="1"/>
      <c r="FX247" s="1"/>
      <c r="FY247" s="1"/>
      <c r="FZ247" s="1"/>
      <c r="GA247" s="1"/>
      <c r="GB247" s="1"/>
      <c r="GC247" s="1"/>
      <c r="GD247" s="1"/>
      <c r="GE247" s="1"/>
      <c r="GF247" s="1"/>
      <c r="GG247" s="1"/>
      <c r="GH247" s="1"/>
      <c r="GI247" s="1"/>
      <c r="GJ247" s="1"/>
      <c r="GK247" s="1"/>
      <c r="GL247" s="1"/>
      <c r="GM247" s="1"/>
      <c r="GN247" s="1"/>
      <c r="GO247" s="1"/>
      <c r="GP247" s="1"/>
      <c r="GQ247" s="1"/>
      <c r="GR247" s="1"/>
      <c r="GS247" s="1"/>
      <c r="GT247" s="1"/>
      <c r="GU247" s="1"/>
      <c r="GV247" s="1"/>
      <c r="GW247" s="1"/>
      <c r="GX247" s="1"/>
      <c r="GY247" s="1"/>
      <c r="GZ247" s="1"/>
      <c r="HA247" s="1"/>
      <c r="HB247" s="1"/>
      <c r="HC247" s="1"/>
      <c r="HD247" s="1"/>
      <c r="HE247" s="1"/>
      <c r="HF247" s="1"/>
      <c r="HG247" s="1"/>
      <c r="HH247" s="1"/>
      <c r="HI247" s="1"/>
      <c r="HJ247" s="1"/>
      <c r="HK247" s="1"/>
      <c r="HL247" s="1"/>
      <c r="HM247" s="1"/>
      <c r="HN247" s="1"/>
      <c r="HO247" s="1"/>
      <c r="HP247" s="1"/>
      <c r="HQ247" s="1"/>
      <c r="HR247" s="1"/>
      <c r="HS247" s="1"/>
      <c r="HT247" s="1"/>
      <c r="HU247" s="1"/>
      <c r="HV247" s="1"/>
      <c r="HW247" s="1"/>
      <c r="HX247" s="1"/>
      <c r="HY247" s="1"/>
      <c r="HZ247" s="1"/>
      <c r="IA247" s="1"/>
      <c r="IB247" s="1"/>
      <c r="IC247" s="1"/>
      <c r="ID247" s="1"/>
      <c r="IE247" s="1"/>
      <c r="IF247" s="1"/>
      <c r="IG247" s="1"/>
      <c r="IH247" s="1"/>
      <c r="II247" s="1"/>
      <c r="IJ247" s="1"/>
      <c r="IK247" s="1"/>
      <c r="IL247" s="1"/>
      <c r="IM247" s="1"/>
      <c r="IN247" s="1"/>
      <c r="IO247" s="1"/>
      <c r="IP247" s="1"/>
      <c r="IQ247" s="1"/>
      <c r="IR247" s="1"/>
      <c r="IS247" s="1"/>
      <c r="IT247" s="1"/>
      <c r="IU247" s="1"/>
      <c r="IV247" s="1"/>
      <c r="IW247" s="1"/>
      <c r="IX247" s="1"/>
      <c r="IY247" s="1"/>
      <c r="IZ247" s="1"/>
      <c r="JA247" s="1"/>
      <c r="JB247" s="1"/>
      <c r="JC247" s="1"/>
      <c r="JD247" s="1"/>
    </row>
    <row r="248" spans="1:264" s="347" customFormat="1" x14ac:dyDescent="0.2">
      <c r="A248" s="347" t="s">
        <v>305</v>
      </c>
      <c r="B248" s="348"/>
      <c r="BH248" s="351">
        <f>BE251</f>
        <v>-2837</v>
      </c>
      <c r="BI248" s="351">
        <f>BH251</f>
        <v>-2858</v>
      </c>
      <c r="BJ248" s="351">
        <f>BF251</f>
        <v>-2837</v>
      </c>
      <c r="BK248" s="348"/>
      <c r="BL248" s="351">
        <f>BI251</f>
        <v>-2858</v>
      </c>
      <c r="BM248" s="351">
        <f>BL251</f>
        <v>-2870</v>
      </c>
      <c r="BN248" s="351">
        <f>BJ251</f>
        <v>-2858</v>
      </c>
      <c r="BO248" s="348"/>
      <c r="BP248" s="351">
        <f>BM251</f>
        <v>-2779</v>
      </c>
      <c r="BQ248" s="351">
        <f>BP251</f>
        <v>-2763</v>
      </c>
      <c r="BR248" s="351">
        <f>BN251</f>
        <v>-2779</v>
      </c>
      <c r="BT248" s="351">
        <f>BQ251</f>
        <v>-2762</v>
      </c>
      <c r="BU248" s="351">
        <f>BT251</f>
        <v>-2801</v>
      </c>
      <c r="BV248" s="351">
        <f>BR251</f>
        <v>-2762</v>
      </c>
      <c r="BX248" s="351">
        <f>BU251</f>
        <v>-2818</v>
      </c>
      <c r="BY248" s="351">
        <f>BX251</f>
        <v>-2807</v>
      </c>
      <c r="BZ248" s="351">
        <f>BV251</f>
        <v>-2818</v>
      </c>
      <c r="CB248" s="351">
        <f>BY251</f>
        <v>-2747</v>
      </c>
      <c r="CC248" s="351">
        <f>CB251</f>
        <v>-2772</v>
      </c>
      <c r="CD248" s="351">
        <f>BZ251</f>
        <v>-2747</v>
      </c>
      <c r="CF248" s="351">
        <f>CC251</f>
        <v>-2763</v>
      </c>
      <c r="CG248" s="351">
        <f>CF251</f>
        <v>-3814</v>
      </c>
      <c r="CH248" s="351">
        <f>CD251</f>
        <v>-2763</v>
      </c>
      <c r="CJ248" s="351">
        <f>CG251</f>
        <v>-3904</v>
      </c>
      <c r="CK248" s="351">
        <f>CJ251</f>
        <v>-4067</v>
      </c>
      <c r="CL248" s="351">
        <f>CH251</f>
        <v>-3904</v>
      </c>
      <c r="CN248" s="351">
        <f>CK251</f>
        <v>-5396</v>
      </c>
      <c r="CO248" s="351">
        <f>CN251</f>
        <v>-5943</v>
      </c>
      <c r="CP248" s="351">
        <f>CL251</f>
        <v>-5396</v>
      </c>
      <c r="CR248" s="351">
        <f>CO251</f>
        <v>-5311</v>
      </c>
      <c r="CS248" s="351">
        <f>CR251</f>
        <v>-5062</v>
      </c>
      <c r="CT248" s="351">
        <f>CP251</f>
        <v>-5311</v>
      </c>
      <c r="CV248" s="351">
        <f>CS251</f>
        <v>-4611</v>
      </c>
      <c r="CW248" s="351">
        <f>CV251</f>
        <v>-4900</v>
      </c>
      <c r="CX248" s="351">
        <f>CT251</f>
        <v>-4611</v>
      </c>
      <c r="CZ248" s="351">
        <f>CW251</f>
        <v>-5196</v>
      </c>
      <c r="DA248" s="351">
        <f>CZ251</f>
        <v>-5330</v>
      </c>
      <c r="DB248" s="351">
        <f>CX251</f>
        <v>-5196</v>
      </c>
      <c r="DD248" s="351">
        <f>DA251</f>
        <v>-5423</v>
      </c>
      <c r="DE248" s="351">
        <f>DD251</f>
        <v>-5492</v>
      </c>
      <c r="DF248" s="351">
        <f>DB251</f>
        <v>-5423</v>
      </c>
      <c r="DH248" s="351">
        <f>DE251</f>
        <v>-5561</v>
      </c>
      <c r="DI248" s="351">
        <f>DH251</f>
        <v>-5542</v>
      </c>
      <c r="DJ248" s="351">
        <f>DF251</f>
        <v>-5561</v>
      </c>
      <c r="DL248" s="351">
        <f ca="1">DI251</f>
        <v>-5561.3038849236655</v>
      </c>
      <c r="DM248" s="351">
        <f ca="1">DL251</f>
        <v>-5583.0200919583986</v>
      </c>
      <c r="DN248" s="351">
        <f ca="1">DJ251</f>
        <v>-5561.3038849236655</v>
      </c>
      <c r="DP248" s="351">
        <f ca="1">DM251</f>
        <v>-5631.3131545897095</v>
      </c>
      <c r="DQ248" s="351">
        <f ca="1">DP251</f>
        <v>-5759.6700243500791</v>
      </c>
      <c r="DR248" s="351">
        <f ca="1">DN251</f>
        <v>-5631.3131545897095</v>
      </c>
      <c r="DT248" s="1"/>
      <c r="DU248" s="1"/>
      <c r="DV248" s="1"/>
      <c r="DW248" s="1"/>
      <c r="DX248" s="1"/>
      <c r="DY248" s="1"/>
      <c r="DZ248" s="1"/>
      <c r="EA248" s="1"/>
      <c r="EB248" s="1"/>
      <c r="EC248" s="1"/>
      <c r="ED248" s="1"/>
      <c r="EE248" s="1"/>
      <c r="EF248" s="1"/>
      <c r="EG248" s="1"/>
      <c r="EH248" s="1"/>
      <c r="EI248" s="1"/>
      <c r="EJ248" s="1"/>
      <c r="EK248" s="1"/>
      <c r="EL248" s="1"/>
      <c r="EM248" s="1"/>
      <c r="EN248" s="1"/>
      <c r="EO248" s="1"/>
      <c r="EP248" s="1"/>
      <c r="EQ248" s="1"/>
      <c r="ER248" s="1"/>
      <c r="ES248" s="1"/>
      <c r="ET248" s="1"/>
      <c r="EU248" s="1"/>
      <c r="EV248" s="1"/>
      <c r="EW248" s="1"/>
      <c r="EX248" s="1"/>
      <c r="EY248" s="1"/>
      <c r="EZ248" s="1"/>
      <c r="FA248" s="1"/>
      <c r="FB248" s="1"/>
      <c r="FC248" s="1"/>
      <c r="FD248" s="1"/>
      <c r="FE248" s="1"/>
      <c r="FF248" s="1"/>
      <c r="FG248" s="1"/>
      <c r="FH248" s="1"/>
      <c r="FI248" s="1"/>
      <c r="FJ248" s="1"/>
      <c r="FK248" s="1"/>
      <c r="FL248" s="1"/>
      <c r="FM248" s="1"/>
      <c r="FN248" s="1"/>
      <c r="FO248" s="1"/>
      <c r="FP248" s="1"/>
      <c r="FQ248" s="1"/>
      <c r="FR248" s="1"/>
      <c r="FS248" s="1"/>
      <c r="FT248" s="1"/>
      <c r="FU248" s="1"/>
      <c r="FV248" s="1"/>
      <c r="FW248" s="1"/>
      <c r="FX248" s="1"/>
      <c r="FY248" s="1"/>
      <c r="FZ248" s="1"/>
      <c r="GA248" s="1"/>
      <c r="GB248" s="1"/>
      <c r="GC248" s="1"/>
      <c r="GD248" s="1"/>
      <c r="GE248" s="1"/>
      <c r="GF248" s="1"/>
      <c r="GG248" s="1"/>
      <c r="GH248" s="1"/>
      <c r="GI248" s="1"/>
      <c r="GJ248" s="1"/>
      <c r="GK248" s="1"/>
      <c r="GL248" s="1"/>
      <c r="GM248" s="1"/>
      <c r="GN248" s="1"/>
      <c r="GO248" s="1"/>
      <c r="GP248" s="1"/>
      <c r="GQ248" s="1"/>
      <c r="GR248" s="1"/>
      <c r="GS248" s="1"/>
      <c r="GT248" s="1"/>
      <c r="GU248" s="1"/>
      <c r="GV248" s="1"/>
      <c r="GW248" s="1"/>
      <c r="GX248" s="1"/>
      <c r="GY248" s="1"/>
      <c r="GZ248" s="1"/>
      <c r="HA248" s="1"/>
      <c r="HB248" s="1"/>
      <c r="HC248" s="1"/>
      <c r="HD248" s="1"/>
      <c r="HE248" s="1"/>
      <c r="HF248" s="1"/>
      <c r="HG248" s="1"/>
      <c r="HH248" s="1"/>
      <c r="HI248" s="1"/>
      <c r="HJ248" s="1"/>
      <c r="HK248" s="1"/>
      <c r="HL248" s="1"/>
      <c r="HM248" s="1"/>
      <c r="HN248" s="1"/>
      <c r="HO248" s="1"/>
      <c r="HP248" s="1"/>
      <c r="HQ248" s="1"/>
      <c r="HR248" s="1"/>
      <c r="HS248" s="1"/>
      <c r="HT248" s="1"/>
      <c r="HU248" s="1"/>
      <c r="HV248" s="1"/>
      <c r="HW248" s="1"/>
      <c r="HX248" s="1"/>
      <c r="HY248" s="1"/>
      <c r="HZ248" s="1"/>
      <c r="IA248" s="1"/>
      <c r="IB248" s="1"/>
      <c r="IC248" s="1"/>
      <c r="ID248" s="1"/>
      <c r="IE248" s="1"/>
      <c r="IF248" s="1"/>
      <c r="IG248" s="1"/>
      <c r="IH248" s="1"/>
      <c r="II248" s="1"/>
      <c r="IJ248" s="1"/>
      <c r="IK248" s="1"/>
      <c r="IL248" s="1"/>
      <c r="IM248" s="1"/>
      <c r="IN248" s="1"/>
      <c r="IO248" s="1"/>
      <c r="IP248" s="1"/>
      <c r="IQ248" s="1"/>
      <c r="IR248" s="1"/>
      <c r="IS248" s="1"/>
      <c r="IT248" s="1"/>
      <c r="IU248" s="1"/>
      <c r="IV248" s="1"/>
      <c r="IW248" s="1"/>
      <c r="IX248" s="1"/>
      <c r="IY248" s="1"/>
      <c r="IZ248" s="1"/>
      <c r="JA248" s="1"/>
      <c r="JB248" s="1"/>
      <c r="JC248" s="1"/>
      <c r="JD248" s="1"/>
    </row>
    <row r="249" spans="1:264" s="347" customFormat="1" x14ac:dyDescent="0.2">
      <c r="A249" s="347" t="s">
        <v>306</v>
      </c>
      <c r="B249" s="348"/>
      <c r="BH249" s="398">
        <v>0</v>
      </c>
      <c r="BI249" s="398">
        <v>0</v>
      </c>
      <c r="BJ249" s="348">
        <f>BH249+BI249</f>
        <v>0</v>
      </c>
      <c r="BK249" s="348"/>
      <c r="BL249" s="398">
        <v>0</v>
      </c>
      <c r="BM249" s="398">
        <v>0</v>
      </c>
      <c r="BN249" s="348">
        <f>BL249+BM249</f>
        <v>0</v>
      </c>
      <c r="BO249" s="348"/>
      <c r="BP249" s="398">
        <v>0</v>
      </c>
      <c r="BQ249" s="398">
        <v>0</v>
      </c>
      <c r="BR249" s="348">
        <f>BP249+BQ249</f>
        <v>0</v>
      </c>
      <c r="BT249" s="398">
        <v>0</v>
      </c>
      <c r="BU249" s="398">
        <v>0</v>
      </c>
      <c r="BV249" s="348">
        <f>BT249+BU249</f>
        <v>0</v>
      </c>
      <c r="BX249" s="398">
        <v>0</v>
      </c>
      <c r="BY249" s="398">
        <v>0</v>
      </c>
      <c r="BZ249" s="348">
        <f>BX249+BY249</f>
        <v>0</v>
      </c>
      <c r="CB249" s="398">
        <v>0</v>
      </c>
      <c r="CC249" s="398">
        <v>0</v>
      </c>
      <c r="CD249" s="348">
        <f>CB249+CC249</f>
        <v>0</v>
      </c>
      <c r="CF249" s="398">
        <v>-1055</v>
      </c>
      <c r="CG249" s="398">
        <v>0</v>
      </c>
      <c r="CH249" s="348">
        <f>CF249+CG249</f>
        <v>-1055</v>
      </c>
      <c r="CJ249" s="398">
        <v>0</v>
      </c>
      <c r="CK249" s="398">
        <v>0</v>
      </c>
      <c r="CL249" s="348">
        <f>CJ249+CK249</f>
        <v>0</v>
      </c>
      <c r="CN249" s="398">
        <v>0</v>
      </c>
      <c r="CO249" s="398">
        <v>0</v>
      </c>
      <c r="CP249" s="348">
        <f>CN249+CO249</f>
        <v>0</v>
      </c>
      <c r="CR249" s="398">
        <v>0</v>
      </c>
      <c r="CS249" s="398">
        <v>0</v>
      </c>
      <c r="CT249" s="348">
        <f>CR249+CS249</f>
        <v>0</v>
      </c>
      <c r="CV249" s="398">
        <v>0</v>
      </c>
      <c r="CW249" s="398">
        <v>0</v>
      </c>
      <c r="CX249" s="348">
        <f>CV249+CW249</f>
        <v>0</v>
      </c>
      <c r="CZ249" s="398">
        <v>0</v>
      </c>
      <c r="DA249" s="398">
        <v>0</v>
      </c>
      <c r="DB249" s="348">
        <f>CZ249+DA249</f>
        <v>0</v>
      </c>
      <c r="DD249" s="398">
        <v>0</v>
      </c>
      <c r="DE249" s="398">
        <v>0</v>
      </c>
      <c r="DF249" s="348">
        <f>DD249+DE249</f>
        <v>0</v>
      </c>
      <c r="DH249" s="398">
        <v>0</v>
      </c>
      <c r="DI249" s="398">
        <v>0</v>
      </c>
      <c r="DJ249" s="348">
        <f>DH249+DI249</f>
        <v>0</v>
      </c>
      <c r="DL249" s="398">
        <v>0</v>
      </c>
      <c r="DM249" s="398">
        <v>0</v>
      </c>
      <c r="DN249" s="348">
        <f>DL249+DM249</f>
        <v>0</v>
      </c>
      <c r="DP249" s="398">
        <v>0</v>
      </c>
      <c r="DQ249" s="398">
        <v>0</v>
      </c>
      <c r="DR249" s="348">
        <f>DP249+DQ249</f>
        <v>0</v>
      </c>
      <c r="DT249" s="1"/>
      <c r="DU249" s="1"/>
      <c r="DV249" s="1"/>
      <c r="DW249" s="1"/>
      <c r="DX249" s="1"/>
      <c r="DY249" s="1"/>
      <c r="DZ249" s="1"/>
      <c r="EA249" s="1"/>
      <c r="EB249" s="1"/>
      <c r="EC249" s="1"/>
      <c r="ED249" s="1"/>
      <c r="EE249" s="1"/>
      <c r="EF249" s="1"/>
      <c r="EG249" s="1"/>
      <c r="EH249" s="1"/>
      <c r="EI249" s="1"/>
      <c r="EJ249" s="1"/>
      <c r="EK249" s="1"/>
      <c r="EL249" s="1"/>
      <c r="EM249" s="1"/>
      <c r="EN249" s="1"/>
      <c r="EO249" s="1"/>
      <c r="EP249" s="1"/>
      <c r="EQ249" s="1"/>
      <c r="ER249" s="1"/>
      <c r="ES249" s="1"/>
      <c r="ET249" s="1"/>
      <c r="EU249" s="1"/>
      <c r="EV249" s="1"/>
      <c r="EW249" s="1"/>
      <c r="EX249" s="1"/>
      <c r="EY249" s="1"/>
      <c r="EZ249" s="1"/>
      <c r="FA249" s="1"/>
      <c r="FB249" s="1"/>
      <c r="FC249" s="1"/>
      <c r="FD249" s="1"/>
      <c r="FE249" s="1"/>
      <c r="FF249" s="1"/>
      <c r="FG249" s="1"/>
      <c r="FH249" s="1"/>
      <c r="FI249" s="1"/>
      <c r="FJ249" s="1"/>
      <c r="FK249" s="1"/>
      <c r="FL249" s="1"/>
      <c r="FM249" s="1"/>
      <c r="FN249" s="1"/>
      <c r="FO249" s="1"/>
      <c r="FP249" s="1"/>
      <c r="FQ249" s="1"/>
      <c r="FR249" s="1"/>
      <c r="FS249" s="1"/>
      <c r="FT249" s="1"/>
      <c r="FU249" s="1"/>
      <c r="FV249" s="1"/>
      <c r="FW249" s="1"/>
      <c r="FX249" s="1"/>
      <c r="FY249" s="1"/>
      <c r="FZ249" s="1"/>
      <c r="GA249" s="1"/>
      <c r="GB249" s="1"/>
      <c r="GC249" s="1"/>
      <c r="GD249" s="1"/>
      <c r="GE249" s="1"/>
      <c r="GF249" s="1"/>
      <c r="GG249" s="1"/>
      <c r="GH249" s="1"/>
      <c r="GI249" s="1"/>
      <c r="GJ249" s="1"/>
      <c r="GK249" s="1"/>
      <c r="GL249" s="1"/>
      <c r="GM249" s="1"/>
      <c r="GN249" s="1"/>
      <c r="GO249" s="1"/>
      <c r="GP249" s="1"/>
      <c r="GQ249" s="1"/>
      <c r="GR249" s="1"/>
      <c r="GS249" s="1"/>
      <c r="GT249" s="1"/>
      <c r="GU249" s="1"/>
      <c r="GV249" s="1"/>
      <c r="GW249" s="1"/>
      <c r="GX249" s="1"/>
      <c r="GY249" s="1"/>
      <c r="GZ249" s="1"/>
      <c r="HA249" s="1"/>
      <c r="HB249" s="1"/>
      <c r="HC249" s="1"/>
      <c r="HD249" s="1"/>
      <c r="HE249" s="1"/>
      <c r="HF249" s="1"/>
      <c r="HG249" s="1"/>
      <c r="HH249" s="1"/>
      <c r="HI249" s="1"/>
      <c r="HJ249" s="1"/>
      <c r="HK249" s="1"/>
      <c r="HL249" s="1"/>
      <c r="HM249" s="1"/>
      <c r="HN249" s="1"/>
      <c r="HO249" s="1"/>
      <c r="HP249" s="1"/>
      <c r="HQ249" s="1"/>
      <c r="HR249" s="1"/>
      <c r="HS249" s="1"/>
      <c r="HT249" s="1"/>
      <c r="HU249" s="1"/>
      <c r="HV249" s="1"/>
      <c r="HW249" s="1"/>
      <c r="HX249" s="1"/>
      <c r="HY249" s="1"/>
      <c r="HZ249" s="1"/>
      <c r="IA249" s="1"/>
      <c r="IB249" s="1"/>
      <c r="IC249" s="1"/>
      <c r="ID249" s="1"/>
      <c r="IE249" s="1"/>
      <c r="IF249" s="1"/>
      <c r="IG249" s="1"/>
      <c r="IH249" s="1"/>
      <c r="II249" s="1"/>
      <c r="IJ249" s="1"/>
      <c r="IK249" s="1"/>
      <c r="IL249" s="1"/>
      <c r="IM249" s="1"/>
      <c r="IN249" s="1"/>
      <c r="IO249" s="1"/>
      <c r="IP249" s="1"/>
      <c r="IQ249" s="1"/>
      <c r="IR249" s="1"/>
      <c r="IS249" s="1"/>
      <c r="IT249" s="1"/>
      <c r="IU249" s="1"/>
      <c r="IV249" s="1"/>
      <c r="IW249" s="1"/>
      <c r="IX249" s="1"/>
      <c r="IY249" s="1"/>
      <c r="IZ249" s="1"/>
      <c r="JA249" s="1"/>
      <c r="JB249" s="1"/>
      <c r="JC249" s="1"/>
      <c r="JD249" s="1"/>
    </row>
    <row r="250" spans="1:264" s="347" customFormat="1" x14ac:dyDescent="0.2">
      <c r="A250" s="347" t="s">
        <v>307</v>
      </c>
      <c r="B250" s="348"/>
      <c r="BH250" s="351">
        <f>BH251-BH249-BH248</f>
        <v>-21</v>
      </c>
      <c r="BI250" s="351">
        <f>BI251-BI249-BI248</f>
        <v>0</v>
      </c>
      <c r="BJ250" s="351">
        <f>BJ251-BJ249-BJ248</f>
        <v>-21</v>
      </c>
      <c r="BK250" s="348"/>
      <c r="BL250" s="351">
        <f>BL251-BL249-BL248</f>
        <v>-12</v>
      </c>
      <c r="BM250" s="351">
        <f>BM251-BM249-BM248</f>
        <v>91</v>
      </c>
      <c r="BN250" s="351">
        <f>BN251-BN249-BN248</f>
        <v>79</v>
      </c>
      <c r="BO250" s="348"/>
      <c r="BP250" s="351">
        <f>BP251-BP249-BP248</f>
        <v>16</v>
      </c>
      <c r="BQ250" s="351">
        <f>BQ251-BQ249-BQ248</f>
        <v>1</v>
      </c>
      <c r="BR250" s="351">
        <f>BR251-BR249-BR248</f>
        <v>17</v>
      </c>
      <c r="BT250" s="351">
        <f>BT251-BT249-BT248</f>
        <v>-39</v>
      </c>
      <c r="BU250" s="351">
        <f>BU251-BU249-BU248</f>
        <v>-17</v>
      </c>
      <c r="BV250" s="351">
        <f>BV251-BV249-BV248</f>
        <v>-56</v>
      </c>
      <c r="BX250" s="351">
        <f>BX251-BX249-BX248</f>
        <v>11</v>
      </c>
      <c r="BY250" s="351">
        <f>BY251-BY249-BY248</f>
        <v>60</v>
      </c>
      <c r="BZ250" s="351">
        <f>BZ251-BZ249-BZ248</f>
        <v>71</v>
      </c>
      <c r="CB250" s="351">
        <f>CB251-CB249-CB248</f>
        <v>-25</v>
      </c>
      <c r="CC250" s="351">
        <f>CC251-CC249-CC248</f>
        <v>9</v>
      </c>
      <c r="CD250" s="351">
        <f>CD251-CD249-CD248</f>
        <v>-16</v>
      </c>
      <c r="CF250" s="351">
        <f>CF251-CF249-CF248</f>
        <v>4</v>
      </c>
      <c r="CG250" s="351">
        <f>CG251-CG249-CG248</f>
        <v>-90</v>
      </c>
      <c r="CH250" s="351">
        <f>CH251-CH249-CH248</f>
        <v>-86</v>
      </c>
      <c r="CJ250" s="351">
        <f>CJ251-CJ249-CJ248</f>
        <v>-163</v>
      </c>
      <c r="CK250" s="351">
        <f>CK251-CK249-CK248</f>
        <v>-1329</v>
      </c>
      <c r="CL250" s="351">
        <f>CL251-CL249-CL248</f>
        <v>-1492</v>
      </c>
      <c r="CN250" s="351">
        <f>CN251-CN249-CN248</f>
        <v>-547</v>
      </c>
      <c r="CO250" s="351">
        <f>CO251-CO249-CO248</f>
        <v>632</v>
      </c>
      <c r="CP250" s="351">
        <f>CP251-CP249-CP248</f>
        <v>85</v>
      </c>
      <c r="CR250" s="351">
        <f>CR251-CR249-CR248</f>
        <v>249</v>
      </c>
      <c r="CS250" s="351">
        <f>CS251-CS249-CS248</f>
        <v>451</v>
      </c>
      <c r="CT250" s="351">
        <f>CT251-CT249-CT248</f>
        <v>700</v>
      </c>
      <c r="CV250" s="351">
        <f>CV251-CV249-CV248</f>
        <v>-289</v>
      </c>
      <c r="CW250" s="351">
        <f>CW251-CW249-CW248</f>
        <v>-296</v>
      </c>
      <c r="CX250" s="351">
        <f>CX251-CX249-CX248</f>
        <v>-585</v>
      </c>
      <c r="CZ250" s="351">
        <f>CZ251-CZ249-CZ248</f>
        <v>-134</v>
      </c>
      <c r="DA250" s="351">
        <f>DA251-DA249-DA248</f>
        <v>-93</v>
      </c>
      <c r="DB250" s="351">
        <f>DB251-DB249-DB248</f>
        <v>-227</v>
      </c>
      <c r="DD250" s="351">
        <f>DD251-DD249-DD248</f>
        <v>-69</v>
      </c>
      <c r="DE250" s="351">
        <f>DE251-DE249-DE248</f>
        <v>-69</v>
      </c>
      <c r="DF250" s="351">
        <f>DF251-DF249-DF248</f>
        <v>-138</v>
      </c>
      <c r="DH250" s="351">
        <f>DH251-DH249-DH248</f>
        <v>19</v>
      </c>
      <c r="DI250" s="351">
        <f ca="1">DI251-DI249-DI248</f>
        <v>-19.303884923665464</v>
      </c>
      <c r="DJ250" s="351">
        <f ca="1">DJ251-DJ249-DJ248</f>
        <v>-0.30388492366546416</v>
      </c>
      <c r="DL250" s="351">
        <f ca="1">DL251-DL249-DL248</f>
        <v>-21.716207034733088</v>
      </c>
      <c r="DM250" s="351">
        <f ca="1">DM251-DM249-DM248</f>
        <v>-48.293062631310931</v>
      </c>
      <c r="DN250" s="351">
        <f ca="1">DN251-DN249-DN248</f>
        <v>-70.00926966604402</v>
      </c>
      <c r="DP250" s="351">
        <f ca="1">DP251-DP249-DP248</f>
        <v>-128.35686976036959</v>
      </c>
      <c r="DQ250" s="351">
        <f ca="1">DQ251-DQ249-DQ248</f>
        <v>-150.20653978547853</v>
      </c>
      <c r="DR250" s="351">
        <f ca="1">DR251-DR249-DR248</f>
        <v>-278.56340954584812</v>
      </c>
      <c r="DT250" s="1"/>
      <c r="DU250" s="1"/>
      <c r="DV250" s="1"/>
      <c r="DW250" s="1"/>
      <c r="DX250" s="1"/>
      <c r="DY250" s="1"/>
      <c r="DZ250" s="1"/>
      <c r="EA250" s="1"/>
      <c r="EB250" s="1"/>
      <c r="EC250" s="1"/>
      <c r="ED250" s="1"/>
      <c r="EE250" s="1"/>
      <c r="EF250" s="1"/>
      <c r="EG250" s="1"/>
      <c r="EH250" s="1"/>
      <c r="EI250" s="1"/>
      <c r="EJ250" s="1"/>
      <c r="EK250" s="1"/>
      <c r="EL250" s="1"/>
      <c r="EM250" s="1"/>
      <c r="EN250" s="1"/>
      <c r="EO250" s="1"/>
      <c r="EP250" s="1"/>
      <c r="EQ250" s="1"/>
      <c r="ER250" s="1"/>
      <c r="ES250" s="1"/>
      <c r="ET250" s="1"/>
      <c r="EU250" s="1"/>
      <c r="EV250" s="1"/>
      <c r="EW250" s="1"/>
      <c r="EX250" s="1"/>
      <c r="EY250" s="1"/>
      <c r="EZ250" s="1"/>
      <c r="FA250" s="1"/>
      <c r="FB250" s="1"/>
      <c r="FC250" s="1"/>
      <c r="FD250" s="1"/>
      <c r="FE250" s="1"/>
      <c r="FF250" s="1"/>
      <c r="FG250" s="1"/>
      <c r="FH250" s="1"/>
      <c r="FI250" s="1"/>
      <c r="FJ250" s="1"/>
      <c r="FK250" s="1"/>
      <c r="FL250" s="1"/>
      <c r="FM250" s="1"/>
      <c r="FN250" s="1"/>
      <c r="FO250" s="1"/>
      <c r="FP250" s="1"/>
      <c r="FQ250" s="1"/>
      <c r="FR250" s="1"/>
      <c r="FS250" s="1"/>
      <c r="FT250" s="1"/>
      <c r="FU250" s="1"/>
      <c r="FV250" s="1"/>
      <c r="FW250" s="1"/>
      <c r="FX250" s="1"/>
      <c r="FY250" s="1"/>
      <c r="FZ250" s="1"/>
      <c r="GA250" s="1"/>
      <c r="GB250" s="1"/>
      <c r="GC250" s="1"/>
      <c r="GD250" s="1"/>
      <c r="GE250" s="1"/>
      <c r="GF250" s="1"/>
      <c r="GG250" s="1"/>
      <c r="GH250" s="1"/>
      <c r="GI250" s="1"/>
      <c r="GJ250" s="1"/>
      <c r="GK250" s="1"/>
      <c r="GL250" s="1"/>
      <c r="GM250" s="1"/>
      <c r="GN250" s="1"/>
      <c r="GO250" s="1"/>
      <c r="GP250" s="1"/>
      <c r="GQ250" s="1"/>
      <c r="GR250" s="1"/>
      <c r="GS250" s="1"/>
      <c r="GT250" s="1"/>
      <c r="GU250" s="1"/>
      <c r="GV250" s="1"/>
      <c r="GW250" s="1"/>
      <c r="GX250" s="1"/>
      <c r="GY250" s="1"/>
      <c r="GZ250" s="1"/>
      <c r="HA250" s="1"/>
      <c r="HB250" s="1"/>
      <c r="HC250" s="1"/>
      <c r="HD250" s="1"/>
      <c r="HE250" s="1"/>
      <c r="HF250" s="1"/>
      <c r="HG250" s="1"/>
      <c r="HH250" s="1"/>
      <c r="HI250" s="1"/>
      <c r="HJ250" s="1"/>
      <c r="HK250" s="1"/>
      <c r="HL250" s="1"/>
      <c r="HM250" s="1"/>
      <c r="HN250" s="1"/>
      <c r="HO250" s="1"/>
      <c r="HP250" s="1"/>
      <c r="HQ250" s="1"/>
      <c r="HR250" s="1"/>
      <c r="HS250" s="1"/>
      <c r="HT250" s="1"/>
      <c r="HU250" s="1"/>
      <c r="HV250" s="1"/>
      <c r="HW250" s="1"/>
      <c r="HX250" s="1"/>
      <c r="HY250" s="1"/>
      <c r="HZ250" s="1"/>
      <c r="IA250" s="1"/>
      <c r="IB250" s="1"/>
      <c r="IC250" s="1"/>
      <c r="ID250" s="1"/>
      <c r="IE250" s="1"/>
      <c r="IF250" s="1"/>
      <c r="IG250" s="1"/>
      <c r="IH250" s="1"/>
      <c r="II250" s="1"/>
      <c r="IJ250" s="1"/>
      <c r="IK250" s="1"/>
      <c r="IL250" s="1"/>
      <c r="IM250" s="1"/>
      <c r="IN250" s="1"/>
      <c r="IO250" s="1"/>
      <c r="IP250" s="1"/>
      <c r="IQ250" s="1"/>
      <c r="IR250" s="1"/>
      <c r="IS250" s="1"/>
      <c r="IT250" s="1"/>
      <c r="IU250" s="1"/>
      <c r="IV250" s="1"/>
      <c r="IW250" s="1"/>
      <c r="IX250" s="1"/>
      <c r="IY250" s="1"/>
      <c r="IZ250" s="1"/>
      <c r="JA250" s="1"/>
      <c r="JB250" s="1"/>
      <c r="JC250" s="1"/>
      <c r="JD250" s="1"/>
    </row>
    <row r="251" spans="1:264" s="411" customFormat="1" x14ac:dyDescent="0.2">
      <c r="A251" s="411" t="s">
        <v>308</v>
      </c>
      <c r="B251" s="423"/>
      <c r="BE251" s="396">
        <v>-2837</v>
      </c>
      <c r="BF251" s="397">
        <f>BE251</f>
        <v>-2837</v>
      </c>
      <c r="BH251" s="396">
        <v>-2858</v>
      </c>
      <c r="BI251" s="396">
        <v>-2858</v>
      </c>
      <c r="BJ251" s="397">
        <f>BI251</f>
        <v>-2858</v>
      </c>
      <c r="BK251" s="423"/>
      <c r="BL251" s="396">
        <v>-2870</v>
      </c>
      <c r="BM251" s="396">
        <v>-2779</v>
      </c>
      <c r="BN251" s="397">
        <f>BM251</f>
        <v>-2779</v>
      </c>
      <c r="BO251" s="423"/>
      <c r="BP251" s="396">
        <v>-2763</v>
      </c>
      <c r="BQ251" s="396">
        <v>-2762</v>
      </c>
      <c r="BR251" s="397">
        <f>BQ251</f>
        <v>-2762</v>
      </c>
      <c r="BS251" s="497"/>
      <c r="BT251" s="396">
        <v>-2801</v>
      </c>
      <c r="BU251" s="396">
        <v>-2818</v>
      </c>
      <c r="BV251" s="397">
        <f>BU251</f>
        <v>-2818</v>
      </c>
      <c r="BW251" s="497"/>
      <c r="BX251" s="396">
        <v>-2807</v>
      </c>
      <c r="BY251" s="396">
        <v>-2747</v>
      </c>
      <c r="BZ251" s="397">
        <f>BY251</f>
        <v>-2747</v>
      </c>
      <c r="CA251" s="393">
        <f>+BZ251/BV251-1</f>
        <v>-2.5195173882185951E-2</v>
      </c>
      <c r="CB251" s="396">
        <v>-2772</v>
      </c>
      <c r="CC251" s="396">
        <v>-2763</v>
      </c>
      <c r="CD251" s="397">
        <f>CC251</f>
        <v>-2763</v>
      </c>
      <c r="CE251" s="393">
        <f>+CD251/BZ251-1</f>
        <v>5.8245358572988071E-3</v>
      </c>
      <c r="CF251" s="396">
        <v>-3814</v>
      </c>
      <c r="CG251" s="396">
        <v>-3904</v>
      </c>
      <c r="CH251" s="397">
        <f>CG251</f>
        <v>-3904</v>
      </c>
      <c r="CJ251" s="396">
        <v>-4067</v>
      </c>
      <c r="CK251" s="396">
        <v>-5396</v>
      </c>
      <c r="CL251" s="397">
        <f>CK251</f>
        <v>-5396</v>
      </c>
      <c r="CM251" s="498"/>
      <c r="CN251" s="396">
        <v>-5943</v>
      </c>
      <c r="CO251" s="396">
        <v>-5311</v>
      </c>
      <c r="CP251" s="397">
        <f>CO251</f>
        <v>-5311</v>
      </c>
      <c r="CR251" s="396">
        <v>-5062</v>
      </c>
      <c r="CS251" s="396">
        <v>-4611</v>
      </c>
      <c r="CT251" s="397">
        <f>CS251</f>
        <v>-4611</v>
      </c>
      <c r="CV251" s="396">
        <v>-4900</v>
      </c>
      <c r="CW251" s="396">
        <v>-5196</v>
      </c>
      <c r="CX251" s="397">
        <f>CW251</f>
        <v>-5196</v>
      </c>
      <c r="CZ251" s="396">
        <v>-5330</v>
      </c>
      <c r="DA251" s="396">
        <v>-5423</v>
      </c>
      <c r="DB251" s="397">
        <f>DA251</f>
        <v>-5423</v>
      </c>
      <c r="DD251" s="396">
        <v>-5492</v>
      </c>
      <c r="DE251" s="396">
        <v>-5561</v>
      </c>
      <c r="DF251" s="397">
        <f>DE251</f>
        <v>-5561</v>
      </c>
      <c r="DH251" s="396">
        <v>-5542</v>
      </c>
      <c r="DI251" s="397">
        <f ca="1">-DI271*DI269</f>
        <v>-5561.3038849236655</v>
      </c>
      <c r="DJ251" s="397">
        <f ca="1">DI251</f>
        <v>-5561.3038849236655</v>
      </c>
      <c r="DL251" s="397">
        <f ca="1">-DL271*DL269</f>
        <v>-5583.0200919583986</v>
      </c>
      <c r="DM251" s="397">
        <f ca="1">-DM271*DM269</f>
        <v>-5631.3131545897095</v>
      </c>
      <c r="DN251" s="397">
        <f ca="1">DM251</f>
        <v>-5631.3131545897095</v>
      </c>
      <c r="DP251" s="397">
        <f ca="1">-DP271*DP269</f>
        <v>-5759.6700243500791</v>
      </c>
      <c r="DQ251" s="397">
        <f ca="1">-DQ271*DQ269</f>
        <v>-5909.8765641355576</v>
      </c>
      <c r="DR251" s="397">
        <f ca="1">DQ251</f>
        <v>-5909.8765641355576</v>
      </c>
      <c r="DT251" s="1"/>
      <c r="DU251" s="1"/>
      <c r="DV251" s="1"/>
      <c r="DW251" s="1"/>
      <c r="DX251" s="1"/>
      <c r="DY251" s="1"/>
      <c r="DZ251" s="1"/>
      <c r="EA251" s="1"/>
      <c r="EB251" s="1"/>
      <c r="EC251" s="1"/>
      <c r="ED251" s="1"/>
      <c r="EE251" s="1"/>
      <c r="EF251" s="1"/>
      <c r="EG251" s="1"/>
      <c r="EH251" s="1"/>
      <c r="EI251" s="1"/>
      <c r="EJ251" s="1"/>
      <c r="EK251" s="1"/>
      <c r="EL251" s="1"/>
      <c r="EM251" s="1"/>
      <c r="EN251" s="1"/>
      <c r="EO251" s="1"/>
      <c r="EP251" s="1"/>
      <c r="EQ251" s="1"/>
      <c r="ER251" s="1"/>
      <c r="ES251" s="1"/>
      <c r="ET251" s="1"/>
      <c r="EU251" s="1"/>
      <c r="EV251" s="1"/>
      <c r="EW251" s="1"/>
      <c r="EX251" s="1"/>
      <c r="EY251" s="1"/>
      <c r="EZ251" s="1"/>
      <c r="FA251" s="1"/>
      <c r="FB251" s="1"/>
      <c r="FC251" s="1"/>
      <c r="FD251" s="1"/>
      <c r="FE251" s="1"/>
      <c r="FF251" s="1"/>
      <c r="FG251" s="1"/>
      <c r="FH251" s="1"/>
      <c r="FI251" s="1"/>
      <c r="FJ251" s="1"/>
      <c r="FK251" s="1"/>
      <c r="FL251" s="1"/>
      <c r="FM251" s="1"/>
      <c r="FN251" s="1"/>
      <c r="FO251" s="1"/>
      <c r="FP251" s="1"/>
      <c r="FQ251" s="1"/>
      <c r="FR251" s="1"/>
      <c r="FS251" s="1"/>
      <c r="FT251" s="1"/>
      <c r="FU251" s="1"/>
      <c r="FV251" s="1"/>
      <c r="FW251" s="1"/>
      <c r="FX251" s="1"/>
      <c r="FY251" s="1"/>
      <c r="FZ251" s="1"/>
      <c r="GA251" s="1"/>
      <c r="GB251" s="1"/>
      <c r="GC251" s="1"/>
      <c r="GD251" s="1"/>
      <c r="GE251" s="1"/>
      <c r="GF251" s="1"/>
      <c r="GG251" s="1"/>
      <c r="GH251" s="1"/>
      <c r="GI251" s="1"/>
      <c r="GJ251" s="1"/>
      <c r="GK251" s="1"/>
      <c r="GL251" s="1"/>
      <c r="GM251" s="1"/>
      <c r="GN251" s="1"/>
      <c r="GO251" s="1"/>
      <c r="GP251" s="1"/>
      <c r="GQ251" s="1"/>
      <c r="GR251" s="1"/>
      <c r="GS251" s="1"/>
      <c r="GT251" s="1"/>
      <c r="GU251" s="1"/>
      <c r="GV251" s="1"/>
      <c r="GW251" s="1"/>
      <c r="GX251" s="1"/>
      <c r="GY251" s="1"/>
      <c r="GZ251" s="1"/>
      <c r="HA251" s="1"/>
      <c r="HB251" s="1"/>
      <c r="HC251" s="1"/>
      <c r="HD251" s="1"/>
      <c r="HE251" s="1"/>
      <c r="HF251" s="1"/>
      <c r="HG251" s="1"/>
      <c r="HH251" s="1"/>
      <c r="HI251" s="1"/>
      <c r="HJ251" s="1"/>
      <c r="HK251" s="1"/>
      <c r="HL251" s="1"/>
      <c r="HM251" s="1"/>
      <c r="HN251" s="1"/>
      <c r="HO251" s="1"/>
      <c r="HP251" s="1"/>
      <c r="HQ251" s="1"/>
      <c r="HR251" s="1"/>
      <c r="HS251" s="1"/>
      <c r="HT251" s="1"/>
      <c r="HU251" s="1"/>
      <c r="HV251" s="1"/>
      <c r="HW251" s="1"/>
      <c r="HX251" s="1"/>
      <c r="HY251" s="1"/>
      <c r="HZ251" s="1"/>
      <c r="IA251" s="1"/>
      <c r="IB251" s="1"/>
      <c r="IC251" s="1"/>
      <c r="ID251" s="1"/>
      <c r="IE251" s="1"/>
      <c r="IF251" s="1"/>
      <c r="IG251" s="1"/>
      <c r="IH251" s="1"/>
      <c r="II251" s="1"/>
      <c r="IJ251" s="1"/>
      <c r="IK251" s="1"/>
      <c r="IL251" s="1"/>
      <c r="IM251" s="1"/>
      <c r="IN251" s="1"/>
      <c r="IO251" s="1"/>
      <c r="IP251" s="1"/>
      <c r="IQ251" s="1"/>
      <c r="IR251" s="1"/>
      <c r="IS251" s="1"/>
      <c r="IT251" s="1"/>
      <c r="IU251" s="1"/>
      <c r="IV251" s="1"/>
      <c r="IW251" s="1"/>
      <c r="IX251" s="1"/>
      <c r="IY251" s="1"/>
      <c r="IZ251" s="1"/>
      <c r="JA251" s="1"/>
      <c r="JB251" s="1"/>
      <c r="JC251" s="1"/>
      <c r="JD251" s="1"/>
    </row>
    <row r="252" spans="1:264" s="411" customFormat="1" x14ac:dyDescent="0.2">
      <c r="A252" s="411" t="s">
        <v>309</v>
      </c>
      <c r="B252" s="423"/>
      <c r="BE252" s="396"/>
      <c r="BF252" s="397"/>
      <c r="BH252" s="396"/>
      <c r="BI252" s="396"/>
      <c r="BJ252" s="397"/>
      <c r="BK252" s="423"/>
      <c r="BL252" s="396"/>
      <c r="BM252" s="396"/>
      <c r="BN252" s="397"/>
      <c r="BO252" s="423"/>
      <c r="BP252" s="396"/>
      <c r="BQ252" s="396"/>
      <c r="BR252" s="397"/>
      <c r="BS252" s="497"/>
      <c r="BT252" s="396"/>
      <c r="BU252" s="396"/>
      <c r="BV252" s="397"/>
      <c r="BW252" s="497"/>
      <c r="BX252" s="396"/>
      <c r="BY252" s="396"/>
      <c r="BZ252" s="397"/>
      <c r="CA252" s="393"/>
      <c r="CB252" s="396"/>
      <c r="CC252" s="396"/>
      <c r="CD252" s="397"/>
      <c r="CE252" s="393"/>
      <c r="CF252" s="396"/>
      <c r="CG252" s="396"/>
      <c r="CH252" s="397"/>
      <c r="CJ252" s="396"/>
      <c r="CK252" s="396"/>
      <c r="CL252" s="397"/>
      <c r="CN252" s="396"/>
      <c r="CO252" s="396"/>
      <c r="CP252" s="397"/>
      <c r="CR252" s="396"/>
      <c r="CS252" s="396"/>
      <c r="CT252" s="397"/>
      <c r="CV252" s="396"/>
      <c r="CW252" s="396"/>
      <c r="CX252" s="397"/>
      <c r="CZ252" s="396"/>
      <c r="DA252" s="396"/>
      <c r="DB252" s="397"/>
      <c r="DD252" s="396"/>
      <c r="DE252" s="396"/>
      <c r="DF252" s="397"/>
      <c r="DH252" s="396"/>
      <c r="DI252" s="397"/>
      <c r="DJ252" s="397"/>
      <c r="DL252" s="397"/>
      <c r="DM252" s="397"/>
      <c r="DN252" s="397"/>
      <c r="DP252" s="397"/>
      <c r="DQ252" s="397"/>
      <c r="DR252" s="397"/>
      <c r="DT252" s="1"/>
      <c r="DU252" s="1"/>
      <c r="DV252" s="1"/>
      <c r="DW252" s="1"/>
      <c r="DX252" s="1"/>
      <c r="DY252" s="1"/>
      <c r="DZ252" s="1"/>
      <c r="EA252" s="1"/>
      <c r="EB252" s="1"/>
      <c r="EC252" s="1"/>
      <c r="ED252" s="1"/>
      <c r="EE252" s="1"/>
      <c r="EF252" s="1"/>
      <c r="EG252" s="1"/>
      <c r="EH252" s="1"/>
      <c r="EI252" s="1"/>
      <c r="EJ252" s="1"/>
      <c r="EK252" s="1"/>
      <c r="EL252" s="1"/>
      <c r="EM252" s="1"/>
      <c r="EN252" s="1"/>
      <c r="EO252" s="1"/>
      <c r="EP252" s="1"/>
      <c r="EQ252" s="1"/>
      <c r="ER252" s="1"/>
      <c r="ES252" s="1"/>
      <c r="ET252" s="1"/>
      <c r="EU252" s="1"/>
      <c r="EV252" s="1"/>
      <c r="EW252" s="1"/>
      <c r="EX252" s="1"/>
      <c r="EY252" s="1"/>
      <c r="EZ252" s="1"/>
      <c r="FA252" s="1"/>
      <c r="FB252" s="1"/>
      <c r="FC252" s="1"/>
      <c r="FD252" s="1"/>
      <c r="FE252" s="1"/>
      <c r="FF252" s="1"/>
      <c r="FG252" s="1"/>
      <c r="FH252" s="1"/>
      <c r="FI252" s="1"/>
      <c r="FJ252" s="1"/>
      <c r="FK252" s="1"/>
      <c r="FL252" s="1"/>
      <c r="FM252" s="1"/>
      <c r="FN252" s="1"/>
      <c r="FO252" s="1"/>
      <c r="FP252" s="1"/>
      <c r="FQ252" s="1"/>
      <c r="FR252" s="1"/>
      <c r="FS252" s="1"/>
      <c r="FT252" s="1"/>
      <c r="FU252" s="1"/>
      <c r="FV252" s="1"/>
      <c r="FW252" s="1"/>
      <c r="FX252" s="1"/>
      <c r="FY252" s="1"/>
      <c r="FZ252" s="1"/>
      <c r="GA252" s="1"/>
      <c r="GB252" s="1"/>
      <c r="GC252" s="1"/>
      <c r="GD252" s="1"/>
      <c r="GE252" s="1"/>
      <c r="GF252" s="1"/>
      <c r="GG252" s="1"/>
      <c r="GH252" s="1"/>
      <c r="GI252" s="1"/>
      <c r="GJ252" s="1"/>
      <c r="GK252" s="1"/>
      <c r="GL252" s="1"/>
      <c r="GM252" s="1"/>
      <c r="GN252" s="1"/>
      <c r="GO252" s="1"/>
      <c r="GP252" s="1"/>
      <c r="GQ252" s="1"/>
      <c r="GR252" s="1"/>
      <c r="GS252" s="1"/>
      <c r="GT252" s="1"/>
      <c r="GU252" s="1"/>
      <c r="GV252" s="1"/>
      <c r="GW252" s="1"/>
      <c r="GX252" s="1"/>
      <c r="GY252" s="1"/>
      <c r="GZ252" s="1"/>
      <c r="HA252" s="1"/>
      <c r="HB252" s="1"/>
      <c r="HC252" s="1"/>
      <c r="HD252" s="1"/>
      <c r="HE252" s="1"/>
      <c r="HF252" s="1"/>
      <c r="HG252" s="1"/>
      <c r="HH252" s="1"/>
      <c r="HI252" s="1"/>
      <c r="HJ252" s="1"/>
      <c r="HK252" s="1"/>
      <c r="HL252" s="1"/>
      <c r="HM252" s="1"/>
      <c r="HN252" s="1"/>
      <c r="HO252" s="1"/>
      <c r="HP252" s="1"/>
      <c r="HQ252" s="1"/>
      <c r="HR252" s="1"/>
      <c r="HS252" s="1"/>
      <c r="HT252" s="1"/>
      <c r="HU252" s="1"/>
      <c r="HV252" s="1"/>
      <c r="HW252" s="1"/>
      <c r="HX252" s="1"/>
      <c r="HY252" s="1"/>
      <c r="HZ252" s="1"/>
      <c r="IA252" s="1"/>
      <c r="IB252" s="1"/>
      <c r="IC252" s="1"/>
      <c r="ID252" s="1"/>
      <c r="IE252" s="1"/>
      <c r="IF252" s="1"/>
      <c r="IG252" s="1"/>
      <c r="IH252" s="1"/>
      <c r="II252" s="1"/>
      <c r="IJ252" s="1"/>
      <c r="IK252" s="1"/>
      <c r="IL252" s="1"/>
      <c r="IM252" s="1"/>
      <c r="IN252" s="1"/>
      <c r="IO252" s="1"/>
      <c r="IP252" s="1"/>
      <c r="IQ252" s="1"/>
      <c r="IR252" s="1"/>
      <c r="IS252" s="1"/>
      <c r="IT252" s="1"/>
      <c r="IU252" s="1"/>
      <c r="IV252" s="1"/>
      <c r="IW252" s="1"/>
      <c r="IX252" s="1"/>
      <c r="IY252" s="1"/>
      <c r="IZ252" s="1"/>
      <c r="JA252" s="1"/>
      <c r="JB252" s="1"/>
      <c r="JC252" s="1"/>
      <c r="JD252" s="1"/>
    </row>
    <row r="253" spans="1:264" s="347" customFormat="1" x14ac:dyDescent="0.2">
      <c r="A253" s="347" t="s">
        <v>310</v>
      </c>
      <c r="B253" s="348"/>
      <c r="BE253" s="398"/>
      <c r="BF253" s="351"/>
      <c r="BH253" s="398"/>
      <c r="BI253" s="398"/>
      <c r="BJ253" s="351"/>
      <c r="BK253" s="348"/>
      <c r="BL253" s="398"/>
      <c r="BM253" s="398"/>
      <c r="BN253" s="351"/>
      <c r="BO253" s="348"/>
      <c r="BP253" s="398"/>
      <c r="BQ253" s="398"/>
      <c r="BR253" s="351"/>
      <c r="BS253" s="461"/>
      <c r="BT253" s="398"/>
      <c r="BU253" s="398"/>
      <c r="BV253" s="351"/>
      <c r="BW253" s="461"/>
      <c r="BX253" s="398"/>
      <c r="BY253" s="398"/>
      <c r="BZ253" s="351"/>
      <c r="CA253" s="393"/>
      <c r="CB253" s="398"/>
      <c r="CC253" s="398"/>
      <c r="CD253" s="351"/>
      <c r="CE253" s="393"/>
      <c r="CF253" s="398">
        <v>-103</v>
      </c>
      <c r="CG253" s="398">
        <v>-84</v>
      </c>
      <c r="CH253" s="351">
        <f>CG253</f>
        <v>-84</v>
      </c>
      <c r="CJ253" s="398">
        <v>-87</v>
      </c>
      <c r="CK253" s="398">
        <v>-119</v>
      </c>
      <c r="CL253" s="351">
        <f>CK253</f>
        <v>-119</v>
      </c>
      <c r="CN253" s="398">
        <v>-137</v>
      </c>
      <c r="CO253" s="398">
        <v>-111</v>
      </c>
      <c r="CP253" s="351">
        <f>CO253</f>
        <v>-111</v>
      </c>
      <c r="CR253" s="398">
        <v>-100</v>
      </c>
      <c r="CS253" s="398">
        <v>-117</v>
      </c>
      <c r="CT253" s="351">
        <f>CS253</f>
        <v>-117</v>
      </c>
      <c r="CV253" s="398">
        <v>-137</v>
      </c>
      <c r="CW253" s="398">
        <v>-159</v>
      </c>
      <c r="CX253" s="351">
        <f>CW253</f>
        <v>-159</v>
      </c>
      <c r="CZ253" s="398">
        <v>-157</v>
      </c>
      <c r="DA253" s="398">
        <v>-223</v>
      </c>
      <c r="DB253" s="351">
        <f>DA253</f>
        <v>-223</v>
      </c>
      <c r="DD253" s="398">
        <v>-198</v>
      </c>
      <c r="DE253" s="398">
        <v>-204</v>
      </c>
      <c r="DF253" s="351">
        <f>DE253</f>
        <v>-204</v>
      </c>
      <c r="DH253" s="398">
        <v>-190</v>
      </c>
      <c r="DI253" s="351">
        <f ca="1">+DH253/DH251*DI251</f>
        <v>-190.66180767511665</v>
      </c>
      <c r="DJ253" s="351">
        <f ca="1">DI253</f>
        <v>-190.66180767511665</v>
      </c>
      <c r="DL253" s="351">
        <f ca="1">+DI253/DI251*DL251</f>
        <v>-191.40631856226918</v>
      </c>
      <c r="DM253" s="351">
        <f ca="1">+DL253/DL251*DM251</f>
        <v>-193.06198112090308</v>
      </c>
      <c r="DN253" s="351">
        <f ca="1">DM253</f>
        <v>-193.06198112090308</v>
      </c>
      <c r="DP253" s="351">
        <f ca="1">+DM253/DM251*DP251</f>
        <v>-197.46252338984394</v>
      </c>
      <c r="DQ253" s="351">
        <f ca="1">+DP253/DP251*DQ251</f>
        <v>-202.61215214466907</v>
      </c>
      <c r="DR253" s="351">
        <f ca="1">DQ253</f>
        <v>-202.61215214466907</v>
      </c>
      <c r="DT253" s="1"/>
      <c r="DU253" s="1"/>
      <c r="DV253" s="1"/>
      <c r="DW253" s="1"/>
      <c r="DX253" s="1"/>
      <c r="DY253" s="1"/>
      <c r="DZ253" s="1"/>
      <c r="EA253" s="1"/>
      <c r="EB253" s="1"/>
      <c r="EC253" s="1"/>
      <c r="ED253" s="1"/>
      <c r="EE253" s="1"/>
      <c r="EF253" s="1"/>
      <c r="EG253" s="1"/>
      <c r="EH253" s="1"/>
      <c r="EI253" s="1"/>
      <c r="EJ253" s="1"/>
      <c r="EK253" s="1"/>
      <c r="EL253" s="1"/>
      <c r="EM253" s="1"/>
      <c r="EN253" s="1"/>
      <c r="EO253" s="1"/>
      <c r="EP253" s="1"/>
      <c r="EQ253" s="1"/>
      <c r="ER253" s="1"/>
      <c r="ES253" s="1"/>
      <c r="ET253" s="1"/>
      <c r="EU253" s="1"/>
      <c r="EV253" s="1"/>
      <c r="EW253" s="1"/>
      <c r="EX253" s="1"/>
      <c r="EY253" s="1"/>
      <c r="EZ253" s="1"/>
      <c r="FA253" s="1"/>
      <c r="FB253" s="1"/>
      <c r="FC253" s="1"/>
      <c r="FD253" s="1"/>
      <c r="FE253" s="1"/>
      <c r="FF253" s="1"/>
      <c r="FG253" s="1"/>
      <c r="FH253" s="1"/>
      <c r="FI253" s="1"/>
      <c r="FJ253" s="1"/>
      <c r="FK253" s="1"/>
      <c r="FL253" s="1"/>
      <c r="FM253" s="1"/>
      <c r="FN253" s="1"/>
      <c r="FO253" s="1"/>
      <c r="FP253" s="1"/>
      <c r="FQ253" s="1"/>
      <c r="FR253" s="1"/>
      <c r="FS253" s="1"/>
      <c r="FT253" s="1"/>
      <c r="FU253" s="1"/>
      <c r="FV253" s="1"/>
      <c r="FW253" s="1"/>
      <c r="FX253" s="1"/>
      <c r="FY253" s="1"/>
      <c r="FZ253" s="1"/>
      <c r="GA253" s="1"/>
      <c r="GB253" s="1"/>
      <c r="GC253" s="1"/>
      <c r="GD253" s="1"/>
      <c r="GE253" s="1"/>
      <c r="GF253" s="1"/>
      <c r="GG253" s="1"/>
      <c r="GH253" s="1"/>
      <c r="GI253" s="1"/>
      <c r="GJ253" s="1"/>
      <c r="GK253" s="1"/>
      <c r="GL253" s="1"/>
      <c r="GM253" s="1"/>
      <c r="GN253" s="1"/>
      <c r="GO253" s="1"/>
      <c r="GP253" s="1"/>
      <c r="GQ253" s="1"/>
      <c r="GR253" s="1"/>
      <c r="GS253" s="1"/>
      <c r="GT253" s="1"/>
      <c r="GU253" s="1"/>
      <c r="GV253" s="1"/>
      <c r="GW253" s="1"/>
      <c r="GX253" s="1"/>
      <c r="GY253" s="1"/>
      <c r="GZ253" s="1"/>
      <c r="HA253" s="1"/>
      <c r="HB253" s="1"/>
      <c r="HC253" s="1"/>
      <c r="HD253" s="1"/>
      <c r="HE253" s="1"/>
      <c r="HF253" s="1"/>
      <c r="HG253" s="1"/>
      <c r="HH253" s="1"/>
      <c r="HI253" s="1"/>
      <c r="HJ253" s="1"/>
      <c r="HK253" s="1"/>
      <c r="HL253" s="1"/>
      <c r="HM253" s="1"/>
      <c r="HN253" s="1"/>
      <c r="HO253" s="1"/>
      <c r="HP253" s="1"/>
      <c r="HQ253" s="1"/>
      <c r="HR253" s="1"/>
      <c r="HS253" s="1"/>
      <c r="HT253" s="1"/>
      <c r="HU253" s="1"/>
      <c r="HV253" s="1"/>
      <c r="HW253" s="1"/>
      <c r="HX253" s="1"/>
      <c r="HY253" s="1"/>
      <c r="HZ253" s="1"/>
      <c r="IA253" s="1"/>
      <c r="IB253" s="1"/>
      <c r="IC253" s="1"/>
      <c r="ID253" s="1"/>
      <c r="IE253" s="1"/>
      <c r="IF253" s="1"/>
      <c r="IG253" s="1"/>
      <c r="IH253" s="1"/>
      <c r="II253" s="1"/>
      <c r="IJ253" s="1"/>
      <c r="IK253" s="1"/>
      <c r="IL253" s="1"/>
      <c r="IM253" s="1"/>
      <c r="IN253" s="1"/>
      <c r="IO253" s="1"/>
      <c r="IP253" s="1"/>
      <c r="IQ253" s="1"/>
      <c r="IR253" s="1"/>
      <c r="IS253" s="1"/>
      <c r="IT253" s="1"/>
      <c r="IU253" s="1"/>
      <c r="IV253" s="1"/>
      <c r="IW253" s="1"/>
      <c r="IX253" s="1"/>
      <c r="IY253" s="1"/>
      <c r="IZ253" s="1"/>
      <c r="JA253" s="1"/>
      <c r="JB253" s="1"/>
      <c r="JC253" s="1"/>
      <c r="JD253" s="1"/>
    </row>
    <row r="254" spans="1:264" s="347" customFormat="1" x14ac:dyDescent="0.2">
      <c r="A254" s="347" t="s">
        <v>311</v>
      </c>
      <c r="B254" s="348"/>
      <c r="BE254" s="398"/>
      <c r="BF254" s="351"/>
      <c r="BH254" s="398"/>
      <c r="BI254" s="398"/>
      <c r="BJ254" s="351"/>
      <c r="BK254" s="348"/>
      <c r="BL254" s="398"/>
      <c r="BM254" s="398"/>
      <c r="BN254" s="351"/>
      <c r="BO254" s="348"/>
      <c r="BP254" s="398"/>
      <c r="BQ254" s="398"/>
      <c r="BR254" s="351"/>
      <c r="BS254" s="461"/>
      <c r="BT254" s="398"/>
      <c r="BU254" s="398"/>
      <c r="BV254" s="351"/>
      <c r="BW254" s="461"/>
      <c r="BX254" s="398"/>
      <c r="BY254" s="398"/>
      <c r="BZ254" s="351"/>
      <c r="CA254" s="393"/>
      <c r="CB254" s="398"/>
      <c r="CC254" s="398"/>
      <c r="CD254" s="351"/>
      <c r="CE254" s="393"/>
      <c r="CF254" s="351">
        <f>+CF251-CF253</f>
        <v>-3711</v>
      </c>
      <c r="CG254" s="351">
        <f>+CG251-CG253</f>
        <v>-3820</v>
      </c>
      <c r="CH254" s="351">
        <f>CG254</f>
        <v>-3820</v>
      </c>
      <c r="CJ254" s="351">
        <f>+CJ251-CJ253</f>
        <v>-3980</v>
      </c>
      <c r="CK254" s="351">
        <f>+CK251-CK253</f>
        <v>-5277</v>
      </c>
      <c r="CL254" s="351">
        <f>CK254</f>
        <v>-5277</v>
      </c>
      <c r="CN254" s="351">
        <f>+CN251-CN253</f>
        <v>-5806</v>
      </c>
      <c r="CO254" s="351">
        <f>+CO251-CO253</f>
        <v>-5200</v>
      </c>
      <c r="CP254" s="351">
        <f>CO254</f>
        <v>-5200</v>
      </c>
      <c r="CR254" s="351">
        <f>+CR251-CR253</f>
        <v>-4962</v>
      </c>
      <c r="CS254" s="351">
        <f>+CS251-CS253</f>
        <v>-4494</v>
      </c>
      <c r="CT254" s="351">
        <f>CS254</f>
        <v>-4494</v>
      </c>
      <c r="CV254" s="351">
        <f>+CV251-CV253</f>
        <v>-4763</v>
      </c>
      <c r="CW254" s="351">
        <f>+CW251-CW253</f>
        <v>-5037</v>
      </c>
      <c r="CX254" s="351">
        <f>CW254</f>
        <v>-5037</v>
      </c>
      <c r="CZ254" s="351">
        <f>+CZ251-CZ253</f>
        <v>-5173</v>
      </c>
      <c r="DA254" s="351">
        <f>+DA251-DA253</f>
        <v>-5200</v>
      </c>
      <c r="DB254" s="351">
        <f>DA254</f>
        <v>-5200</v>
      </c>
      <c r="DD254" s="351">
        <f>+DD251-DD253</f>
        <v>-5294</v>
      </c>
      <c r="DE254" s="351">
        <f>+DE251-DE253</f>
        <v>-5357</v>
      </c>
      <c r="DF254" s="351">
        <f>DE254</f>
        <v>-5357</v>
      </c>
      <c r="DH254" s="351">
        <f>+DH251-DH253</f>
        <v>-5352</v>
      </c>
      <c r="DI254" s="351">
        <f ca="1">+DI251-DI253</f>
        <v>-5370.642077248549</v>
      </c>
      <c r="DJ254" s="351">
        <f ca="1">DI254</f>
        <v>-5370.642077248549</v>
      </c>
      <c r="DL254" s="351">
        <f ca="1">+DL251-DL253</f>
        <v>-5391.6137733961295</v>
      </c>
      <c r="DM254" s="351">
        <f ca="1">+DM251-DM253</f>
        <v>-5438.251173468806</v>
      </c>
      <c r="DN254" s="351">
        <f ca="1">DM254</f>
        <v>-5438.251173468806</v>
      </c>
      <c r="DP254" s="351">
        <f ca="1">+DP251-DP253</f>
        <v>-5562.2075009602349</v>
      </c>
      <c r="DQ254" s="351">
        <f ca="1">+DQ251-DQ253</f>
        <v>-5707.2644119908882</v>
      </c>
      <c r="DR254" s="351">
        <f ca="1">DQ254</f>
        <v>-5707.2644119908882</v>
      </c>
      <c r="DT254" s="1"/>
      <c r="DU254" s="1"/>
      <c r="DV254" s="1"/>
      <c r="DW254" s="1"/>
      <c r="DX254" s="1"/>
      <c r="DY254" s="1"/>
      <c r="DZ254" s="1"/>
      <c r="EA254" s="1"/>
      <c r="EB254" s="1"/>
      <c r="EC254" s="1"/>
      <c r="ED254" s="1"/>
      <c r="EE254" s="1"/>
      <c r="EF254" s="1"/>
      <c r="EG254" s="1"/>
      <c r="EH254" s="1"/>
      <c r="EI254" s="1"/>
      <c r="EJ254" s="1"/>
      <c r="EK254" s="1"/>
      <c r="EL254" s="1"/>
      <c r="EM254" s="1"/>
      <c r="EN254" s="1"/>
      <c r="EO254" s="1"/>
      <c r="EP254" s="1"/>
      <c r="EQ254" s="1"/>
      <c r="ER254" s="1"/>
      <c r="ES254" s="1"/>
      <c r="ET254" s="1"/>
      <c r="EU254" s="1"/>
      <c r="EV254" s="1"/>
      <c r="EW254" s="1"/>
      <c r="EX254" s="1"/>
      <c r="EY254" s="1"/>
      <c r="EZ254" s="1"/>
      <c r="FA254" s="1"/>
      <c r="FB254" s="1"/>
      <c r="FC254" s="1"/>
      <c r="FD254" s="1"/>
      <c r="FE254" s="1"/>
      <c r="FF254" s="1"/>
      <c r="FG254" s="1"/>
      <c r="FH254" s="1"/>
      <c r="FI254" s="1"/>
      <c r="FJ254" s="1"/>
      <c r="FK254" s="1"/>
      <c r="FL254" s="1"/>
      <c r="FM254" s="1"/>
      <c r="FN254" s="1"/>
      <c r="FO254" s="1"/>
      <c r="FP254" s="1"/>
      <c r="FQ254" s="1"/>
      <c r="FR254" s="1"/>
      <c r="FS254" s="1"/>
      <c r="FT254" s="1"/>
      <c r="FU254" s="1"/>
      <c r="FV254" s="1"/>
      <c r="FW254" s="1"/>
      <c r="FX254" s="1"/>
      <c r="FY254" s="1"/>
      <c r="FZ254" s="1"/>
      <c r="GA254" s="1"/>
      <c r="GB254" s="1"/>
      <c r="GC254" s="1"/>
      <c r="GD254" s="1"/>
      <c r="GE254" s="1"/>
      <c r="GF254" s="1"/>
      <c r="GG254" s="1"/>
      <c r="GH254" s="1"/>
      <c r="GI254" s="1"/>
      <c r="GJ254" s="1"/>
      <c r="GK254" s="1"/>
      <c r="GL254" s="1"/>
      <c r="GM254" s="1"/>
      <c r="GN254" s="1"/>
      <c r="GO254" s="1"/>
      <c r="GP254" s="1"/>
      <c r="GQ254" s="1"/>
      <c r="GR254" s="1"/>
      <c r="GS254" s="1"/>
      <c r="GT254" s="1"/>
      <c r="GU254" s="1"/>
      <c r="GV254" s="1"/>
      <c r="GW254" s="1"/>
      <c r="GX254" s="1"/>
      <c r="GY254" s="1"/>
      <c r="GZ254" s="1"/>
      <c r="HA254" s="1"/>
      <c r="HB254" s="1"/>
      <c r="HC254" s="1"/>
      <c r="HD254" s="1"/>
      <c r="HE254" s="1"/>
      <c r="HF254" s="1"/>
      <c r="HG254" s="1"/>
      <c r="HH254" s="1"/>
      <c r="HI254" s="1"/>
      <c r="HJ254" s="1"/>
      <c r="HK254" s="1"/>
      <c r="HL254" s="1"/>
      <c r="HM254" s="1"/>
      <c r="HN254" s="1"/>
      <c r="HO254" s="1"/>
      <c r="HP254" s="1"/>
      <c r="HQ254" s="1"/>
      <c r="HR254" s="1"/>
      <c r="HS254" s="1"/>
      <c r="HT254" s="1"/>
      <c r="HU254" s="1"/>
      <c r="HV254" s="1"/>
      <c r="HW254" s="1"/>
      <c r="HX254" s="1"/>
      <c r="HY254" s="1"/>
      <c r="HZ254" s="1"/>
      <c r="IA254" s="1"/>
      <c r="IB254" s="1"/>
      <c r="IC254" s="1"/>
      <c r="ID254" s="1"/>
      <c r="IE254" s="1"/>
      <c r="IF254" s="1"/>
      <c r="IG254" s="1"/>
      <c r="IH254" s="1"/>
      <c r="II254" s="1"/>
      <c r="IJ254" s="1"/>
      <c r="IK254" s="1"/>
      <c r="IL254" s="1"/>
      <c r="IM254" s="1"/>
      <c r="IN254" s="1"/>
      <c r="IO254" s="1"/>
      <c r="IP254" s="1"/>
      <c r="IQ254" s="1"/>
      <c r="IR254" s="1"/>
      <c r="IS254" s="1"/>
      <c r="IT254" s="1"/>
      <c r="IU254" s="1"/>
      <c r="IV254" s="1"/>
      <c r="IW254" s="1"/>
      <c r="IX254" s="1"/>
      <c r="IY254" s="1"/>
      <c r="IZ254" s="1"/>
      <c r="JA254" s="1"/>
      <c r="JB254" s="1"/>
      <c r="JC254" s="1"/>
      <c r="JD254" s="1"/>
    </row>
    <row r="255" spans="1:264" s="411" customFormat="1" x14ac:dyDescent="0.2">
      <c r="B255" s="423"/>
      <c r="BE255" s="396"/>
      <c r="BF255" s="397"/>
      <c r="BH255" s="396"/>
      <c r="BI255" s="396"/>
      <c r="BJ255" s="397"/>
      <c r="BK255" s="423"/>
      <c r="BL255" s="396"/>
      <c r="BM255" s="396"/>
      <c r="BN255" s="397"/>
      <c r="BO255" s="423"/>
      <c r="BP255" s="396"/>
      <c r="BQ255" s="396"/>
      <c r="BR255" s="397"/>
      <c r="BS255" s="497"/>
      <c r="BT255" s="396"/>
      <c r="BU255" s="396"/>
      <c r="BV255" s="397"/>
      <c r="BW255" s="497"/>
      <c r="BX255" s="396"/>
      <c r="BY255" s="396"/>
      <c r="BZ255" s="397"/>
      <c r="CA255" s="393"/>
      <c r="CB255" s="396"/>
      <c r="CC255" s="396"/>
      <c r="CD255" s="397"/>
      <c r="CE255" s="393"/>
      <c r="CF255" s="396"/>
      <c r="CG255" s="396"/>
      <c r="CH255" s="397"/>
      <c r="CJ255" s="396"/>
      <c r="CK255" s="396"/>
      <c r="CL255" s="397"/>
      <c r="CN255" s="396"/>
      <c r="CO255" s="396"/>
      <c r="CP255" s="397"/>
      <c r="CR255" s="396"/>
      <c r="CS255" s="396"/>
      <c r="CT255" s="397"/>
      <c r="CV255" s="396"/>
      <c r="CW255" s="396"/>
      <c r="CX255" s="397"/>
      <c r="CZ255" s="396"/>
      <c r="DA255" s="396"/>
      <c r="DB255" s="397"/>
      <c r="DD255" s="396"/>
      <c r="DE255" s="396"/>
      <c r="DF255" s="397"/>
      <c r="DH255" s="396"/>
      <c r="DI255" s="397"/>
      <c r="DJ255" s="397"/>
      <c r="DL255" s="397"/>
      <c r="DM255" s="397"/>
      <c r="DN255" s="397"/>
      <c r="DP255" s="397"/>
      <c r="DQ255" s="397"/>
      <c r="DR255" s="397"/>
      <c r="DT255" s="1"/>
      <c r="DU255" s="1"/>
      <c r="DV255" s="1"/>
      <c r="DW255" s="1"/>
      <c r="DX255" s="1"/>
      <c r="DY255" s="1"/>
      <c r="DZ255" s="1"/>
      <c r="EA255" s="1"/>
      <c r="EB255" s="1"/>
      <c r="EC255" s="1"/>
      <c r="ED255" s="1"/>
      <c r="EE255" s="1"/>
      <c r="EF255" s="1"/>
      <c r="EG255" s="1"/>
      <c r="EH255" s="1"/>
      <c r="EI255" s="1"/>
      <c r="EJ255" s="1"/>
      <c r="EK255" s="1"/>
      <c r="EL255" s="1"/>
      <c r="EM255" s="1"/>
      <c r="EN255" s="1"/>
      <c r="EO255" s="1"/>
      <c r="EP255" s="1"/>
      <c r="EQ255" s="1"/>
      <c r="ER255" s="1"/>
      <c r="ES255" s="1"/>
      <c r="ET255" s="1"/>
      <c r="EU255" s="1"/>
      <c r="EV255" s="1"/>
      <c r="EW255" s="1"/>
      <c r="EX255" s="1"/>
      <c r="EY255" s="1"/>
      <c r="EZ255" s="1"/>
      <c r="FA255" s="1"/>
      <c r="FB255" s="1"/>
      <c r="FC255" s="1"/>
      <c r="FD255" s="1"/>
      <c r="FE255" s="1"/>
      <c r="FF255" s="1"/>
      <c r="FG255" s="1"/>
      <c r="FH255" s="1"/>
      <c r="FI255" s="1"/>
      <c r="FJ255" s="1"/>
      <c r="FK255" s="1"/>
      <c r="FL255" s="1"/>
      <c r="FM255" s="1"/>
      <c r="FN255" s="1"/>
      <c r="FO255" s="1"/>
      <c r="FP255" s="1"/>
      <c r="FQ255" s="1"/>
      <c r="FR255" s="1"/>
      <c r="FS255" s="1"/>
      <c r="FT255" s="1"/>
      <c r="FU255" s="1"/>
      <c r="FV255" s="1"/>
      <c r="FW255" s="1"/>
      <c r="FX255" s="1"/>
      <c r="FY255" s="1"/>
      <c r="FZ255" s="1"/>
      <c r="GA255" s="1"/>
      <c r="GB255" s="1"/>
      <c r="GC255" s="1"/>
      <c r="GD255" s="1"/>
      <c r="GE255" s="1"/>
      <c r="GF255" s="1"/>
      <c r="GG255" s="1"/>
      <c r="GH255" s="1"/>
      <c r="GI255" s="1"/>
      <c r="GJ255" s="1"/>
      <c r="GK255" s="1"/>
      <c r="GL255" s="1"/>
      <c r="GM255" s="1"/>
      <c r="GN255" s="1"/>
      <c r="GO255" s="1"/>
      <c r="GP255" s="1"/>
      <c r="GQ255" s="1"/>
      <c r="GR255" s="1"/>
      <c r="GS255" s="1"/>
      <c r="GT255" s="1"/>
      <c r="GU255" s="1"/>
      <c r="GV255" s="1"/>
      <c r="GW255" s="1"/>
      <c r="GX255" s="1"/>
      <c r="GY255" s="1"/>
      <c r="GZ255" s="1"/>
      <c r="HA255" s="1"/>
      <c r="HB255" s="1"/>
      <c r="HC255" s="1"/>
      <c r="HD255" s="1"/>
      <c r="HE255" s="1"/>
      <c r="HF255" s="1"/>
      <c r="HG255" s="1"/>
      <c r="HH255" s="1"/>
      <c r="HI255" s="1"/>
      <c r="HJ255" s="1"/>
      <c r="HK255" s="1"/>
      <c r="HL255" s="1"/>
      <c r="HM255" s="1"/>
      <c r="HN255" s="1"/>
      <c r="HO255" s="1"/>
      <c r="HP255" s="1"/>
      <c r="HQ255" s="1"/>
      <c r="HR255" s="1"/>
      <c r="HS255" s="1"/>
      <c r="HT255" s="1"/>
      <c r="HU255" s="1"/>
      <c r="HV255" s="1"/>
      <c r="HW255" s="1"/>
      <c r="HX255" s="1"/>
      <c r="HY255" s="1"/>
      <c r="HZ255" s="1"/>
      <c r="IA255" s="1"/>
      <c r="IB255" s="1"/>
      <c r="IC255" s="1"/>
      <c r="ID255" s="1"/>
      <c r="IE255" s="1"/>
      <c r="IF255" s="1"/>
      <c r="IG255" s="1"/>
      <c r="IH255" s="1"/>
      <c r="II255" s="1"/>
      <c r="IJ255" s="1"/>
      <c r="IK255" s="1"/>
      <c r="IL255" s="1"/>
      <c r="IM255" s="1"/>
      <c r="IN255" s="1"/>
      <c r="IO255" s="1"/>
      <c r="IP255" s="1"/>
      <c r="IQ255" s="1"/>
      <c r="IR255" s="1"/>
      <c r="IS255" s="1"/>
      <c r="IT255" s="1"/>
      <c r="IU255" s="1"/>
      <c r="IV255" s="1"/>
      <c r="IW255" s="1"/>
      <c r="IX255" s="1"/>
      <c r="IY255" s="1"/>
      <c r="IZ255" s="1"/>
      <c r="JA255" s="1"/>
      <c r="JB255" s="1"/>
      <c r="JC255" s="1"/>
      <c r="JD255" s="1"/>
    </row>
    <row r="256" spans="1:264" s="347" customFormat="1" x14ac:dyDescent="0.2">
      <c r="A256" s="411" t="s">
        <v>312</v>
      </c>
      <c r="B256" s="348"/>
      <c r="BH256" s="398"/>
      <c r="BI256" s="398"/>
      <c r="BJ256" s="351"/>
      <c r="BK256" s="348"/>
      <c r="BL256" s="398"/>
      <c r="BM256" s="398"/>
      <c r="BN256" s="351"/>
      <c r="BO256" s="348"/>
      <c r="BP256" s="398"/>
      <c r="BQ256" s="398"/>
      <c r="BR256" s="351"/>
      <c r="BT256" s="398"/>
      <c r="BU256" s="398"/>
      <c r="BV256" s="351"/>
      <c r="BX256" s="398"/>
      <c r="BY256" s="351"/>
      <c r="BZ256" s="351"/>
      <c r="CB256" s="398"/>
      <c r="CC256" s="351"/>
      <c r="CD256" s="351"/>
      <c r="CE256" s="400"/>
      <c r="CF256" s="398"/>
      <c r="CG256" s="351"/>
      <c r="CH256" s="351"/>
      <c r="CJ256" s="398"/>
      <c r="CK256" s="351"/>
      <c r="CL256" s="351"/>
      <c r="CN256" s="398"/>
      <c r="CO256" s="351"/>
      <c r="CP256" s="351"/>
      <c r="CR256" s="398"/>
      <c r="CS256" s="351"/>
      <c r="CT256" s="351"/>
      <c r="CV256" s="398"/>
      <c r="CW256" s="351"/>
      <c r="CX256" s="351"/>
      <c r="CZ256" s="398"/>
      <c r="DA256" s="351"/>
      <c r="DB256" s="351"/>
      <c r="DD256" s="398"/>
      <c r="DE256" s="351"/>
      <c r="DF256" s="351"/>
      <c r="DH256" s="398"/>
      <c r="DI256" s="351"/>
      <c r="DJ256" s="351"/>
      <c r="DL256" s="351"/>
      <c r="DM256" s="351"/>
      <c r="DN256" s="351"/>
      <c r="DP256" s="351"/>
      <c r="DQ256" s="351"/>
      <c r="DR256" s="351"/>
      <c r="DT256" s="1"/>
      <c r="DU256" s="1"/>
      <c r="DV256" s="1"/>
      <c r="DW256" s="1"/>
      <c r="DX256" s="1"/>
      <c r="DY256" s="1"/>
      <c r="DZ256" s="1"/>
      <c r="EA256" s="1"/>
      <c r="EB256" s="1"/>
      <c r="EC256" s="1"/>
      <c r="ED256" s="1"/>
      <c r="EE256" s="1"/>
      <c r="EF256" s="1"/>
      <c r="EG256" s="1"/>
      <c r="EH256" s="1"/>
      <c r="EI256" s="1"/>
      <c r="EJ256" s="1"/>
      <c r="EK256" s="1"/>
      <c r="EL256" s="1"/>
      <c r="EM256" s="1"/>
      <c r="EN256" s="1"/>
      <c r="EO256" s="1"/>
      <c r="EP256" s="1"/>
      <c r="EQ256" s="1"/>
      <c r="ER256" s="1"/>
      <c r="ES256" s="1"/>
      <c r="ET256" s="1"/>
      <c r="EU256" s="1"/>
      <c r="EV256" s="1"/>
      <c r="EW256" s="1"/>
      <c r="EX256" s="1"/>
      <c r="EY256" s="1"/>
      <c r="EZ256" s="1"/>
      <c r="FA256" s="1"/>
      <c r="FB256" s="1"/>
      <c r="FC256" s="1"/>
      <c r="FD256" s="1"/>
      <c r="FE256" s="1"/>
      <c r="FF256" s="1"/>
      <c r="FG256" s="1"/>
      <c r="FH256" s="1"/>
      <c r="FI256" s="1"/>
      <c r="FJ256" s="1"/>
      <c r="FK256" s="1"/>
      <c r="FL256" s="1"/>
      <c r="FM256" s="1"/>
      <c r="FN256" s="1"/>
      <c r="FO256" s="1"/>
      <c r="FP256" s="1"/>
      <c r="FQ256" s="1"/>
      <c r="FR256" s="1"/>
      <c r="FS256" s="1"/>
      <c r="FT256" s="1"/>
      <c r="FU256" s="1"/>
      <c r="FV256" s="1"/>
      <c r="FW256" s="1"/>
      <c r="FX256" s="1"/>
      <c r="FY256" s="1"/>
      <c r="FZ256" s="1"/>
      <c r="GA256" s="1"/>
      <c r="GB256" s="1"/>
      <c r="GC256" s="1"/>
      <c r="GD256" s="1"/>
      <c r="GE256" s="1"/>
      <c r="GF256" s="1"/>
      <c r="GG256" s="1"/>
      <c r="GH256" s="1"/>
      <c r="GI256" s="1"/>
      <c r="GJ256" s="1"/>
      <c r="GK256" s="1"/>
      <c r="GL256" s="1"/>
      <c r="GM256" s="1"/>
      <c r="GN256" s="1"/>
      <c r="GO256" s="1"/>
      <c r="GP256" s="1"/>
      <c r="GQ256" s="1"/>
      <c r="GR256" s="1"/>
      <c r="GS256" s="1"/>
      <c r="GT256" s="1"/>
      <c r="GU256" s="1"/>
      <c r="GV256" s="1"/>
      <c r="GW256" s="1"/>
      <c r="GX256" s="1"/>
      <c r="GY256" s="1"/>
      <c r="GZ256" s="1"/>
      <c r="HA256" s="1"/>
      <c r="HB256" s="1"/>
      <c r="HC256" s="1"/>
      <c r="HD256" s="1"/>
      <c r="HE256" s="1"/>
      <c r="HF256" s="1"/>
      <c r="HG256" s="1"/>
      <c r="HH256" s="1"/>
      <c r="HI256" s="1"/>
      <c r="HJ256" s="1"/>
      <c r="HK256" s="1"/>
      <c r="HL256" s="1"/>
      <c r="HM256" s="1"/>
      <c r="HN256" s="1"/>
      <c r="HO256" s="1"/>
      <c r="HP256" s="1"/>
      <c r="HQ256" s="1"/>
      <c r="HR256" s="1"/>
      <c r="HS256" s="1"/>
      <c r="HT256" s="1"/>
      <c r="HU256" s="1"/>
      <c r="HV256" s="1"/>
      <c r="HW256" s="1"/>
      <c r="HX256" s="1"/>
      <c r="HY256" s="1"/>
      <c r="HZ256" s="1"/>
      <c r="IA256" s="1"/>
      <c r="IB256" s="1"/>
      <c r="IC256" s="1"/>
      <c r="ID256" s="1"/>
      <c r="IE256" s="1"/>
      <c r="IF256" s="1"/>
      <c r="IG256" s="1"/>
      <c r="IH256" s="1"/>
      <c r="II256" s="1"/>
      <c r="IJ256" s="1"/>
      <c r="IK256" s="1"/>
      <c r="IL256" s="1"/>
      <c r="IM256" s="1"/>
      <c r="IN256" s="1"/>
      <c r="IO256" s="1"/>
      <c r="IP256" s="1"/>
      <c r="IQ256" s="1"/>
      <c r="IR256" s="1"/>
      <c r="IS256" s="1"/>
      <c r="IT256" s="1"/>
      <c r="IU256" s="1"/>
      <c r="IV256" s="1"/>
      <c r="IW256" s="1"/>
      <c r="IX256" s="1"/>
      <c r="IY256" s="1"/>
      <c r="IZ256" s="1"/>
      <c r="JA256" s="1"/>
      <c r="JB256" s="1"/>
      <c r="JC256" s="1"/>
      <c r="JD256" s="1"/>
    </row>
    <row r="257" spans="1:264" s="347" customFormat="1" x14ac:dyDescent="0.2">
      <c r="A257" s="347" t="s">
        <v>313</v>
      </c>
      <c r="B257" s="348"/>
      <c r="BH257" s="351">
        <f>BE263</f>
        <v>-2008</v>
      </c>
      <c r="BI257" s="351">
        <f>BH263</f>
        <v>-1845</v>
      </c>
      <c r="BJ257" s="351">
        <f>BF263</f>
        <v>-2008</v>
      </c>
      <c r="BK257" s="348"/>
      <c r="BL257" s="351">
        <f>BI263</f>
        <v>-1628</v>
      </c>
      <c r="BM257" s="351">
        <f>BL263</f>
        <v>-1416</v>
      </c>
      <c r="BN257" s="351">
        <f>BJ263</f>
        <v>-1628</v>
      </c>
      <c r="BO257" s="348"/>
      <c r="BP257" s="351">
        <f>BM263</f>
        <v>-1127</v>
      </c>
      <c r="BQ257" s="351">
        <f>BP263</f>
        <v>-1116</v>
      </c>
      <c r="BR257" s="351">
        <f>BN263</f>
        <v>-1127</v>
      </c>
      <c r="BT257" s="351">
        <f>BQ263</f>
        <v>-887</v>
      </c>
      <c r="BU257" s="351">
        <f>BT263</f>
        <v>-909</v>
      </c>
      <c r="BV257" s="351">
        <f>BR263</f>
        <v>-887</v>
      </c>
      <c r="BX257" s="351">
        <f>BU263</f>
        <v>-944</v>
      </c>
      <c r="BY257" s="351">
        <f>BX263</f>
        <v>-1017</v>
      </c>
      <c r="BZ257" s="351">
        <f>BV263</f>
        <v>-944</v>
      </c>
      <c r="CB257" s="351">
        <f>BY263</f>
        <v>-980</v>
      </c>
      <c r="CC257" s="351">
        <f>CB263</f>
        <v>-978</v>
      </c>
      <c r="CD257" s="351">
        <f>BZ263</f>
        <v>-980</v>
      </c>
      <c r="CF257" s="351">
        <f>CC263</f>
        <v>-870</v>
      </c>
      <c r="CG257" s="351">
        <f>CF263</f>
        <v>-920</v>
      </c>
      <c r="CH257" s="351">
        <f>CD263</f>
        <v>-870</v>
      </c>
      <c r="CJ257" s="351">
        <f>CG263</f>
        <v>-895</v>
      </c>
      <c r="CK257" s="351">
        <f>CJ263</f>
        <v>-959</v>
      </c>
      <c r="CL257" s="351">
        <f>CH263</f>
        <v>-895</v>
      </c>
      <c r="CN257" s="351">
        <f>CK263</f>
        <v>-967</v>
      </c>
      <c r="CO257" s="351">
        <f>CN263</f>
        <v>-872</v>
      </c>
      <c r="CP257" s="351">
        <f>CL263</f>
        <v>-967</v>
      </c>
      <c r="CR257" s="351">
        <f>CO263</f>
        <v>-900</v>
      </c>
      <c r="CS257" s="351">
        <f>CR263</f>
        <v>-792</v>
      </c>
      <c r="CT257" s="351">
        <f>CP263</f>
        <v>-900</v>
      </c>
      <c r="CV257" s="351">
        <f>CS263</f>
        <v>-736</v>
      </c>
      <c r="CW257" s="351">
        <f>CV263</f>
        <v>-641</v>
      </c>
      <c r="CX257" s="351">
        <f>CT263</f>
        <v>-736</v>
      </c>
      <c r="CZ257" s="351">
        <f>CW263</f>
        <v>-754</v>
      </c>
      <c r="DA257" s="351">
        <f>CZ263</f>
        <v>-733</v>
      </c>
      <c r="DB257" s="351">
        <f>CX263</f>
        <v>-754</v>
      </c>
      <c r="DD257" s="351">
        <f>DA263</f>
        <v>-712</v>
      </c>
      <c r="DE257" s="351">
        <f>DD263</f>
        <v>-735</v>
      </c>
      <c r="DF257" s="351">
        <f>DB263</f>
        <v>-712</v>
      </c>
      <c r="DH257" s="351">
        <f>DE263</f>
        <v>-816</v>
      </c>
      <c r="DI257" s="351">
        <f>DH263</f>
        <v>-793</v>
      </c>
      <c r="DJ257" s="351">
        <f>DF263</f>
        <v>-816</v>
      </c>
      <c r="DL257" s="351">
        <f>DI263</f>
        <v>-849.9209977100794</v>
      </c>
      <c r="DM257" s="351">
        <f>DL263</f>
        <v>-875.00403710849162</v>
      </c>
      <c r="DN257" s="351">
        <f>DJ263</f>
        <v>-849.9209977100794</v>
      </c>
      <c r="DP257" s="351">
        <f>DM263</f>
        <v>-919.28648133249146</v>
      </c>
      <c r="DQ257" s="351">
        <f>DP263</f>
        <v>-954.38991815371412</v>
      </c>
      <c r="DR257" s="351">
        <f>DN263</f>
        <v>-919.28648133249146</v>
      </c>
      <c r="DT257" s="1"/>
      <c r="DU257" s="1"/>
      <c r="DV257" s="1"/>
      <c r="DW257" s="1"/>
      <c r="DX257" s="1"/>
      <c r="DY257" s="1"/>
      <c r="DZ257" s="1"/>
      <c r="EA257" s="1"/>
      <c r="EB257" s="1"/>
      <c r="EC257" s="1"/>
      <c r="ED257" s="1"/>
      <c r="EE257" s="1"/>
      <c r="EF257" s="1"/>
      <c r="EG257" s="1"/>
      <c r="EH257" s="1"/>
      <c r="EI257" s="1"/>
      <c r="EJ257" s="1"/>
      <c r="EK257" s="1"/>
      <c r="EL257" s="1"/>
      <c r="EM257" s="1"/>
      <c r="EN257" s="1"/>
      <c r="EO257" s="1"/>
      <c r="EP257" s="1"/>
      <c r="EQ257" s="1"/>
      <c r="ER257" s="1"/>
      <c r="ES257" s="1"/>
      <c r="ET257" s="1"/>
      <c r="EU257" s="1"/>
      <c r="EV257" s="1"/>
      <c r="EW257" s="1"/>
      <c r="EX257" s="1"/>
      <c r="EY257" s="1"/>
      <c r="EZ257" s="1"/>
      <c r="FA257" s="1"/>
      <c r="FB257" s="1"/>
      <c r="FC257" s="1"/>
      <c r="FD257" s="1"/>
      <c r="FE257" s="1"/>
      <c r="FF257" s="1"/>
      <c r="FG257" s="1"/>
      <c r="FH257" s="1"/>
      <c r="FI257" s="1"/>
      <c r="FJ257" s="1"/>
      <c r="FK257" s="1"/>
      <c r="FL257" s="1"/>
      <c r="FM257" s="1"/>
      <c r="FN257" s="1"/>
      <c r="FO257" s="1"/>
      <c r="FP257" s="1"/>
      <c r="FQ257" s="1"/>
      <c r="FR257" s="1"/>
      <c r="FS257" s="1"/>
      <c r="FT257" s="1"/>
      <c r="FU257" s="1"/>
      <c r="FV257" s="1"/>
      <c r="FW257" s="1"/>
      <c r="FX257" s="1"/>
      <c r="FY257" s="1"/>
      <c r="FZ257" s="1"/>
      <c r="GA257" s="1"/>
      <c r="GB257" s="1"/>
      <c r="GC257" s="1"/>
      <c r="GD257" s="1"/>
      <c r="GE257" s="1"/>
      <c r="GF257" s="1"/>
      <c r="GG257" s="1"/>
      <c r="GH257" s="1"/>
      <c r="GI257" s="1"/>
      <c r="GJ257" s="1"/>
      <c r="GK257" s="1"/>
      <c r="GL257" s="1"/>
      <c r="GM257" s="1"/>
      <c r="GN257" s="1"/>
      <c r="GO257" s="1"/>
      <c r="GP257" s="1"/>
      <c r="GQ257" s="1"/>
      <c r="GR257" s="1"/>
      <c r="GS257" s="1"/>
      <c r="GT257" s="1"/>
      <c r="GU257" s="1"/>
      <c r="GV257" s="1"/>
      <c r="GW257" s="1"/>
      <c r="GX257" s="1"/>
      <c r="GY257" s="1"/>
      <c r="GZ257" s="1"/>
      <c r="HA257" s="1"/>
      <c r="HB257" s="1"/>
      <c r="HC257" s="1"/>
      <c r="HD257" s="1"/>
      <c r="HE257" s="1"/>
      <c r="HF257" s="1"/>
      <c r="HG257" s="1"/>
      <c r="HH257" s="1"/>
      <c r="HI257" s="1"/>
      <c r="HJ257" s="1"/>
      <c r="HK257" s="1"/>
      <c r="HL257" s="1"/>
      <c r="HM257" s="1"/>
      <c r="HN257" s="1"/>
      <c r="HO257" s="1"/>
      <c r="HP257" s="1"/>
      <c r="HQ257" s="1"/>
      <c r="HR257" s="1"/>
      <c r="HS257" s="1"/>
      <c r="HT257" s="1"/>
      <c r="HU257" s="1"/>
      <c r="HV257" s="1"/>
      <c r="HW257" s="1"/>
      <c r="HX257" s="1"/>
      <c r="HY257" s="1"/>
      <c r="HZ257" s="1"/>
      <c r="IA257" s="1"/>
      <c r="IB257" s="1"/>
      <c r="IC257" s="1"/>
      <c r="ID257" s="1"/>
      <c r="IE257" s="1"/>
      <c r="IF257" s="1"/>
      <c r="IG257" s="1"/>
      <c r="IH257" s="1"/>
      <c r="II257" s="1"/>
      <c r="IJ257" s="1"/>
      <c r="IK257" s="1"/>
      <c r="IL257" s="1"/>
      <c r="IM257" s="1"/>
      <c r="IN257" s="1"/>
      <c r="IO257" s="1"/>
      <c r="IP257" s="1"/>
      <c r="IQ257" s="1"/>
      <c r="IR257" s="1"/>
      <c r="IS257" s="1"/>
      <c r="IT257" s="1"/>
      <c r="IU257" s="1"/>
      <c r="IV257" s="1"/>
      <c r="IW257" s="1"/>
      <c r="IX257" s="1"/>
      <c r="IY257" s="1"/>
      <c r="IZ257" s="1"/>
      <c r="JA257" s="1"/>
      <c r="JB257" s="1"/>
      <c r="JC257" s="1"/>
      <c r="JD257" s="1"/>
    </row>
    <row r="258" spans="1:264" s="347" customFormat="1" x14ac:dyDescent="0.2">
      <c r="A258" s="347" t="s">
        <v>314</v>
      </c>
      <c r="B258" s="348"/>
      <c r="BH258" s="398">
        <v>51</v>
      </c>
      <c r="BI258" s="398">
        <v>39</v>
      </c>
      <c r="BJ258" s="351">
        <f>BH258+BI258</f>
        <v>90</v>
      </c>
      <c r="BK258" s="348"/>
      <c r="BL258" s="398">
        <v>30</v>
      </c>
      <c r="BM258" s="398">
        <v>21</v>
      </c>
      <c r="BN258" s="351">
        <f>BL258+BM258</f>
        <v>51</v>
      </c>
      <c r="BO258" s="348"/>
      <c r="BP258" s="398">
        <v>18</v>
      </c>
      <c r="BQ258" s="398">
        <v>20</v>
      </c>
      <c r="BR258" s="351">
        <f>BP258+BQ258</f>
        <v>38</v>
      </c>
      <c r="BT258" s="398">
        <v>13</v>
      </c>
      <c r="BU258" s="398">
        <v>14</v>
      </c>
      <c r="BV258" s="351">
        <f>BT258+BU258</f>
        <v>27</v>
      </c>
      <c r="BX258" s="398">
        <v>16</v>
      </c>
      <c r="BY258" s="398">
        <v>15</v>
      </c>
      <c r="BZ258" s="351">
        <f>BX258+BY258</f>
        <v>31</v>
      </c>
      <c r="CB258" s="398">
        <v>14</v>
      </c>
      <c r="CC258" s="398">
        <v>11</v>
      </c>
      <c r="CD258" s="351">
        <f>CB258+CC258</f>
        <v>25</v>
      </c>
      <c r="CF258" s="398">
        <v>10</v>
      </c>
      <c r="CG258" s="398">
        <v>13</v>
      </c>
      <c r="CH258" s="351">
        <f>CF258+CG258</f>
        <v>23</v>
      </c>
      <c r="CJ258" s="398">
        <v>-11</v>
      </c>
      <c r="CK258" s="398">
        <v>-5</v>
      </c>
      <c r="CL258" s="351">
        <f>CJ258+CK258</f>
        <v>-16</v>
      </c>
      <c r="CN258" s="398">
        <v>-7</v>
      </c>
      <c r="CO258" s="398">
        <v>-9</v>
      </c>
      <c r="CP258" s="351">
        <f>CN258+CO258</f>
        <v>-16</v>
      </c>
      <c r="CR258" s="398">
        <v>-8</v>
      </c>
      <c r="CS258" s="398">
        <v>-3</v>
      </c>
      <c r="CT258" s="351">
        <f>CR258+CS258</f>
        <v>-11</v>
      </c>
      <c r="CV258" s="398">
        <v>-7</v>
      </c>
      <c r="CW258" s="398">
        <v>-6</v>
      </c>
      <c r="CX258" s="351">
        <f>CV258+CW258</f>
        <v>-13</v>
      </c>
      <c r="CZ258" s="398">
        <v>-7</v>
      </c>
      <c r="DA258" s="398">
        <v>-8</v>
      </c>
      <c r="DB258" s="351">
        <f>CZ258+DA258</f>
        <v>-15</v>
      </c>
      <c r="DD258" s="398">
        <v>-11</v>
      </c>
      <c r="DE258" s="398">
        <v>-7</v>
      </c>
      <c r="DF258" s="351">
        <f>DD258+DE258</f>
        <v>-18</v>
      </c>
      <c r="DH258" s="398">
        <v>-7</v>
      </c>
      <c r="DI258" s="351">
        <f>DI257*DI274/2</f>
        <v>-6.8026960784313735</v>
      </c>
      <c r="DJ258" s="351">
        <f>DH258+DI258</f>
        <v>-13.802696078431374</v>
      </c>
      <c r="DL258" s="351">
        <f>DL257*DL274/2</f>
        <v>-7.2909889509443095</v>
      </c>
      <c r="DM258" s="351">
        <f>DM257*DM274/2</f>
        <v>-7.5061620830385314</v>
      </c>
      <c r="DN258" s="351">
        <f>DL258+DM258</f>
        <v>-14.797151033982841</v>
      </c>
      <c r="DP258" s="351">
        <f>DP257*DP274/2</f>
        <v>-7.886035991822844</v>
      </c>
      <c r="DQ258" s="351">
        <f>DQ257*DQ274/2</f>
        <v>-8.1871684155343125</v>
      </c>
      <c r="DR258" s="351">
        <f>DP258+DQ258</f>
        <v>-16.073204407357156</v>
      </c>
      <c r="DT258" s="1"/>
      <c r="DU258" s="1"/>
      <c r="DV258" s="1"/>
      <c r="DW258" s="1"/>
      <c r="DX258" s="1"/>
      <c r="DY258" s="1"/>
      <c r="DZ258" s="1"/>
      <c r="EA258" s="1"/>
      <c r="EB258" s="1"/>
      <c r="EC258" s="1"/>
      <c r="ED258" s="1"/>
      <c r="EE258" s="1"/>
      <c r="EF258" s="1"/>
      <c r="EG258" s="1"/>
      <c r="EH258" s="1"/>
      <c r="EI258" s="1"/>
      <c r="EJ258" s="1"/>
      <c r="EK258" s="1"/>
      <c r="EL258" s="1"/>
      <c r="EM258" s="1"/>
      <c r="EN258" s="1"/>
      <c r="EO258" s="1"/>
      <c r="EP258" s="1"/>
      <c r="EQ258" s="1"/>
      <c r="ER258" s="1"/>
      <c r="ES258" s="1"/>
      <c r="ET258" s="1"/>
      <c r="EU258" s="1"/>
      <c r="EV258" s="1"/>
      <c r="EW258" s="1"/>
      <c r="EX258" s="1"/>
      <c r="EY258" s="1"/>
      <c r="EZ258" s="1"/>
      <c r="FA258" s="1"/>
      <c r="FB258" s="1"/>
      <c r="FC258" s="1"/>
      <c r="FD258" s="1"/>
      <c r="FE258" s="1"/>
      <c r="FF258" s="1"/>
      <c r="FG258" s="1"/>
      <c r="FH258" s="1"/>
      <c r="FI258" s="1"/>
      <c r="FJ258" s="1"/>
      <c r="FK258" s="1"/>
      <c r="FL258" s="1"/>
      <c r="FM258" s="1"/>
      <c r="FN258" s="1"/>
      <c r="FO258" s="1"/>
      <c r="FP258" s="1"/>
      <c r="FQ258" s="1"/>
      <c r="FR258" s="1"/>
      <c r="FS258" s="1"/>
      <c r="FT258" s="1"/>
      <c r="FU258" s="1"/>
      <c r="FV258" s="1"/>
      <c r="FW258" s="1"/>
      <c r="FX258" s="1"/>
      <c r="FY258" s="1"/>
      <c r="FZ258" s="1"/>
      <c r="GA258" s="1"/>
      <c r="GB258" s="1"/>
      <c r="GC258" s="1"/>
      <c r="GD258" s="1"/>
      <c r="GE258" s="1"/>
      <c r="GF258" s="1"/>
      <c r="GG258" s="1"/>
      <c r="GH258" s="1"/>
      <c r="GI258" s="1"/>
      <c r="GJ258" s="1"/>
      <c r="GK258" s="1"/>
      <c r="GL258" s="1"/>
      <c r="GM258" s="1"/>
      <c r="GN258" s="1"/>
      <c r="GO258" s="1"/>
      <c r="GP258" s="1"/>
      <c r="GQ258" s="1"/>
      <c r="GR258" s="1"/>
      <c r="GS258" s="1"/>
      <c r="GT258" s="1"/>
      <c r="GU258" s="1"/>
      <c r="GV258" s="1"/>
      <c r="GW258" s="1"/>
      <c r="GX258" s="1"/>
      <c r="GY258" s="1"/>
      <c r="GZ258" s="1"/>
      <c r="HA258" s="1"/>
      <c r="HB258" s="1"/>
      <c r="HC258" s="1"/>
      <c r="HD258" s="1"/>
      <c r="HE258" s="1"/>
      <c r="HF258" s="1"/>
      <c r="HG258" s="1"/>
      <c r="HH258" s="1"/>
      <c r="HI258" s="1"/>
      <c r="HJ258" s="1"/>
      <c r="HK258" s="1"/>
      <c r="HL258" s="1"/>
      <c r="HM258" s="1"/>
      <c r="HN258" s="1"/>
      <c r="HO258" s="1"/>
      <c r="HP258" s="1"/>
      <c r="HQ258" s="1"/>
      <c r="HR258" s="1"/>
      <c r="HS258" s="1"/>
      <c r="HT258" s="1"/>
      <c r="HU258" s="1"/>
      <c r="HV258" s="1"/>
      <c r="HW258" s="1"/>
      <c r="HX258" s="1"/>
      <c r="HY258" s="1"/>
      <c r="HZ258" s="1"/>
      <c r="IA258" s="1"/>
      <c r="IB258" s="1"/>
      <c r="IC258" s="1"/>
      <c r="ID258" s="1"/>
      <c r="IE258" s="1"/>
      <c r="IF258" s="1"/>
      <c r="IG258" s="1"/>
      <c r="IH258" s="1"/>
      <c r="II258" s="1"/>
      <c r="IJ258" s="1"/>
      <c r="IK258" s="1"/>
      <c r="IL258" s="1"/>
      <c r="IM258" s="1"/>
      <c r="IN258" s="1"/>
      <c r="IO258" s="1"/>
      <c r="IP258" s="1"/>
      <c r="IQ258" s="1"/>
      <c r="IR258" s="1"/>
      <c r="IS258" s="1"/>
      <c r="IT258" s="1"/>
      <c r="IU258" s="1"/>
      <c r="IV258" s="1"/>
      <c r="IW258" s="1"/>
      <c r="IX258" s="1"/>
      <c r="IY258" s="1"/>
      <c r="IZ258" s="1"/>
      <c r="JA258" s="1"/>
      <c r="JB258" s="1"/>
      <c r="JC258" s="1"/>
      <c r="JD258" s="1"/>
    </row>
    <row r="259" spans="1:264" s="347" customFormat="1" x14ac:dyDescent="0.2">
      <c r="A259" s="347" t="s">
        <v>315</v>
      </c>
      <c r="B259" s="348"/>
      <c r="BH259" s="351">
        <f>BH263-BH262-BH261-BH260-BH258-BH257</f>
        <v>-229</v>
      </c>
      <c r="BI259" s="351">
        <f>BI263-BI262-BI261-BI260-BI258-BI257</f>
        <v>-155</v>
      </c>
      <c r="BJ259" s="351">
        <f>BH259+BI259</f>
        <v>-384</v>
      </c>
      <c r="BK259" s="348"/>
      <c r="BL259" s="351">
        <f>BL263-BL262-BL261-BL260-BL258-BL257</f>
        <v>-130</v>
      </c>
      <c r="BM259" s="351">
        <f>BM263-BM262-BM261-BM260-BM258-BM257</f>
        <v>-36</v>
      </c>
      <c r="BN259" s="351">
        <f>BL259+BM259</f>
        <v>-166</v>
      </c>
      <c r="BO259" s="348"/>
      <c r="BP259" s="351">
        <f>BP263-BP262-BP261-BP260-BP258-BP257</f>
        <v>-65</v>
      </c>
      <c r="BQ259" s="351">
        <f>BQ263-BQ262-BQ261-BQ260-BQ258-BQ257</f>
        <v>-31</v>
      </c>
      <c r="BR259" s="351">
        <f>BP259+BQ259</f>
        <v>-96</v>
      </c>
      <c r="BT259" s="351">
        <f>BT263-BT262-BT261-BT260-BT258-BT257</f>
        <v>-37</v>
      </c>
      <c r="BU259" s="351">
        <f>BU263-BU262-BU261-BU260-BU258-BU257</f>
        <v>-39</v>
      </c>
      <c r="BV259" s="351">
        <f>BT259+BU259</f>
        <v>-76</v>
      </c>
      <c r="BX259" s="351">
        <f>BX263-BX262-BX261-BX260-BX258-BX257</f>
        <v>-22</v>
      </c>
      <c r="BY259" s="351">
        <f>BY263-BY262-BY261-BY260-BY258-BY257</f>
        <v>-17</v>
      </c>
      <c r="BZ259" s="351">
        <f>BX259+BY259</f>
        <v>-39</v>
      </c>
      <c r="CB259" s="351">
        <f>CB263-CB262-CB261-CB260-CB258-CB257</f>
        <v>-5</v>
      </c>
      <c r="CC259" s="351">
        <f>CC263-CC262-CC261-CC260-CC258-CC257</f>
        <v>-65</v>
      </c>
      <c r="CD259" s="351">
        <f>CB259+CC259</f>
        <v>-70</v>
      </c>
      <c r="CF259" s="351">
        <f>CF263-CF262-CF261-CF260-CF258-CF257</f>
        <v>-57</v>
      </c>
      <c r="CG259" s="351">
        <f>CG263-CG262-CG261-CG260-CG258-CG257</f>
        <v>-71</v>
      </c>
      <c r="CH259" s="351">
        <f>CF259+CG259</f>
        <v>-128</v>
      </c>
      <c r="CJ259" s="351">
        <f>CJ263-CJ262-CJ261-CJ260-CJ258-CJ257</f>
        <v>-35</v>
      </c>
      <c r="CK259" s="351">
        <f>CK263-CK262-CK261-CK260-CK258-CK257</f>
        <v>-17</v>
      </c>
      <c r="CL259" s="351">
        <f>CJ259+CK259</f>
        <v>-52</v>
      </c>
      <c r="CN259" s="351">
        <f>CN263-CN262-CN261-CN260-CN258-CN257</f>
        <v>5</v>
      </c>
      <c r="CO259" s="351">
        <f>CO263-CO262-CO261-CO260-CO258-CO257</f>
        <v>-10</v>
      </c>
      <c r="CP259" s="351">
        <f>CN259+CO259</f>
        <v>-5</v>
      </c>
      <c r="CR259" s="351">
        <f>CR263-CR262-CR261-CR260-CR258-CR257</f>
        <v>-36</v>
      </c>
      <c r="CS259" s="351">
        <f>CS263-CS262-CS261-CS260-CS258-CS257</f>
        <v>-4</v>
      </c>
      <c r="CT259" s="351">
        <f>CR259+CS259</f>
        <v>-40</v>
      </c>
      <c r="CV259" s="351">
        <f>CV263-CV262-CV261-CV260-CV258-CV257</f>
        <v>-40</v>
      </c>
      <c r="CW259" s="351">
        <f>CW263-CW262-CW261-CW260-CW258-CW257</f>
        <v>-18</v>
      </c>
      <c r="CX259" s="351">
        <f>CV259+CW259</f>
        <v>-58</v>
      </c>
      <c r="CZ259" s="351">
        <f>CZ263-CZ262-CZ261-CZ260-CZ258-CZ257</f>
        <v>-15</v>
      </c>
      <c r="DA259" s="351">
        <f>DA263-DA262-DA261-DA260-DA258-DA257</f>
        <v>11</v>
      </c>
      <c r="DB259" s="351">
        <f>CZ259+DA259</f>
        <v>-4</v>
      </c>
      <c r="DD259" s="351">
        <f>DD263-DD262-DD261-DD260-DD258-DD257</f>
        <v>199</v>
      </c>
      <c r="DE259" s="351">
        <f>DE263-DE262-DE261-DE260-DE258-DE257</f>
        <v>243</v>
      </c>
      <c r="DF259" s="351">
        <f>DD259+DE259</f>
        <v>442</v>
      </c>
      <c r="DH259" s="351">
        <f>DH263-DH262-DH261-DH260-DH258-DH257</f>
        <v>371</v>
      </c>
      <c r="DI259" s="398">
        <v>0</v>
      </c>
      <c r="DJ259" s="351">
        <f>DH259+DI259</f>
        <v>371</v>
      </c>
      <c r="DL259" s="398">
        <v>0</v>
      </c>
      <c r="DM259" s="398">
        <v>0</v>
      </c>
      <c r="DN259" s="351">
        <f>DL259+DM259</f>
        <v>0</v>
      </c>
      <c r="DP259" s="398">
        <v>0</v>
      </c>
      <c r="DQ259" s="398">
        <v>0</v>
      </c>
      <c r="DR259" s="351">
        <f>DP259+DQ259</f>
        <v>0</v>
      </c>
      <c r="DT259" s="1"/>
      <c r="DU259" s="1"/>
      <c r="DV259" s="1"/>
      <c r="DW259" s="1"/>
      <c r="DX259" s="1"/>
      <c r="DY259" s="1"/>
      <c r="DZ259" s="1"/>
      <c r="EA259" s="1"/>
      <c r="EB259" s="1"/>
      <c r="EC259" s="1"/>
      <c r="ED259" s="1"/>
      <c r="EE259" s="1"/>
      <c r="EF259" s="1"/>
      <c r="EG259" s="1"/>
      <c r="EH259" s="1"/>
      <c r="EI259" s="1"/>
      <c r="EJ259" s="1"/>
      <c r="EK259" s="1"/>
      <c r="EL259" s="1"/>
      <c r="EM259" s="1"/>
      <c r="EN259" s="1"/>
      <c r="EO259" s="1"/>
      <c r="EP259" s="1"/>
      <c r="EQ259" s="1"/>
      <c r="ER259" s="1"/>
      <c r="ES259" s="1"/>
      <c r="ET259" s="1"/>
      <c r="EU259" s="1"/>
      <c r="EV259" s="1"/>
      <c r="EW259" s="1"/>
      <c r="EX259" s="1"/>
      <c r="EY259" s="1"/>
      <c r="EZ259" s="1"/>
      <c r="FA259" s="1"/>
      <c r="FB259" s="1"/>
      <c r="FC259" s="1"/>
      <c r="FD259" s="1"/>
      <c r="FE259" s="1"/>
      <c r="FF259" s="1"/>
      <c r="FG259" s="1"/>
      <c r="FH259" s="1"/>
      <c r="FI259" s="1"/>
      <c r="FJ259" s="1"/>
      <c r="FK259" s="1"/>
      <c r="FL259" s="1"/>
      <c r="FM259" s="1"/>
      <c r="FN259" s="1"/>
      <c r="FO259" s="1"/>
      <c r="FP259" s="1"/>
      <c r="FQ259" s="1"/>
      <c r="FR259" s="1"/>
      <c r="FS259" s="1"/>
      <c r="FT259" s="1"/>
      <c r="FU259" s="1"/>
      <c r="FV259" s="1"/>
      <c r="FW259" s="1"/>
      <c r="FX259" s="1"/>
      <c r="FY259" s="1"/>
      <c r="FZ259" s="1"/>
      <c r="GA259" s="1"/>
      <c r="GB259" s="1"/>
      <c r="GC259" s="1"/>
      <c r="GD259" s="1"/>
      <c r="GE259" s="1"/>
      <c r="GF259" s="1"/>
      <c r="GG259" s="1"/>
      <c r="GH259" s="1"/>
      <c r="GI259" s="1"/>
      <c r="GJ259" s="1"/>
      <c r="GK259" s="1"/>
      <c r="GL259" s="1"/>
      <c r="GM259" s="1"/>
      <c r="GN259" s="1"/>
      <c r="GO259" s="1"/>
      <c r="GP259" s="1"/>
      <c r="GQ259" s="1"/>
      <c r="GR259" s="1"/>
      <c r="GS259" s="1"/>
      <c r="GT259" s="1"/>
      <c r="GU259" s="1"/>
      <c r="GV259" s="1"/>
      <c r="GW259" s="1"/>
      <c r="GX259" s="1"/>
      <c r="GY259" s="1"/>
      <c r="GZ259" s="1"/>
      <c r="HA259" s="1"/>
      <c r="HB259" s="1"/>
      <c r="HC259" s="1"/>
      <c r="HD259" s="1"/>
      <c r="HE259" s="1"/>
      <c r="HF259" s="1"/>
      <c r="HG259" s="1"/>
      <c r="HH259" s="1"/>
      <c r="HI259" s="1"/>
      <c r="HJ259" s="1"/>
      <c r="HK259" s="1"/>
      <c r="HL259" s="1"/>
      <c r="HM259" s="1"/>
      <c r="HN259" s="1"/>
      <c r="HO259" s="1"/>
      <c r="HP259" s="1"/>
      <c r="HQ259" s="1"/>
      <c r="HR259" s="1"/>
      <c r="HS259" s="1"/>
      <c r="HT259" s="1"/>
      <c r="HU259" s="1"/>
      <c r="HV259" s="1"/>
      <c r="HW259" s="1"/>
      <c r="HX259" s="1"/>
      <c r="HY259" s="1"/>
      <c r="HZ259" s="1"/>
      <c r="IA259" s="1"/>
      <c r="IB259" s="1"/>
      <c r="IC259" s="1"/>
      <c r="ID259" s="1"/>
      <c r="IE259" s="1"/>
      <c r="IF259" s="1"/>
      <c r="IG259" s="1"/>
      <c r="IH259" s="1"/>
      <c r="II259" s="1"/>
      <c r="IJ259" s="1"/>
      <c r="IK259" s="1"/>
      <c r="IL259" s="1"/>
      <c r="IM259" s="1"/>
      <c r="IN259" s="1"/>
      <c r="IO259" s="1"/>
      <c r="IP259" s="1"/>
      <c r="IQ259" s="1"/>
      <c r="IR259" s="1"/>
      <c r="IS259" s="1"/>
      <c r="IT259" s="1"/>
      <c r="IU259" s="1"/>
      <c r="IV259" s="1"/>
      <c r="IW259" s="1"/>
      <c r="IX259" s="1"/>
      <c r="IY259" s="1"/>
      <c r="IZ259" s="1"/>
      <c r="JA259" s="1"/>
      <c r="JB259" s="1"/>
      <c r="JC259" s="1"/>
      <c r="JD259" s="1"/>
    </row>
    <row r="260" spans="1:264" s="347" customFormat="1" x14ac:dyDescent="0.2">
      <c r="A260" s="347" t="s">
        <v>316</v>
      </c>
      <c r="B260" s="348"/>
      <c r="BH260" s="398">
        <v>-74</v>
      </c>
      <c r="BI260" s="398">
        <v>-80</v>
      </c>
      <c r="BJ260" s="351">
        <f>BH260+BI260</f>
        <v>-154</v>
      </c>
      <c r="BK260" s="348"/>
      <c r="BL260" s="398">
        <v>-91</v>
      </c>
      <c r="BM260" s="398">
        <v>-74</v>
      </c>
      <c r="BN260" s="351">
        <f>BL260+BM260</f>
        <v>-165</v>
      </c>
      <c r="BO260" s="348"/>
      <c r="BP260" s="398">
        <v>-98</v>
      </c>
      <c r="BQ260" s="398">
        <v>-78</v>
      </c>
      <c r="BR260" s="351">
        <f>BP260+BQ260</f>
        <v>-176</v>
      </c>
      <c r="BT260" s="398">
        <v>-120</v>
      </c>
      <c r="BU260" s="398">
        <v>-105</v>
      </c>
      <c r="BV260" s="351">
        <f>BT260+BU260</f>
        <v>-225</v>
      </c>
      <c r="BX260" s="398">
        <v>-107</v>
      </c>
      <c r="BY260" s="398">
        <v>-103</v>
      </c>
      <c r="BZ260" s="351">
        <f>BX260+BY260</f>
        <v>-210</v>
      </c>
      <c r="CB260" s="398">
        <v>-104</v>
      </c>
      <c r="CC260" s="398">
        <v>-97</v>
      </c>
      <c r="CD260" s="351">
        <f>CB260+CC260</f>
        <v>-201</v>
      </c>
      <c r="CF260" s="398">
        <v>-104</v>
      </c>
      <c r="CG260" s="398">
        <v>-102</v>
      </c>
      <c r="CH260" s="351">
        <f>CF260+CG260</f>
        <v>-206</v>
      </c>
      <c r="CJ260" s="398">
        <v>-101</v>
      </c>
      <c r="CK260" s="398">
        <v>-84</v>
      </c>
      <c r="CL260" s="351">
        <f>CJ260+CK260</f>
        <v>-185</v>
      </c>
      <c r="CN260" s="398">
        <v>-69</v>
      </c>
      <c r="CO260" s="398">
        <v>-62</v>
      </c>
      <c r="CP260" s="351">
        <f>CN260+CO260</f>
        <v>-131</v>
      </c>
      <c r="CR260" s="398">
        <v>-67</v>
      </c>
      <c r="CS260" s="398">
        <v>-60</v>
      </c>
      <c r="CT260" s="351">
        <f>CR260+CS260</f>
        <v>-127</v>
      </c>
      <c r="CV260" s="398">
        <v>-64</v>
      </c>
      <c r="CW260" s="398">
        <v>-44</v>
      </c>
      <c r="CX260" s="351">
        <f>CV260+CW260</f>
        <v>-108</v>
      </c>
      <c r="CZ260" s="398">
        <v>-52</v>
      </c>
      <c r="DA260" s="398">
        <v>-76</v>
      </c>
      <c r="DB260" s="351">
        <f>CZ260+DA260</f>
        <v>-128</v>
      </c>
      <c r="DD260" s="398">
        <v>-70</v>
      </c>
      <c r="DE260" s="398">
        <v>-99</v>
      </c>
      <c r="DF260" s="351">
        <f>DD260+DE260</f>
        <v>-169</v>
      </c>
      <c r="DH260" s="398">
        <v>-144</v>
      </c>
      <c r="DI260" s="351">
        <f t="shared" ref="DI260" si="166">DI277*DH223/2</f>
        <v>-137.0238138520269</v>
      </c>
      <c r="DJ260" s="351">
        <f>DH260+DI260</f>
        <v>-281.02381385202693</v>
      </c>
      <c r="DL260" s="351">
        <f>DL277*DI223/2</f>
        <v>-146.85928950713102</v>
      </c>
      <c r="DM260" s="351">
        <f t="shared" ref="DM260" si="167">DM277*DL223/2</f>
        <v>-151.19343039158386</v>
      </c>
      <c r="DN260" s="351">
        <f>DL260+DM260</f>
        <v>-298.05271989871488</v>
      </c>
      <c r="DP260" s="351">
        <f>DP277*DM223/2</f>
        <v>-158.84506897199006</v>
      </c>
      <c r="DQ260" s="351">
        <f t="shared" ref="DQ260" si="168">DQ277*DP223/2</f>
        <v>-164.91065130812828</v>
      </c>
      <c r="DR260" s="351">
        <f>DP260+DQ260</f>
        <v>-323.75572028011834</v>
      </c>
      <c r="DT260" s="1"/>
      <c r="DU260" s="1"/>
      <c r="DV260" s="1"/>
      <c r="DW260" s="1"/>
      <c r="DX260" s="1"/>
      <c r="DY260" s="1"/>
      <c r="DZ260" s="1"/>
      <c r="EA260" s="1"/>
      <c r="EB260" s="1"/>
      <c r="EC260" s="1"/>
      <c r="ED260" s="1"/>
      <c r="EE260" s="1"/>
      <c r="EF260" s="1"/>
      <c r="EG260" s="1"/>
      <c r="EH260" s="1"/>
      <c r="EI260" s="1"/>
      <c r="EJ260" s="1"/>
      <c r="EK260" s="1"/>
      <c r="EL260" s="1"/>
      <c r="EM260" s="1"/>
      <c r="EN260" s="1"/>
      <c r="EO260" s="1"/>
      <c r="EP260" s="1"/>
      <c r="EQ260" s="1"/>
      <c r="ER260" s="1"/>
      <c r="ES260" s="1"/>
      <c r="ET260" s="1"/>
      <c r="EU260" s="1"/>
      <c r="EV260" s="1"/>
      <c r="EW260" s="1"/>
      <c r="EX260" s="1"/>
      <c r="EY260" s="1"/>
      <c r="EZ260" s="1"/>
      <c r="FA260" s="1"/>
      <c r="FB260" s="1"/>
      <c r="FC260" s="1"/>
      <c r="FD260" s="1"/>
      <c r="FE260" s="1"/>
      <c r="FF260" s="1"/>
      <c r="FG260" s="1"/>
      <c r="FH260" s="1"/>
      <c r="FI260" s="1"/>
      <c r="FJ260" s="1"/>
      <c r="FK260" s="1"/>
      <c r="FL260" s="1"/>
      <c r="FM260" s="1"/>
      <c r="FN260" s="1"/>
      <c r="FO260" s="1"/>
      <c r="FP260" s="1"/>
      <c r="FQ260" s="1"/>
      <c r="FR260" s="1"/>
      <c r="FS260" s="1"/>
      <c r="FT260" s="1"/>
      <c r="FU260" s="1"/>
      <c r="FV260" s="1"/>
      <c r="FW260" s="1"/>
      <c r="FX260" s="1"/>
      <c r="FY260" s="1"/>
      <c r="FZ260" s="1"/>
      <c r="GA260" s="1"/>
      <c r="GB260" s="1"/>
      <c r="GC260" s="1"/>
      <c r="GD260" s="1"/>
      <c r="GE260" s="1"/>
      <c r="GF260" s="1"/>
      <c r="GG260" s="1"/>
      <c r="GH260" s="1"/>
      <c r="GI260" s="1"/>
      <c r="GJ260" s="1"/>
      <c r="GK260" s="1"/>
      <c r="GL260" s="1"/>
      <c r="GM260" s="1"/>
      <c r="GN260" s="1"/>
      <c r="GO260" s="1"/>
      <c r="GP260" s="1"/>
      <c r="GQ260" s="1"/>
      <c r="GR260" s="1"/>
      <c r="GS260" s="1"/>
      <c r="GT260" s="1"/>
      <c r="GU260" s="1"/>
      <c r="GV260" s="1"/>
      <c r="GW260" s="1"/>
      <c r="GX260" s="1"/>
      <c r="GY260" s="1"/>
      <c r="GZ260" s="1"/>
      <c r="HA260" s="1"/>
      <c r="HB260" s="1"/>
      <c r="HC260" s="1"/>
      <c r="HD260" s="1"/>
      <c r="HE260" s="1"/>
      <c r="HF260" s="1"/>
      <c r="HG260" s="1"/>
      <c r="HH260" s="1"/>
      <c r="HI260" s="1"/>
      <c r="HJ260" s="1"/>
      <c r="HK260" s="1"/>
      <c r="HL260" s="1"/>
      <c r="HM260" s="1"/>
      <c r="HN260" s="1"/>
      <c r="HO260" s="1"/>
      <c r="HP260" s="1"/>
      <c r="HQ260" s="1"/>
      <c r="HR260" s="1"/>
      <c r="HS260" s="1"/>
      <c r="HT260" s="1"/>
      <c r="HU260" s="1"/>
      <c r="HV260" s="1"/>
      <c r="HW260" s="1"/>
      <c r="HX260" s="1"/>
      <c r="HY260" s="1"/>
      <c r="HZ260" s="1"/>
      <c r="IA260" s="1"/>
      <c r="IB260" s="1"/>
      <c r="IC260" s="1"/>
      <c r="ID260" s="1"/>
      <c r="IE260" s="1"/>
      <c r="IF260" s="1"/>
      <c r="IG260" s="1"/>
      <c r="IH260" s="1"/>
      <c r="II260" s="1"/>
      <c r="IJ260" s="1"/>
      <c r="IK260" s="1"/>
      <c r="IL260" s="1"/>
      <c r="IM260" s="1"/>
      <c r="IN260" s="1"/>
      <c r="IO260" s="1"/>
      <c r="IP260" s="1"/>
      <c r="IQ260" s="1"/>
      <c r="IR260" s="1"/>
      <c r="IS260" s="1"/>
      <c r="IT260" s="1"/>
      <c r="IU260" s="1"/>
      <c r="IV260" s="1"/>
      <c r="IW260" s="1"/>
      <c r="IX260" s="1"/>
      <c r="IY260" s="1"/>
      <c r="IZ260" s="1"/>
      <c r="JA260" s="1"/>
      <c r="JB260" s="1"/>
      <c r="JC260" s="1"/>
      <c r="JD260" s="1"/>
    </row>
    <row r="261" spans="1:264" s="347" customFormat="1" x14ac:dyDescent="0.2">
      <c r="A261" s="347" t="s">
        <v>317</v>
      </c>
      <c r="B261" s="348"/>
      <c r="BH261" s="398">
        <f>349+661</f>
        <v>1010</v>
      </c>
      <c r="BI261" s="398">
        <f>346+533</f>
        <v>879</v>
      </c>
      <c r="BJ261" s="351">
        <f>BH261+BI261</f>
        <v>1889</v>
      </c>
      <c r="BK261" s="348"/>
      <c r="BL261" s="398">
        <f>369+479</f>
        <v>848</v>
      </c>
      <c r="BM261" s="398">
        <f>384+581</f>
        <v>965</v>
      </c>
      <c r="BN261" s="351">
        <f>BL261+BM261</f>
        <v>1813</v>
      </c>
      <c r="BO261" s="348"/>
      <c r="BP261" s="398">
        <f>383+229</f>
        <v>612</v>
      </c>
      <c r="BQ261" s="398">
        <f>387+480</f>
        <v>867</v>
      </c>
      <c r="BR261" s="351">
        <f>BP261+BQ261</f>
        <v>1479</v>
      </c>
      <c r="BT261" s="398">
        <f>232+415</f>
        <v>647</v>
      </c>
      <c r="BU261" s="398">
        <f>339+431</f>
        <v>770</v>
      </c>
      <c r="BV261" s="351">
        <f>BT261+BU261</f>
        <v>1417</v>
      </c>
      <c r="BX261" s="398">
        <f>443+207</f>
        <v>650</v>
      </c>
      <c r="BY261" s="398">
        <f>451+247</f>
        <v>698</v>
      </c>
      <c r="BZ261" s="351">
        <f>BX261+BY261</f>
        <v>1348</v>
      </c>
      <c r="CB261" s="398">
        <f>433+235</f>
        <v>668</v>
      </c>
      <c r="CC261" s="398">
        <f>438+313</f>
        <v>751</v>
      </c>
      <c r="CD261" s="351">
        <f>CB261+CC261</f>
        <v>1419</v>
      </c>
      <c r="CF261" s="398">
        <f>438+244</f>
        <v>682</v>
      </c>
      <c r="CG261" s="398">
        <f>463+256</f>
        <v>719</v>
      </c>
      <c r="CH261" s="351">
        <f>CF261+CG261</f>
        <v>1401</v>
      </c>
      <c r="CJ261" s="398">
        <f>406+163</f>
        <v>569</v>
      </c>
      <c r="CK261" s="398">
        <f>357+281</f>
        <v>638</v>
      </c>
      <c r="CL261" s="351">
        <f>CJ261+CK261</f>
        <v>1207</v>
      </c>
      <c r="CN261" s="398">
        <f>300+201</f>
        <v>501</v>
      </c>
      <c r="CO261" s="398">
        <f>236+121</f>
        <v>357</v>
      </c>
      <c r="CP261" s="351">
        <f>CN261+CO261</f>
        <v>858</v>
      </c>
      <c r="CR261" s="398">
        <f>188+205</f>
        <v>393</v>
      </c>
      <c r="CS261" s="398">
        <f>155+137</f>
        <v>292</v>
      </c>
      <c r="CT261" s="351">
        <f>CR261+CS261</f>
        <v>685</v>
      </c>
      <c r="CV261" s="398">
        <f>161+267</f>
        <v>428</v>
      </c>
      <c r="CW261" s="398">
        <f>193+63</f>
        <v>256</v>
      </c>
      <c r="CX261" s="351">
        <f>CV261+CW261</f>
        <v>684</v>
      </c>
      <c r="CZ261" s="398">
        <f>236+140</f>
        <v>376</v>
      </c>
      <c r="DA261" s="398">
        <f>238+150</f>
        <v>388</v>
      </c>
      <c r="DB261" s="351">
        <f>CZ261+DA261</f>
        <v>764</v>
      </c>
      <c r="DD261" s="398">
        <v>110</v>
      </c>
      <c r="DE261" s="398">
        <v>119</v>
      </c>
      <c r="DF261" s="351">
        <f>DD261+DE261</f>
        <v>229</v>
      </c>
      <c r="DH261" s="398">
        <v>141</v>
      </c>
      <c r="DI261" s="351">
        <f ca="1">DI263-DI262-DI260-DI259-DI258-DI257</f>
        <v>498.2580058040603</v>
      </c>
      <c r="DJ261" s="351">
        <f ca="1">DH261+DI261</f>
        <v>639.2580058040603</v>
      </c>
      <c r="DL261" s="351">
        <f ca="1">DL263-DL262-DL260-DL259-DL258-DL257</f>
        <v>614.31733678788453</v>
      </c>
      <c r="DM261" s="351">
        <f ca="1">DM263-DM262-DM260-DM259-DM258-DM257</f>
        <v>637.47424980057144</v>
      </c>
      <c r="DN261" s="351">
        <f ca="1">DL261+DM261</f>
        <v>1251.7915865884561</v>
      </c>
      <c r="DP261" s="351">
        <f ca="1">DP263-DP262-DP260-DP259-DP258-DP257</f>
        <v>596.05270585912569</v>
      </c>
      <c r="DQ261" s="351">
        <f ca="1">DQ263-DQ262-DQ260-DQ259-DQ258-DQ257</f>
        <v>568.20223007016352</v>
      </c>
      <c r="DR261" s="351">
        <f ca="1">DP261+DQ261</f>
        <v>1164.2549359292893</v>
      </c>
      <c r="DT261" s="1"/>
      <c r="DU261" s="1"/>
      <c r="DV261" s="1"/>
      <c r="DW261" s="1"/>
      <c r="DX261" s="1"/>
      <c r="DY261" s="1"/>
      <c r="DZ261" s="1"/>
      <c r="EA261" s="1"/>
      <c r="EB261" s="1"/>
      <c r="EC261" s="1"/>
      <c r="ED261" s="1"/>
      <c r="EE261" s="1"/>
      <c r="EF261" s="1"/>
      <c r="EG261" s="1"/>
      <c r="EH261" s="1"/>
      <c r="EI261" s="1"/>
      <c r="EJ261" s="1"/>
      <c r="EK261" s="1"/>
      <c r="EL261" s="1"/>
      <c r="EM261" s="1"/>
      <c r="EN261" s="1"/>
      <c r="EO261" s="1"/>
      <c r="EP261" s="1"/>
      <c r="EQ261" s="1"/>
      <c r="ER261" s="1"/>
      <c r="ES261" s="1"/>
      <c r="ET261" s="1"/>
      <c r="EU261" s="1"/>
      <c r="EV261" s="1"/>
      <c r="EW261" s="1"/>
      <c r="EX261" s="1"/>
      <c r="EY261" s="1"/>
      <c r="EZ261" s="1"/>
      <c r="FA261" s="1"/>
      <c r="FB261" s="1"/>
      <c r="FC261" s="1"/>
      <c r="FD261" s="1"/>
      <c r="FE261" s="1"/>
      <c r="FF261" s="1"/>
      <c r="FG261" s="1"/>
      <c r="FH261" s="1"/>
      <c r="FI261" s="1"/>
      <c r="FJ261" s="1"/>
      <c r="FK261" s="1"/>
      <c r="FL261" s="1"/>
      <c r="FM261" s="1"/>
      <c r="FN261" s="1"/>
      <c r="FO261" s="1"/>
      <c r="FP261" s="1"/>
      <c r="FQ261" s="1"/>
      <c r="FR261" s="1"/>
      <c r="FS261" s="1"/>
      <c r="FT261" s="1"/>
      <c r="FU261" s="1"/>
      <c r="FV261" s="1"/>
      <c r="FW261" s="1"/>
      <c r="FX261" s="1"/>
      <c r="FY261" s="1"/>
      <c r="FZ261" s="1"/>
      <c r="GA261" s="1"/>
      <c r="GB261" s="1"/>
      <c r="GC261" s="1"/>
      <c r="GD261" s="1"/>
      <c r="GE261" s="1"/>
      <c r="GF261" s="1"/>
      <c r="GG261" s="1"/>
      <c r="GH261" s="1"/>
      <c r="GI261" s="1"/>
      <c r="GJ261" s="1"/>
      <c r="GK261" s="1"/>
      <c r="GL261" s="1"/>
      <c r="GM261" s="1"/>
      <c r="GN261" s="1"/>
      <c r="GO261" s="1"/>
      <c r="GP261" s="1"/>
      <c r="GQ261" s="1"/>
      <c r="GR261" s="1"/>
      <c r="GS261" s="1"/>
      <c r="GT261" s="1"/>
      <c r="GU261" s="1"/>
      <c r="GV261" s="1"/>
      <c r="GW261" s="1"/>
      <c r="GX261" s="1"/>
      <c r="GY261" s="1"/>
      <c r="GZ261" s="1"/>
      <c r="HA261" s="1"/>
      <c r="HB261" s="1"/>
      <c r="HC261" s="1"/>
      <c r="HD261" s="1"/>
      <c r="HE261" s="1"/>
      <c r="HF261" s="1"/>
      <c r="HG261" s="1"/>
      <c r="HH261" s="1"/>
      <c r="HI261" s="1"/>
      <c r="HJ261" s="1"/>
      <c r="HK261" s="1"/>
      <c r="HL261" s="1"/>
      <c r="HM261" s="1"/>
      <c r="HN261" s="1"/>
      <c r="HO261" s="1"/>
      <c r="HP261" s="1"/>
      <c r="HQ261" s="1"/>
      <c r="HR261" s="1"/>
      <c r="HS261" s="1"/>
      <c r="HT261" s="1"/>
      <c r="HU261" s="1"/>
      <c r="HV261" s="1"/>
      <c r="HW261" s="1"/>
      <c r="HX261" s="1"/>
      <c r="HY261" s="1"/>
      <c r="HZ261" s="1"/>
      <c r="IA261" s="1"/>
      <c r="IB261" s="1"/>
      <c r="IC261" s="1"/>
      <c r="ID261" s="1"/>
      <c r="IE261" s="1"/>
      <c r="IF261" s="1"/>
      <c r="IG261" s="1"/>
      <c r="IH261" s="1"/>
      <c r="II261" s="1"/>
      <c r="IJ261" s="1"/>
      <c r="IK261" s="1"/>
      <c r="IL261" s="1"/>
      <c r="IM261" s="1"/>
      <c r="IN261" s="1"/>
      <c r="IO261" s="1"/>
      <c r="IP261" s="1"/>
      <c r="IQ261" s="1"/>
      <c r="IR261" s="1"/>
      <c r="IS261" s="1"/>
      <c r="IT261" s="1"/>
      <c r="IU261" s="1"/>
      <c r="IV261" s="1"/>
      <c r="IW261" s="1"/>
      <c r="IX261" s="1"/>
      <c r="IY261" s="1"/>
      <c r="IZ261" s="1"/>
      <c r="JA261" s="1"/>
      <c r="JB261" s="1"/>
      <c r="JC261" s="1"/>
      <c r="JD261" s="1"/>
    </row>
    <row r="262" spans="1:264" s="347" customFormat="1" x14ac:dyDescent="0.2">
      <c r="A262" s="347" t="s">
        <v>318</v>
      </c>
      <c r="B262" s="348"/>
      <c r="BH262" s="351">
        <f>BH243</f>
        <v>-595</v>
      </c>
      <c r="BI262" s="351">
        <f>BI243</f>
        <v>-466</v>
      </c>
      <c r="BJ262" s="351">
        <f>BH262+BI262</f>
        <v>-1061</v>
      </c>
      <c r="BK262" s="348"/>
      <c r="BL262" s="351">
        <f>BL243</f>
        <v>-445</v>
      </c>
      <c r="BM262" s="351">
        <f>BM243</f>
        <v>-587</v>
      </c>
      <c r="BN262" s="351">
        <f>BL262+BM262</f>
        <v>-1032</v>
      </c>
      <c r="BO262" s="348"/>
      <c r="BP262" s="351">
        <f>BP243</f>
        <v>-456</v>
      </c>
      <c r="BQ262" s="351">
        <f>BQ243</f>
        <v>-549</v>
      </c>
      <c r="BR262" s="351">
        <f>BP262+BQ262</f>
        <v>-1005</v>
      </c>
      <c r="BT262" s="351">
        <f>BT243</f>
        <v>-525</v>
      </c>
      <c r="BU262" s="351">
        <f>BU243</f>
        <v>-675</v>
      </c>
      <c r="BV262" s="351">
        <f>BT262+BU262</f>
        <v>-1200</v>
      </c>
      <c r="BX262" s="351">
        <f>BX243</f>
        <v>-610</v>
      </c>
      <c r="BY262" s="351">
        <f>BY243</f>
        <v>-556</v>
      </c>
      <c r="BZ262" s="351">
        <f>BX262+BY262</f>
        <v>-1166</v>
      </c>
      <c r="CB262" s="351">
        <f>CB243</f>
        <v>-571</v>
      </c>
      <c r="CC262" s="351">
        <f>CC243</f>
        <v>-492</v>
      </c>
      <c r="CD262" s="351">
        <f>CB262+CC262</f>
        <v>-1063</v>
      </c>
      <c r="CF262" s="351">
        <f>CF243</f>
        <v>-581</v>
      </c>
      <c r="CG262" s="351">
        <f>CG243</f>
        <v>-534</v>
      </c>
      <c r="CH262" s="351">
        <f>CF262+CG262</f>
        <v>-1115</v>
      </c>
      <c r="CJ262" s="351">
        <f>CJ243</f>
        <v>-486</v>
      </c>
      <c r="CK262" s="351">
        <f>CK243</f>
        <v>-540</v>
      </c>
      <c r="CL262" s="351">
        <f>CJ262+CK262</f>
        <v>-1026</v>
      </c>
      <c r="CN262" s="351">
        <f>CN243</f>
        <v>-335</v>
      </c>
      <c r="CO262" s="351">
        <f>CO243</f>
        <v>-304</v>
      </c>
      <c r="CP262" s="351">
        <f>CN262+CO262</f>
        <v>-639</v>
      </c>
      <c r="CR262" s="351">
        <f>CR243</f>
        <v>-174</v>
      </c>
      <c r="CS262" s="351">
        <f>CS243</f>
        <v>-169</v>
      </c>
      <c r="CT262" s="351">
        <f>CR262+CS262</f>
        <v>-343</v>
      </c>
      <c r="CV262" s="351">
        <f>CV243</f>
        <v>-222</v>
      </c>
      <c r="CW262" s="351">
        <f>CW243</f>
        <v>-301</v>
      </c>
      <c r="CX262" s="351">
        <f>CV262+CW262</f>
        <v>-523</v>
      </c>
      <c r="CZ262" s="351">
        <f>CZ243</f>
        <v>-281</v>
      </c>
      <c r="DA262" s="351">
        <f>DA243</f>
        <v>-294</v>
      </c>
      <c r="DB262" s="351">
        <f>CZ262+DA262</f>
        <v>-575</v>
      </c>
      <c r="DD262" s="351">
        <f>DD243</f>
        <v>-251</v>
      </c>
      <c r="DE262" s="351">
        <f>DE243</f>
        <v>-337</v>
      </c>
      <c r="DF262" s="351">
        <f>DD262+DE262</f>
        <v>-588</v>
      </c>
      <c r="DH262" s="351">
        <f>DH243</f>
        <v>-338</v>
      </c>
      <c r="DI262" s="351">
        <f ca="1">DI243</f>
        <v>-411.35249358368139</v>
      </c>
      <c r="DJ262" s="351">
        <f ca="1">DH262+DI262</f>
        <v>-749.35249358368139</v>
      </c>
      <c r="DL262" s="351">
        <f ca="1">DL243</f>
        <v>-485.25009772822142</v>
      </c>
      <c r="DM262" s="351">
        <f ca="1">DM243</f>
        <v>-523.05710154994892</v>
      </c>
      <c r="DN262" s="351">
        <f ca="1">DL262+DM262</f>
        <v>-1008.3071992781704</v>
      </c>
      <c r="DP262" s="351">
        <f ca="1">DP243</f>
        <v>-464.42503771653548</v>
      </c>
      <c r="DQ262" s="351">
        <f ca="1">DQ243</f>
        <v>-450.86132218778187</v>
      </c>
      <c r="DR262" s="351">
        <f ca="1">DP262+DQ262</f>
        <v>-915.28635990431735</v>
      </c>
      <c r="DT262" s="1"/>
      <c r="DU262" s="1"/>
      <c r="DV262" s="1"/>
      <c r="DW262" s="1"/>
      <c r="DX262" s="1"/>
      <c r="DY262" s="1"/>
      <c r="DZ262" s="1"/>
      <c r="EA262" s="1"/>
      <c r="EB262" s="1"/>
      <c r="EC262" s="1"/>
      <c r="ED262" s="1"/>
      <c r="EE262" s="1"/>
      <c r="EF262" s="1"/>
      <c r="EG262" s="1"/>
      <c r="EH262" s="1"/>
      <c r="EI262" s="1"/>
      <c r="EJ262" s="1"/>
      <c r="EK262" s="1"/>
      <c r="EL262" s="1"/>
      <c r="EM262" s="1"/>
      <c r="EN262" s="1"/>
      <c r="EO262" s="1"/>
      <c r="EP262" s="1"/>
      <c r="EQ262" s="1"/>
      <c r="ER262" s="1"/>
      <c r="ES262" s="1"/>
      <c r="ET262" s="1"/>
      <c r="EU262" s="1"/>
      <c r="EV262" s="1"/>
      <c r="EW262" s="1"/>
      <c r="EX262" s="1"/>
      <c r="EY262" s="1"/>
      <c r="EZ262" s="1"/>
      <c r="FA262" s="1"/>
      <c r="FB262" s="1"/>
      <c r="FC262" s="1"/>
      <c r="FD262" s="1"/>
      <c r="FE262" s="1"/>
      <c r="FF262" s="1"/>
      <c r="FG262" s="1"/>
      <c r="FH262" s="1"/>
      <c r="FI262" s="1"/>
      <c r="FJ262" s="1"/>
      <c r="FK262" s="1"/>
      <c r="FL262" s="1"/>
      <c r="FM262" s="1"/>
      <c r="FN262" s="1"/>
      <c r="FO262" s="1"/>
      <c r="FP262" s="1"/>
      <c r="FQ262" s="1"/>
      <c r="FR262" s="1"/>
      <c r="FS262" s="1"/>
      <c r="FT262" s="1"/>
      <c r="FU262" s="1"/>
      <c r="FV262" s="1"/>
      <c r="FW262" s="1"/>
      <c r="FX262" s="1"/>
      <c r="FY262" s="1"/>
      <c r="FZ262" s="1"/>
      <c r="GA262" s="1"/>
      <c r="GB262" s="1"/>
      <c r="GC262" s="1"/>
      <c r="GD262" s="1"/>
      <c r="GE262" s="1"/>
      <c r="GF262" s="1"/>
      <c r="GG262" s="1"/>
      <c r="GH262" s="1"/>
      <c r="GI262" s="1"/>
      <c r="GJ262" s="1"/>
      <c r="GK262" s="1"/>
      <c r="GL262" s="1"/>
      <c r="GM262" s="1"/>
      <c r="GN262" s="1"/>
      <c r="GO262" s="1"/>
      <c r="GP262" s="1"/>
      <c r="GQ262" s="1"/>
      <c r="GR262" s="1"/>
      <c r="GS262" s="1"/>
      <c r="GT262" s="1"/>
      <c r="GU262" s="1"/>
      <c r="GV262" s="1"/>
      <c r="GW262" s="1"/>
      <c r="GX262" s="1"/>
      <c r="GY262" s="1"/>
      <c r="GZ262" s="1"/>
      <c r="HA262" s="1"/>
      <c r="HB262" s="1"/>
      <c r="HC262" s="1"/>
      <c r="HD262" s="1"/>
      <c r="HE262" s="1"/>
      <c r="HF262" s="1"/>
      <c r="HG262" s="1"/>
      <c r="HH262" s="1"/>
      <c r="HI262" s="1"/>
      <c r="HJ262" s="1"/>
      <c r="HK262" s="1"/>
      <c r="HL262" s="1"/>
      <c r="HM262" s="1"/>
      <c r="HN262" s="1"/>
      <c r="HO262" s="1"/>
      <c r="HP262" s="1"/>
      <c r="HQ262" s="1"/>
      <c r="HR262" s="1"/>
      <c r="HS262" s="1"/>
      <c r="HT262" s="1"/>
      <c r="HU262" s="1"/>
      <c r="HV262" s="1"/>
      <c r="HW262" s="1"/>
      <c r="HX262" s="1"/>
      <c r="HY262" s="1"/>
      <c r="HZ262" s="1"/>
      <c r="IA262" s="1"/>
      <c r="IB262" s="1"/>
      <c r="IC262" s="1"/>
      <c r="ID262" s="1"/>
      <c r="IE262" s="1"/>
      <c r="IF262" s="1"/>
      <c r="IG262" s="1"/>
      <c r="IH262" s="1"/>
      <c r="II262" s="1"/>
      <c r="IJ262" s="1"/>
      <c r="IK262" s="1"/>
      <c r="IL262" s="1"/>
      <c r="IM262" s="1"/>
      <c r="IN262" s="1"/>
      <c r="IO262" s="1"/>
      <c r="IP262" s="1"/>
      <c r="IQ262" s="1"/>
      <c r="IR262" s="1"/>
      <c r="IS262" s="1"/>
      <c r="IT262" s="1"/>
      <c r="IU262" s="1"/>
      <c r="IV262" s="1"/>
      <c r="IW262" s="1"/>
      <c r="IX262" s="1"/>
      <c r="IY262" s="1"/>
      <c r="IZ262" s="1"/>
      <c r="JA262" s="1"/>
      <c r="JB262" s="1"/>
      <c r="JC262" s="1"/>
      <c r="JD262" s="1"/>
    </row>
    <row r="263" spans="1:264" s="411" customFormat="1" x14ac:dyDescent="0.2">
      <c r="A263" s="411" t="s">
        <v>319</v>
      </c>
      <c r="B263" s="423"/>
      <c r="BE263" s="396">
        <v>-2008</v>
      </c>
      <c r="BF263" s="397">
        <f>BE263</f>
        <v>-2008</v>
      </c>
      <c r="BH263" s="396">
        <v>-1845</v>
      </c>
      <c r="BI263" s="396">
        <v>-1628</v>
      </c>
      <c r="BJ263" s="397">
        <f>BI263</f>
        <v>-1628</v>
      </c>
      <c r="BK263" s="423"/>
      <c r="BL263" s="396">
        <v>-1416</v>
      </c>
      <c r="BM263" s="396">
        <v>-1127</v>
      </c>
      <c r="BN263" s="397">
        <f>BM263</f>
        <v>-1127</v>
      </c>
      <c r="BO263" s="423"/>
      <c r="BP263" s="396">
        <v>-1116</v>
      </c>
      <c r="BQ263" s="396">
        <v>-887</v>
      </c>
      <c r="BR263" s="397">
        <f>BQ263</f>
        <v>-887</v>
      </c>
      <c r="BT263" s="396">
        <v>-909</v>
      </c>
      <c r="BU263" s="396">
        <v>-944</v>
      </c>
      <c r="BV263" s="397">
        <f>BU263</f>
        <v>-944</v>
      </c>
      <c r="BX263" s="396">
        <v>-1017</v>
      </c>
      <c r="BY263" s="396">
        <v>-980</v>
      </c>
      <c r="BZ263" s="397">
        <f>BY263</f>
        <v>-980</v>
      </c>
      <c r="CB263" s="396">
        <v>-978</v>
      </c>
      <c r="CC263" s="396">
        <v>-870</v>
      </c>
      <c r="CD263" s="397">
        <f>CC263</f>
        <v>-870</v>
      </c>
      <c r="CF263" s="396">
        <v>-920</v>
      </c>
      <c r="CG263" s="396">
        <v>-895</v>
      </c>
      <c r="CH263" s="397">
        <f>CG263</f>
        <v>-895</v>
      </c>
      <c r="CJ263" s="396">
        <v>-959</v>
      </c>
      <c r="CK263" s="396">
        <v>-967</v>
      </c>
      <c r="CL263" s="397">
        <f>CK263</f>
        <v>-967</v>
      </c>
      <c r="CN263" s="396">
        <v>-872</v>
      </c>
      <c r="CO263" s="396">
        <v>-900</v>
      </c>
      <c r="CP263" s="397">
        <f>CO263</f>
        <v>-900</v>
      </c>
      <c r="CR263" s="396">
        <v>-792</v>
      </c>
      <c r="CS263" s="396">
        <v>-736</v>
      </c>
      <c r="CT263" s="397">
        <f>CS263</f>
        <v>-736</v>
      </c>
      <c r="CV263" s="396">
        <v>-641</v>
      </c>
      <c r="CW263" s="396">
        <v>-754</v>
      </c>
      <c r="CX263" s="397">
        <f>CW263</f>
        <v>-754</v>
      </c>
      <c r="CZ263" s="396">
        <v>-733</v>
      </c>
      <c r="DA263" s="396">
        <v>-712</v>
      </c>
      <c r="DB263" s="397">
        <f>DA263</f>
        <v>-712</v>
      </c>
      <c r="DD263" s="396">
        <v>-735</v>
      </c>
      <c r="DE263" s="396">
        <v>-816</v>
      </c>
      <c r="DF263" s="397">
        <f>DE263</f>
        <v>-816</v>
      </c>
      <c r="DH263" s="396">
        <v>-793</v>
      </c>
      <c r="DI263" s="397">
        <f>-DI278*DI223</f>
        <v>-849.9209977100794</v>
      </c>
      <c r="DJ263" s="397">
        <f>DI263</f>
        <v>-849.9209977100794</v>
      </c>
      <c r="DL263" s="397">
        <f>-DL278*DL223</f>
        <v>-875.00403710849162</v>
      </c>
      <c r="DM263" s="397">
        <f>-DM278*DM223</f>
        <v>-919.28648133249146</v>
      </c>
      <c r="DN263" s="397">
        <f>DM263</f>
        <v>-919.28648133249146</v>
      </c>
      <c r="DP263" s="397">
        <f>-DP278*DP223</f>
        <v>-954.38991815371412</v>
      </c>
      <c r="DQ263" s="397">
        <f>-DQ278*DQ223</f>
        <v>-1010.1468299949951</v>
      </c>
      <c r="DR263" s="397">
        <f>DQ263</f>
        <v>-1010.1468299949951</v>
      </c>
      <c r="DT263" s="1"/>
      <c r="DU263" s="1"/>
      <c r="DV263" s="1"/>
      <c r="DW263" s="1"/>
      <c r="DX263" s="1"/>
      <c r="DY263" s="1"/>
      <c r="DZ263" s="1"/>
      <c r="EA263" s="1"/>
      <c r="EB263" s="1"/>
      <c r="EC263" s="1"/>
      <c r="ED263" s="1"/>
      <c r="EE263" s="1"/>
      <c r="EF263" s="1"/>
      <c r="EG263" s="1"/>
      <c r="EH263" s="1"/>
      <c r="EI263" s="1"/>
      <c r="EJ263" s="1"/>
      <c r="EK263" s="1"/>
      <c r="EL263" s="1"/>
      <c r="EM263" s="1"/>
      <c r="EN263" s="1"/>
      <c r="EO263" s="1"/>
      <c r="EP263" s="1"/>
      <c r="EQ263" s="1"/>
      <c r="ER263" s="1"/>
      <c r="ES263" s="1"/>
      <c r="ET263" s="1"/>
      <c r="EU263" s="1"/>
      <c r="EV263" s="1"/>
      <c r="EW263" s="1"/>
      <c r="EX263" s="1"/>
      <c r="EY263" s="1"/>
      <c r="EZ263" s="1"/>
      <c r="FA263" s="1"/>
      <c r="FB263" s="1"/>
      <c r="FC263" s="1"/>
      <c r="FD263" s="1"/>
      <c r="FE263" s="1"/>
      <c r="FF263" s="1"/>
      <c r="FG263" s="1"/>
      <c r="FH263" s="1"/>
      <c r="FI263" s="1"/>
      <c r="FJ263" s="1"/>
      <c r="FK263" s="1"/>
      <c r="FL263" s="1"/>
      <c r="FM263" s="1"/>
      <c r="FN263" s="1"/>
      <c r="FO263" s="1"/>
      <c r="FP263" s="1"/>
      <c r="FQ263" s="1"/>
      <c r="FR263" s="1"/>
      <c r="FS263" s="1"/>
      <c r="FT263" s="1"/>
      <c r="FU263" s="1"/>
      <c r="FV263" s="1"/>
      <c r="FW263" s="1"/>
      <c r="FX263" s="1"/>
      <c r="FY263" s="1"/>
      <c r="FZ263" s="1"/>
      <c r="GA263" s="1"/>
      <c r="GB263" s="1"/>
      <c r="GC263" s="1"/>
      <c r="GD263" s="1"/>
      <c r="GE263" s="1"/>
      <c r="GF263" s="1"/>
      <c r="GG263" s="1"/>
      <c r="GH263" s="1"/>
      <c r="GI263" s="1"/>
      <c r="GJ263" s="1"/>
      <c r="GK263" s="1"/>
      <c r="GL263" s="1"/>
      <c r="GM263" s="1"/>
      <c r="GN263" s="1"/>
      <c r="GO263" s="1"/>
      <c r="GP263" s="1"/>
      <c r="GQ263" s="1"/>
      <c r="GR263" s="1"/>
      <c r="GS263" s="1"/>
      <c r="GT263" s="1"/>
      <c r="GU263" s="1"/>
      <c r="GV263" s="1"/>
      <c r="GW263" s="1"/>
      <c r="GX263" s="1"/>
      <c r="GY263" s="1"/>
      <c r="GZ263" s="1"/>
      <c r="HA263" s="1"/>
      <c r="HB263" s="1"/>
      <c r="HC263" s="1"/>
      <c r="HD263" s="1"/>
      <c r="HE263" s="1"/>
      <c r="HF263" s="1"/>
      <c r="HG263" s="1"/>
      <c r="HH263" s="1"/>
      <c r="HI263" s="1"/>
      <c r="HJ263" s="1"/>
      <c r="HK263" s="1"/>
      <c r="HL263" s="1"/>
      <c r="HM263" s="1"/>
      <c r="HN263" s="1"/>
      <c r="HO263" s="1"/>
      <c r="HP263" s="1"/>
      <c r="HQ263" s="1"/>
      <c r="HR263" s="1"/>
      <c r="HS263" s="1"/>
      <c r="HT263" s="1"/>
      <c r="HU263" s="1"/>
      <c r="HV263" s="1"/>
      <c r="HW263" s="1"/>
      <c r="HX263" s="1"/>
      <c r="HY263" s="1"/>
      <c r="HZ263" s="1"/>
      <c r="IA263" s="1"/>
      <c r="IB263" s="1"/>
      <c r="IC263" s="1"/>
      <c r="ID263" s="1"/>
      <c r="IE263" s="1"/>
      <c r="IF263" s="1"/>
      <c r="IG263" s="1"/>
      <c r="IH263" s="1"/>
      <c r="II263" s="1"/>
      <c r="IJ263" s="1"/>
      <c r="IK263" s="1"/>
      <c r="IL263" s="1"/>
      <c r="IM263" s="1"/>
      <c r="IN263" s="1"/>
      <c r="IO263" s="1"/>
      <c r="IP263" s="1"/>
      <c r="IQ263" s="1"/>
      <c r="IR263" s="1"/>
      <c r="IS263" s="1"/>
      <c r="IT263" s="1"/>
      <c r="IU263" s="1"/>
      <c r="IV263" s="1"/>
      <c r="IW263" s="1"/>
      <c r="IX263" s="1"/>
      <c r="IY263" s="1"/>
      <c r="IZ263" s="1"/>
      <c r="JA263" s="1"/>
      <c r="JB263" s="1"/>
      <c r="JC263" s="1"/>
      <c r="JD263" s="1"/>
    </row>
    <row r="264" spans="1:264" s="347" customFormat="1" x14ac:dyDescent="0.2">
      <c r="B264" s="348"/>
      <c r="BH264" s="398"/>
      <c r="BI264" s="398"/>
      <c r="BJ264" s="351"/>
      <c r="BK264" s="348"/>
      <c r="BL264" s="398"/>
      <c r="BM264" s="398"/>
      <c r="BN264" s="351"/>
      <c r="BO264" s="348"/>
      <c r="BP264" s="398"/>
      <c r="BQ264" s="398"/>
      <c r="BR264" s="351"/>
      <c r="BT264" s="398"/>
      <c r="BU264" s="398"/>
      <c r="BV264" s="351"/>
      <c r="BX264" s="398"/>
      <c r="BY264" s="398"/>
      <c r="BZ264" s="351"/>
      <c r="CB264" s="398"/>
      <c r="CC264" s="398"/>
      <c r="CD264" s="351"/>
      <c r="CF264" s="398"/>
      <c r="CG264" s="398"/>
      <c r="CH264" s="351"/>
      <c r="CJ264" s="398"/>
      <c r="CK264" s="398"/>
      <c r="CL264" s="351"/>
      <c r="CN264" s="398"/>
      <c r="CO264" s="398"/>
      <c r="CP264" s="351"/>
      <c r="CR264" s="398"/>
      <c r="CS264" s="398"/>
      <c r="CT264" s="351"/>
      <c r="CV264" s="398"/>
      <c r="CW264" s="398"/>
      <c r="CX264" s="351"/>
      <c r="CZ264" s="398"/>
      <c r="DA264" s="398"/>
      <c r="DB264" s="351"/>
      <c r="DD264" s="398"/>
      <c r="DE264" s="398"/>
      <c r="DF264" s="351"/>
      <c r="DH264" s="398"/>
      <c r="DI264" s="351"/>
      <c r="DJ264" s="351"/>
      <c r="DL264" s="351"/>
      <c r="DM264" s="351"/>
      <c r="DN264" s="351"/>
      <c r="DP264" s="351"/>
      <c r="DQ264" s="351"/>
      <c r="DR264" s="351"/>
      <c r="DT264" s="1"/>
      <c r="DU264" s="1"/>
      <c r="DV264" s="1"/>
      <c r="DW264" s="1"/>
      <c r="DX264" s="1"/>
      <c r="DY264" s="1"/>
      <c r="DZ264" s="1"/>
      <c r="EA264" s="1"/>
      <c r="EB264" s="1"/>
      <c r="EC264" s="1"/>
      <c r="ED264" s="1"/>
      <c r="EE264" s="1"/>
      <c r="EF264" s="1"/>
      <c r="EG264" s="1"/>
      <c r="EH264" s="1"/>
      <c r="EI264" s="1"/>
      <c r="EJ264" s="1"/>
      <c r="EK264" s="1"/>
      <c r="EL264" s="1"/>
      <c r="EM264" s="1"/>
      <c r="EN264" s="1"/>
      <c r="EO264" s="1"/>
      <c r="EP264" s="1"/>
      <c r="EQ264" s="1"/>
      <c r="ER264" s="1"/>
      <c r="ES264" s="1"/>
      <c r="ET264" s="1"/>
      <c r="EU264" s="1"/>
      <c r="EV264" s="1"/>
      <c r="EW264" s="1"/>
      <c r="EX264" s="1"/>
      <c r="EY264" s="1"/>
      <c r="EZ264" s="1"/>
      <c r="FA264" s="1"/>
      <c r="FB264" s="1"/>
      <c r="FC264" s="1"/>
      <c r="FD264" s="1"/>
      <c r="FE264" s="1"/>
      <c r="FF264" s="1"/>
      <c r="FG264" s="1"/>
      <c r="FH264" s="1"/>
      <c r="FI264" s="1"/>
      <c r="FJ264" s="1"/>
      <c r="FK264" s="1"/>
      <c r="FL264" s="1"/>
      <c r="FM264" s="1"/>
      <c r="FN264" s="1"/>
      <c r="FO264" s="1"/>
      <c r="FP264" s="1"/>
      <c r="FQ264" s="1"/>
      <c r="FR264" s="1"/>
      <c r="FS264" s="1"/>
      <c r="FT264" s="1"/>
      <c r="FU264" s="1"/>
      <c r="FV264" s="1"/>
      <c r="FW264" s="1"/>
      <c r="FX264" s="1"/>
      <c r="FY264" s="1"/>
      <c r="FZ264" s="1"/>
      <c r="GA264" s="1"/>
      <c r="GB264" s="1"/>
      <c r="GC264" s="1"/>
      <c r="GD264" s="1"/>
      <c r="GE264" s="1"/>
      <c r="GF264" s="1"/>
      <c r="GG264" s="1"/>
      <c r="GH264" s="1"/>
      <c r="GI264" s="1"/>
      <c r="GJ264" s="1"/>
      <c r="GK264" s="1"/>
      <c r="GL264" s="1"/>
      <c r="GM264" s="1"/>
      <c r="GN264" s="1"/>
      <c r="GO264" s="1"/>
      <c r="GP264" s="1"/>
      <c r="GQ264" s="1"/>
      <c r="GR264" s="1"/>
      <c r="GS264" s="1"/>
      <c r="GT264" s="1"/>
      <c r="GU264" s="1"/>
      <c r="GV264" s="1"/>
      <c r="GW264" s="1"/>
      <c r="GX264" s="1"/>
      <c r="GY264" s="1"/>
      <c r="GZ264" s="1"/>
      <c r="HA264" s="1"/>
      <c r="HB264" s="1"/>
      <c r="HC264" s="1"/>
      <c r="HD264" s="1"/>
      <c r="HE264" s="1"/>
      <c r="HF264" s="1"/>
      <c r="HG264" s="1"/>
      <c r="HH264" s="1"/>
      <c r="HI264" s="1"/>
      <c r="HJ264" s="1"/>
      <c r="HK264" s="1"/>
      <c r="HL264" s="1"/>
      <c r="HM264" s="1"/>
      <c r="HN264" s="1"/>
      <c r="HO264" s="1"/>
      <c r="HP264" s="1"/>
      <c r="HQ264" s="1"/>
      <c r="HR264" s="1"/>
      <c r="HS264" s="1"/>
      <c r="HT264" s="1"/>
      <c r="HU264" s="1"/>
      <c r="HV264" s="1"/>
      <c r="HW264" s="1"/>
      <c r="HX264" s="1"/>
      <c r="HY264" s="1"/>
      <c r="HZ264" s="1"/>
      <c r="IA264" s="1"/>
      <c r="IB264" s="1"/>
      <c r="IC264" s="1"/>
      <c r="ID264" s="1"/>
      <c r="IE264" s="1"/>
      <c r="IF264" s="1"/>
      <c r="IG264" s="1"/>
      <c r="IH264" s="1"/>
      <c r="II264" s="1"/>
      <c r="IJ264" s="1"/>
      <c r="IK264" s="1"/>
      <c r="IL264" s="1"/>
      <c r="IM264" s="1"/>
      <c r="IN264" s="1"/>
      <c r="IO264" s="1"/>
      <c r="IP264" s="1"/>
      <c r="IQ264" s="1"/>
      <c r="IR264" s="1"/>
      <c r="IS264" s="1"/>
      <c r="IT264" s="1"/>
      <c r="IU264" s="1"/>
      <c r="IV264" s="1"/>
      <c r="IW264" s="1"/>
      <c r="IX264" s="1"/>
      <c r="IY264" s="1"/>
      <c r="IZ264" s="1"/>
      <c r="JA264" s="1"/>
      <c r="JB264" s="1"/>
      <c r="JC264" s="1"/>
      <c r="JD264" s="1"/>
    </row>
    <row r="265" spans="1:264" s="347" customFormat="1" x14ac:dyDescent="0.2">
      <c r="A265" s="411" t="s">
        <v>320</v>
      </c>
      <c r="B265" s="348"/>
      <c r="BH265" s="397">
        <f>BH263+BH251</f>
        <v>-4703</v>
      </c>
      <c r="BI265" s="397">
        <f>BI263+BI251</f>
        <v>-4486</v>
      </c>
      <c r="BJ265" s="397">
        <f>BJ263+BJ251</f>
        <v>-4486</v>
      </c>
      <c r="BK265" s="348"/>
      <c r="BL265" s="397">
        <f>BL263+BL251</f>
        <v>-4286</v>
      </c>
      <c r="BM265" s="397">
        <f>BM263+BM251</f>
        <v>-3906</v>
      </c>
      <c r="BN265" s="397">
        <f>BN263+BN251</f>
        <v>-3906</v>
      </c>
      <c r="BO265" s="348"/>
      <c r="BP265" s="397">
        <f>BP263+BP251</f>
        <v>-3879</v>
      </c>
      <c r="BQ265" s="397">
        <f>BQ263+BQ251</f>
        <v>-3649</v>
      </c>
      <c r="BR265" s="397">
        <f>BR263+BR251</f>
        <v>-3649</v>
      </c>
      <c r="BT265" s="397">
        <f>BT263+BT251</f>
        <v>-3710</v>
      </c>
      <c r="BU265" s="397">
        <f>BU263+BU251</f>
        <v>-3762</v>
      </c>
      <c r="BV265" s="397">
        <f>BV263+BV251</f>
        <v>-3762</v>
      </c>
      <c r="BX265" s="397">
        <f>BX263+BX251</f>
        <v>-3824</v>
      </c>
      <c r="BY265" s="397">
        <f>BY263+BY251</f>
        <v>-3727</v>
      </c>
      <c r="BZ265" s="397">
        <f>BZ263+BZ251</f>
        <v>-3727</v>
      </c>
      <c r="CB265" s="397">
        <f>CB263+CB251</f>
        <v>-3750</v>
      </c>
      <c r="CC265" s="397">
        <f>CC263+CC251</f>
        <v>-3633</v>
      </c>
      <c r="CD265" s="397">
        <f>CD263+CD251</f>
        <v>-3633</v>
      </c>
      <c r="CF265" s="397">
        <f>CF263+CF251</f>
        <v>-4734</v>
      </c>
      <c r="CG265" s="397">
        <f>CG263+CG251</f>
        <v>-4799</v>
      </c>
      <c r="CH265" s="397">
        <f>CH263+CH251</f>
        <v>-4799</v>
      </c>
      <c r="CJ265" s="397">
        <f>CJ263+CJ251</f>
        <v>-5026</v>
      </c>
      <c r="CK265" s="397">
        <f>CK263+CK251</f>
        <v>-6363</v>
      </c>
      <c r="CL265" s="397">
        <f>CL263+CL251</f>
        <v>-6363</v>
      </c>
      <c r="CN265" s="397">
        <f>CN263+CN251</f>
        <v>-6815</v>
      </c>
      <c r="CO265" s="397">
        <f>CO263+CO251</f>
        <v>-6211</v>
      </c>
      <c r="CP265" s="397">
        <f>CP263+CP251</f>
        <v>-6211</v>
      </c>
      <c r="CR265" s="397">
        <f>CR263+CR251</f>
        <v>-5854</v>
      </c>
      <c r="CS265" s="397">
        <f>CS263+CS251</f>
        <v>-5347</v>
      </c>
      <c r="CT265" s="397">
        <f>CT263+CT251</f>
        <v>-5347</v>
      </c>
      <c r="CV265" s="397">
        <f>CV263+CV251</f>
        <v>-5541</v>
      </c>
      <c r="CW265" s="397">
        <f>CW263+CW251</f>
        <v>-5950</v>
      </c>
      <c r="CX265" s="397">
        <f>CX263+CX251</f>
        <v>-5950</v>
      </c>
      <c r="CZ265" s="397">
        <f>CZ263+CZ251</f>
        <v>-6063</v>
      </c>
      <c r="DA265" s="397">
        <f>DA263+DA251</f>
        <v>-6135</v>
      </c>
      <c r="DB265" s="397">
        <f>DB263+DB251</f>
        <v>-6135</v>
      </c>
      <c r="DD265" s="397">
        <f>DD263+DD251</f>
        <v>-6227</v>
      </c>
      <c r="DE265" s="397">
        <f>DE263+DE251</f>
        <v>-6377</v>
      </c>
      <c r="DF265" s="397">
        <f>DF263+DF251</f>
        <v>-6377</v>
      </c>
      <c r="DH265" s="397">
        <f>DH263+DH251</f>
        <v>-6335</v>
      </c>
      <c r="DI265" s="397">
        <f ca="1">DI263+DI251</f>
        <v>-6411.2248826337445</v>
      </c>
      <c r="DJ265" s="397">
        <f ca="1">DJ263+DJ251</f>
        <v>-6411.2248826337445</v>
      </c>
      <c r="DL265" s="397">
        <f ca="1">DL263+DL251</f>
        <v>-6458.0241290668901</v>
      </c>
      <c r="DM265" s="397">
        <f ca="1">DM263+DM251</f>
        <v>-6550.5996359222008</v>
      </c>
      <c r="DN265" s="397">
        <f ca="1">DN263+DN251</f>
        <v>-6550.5996359222008</v>
      </c>
      <c r="DP265" s="397">
        <f ca="1">DP263+DP251</f>
        <v>-6714.0599425037935</v>
      </c>
      <c r="DQ265" s="397">
        <f ca="1">DQ263+DQ251</f>
        <v>-6920.0233941305523</v>
      </c>
      <c r="DR265" s="397">
        <f ca="1">DR263+DR251</f>
        <v>-6920.0233941305523</v>
      </c>
      <c r="DT265" s="1"/>
      <c r="DU265" s="1"/>
      <c r="DV265" s="1"/>
      <c r="DW265" s="1"/>
      <c r="DX265" s="1"/>
      <c r="DY265" s="1"/>
      <c r="DZ265" s="1"/>
      <c r="EA265" s="1"/>
      <c r="EB265" s="1"/>
      <c r="EC265" s="1"/>
      <c r="ED265" s="1"/>
      <c r="EE265" s="1"/>
      <c r="EF265" s="1"/>
      <c r="EG265" s="1"/>
      <c r="EH265" s="1"/>
      <c r="EI265" s="1"/>
      <c r="EJ265" s="1"/>
      <c r="EK265" s="1"/>
      <c r="EL265" s="1"/>
      <c r="EM265" s="1"/>
      <c r="EN265" s="1"/>
      <c r="EO265" s="1"/>
      <c r="EP265" s="1"/>
      <c r="EQ265" s="1"/>
      <c r="ER265" s="1"/>
      <c r="ES265" s="1"/>
      <c r="ET265" s="1"/>
      <c r="EU265" s="1"/>
      <c r="EV265" s="1"/>
      <c r="EW265" s="1"/>
      <c r="EX265" s="1"/>
      <c r="EY265" s="1"/>
      <c r="EZ265" s="1"/>
      <c r="FA265" s="1"/>
      <c r="FB265" s="1"/>
      <c r="FC265" s="1"/>
      <c r="FD265" s="1"/>
      <c r="FE265" s="1"/>
      <c r="FF265" s="1"/>
      <c r="FG265" s="1"/>
      <c r="FH265" s="1"/>
      <c r="FI265" s="1"/>
      <c r="FJ265" s="1"/>
      <c r="FK265" s="1"/>
      <c r="FL265" s="1"/>
      <c r="FM265" s="1"/>
      <c r="FN265" s="1"/>
      <c r="FO265" s="1"/>
      <c r="FP265" s="1"/>
      <c r="FQ265" s="1"/>
      <c r="FR265" s="1"/>
      <c r="FS265" s="1"/>
      <c r="FT265" s="1"/>
      <c r="FU265" s="1"/>
      <c r="FV265" s="1"/>
      <c r="FW265" s="1"/>
      <c r="FX265" s="1"/>
      <c r="FY265" s="1"/>
      <c r="FZ265" s="1"/>
      <c r="GA265" s="1"/>
      <c r="GB265" s="1"/>
      <c r="GC265" s="1"/>
      <c r="GD265" s="1"/>
      <c r="GE265" s="1"/>
      <c r="GF265" s="1"/>
      <c r="GG265" s="1"/>
      <c r="GH265" s="1"/>
      <c r="GI265" s="1"/>
      <c r="GJ265" s="1"/>
      <c r="GK265" s="1"/>
      <c r="GL265" s="1"/>
      <c r="GM265" s="1"/>
      <c r="GN265" s="1"/>
      <c r="GO265" s="1"/>
      <c r="GP265" s="1"/>
      <c r="GQ265" s="1"/>
      <c r="GR265" s="1"/>
      <c r="GS265" s="1"/>
      <c r="GT265" s="1"/>
      <c r="GU265" s="1"/>
      <c r="GV265" s="1"/>
      <c r="GW265" s="1"/>
      <c r="GX265" s="1"/>
      <c r="GY265" s="1"/>
      <c r="GZ265" s="1"/>
      <c r="HA265" s="1"/>
      <c r="HB265" s="1"/>
      <c r="HC265" s="1"/>
      <c r="HD265" s="1"/>
      <c r="HE265" s="1"/>
      <c r="HF265" s="1"/>
      <c r="HG265" s="1"/>
      <c r="HH265" s="1"/>
      <c r="HI265" s="1"/>
      <c r="HJ265" s="1"/>
      <c r="HK265" s="1"/>
      <c r="HL265" s="1"/>
      <c r="HM265" s="1"/>
      <c r="HN265" s="1"/>
      <c r="HO265" s="1"/>
      <c r="HP265" s="1"/>
      <c r="HQ265" s="1"/>
      <c r="HR265" s="1"/>
      <c r="HS265" s="1"/>
      <c r="HT265" s="1"/>
      <c r="HU265" s="1"/>
      <c r="HV265" s="1"/>
      <c r="HW265" s="1"/>
      <c r="HX265" s="1"/>
      <c r="HY265" s="1"/>
      <c r="HZ265" s="1"/>
      <c r="IA265" s="1"/>
      <c r="IB265" s="1"/>
      <c r="IC265" s="1"/>
      <c r="ID265" s="1"/>
      <c r="IE265" s="1"/>
      <c r="IF265" s="1"/>
      <c r="IG265" s="1"/>
      <c r="IH265" s="1"/>
      <c r="II265" s="1"/>
      <c r="IJ265" s="1"/>
      <c r="IK265" s="1"/>
      <c r="IL265" s="1"/>
      <c r="IM265" s="1"/>
      <c r="IN265" s="1"/>
      <c r="IO265" s="1"/>
      <c r="IP265" s="1"/>
      <c r="IQ265" s="1"/>
      <c r="IR265" s="1"/>
      <c r="IS265" s="1"/>
      <c r="IT265" s="1"/>
      <c r="IU265" s="1"/>
      <c r="IV265" s="1"/>
      <c r="IW265" s="1"/>
      <c r="IX265" s="1"/>
      <c r="IY265" s="1"/>
      <c r="IZ265" s="1"/>
      <c r="JA265" s="1"/>
      <c r="JB265" s="1"/>
      <c r="JC265" s="1"/>
      <c r="JD265" s="1"/>
    </row>
    <row r="266" spans="1:264" s="347" customFormat="1" x14ac:dyDescent="0.2">
      <c r="A266" s="347" t="s">
        <v>321</v>
      </c>
      <c r="B266" s="348"/>
      <c r="BH266" s="398">
        <f>-969-762</f>
        <v>-1731</v>
      </c>
      <c r="BI266" s="398">
        <f>-900-755</f>
        <v>-1655</v>
      </c>
      <c r="BJ266" s="351">
        <f>BI266</f>
        <v>-1655</v>
      </c>
      <c r="BK266" s="348"/>
      <c r="BL266" s="398">
        <f>-841-695</f>
        <v>-1536</v>
      </c>
      <c r="BM266" s="398">
        <f>-802-651</f>
        <v>-1453</v>
      </c>
      <c r="BN266" s="351">
        <f>BM266</f>
        <v>-1453</v>
      </c>
      <c r="BO266" s="348"/>
      <c r="BP266" s="398">
        <f>-790-694</f>
        <v>-1484</v>
      </c>
      <c r="BQ266" s="398">
        <f>-756-592</f>
        <v>-1348</v>
      </c>
      <c r="BR266" s="351">
        <f>BQ266</f>
        <v>-1348</v>
      </c>
      <c r="BT266" s="398">
        <f>-722-540</f>
        <v>-1262</v>
      </c>
      <c r="BU266" s="398">
        <f>-701-482</f>
        <v>-1183</v>
      </c>
      <c r="BV266" s="351">
        <f>BU266</f>
        <v>-1183</v>
      </c>
      <c r="BX266" s="398">
        <f>-689-427</f>
        <v>-1116</v>
      </c>
      <c r="BY266" s="398">
        <f>-681-403</f>
        <v>-1084</v>
      </c>
      <c r="BZ266" s="351">
        <f>BY266</f>
        <v>-1084</v>
      </c>
      <c r="CB266" s="398">
        <f>-677-380</f>
        <v>-1057</v>
      </c>
      <c r="CC266" s="398">
        <f>-692-367</f>
        <v>-1059</v>
      </c>
      <c r="CD266" s="351">
        <f>CC266</f>
        <v>-1059</v>
      </c>
      <c r="CF266" s="398">
        <f>-792-427</f>
        <v>-1219</v>
      </c>
      <c r="CG266" s="398">
        <f>-739-386</f>
        <v>-1125</v>
      </c>
      <c r="CH266" s="351">
        <f>CG266</f>
        <v>-1125</v>
      </c>
      <c r="CJ266" s="398">
        <f>-667-313</f>
        <v>-980</v>
      </c>
      <c r="CK266" s="398">
        <f>-627-257</f>
        <v>-884</v>
      </c>
      <c r="CL266" s="351">
        <f>CK266</f>
        <v>-884</v>
      </c>
      <c r="CN266" s="398">
        <f>-639-213</f>
        <v>-852</v>
      </c>
      <c r="CO266" s="398">
        <f>-622-188</f>
        <v>-810</v>
      </c>
      <c r="CP266" s="351">
        <f>CO266</f>
        <v>-810</v>
      </c>
      <c r="CR266" s="399">
        <f>-622-183</f>
        <v>-805</v>
      </c>
      <c r="CS266" s="398">
        <f>-680-199</f>
        <v>-879</v>
      </c>
      <c r="CT266" s="351">
        <f>CS266</f>
        <v>-879</v>
      </c>
      <c r="CV266" s="399">
        <f>-868-239</f>
        <v>-1107</v>
      </c>
      <c r="CW266" s="398">
        <f>-1089-289</f>
        <v>-1378</v>
      </c>
      <c r="CX266" s="351">
        <f>CW266</f>
        <v>-1378</v>
      </c>
      <c r="CZ266" s="399">
        <f>-1241-369</f>
        <v>-1610</v>
      </c>
      <c r="DA266" s="398">
        <f>-1363-463</f>
        <v>-1826</v>
      </c>
      <c r="DB266" s="351">
        <f>DA266</f>
        <v>-1826</v>
      </c>
      <c r="DD266" s="399">
        <f>-1427-524</f>
        <v>-1951</v>
      </c>
      <c r="DE266" s="398">
        <f>-1408-546</f>
        <v>-1954</v>
      </c>
      <c r="DF266" s="351">
        <f>DE266</f>
        <v>-1954</v>
      </c>
      <c r="DH266" s="399">
        <f>-1413-549</f>
        <v>-1962</v>
      </c>
      <c r="DI266" s="351">
        <f>-DI187*DI279</f>
        <v>-2030.4096533681115</v>
      </c>
      <c r="DJ266" s="351">
        <f>DI266</f>
        <v>-2030.4096533681115</v>
      </c>
      <c r="DL266" s="351">
        <f>-DL187*DL279</f>
        <v>-2089.9702789108605</v>
      </c>
      <c r="DM266" s="351">
        <f>-DM187*DM279</f>
        <v>-2154.9893543021931</v>
      </c>
      <c r="DN266" s="351">
        <f>DM266</f>
        <v>-2154.9893543021931</v>
      </c>
      <c r="DP266" s="351">
        <f>-DP187*DP279</f>
        <v>-2205.396521632535</v>
      </c>
      <c r="DQ266" s="351">
        <f>-DQ187*DQ279</f>
        <v>-2260.7976237029125</v>
      </c>
      <c r="DR266" s="351">
        <f>DQ266</f>
        <v>-2260.7976237029125</v>
      </c>
      <c r="DT266" s="1"/>
      <c r="DU266" s="1"/>
      <c r="DV266" s="1"/>
      <c r="DW266" s="1"/>
      <c r="DX266" s="1"/>
      <c r="DY266" s="1"/>
      <c r="DZ266" s="1"/>
      <c r="EA266" s="1"/>
      <c r="EB266" s="1"/>
      <c r="EC266" s="1"/>
      <c r="ED266" s="1"/>
      <c r="EE266" s="1"/>
      <c r="EF266" s="1"/>
      <c r="EG266" s="1"/>
      <c r="EH266" s="1"/>
      <c r="EI266" s="1"/>
      <c r="EJ266" s="1"/>
      <c r="EK266" s="1"/>
      <c r="EL266" s="1"/>
      <c r="EM266" s="1"/>
      <c r="EN266" s="1"/>
      <c r="EO266" s="1"/>
      <c r="EP266" s="1"/>
      <c r="EQ266" s="1"/>
      <c r="ER266" s="1"/>
      <c r="ES266" s="1"/>
      <c r="ET266" s="1"/>
      <c r="EU266" s="1"/>
      <c r="EV266" s="1"/>
      <c r="EW266" s="1"/>
      <c r="EX266" s="1"/>
      <c r="EY266" s="1"/>
      <c r="EZ266" s="1"/>
      <c r="FA266" s="1"/>
      <c r="FB266" s="1"/>
      <c r="FC266" s="1"/>
      <c r="FD266" s="1"/>
      <c r="FE266" s="1"/>
      <c r="FF266" s="1"/>
      <c r="FG266" s="1"/>
      <c r="FH266" s="1"/>
      <c r="FI266" s="1"/>
      <c r="FJ266" s="1"/>
      <c r="FK266" s="1"/>
      <c r="FL266" s="1"/>
      <c r="FM266" s="1"/>
      <c r="FN266" s="1"/>
      <c r="FO266" s="1"/>
      <c r="FP266" s="1"/>
      <c r="FQ266" s="1"/>
      <c r="FR266" s="1"/>
      <c r="FS266" s="1"/>
      <c r="FT266" s="1"/>
      <c r="FU266" s="1"/>
      <c r="FV266" s="1"/>
      <c r="FW266" s="1"/>
      <c r="FX266" s="1"/>
      <c r="FY266" s="1"/>
      <c r="FZ266" s="1"/>
      <c r="GA266" s="1"/>
      <c r="GB266" s="1"/>
      <c r="GC266" s="1"/>
      <c r="GD266" s="1"/>
      <c r="GE266" s="1"/>
      <c r="GF266" s="1"/>
      <c r="GG266" s="1"/>
      <c r="GH266" s="1"/>
      <c r="GI266" s="1"/>
      <c r="GJ266" s="1"/>
      <c r="GK266" s="1"/>
      <c r="GL266" s="1"/>
      <c r="GM266" s="1"/>
      <c r="GN266" s="1"/>
      <c r="GO266" s="1"/>
      <c r="GP266" s="1"/>
      <c r="GQ266" s="1"/>
      <c r="GR266" s="1"/>
      <c r="GS266" s="1"/>
      <c r="GT266" s="1"/>
      <c r="GU266" s="1"/>
      <c r="GV266" s="1"/>
      <c r="GW266" s="1"/>
      <c r="GX266" s="1"/>
      <c r="GY266" s="1"/>
      <c r="GZ266" s="1"/>
      <c r="HA266" s="1"/>
      <c r="HB266" s="1"/>
      <c r="HC266" s="1"/>
      <c r="HD266" s="1"/>
      <c r="HE266" s="1"/>
      <c r="HF266" s="1"/>
      <c r="HG266" s="1"/>
      <c r="HH266" s="1"/>
      <c r="HI266" s="1"/>
      <c r="HJ266" s="1"/>
      <c r="HK266" s="1"/>
      <c r="HL266" s="1"/>
      <c r="HM266" s="1"/>
      <c r="HN266" s="1"/>
      <c r="HO266" s="1"/>
      <c r="HP266" s="1"/>
      <c r="HQ266" s="1"/>
      <c r="HR266" s="1"/>
      <c r="HS266" s="1"/>
      <c r="HT266" s="1"/>
      <c r="HU266" s="1"/>
      <c r="HV266" s="1"/>
      <c r="HW266" s="1"/>
      <c r="HX266" s="1"/>
      <c r="HY266" s="1"/>
      <c r="HZ266" s="1"/>
      <c r="IA266" s="1"/>
      <c r="IB266" s="1"/>
      <c r="IC266" s="1"/>
      <c r="ID266" s="1"/>
      <c r="IE266" s="1"/>
      <c r="IF266" s="1"/>
      <c r="IG266" s="1"/>
      <c r="IH266" s="1"/>
      <c r="II266" s="1"/>
      <c r="IJ266" s="1"/>
      <c r="IK266" s="1"/>
      <c r="IL266" s="1"/>
      <c r="IM266" s="1"/>
      <c r="IN266" s="1"/>
      <c r="IO266" s="1"/>
      <c r="IP266" s="1"/>
      <c r="IQ266" s="1"/>
      <c r="IR266" s="1"/>
      <c r="IS266" s="1"/>
      <c r="IT266" s="1"/>
      <c r="IU266" s="1"/>
      <c r="IV266" s="1"/>
      <c r="IW266" s="1"/>
      <c r="IX266" s="1"/>
      <c r="IY266" s="1"/>
      <c r="IZ266" s="1"/>
      <c r="JA266" s="1"/>
      <c r="JB266" s="1"/>
      <c r="JC266" s="1"/>
      <c r="JD266" s="1"/>
    </row>
    <row r="267" spans="1:264" s="347" customFormat="1" x14ac:dyDescent="0.2">
      <c r="A267" s="411" t="s">
        <v>322</v>
      </c>
      <c r="B267" s="348"/>
      <c r="BH267" s="397">
        <f>SUM(BH265:BH266)</f>
        <v>-6434</v>
      </c>
      <c r="BI267" s="397">
        <f>SUM(BI265:BI266)</f>
        <v>-6141</v>
      </c>
      <c r="BJ267" s="397">
        <f>SUM(BJ265:BJ266)</f>
        <v>-6141</v>
      </c>
      <c r="BK267" s="348"/>
      <c r="BL267" s="397">
        <f>SUM(BL265:BL266)</f>
        <v>-5822</v>
      </c>
      <c r="BM267" s="397">
        <f>SUM(BM265:BM266)</f>
        <v>-5359</v>
      </c>
      <c r="BN267" s="397">
        <f>SUM(BN265:BN266)</f>
        <v>-5359</v>
      </c>
      <c r="BO267" s="348"/>
      <c r="BP267" s="397">
        <f>SUM(BP265:BP266)</f>
        <v>-5363</v>
      </c>
      <c r="BQ267" s="397">
        <f>SUM(BQ265:BQ266)</f>
        <v>-4997</v>
      </c>
      <c r="BR267" s="397">
        <f>SUM(BR265:BR266)</f>
        <v>-4997</v>
      </c>
      <c r="BT267" s="397">
        <f>SUM(BT265:BT266)</f>
        <v>-4972</v>
      </c>
      <c r="BU267" s="397">
        <f>SUM(BU265:BU266)</f>
        <v>-4945</v>
      </c>
      <c r="BV267" s="397">
        <f>SUM(BV265:BV266)</f>
        <v>-4945</v>
      </c>
      <c r="BX267" s="397">
        <f>SUM(BX265:BX266)</f>
        <v>-4940</v>
      </c>
      <c r="BY267" s="397">
        <f>SUM(BY265:BY266)</f>
        <v>-4811</v>
      </c>
      <c r="BZ267" s="397">
        <f>SUM(BZ265:BZ266)</f>
        <v>-4811</v>
      </c>
      <c r="CB267" s="397">
        <f>SUM(CB265:CB266)</f>
        <v>-4807</v>
      </c>
      <c r="CC267" s="397">
        <f>SUM(CC265:CC266)</f>
        <v>-4692</v>
      </c>
      <c r="CD267" s="397">
        <f>SUM(CD265:CD266)</f>
        <v>-4692</v>
      </c>
      <c r="CF267" s="397">
        <f>SUM(CF265:CF266)</f>
        <v>-5953</v>
      </c>
      <c r="CG267" s="397">
        <f>SUM(CG265:CG266)</f>
        <v>-5924</v>
      </c>
      <c r="CH267" s="397">
        <f>SUM(CH265:CH266)</f>
        <v>-5924</v>
      </c>
      <c r="CJ267" s="397">
        <f>SUM(CJ265:CJ266)</f>
        <v>-6006</v>
      </c>
      <c r="CK267" s="397">
        <f>SUM(CK265:CK266)</f>
        <v>-7247</v>
      </c>
      <c r="CL267" s="397">
        <f>SUM(CL265:CL266)</f>
        <v>-7247</v>
      </c>
      <c r="CN267" s="397">
        <f>SUM(CN265:CN266)</f>
        <v>-7667</v>
      </c>
      <c r="CO267" s="397">
        <f>SUM(CO265:CO266)</f>
        <v>-7021</v>
      </c>
      <c r="CP267" s="397">
        <f>SUM(CP265:CP266)</f>
        <v>-7021</v>
      </c>
      <c r="CR267" s="397">
        <f>SUM(CR265:CR266)</f>
        <v>-6659</v>
      </c>
      <c r="CS267" s="397">
        <f>SUM(CS265:CS266)</f>
        <v>-6226</v>
      </c>
      <c r="CT267" s="397">
        <f>SUM(CT265:CT266)</f>
        <v>-6226</v>
      </c>
      <c r="CV267" s="397">
        <f>SUM(CV265:CV266)</f>
        <v>-6648</v>
      </c>
      <c r="CW267" s="397">
        <f>SUM(CW265:CW266)</f>
        <v>-7328</v>
      </c>
      <c r="CX267" s="397">
        <f>SUM(CX265:CX266)</f>
        <v>-7328</v>
      </c>
      <c r="CZ267" s="397">
        <f>SUM(CZ265:CZ266)</f>
        <v>-7673</v>
      </c>
      <c r="DA267" s="397">
        <f>SUM(DA265:DA266)</f>
        <v>-7961</v>
      </c>
      <c r="DB267" s="397">
        <f>SUM(DB265:DB266)</f>
        <v>-7961</v>
      </c>
      <c r="DD267" s="397">
        <f>SUM(DD265:DD266)</f>
        <v>-8178</v>
      </c>
      <c r="DE267" s="397">
        <f>SUM(DE265:DE266)</f>
        <v>-8331</v>
      </c>
      <c r="DF267" s="397">
        <f>SUM(DF265:DF266)</f>
        <v>-8331</v>
      </c>
      <c r="DH267" s="397">
        <f>SUM(DH265:DH266)</f>
        <v>-8297</v>
      </c>
      <c r="DI267" s="397">
        <f ca="1">SUM(DI265:DI266)</f>
        <v>-8441.6345360018568</v>
      </c>
      <c r="DJ267" s="397">
        <f ca="1">SUM(DJ265:DJ266)</f>
        <v>-8441.6345360018568</v>
      </c>
      <c r="DL267" s="397">
        <f ca="1">SUM(DL265:DL266)</f>
        <v>-8547.9944079777506</v>
      </c>
      <c r="DM267" s="397">
        <f ca="1">SUM(DM265:DM266)</f>
        <v>-8705.5889902243944</v>
      </c>
      <c r="DN267" s="397">
        <f ca="1">SUM(DN265:DN266)</f>
        <v>-8705.5889902243944</v>
      </c>
      <c r="DP267" s="397">
        <f ca="1">SUM(DP265:DP266)</f>
        <v>-8919.4564641363286</v>
      </c>
      <c r="DQ267" s="397">
        <f ca="1">SUM(DQ265:DQ266)</f>
        <v>-9180.8210178334648</v>
      </c>
      <c r="DR267" s="397">
        <f ca="1">SUM(DR265:DR266)</f>
        <v>-9180.8210178334648</v>
      </c>
      <c r="DT267" s="1"/>
      <c r="DU267" s="1"/>
      <c r="DV267" s="1"/>
      <c r="DW267" s="1"/>
      <c r="DX267" s="1"/>
      <c r="DY267" s="1"/>
      <c r="DZ267" s="1"/>
      <c r="EA267" s="1"/>
      <c r="EB267" s="1"/>
      <c r="EC267" s="1"/>
      <c r="ED267" s="1"/>
      <c r="EE267" s="1"/>
      <c r="EF267" s="1"/>
      <c r="EG267" s="1"/>
      <c r="EH267" s="1"/>
      <c r="EI267" s="1"/>
      <c r="EJ267" s="1"/>
      <c r="EK267" s="1"/>
      <c r="EL267" s="1"/>
      <c r="EM267" s="1"/>
      <c r="EN267" s="1"/>
      <c r="EO267" s="1"/>
      <c r="EP267" s="1"/>
      <c r="EQ267" s="1"/>
      <c r="ER267" s="1"/>
      <c r="ES267" s="1"/>
      <c r="ET267" s="1"/>
      <c r="EU267" s="1"/>
      <c r="EV267" s="1"/>
      <c r="EW267" s="1"/>
      <c r="EX267" s="1"/>
      <c r="EY267" s="1"/>
      <c r="EZ267" s="1"/>
      <c r="FA267" s="1"/>
      <c r="FB267" s="1"/>
      <c r="FC267" s="1"/>
      <c r="FD267" s="1"/>
      <c r="FE267" s="1"/>
      <c r="FF267" s="1"/>
      <c r="FG267" s="1"/>
      <c r="FH267" s="1"/>
      <c r="FI267" s="1"/>
      <c r="FJ267" s="1"/>
      <c r="FK267" s="1"/>
      <c r="FL267" s="1"/>
      <c r="FM267" s="1"/>
      <c r="FN267" s="1"/>
      <c r="FO267" s="1"/>
      <c r="FP267" s="1"/>
      <c r="FQ267" s="1"/>
      <c r="FR267" s="1"/>
      <c r="FS267" s="1"/>
      <c r="FT267" s="1"/>
      <c r="FU267" s="1"/>
      <c r="FV267" s="1"/>
      <c r="FW267" s="1"/>
      <c r="FX267" s="1"/>
      <c r="FY267" s="1"/>
      <c r="FZ267" s="1"/>
      <c r="GA267" s="1"/>
      <c r="GB267" s="1"/>
      <c r="GC267" s="1"/>
      <c r="GD267" s="1"/>
      <c r="GE267" s="1"/>
      <c r="GF267" s="1"/>
      <c r="GG267" s="1"/>
      <c r="GH267" s="1"/>
      <c r="GI267" s="1"/>
      <c r="GJ267" s="1"/>
      <c r="GK267" s="1"/>
      <c r="GL267" s="1"/>
      <c r="GM267" s="1"/>
      <c r="GN267" s="1"/>
      <c r="GO267" s="1"/>
      <c r="GP267" s="1"/>
      <c r="GQ267" s="1"/>
      <c r="GR267" s="1"/>
      <c r="GS267" s="1"/>
      <c r="GT267" s="1"/>
      <c r="GU267" s="1"/>
      <c r="GV267" s="1"/>
      <c r="GW267" s="1"/>
      <c r="GX267" s="1"/>
      <c r="GY267" s="1"/>
      <c r="GZ267" s="1"/>
      <c r="HA267" s="1"/>
      <c r="HB267" s="1"/>
      <c r="HC267" s="1"/>
      <c r="HD267" s="1"/>
      <c r="HE267" s="1"/>
      <c r="HF267" s="1"/>
      <c r="HG267" s="1"/>
      <c r="HH267" s="1"/>
      <c r="HI267" s="1"/>
      <c r="HJ267" s="1"/>
      <c r="HK267" s="1"/>
      <c r="HL267" s="1"/>
      <c r="HM267" s="1"/>
      <c r="HN267" s="1"/>
      <c r="HO267" s="1"/>
      <c r="HP267" s="1"/>
      <c r="HQ267" s="1"/>
      <c r="HR267" s="1"/>
      <c r="HS267" s="1"/>
      <c r="HT267" s="1"/>
      <c r="HU267" s="1"/>
      <c r="HV267" s="1"/>
      <c r="HW267" s="1"/>
      <c r="HX267" s="1"/>
      <c r="HY267" s="1"/>
      <c r="HZ267" s="1"/>
      <c r="IA267" s="1"/>
      <c r="IB267" s="1"/>
      <c r="IC267" s="1"/>
      <c r="ID267" s="1"/>
      <c r="IE267" s="1"/>
      <c r="IF267" s="1"/>
      <c r="IG267" s="1"/>
      <c r="IH267" s="1"/>
      <c r="II267" s="1"/>
      <c r="IJ267" s="1"/>
      <c r="IK267" s="1"/>
      <c r="IL267" s="1"/>
      <c r="IM267" s="1"/>
      <c r="IN267" s="1"/>
      <c r="IO267" s="1"/>
      <c r="IP267" s="1"/>
      <c r="IQ267" s="1"/>
      <c r="IR267" s="1"/>
      <c r="IS267" s="1"/>
      <c r="IT267" s="1"/>
      <c r="IU267" s="1"/>
      <c r="IV267" s="1"/>
      <c r="IW267" s="1"/>
      <c r="IX267" s="1"/>
      <c r="IY267" s="1"/>
      <c r="IZ267" s="1"/>
      <c r="JA267" s="1"/>
      <c r="JB267" s="1"/>
      <c r="JC267" s="1"/>
      <c r="JD267" s="1"/>
    </row>
    <row r="268" spans="1:264" s="347" customFormat="1" x14ac:dyDescent="0.2">
      <c r="A268" s="424"/>
      <c r="B268" s="348"/>
      <c r="BH268" s="398"/>
      <c r="BI268" s="428"/>
      <c r="BJ268" s="397"/>
      <c r="BK268" s="348"/>
      <c r="BL268" s="348"/>
      <c r="BM268" s="428"/>
      <c r="BN268" s="397"/>
      <c r="BO268" s="348"/>
      <c r="BP268" s="348"/>
      <c r="BQ268" s="428"/>
      <c r="BR268" s="397"/>
      <c r="BT268" s="348"/>
      <c r="BU268" s="428"/>
      <c r="BV268" s="397"/>
      <c r="BX268" s="348"/>
      <c r="BY268" s="348"/>
      <c r="BZ268" s="397"/>
      <c r="CB268" s="348"/>
      <c r="CC268" s="348"/>
      <c r="CD268" s="397"/>
      <c r="CF268" s="348"/>
      <c r="CG268" s="348"/>
      <c r="CH268" s="397"/>
      <c r="CJ268" s="348"/>
      <c r="CK268" s="348"/>
      <c r="CL268" s="397"/>
      <c r="CN268" s="348"/>
      <c r="CO268" s="348"/>
      <c r="CP268" s="397"/>
      <c r="CR268" s="348"/>
      <c r="CS268" s="348"/>
      <c r="CT268" s="397"/>
      <c r="CV268" s="348"/>
      <c r="CW268" s="348"/>
      <c r="CX268" s="397"/>
      <c r="CZ268" s="348"/>
      <c r="DA268" s="348"/>
      <c r="DB268" s="397"/>
      <c r="DD268" s="348"/>
      <c r="DE268" s="348"/>
      <c r="DF268" s="397"/>
      <c r="DH268" s="348"/>
      <c r="DI268" s="348"/>
      <c r="DJ268" s="397"/>
      <c r="DL268" s="348"/>
      <c r="DM268" s="348"/>
      <c r="DN268" s="397"/>
      <c r="DP268" s="348"/>
      <c r="DQ268" s="348"/>
      <c r="DR268" s="397"/>
      <c r="DT268" s="1"/>
      <c r="DU268" s="1"/>
      <c r="DV268" s="1"/>
      <c r="DW268" s="1"/>
      <c r="DX268" s="1"/>
      <c r="DY268" s="1"/>
      <c r="DZ268" s="1"/>
      <c r="EA268" s="1"/>
      <c r="EB268" s="1"/>
      <c r="EC268" s="1"/>
      <c r="ED268" s="1"/>
      <c r="EE268" s="1"/>
      <c r="EF268" s="1"/>
      <c r="EG268" s="1"/>
      <c r="EH268" s="1"/>
      <c r="EI268" s="1"/>
      <c r="EJ268" s="1"/>
      <c r="EK268" s="1"/>
      <c r="EL268" s="1"/>
      <c r="EM268" s="1"/>
      <c r="EN268" s="1"/>
      <c r="EO268" s="1"/>
      <c r="EP268" s="1"/>
      <c r="EQ268" s="1"/>
      <c r="ER268" s="1"/>
      <c r="ES268" s="1"/>
      <c r="ET268" s="1"/>
      <c r="EU268" s="1"/>
      <c r="EV268" s="1"/>
      <c r="EW268" s="1"/>
      <c r="EX268" s="1"/>
      <c r="EY268" s="1"/>
      <c r="EZ268" s="1"/>
      <c r="FA268" s="1"/>
      <c r="FB268" s="1"/>
      <c r="FC268" s="1"/>
      <c r="FD268" s="1"/>
      <c r="FE268" s="1"/>
      <c r="FF268" s="1"/>
      <c r="FG268" s="1"/>
      <c r="FH268" s="1"/>
      <c r="FI268" s="1"/>
      <c r="FJ268" s="1"/>
      <c r="FK268" s="1"/>
      <c r="FL268" s="1"/>
      <c r="FM268" s="1"/>
      <c r="FN268" s="1"/>
      <c r="FO268" s="1"/>
      <c r="FP268" s="1"/>
      <c r="FQ268" s="1"/>
      <c r="FR268" s="1"/>
      <c r="FS268" s="1"/>
      <c r="FT268" s="1"/>
      <c r="FU268" s="1"/>
      <c r="FV268" s="1"/>
      <c r="FW268" s="1"/>
      <c r="FX268" s="1"/>
      <c r="FY268" s="1"/>
      <c r="FZ268" s="1"/>
      <c r="GA268" s="1"/>
      <c r="GB268" s="1"/>
      <c r="GC268" s="1"/>
      <c r="GD268" s="1"/>
      <c r="GE268" s="1"/>
      <c r="GF268" s="1"/>
      <c r="GG268" s="1"/>
      <c r="GH268" s="1"/>
      <c r="GI268" s="1"/>
      <c r="GJ268" s="1"/>
      <c r="GK268" s="1"/>
      <c r="GL268" s="1"/>
      <c r="GM268" s="1"/>
      <c r="GN268" s="1"/>
      <c r="GO268" s="1"/>
      <c r="GP268" s="1"/>
      <c r="GQ268" s="1"/>
      <c r="GR268" s="1"/>
      <c r="GS268" s="1"/>
      <c r="GT268" s="1"/>
      <c r="GU268" s="1"/>
      <c r="GV268" s="1"/>
      <c r="GW268" s="1"/>
      <c r="GX268" s="1"/>
      <c r="GY268" s="1"/>
      <c r="GZ268" s="1"/>
      <c r="HA268" s="1"/>
      <c r="HB268" s="1"/>
      <c r="HC268" s="1"/>
      <c r="HD268" s="1"/>
      <c r="HE268" s="1"/>
      <c r="HF268" s="1"/>
      <c r="HG268" s="1"/>
      <c r="HH268" s="1"/>
      <c r="HI268" s="1"/>
      <c r="HJ268" s="1"/>
      <c r="HK268" s="1"/>
      <c r="HL268" s="1"/>
      <c r="HM268" s="1"/>
      <c r="HN268" s="1"/>
      <c r="HO268" s="1"/>
      <c r="HP268" s="1"/>
      <c r="HQ268" s="1"/>
      <c r="HR268" s="1"/>
      <c r="HS268" s="1"/>
      <c r="HT268" s="1"/>
      <c r="HU268" s="1"/>
      <c r="HV268" s="1"/>
      <c r="HW268" s="1"/>
      <c r="HX268" s="1"/>
      <c r="HY268" s="1"/>
      <c r="HZ268" s="1"/>
      <c r="IA268" s="1"/>
      <c r="IB268" s="1"/>
      <c r="IC268" s="1"/>
      <c r="ID268" s="1"/>
      <c r="IE268" s="1"/>
      <c r="IF268" s="1"/>
      <c r="IG268" s="1"/>
      <c r="IH268" s="1"/>
      <c r="II268" s="1"/>
      <c r="IJ268" s="1"/>
      <c r="IK268" s="1"/>
      <c r="IL268" s="1"/>
      <c r="IM268" s="1"/>
      <c r="IN268" s="1"/>
      <c r="IO268" s="1"/>
      <c r="IP268" s="1"/>
      <c r="IQ268" s="1"/>
      <c r="IR268" s="1"/>
      <c r="IS268" s="1"/>
      <c r="IT268" s="1"/>
      <c r="IU268" s="1"/>
      <c r="IV268" s="1"/>
      <c r="IW268" s="1"/>
      <c r="IX268" s="1"/>
      <c r="IY268" s="1"/>
      <c r="IZ268" s="1"/>
      <c r="JA268" s="1"/>
      <c r="JB268" s="1"/>
      <c r="JC268" s="1"/>
      <c r="JD268" s="1"/>
    </row>
    <row r="269" spans="1:264" s="347" customFormat="1" x14ac:dyDescent="0.2">
      <c r="A269" s="347" t="s">
        <v>323</v>
      </c>
      <c r="B269" s="348"/>
      <c r="BH269" s="398">
        <v>271798</v>
      </c>
      <c r="BI269" s="351">
        <f>BI1321</f>
        <v>279674</v>
      </c>
      <c r="BJ269" s="351">
        <f>BI269</f>
        <v>279674</v>
      </c>
      <c r="BK269" s="348"/>
      <c r="BL269" s="351">
        <f>BL1321</f>
        <v>282204</v>
      </c>
      <c r="BM269" s="351">
        <f>BM1321</f>
        <v>289138</v>
      </c>
      <c r="BN269" s="351">
        <f>BM269</f>
        <v>289138</v>
      </c>
      <c r="BO269" s="348"/>
      <c r="BP269" s="351">
        <f>BP1321</f>
        <v>311524</v>
      </c>
      <c r="BQ269" s="351">
        <f>BQ1321</f>
        <v>319174</v>
      </c>
      <c r="BR269" s="351">
        <f>BQ269</f>
        <v>319174</v>
      </c>
      <c r="BT269" s="351">
        <f>BT1321</f>
        <v>334957</v>
      </c>
      <c r="BU269" s="351">
        <f>BU1321</f>
        <v>344030</v>
      </c>
      <c r="BV269" s="351">
        <f>BU269</f>
        <v>344030</v>
      </c>
      <c r="BX269" s="351">
        <f>BX1321</f>
        <v>373526</v>
      </c>
      <c r="BY269" s="351">
        <f>BY1321</f>
        <v>377259</v>
      </c>
      <c r="BZ269" s="351">
        <f>BY269</f>
        <v>377259</v>
      </c>
      <c r="CB269" s="351">
        <f>CB1321</f>
        <v>366985</v>
      </c>
      <c r="CC269" s="351">
        <f>CC1321</f>
        <v>369528</v>
      </c>
      <c r="CD269" s="351">
        <f>CC269</f>
        <v>369528</v>
      </c>
      <c r="CF269" s="351">
        <f>CF1321</f>
        <v>369356</v>
      </c>
      <c r="CG269" s="351">
        <f>CG1321</f>
        <v>372574</v>
      </c>
      <c r="CH269" s="351">
        <f>CG269</f>
        <v>372574</v>
      </c>
      <c r="CJ269" s="351">
        <f>CJ1321</f>
        <v>375217</v>
      </c>
      <c r="CK269" s="351">
        <f>CK1321</f>
        <v>374194</v>
      </c>
      <c r="CL269" s="351">
        <f>CK269</f>
        <v>374194</v>
      </c>
      <c r="CN269" s="351">
        <f>CN1321</f>
        <v>376900</v>
      </c>
      <c r="CO269" s="351">
        <f>CO1321</f>
        <v>381550</v>
      </c>
      <c r="CP269" s="351">
        <f>CO269</f>
        <v>381550</v>
      </c>
      <c r="CR269" s="351">
        <f>CR1321</f>
        <v>390687</v>
      </c>
      <c r="CS269" s="351">
        <f>CS1321</f>
        <v>393647</v>
      </c>
      <c r="CT269" s="351">
        <f>CS269</f>
        <v>393647</v>
      </c>
      <c r="CV269" s="351">
        <f>CV1321</f>
        <v>402017</v>
      </c>
      <c r="CW269" s="351">
        <f>CW1321</f>
        <v>362869</v>
      </c>
      <c r="CX269" s="351">
        <f>CW269</f>
        <v>362869</v>
      </c>
      <c r="CZ269" s="351">
        <f>CZ1321</f>
        <v>368735</v>
      </c>
      <c r="DA269" s="351">
        <f>DA1321</f>
        <v>370444</v>
      </c>
      <c r="DB269" s="351">
        <f>DA269</f>
        <v>370444</v>
      </c>
      <c r="DD269" s="351">
        <f>DD1321</f>
        <v>385117</v>
      </c>
      <c r="DE269" s="351">
        <f>DE1321</f>
        <v>398928</v>
      </c>
      <c r="DF269" s="351">
        <f>DE269</f>
        <v>398928</v>
      </c>
      <c r="DH269" s="351">
        <f>DH1321</f>
        <v>409119</v>
      </c>
      <c r="DI269" s="351">
        <f ca="1">DI1305</f>
        <v>423035.70217825164</v>
      </c>
      <c r="DJ269" s="351">
        <f ca="1">DI269</f>
        <v>423035.70217825164</v>
      </c>
      <c r="DL269" s="351">
        <f ca="1">DL1305</f>
        <v>434605.43783604458</v>
      </c>
      <c r="DM269" s="351">
        <f ca="1">DM1305</f>
        <v>448846.79899896123</v>
      </c>
      <c r="DN269" s="351">
        <f ca="1">DM269</f>
        <v>448846.79899896123</v>
      </c>
      <c r="DP269" s="351">
        <f ca="1">DP1305</f>
        <v>459077.5513190506</v>
      </c>
      <c r="DQ269" s="351">
        <f ca="1">DQ1305</f>
        <v>471049.84316655208</v>
      </c>
      <c r="DR269" s="351">
        <f ca="1">DQ269</f>
        <v>471049.84316655208</v>
      </c>
      <c r="DT269" s="1"/>
      <c r="DU269" s="1"/>
      <c r="DV269" s="1"/>
      <c r="DW269" s="1"/>
      <c r="DX269" s="1"/>
      <c r="DY269" s="1"/>
      <c r="DZ269" s="1"/>
      <c r="EA269" s="1"/>
      <c r="EB269" s="1"/>
      <c r="EC269" s="1"/>
      <c r="ED269" s="1"/>
      <c r="EE269" s="1"/>
      <c r="EF269" s="1"/>
      <c r="EG269" s="1"/>
      <c r="EH269" s="1"/>
      <c r="EI269" s="1"/>
      <c r="EJ269" s="1"/>
      <c r="EK269" s="1"/>
      <c r="EL269" s="1"/>
      <c r="EM269" s="1"/>
      <c r="EN269" s="1"/>
      <c r="EO269" s="1"/>
      <c r="EP269" s="1"/>
      <c r="EQ269" s="1"/>
      <c r="ER269" s="1"/>
      <c r="ES269" s="1"/>
      <c r="ET269" s="1"/>
      <c r="EU269" s="1"/>
      <c r="EV269" s="1"/>
      <c r="EW269" s="1"/>
      <c r="EX269" s="1"/>
      <c r="EY269" s="1"/>
      <c r="EZ269" s="1"/>
      <c r="FA269" s="1"/>
      <c r="FB269" s="1"/>
      <c r="FC269" s="1"/>
      <c r="FD269" s="1"/>
      <c r="FE269" s="1"/>
      <c r="FF269" s="1"/>
      <c r="FG269" s="1"/>
      <c r="FH269" s="1"/>
      <c r="FI269" s="1"/>
      <c r="FJ269" s="1"/>
      <c r="FK269" s="1"/>
      <c r="FL269" s="1"/>
      <c r="FM269" s="1"/>
      <c r="FN269" s="1"/>
      <c r="FO269" s="1"/>
      <c r="FP269" s="1"/>
      <c r="FQ269" s="1"/>
      <c r="FR269" s="1"/>
      <c r="FS269" s="1"/>
      <c r="FT269" s="1"/>
      <c r="FU269" s="1"/>
      <c r="FV269" s="1"/>
      <c r="FW269" s="1"/>
      <c r="FX269" s="1"/>
      <c r="FY269" s="1"/>
      <c r="FZ269" s="1"/>
      <c r="GA269" s="1"/>
      <c r="GB269" s="1"/>
      <c r="GC269" s="1"/>
      <c r="GD269" s="1"/>
      <c r="GE269" s="1"/>
      <c r="GF269" s="1"/>
      <c r="GG269" s="1"/>
      <c r="GH269" s="1"/>
      <c r="GI269" s="1"/>
      <c r="GJ269" s="1"/>
      <c r="GK269" s="1"/>
      <c r="GL269" s="1"/>
      <c r="GM269" s="1"/>
      <c r="GN269" s="1"/>
      <c r="GO269" s="1"/>
      <c r="GP269" s="1"/>
      <c r="GQ269" s="1"/>
      <c r="GR269" s="1"/>
      <c r="GS269" s="1"/>
      <c r="GT269" s="1"/>
      <c r="GU269" s="1"/>
      <c r="GV269" s="1"/>
      <c r="GW269" s="1"/>
      <c r="GX269" s="1"/>
      <c r="GY269" s="1"/>
      <c r="GZ269" s="1"/>
      <c r="HA269" s="1"/>
      <c r="HB269" s="1"/>
      <c r="HC269" s="1"/>
      <c r="HD269" s="1"/>
      <c r="HE269" s="1"/>
      <c r="HF269" s="1"/>
      <c r="HG269" s="1"/>
      <c r="HH269" s="1"/>
      <c r="HI269" s="1"/>
      <c r="HJ269" s="1"/>
      <c r="HK269" s="1"/>
      <c r="HL269" s="1"/>
      <c r="HM269" s="1"/>
      <c r="HN269" s="1"/>
      <c r="HO269" s="1"/>
      <c r="HP269" s="1"/>
      <c r="HQ269" s="1"/>
      <c r="HR269" s="1"/>
      <c r="HS269" s="1"/>
      <c r="HT269" s="1"/>
      <c r="HU269" s="1"/>
      <c r="HV269" s="1"/>
      <c r="HW269" s="1"/>
      <c r="HX269" s="1"/>
      <c r="HY269" s="1"/>
      <c r="HZ269" s="1"/>
      <c r="IA269" s="1"/>
      <c r="IB269" s="1"/>
      <c r="IC269" s="1"/>
      <c r="ID269" s="1"/>
      <c r="IE269" s="1"/>
      <c r="IF269" s="1"/>
      <c r="IG269" s="1"/>
      <c r="IH269" s="1"/>
      <c r="II269" s="1"/>
      <c r="IJ269" s="1"/>
      <c r="IK269" s="1"/>
      <c r="IL269" s="1"/>
      <c r="IM269" s="1"/>
      <c r="IN269" s="1"/>
      <c r="IO269" s="1"/>
      <c r="IP269" s="1"/>
      <c r="IQ269" s="1"/>
      <c r="IR269" s="1"/>
      <c r="IS269" s="1"/>
      <c r="IT269" s="1"/>
      <c r="IU269" s="1"/>
      <c r="IV269" s="1"/>
      <c r="IW269" s="1"/>
      <c r="IX269" s="1"/>
      <c r="IY269" s="1"/>
      <c r="IZ269" s="1"/>
      <c r="JA269" s="1"/>
      <c r="JB269" s="1"/>
      <c r="JC269" s="1"/>
      <c r="JD269" s="1"/>
    </row>
    <row r="270" spans="1:264" s="347" customFormat="1" x14ac:dyDescent="0.2">
      <c r="A270" s="347" t="s">
        <v>324</v>
      </c>
      <c r="B270" s="348"/>
      <c r="BH270" s="398">
        <v>314942</v>
      </c>
      <c r="BI270" s="351">
        <f>BI1310</f>
        <v>329158</v>
      </c>
      <c r="BJ270" s="351">
        <f>BI270</f>
        <v>329158</v>
      </c>
      <c r="BK270" s="348"/>
      <c r="BL270" s="351">
        <f>BL1310</f>
        <v>334197</v>
      </c>
      <c r="BM270" s="351">
        <f>BM1310</f>
        <v>337715</v>
      </c>
      <c r="BN270" s="351">
        <f>BM270</f>
        <v>337715</v>
      </c>
      <c r="BO270" s="348"/>
      <c r="BP270" s="351">
        <f>BP1310</f>
        <v>353048</v>
      </c>
      <c r="BQ270" s="351">
        <f>BQ1310</f>
        <v>368721</v>
      </c>
      <c r="BR270" s="351">
        <f>BQ270</f>
        <v>368721</v>
      </c>
      <c r="BT270" s="351">
        <f>BT1310</f>
        <v>392662</v>
      </c>
      <c r="BU270" s="351">
        <f>BU1310</f>
        <v>394667</v>
      </c>
      <c r="BV270" s="351">
        <f>BU270</f>
        <v>394667</v>
      </c>
      <c r="BX270" s="351">
        <f>BX1310</f>
        <v>436481</v>
      </c>
      <c r="BY270" s="351">
        <f>BY1310</f>
        <v>437063</v>
      </c>
      <c r="BZ270" s="351">
        <f>BY270</f>
        <v>437063</v>
      </c>
      <c r="CB270" s="351">
        <f>CB1310</f>
        <v>440836</v>
      </c>
      <c r="CC270" s="351">
        <f>CC1310</f>
        <v>458612</v>
      </c>
      <c r="CD270" s="351">
        <f>CC270</f>
        <v>458612</v>
      </c>
      <c r="CF270" s="351">
        <f>CF1310</f>
        <v>445144</v>
      </c>
      <c r="CG270" s="351">
        <f>CG1310</f>
        <v>452762</v>
      </c>
      <c r="CH270" s="351">
        <f>CG270</f>
        <v>452762</v>
      </c>
      <c r="CJ270" s="351">
        <f>CJ1310</f>
        <v>449154</v>
      </c>
      <c r="CK270" s="351">
        <f>CK1310</f>
        <v>454948</v>
      </c>
      <c r="CL270" s="351">
        <f>CK270</f>
        <v>454948</v>
      </c>
      <c r="CN270" s="351">
        <f>CN1310</f>
        <v>453616</v>
      </c>
      <c r="CO270" s="351">
        <f>CO1310</f>
        <v>450680</v>
      </c>
      <c r="CP270" s="351">
        <f>CO270</f>
        <v>450680</v>
      </c>
      <c r="CR270" s="351">
        <f>CR1310</f>
        <v>471927</v>
      </c>
      <c r="CS270" s="351">
        <f>CS1310</f>
        <v>497892</v>
      </c>
      <c r="CT270" s="351">
        <f>CS270</f>
        <v>497892</v>
      </c>
      <c r="CV270" s="351">
        <f>CV1310</f>
        <v>504380</v>
      </c>
      <c r="CW270" s="351">
        <f>CW1310</f>
        <v>467992</v>
      </c>
      <c r="CX270" s="351">
        <f>CW270</f>
        <v>467992</v>
      </c>
      <c r="CZ270" s="351">
        <f>CZ1310</f>
        <v>463644</v>
      </c>
      <c r="DA270" s="351">
        <f>DA1310</f>
        <v>467551</v>
      </c>
      <c r="DB270" s="351">
        <f>DA270</f>
        <v>467551</v>
      </c>
      <c r="DD270" s="351">
        <f>DD1310</f>
        <v>482369</v>
      </c>
      <c r="DE270" s="351">
        <f>DE1310</f>
        <v>496145</v>
      </c>
      <c r="DF270" s="351">
        <f>DE270</f>
        <v>496145</v>
      </c>
      <c r="DH270" s="351">
        <f>DH1310</f>
        <v>505310</v>
      </c>
      <c r="DI270" s="351">
        <f ca="1">DI1310</f>
        <v>521741.34049958026</v>
      </c>
      <c r="DJ270" s="351">
        <f ca="1">DI270</f>
        <v>521741.34049958026</v>
      </c>
      <c r="DL270" s="351">
        <f ca="1">DL1310</f>
        <v>536210.95051395218</v>
      </c>
      <c r="DM270" s="351">
        <f ca="1">DM1310</f>
        <v>553612.97920815484</v>
      </c>
      <c r="DN270" s="351">
        <f ca="1">DM270</f>
        <v>553612.97920815484</v>
      </c>
      <c r="DP270" s="351">
        <f ca="1">DP1310</f>
        <v>566286.65944311023</v>
      </c>
      <c r="DQ270" s="351">
        <f ca="1">DQ1310</f>
        <v>580940.89526119281</v>
      </c>
      <c r="DR270" s="351">
        <f ca="1">DQ270</f>
        <v>580940.89526119281</v>
      </c>
      <c r="DT270" s="1"/>
      <c r="DU270" s="1"/>
      <c r="DV270" s="1"/>
      <c r="DW270" s="1"/>
      <c r="DX270" s="1"/>
      <c r="DY270" s="1"/>
      <c r="DZ270" s="1"/>
      <c r="EA270" s="1"/>
      <c r="EB270" s="1"/>
      <c r="EC270" s="1"/>
      <c r="ED270" s="1"/>
      <c r="EE270" s="1"/>
      <c r="EF270" s="1"/>
      <c r="EG270" s="1"/>
      <c r="EH270" s="1"/>
      <c r="EI270" s="1"/>
      <c r="EJ270" s="1"/>
      <c r="EK270" s="1"/>
      <c r="EL270" s="1"/>
      <c r="EM270" s="1"/>
      <c r="EN270" s="1"/>
      <c r="EO270" s="1"/>
      <c r="EP270" s="1"/>
      <c r="EQ270" s="1"/>
      <c r="ER270" s="1"/>
      <c r="ES270" s="1"/>
      <c r="ET270" s="1"/>
      <c r="EU270" s="1"/>
      <c r="EV270" s="1"/>
      <c r="EW270" s="1"/>
      <c r="EX270" s="1"/>
      <c r="EY270" s="1"/>
      <c r="EZ270" s="1"/>
      <c r="FA270" s="1"/>
      <c r="FB270" s="1"/>
      <c r="FC270" s="1"/>
      <c r="FD270" s="1"/>
      <c r="FE270" s="1"/>
      <c r="FF270" s="1"/>
      <c r="FG270" s="1"/>
      <c r="FH270" s="1"/>
      <c r="FI270" s="1"/>
      <c r="FJ270" s="1"/>
      <c r="FK270" s="1"/>
      <c r="FL270" s="1"/>
      <c r="FM270" s="1"/>
      <c r="FN270" s="1"/>
      <c r="FO270" s="1"/>
      <c r="FP270" s="1"/>
      <c r="FQ270" s="1"/>
      <c r="FR270" s="1"/>
      <c r="FS270" s="1"/>
      <c r="FT270" s="1"/>
      <c r="FU270" s="1"/>
      <c r="FV270" s="1"/>
      <c r="FW270" s="1"/>
      <c r="FX270" s="1"/>
      <c r="FY270" s="1"/>
      <c r="FZ270" s="1"/>
      <c r="GA270" s="1"/>
      <c r="GB270" s="1"/>
      <c r="GC270" s="1"/>
      <c r="GD270" s="1"/>
      <c r="GE270" s="1"/>
      <c r="GF270" s="1"/>
      <c r="GG270" s="1"/>
      <c r="GH270" s="1"/>
      <c r="GI270" s="1"/>
      <c r="GJ270" s="1"/>
      <c r="GK270" s="1"/>
      <c r="GL270" s="1"/>
      <c r="GM270" s="1"/>
      <c r="GN270" s="1"/>
      <c r="GO270" s="1"/>
      <c r="GP270" s="1"/>
      <c r="GQ270" s="1"/>
      <c r="GR270" s="1"/>
      <c r="GS270" s="1"/>
      <c r="GT270" s="1"/>
      <c r="GU270" s="1"/>
      <c r="GV270" s="1"/>
      <c r="GW270" s="1"/>
      <c r="GX270" s="1"/>
      <c r="GY270" s="1"/>
      <c r="GZ270" s="1"/>
      <c r="HA270" s="1"/>
      <c r="HB270" s="1"/>
      <c r="HC270" s="1"/>
      <c r="HD270" s="1"/>
      <c r="HE270" s="1"/>
      <c r="HF270" s="1"/>
      <c r="HG270" s="1"/>
      <c r="HH270" s="1"/>
      <c r="HI270" s="1"/>
      <c r="HJ270" s="1"/>
      <c r="HK270" s="1"/>
      <c r="HL270" s="1"/>
      <c r="HM270" s="1"/>
      <c r="HN270" s="1"/>
      <c r="HO270" s="1"/>
      <c r="HP270" s="1"/>
      <c r="HQ270" s="1"/>
      <c r="HR270" s="1"/>
      <c r="HS270" s="1"/>
      <c r="HT270" s="1"/>
      <c r="HU270" s="1"/>
      <c r="HV270" s="1"/>
      <c r="HW270" s="1"/>
      <c r="HX270" s="1"/>
      <c r="HY270" s="1"/>
      <c r="HZ270" s="1"/>
      <c r="IA270" s="1"/>
      <c r="IB270" s="1"/>
      <c r="IC270" s="1"/>
      <c r="ID270" s="1"/>
      <c r="IE270" s="1"/>
      <c r="IF270" s="1"/>
      <c r="IG270" s="1"/>
      <c r="IH270" s="1"/>
      <c r="II270" s="1"/>
      <c r="IJ270" s="1"/>
      <c r="IK270" s="1"/>
      <c r="IL270" s="1"/>
      <c r="IM270" s="1"/>
      <c r="IN270" s="1"/>
      <c r="IO270" s="1"/>
      <c r="IP270" s="1"/>
      <c r="IQ270" s="1"/>
      <c r="IR270" s="1"/>
      <c r="IS270" s="1"/>
      <c r="IT270" s="1"/>
      <c r="IU270" s="1"/>
      <c r="IV270" s="1"/>
      <c r="IW270" s="1"/>
      <c r="IX270" s="1"/>
      <c r="IY270" s="1"/>
      <c r="IZ270" s="1"/>
      <c r="JA270" s="1"/>
      <c r="JB270" s="1"/>
      <c r="JC270" s="1"/>
      <c r="JD270" s="1"/>
    </row>
    <row r="271" spans="1:264" s="347" customFormat="1" x14ac:dyDescent="0.2">
      <c r="A271" s="347" t="s">
        <v>325</v>
      </c>
      <c r="B271" s="348"/>
      <c r="BH271" s="499">
        <f>-BH251/BH269</f>
        <v>1.0515161995305337E-2</v>
      </c>
      <c r="BI271" s="499">
        <f>-BI251/BI269</f>
        <v>1.021904074029048E-2</v>
      </c>
      <c r="BJ271" s="499">
        <f>-BJ251/BJ269</f>
        <v>1.021904074029048E-2</v>
      </c>
      <c r="BK271" s="348"/>
      <c r="BL271" s="499">
        <f>-BL251/BL269</f>
        <v>1.0169947980893254E-2</v>
      </c>
      <c r="BM271" s="499">
        <f>-BM251/BM269</f>
        <v>9.611327463010742E-3</v>
      </c>
      <c r="BN271" s="499">
        <f>-BN251/BN269</f>
        <v>9.611327463010742E-3</v>
      </c>
      <c r="BO271" s="348"/>
      <c r="BP271" s="499">
        <f>-BP251/BP269</f>
        <v>8.8693005996327724E-3</v>
      </c>
      <c r="BQ271" s="499">
        <f>-BQ251/BQ269</f>
        <v>8.6535870716286413E-3</v>
      </c>
      <c r="BR271" s="499">
        <f>-BR251/BR269</f>
        <v>8.6535870716286413E-3</v>
      </c>
      <c r="BT271" s="499">
        <f>-BT251/BT269</f>
        <v>8.3622673955164387E-3</v>
      </c>
      <c r="BU271" s="499">
        <f>-BU251/BU269</f>
        <v>8.1911461209778214E-3</v>
      </c>
      <c r="BV271" s="499">
        <f>-BV251/BV269</f>
        <v>8.1911461209778214E-3</v>
      </c>
      <c r="BX271" s="499">
        <f>-BX251/BX269</f>
        <v>7.5148717893801231E-3</v>
      </c>
      <c r="BY271" s="499">
        <f>-BY251/BY269</f>
        <v>7.2814697595020928E-3</v>
      </c>
      <c r="BZ271" s="499">
        <f>-BZ251/BZ269</f>
        <v>7.2814697595020928E-3</v>
      </c>
      <c r="CB271" s="499">
        <f>-CB251/CB269</f>
        <v>7.5534422387836019E-3</v>
      </c>
      <c r="CC271" s="499">
        <f>-CC251/CC269</f>
        <v>7.4771059297265704E-3</v>
      </c>
      <c r="CD271" s="499">
        <f>-CD251/CD269</f>
        <v>7.4771059297265704E-3</v>
      </c>
      <c r="CF271" s="499">
        <f>-CF251/CF269</f>
        <v>1.0326081070836808E-2</v>
      </c>
      <c r="CG271" s="499">
        <f>-CG251/CG269</f>
        <v>1.0478455286734984E-2</v>
      </c>
      <c r="CH271" s="499">
        <f>-CH251/CH269</f>
        <v>1.0478455286734984E-2</v>
      </c>
      <c r="CJ271" s="499">
        <f>-CJ251/CJ269</f>
        <v>1.0839061129959464E-2</v>
      </c>
      <c r="CK271" s="499">
        <f>-CK251/CK269</f>
        <v>1.4420327423742765E-2</v>
      </c>
      <c r="CL271" s="499">
        <f>-CL251/CL269</f>
        <v>1.4420327423742765E-2</v>
      </c>
      <c r="CN271" s="499">
        <f>-CN251/CN269</f>
        <v>1.5768108251525605E-2</v>
      </c>
      <c r="CO271" s="499">
        <f>-CO251/CO269</f>
        <v>1.391953872362731E-2</v>
      </c>
      <c r="CP271" s="499">
        <f>-CP251/CP269</f>
        <v>1.391953872362731E-2</v>
      </c>
      <c r="CR271" s="499">
        <f>-CR251/CR269</f>
        <v>1.2956663518366366E-2</v>
      </c>
      <c r="CS271" s="499">
        <f>-CS251/CS269</f>
        <v>1.1713540303876316E-2</v>
      </c>
      <c r="CT271" s="499">
        <f>-CT251/CT269</f>
        <v>1.1713540303876316E-2</v>
      </c>
      <c r="CV271" s="499">
        <f>-CV251/CV269</f>
        <v>1.2188539290627014E-2</v>
      </c>
      <c r="CW271" s="499">
        <f>-CW251/CW269</f>
        <v>1.4319217127944244E-2</v>
      </c>
      <c r="CX271" s="499">
        <f>-CX251/CX269</f>
        <v>1.4319217127944244E-2</v>
      </c>
      <c r="CZ271" s="499">
        <f>-CZ251/CZ269</f>
        <v>1.445482528102838E-2</v>
      </c>
      <c r="DA271" s="499">
        <f>-DA251/DA269</f>
        <v>1.4639189729081858E-2</v>
      </c>
      <c r="DB271" s="499">
        <f>-DB251/DB269</f>
        <v>1.4639189729081858E-2</v>
      </c>
      <c r="DD271" s="499">
        <f>-DD251/DD269</f>
        <v>1.426060132375356E-2</v>
      </c>
      <c r="DE271" s="499">
        <f>-DE251/DE269</f>
        <v>1.3939858821642E-2</v>
      </c>
      <c r="DF271" s="499">
        <f>-DF251/DF269</f>
        <v>1.3939858821642E-2</v>
      </c>
      <c r="DH271" s="499">
        <f>-DH251/DH269</f>
        <v>1.3546180940019897E-2</v>
      </c>
      <c r="DI271" s="500">
        <f>+DH271+DI272</f>
        <v>1.3146180940019897E-2</v>
      </c>
      <c r="DJ271" s="499">
        <f ca="1">-DJ251/DJ269</f>
        <v>1.3146180940019897E-2</v>
      </c>
      <c r="DL271" s="500">
        <f>+DI271+DL272</f>
        <v>1.2846180940019897E-2</v>
      </c>
      <c r="DM271" s="500">
        <f>+DL271+DM272</f>
        <v>1.2546180940019898E-2</v>
      </c>
      <c r="DN271" s="499">
        <f ca="1">-DN251/DN269</f>
        <v>1.2546180940019898E-2</v>
      </c>
      <c r="DP271" s="500">
        <f>+DM271+DP272</f>
        <v>1.2546180940019898E-2</v>
      </c>
      <c r="DQ271" s="500">
        <f>+DP271+DQ272</f>
        <v>1.2546180940019898E-2</v>
      </c>
      <c r="DR271" s="499">
        <f ca="1">-DR251/DR269</f>
        <v>1.2546180940019898E-2</v>
      </c>
      <c r="DT271" s="1"/>
      <c r="DU271" s="1"/>
      <c r="DV271" s="1"/>
      <c r="DW271" s="1"/>
      <c r="DX271" s="1"/>
      <c r="DY271" s="1"/>
      <c r="DZ271" s="1"/>
      <c r="EA271" s="1"/>
      <c r="EB271" s="1"/>
      <c r="EC271" s="1"/>
      <c r="ED271" s="1"/>
      <c r="EE271" s="1"/>
      <c r="EF271" s="1"/>
      <c r="EG271" s="1"/>
      <c r="EH271" s="1"/>
      <c r="EI271" s="1"/>
      <c r="EJ271" s="1"/>
      <c r="EK271" s="1"/>
      <c r="EL271" s="1"/>
      <c r="EM271" s="1"/>
      <c r="EN271" s="1"/>
      <c r="EO271" s="1"/>
      <c r="EP271" s="1"/>
      <c r="EQ271" s="1"/>
      <c r="ER271" s="1"/>
      <c r="ES271" s="1"/>
      <c r="ET271" s="1"/>
      <c r="EU271" s="1"/>
      <c r="EV271" s="1"/>
      <c r="EW271" s="1"/>
      <c r="EX271" s="1"/>
      <c r="EY271" s="1"/>
      <c r="EZ271" s="1"/>
      <c r="FA271" s="1"/>
      <c r="FB271" s="1"/>
      <c r="FC271" s="1"/>
      <c r="FD271" s="1"/>
      <c r="FE271" s="1"/>
      <c r="FF271" s="1"/>
      <c r="FG271" s="1"/>
      <c r="FH271" s="1"/>
      <c r="FI271" s="1"/>
      <c r="FJ271" s="1"/>
      <c r="FK271" s="1"/>
      <c r="FL271" s="1"/>
      <c r="FM271" s="1"/>
      <c r="FN271" s="1"/>
      <c r="FO271" s="1"/>
      <c r="FP271" s="1"/>
      <c r="FQ271" s="1"/>
      <c r="FR271" s="1"/>
      <c r="FS271" s="1"/>
      <c r="FT271" s="1"/>
      <c r="FU271" s="1"/>
      <c r="FV271" s="1"/>
      <c r="FW271" s="1"/>
      <c r="FX271" s="1"/>
      <c r="FY271" s="1"/>
      <c r="FZ271" s="1"/>
      <c r="GA271" s="1"/>
      <c r="GB271" s="1"/>
      <c r="GC271" s="1"/>
      <c r="GD271" s="1"/>
      <c r="GE271" s="1"/>
      <c r="GF271" s="1"/>
      <c r="GG271" s="1"/>
      <c r="GH271" s="1"/>
      <c r="GI271" s="1"/>
      <c r="GJ271" s="1"/>
      <c r="GK271" s="1"/>
      <c r="GL271" s="1"/>
      <c r="GM271" s="1"/>
      <c r="GN271" s="1"/>
      <c r="GO271" s="1"/>
      <c r="GP271" s="1"/>
      <c r="GQ271" s="1"/>
      <c r="GR271" s="1"/>
      <c r="GS271" s="1"/>
      <c r="GT271" s="1"/>
      <c r="GU271" s="1"/>
      <c r="GV271" s="1"/>
      <c r="GW271" s="1"/>
      <c r="GX271" s="1"/>
      <c r="GY271" s="1"/>
      <c r="GZ271" s="1"/>
      <c r="HA271" s="1"/>
      <c r="HB271" s="1"/>
      <c r="HC271" s="1"/>
      <c r="HD271" s="1"/>
      <c r="HE271" s="1"/>
      <c r="HF271" s="1"/>
      <c r="HG271" s="1"/>
      <c r="HH271" s="1"/>
      <c r="HI271" s="1"/>
      <c r="HJ271" s="1"/>
      <c r="HK271" s="1"/>
      <c r="HL271" s="1"/>
      <c r="HM271" s="1"/>
      <c r="HN271" s="1"/>
      <c r="HO271" s="1"/>
      <c r="HP271" s="1"/>
      <c r="HQ271" s="1"/>
      <c r="HR271" s="1"/>
      <c r="HS271" s="1"/>
      <c r="HT271" s="1"/>
      <c r="HU271" s="1"/>
      <c r="HV271" s="1"/>
      <c r="HW271" s="1"/>
      <c r="HX271" s="1"/>
      <c r="HY271" s="1"/>
      <c r="HZ271" s="1"/>
      <c r="IA271" s="1"/>
      <c r="IB271" s="1"/>
      <c r="IC271" s="1"/>
      <c r="ID271" s="1"/>
      <c r="IE271" s="1"/>
      <c r="IF271" s="1"/>
      <c r="IG271" s="1"/>
      <c r="IH271" s="1"/>
      <c r="II271" s="1"/>
      <c r="IJ271" s="1"/>
      <c r="IK271" s="1"/>
      <c r="IL271" s="1"/>
      <c r="IM271" s="1"/>
      <c r="IN271" s="1"/>
      <c r="IO271" s="1"/>
      <c r="IP271" s="1"/>
      <c r="IQ271" s="1"/>
      <c r="IR271" s="1"/>
      <c r="IS271" s="1"/>
      <c r="IT271" s="1"/>
      <c r="IU271" s="1"/>
      <c r="IV271" s="1"/>
      <c r="IW271" s="1"/>
      <c r="IX271" s="1"/>
      <c r="IY271" s="1"/>
      <c r="IZ271" s="1"/>
      <c r="JA271" s="1"/>
      <c r="JB271" s="1"/>
      <c r="JC271" s="1"/>
      <c r="JD271" s="1"/>
    </row>
    <row r="272" spans="1:264" s="429" customFormat="1" x14ac:dyDescent="0.2">
      <c r="A272" s="436" t="s">
        <v>273</v>
      </c>
      <c r="B272" s="437"/>
      <c r="C272" s="436"/>
      <c r="D272" s="436"/>
      <c r="E272" s="436"/>
      <c r="F272" s="436"/>
      <c r="G272" s="436"/>
      <c r="H272" s="436"/>
      <c r="I272" s="436"/>
      <c r="J272" s="436"/>
      <c r="K272" s="436"/>
      <c r="L272" s="436"/>
      <c r="M272" s="436"/>
      <c r="N272" s="436"/>
      <c r="O272" s="436"/>
      <c r="P272" s="436"/>
      <c r="Q272" s="436"/>
      <c r="R272" s="436"/>
      <c r="S272" s="436"/>
      <c r="T272" s="436"/>
      <c r="U272" s="436"/>
      <c r="V272" s="436"/>
      <c r="W272" s="436"/>
      <c r="X272" s="436"/>
      <c r="Y272" s="436"/>
      <c r="Z272" s="436"/>
      <c r="AA272" s="436"/>
      <c r="AB272" s="436"/>
      <c r="AC272" s="436"/>
      <c r="AD272" s="436"/>
      <c r="AE272" s="436"/>
      <c r="AF272" s="436"/>
      <c r="AG272" s="436"/>
      <c r="AH272" s="436"/>
      <c r="AI272" s="436"/>
      <c r="AJ272" s="436"/>
      <c r="AK272" s="436"/>
      <c r="AL272" s="436"/>
      <c r="AM272" s="436"/>
      <c r="AN272" s="436"/>
      <c r="AO272" s="436"/>
      <c r="AP272" s="436"/>
      <c r="AQ272" s="436"/>
      <c r="AR272" s="436"/>
      <c r="AS272" s="436"/>
      <c r="AT272" s="436"/>
      <c r="AU272" s="436"/>
      <c r="AV272" s="436"/>
      <c r="AW272" s="436"/>
      <c r="AX272" s="436"/>
      <c r="AY272" s="436"/>
      <c r="AZ272" s="436"/>
      <c r="BA272" s="436"/>
      <c r="BB272" s="436"/>
      <c r="BC272" s="436"/>
      <c r="BD272" s="436"/>
      <c r="BE272" s="436"/>
      <c r="BF272" s="436"/>
      <c r="BG272" s="436"/>
      <c r="BH272" s="493"/>
      <c r="BI272" s="493">
        <f>+BI271-BH271</f>
        <v>-2.9612125501485634E-4</v>
      </c>
      <c r="BJ272" s="493"/>
      <c r="BK272" s="437"/>
      <c r="BL272" s="493">
        <f>+BL271-BI271</f>
        <v>-4.9092759397226238E-5</v>
      </c>
      <c r="BM272" s="493">
        <f>+BM271-BL271</f>
        <v>-5.5862051788251217E-4</v>
      </c>
      <c r="BN272" s="493"/>
      <c r="BO272" s="437"/>
      <c r="BP272" s="493">
        <f>+BP271-BM271</f>
        <v>-7.4202686337796961E-4</v>
      </c>
      <c r="BQ272" s="493">
        <f>+BQ271-BP271</f>
        <v>-2.1571352800413106E-4</v>
      </c>
      <c r="BR272" s="493"/>
      <c r="BS272" s="436"/>
      <c r="BT272" s="493">
        <f>+BT271-BQ271</f>
        <v>-2.9131967611220264E-4</v>
      </c>
      <c r="BU272" s="493">
        <f>+BU271-BT271</f>
        <v>-1.7112127453861731E-4</v>
      </c>
      <c r="BV272" s="493"/>
      <c r="BW272" s="436"/>
      <c r="BX272" s="493">
        <f>+BX271-BU271</f>
        <v>-6.7627433159769823E-4</v>
      </c>
      <c r="BY272" s="493">
        <f>+BY271-BX271</f>
        <v>-2.3340202987803035E-4</v>
      </c>
      <c r="BZ272" s="493"/>
      <c r="CA272" s="436"/>
      <c r="CB272" s="493">
        <f>+CB271-BY271</f>
        <v>2.7197247928150911E-4</v>
      </c>
      <c r="CC272" s="493">
        <f>+CC271-CB271</f>
        <v>-7.6336309057031468E-5</v>
      </c>
      <c r="CD272" s="493"/>
      <c r="CE272" s="463"/>
      <c r="CF272" s="493">
        <f>+CF271-CC271</f>
        <v>2.8489751411102373E-3</v>
      </c>
      <c r="CG272" s="493">
        <f>+CG271-CF271</f>
        <v>1.5237421589817633E-4</v>
      </c>
      <c r="CH272" s="493"/>
      <c r="CI272" s="436"/>
      <c r="CJ272" s="493">
        <f>+CJ271-CG271</f>
        <v>3.6060584322447978E-4</v>
      </c>
      <c r="CK272" s="493">
        <f>+CK271-CJ271</f>
        <v>3.5812662937833011E-3</v>
      </c>
      <c r="CL272" s="493"/>
      <c r="CM272" s="436"/>
      <c r="CN272" s="493">
        <f>+CN271-CK271</f>
        <v>1.3477808277828403E-3</v>
      </c>
      <c r="CO272" s="493">
        <f>+CO271-CN271</f>
        <v>-1.8485695278982958E-3</v>
      </c>
      <c r="CP272" s="493"/>
      <c r="CQ272" s="436"/>
      <c r="CR272" s="493">
        <f>+CR271-CO271</f>
        <v>-9.6287520526094385E-4</v>
      </c>
      <c r="CS272" s="493">
        <f>+CS271-CR271</f>
        <v>-1.2431232144900495E-3</v>
      </c>
      <c r="CT272" s="493"/>
      <c r="CU272" s="436"/>
      <c r="CV272" s="493">
        <f>+CV271-CS271</f>
        <v>4.7499898675069756E-4</v>
      </c>
      <c r="CW272" s="493">
        <f>+CW271-CV271</f>
        <v>2.1306778373172304E-3</v>
      </c>
      <c r="CX272" s="493"/>
      <c r="CY272" s="436"/>
      <c r="CZ272" s="493">
        <f>+CZ271-CW271</f>
        <v>1.3560815308413625E-4</v>
      </c>
      <c r="DA272" s="493">
        <f>+DA271-CZ271</f>
        <v>1.8436444805347736E-4</v>
      </c>
      <c r="DB272" s="493"/>
      <c r="DC272" s="436"/>
      <c r="DD272" s="493">
        <f>+DD271-DA271</f>
        <v>-3.7858840532829785E-4</v>
      </c>
      <c r="DE272" s="493">
        <f>+DE271-DD271</f>
        <v>-3.2074250211155952E-4</v>
      </c>
      <c r="DF272" s="493"/>
      <c r="DG272" s="436"/>
      <c r="DH272" s="493">
        <f>+DH271-DE271</f>
        <v>-3.9367788162210371E-4</v>
      </c>
      <c r="DI272" s="501">
        <v>-4.0000000000000002E-4</v>
      </c>
      <c r="DJ272" s="493"/>
      <c r="DK272" s="436"/>
      <c r="DL272" s="501">
        <v>-2.9999999999999997E-4</v>
      </c>
      <c r="DM272" s="501">
        <v>-2.9999999999999997E-4</v>
      </c>
      <c r="DN272" s="493"/>
      <c r="DO272" s="436"/>
      <c r="DP272" s="501">
        <v>0</v>
      </c>
      <c r="DQ272" s="501">
        <v>0</v>
      </c>
      <c r="DR272" s="493"/>
      <c r="DS272" s="436"/>
      <c r="DT272" s="1"/>
      <c r="DU272" s="1"/>
      <c r="DV272" s="1"/>
      <c r="DW272" s="1"/>
      <c r="DX272" s="1"/>
      <c r="DY272" s="1"/>
      <c r="DZ272" s="1"/>
      <c r="EA272" s="1"/>
      <c r="EB272" s="1"/>
      <c r="EC272" s="1"/>
      <c r="ED272" s="1"/>
      <c r="EE272" s="1"/>
      <c r="EF272" s="1"/>
      <c r="EG272" s="1"/>
      <c r="EH272" s="1"/>
      <c r="EI272" s="1"/>
      <c r="EJ272" s="1"/>
      <c r="EK272" s="1"/>
      <c r="EL272" s="1"/>
      <c r="EM272" s="1"/>
      <c r="EN272" s="1"/>
      <c r="EO272" s="1"/>
      <c r="EP272" s="1"/>
      <c r="EQ272" s="1"/>
      <c r="ER272" s="1"/>
      <c r="ES272" s="1"/>
      <c r="ET272" s="1"/>
      <c r="EU272" s="1"/>
      <c r="EV272" s="1"/>
      <c r="EW272" s="1"/>
      <c r="EX272" s="1"/>
      <c r="EY272" s="1"/>
      <c r="EZ272" s="1"/>
      <c r="FA272" s="1"/>
      <c r="FB272" s="1"/>
      <c r="FC272" s="1"/>
      <c r="FD272" s="1"/>
      <c r="FE272" s="1"/>
      <c r="FF272" s="1"/>
      <c r="FG272" s="1"/>
      <c r="FH272" s="1"/>
      <c r="FI272" s="1"/>
      <c r="FJ272" s="1"/>
      <c r="FK272" s="1"/>
      <c r="FL272" s="1"/>
      <c r="FM272" s="1"/>
      <c r="FN272" s="1"/>
      <c r="FO272" s="1"/>
      <c r="FP272" s="1"/>
      <c r="FQ272" s="1"/>
      <c r="FR272" s="1"/>
      <c r="FS272" s="1"/>
      <c r="FT272" s="1"/>
      <c r="FU272" s="1"/>
      <c r="FV272" s="1"/>
      <c r="FW272" s="1"/>
      <c r="FX272" s="1"/>
      <c r="FY272" s="1"/>
      <c r="FZ272" s="1"/>
      <c r="GA272" s="1"/>
      <c r="GB272" s="1"/>
      <c r="GC272" s="1"/>
      <c r="GD272" s="1"/>
      <c r="GE272" s="1"/>
      <c r="GF272" s="1"/>
      <c r="GG272" s="1"/>
      <c r="GH272" s="1"/>
      <c r="GI272" s="1"/>
      <c r="GJ272" s="1"/>
      <c r="GK272" s="1"/>
      <c r="GL272" s="1"/>
      <c r="GM272" s="1"/>
      <c r="GN272" s="1"/>
      <c r="GO272" s="1"/>
      <c r="GP272" s="1"/>
      <c r="GQ272" s="1"/>
      <c r="GR272" s="1"/>
      <c r="GS272" s="1"/>
      <c r="GT272" s="1"/>
      <c r="GU272" s="1"/>
      <c r="GV272" s="1"/>
      <c r="GW272" s="1"/>
      <c r="GX272" s="1"/>
      <c r="GY272" s="1"/>
      <c r="GZ272" s="1"/>
      <c r="HA272" s="1"/>
      <c r="HB272" s="1"/>
      <c r="HC272" s="1"/>
      <c r="HD272" s="1"/>
      <c r="HE272" s="1"/>
      <c r="HF272" s="1"/>
      <c r="HG272" s="1"/>
      <c r="HH272" s="1"/>
      <c r="HI272" s="1"/>
      <c r="HJ272" s="1"/>
      <c r="HK272" s="1"/>
      <c r="HL272" s="1"/>
      <c r="HM272" s="1"/>
      <c r="HN272" s="1"/>
      <c r="HO272" s="1"/>
      <c r="HP272" s="1"/>
      <c r="HQ272" s="1"/>
      <c r="HR272" s="1"/>
      <c r="HS272" s="1"/>
      <c r="HT272" s="1"/>
      <c r="HU272" s="1"/>
      <c r="HV272" s="1"/>
      <c r="HW272" s="1"/>
      <c r="HX272" s="1"/>
      <c r="HY272" s="1"/>
      <c r="HZ272" s="1"/>
      <c r="IA272" s="1"/>
      <c r="IB272" s="1"/>
      <c r="IC272" s="1"/>
      <c r="ID272" s="1"/>
      <c r="IE272" s="1"/>
      <c r="IF272" s="1"/>
      <c r="IG272" s="1"/>
      <c r="IH272" s="1"/>
      <c r="II272" s="1"/>
      <c r="IJ272" s="1"/>
      <c r="IK272" s="1"/>
      <c r="IL272" s="1"/>
      <c r="IM272" s="1"/>
      <c r="IN272" s="1"/>
      <c r="IO272" s="1"/>
      <c r="IP272" s="1"/>
      <c r="IQ272" s="1"/>
      <c r="IR272" s="1"/>
      <c r="IS272" s="1"/>
      <c r="IT272" s="1"/>
      <c r="IU272" s="1"/>
      <c r="IV272" s="1"/>
      <c r="IW272" s="1"/>
      <c r="IX272" s="1"/>
      <c r="IY272" s="1"/>
      <c r="IZ272" s="1"/>
      <c r="JA272" s="1"/>
      <c r="JB272" s="1"/>
      <c r="JC272" s="1"/>
      <c r="JD272" s="1"/>
    </row>
    <row r="273" spans="1:264" s="347" customFormat="1" x14ac:dyDescent="0.2">
      <c r="A273" s="347" t="s">
        <v>326</v>
      </c>
      <c r="B273" s="348"/>
      <c r="BH273" s="489">
        <f>-BH251/BH270</f>
        <v>9.0746867677223113E-3</v>
      </c>
      <c r="BI273" s="489">
        <f>-BI251/BI270</f>
        <v>8.6827602549535473E-3</v>
      </c>
      <c r="BJ273" s="489">
        <f>-BJ251/BJ270</f>
        <v>8.6827602549535473E-3</v>
      </c>
      <c r="BK273" s="348"/>
      <c r="BL273" s="489">
        <f>-BL251/BL270</f>
        <v>8.5877491419731472E-3</v>
      </c>
      <c r="BM273" s="489">
        <f>-BM251/BM270</f>
        <v>8.2288320033164063E-3</v>
      </c>
      <c r="BN273" s="489">
        <f>-BN251/BN270</f>
        <v>8.2288320033164063E-3</v>
      </c>
      <c r="BO273" s="348"/>
      <c r="BP273" s="489">
        <f>-BP251/BP270</f>
        <v>7.826131290929279E-3</v>
      </c>
      <c r="BQ273" s="489">
        <f>-BQ251/BQ270</f>
        <v>7.4907585952522365E-3</v>
      </c>
      <c r="BR273" s="489">
        <f>-BR251/BR270</f>
        <v>7.4907585952522365E-3</v>
      </c>
      <c r="BT273" s="489">
        <f>-BT251/BT270</f>
        <v>7.1333615170299141E-3</v>
      </c>
      <c r="BU273" s="489">
        <f>-BU251/BU270</f>
        <v>7.1401966721311889E-3</v>
      </c>
      <c r="BV273" s="489">
        <f>-BV251/BV270</f>
        <v>7.1401966721311889E-3</v>
      </c>
      <c r="BX273" s="489">
        <f>-BX251/BX270</f>
        <v>6.4309786680290778E-3</v>
      </c>
      <c r="BY273" s="489">
        <f>-BY251/BY270</f>
        <v>6.2851350949405466E-3</v>
      </c>
      <c r="BZ273" s="489">
        <f>-BZ251/BZ270</f>
        <v>6.2851350949405466E-3</v>
      </c>
      <c r="CB273" s="489">
        <f>-CB251/CB270</f>
        <v>6.2880526998702465E-3</v>
      </c>
      <c r="CC273" s="489">
        <f>-CC251/CC270</f>
        <v>6.0247006183876571E-3</v>
      </c>
      <c r="CD273" s="489">
        <f>-CD251/CD270</f>
        <v>6.0247006183876571E-3</v>
      </c>
      <c r="CF273" s="489">
        <f>-CF251/CF270</f>
        <v>8.5680139460489191E-3</v>
      </c>
      <c r="CG273" s="489">
        <f>-CG251/CG270</f>
        <v>8.6226317579655536E-3</v>
      </c>
      <c r="CH273" s="489">
        <f>-CH251/CH270</f>
        <v>8.6226317579655536E-3</v>
      </c>
      <c r="CJ273" s="489">
        <f>-CJ251/CJ270</f>
        <v>9.0548008032879587E-3</v>
      </c>
      <c r="CK273" s="489">
        <f>-CK251/CK270</f>
        <v>1.1860696167474085E-2</v>
      </c>
      <c r="CL273" s="489">
        <f>-CL251/CL270</f>
        <v>1.1860696167474085E-2</v>
      </c>
      <c r="CN273" s="489">
        <f>-CN251/CN270</f>
        <v>1.3101389721702938E-2</v>
      </c>
      <c r="CO273" s="489">
        <f>-CO251/CO270</f>
        <v>1.1784414662288098E-2</v>
      </c>
      <c r="CP273" s="489">
        <f>-CP251/CP270</f>
        <v>1.1784414662288098E-2</v>
      </c>
      <c r="CR273" s="489">
        <f>-CR251/CR270</f>
        <v>1.0726235201630761E-2</v>
      </c>
      <c r="CS273" s="489">
        <f>-CS251/CS270</f>
        <v>9.2610445638813231E-3</v>
      </c>
      <c r="CT273" s="489">
        <f>-CT251/CT270</f>
        <v>9.2610445638813231E-3</v>
      </c>
      <c r="CV273" s="489">
        <f>-CV251/CV270</f>
        <v>9.7148974979182363E-3</v>
      </c>
      <c r="CW273" s="489">
        <f>-CW251/CW270</f>
        <v>1.1102753893228944E-2</v>
      </c>
      <c r="CX273" s="489">
        <f>-CX251/CX270</f>
        <v>1.1102753893228944E-2</v>
      </c>
      <c r="CZ273" s="489">
        <f>-CZ251/CZ270</f>
        <v>1.1495889087316993E-2</v>
      </c>
      <c r="DA273" s="489">
        <f>-DA251/DA270</f>
        <v>1.1598734683489074E-2</v>
      </c>
      <c r="DB273" s="489">
        <f>-DB251/DB270</f>
        <v>1.1598734683489074E-2</v>
      </c>
      <c r="DD273" s="489">
        <f>-DD251/DD270</f>
        <v>1.1385474605540572E-2</v>
      </c>
      <c r="DE273" s="489">
        <f>-DE251/DE270</f>
        <v>1.1208416894254704E-2</v>
      </c>
      <c r="DF273" s="489">
        <f>-DF251/DF270</f>
        <v>1.1208416894254704E-2</v>
      </c>
      <c r="DH273" s="489">
        <f>-DH251/DH270</f>
        <v>1.096752488571372E-2</v>
      </c>
      <c r="DI273" s="502">
        <f ca="1">-DI251/DI270</f>
        <v>1.0659120627854752E-2</v>
      </c>
      <c r="DJ273" s="489">
        <f ca="1">-DJ251/DJ270</f>
        <v>1.0659120627854752E-2</v>
      </c>
      <c r="DL273" s="502">
        <f ca="1">-DL251/DL270</f>
        <v>1.041198447478019E-2</v>
      </c>
      <c r="DM273" s="502">
        <f ca="1">-DM251/DM270</f>
        <v>1.0171931233701031E-2</v>
      </c>
      <c r="DN273" s="489">
        <f ca="1">-DN251/DN270</f>
        <v>1.0171931233701031E-2</v>
      </c>
      <c r="DP273" s="502">
        <f ca="1">-DP251/DP270</f>
        <v>1.0170944217570256E-2</v>
      </c>
      <c r="DQ273" s="502">
        <f ca="1">-DQ251/DQ270</f>
        <v>1.0172939471714174E-2</v>
      </c>
      <c r="DR273" s="489">
        <f ca="1">-DR251/DR270</f>
        <v>1.0172939471714174E-2</v>
      </c>
      <c r="DT273" s="1"/>
      <c r="DU273" s="1"/>
      <c r="DV273" s="1"/>
      <c r="DW273" s="1"/>
      <c r="DX273" s="1"/>
      <c r="DY273" s="1"/>
      <c r="DZ273" s="1"/>
      <c r="EA273" s="1"/>
      <c r="EB273" s="1"/>
      <c r="EC273" s="1"/>
      <c r="ED273" s="1"/>
      <c r="EE273" s="1"/>
      <c r="EF273" s="1"/>
      <c r="EG273" s="1"/>
      <c r="EH273" s="1"/>
      <c r="EI273" s="1"/>
      <c r="EJ273" s="1"/>
      <c r="EK273" s="1"/>
      <c r="EL273" s="1"/>
      <c r="EM273" s="1"/>
      <c r="EN273" s="1"/>
      <c r="EO273" s="1"/>
      <c r="EP273" s="1"/>
      <c r="EQ273" s="1"/>
      <c r="ER273" s="1"/>
      <c r="ES273" s="1"/>
      <c r="ET273" s="1"/>
      <c r="EU273" s="1"/>
      <c r="EV273" s="1"/>
      <c r="EW273" s="1"/>
      <c r="EX273" s="1"/>
      <c r="EY273" s="1"/>
      <c r="EZ273" s="1"/>
      <c r="FA273" s="1"/>
      <c r="FB273" s="1"/>
      <c r="FC273" s="1"/>
      <c r="FD273" s="1"/>
      <c r="FE273" s="1"/>
      <c r="FF273" s="1"/>
      <c r="FG273" s="1"/>
      <c r="FH273" s="1"/>
      <c r="FI273" s="1"/>
      <c r="FJ273" s="1"/>
      <c r="FK273" s="1"/>
      <c r="FL273" s="1"/>
      <c r="FM273" s="1"/>
      <c r="FN273" s="1"/>
      <c r="FO273" s="1"/>
      <c r="FP273" s="1"/>
      <c r="FQ273" s="1"/>
      <c r="FR273" s="1"/>
      <c r="FS273" s="1"/>
      <c r="FT273" s="1"/>
      <c r="FU273" s="1"/>
      <c r="FV273" s="1"/>
      <c r="FW273" s="1"/>
      <c r="FX273" s="1"/>
      <c r="FY273" s="1"/>
      <c r="FZ273" s="1"/>
      <c r="GA273" s="1"/>
      <c r="GB273" s="1"/>
      <c r="GC273" s="1"/>
      <c r="GD273" s="1"/>
      <c r="GE273" s="1"/>
      <c r="GF273" s="1"/>
      <c r="GG273" s="1"/>
      <c r="GH273" s="1"/>
      <c r="GI273" s="1"/>
      <c r="GJ273" s="1"/>
      <c r="GK273" s="1"/>
      <c r="GL273" s="1"/>
      <c r="GM273" s="1"/>
      <c r="GN273" s="1"/>
      <c r="GO273" s="1"/>
      <c r="GP273" s="1"/>
      <c r="GQ273" s="1"/>
      <c r="GR273" s="1"/>
      <c r="GS273" s="1"/>
      <c r="GT273" s="1"/>
      <c r="GU273" s="1"/>
      <c r="GV273" s="1"/>
      <c r="GW273" s="1"/>
      <c r="GX273" s="1"/>
      <c r="GY273" s="1"/>
      <c r="GZ273" s="1"/>
      <c r="HA273" s="1"/>
      <c r="HB273" s="1"/>
      <c r="HC273" s="1"/>
      <c r="HD273" s="1"/>
      <c r="HE273" s="1"/>
      <c r="HF273" s="1"/>
      <c r="HG273" s="1"/>
      <c r="HH273" s="1"/>
      <c r="HI273" s="1"/>
      <c r="HJ273" s="1"/>
      <c r="HK273" s="1"/>
      <c r="HL273" s="1"/>
      <c r="HM273" s="1"/>
      <c r="HN273" s="1"/>
      <c r="HO273" s="1"/>
      <c r="HP273" s="1"/>
      <c r="HQ273" s="1"/>
      <c r="HR273" s="1"/>
      <c r="HS273" s="1"/>
      <c r="HT273" s="1"/>
      <c r="HU273" s="1"/>
      <c r="HV273" s="1"/>
      <c r="HW273" s="1"/>
      <c r="HX273" s="1"/>
      <c r="HY273" s="1"/>
      <c r="HZ273" s="1"/>
      <c r="IA273" s="1"/>
      <c r="IB273" s="1"/>
      <c r="IC273" s="1"/>
      <c r="ID273" s="1"/>
      <c r="IE273" s="1"/>
      <c r="IF273" s="1"/>
      <c r="IG273" s="1"/>
      <c r="IH273" s="1"/>
      <c r="II273" s="1"/>
      <c r="IJ273" s="1"/>
      <c r="IK273" s="1"/>
      <c r="IL273" s="1"/>
      <c r="IM273" s="1"/>
      <c r="IN273" s="1"/>
      <c r="IO273" s="1"/>
      <c r="IP273" s="1"/>
      <c r="IQ273" s="1"/>
      <c r="IR273" s="1"/>
      <c r="IS273" s="1"/>
      <c r="IT273" s="1"/>
      <c r="IU273" s="1"/>
      <c r="IV273" s="1"/>
      <c r="IW273" s="1"/>
      <c r="IX273" s="1"/>
      <c r="IY273" s="1"/>
      <c r="IZ273" s="1"/>
      <c r="JA273" s="1"/>
      <c r="JB273" s="1"/>
      <c r="JC273" s="1"/>
      <c r="JD273" s="1"/>
    </row>
    <row r="274" spans="1:264" s="347" customFormat="1" x14ac:dyDescent="0.2">
      <c r="A274" s="463" t="s">
        <v>327</v>
      </c>
      <c r="B274" s="466"/>
      <c r="C274" s="463"/>
      <c r="D274" s="463"/>
      <c r="E274" s="463"/>
      <c r="F274" s="463"/>
      <c r="G274" s="463"/>
      <c r="H274" s="463"/>
      <c r="I274" s="463"/>
      <c r="J274" s="463"/>
      <c r="K274" s="463"/>
      <c r="L274" s="463"/>
      <c r="M274" s="463"/>
      <c r="N274" s="463"/>
      <c r="O274" s="463"/>
      <c r="P274" s="463"/>
      <c r="Q274" s="463"/>
      <c r="R274" s="463"/>
      <c r="S274" s="463"/>
      <c r="T274" s="463"/>
      <c r="U274" s="463"/>
      <c r="V274" s="463"/>
      <c r="W274" s="463"/>
      <c r="X274" s="463"/>
      <c r="Y274" s="463"/>
      <c r="Z274" s="463"/>
      <c r="AA274" s="463"/>
      <c r="AB274" s="463"/>
      <c r="AC274" s="463"/>
      <c r="AD274" s="463"/>
      <c r="AE274" s="463"/>
      <c r="AF274" s="463"/>
      <c r="AG274" s="463"/>
      <c r="AH274" s="463"/>
      <c r="AI274" s="463"/>
      <c r="AJ274" s="463"/>
      <c r="AK274" s="463"/>
      <c r="AL274" s="463"/>
      <c r="AM274" s="463"/>
      <c r="AN274" s="463"/>
      <c r="AO274" s="463"/>
      <c r="AP274" s="463"/>
      <c r="AQ274" s="463"/>
      <c r="AR274" s="463"/>
      <c r="AS274" s="463"/>
      <c r="AT274" s="463"/>
      <c r="AU274" s="463"/>
      <c r="AV274" s="463"/>
      <c r="AW274" s="463"/>
      <c r="AX274" s="463"/>
      <c r="AY274" s="463"/>
      <c r="AZ274" s="463"/>
      <c r="BA274" s="463"/>
      <c r="BB274" s="463"/>
      <c r="BC274" s="463"/>
      <c r="BD274" s="463"/>
      <c r="BE274" s="463"/>
      <c r="BF274" s="463"/>
      <c r="BG274" s="463"/>
      <c r="BH274" s="467">
        <f>2*BH258/BH257</f>
        <v>-5.0796812749003988E-2</v>
      </c>
      <c r="BI274" s="467">
        <f>2*BI258/BI257</f>
        <v>-4.2276422764227641E-2</v>
      </c>
      <c r="BJ274" s="467">
        <f>BJ258/BJ257</f>
        <v>-4.4820717131474105E-2</v>
      </c>
      <c r="BK274" s="466"/>
      <c r="BL274" s="467">
        <f>2*BL258/BL257</f>
        <v>-3.6855036855036855E-2</v>
      </c>
      <c r="BM274" s="467">
        <f>2*BM258/BM257</f>
        <v>-2.9661016949152543E-2</v>
      </c>
      <c r="BN274" s="467">
        <f>BN258/BN257</f>
        <v>-3.1326781326781329E-2</v>
      </c>
      <c r="BO274" s="466"/>
      <c r="BP274" s="467">
        <f>2*BP258/BP257</f>
        <v>-3.1943212067435667E-2</v>
      </c>
      <c r="BQ274" s="467">
        <f>2*BQ258/BQ257</f>
        <v>-3.5842293906810034E-2</v>
      </c>
      <c r="BR274" s="467">
        <f>BR258/BR257</f>
        <v>-3.3717834960070983E-2</v>
      </c>
      <c r="BS274" s="463"/>
      <c r="BT274" s="467">
        <f>2*BT258/BT257</f>
        <v>-2.9312288613303268E-2</v>
      </c>
      <c r="BU274" s="467">
        <f>2*BU258/BU257</f>
        <v>-3.0803080308030802E-2</v>
      </c>
      <c r="BV274" s="467">
        <f>BV258/BV257</f>
        <v>-3.0439684329199548E-2</v>
      </c>
      <c r="BW274" s="463"/>
      <c r="BX274" s="467">
        <f>2*BX258/BX257</f>
        <v>-3.3898305084745763E-2</v>
      </c>
      <c r="BY274" s="467">
        <f>2*BY258/BY257</f>
        <v>-2.9498525073746312E-2</v>
      </c>
      <c r="BZ274" s="467">
        <f>BZ258/BZ257</f>
        <v>-3.283898305084746E-2</v>
      </c>
      <c r="CA274" s="463"/>
      <c r="CB274" s="467">
        <f>2*CB258/CB257</f>
        <v>-2.8571428571428571E-2</v>
      </c>
      <c r="CC274" s="467">
        <f>2*CC258/CC257</f>
        <v>-2.2494887525562373E-2</v>
      </c>
      <c r="CD274" s="467">
        <f>CD258/CD257</f>
        <v>-2.5510204081632654E-2</v>
      </c>
      <c r="CE274" s="463"/>
      <c r="CF274" s="467">
        <f>2*CF258/CF257</f>
        <v>-2.2988505747126436E-2</v>
      </c>
      <c r="CG274" s="467">
        <f>2*CG258/CG257</f>
        <v>-2.8260869565217391E-2</v>
      </c>
      <c r="CH274" s="467">
        <f>CH258/CH257</f>
        <v>-2.6436781609195402E-2</v>
      </c>
      <c r="CI274" s="463"/>
      <c r="CJ274" s="467">
        <f>2*CJ258/CJ257</f>
        <v>2.4581005586592177E-2</v>
      </c>
      <c r="CK274" s="467">
        <f>2*CK258/CK257</f>
        <v>1.0427528675703858E-2</v>
      </c>
      <c r="CL274" s="467">
        <f>CL258/CL257</f>
        <v>1.7877094972067038E-2</v>
      </c>
      <c r="CM274" s="463"/>
      <c r="CN274" s="467">
        <f>2*CN258/CN257</f>
        <v>1.4477766287487074E-2</v>
      </c>
      <c r="CO274" s="467">
        <f>2*CO258/CO257</f>
        <v>2.0642201834862386E-2</v>
      </c>
      <c r="CP274" s="467">
        <f>CP258/CP257</f>
        <v>1.6546018614270942E-2</v>
      </c>
      <c r="CQ274" s="463"/>
      <c r="CR274" s="467">
        <f>2*CR258/CR257</f>
        <v>1.7777777777777778E-2</v>
      </c>
      <c r="CS274" s="467">
        <f>2*CS258/CS257</f>
        <v>7.575757575757576E-3</v>
      </c>
      <c r="CT274" s="467">
        <f>CT258/CT257</f>
        <v>1.2222222222222223E-2</v>
      </c>
      <c r="CU274" s="463"/>
      <c r="CV274" s="467">
        <f>2*CV258/CV257</f>
        <v>1.9021739130434784E-2</v>
      </c>
      <c r="CW274" s="467">
        <f>2*CW258/CW257</f>
        <v>1.8720748829953199E-2</v>
      </c>
      <c r="CX274" s="467">
        <f>CX258/CX257</f>
        <v>1.7663043478260868E-2</v>
      </c>
      <c r="CY274" s="463"/>
      <c r="CZ274" s="467">
        <f>2*CZ258/CZ257</f>
        <v>1.8567639257294429E-2</v>
      </c>
      <c r="DA274" s="467">
        <f>2*DA258/DA257</f>
        <v>2.1828103683492497E-2</v>
      </c>
      <c r="DB274" s="467">
        <f>DB258/DB257</f>
        <v>1.9893899204244031E-2</v>
      </c>
      <c r="DC274" s="463"/>
      <c r="DD274" s="467">
        <f>2*DD258/DD257</f>
        <v>3.0898876404494381E-2</v>
      </c>
      <c r="DE274" s="467">
        <f>2*DE258/DE257</f>
        <v>1.9047619047619049E-2</v>
      </c>
      <c r="DF274" s="467">
        <f>DF258/DF257</f>
        <v>2.5280898876404494E-2</v>
      </c>
      <c r="DG274" s="463"/>
      <c r="DH274" s="467">
        <f>2*DH258/DH257</f>
        <v>1.7156862745098041E-2</v>
      </c>
      <c r="DI274" s="503">
        <f>DH274</f>
        <v>1.7156862745098041E-2</v>
      </c>
      <c r="DJ274" s="467">
        <f>DJ258/DJ257</f>
        <v>1.691506872356786E-2</v>
      </c>
      <c r="DK274" s="463"/>
      <c r="DL274" s="503">
        <f>DI274</f>
        <v>1.7156862745098041E-2</v>
      </c>
      <c r="DM274" s="503">
        <f>DL274</f>
        <v>1.7156862745098041E-2</v>
      </c>
      <c r="DN274" s="467">
        <f>DN258/DN257</f>
        <v>1.7410031136835577E-2</v>
      </c>
      <c r="DO274" s="463"/>
      <c r="DP274" s="503">
        <f>DM274</f>
        <v>1.7156862745098041E-2</v>
      </c>
      <c r="DQ274" s="503">
        <f>DP274</f>
        <v>1.7156862745098041E-2</v>
      </c>
      <c r="DR274" s="467">
        <f>DR258/DR257</f>
        <v>1.7484434649859416E-2</v>
      </c>
      <c r="DS274" s="463"/>
      <c r="DT274" s="1"/>
      <c r="DU274" s="1"/>
      <c r="DV274" s="1"/>
      <c r="DW274" s="1"/>
      <c r="DX274" s="1"/>
      <c r="DY274" s="1"/>
      <c r="DZ274" s="1"/>
      <c r="EA274" s="1"/>
      <c r="EB274" s="1"/>
      <c r="EC274" s="1"/>
      <c r="ED274" s="1"/>
      <c r="EE274" s="1"/>
      <c r="EF274" s="1"/>
      <c r="EG274" s="1"/>
      <c r="EH274" s="1"/>
      <c r="EI274" s="1"/>
      <c r="EJ274" s="1"/>
      <c r="EK274" s="1"/>
      <c r="EL274" s="1"/>
      <c r="EM274" s="1"/>
      <c r="EN274" s="1"/>
      <c r="EO274" s="1"/>
      <c r="EP274" s="1"/>
      <c r="EQ274" s="1"/>
      <c r="ER274" s="1"/>
      <c r="ES274" s="1"/>
      <c r="ET274" s="1"/>
      <c r="EU274" s="1"/>
      <c r="EV274" s="1"/>
      <c r="EW274" s="1"/>
      <c r="EX274" s="1"/>
      <c r="EY274" s="1"/>
      <c r="EZ274" s="1"/>
      <c r="FA274" s="1"/>
      <c r="FB274" s="1"/>
      <c r="FC274" s="1"/>
      <c r="FD274" s="1"/>
      <c r="FE274" s="1"/>
      <c r="FF274" s="1"/>
      <c r="FG274" s="1"/>
      <c r="FH274" s="1"/>
      <c r="FI274" s="1"/>
      <c r="FJ274" s="1"/>
      <c r="FK274" s="1"/>
      <c r="FL274" s="1"/>
      <c r="FM274" s="1"/>
      <c r="FN274" s="1"/>
      <c r="FO274" s="1"/>
      <c r="FP274" s="1"/>
      <c r="FQ274" s="1"/>
      <c r="FR274" s="1"/>
      <c r="FS274" s="1"/>
      <c r="FT274" s="1"/>
      <c r="FU274" s="1"/>
      <c r="FV274" s="1"/>
      <c r="FW274" s="1"/>
      <c r="FX274" s="1"/>
      <c r="FY274" s="1"/>
      <c r="FZ274" s="1"/>
      <c r="GA274" s="1"/>
      <c r="GB274" s="1"/>
      <c r="GC274" s="1"/>
      <c r="GD274" s="1"/>
      <c r="GE274" s="1"/>
      <c r="GF274" s="1"/>
      <c r="GG274" s="1"/>
      <c r="GH274" s="1"/>
      <c r="GI274" s="1"/>
      <c r="GJ274" s="1"/>
      <c r="GK274" s="1"/>
      <c r="GL274" s="1"/>
      <c r="GM274" s="1"/>
      <c r="GN274" s="1"/>
      <c r="GO274" s="1"/>
      <c r="GP274" s="1"/>
      <c r="GQ274" s="1"/>
      <c r="GR274" s="1"/>
      <c r="GS274" s="1"/>
      <c r="GT274" s="1"/>
      <c r="GU274" s="1"/>
      <c r="GV274" s="1"/>
      <c r="GW274" s="1"/>
      <c r="GX274" s="1"/>
      <c r="GY274" s="1"/>
      <c r="GZ274" s="1"/>
      <c r="HA274" s="1"/>
      <c r="HB274" s="1"/>
      <c r="HC274" s="1"/>
      <c r="HD274" s="1"/>
      <c r="HE274" s="1"/>
      <c r="HF274" s="1"/>
      <c r="HG274" s="1"/>
      <c r="HH274" s="1"/>
      <c r="HI274" s="1"/>
      <c r="HJ274" s="1"/>
      <c r="HK274" s="1"/>
      <c r="HL274" s="1"/>
      <c r="HM274" s="1"/>
      <c r="HN274" s="1"/>
      <c r="HO274" s="1"/>
      <c r="HP274" s="1"/>
      <c r="HQ274" s="1"/>
      <c r="HR274" s="1"/>
      <c r="HS274" s="1"/>
      <c r="HT274" s="1"/>
      <c r="HU274" s="1"/>
      <c r="HV274" s="1"/>
      <c r="HW274" s="1"/>
      <c r="HX274" s="1"/>
      <c r="HY274" s="1"/>
      <c r="HZ274" s="1"/>
      <c r="IA274" s="1"/>
      <c r="IB274" s="1"/>
      <c r="IC274" s="1"/>
      <c r="ID274" s="1"/>
      <c r="IE274" s="1"/>
      <c r="IF274" s="1"/>
      <c r="IG274" s="1"/>
      <c r="IH274" s="1"/>
      <c r="II274" s="1"/>
      <c r="IJ274" s="1"/>
      <c r="IK274" s="1"/>
      <c r="IL274" s="1"/>
      <c r="IM274" s="1"/>
      <c r="IN274" s="1"/>
      <c r="IO274" s="1"/>
      <c r="IP274" s="1"/>
      <c r="IQ274" s="1"/>
      <c r="IR274" s="1"/>
      <c r="IS274" s="1"/>
      <c r="IT274" s="1"/>
      <c r="IU274" s="1"/>
      <c r="IV274" s="1"/>
      <c r="IW274" s="1"/>
      <c r="IX274" s="1"/>
      <c r="IY274" s="1"/>
      <c r="IZ274" s="1"/>
      <c r="JA274" s="1"/>
      <c r="JB274" s="1"/>
      <c r="JC274" s="1"/>
      <c r="JD274" s="1"/>
    </row>
    <row r="275" spans="1:264" s="347" customFormat="1" x14ac:dyDescent="0.2">
      <c r="A275" s="347" t="s">
        <v>1148</v>
      </c>
      <c r="B275" s="348"/>
      <c r="BH275" s="419">
        <f>BH260/BE202*2</f>
        <v>-3.1576701514828248E-2</v>
      </c>
      <c r="BI275" s="419">
        <f>BI260/BH202*2</f>
        <v>-3.5714285714285712E-2</v>
      </c>
      <c r="BJ275" s="419">
        <f>BJ260/BF202</f>
        <v>-3.2856838062726691E-2</v>
      </c>
      <c r="BK275" s="348"/>
      <c r="BL275" s="419">
        <f>BL260/BI202*2</f>
        <v>-4.203233256351039E-2</v>
      </c>
      <c r="BM275" s="419">
        <f>BM260/BL202*2</f>
        <v>-3.757298806803757E-2</v>
      </c>
      <c r="BN275" s="419">
        <f>BN260/BJ202</f>
        <v>-3.8106235565819858E-2</v>
      </c>
      <c r="BO275" s="348"/>
      <c r="BP275" s="419">
        <f>BP260/BM202*2</f>
        <v>-5.8212058212058215E-2</v>
      </c>
      <c r="BQ275" s="419">
        <f>BQ260/BP202*2</f>
        <v>-4.642857142857143E-2</v>
      </c>
      <c r="BR275" s="419">
        <f>BR260/BN202</f>
        <v>-5.2272052272052269E-2</v>
      </c>
      <c r="BT275" s="419">
        <f>BT260/BQ202*2</f>
        <v>-8.4063047285464099E-2</v>
      </c>
      <c r="BU275" s="419">
        <f>BU260/BT202*2</f>
        <v>-7.5322812051649923E-2</v>
      </c>
      <c r="BV275" s="419">
        <f>BV260/BR202</f>
        <v>-7.8809106830122586E-2</v>
      </c>
      <c r="BX275" s="419">
        <f>BX260/BU202*2</f>
        <v>-6.8677792041078309E-2</v>
      </c>
      <c r="BY275" s="419">
        <f>BY260/BX202*2</f>
        <v>-6.1037037037037035E-2</v>
      </c>
      <c r="BZ275" s="419">
        <f>BZ260/BV202</f>
        <v>-6.739409499358151E-2</v>
      </c>
      <c r="CB275" s="419">
        <f>CB260/BY202*2</f>
        <v>-6.5265139629745839E-2</v>
      </c>
      <c r="CC275" s="419">
        <f>CC260/CB202*2</f>
        <v>-5.7618057618057619E-2</v>
      </c>
      <c r="CD275" s="419">
        <f>CD260/BZ202</f>
        <v>-6.3068716661437083E-2</v>
      </c>
      <c r="CF275" s="419">
        <f>CF260/CC202*2</f>
        <v>-6.5429380308273041E-2</v>
      </c>
      <c r="CG275" s="419">
        <f>CG260/CF202*2</f>
        <v>-5.7303370786516851E-2</v>
      </c>
      <c r="CH275" s="419">
        <f>CH260/CD202</f>
        <v>-6.480025165146272E-2</v>
      </c>
      <c r="CJ275" s="419">
        <f>CJ260/CG202*2</f>
        <v>-5.5770292655991163E-2</v>
      </c>
      <c r="CK275" s="419">
        <f>CK260/CJ202*2</f>
        <v>-4.9660065031037544E-2</v>
      </c>
      <c r="CL275" s="419">
        <f>CL260/CH202</f>
        <v>-5.1076753175041414E-2</v>
      </c>
      <c r="CN275" s="419">
        <f>CN260/CK202*2</f>
        <v>-3.8895152198421649E-2</v>
      </c>
      <c r="CO275" s="419">
        <f>CO260/CN202*2</f>
        <v>-0.04</v>
      </c>
      <c r="CP275" s="419">
        <f>CP260/CL202</f>
        <v>-3.6922209695603156E-2</v>
      </c>
      <c r="CR275" s="419">
        <f>CR260/CO202*2</f>
        <v>-3.93077148723966E-2</v>
      </c>
      <c r="CS275" s="419">
        <f>CS260/CR202*2</f>
        <v>-3.4462952326249283E-2</v>
      </c>
      <c r="CT275" s="419">
        <f>CT260/CP202</f>
        <v>-3.7254326782047521E-2</v>
      </c>
      <c r="CV275" s="419">
        <f>CV260/CS202*2</f>
        <v>-4.3375127075567607E-2</v>
      </c>
      <c r="CW275" s="419">
        <f>CW260/CV202*2</f>
        <v>-2.8985507246376812E-2</v>
      </c>
      <c r="CX275" s="419">
        <f>CX260/CT202</f>
        <v>-3.6597763470010168E-2</v>
      </c>
      <c r="CZ275" s="419">
        <f>CZ260/CW202*2</f>
        <v>-3.1268791340950092E-2</v>
      </c>
      <c r="DA275" s="419">
        <f>DA260/CZ202*2</f>
        <v>-4.6957059005251774E-2</v>
      </c>
      <c r="DB275" s="419">
        <f>DB260/CX202</f>
        <v>-3.8484666265784728E-2</v>
      </c>
      <c r="DE275" s="419"/>
      <c r="DF275" s="419"/>
      <c r="DT275" s="1"/>
      <c r="DU275" s="1"/>
      <c r="DV275" s="1"/>
      <c r="DW275" s="1"/>
      <c r="DX275" s="1"/>
      <c r="DY275" s="1"/>
      <c r="DZ275" s="1"/>
      <c r="EA275" s="1"/>
      <c r="EB275" s="1"/>
      <c r="EC275" s="1"/>
      <c r="ED275" s="1"/>
      <c r="EE275" s="1"/>
      <c r="EF275" s="1"/>
      <c r="EG275" s="1"/>
      <c r="EH275" s="1"/>
      <c r="EI275" s="1"/>
      <c r="EJ275" s="1"/>
      <c r="EK275" s="1"/>
      <c r="EL275" s="1"/>
      <c r="EM275" s="1"/>
      <c r="EN275" s="1"/>
      <c r="EO275" s="1"/>
      <c r="EP275" s="1"/>
      <c r="EQ275" s="1"/>
      <c r="ER275" s="1"/>
      <c r="ES275" s="1"/>
      <c r="ET275" s="1"/>
      <c r="EU275" s="1"/>
      <c r="EV275" s="1"/>
      <c r="EW275" s="1"/>
      <c r="EX275" s="1"/>
      <c r="EY275" s="1"/>
      <c r="EZ275" s="1"/>
      <c r="FA275" s="1"/>
      <c r="FB275" s="1"/>
      <c r="FC275" s="1"/>
      <c r="FD275" s="1"/>
      <c r="FE275" s="1"/>
      <c r="FF275" s="1"/>
      <c r="FG275" s="1"/>
      <c r="FH275" s="1"/>
      <c r="FI275" s="1"/>
      <c r="FJ275" s="1"/>
      <c r="FK275" s="1"/>
      <c r="FL275" s="1"/>
      <c r="FM275" s="1"/>
      <c r="FN275" s="1"/>
      <c r="FO275" s="1"/>
      <c r="FP275" s="1"/>
      <c r="FQ275" s="1"/>
      <c r="FR275" s="1"/>
      <c r="FS275" s="1"/>
      <c r="FT275" s="1"/>
      <c r="FU275" s="1"/>
      <c r="FV275" s="1"/>
      <c r="FW275" s="1"/>
      <c r="FX275" s="1"/>
      <c r="FY275" s="1"/>
      <c r="FZ275" s="1"/>
      <c r="GA275" s="1"/>
      <c r="GB275" s="1"/>
      <c r="GC275" s="1"/>
      <c r="GD275" s="1"/>
      <c r="GE275" s="1"/>
      <c r="GF275" s="1"/>
      <c r="GG275" s="1"/>
      <c r="GH275" s="1"/>
      <c r="GI275" s="1"/>
      <c r="GJ275" s="1"/>
      <c r="GK275" s="1"/>
      <c r="GL275" s="1"/>
      <c r="GM275" s="1"/>
      <c r="GN275" s="1"/>
      <c r="GO275" s="1"/>
      <c r="GP275" s="1"/>
      <c r="GQ275" s="1"/>
      <c r="GR275" s="1"/>
      <c r="GS275" s="1"/>
      <c r="GT275" s="1"/>
      <c r="GU275" s="1"/>
      <c r="GV275" s="1"/>
      <c r="GW275" s="1"/>
      <c r="GX275" s="1"/>
      <c r="GY275" s="1"/>
      <c r="GZ275" s="1"/>
      <c r="HA275" s="1"/>
      <c r="HB275" s="1"/>
      <c r="HC275" s="1"/>
      <c r="HD275" s="1"/>
      <c r="HE275" s="1"/>
      <c r="HF275" s="1"/>
      <c r="HG275" s="1"/>
      <c r="HH275" s="1"/>
      <c r="HI275" s="1"/>
      <c r="HJ275" s="1"/>
      <c r="HK275" s="1"/>
      <c r="HL275" s="1"/>
      <c r="HM275" s="1"/>
      <c r="HN275" s="1"/>
      <c r="HO275" s="1"/>
      <c r="HP275" s="1"/>
      <c r="HQ275" s="1"/>
      <c r="HR275" s="1"/>
      <c r="HS275" s="1"/>
      <c r="HT275" s="1"/>
      <c r="HU275" s="1"/>
      <c r="HV275" s="1"/>
      <c r="HW275" s="1"/>
      <c r="HX275" s="1"/>
      <c r="HY275" s="1"/>
      <c r="HZ275" s="1"/>
      <c r="IA275" s="1"/>
      <c r="IB275" s="1"/>
      <c r="IC275" s="1"/>
      <c r="ID275" s="1"/>
      <c r="IE275" s="1"/>
      <c r="IF275" s="1"/>
      <c r="IG275" s="1"/>
      <c r="IH275" s="1"/>
      <c r="II275" s="1"/>
      <c r="IJ275" s="1"/>
      <c r="IK275" s="1"/>
      <c r="IL275" s="1"/>
      <c r="IM275" s="1"/>
      <c r="IN275" s="1"/>
      <c r="IO275" s="1"/>
      <c r="IP275" s="1"/>
      <c r="IQ275" s="1"/>
      <c r="IR275" s="1"/>
      <c r="IS275" s="1"/>
      <c r="IT275" s="1"/>
      <c r="IU275" s="1"/>
      <c r="IV275" s="1"/>
      <c r="IW275" s="1"/>
      <c r="IX275" s="1"/>
      <c r="IY275" s="1"/>
      <c r="IZ275" s="1"/>
      <c r="JA275" s="1"/>
      <c r="JB275" s="1"/>
      <c r="JC275" s="1"/>
      <c r="JD275" s="1"/>
    </row>
    <row r="276" spans="1:264" s="347" customFormat="1" x14ac:dyDescent="0.2">
      <c r="A276" s="347" t="s">
        <v>1149</v>
      </c>
      <c r="B276" s="348"/>
      <c r="BH276" s="419">
        <f>-BH263/BH202</f>
        <v>0.41183035714285715</v>
      </c>
      <c r="BI276" s="419">
        <f>-BI263/BI202</f>
        <v>0.37598152424942261</v>
      </c>
      <c r="BJ276" s="419">
        <f>-BJ263/BJ202</f>
        <v>0.37598152424942261</v>
      </c>
      <c r="BK276" s="348"/>
      <c r="BL276" s="419">
        <f>-BL263/BL202</f>
        <v>0.3594821020563595</v>
      </c>
      <c r="BM276" s="419">
        <f>-BM263/BM202</f>
        <v>0.33471933471933474</v>
      </c>
      <c r="BN276" s="419">
        <f>-BN263/BN202</f>
        <v>0.33471933471933474</v>
      </c>
      <c r="BO276" s="348"/>
      <c r="BP276" s="419">
        <f>-BP263/BP202</f>
        <v>0.33214285714285713</v>
      </c>
      <c r="BQ276" s="419">
        <f>-BQ263/BQ202</f>
        <v>0.31068301225919437</v>
      </c>
      <c r="BR276" s="419">
        <f>-BR263/BR202</f>
        <v>0.31068301225919437</v>
      </c>
      <c r="BT276" s="419">
        <f>-BT263/BT202</f>
        <v>0.32604017216642756</v>
      </c>
      <c r="BU276" s="419">
        <f>-BU263/BU202</f>
        <v>0.30295250320924261</v>
      </c>
      <c r="BV276" s="419">
        <f>-BV263/BV202</f>
        <v>0.30295250320924261</v>
      </c>
      <c r="BX276" s="419">
        <f>-BX263/BX202</f>
        <v>0.30133333333333334</v>
      </c>
      <c r="BY276" s="419">
        <f>-BY263/BY202</f>
        <v>0.30749921556322563</v>
      </c>
      <c r="BZ276" s="419">
        <f>-BZ263/BZ202</f>
        <v>0.30749921556322563</v>
      </c>
      <c r="CB276" s="419">
        <f>-CB263/CB202</f>
        <v>0.29046629046629047</v>
      </c>
      <c r="CC276" s="419">
        <f>-CC263/CC202</f>
        <v>0.27367096571248822</v>
      </c>
      <c r="CD276" s="419">
        <f>-CD263/CD202</f>
        <v>0.27367096571248822</v>
      </c>
      <c r="CF276" s="419">
        <f>-CF263/CF202</f>
        <v>0.25842696629213485</v>
      </c>
      <c r="CG276" s="419">
        <f>-CG263/CG202</f>
        <v>0.24710104914411926</v>
      </c>
      <c r="CH276" s="419">
        <f>-CH263/CH202</f>
        <v>0.24710104914411926</v>
      </c>
      <c r="CJ276" s="419">
        <f>-CJ263/CJ202</f>
        <v>0.28347620455217265</v>
      </c>
      <c r="CK276" s="419">
        <f>-CK263/CK202</f>
        <v>0.27254791431792558</v>
      </c>
      <c r="CL276" s="419">
        <f>-CL263/CL202</f>
        <v>0.27254791431792558</v>
      </c>
      <c r="CN276" s="419">
        <f>-CN263/CN202</f>
        <v>0.28129032258064518</v>
      </c>
      <c r="CO276" s="419">
        <f>-CO263/CO202</f>
        <v>0.26400704018773835</v>
      </c>
      <c r="CP276" s="419">
        <f>-CP263/CP202</f>
        <v>0.26400704018773835</v>
      </c>
      <c r="CR276" s="419">
        <f>-CR263/CR202</f>
        <v>0.22745548535324525</v>
      </c>
      <c r="CS276" s="419">
        <f>-CS263/CS202</f>
        <v>0.24940698068451372</v>
      </c>
      <c r="CT276" s="419">
        <f>-CT263/CT202</f>
        <v>0.24940698068451372</v>
      </c>
      <c r="CV276" s="419">
        <f>-CV263/CV202</f>
        <v>0.21113306982872201</v>
      </c>
      <c r="CW276" s="419">
        <f>-CW263/CW202</f>
        <v>0.22669873722188816</v>
      </c>
      <c r="CX276" s="419">
        <f>-CX263/CX202</f>
        <v>0.22669873722188816</v>
      </c>
      <c r="CZ276" s="419">
        <f>-CZ263/CZ202</f>
        <v>0.22644423849243125</v>
      </c>
      <c r="DA276" s="419">
        <f>-DA263/DA202</f>
        <v>0.18256410256410258</v>
      </c>
      <c r="DB276" s="419">
        <f>-DB263/DB202</f>
        <v>0.18256410256410258</v>
      </c>
      <c r="DE276" s="419"/>
      <c r="DF276" s="419"/>
      <c r="DT276" s="1"/>
      <c r="DU276" s="1"/>
      <c r="DV276" s="1"/>
      <c r="DW276" s="1"/>
      <c r="DX276" s="1"/>
      <c r="DY276" s="1"/>
      <c r="DZ276" s="1"/>
      <c r="EA276" s="1"/>
      <c r="EB276" s="1"/>
      <c r="EC276" s="1"/>
      <c r="ED276" s="1"/>
      <c r="EE276" s="1"/>
      <c r="EF276" s="1"/>
      <c r="EG276" s="1"/>
      <c r="EH276" s="1"/>
      <c r="EI276" s="1"/>
      <c r="EJ276" s="1"/>
      <c r="EK276" s="1"/>
      <c r="EL276" s="1"/>
      <c r="EM276" s="1"/>
      <c r="EN276" s="1"/>
      <c r="EO276" s="1"/>
      <c r="EP276" s="1"/>
      <c r="EQ276" s="1"/>
      <c r="ER276" s="1"/>
      <c r="ES276" s="1"/>
      <c r="ET276" s="1"/>
      <c r="EU276" s="1"/>
      <c r="EV276" s="1"/>
      <c r="EW276" s="1"/>
      <c r="EX276" s="1"/>
      <c r="EY276" s="1"/>
      <c r="EZ276" s="1"/>
      <c r="FA276" s="1"/>
      <c r="FB276" s="1"/>
      <c r="FC276" s="1"/>
      <c r="FD276" s="1"/>
      <c r="FE276" s="1"/>
      <c r="FF276" s="1"/>
      <c r="FG276" s="1"/>
      <c r="FH276" s="1"/>
      <c r="FI276" s="1"/>
      <c r="FJ276" s="1"/>
      <c r="FK276" s="1"/>
      <c r="FL276" s="1"/>
      <c r="FM276" s="1"/>
      <c r="FN276" s="1"/>
      <c r="FO276" s="1"/>
      <c r="FP276" s="1"/>
      <c r="FQ276" s="1"/>
      <c r="FR276" s="1"/>
      <c r="FS276" s="1"/>
      <c r="FT276" s="1"/>
      <c r="FU276" s="1"/>
      <c r="FV276" s="1"/>
      <c r="FW276" s="1"/>
      <c r="FX276" s="1"/>
      <c r="FY276" s="1"/>
      <c r="FZ276" s="1"/>
      <c r="GA276" s="1"/>
      <c r="GB276" s="1"/>
      <c r="GC276" s="1"/>
      <c r="GD276" s="1"/>
      <c r="GE276" s="1"/>
      <c r="GF276" s="1"/>
      <c r="GG276" s="1"/>
      <c r="GH276" s="1"/>
      <c r="GI276" s="1"/>
      <c r="GJ276" s="1"/>
      <c r="GK276" s="1"/>
      <c r="GL276" s="1"/>
      <c r="GM276" s="1"/>
      <c r="GN276" s="1"/>
      <c r="GO276" s="1"/>
      <c r="GP276" s="1"/>
      <c r="GQ276" s="1"/>
      <c r="GR276" s="1"/>
      <c r="GS276" s="1"/>
      <c r="GT276" s="1"/>
      <c r="GU276" s="1"/>
      <c r="GV276" s="1"/>
      <c r="GW276" s="1"/>
      <c r="GX276" s="1"/>
      <c r="GY276" s="1"/>
      <c r="GZ276" s="1"/>
      <c r="HA276" s="1"/>
      <c r="HB276" s="1"/>
      <c r="HC276" s="1"/>
      <c r="HD276" s="1"/>
      <c r="HE276" s="1"/>
      <c r="HF276" s="1"/>
      <c r="HG276" s="1"/>
      <c r="HH276" s="1"/>
      <c r="HI276" s="1"/>
      <c r="HJ276" s="1"/>
      <c r="HK276" s="1"/>
      <c r="HL276" s="1"/>
      <c r="HM276" s="1"/>
      <c r="HN276" s="1"/>
      <c r="HO276" s="1"/>
      <c r="HP276" s="1"/>
      <c r="HQ276" s="1"/>
      <c r="HR276" s="1"/>
      <c r="HS276" s="1"/>
      <c r="HT276" s="1"/>
      <c r="HU276" s="1"/>
      <c r="HV276" s="1"/>
      <c r="HW276" s="1"/>
      <c r="HX276" s="1"/>
      <c r="HY276" s="1"/>
      <c r="HZ276" s="1"/>
      <c r="IA276" s="1"/>
      <c r="IB276" s="1"/>
      <c r="IC276" s="1"/>
      <c r="ID276" s="1"/>
      <c r="IE276" s="1"/>
      <c r="IF276" s="1"/>
      <c r="IG276" s="1"/>
      <c r="IH276" s="1"/>
      <c r="II276" s="1"/>
      <c r="IJ276" s="1"/>
      <c r="IK276" s="1"/>
      <c r="IL276" s="1"/>
      <c r="IM276" s="1"/>
      <c r="IN276" s="1"/>
      <c r="IO276" s="1"/>
      <c r="IP276" s="1"/>
      <c r="IQ276" s="1"/>
      <c r="IR276" s="1"/>
      <c r="IS276" s="1"/>
      <c r="IT276" s="1"/>
      <c r="IU276" s="1"/>
      <c r="IV276" s="1"/>
      <c r="IW276" s="1"/>
      <c r="IX276" s="1"/>
      <c r="IY276" s="1"/>
      <c r="IZ276" s="1"/>
      <c r="JA276" s="1"/>
      <c r="JB276" s="1"/>
      <c r="JC276" s="1"/>
      <c r="JD276" s="1"/>
    </row>
    <row r="277" spans="1:264" s="347" customFormat="1" x14ac:dyDescent="0.2">
      <c r="A277" s="447" t="s">
        <v>1147</v>
      </c>
      <c r="B277" s="446"/>
      <c r="C277" s="447"/>
      <c r="D277" s="447"/>
      <c r="E277" s="447"/>
      <c r="F277" s="447"/>
      <c r="G277" s="447"/>
      <c r="H277" s="447"/>
      <c r="I277" s="447"/>
      <c r="J277" s="447"/>
      <c r="K277" s="447"/>
      <c r="L277" s="447"/>
      <c r="M277" s="447"/>
      <c r="N277" s="447"/>
      <c r="O277" s="447"/>
      <c r="P277" s="447"/>
      <c r="Q277" s="447"/>
      <c r="R277" s="447"/>
      <c r="S277" s="447"/>
      <c r="T277" s="447"/>
      <c r="U277" s="447"/>
      <c r="V277" s="447"/>
      <c r="W277" s="447"/>
      <c r="X277" s="447"/>
      <c r="Y277" s="447"/>
      <c r="Z277" s="447"/>
      <c r="AA277" s="447"/>
      <c r="AB277" s="447"/>
      <c r="AC277" s="447"/>
      <c r="AD277" s="447"/>
      <c r="AE277" s="447"/>
      <c r="AF277" s="447"/>
      <c r="AG277" s="447"/>
      <c r="AH277" s="447"/>
      <c r="AI277" s="447"/>
      <c r="AJ277" s="447"/>
      <c r="AK277" s="447"/>
      <c r="AL277" s="447"/>
      <c r="AM277" s="447"/>
      <c r="AN277" s="447"/>
      <c r="AO277" s="447"/>
      <c r="AP277" s="447"/>
      <c r="AQ277" s="447"/>
      <c r="AR277" s="447"/>
      <c r="AS277" s="447"/>
      <c r="AT277" s="447"/>
      <c r="AU277" s="447"/>
      <c r="AV277" s="447"/>
      <c r="AW277" s="447"/>
      <c r="AX277" s="447"/>
      <c r="AY277" s="447"/>
      <c r="AZ277" s="447"/>
      <c r="BA277" s="447"/>
      <c r="BB277" s="447"/>
      <c r="BC277" s="447"/>
      <c r="BD277" s="447"/>
      <c r="BE277" s="447"/>
      <c r="BF277" s="447"/>
      <c r="BG277" s="447"/>
      <c r="BH277" s="797"/>
      <c r="BI277" s="797"/>
      <c r="BJ277" s="797"/>
      <c r="BK277" s="446"/>
      <c r="BL277" s="797"/>
      <c r="BM277" s="797"/>
      <c r="BN277" s="797"/>
      <c r="BO277" s="446"/>
      <c r="BP277" s="797"/>
      <c r="BQ277" s="797"/>
      <c r="BR277" s="797"/>
      <c r="BS277" s="447"/>
      <c r="BT277" s="797"/>
      <c r="BU277" s="797"/>
      <c r="BV277" s="797"/>
      <c r="BW277" s="447"/>
      <c r="BX277" s="797"/>
      <c r="BY277" s="797"/>
      <c r="BZ277" s="797"/>
      <c r="CA277" s="447"/>
      <c r="CB277" s="797"/>
      <c r="CC277" s="797"/>
      <c r="CD277" s="797"/>
      <c r="CE277" s="447"/>
      <c r="CF277" s="797"/>
      <c r="CG277" s="797"/>
      <c r="CH277" s="797"/>
      <c r="CI277" s="447"/>
      <c r="CJ277" s="797"/>
      <c r="CK277" s="797"/>
      <c r="CL277" s="797"/>
      <c r="CM277" s="447"/>
      <c r="CN277" s="797"/>
      <c r="CO277" s="797"/>
      <c r="CP277" s="797"/>
      <c r="CQ277" s="447"/>
      <c r="CR277" s="797"/>
      <c r="CS277" s="797"/>
      <c r="CT277" s="797"/>
      <c r="CU277" s="447"/>
      <c r="CV277" s="797"/>
      <c r="CW277" s="797"/>
      <c r="CX277" s="797"/>
      <c r="CY277" s="447"/>
      <c r="CZ277" s="797"/>
      <c r="DA277" s="797"/>
      <c r="DB277" s="797"/>
      <c r="DC277" s="447"/>
      <c r="DD277" s="797">
        <f>DD260/DA223*2</f>
        <v>-1.4525835235526042E-2</v>
      </c>
      <c r="DE277" s="797">
        <f>DE260/DD223*2</f>
        <v>-1.9199069136041889E-2</v>
      </c>
      <c r="DF277" s="797">
        <f>DF260/DB223</f>
        <v>-1.7534758248599295E-2</v>
      </c>
      <c r="DG277" s="447"/>
      <c r="DH277" s="797">
        <f>DH260/DE223*2</f>
        <v>-2.6177058716596983E-2</v>
      </c>
      <c r="DI277" s="718">
        <f>DH277</f>
        <v>-2.6177058716596983E-2</v>
      </c>
      <c r="DJ277" s="467">
        <f>DJ260/DF223</f>
        <v>-2.5542975263772673E-2</v>
      </c>
      <c r="DK277" s="463"/>
      <c r="DL277" s="718">
        <f>DI277</f>
        <v>-2.6177058716596983E-2</v>
      </c>
      <c r="DM277" s="718">
        <f>DL277</f>
        <v>-2.6177058716596983E-2</v>
      </c>
      <c r="DN277" s="467">
        <f>DN260/DJ223</f>
        <v>-2.6563330027043489E-2</v>
      </c>
      <c r="DO277" s="463"/>
      <c r="DP277" s="718">
        <f>DM277</f>
        <v>-2.6177058716596983E-2</v>
      </c>
      <c r="DQ277" s="718">
        <f>DP277</f>
        <v>-2.6177058716596983E-2</v>
      </c>
      <c r="DR277" s="467">
        <f>DR260/DN223</f>
        <v>-2.6676851080285155E-2</v>
      </c>
      <c r="DS277" s="463"/>
      <c r="DT277" s="1"/>
      <c r="DU277" s="1"/>
      <c r="DV277" s="1"/>
      <c r="DW277" s="1"/>
      <c r="DX277" s="1"/>
      <c r="DY277" s="1"/>
      <c r="DZ277" s="1"/>
      <c r="EA277" s="1"/>
      <c r="EB277" s="1"/>
      <c r="EC277" s="1"/>
      <c r="ED277" s="1"/>
      <c r="EE277" s="1"/>
      <c r="EF277" s="1"/>
      <c r="EG277" s="1"/>
      <c r="EH277" s="1"/>
      <c r="EI277" s="1"/>
      <c r="EJ277" s="1"/>
      <c r="EK277" s="1"/>
      <c r="EL277" s="1"/>
      <c r="EM277" s="1"/>
      <c r="EN277" s="1"/>
      <c r="EO277" s="1"/>
      <c r="EP277" s="1"/>
      <c r="EQ277" s="1"/>
      <c r="ER277" s="1"/>
      <c r="ES277" s="1"/>
      <c r="ET277" s="1"/>
      <c r="EU277" s="1"/>
      <c r="EV277" s="1"/>
      <c r="EW277" s="1"/>
      <c r="EX277" s="1"/>
      <c r="EY277" s="1"/>
      <c r="EZ277" s="1"/>
      <c r="FA277" s="1"/>
      <c r="FB277" s="1"/>
      <c r="FC277" s="1"/>
      <c r="FD277" s="1"/>
      <c r="FE277" s="1"/>
      <c r="FF277" s="1"/>
      <c r="FG277" s="1"/>
      <c r="FH277" s="1"/>
      <c r="FI277" s="1"/>
      <c r="FJ277" s="1"/>
      <c r="FK277" s="1"/>
      <c r="FL277" s="1"/>
      <c r="FM277" s="1"/>
      <c r="FN277" s="1"/>
      <c r="FO277" s="1"/>
      <c r="FP277" s="1"/>
      <c r="FQ277" s="1"/>
      <c r="FR277" s="1"/>
      <c r="FS277" s="1"/>
      <c r="FT277" s="1"/>
      <c r="FU277" s="1"/>
      <c r="FV277" s="1"/>
      <c r="FW277" s="1"/>
      <c r="FX277" s="1"/>
      <c r="FY277" s="1"/>
      <c r="FZ277" s="1"/>
      <c r="GA277" s="1"/>
      <c r="GB277" s="1"/>
      <c r="GC277" s="1"/>
      <c r="GD277" s="1"/>
      <c r="GE277" s="1"/>
      <c r="GF277" s="1"/>
      <c r="GG277" s="1"/>
      <c r="GH277" s="1"/>
      <c r="GI277" s="1"/>
      <c r="GJ277" s="1"/>
      <c r="GK277" s="1"/>
      <c r="GL277" s="1"/>
      <c r="GM277" s="1"/>
      <c r="GN277" s="1"/>
      <c r="GO277" s="1"/>
      <c r="GP277" s="1"/>
      <c r="GQ277" s="1"/>
      <c r="GR277" s="1"/>
      <c r="GS277" s="1"/>
      <c r="GT277" s="1"/>
      <c r="GU277" s="1"/>
      <c r="GV277" s="1"/>
      <c r="GW277" s="1"/>
      <c r="GX277" s="1"/>
      <c r="GY277" s="1"/>
      <c r="GZ277" s="1"/>
      <c r="HA277" s="1"/>
      <c r="HB277" s="1"/>
      <c r="HC277" s="1"/>
      <c r="HD277" s="1"/>
      <c r="HE277" s="1"/>
      <c r="HF277" s="1"/>
      <c r="HG277" s="1"/>
      <c r="HH277" s="1"/>
      <c r="HI277" s="1"/>
      <c r="HJ277" s="1"/>
      <c r="HK277" s="1"/>
      <c r="HL277" s="1"/>
      <c r="HM277" s="1"/>
      <c r="HN277" s="1"/>
      <c r="HO277" s="1"/>
      <c r="HP277" s="1"/>
      <c r="HQ277" s="1"/>
      <c r="HR277" s="1"/>
      <c r="HS277" s="1"/>
      <c r="HT277" s="1"/>
      <c r="HU277" s="1"/>
      <c r="HV277" s="1"/>
      <c r="HW277" s="1"/>
      <c r="HX277" s="1"/>
      <c r="HY277" s="1"/>
      <c r="HZ277" s="1"/>
      <c r="IA277" s="1"/>
      <c r="IB277" s="1"/>
      <c r="IC277" s="1"/>
      <c r="ID277" s="1"/>
      <c r="IE277" s="1"/>
      <c r="IF277" s="1"/>
      <c r="IG277" s="1"/>
      <c r="IH277" s="1"/>
      <c r="II277" s="1"/>
      <c r="IJ277" s="1"/>
      <c r="IK277" s="1"/>
      <c r="IL277" s="1"/>
      <c r="IM277" s="1"/>
      <c r="IN277" s="1"/>
      <c r="IO277" s="1"/>
      <c r="IP277" s="1"/>
      <c r="IQ277" s="1"/>
      <c r="IR277" s="1"/>
      <c r="IS277" s="1"/>
      <c r="IT277" s="1"/>
      <c r="IU277" s="1"/>
      <c r="IV277" s="1"/>
      <c r="IW277" s="1"/>
      <c r="IX277" s="1"/>
      <c r="IY277" s="1"/>
      <c r="IZ277" s="1"/>
      <c r="JA277" s="1"/>
      <c r="JB277" s="1"/>
      <c r="JC277" s="1"/>
      <c r="JD277" s="1"/>
    </row>
    <row r="278" spans="1:264" s="347" customFormat="1" x14ac:dyDescent="0.2">
      <c r="A278" s="463" t="s">
        <v>1146</v>
      </c>
      <c r="B278" s="466"/>
      <c r="C278" s="463"/>
      <c r="D278" s="463"/>
      <c r="E278" s="463"/>
      <c r="F278" s="463"/>
      <c r="G278" s="463"/>
      <c r="H278" s="463"/>
      <c r="I278" s="463"/>
      <c r="J278" s="463"/>
      <c r="K278" s="463"/>
      <c r="L278" s="463"/>
      <c r="M278" s="463"/>
      <c r="N278" s="463"/>
      <c r="O278" s="463"/>
      <c r="P278" s="463"/>
      <c r="Q278" s="463"/>
      <c r="R278" s="463"/>
      <c r="S278" s="463"/>
      <c r="T278" s="463"/>
      <c r="U278" s="463"/>
      <c r="V278" s="463"/>
      <c r="W278" s="463"/>
      <c r="X278" s="463"/>
      <c r="Y278" s="463"/>
      <c r="Z278" s="463"/>
      <c r="AA278" s="463"/>
      <c r="AB278" s="463"/>
      <c r="AC278" s="463"/>
      <c r="AD278" s="463"/>
      <c r="AE278" s="463"/>
      <c r="AF278" s="463"/>
      <c r="AG278" s="463"/>
      <c r="AH278" s="463"/>
      <c r="AI278" s="463"/>
      <c r="AJ278" s="463"/>
      <c r="AK278" s="463"/>
      <c r="AL278" s="463"/>
      <c r="AM278" s="463"/>
      <c r="AN278" s="463"/>
      <c r="AO278" s="463"/>
      <c r="AP278" s="463"/>
      <c r="AQ278" s="463"/>
      <c r="AR278" s="463"/>
      <c r="AS278" s="463"/>
      <c r="AT278" s="463"/>
      <c r="AU278" s="463"/>
      <c r="AV278" s="463"/>
      <c r="AW278" s="463"/>
      <c r="AX278" s="463"/>
      <c r="AY278" s="463"/>
      <c r="AZ278" s="463"/>
      <c r="BA278" s="463"/>
      <c r="BB278" s="463"/>
      <c r="BC278" s="463"/>
      <c r="BD278" s="463"/>
      <c r="BE278" s="463"/>
      <c r="BF278" s="463"/>
      <c r="BG278" s="463"/>
      <c r="BH278" s="467"/>
      <c r="BI278" s="467"/>
      <c r="BJ278" s="467"/>
      <c r="BK278" s="466"/>
      <c r="BL278" s="467"/>
      <c r="BM278" s="467"/>
      <c r="BN278" s="467"/>
      <c r="BO278" s="466"/>
      <c r="BP278" s="467"/>
      <c r="BQ278" s="467"/>
      <c r="BR278" s="467"/>
      <c r="BS278" s="463"/>
      <c r="BT278" s="467"/>
      <c r="BU278" s="467"/>
      <c r="BV278" s="467"/>
      <c r="BW278" s="463"/>
      <c r="BX278" s="467"/>
      <c r="BY278" s="467"/>
      <c r="BZ278" s="467"/>
      <c r="CA278" s="463"/>
      <c r="CB278" s="467"/>
      <c r="CC278" s="467"/>
      <c r="CD278" s="467"/>
      <c r="CE278" s="463"/>
      <c r="CF278" s="467"/>
      <c r="CG278" s="467"/>
      <c r="CH278" s="467"/>
      <c r="CI278" s="463"/>
      <c r="CJ278" s="467"/>
      <c r="CK278" s="467"/>
      <c r="CL278" s="467"/>
      <c r="CM278" s="463"/>
      <c r="CN278" s="467"/>
      <c r="CO278" s="467"/>
      <c r="CP278" s="467"/>
      <c r="CQ278" s="463"/>
      <c r="CR278" s="467"/>
      <c r="CS278" s="467"/>
      <c r="CT278" s="467"/>
      <c r="CU278" s="463"/>
      <c r="CV278" s="467"/>
      <c r="CW278" s="467"/>
      <c r="CX278" s="467"/>
      <c r="CY278" s="463"/>
      <c r="CZ278" s="467">
        <f>-CZ263/CZ223</f>
        <v>9.0248707214971677E-2</v>
      </c>
      <c r="DA278" s="467">
        <f>-DA263/DA223</f>
        <v>7.3874247769246726E-2</v>
      </c>
      <c r="DB278" s="467">
        <f>-DB263/DB223</f>
        <v>7.3874247769246726E-2</v>
      </c>
      <c r="DC278" s="463"/>
      <c r="DD278" s="467">
        <f>-DD263/DD223</f>
        <v>7.1269271792882768E-2</v>
      </c>
      <c r="DE278" s="467">
        <f>-DE263/DE223</f>
        <v>7.4168333030358122E-2</v>
      </c>
      <c r="DF278" s="467">
        <f>-DF263/DF223</f>
        <v>7.4168333030358122E-2</v>
      </c>
      <c r="DG278" s="463"/>
      <c r="DH278" s="467">
        <f>-DH263/DH223</f>
        <v>7.5747444837138217E-2</v>
      </c>
      <c r="DI278" s="718">
        <f>DH278</f>
        <v>7.5747444837138217E-2</v>
      </c>
      <c r="DJ278" s="467">
        <f>-DJ263/DJ223</f>
        <v>7.5747444837138217E-2</v>
      </c>
      <c r="DK278" s="463"/>
      <c r="DL278" s="718">
        <f>DI278</f>
        <v>7.5747444837138217E-2</v>
      </c>
      <c r="DM278" s="718">
        <f>DL278</f>
        <v>7.5747444837138217E-2</v>
      </c>
      <c r="DN278" s="467">
        <f>-DN263/DN223</f>
        <v>7.5747444837138217E-2</v>
      </c>
      <c r="DO278" s="463"/>
      <c r="DP278" s="718">
        <f>DM278</f>
        <v>7.5747444837138217E-2</v>
      </c>
      <c r="DQ278" s="718">
        <f>DP278</f>
        <v>7.5747444837138217E-2</v>
      </c>
      <c r="DR278" s="467">
        <f>-DR263/DR223</f>
        <v>7.5747444837138217E-2</v>
      </c>
      <c r="DS278" s="463"/>
      <c r="DT278" s="1"/>
      <c r="DU278" s="1"/>
      <c r="DV278" s="1"/>
      <c r="DW278" s="1"/>
      <c r="DX278" s="1"/>
      <c r="DY278" s="1"/>
      <c r="DZ278" s="1"/>
      <c r="EA278" s="1"/>
      <c r="EB278" s="1"/>
      <c r="EC278" s="1"/>
      <c r="ED278" s="1"/>
      <c r="EE278" s="1"/>
      <c r="EF278" s="1"/>
      <c r="EG278" s="1"/>
      <c r="EH278" s="1"/>
      <c r="EI278" s="1"/>
      <c r="EJ278" s="1"/>
      <c r="EK278" s="1"/>
      <c r="EL278" s="1"/>
      <c r="EM278" s="1"/>
      <c r="EN278" s="1"/>
      <c r="EO278" s="1"/>
      <c r="EP278" s="1"/>
      <c r="EQ278" s="1"/>
      <c r="ER278" s="1"/>
      <c r="ES278" s="1"/>
      <c r="ET278" s="1"/>
      <c r="EU278" s="1"/>
      <c r="EV278" s="1"/>
      <c r="EW278" s="1"/>
      <c r="EX278" s="1"/>
      <c r="EY278" s="1"/>
      <c r="EZ278" s="1"/>
      <c r="FA278" s="1"/>
      <c r="FB278" s="1"/>
      <c r="FC278" s="1"/>
      <c r="FD278" s="1"/>
      <c r="FE278" s="1"/>
      <c r="FF278" s="1"/>
      <c r="FG278" s="1"/>
      <c r="FH278" s="1"/>
      <c r="FI278" s="1"/>
      <c r="FJ278" s="1"/>
      <c r="FK278" s="1"/>
      <c r="FL278" s="1"/>
      <c r="FM278" s="1"/>
      <c r="FN278" s="1"/>
      <c r="FO278" s="1"/>
      <c r="FP278" s="1"/>
      <c r="FQ278" s="1"/>
      <c r="FR278" s="1"/>
      <c r="FS278" s="1"/>
      <c r="FT278" s="1"/>
      <c r="FU278" s="1"/>
      <c r="FV278" s="1"/>
      <c r="FW278" s="1"/>
      <c r="FX278" s="1"/>
      <c r="FY278" s="1"/>
      <c r="FZ278" s="1"/>
      <c r="GA278" s="1"/>
      <c r="GB278" s="1"/>
      <c r="GC278" s="1"/>
      <c r="GD278" s="1"/>
      <c r="GE278" s="1"/>
      <c r="GF278" s="1"/>
      <c r="GG278" s="1"/>
      <c r="GH278" s="1"/>
      <c r="GI278" s="1"/>
      <c r="GJ278" s="1"/>
      <c r="GK278" s="1"/>
      <c r="GL278" s="1"/>
      <c r="GM278" s="1"/>
      <c r="GN278" s="1"/>
      <c r="GO278" s="1"/>
      <c r="GP278" s="1"/>
      <c r="GQ278" s="1"/>
      <c r="GR278" s="1"/>
      <c r="GS278" s="1"/>
      <c r="GT278" s="1"/>
      <c r="GU278" s="1"/>
      <c r="GV278" s="1"/>
      <c r="GW278" s="1"/>
      <c r="GX278" s="1"/>
      <c r="GY278" s="1"/>
      <c r="GZ278" s="1"/>
      <c r="HA278" s="1"/>
      <c r="HB278" s="1"/>
      <c r="HC278" s="1"/>
      <c r="HD278" s="1"/>
      <c r="HE278" s="1"/>
      <c r="HF278" s="1"/>
      <c r="HG278" s="1"/>
      <c r="HH278" s="1"/>
      <c r="HI278" s="1"/>
      <c r="HJ278" s="1"/>
      <c r="HK278" s="1"/>
      <c r="HL278" s="1"/>
      <c r="HM278" s="1"/>
      <c r="HN278" s="1"/>
      <c r="HO278" s="1"/>
      <c r="HP278" s="1"/>
      <c r="HQ278" s="1"/>
      <c r="HR278" s="1"/>
      <c r="HS278" s="1"/>
      <c r="HT278" s="1"/>
      <c r="HU278" s="1"/>
      <c r="HV278" s="1"/>
      <c r="HW278" s="1"/>
      <c r="HX278" s="1"/>
      <c r="HY278" s="1"/>
      <c r="HZ278" s="1"/>
      <c r="IA278" s="1"/>
      <c r="IB278" s="1"/>
      <c r="IC278" s="1"/>
      <c r="ID278" s="1"/>
      <c r="IE278" s="1"/>
      <c r="IF278" s="1"/>
      <c r="IG278" s="1"/>
      <c r="IH278" s="1"/>
      <c r="II278" s="1"/>
      <c r="IJ278" s="1"/>
      <c r="IK278" s="1"/>
      <c r="IL278" s="1"/>
      <c r="IM278" s="1"/>
      <c r="IN278" s="1"/>
      <c r="IO278" s="1"/>
      <c r="IP278" s="1"/>
      <c r="IQ278" s="1"/>
      <c r="IR278" s="1"/>
      <c r="IS278" s="1"/>
      <c r="IT278" s="1"/>
      <c r="IU278" s="1"/>
      <c r="IV278" s="1"/>
      <c r="IW278" s="1"/>
      <c r="IX278" s="1"/>
      <c r="IY278" s="1"/>
      <c r="IZ278" s="1"/>
      <c r="JA278" s="1"/>
      <c r="JB278" s="1"/>
      <c r="JC278" s="1"/>
      <c r="JD278" s="1"/>
    </row>
    <row r="279" spans="1:264" s="347" customFormat="1" x14ac:dyDescent="0.2">
      <c r="A279" s="463" t="s">
        <v>328</v>
      </c>
      <c r="B279" s="466"/>
      <c r="C279" s="463"/>
      <c r="D279" s="463"/>
      <c r="E279" s="463"/>
      <c r="F279" s="463"/>
      <c r="G279" s="463"/>
      <c r="H279" s="463"/>
      <c r="I279" s="463"/>
      <c r="J279" s="463"/>
      <c r="K279" s="463"/>
      <c r="L279" s="463"/>
      <c r="M279" s="463"/>
      <c r="N279" s="463"/>
      <c r="O279" s="463"/>
      <c r="P279" s="463"/>
      <c r="Q279" s="463"/>
      <c r="R279" s="463"/>
      <c r="S279" s="463"/>
      <c r="T279" s="463"/>
      <c r="U279" s="463"/>
      <c r="V279" s="463"/>
      <c r="W279" s="463"/>
      <c r="X279" s="463"/>
      <c r="Y279" s="463"/>
      <c r="Z279" s="463"/>
      <c r="AA279" s="463"/>
      <c r="AB279" s="463"/>
      <c r="AC279" s="463"/>
      <c r="AD279" s="463"/>
      <c r="AE279" s="463"/>
      <c r="AF279" s="463"/>
      <c r="AG279" s="463"/>
      <c r="AH279" s="463"/>
      <c r="AI279" s="463"/>
      <c r="AJ279" s="463"/>
      <c r="AK279" s="463"/>
      <c r="AL279" s="463"/>
      <c r="AM279" s="463"/>
      <c r="AN279" s="463"/>
      <c r="AO279" s="463"/>
      <c r="AP279" s="463"/>
      <c r="AQ279" s="463"/>
      <c r="AR279" s="463"/>
      <c r="AS279" s="463"/>
      <c r="AT279" s="463"/>
      <c r="AU279" s="463"/>
      <c r="AV279" s="463"/>
      <c r="AW279" s="463"/>
      <c r="AX279" s="463"/>
      <c r="AY279" s="463"/>
      <c r="AZ279" s="463"/>
      <c r="BA279" s="463"/>
      <c r="BB279" s="463"/>
      <c r="BC279" s="463"/>
      <c r="BD279" s="463"/>
      <c r="BE279" s="463"/>
      <c r="BF279" s="463"/>
      <c r="BG279" s="463"/>
      <c r="BH279" s="487">
        <f>-BH266/BH187</f>
        <v>3.1517654256248907E-3</v>
      </c>
      <c r="BI279" s="487">
        <f>-BI266/BI187</f>
        <v>2.9095268986201283E-3</v>
      </c>
      <c r="BJ279" s="487">
        <f>-BJ266/BJ187</f>
        <v>2.9095268986201283E-3</v>
      </c>
      <c r="BK279" s="466"/>
      <c r="BL279" s="487">
        <f>-BL266/BL187</f>
        <v>2.5955810907861941E-3</v>
      </c>
      <c r="BM279" s="487">
        <f>-BM266/BM187</f>
        <v>2.3893035500808218E-3</v>
      </c>
      <c r="BN279" s="487">
        <f>-BN266/BN187</f>
        <v>2.3893035500808218E-3</v>
      </c>
      <c r="BO279" s="466"/>
      <c r="BP279" s="487">
        <f>-BP266/BP187</f>
        <v>2.3641942462776684E-3</v>
      </c>
      <c r="BQ279" s="487">
        <f>-BQ266/BQ187</f>
        <v>2.0861318658190078E-3</v>
      </c>
      <c r="BR279" s="487">
        <f>-BR266/BR187</f>
        <v>2.0861318658190078E-3</v>
      </c>
      <c r="BS279" s="463"/>
      <c r="BT279" s="487">
        <f>-BT266/BT187</f>
        <v>1.8676153718656028E-3</v>
      </c>
      <c r="BU279" s="487">
        <f>-BU266/BU187</f>
        <v>1.6858335827169995E-3</v>
      </c>
      <c r="BV279" s="487">
        <f>-BV266/BV187</f>
        <v>1.6858335827169995E-3</v>
      </c>
      <c r="BW279" s="463"/>
      <c r="BX279" s="487">
        <f>-BX266/BX187</f>
        <v>1.5516162669447341E-3</v>
      </c>
      <c r="BY279" s="487">
        <f>-BY266/BY187</f>
        <v>1.4708236884024737E-3</v>
      </c>
      <c r="BZ279" s="487">
        <f>-BZ266/BZ187</f>
        <v>1.4708236884024737E-3</v>
      </c>
      <c r="CA279" s="463"/>
      <c r="CB279" s="487">
        <f>-CB266/CB187</f>
        <v>1.4258388437890352E-3</v>
      </c>
      <c r="CC279" s="487">
        <f>-CC266/CC187</f>
        <v>1.4150035809344635E-3</v>
      </c>
      <c r="CD279" s="487">
        <f>-CD266/CD187</f>
        <v>1.4150035809344635E-3</v>
      </c>
      <c r="CE279" s="463"/>
      <c r="CF279" s="487">
        <f>-CF266/CF187</f>
        <v>1.6050814852073109E-3</v>
      </c>
      <c r="CG279" s="487">
        <f>-CG266/CG187</f>
        <v>1.4782927492697233E-3</v>
      </c>
      <c r="CH279" s="487">
        <f>-CH266/CH187</f>
        <v>1.4782927492697233E-3</v>
      </c>
      <c r="CI279" s="463"/>
      <c r="CJ279" s="487">
        <f>-CJ266/CJ187</f>
        <v>1.2704454207572633E-3</v>
      </c>
      <c r="CK279" s="487">
        <f>-CK266/CK187</f>
        <v>1.1331764319812128E-3</v>
      </c>
      <c r="CL279" s="487">
        <f>-CL266/CL187</f>
        <v>1.1331764319812128E-3</v>
      </c>
      <c r="CM279" s="463"/>
      <c r="CN279" s="487">
        <f>-CN266/CN187</f>
        <v>1.072409005718256E-3</v>
      </c>
      <c r="CO279" s="487">
        <f>-CO266/CO187</f>
        <v>9.8989815047918392E-4</v>
      </c>
      <c r="CP279" s="487">
        <f>-CP266/CP187</f>
        <v>9.8989815047918392E-4</v>
      </c>
      <c r="CQ279" s="463"/>
      <c r="CR279" s="487">
        <f>-CR266/CR187</f>
        <v>9.464920418243664E-4</v>
      </c>
      <c r="CS279" s="487">
        <f>-CS266/CS187</f>
        <v>9.9326186518532405E-4</v>
      </c>
      <c r="CT279" s="487">
        <f>-CT266/CT187</f>
        <v>9.9326186518532405E-4</v>
      </c>
      <c r="CU279" s="463"/>
      <c r="CV279" s="487">
        <f>-CV266/CV187</f>
        <v>1.2127054725114615E-3</v>
      </c>
      <c r="CW279" s="487">
        <f>-CW266/CW187</f>
        <v>1.4765588250106349E-3</v>
      </c>
      <c r="CX279" s="487">
        <f>-CX266/CX187</f>
        <v>1.4765588250106349E-3</v>
      </c>
      <c r="CY279" s="463"/>
      <c r="CZ279" s="487">
        <f>-CZ266/CZ187</f>
        <v>1.733406401975868E-3</v>
      </c>
      <c r="DA279" s="487">
        <f>-DA266/DA187</f>
        <v>1.9222104788893708E-3</v>
      </c>
      <c r="DB279" s="487">
        <f>-DB266/DB187</f>
        <v>1.9222104788893708E-3</v>
      </c>
      <c r="DC279" s="463"/>
      <c r="DD279" s="487">
        <f>-DD266/DD187</f>
        <v>1.9961448110466305E-3</v>
      </c>
      <c r="DE279" s="487">
        <f>-DE266/DE187</f>
        <v>1.9234498460944814E-3</v>
      </c>
      <c r="DF279" s="487">
        <f>-DF266/DF187</f>
        <v>1.9234498460944814E-3</v>
      </c>
      <c r="DG279" s="463"/>
      <c r="DH279" s="487">
        <f>-DH266/DH187</f>
        <v>1.870374112954581E-3</v>
      </c>
      <c r="DI279" s="728">
        <f>DH279</f>
        <v>1.870374112954581E-3</v>
      </c>
      <c r="DJ279" s="487">
        <f>-DJ266/DJ187</f>
        <v>1.870374112954581E-3</v>
      </c>
      <c r="DK279" s="463"/>
      <c r="DL279" s="728">
        <f>DI279</f>
        <v>1.870374112954581E-3</v>
      </c>
      <c r="DM279" s="728">
        <f>DL279</f>
        <v>1.870374112954581E-3</v>
      </c>
      <c r="DN279" s="487">
        <f>-DN266/DN187</f>
        <v>1.870374112954581E-3</v>
      </c>
      <c r="DO279" s="463"/>
      <c r="DP279" s="728">
        <f>DM279</f>
        <v>1.870374112954581E-3</v>
      </c>
      <c r="DQ279" s="728">
        <f>DP279</f>
        <v>1.870374112954581E-3</v>
      </c>
      <c r="DR279" s="487">
        <f>-DR266/DR187</f>
        <v>1.870374112954581E-3</v>
      </c>
      <c r="DS279" s="463"/>
      <c r="DT279" s="1"/>
      <c r="DU279" s="1"/>
      <c r="DV279" s="1"/>
      <c r="DW279" s="1"/>
      <c r="DX279" s="1"/>
      <c r="DY279" s="1"/>
      <c r="DZ279" s="1"/>
      <c r="EA279" s="1"/>
      <c r="EB279" s="1"/>
      <c r="EC279" s="1"/>
      <c r="ED279" s="1"/>
      <c r="EE279" s="1"/>
      <c r="EF279" s="1"/>
      <c r="EG279" s="1"/>
      <c r="EH279" s="1"/>
      <c r="EI279" s="1"/>
      <c r="EJ279" s="1"/>
      <c r="EK279" s="1"/>
      <c r="EL279" s="1"/>
      <c r="EM279" s="1"/>
      <c r="EN279" s="1"/>
      <c r="EO279" s="1"/>
      <c r="EP279" s="1"/>
      <c r="EQ279" s="1"/>
      <c r="ER279" s="1"/>
      <c r="ES279" s="1"/>
      <c r="ET279" s="1"/>
      <c r="EU279" s="1"/>
      <c r="EV279" s="1"/>
      <c r="EW279" s="1"/>
      <c r="EX279" s="1"/>
      <c r="EY279" s="1"/>
      <c r="EZ279" s="1"/>
      <c r="FA279" s="1"/>
      <c r="FB279" s="1"/>
      <c r="FC279" s="1"/>
      <c r="FD279" s="1"/>
      <c r="FE279" s="1"/>
      <c r="FF279" s="1"/>
      <c r="FG279" s="1"/>
      <c r="FH279" s="1"/>
      <c r="FI279" s="1"/>
      <c r="FJ279" s="1"/>
      <c r="FK279" s="1"/>
      <c r="FL279" s="1"/>
      <c r="FM279" s="1"/>
      <c r="FN279" s="1"/>
      <c r="FO279" s="1"/>
      <c r="FP279" s="1"/>
      <c r="FQ279" s="1"/>
      <c r="FR279" s="1"/>
      <c r="FS279" s="1"/>
      <c r="FT279" s="1"/>
      <c r="FU279" s="1"/>
      <c r="FV279" s="1"/>
      <c r="FW279" s="1"/>
      <c r="FX279" s="1"/>
      <c r="FY279" s="1"/>
      <c r="FZ279" s="1"/>
      <c r="GA279" s="1"/>
      <c r="GB279" s="1"/>
      <c r="GC279" s="1"/>
      <c r="GD279" s="1"/>
      <c r="GE279" s="1"/>
      <c r="GF279" s="1"/>
      <c r="GG279" s="1"/>
      <c r="GH279" s="1"/>
      <c r="GI279" s="1"/>
      <c r="GJ279" s="1"/>
      <c r="GK279" s="1"/>
      <c r="GL279" s="1"/>
      <c r="GM279" s="1"/>
      <c r="GN279" s="1"/>
      <c r="GO279" s="1"/>
      <c r="GP279" s="1"/>
      <c r="GQ279" s="1"/>
      <c r="GR279" s="1"/>
      <c r="GS279" s="1"/>
      <c r="GT279" s="1"/>
      <c r="GU279" s="1"/>
      <c r="GV279" s="1"/>
      <c r="GW279" s="1"/>
      <c r="GX279" s="1"/>
      <c r="GY279" s="1"/>
      <c r="GZ279" s="1"/>
      <c r="HA279" s="1"/>
      <c r="HB279" s="1"/>
      <c r="HC279" s="1"/>
      <c r="HD279" s="1"/>
      <c r="HE279" s="1"/>
      <c r="HF279" s="1"/>
      <c r="HG279" s="1"/>
      <c r="HH279" s="1"/>
      <c r="HI279" s="1"/>
      <c r="HJ279" s="1"/>
      <c r="HK279" s="1"/>
      <c r="HL279" s="1"/>
      <c r="HM279" s="1"/>
      <c r="HN279" s="1"/>
      <c r="HO279" s="1"/>
      <c r="HP279" s="1"/>
      <c r="HQ279" s="1"/>
      <c r="HR279" s="1"/>
      <c r="HS279" s="1"/>
      <c r="HT279" s="1"/>
      <c r="HU279" s="1"/>
      <c r="HV279" s="1"/>
      <c r="HW279" s="1"/>
      <c r="HX279" s="1"/>
      <c r="HY279" s="1"/>
      <c r="HZ279" s="1"/>
      <c r="IA279" s="1"/>
      <c r="IB279" s="1"/>
      <c r="IC279" s="1"/>
      <c r="ID279" s="1"/>
      <c r="IE279" s="1"/>
      <c r="IF279" s="1"/>
      <c r="IG279" s="1"/>
      <c r="IH279" s="1"/>
      <c r="II279" s="1"/>
      <c r="IJ279" s="1"/>
      <c r="IK279" s="1"/>
      <c r="IL279" s="1"/>
      <c r="IM279" s="1"/>
      <c r="IN279" s="1"/>
      <c r="IO279" s="1"/>
      <c r="IP279" s="1"/>
      <c r="IQ279" s="1"/>
      <c r="IR279" s="1"/>
      <c r="IS279" s="1"/>
      <c r="IT279" s="1"/>
      <c r="IU279" s="1"/>
      <c r="IV279" s="1"/>
      <c r="IW279" s="1"/>
      <c r="IX279" s="1"/>
      <c r="IY279" s="1"/>
      <c r="IZ279" s="1"/>
      <c r="JA279" s="1"/>
      <c r="JB279" s="1"/>
      <c r="JC279" s="1"/>
      <c r="JD279" s="1"/>
    </row>
    <row r="280" spans="1:264" s="347" customFormat="1" x14ac:dyDescent="0.2">
      <c r="A280" s="347" t="s">
        <v>329</v>
      </c>
      <c r="B280" s="348"/>
      <c r="BH280" s="489">
        <f>-BH251/BH184</f>
        <v>1.5703037862013262E-2</v>
      </c>
      <c r="BI280" s="489">
        <f>-BI251/BI184</f>
        <v>1.504859992207163E-2</v>
      </c>
      <c r="BJ280" s="489">
        <f>-BJ251/BJ184</f>
        <v>1.504859992207163E-2</v>
      </c>
      <c r="BK280" s="348"/>
      <c r="BL280" s="489">
        <f>-BL251/BL184</f>
        <v>1.4353803757995869E-2</v>
      </c>
      <c r="BM280" s="489">
        <f>-BM251/BM184</f>
        <v>1.3661726028070692E-2</v>
      </c>
      <c r="BN280" s="489">
        <f>-BN251/BN184</f>
        <v>1.3661726028070692E-2</v>
      </c>
      <c r="BO280" s="348"/>
      <c r="BP280" s="489">
        <f>-BP251/BP184</f>
        <v>1.2889110730662835E-2</v>
      </c>
      <c r="BQ280" s="489">
        <f>-BQ251/BQ184</f>
        <v>1.2476454193525072E-2</v>
      </c>
      <c r="BR280" s="489">
        <f>-BR251/BR184</f>
        <v>1.2476454193525072E-2</v>
      </c>
      <c r="BT280" s="489">
        <f>-BT251/BT184</f>
        <v>1.1822955358951847E-2</v>
      </c>
      <c r="BU280" s="489">
        <f>-BU251/BU184</f>
        <v>1.1538540280479067E-2</v>
      </c>
      <c r="BV280" s="489">
        <f>-BV251/BV184</f>
        <v>1.1538540280479067E-2</v>
      </c>
      <c r="BX280" s="489">
        <f>-BX251/BX184</f>
        <v>1.1444157241986644E-2</v>
      </c>
      <c r="BY280" s="489">
        <f>-BY251/BY184</f>
        <v>1.0958106286051652E-2</v>
      </c>
      <c r="BZ280" s="489">
        <f>-BZ251/BZ184</f>
        <v>1.0958106286051652E-2</v>
      </c>
      <c r="CB280" s="489">
        <f>-CB251/CB184</f>
        <v>1.1159060899809991E-2</v>
      </c>
      <c r="CC280" s="489">
        <f>-CC251/CC184</f>
        <v>1.1215112597619783E-2</v>
      </c>
      <c r="CD280" s="489">
        <f>-CD251/CD184</f>
        <v>1.1215112597619783E-2</v>
      </c>
      <c r="CF280" s="489">
        <f>-CF251/CF184</f>
        <v>1.5447236791478504E-2</v>
      </c>
      <c r="CG280" s="489">
        <f>-CG251/CG184</f>
        <v>1.6398469364181274E-2</v>
      </c>
      <c r="CH280" s="489">
        <f>-CH251/CH184</f>
        <v>1.6398469364181274E-2</v>
      </c>
      <c r="CJ280" s="489">
        <f>-CJ251/CJ184</f>
        <v>1.7211682106537222E-2</v>
      </c>
      <c r="CK280" s="489">
        <f>-CK251/CK184</f>
        <v>2.2746050213296912E-2</v>
      </c>
      <c r="CL280" s="489">
        <f>-CL251/CL184</f>
        <v>2.2746050213296912E-2</v>
      </c>
      <c r="CN280" s="489">
        <f>-CN251/CN184</f>
        <v>2.5272692479428462E-2</v>
      </c>
      <c r="CO280" s="489">
        <f>-CO251/CO184</f>
        <v>2.2267410171481278E-2</v>
      </c>
      <c r="CP280" s="489">
        <f>-CP251/CP184</f>
        <v>2.2267410171481278E-2</v>
      </c>
      <c r="CR280" s="489">
        <f>-CR251/CR184</f>
        <v>2.0695096872840855E-2</v>
      </c>
      <c r="CS280" s="489">
        <f>-CS251/CS184</f>
        <v>1.7534319504125945E-2</v>
      </c>
      <c r="CT280" s="489">
        <f>-CT251/CT184</f>
        <v>1.7534319504125945E-2</v>
      </c>
      <c r="CV280" s="489">
        <f>-CV251/CV184</f>
        <v>1.7915315400955728E-2</v>
      </c>
      <c r="CW280" s="489">
        <f>-CW251/CW184</f>
        <v>1.8488931904794097E-2</v>
      </c>
      <c r="CX280" s="489">
        <f>-CX251/CX184</f>
        <v>1.8488931904794097E-2</v>
      </c>
      <c r="CZ280" s="489">
        <f>-CZ251/CZ184</f>
        <v>1.9148760360269735E-2</v>
      </c>
      <c r="DA280" s="489">
        <f>-DA251/DA184</f>
        <v>1.9011593461105637E-2</v>
      </c>
      <c r="DB280" s="489">
        <f>-DB251/DB184</f>
        <v>1.9011593461105637E-2</v>
      </c>
      <c r="DD280" s="489">
        <f>-DD251/DD184</f>
        <v>1.880081474761652E-2</v>
      </c>
      <c r="DE280" s="489">
        <f>-DE251/DE184</f>
        <v>1.8053963853113912E-2</v>
      </c>
      <c r="DF280" s="489">
        <f>-DF251/DF184</f>
        <v>1.8053963853113912E-2</v>
      </c>
      <c r="DH280" s="489">
        <f>-DH251/DH184</f>
        <v>1.7383939774153073E-2</v>
      </c>
      <c r="DI280" s="489">
        <f ca="1">-DI251/DI184</f>
        <v>1.6892082961505121E-2</v>
      </c>
      <c r="DJ280" s="489">
        <f ca="1">-DJ251/DJ184</f>
        <v>1.6892082961505121E-2</v>
      </c>
      <c r="DL280" s="489">
        <f ca="1">-DL251/DL184</f>
        <v>1.655604046137665E-2</v>
      </c>
      <c r="DM280" s="489">
        <f ca="1">-DM251/DM184</f>
        <v>1.6129224383929455E-2</v>
      </c>
      <c r="DN280" s="489">
        <f ca="1">-DN251/DN184</f>
        <v>1.6129224383929455E-2</v>
      </c>
      <c r="DP280" s="489">
        <f ca="1">-DP251/DP184</f>
        <v>1.614368735604239E-2</v>
      </c>
      <c r="DQ280" s="489">
        <f ca="1">-DQ251/DQ184</f>
        <v>1.6120244428999401E-2</v>
      </c>
      <c r="DR280" s="489">
        <f ca="1">-DR251/DR184</f>
        <v>1.6120244428999394E-2</v>
      </c>
      <c r="DT280" s="1"/>
      <c r="DU280" s="1"/>
      <c r="DV280" s="1"/>
      <c r="DW280" s="1"/>
      <c r="DX280" s="1"/>
      <c r="DY280" s="1"/>
      <c r="DZ280" s="1"/>
      <c r="EA280" s="1"/>
      <c r="EB280" s="1"/>
      <c r="EC280" s="1"/>
      <c r="ED280" s="1"/>
      <c r="EE280" s="1"/>
      <c r="EF280" s="1"/>
      <c r="EG280" s="1"/>
      <c r="EH280" s="1"/>
      <c r="EI280" s="1"/>
      <c r="EJ280" s="1"/>
      <c r="EK280" s="1"/>
      <c r="EL280" s="1"/>
      <c r="EM280" s="1"/>
      <c r="EN280" s="1"/>
      <c r="EO280" s="1"/>
      <c r="EP280" s="1"/>
      <c r="EQ280" s="1"/>
      <c r="ER280" s="1"/>
      <c r="ES280" s="1"/>
      <c r="ET280" s="1"/>
      <c r="EU280" s="1"/>
      <c r="EV280" s="1"/>
      <c r="EW280" s="1"/>
      <c r="EX280" s="1"/>
      <c r="EY280" s="1"/>
      <c r="EZ280" s="1"/>
      <c r="FA280" s="1"/>
      <c r="FB280" s="1"/>
      <c r="FC280" s="1"/>
      <c r="FD280" s="1"/>
      <c r="FE280" s="1"/>
      <c r="FF280" s="1"/>
      <c r="FG280" s="1"/>
      <c r="FH280" s="1"/>
      <c r="FI280" s="1"/>
      <c r="FJ280" s="1"/>
      <c r="FK280" s="1"/>
      <c r="FL280" s="1"/>
      <c r="FM280" s="1"/>
      <c r="FN280" s="1"/>
      <c r="FO280" s="1"/>
      <c r="FP280" s="1"/>
      <c r="FQ280" s="1"/>
      <c r="FR280" s="1"/>
      <c r="FS280" s="1"/>
      <c r="FT280" s="1"/>
      <c r="FU280" s="1"/>
      <c r="FV280" s="1"/>
      <c r="FW280" s="1"/>
      <c r="FX280" s="1"/>
      <c r="FY280" s="1"/>
      <c r="FZ280" s="1"/>
      <c r="GA280" s="1"/>
      <c r="GB280" s="1"/>
      <c r="GC280" s="1"/>
      <c r="GD280" s="1"/>
      <c r="GE280" s="1"/>
      <c r="GF280" s="1"/>
      <c r="GG280" s="1"/>
      <c r="GH280" s="1"/>
      <c r="GI280" s="1"/>
      <c r="GJ280" s="1"/>
      <c r="GK280" s="1"/>
      <c r="GL280" s="1"/>
      <c r="GM280" s="1"/>
      <c r="GN280" s="1"/>
      <c r="GO280" s="1"/>
      <c r="GP280" s="1"/>
      <c r="GQ280" s="1"/>
      <c r="GR280" s="1"/>
      <c r="GS280" s="1"/>
      <c r="GT280" s="1"/>
      <c r="GU280" s="1"/>
      <c r="GV280" s="1"/>
      <c r="GW280" s="1"/>
      <c r="GX280" s="1"/>
      <c r="GY280" s="1"/>
      <c r="GZ280" s="1"/>
      <c r="HA280" s="1"/>
      <c r="HB280" s="1"/>
      <c r="HC280" s="1"/>
      <c r="HD280" s="1"/>
      <c r="HE280" s="1"/>
      <c r="HF280" s="1"/>
      <c r="HG280" s="1"/>
      <c r="HH280" s="1"/>
      <c r="HI280" s="1"/>
      <c r="HJ280" s="1"/>
      <c r="HK280" s="1"/>
      <c r="HL280" s="1"/>
      <c r="HM280" s="1"/>
      <c r="HN280" s="1"/>
      <c r="HO280" s="1"/>
      <c r="HP280" s="1"/>
      <c r="HQ280" s="1"/>
      <c r="HR280" s="1"/>
      <c r="HS280" s="1"/>
      <c r="HT280" s="1"/>
      <c r="HU280" s="1"/>
      <c r="HV280" s="1"/>
      <c r="HW280" s="1"/>
      <c r="HX280" s="1"/>
      <c r="HY280" s="1"/>
      <c r="HZ280" s="1"/>
      <c r="IA280" s="1"/>
      <c r="IB280" s="1"/>
      <c r="IC280" s="1"/>
      <c r="ID280" s="1"/>
      <c r="IE280" s="1"/>
      <c r="IF280" s="1"/>
      <c r="IG280" s="1"/>
      <c r="IH280" s="1"/>
      <c r="II280" s="1"/>
      <c r="IJ280" s="1"/>
      <c r="IK280" s="1"/>
      <c r="IL280" s="1"/>
      <c r="IM280" s="1"/>
      <c r="IN280" s="1"/>
      <c r="IO280" s="1"/>
      <c r="IP280" s="1"/>
      <c r="IQ280" s="1"/>
      <c r="IR280" s="1"/>
      <c r="IS280" s="1"/>
      <c r="IT280" s="1"/>
      <c r="IU280" s="1"/>
      <c r="IV280" s="1"/>
      <c r="IW280" s="1"/>
      <c r="IX280" s="1"/>
      <c r="IY280" s="1"/>
      <c r="IZ280" s="1"/>
      <c r="JA280" s="1"/>
      <c r="JB280" s="1"/>
      <c r="JC280" s="1"/>
      <c r="JD280" s="1"/>
    </row>
    <row r="281" spans="1:264" s="347" customFormat="1" x14ac:dyDescent="0.2">
      <c r="A281" s="347" t="s">
        <v>330</v>
      </c>
      <c r="B281" s="348"/>
      <c r="BH281" s="489">
        <f>-BH251/BH187</f>
        <v>5.2037813901998483E-3</v>
      </c>
      <c r="BI281" s="489">
        <f>-BI251/BI187</f>
        <v>5.0244277197923426E-3</v>
      </c>
      <c r="BJ281" s="489">
        <f>-BJ251/BJ187</f>
        <v>5.0244277197923426E-3</v>
      </c>
      <c r="BK281" s="348"/>
      <c r="BL281" s="489">
        <f>-BL251/BL187</f>
        <v>4.8498162308309748E-3</v>
      </c>
      <c r="BM281" s="489">
        <f>-BM251/BM187</f>
        <v>4.5697691436163831E-3</v>
      </c>
      <c r="BN281" s="489">
        <f>-BN251/BN187</f>
        <v>4.5697691436163831E-3</v>
      </c>
      <c r="BO281" s="348"/>
      <c r="BP281" s="489">
        <f>-BP251/BP187</f>
        <v>4.4017983170250661E-3</v>
      </c>
      <c r="BQ281" s="489">
        <f>-BQ251/BQ187</f>
        <v>4.2744037191336055E-3</v>
      </c>
      <c r="BR281" s="489">
        <f>-BR251/BR187</f>
        <v>4.2744037191336055E-3</v>
      </c>
      <c r="BT281" s="489">
        <f>-BT251/BT187</f>
        <v>4.1451589988871261E-3</v>
      </c>
      <c r="BU281" s="489">
        <f>-BU251/BU187</f>
        <v>4.015789548686817E-3</v>
      </c>
      <c r="BV281" s="489">
        <f>-BV251/BV187</f>
        <v>4.015789548686817E-3</v>
      </c>
      <c r="BX281" s="489">
        <f>-BX251/BX187</f>
        <v>3.9026763990267638E-3</v>
      </c>
      <c r="BY281" s="489">
        <f>-BY251/BY187</f>
        <v>3.7272626125844977E-3</v>
      </c>
      <c r="BZ281" s="489">
        <f>-BZ251/BZ187</f>
        <v>3.7272626125844977E-3</v>
      </c>
      <c r="CB281" s="489">
        <f>-CB251/CB187</f>
        <v>3.7392859744401186E-3</v>
      </c>
      <c r="CC281" s="489">
        <f>-CC251/CC187</f>
        <v>3.691836538358756E-3</v>
      </c>
      <c r="CD281" s="489">
        <f>-CD251/CD187</f>
        <v>3.691836538358756E-3</v>
      </c>
      <c r="CF281" s="489">
        <f>-CF251/CF187</f>
        <v>5.0219694705337849E-3</v>
      </c>
      <c r="CG281" s="489">
        <f>-CG251/CG187</f>
        <v>5.130004349465778E-3</v>
      </c>
      <c r="CH281" s="489">
        <f>-CH251/CH187</f>
        <v>5.130004349465778E-3</v>
      </c>
      <c r="CJ281" s="489">
        <f>-CJ251/CJ187</f>
        <v>5.2723484961426422E-3</v>
      </c>
      <c r="CK281" s="489">
        <f>-CK251/CK187</f>
        <v>6.9169909807360007E-3</v>
      </c>
      <c r="CL281" s="489">
        <f>-CL251/CL187</f>
        <v>6.9169909807360007E-3</v>
      </c>
      <c r="CN281" s="489">
        <f>-CN251/CN187</f>
        <v>7.4804304236896664E-3</v>
      </c>
      <c r="CO281" s="489">
        <f>-CO251/CO187</f>
        <v>6.4905544162900571E-3</v>
      </c>
      <c r="CP281" s="489">
        <f>-CP251/CP187</f>
        <v>6.4905544162900571E-3</v>
      </c>
      <c r="CR281" s="489">
        <f>-CR251/CR187</f>
        <v>5.9517300816334688E-3</v>
      </c>
      <c r="CS281" s="489">
        <f>-CS251/CS187</f>
        <v>5.2103873269277925E-3</v>
      </c>
      <c r="CT281" s="489">
        <f>-CT251/CT187</f>
        <v>5.2103873269277925E-3</v>
      </c>
      <c r="CV281" s="489">
        <f>-CV251/CV187</f>
        <v>5.3678923354165868E-3</v>
      </c>
      <c r="CW281" s="489">
        <f>-CW251/CW187</f>
        <v>5.5676340019994624E-3</v>
      </c>
      <c r="CX281" s="489">
        <f>-CX251/CX187</f>
        <v>5.5676340019994624E-3</v>
      </c>
      <c r="CZ281" s="489">
        <f>-CZ251/CZ187</f>
        <v>5.7385441754853267E-3</v>
      </c>
      <c r="DA281" s="489">
        <f>-DA251/DA187</f>
        <v>5.7087335306774687E-3</v>
      </c>
      <c r="DB281" s="489">
        <f>-DB251/DB187</f>
        <v>5.7087335306774687E-3</v>
      </c>
      <c r="DD281" s="489">
        <f>-DD251/DD187</f>
        <v>5.619081139040541E-3</v>
      </c>
      <c r="DE281" s="489">
        <f>-DE251/DE187</f>
        <v>5.4740555752975494E-3</v>
      </c>
      <c r="DF281" s="489">
        <f>-DF251/DF187</f>
        <v>5.4740555752975494E-3</v>
      </c>
      <c r="DH281" s="489">
        <f>-DH251/DH187</f>
        <v>5.283187224258047E-3</v>
      </c>
      <c r="DI281" s="489">
        <f ca="1">-DI251/DI187</f>
        <v>5.12296560616733E-3</v>
      </c>
      <c r="DJ281" s="489">
        <f ca="1">-DJ251/DJ187</f>
        <v>5.12296560616733E-3</v>
      </c>
      <c r="DL281" s="489">
        <f ca="1">-DL251/DL187</f>
        <v>4.9964041869275163E-3</v>
      </c>
      <c r="DM281" s="489">
        <f ca="1">-DM251/DM187</f>
        <v>4.8875704769761018E-3</v>
      </c>
      <c r="DN281" s="489">
        <f ca="1">-DN251/DN187</f>
        <v>4.8875704769761018E-3</v>
      </c>
      <c r="DP281" s="489">
        <f ca="1">-DP251/DP187</f>
        <v>4.8847169237078497E-3</v>
      </c>
      <c r="DQ281" s="489">
        <f ca="1">-DQ251/DQ187</f>
        <v>4.8892833309916181E-3</v>
      </c>
      <c r="DR281" s="489">
        <f ca="1">-DR251/DR187</f>
        <v>4.8892833309916181E-3</v>
      </c>
      <c r="DT281" s="1"/>
      <c r="DU281" s="1"/>
      <c r="DV281" s="1"/>
      <c r="DW281" s="1"/>
      <c r="DX281" s="1"/>
      <c r="DY281" s="1"/>
      <c r="DZ281" s="1"/>
      <c r="EA281" s="1"/>
      <c r="EB281" s="1"/>
      <c r="EC281" s="1"/>
      <c r="ED281" s="1"/>
      <c r="EE281" s="1"/>
      <c r="EF281" s="1"/>
      <c r="EG281" s="1"/>
      <c r="EH281" s="1"/>
      <c r="EI281" s="1"/>
      <c r="EJ281" s="1"/>
      <c r="EK281" s="1"/>
      <c r="EL281" s="1"/>
      <c r="EM281" s="1"/>
      <c r="EN281" s="1"/>
      <c r="EO281" s="1"/>
      <c r="EP281" s="1"/>
      <c r="EQ281" s="1"/>
      <c r="ER281" s="1"/>
      <c r="ES281" s="1"/>
      <c r="ET281" s="1"/>
      <c r="EU281" s="1"/>
      <c r="EV281" s="1"/>
      <c r="EW281" s="1"/>
      <c r="EX281" s="1"/>
      <c r="EY281" s="1"/>
      <c r="EZ281" s="1"/>
      <c r="FA281" s="1"/>
      <c r="FB281" s="1"/>
      <c r="FC281" s="1"/>
      <c r="FD281" s="1"/>
      <c r="FE281" s="1"/>
      <c r="FF281" s="1"/>
      <c r="FG281" s="1"/>
      <c r="FH281" s="1"/>
      <c r="FI281" s="1"/>
      <c r="FJ281" s="1"/>
      <c r="FK281" s="1"/>
      <c r="FL281" s="1"/>
      <c r="FM281" s="1"/>
      <c r="FN281" s="1"/>
      <c r="FO281" s="1"/>
      <c r="FP281" s="1"/>
      <c r="FQ281" s="1"/>
      <c r="FR281" s="1"/>
      <c r="FS281" s="1"/>
      <c r="FT281" s="1"/>
      <c r="FU281" s="1"/>
      <c r="FV281" s="1"/>
      <c r="FW281" s="1"/>
      <c r="FX281" s="1"/>
      <c r="FY281" s="1"/>
      <c r="FZ281" s="1"/>
      <c r="GA281" s="1"/>
      <c r="GB281" s="1"/>
      <c r="GC281" s="1"/>
      <c r="GD281" s="1"/>
      <c r="GE281" s="1"/>
      <c r="GF281" s="1"/>
      <c r="GG281" s="1"/>
      <c r="GH281" s="1"/>
      <c r="GI281" s="1"/>
      <c r="GJ281" s="1"/>
      <c r="GK281" s="1"/>
      <c r="GL281" s="1"/>
      <c r="GM281" s="1"/>
      <c r="GN281" s="1"/>
      <c r="GO281" s="1"/>
      <c r="GP281" s="1"/>
      <c r="GQ281" s="1"/>
      <c r="GR281" s="1"/>
      <c r="GS281" s="1"/>
      <c r="GT281" s="1"/>
      <c r="GU281" s="1"/>
      <c r="GV281" s="1"/>
      <c r="GW281" s="1"/>
      <c r="GX281" s="1"/>
      <c r="GY281" s="1"/>
      <c r="GZ281" s="1"/>
      <c r="HA281" s="1"/>
      <c r="HB281" s="1"/>
      <c r="HC281" s="1"/>
      <c r="HD281" s="1"/>
      <c r="HE281" s="1"/>
      <c r="HF281" s="1"/>
      <c r="HG281" s="1"/>
      <c r="HH281" s="1"/>
      <c r="HI281" s="1"/>
      <c r="HJ281" s="1"/>
      <c r="HK281" s="1"/>
      <c r="HL281" s="1"/>
      <c r="HM281" s="1"/>
      <c r="HN281" s="1"/>
      <c r="HO281" s="1"/>
      <c r="HP281" s="1"/>
      <c r="HQ281" s="1"/>
      <c r="HR281" s="1"/>
      <c r="HS281" s="1"/>
      <c r="HT281" s="1"/>
      <c r="HU281" s="1"/>
      <c r="HV281" s="1"/>
      <c r="HW281" s="1"/>
      <c r="HX281" s="1"/>
      <c r="HY281" s="1"/>
      <c r="HZ281" s="1"/>
      <c r="IA281" s="1"/>
      <c r="IB281" s="1"/>
      <c r="IC281" s="1"/>
      <c r="ID281" s="1"/>
      <c r="IE281" s="1"/>
      <c r="IF281" s="1"/>
      <c r="IG281" s="1"/>
      <c r="IH281" s="1"/>
      <c r="II281" s="1"/>
      <c r="IJ281" s="1"/>
      <c r="IK281" s="1"/>
      <c r="IL281" s="1"/>
      <c r="IM281" s="1"/>
      <c r="IN281" s="1"/>
      <c r="IO281" s="1"/>
      <c r="IP281" s="1"/>
      <c r="IQ281" s="1"/>
      <c r="IR281" s="1"/>
      <c r="IS281" s="1"/>
      <c r="IT281" s="1"/>
      <c r="IU281" s="1"/>
      <c r="IV281" s="1"/>
      <c r="IW281" s="1"/>
      <c r="IX281" s="1"/>
      <c r="IY281" s="1"/>
      <c r="IZ281" s="1"/>
      <c r="JA281" s="1"/>
      <c r="JB281" s="1"/>
      <c r="JC281" s="1"/>
      <c r="JD281" s="1"/>
    </row>
    <row r="282" spans="1:264" s="347" customFormat="1" x14ac:dyDescent="0.2">
      <c r="A282" s="347" t="s">
        <v>331</v>
      </c>
      <c r="B282" s="348"/>
      <c r="BH282" s="489">
        <f>-BH265/BH187</f>
        <v>8.5631154227116466E-3</v>
      </c>
      <c r="BI282" s="489">
        <f>-BI265/BI187</f>
        <v>7.8864880164410244E-3</v>
      </c>
      <c r="BJ282" s="489">
        <f>-BJ265/BJ187</f>
        <v>7.8864880164410244E-3</v>
      </c>
      <c r="BK282" s="348"/>
      <c r="BL282" s="489">
        <f>-BL265/BL187</f>
        <v>7.2426175488994977E-3</v>
      </c>
      <c r="BM282" s="489">
        <f>-BM265/BM187</f>
        <v>6.4230004587857471E-3</v>
      </c>
      <c r="BN282" s="489">
        <f>-BN265/BN187</f>
        <v>6.4230004587857471E-3</v>
      </c>
      <c r="BO282" s="348"/>
      <c r="BP282" s="489">
        <f>-BP265/BP187</f>
        <v>6.1797233701557115E-3</v>
      </c>
      <c r="BQ282" s="489">
        <f>-BQ265/BQ187</f>
        <v>5.6471032480516024E-3</v>
      </c>
      <c r="BR282" s="489">
        <f>-BR265/BR187</f>
        <v>5.6471032480516024E-3</v>
      </c>
      <c r="BT282" s="489">
        <f>-BT265/BT187</f>
        <v>5.4903748253735231E-3</v>
      </c>
      <c r="BU282" s="489">
        <f>-BU265/BU187</f>
        <v>5.3610362960112862E-3</v>
      </c>
      <c r="BV282" s="489">
        <f>-BV265/BV187</f>
        <v>5.3610362960112862E-3</v>
      </c>
      <c r="BX282" s="489">
        <f>-BX265/BX187</f>
        <v>5.3166492874522076E-3</v>
      </c>
      <c r="BY282" s="489">
        <f>-BY265/BY187</f>
        <v>5.0569740651992805E-3</v>
      </c>
      <c r="BZ282" s="489">
        <f>-BZ265/BZ187</f>
        <v>5.0569740651992805E-3</v>
      </c>
      <c r="CB282" s="489">
        <f>-CB265/CB187</f>
        <v>5.0585578658551393E-3</v>
      </c>
      <c r="CC282" s="489">
        <f>-CC265/CC187</f>
        <v>4.8543040694380606E-3</v>
      </c>
      <c r="CD282" s="489">
        <f>-CD265/CD187</f>
        <v>4.8543040694380606E-3</v>
      </c>
      <c r="CF282" s="489">
        <f>-CF265/CF187</f>
        <v>6.2333517235204352E-3</v>
      </c>
      <c r="CG282" s="489">
        <f>-CG265/CG187</f>
        <v>6.3060683588848018E-3</v>
      </c>
      <c r="CH282" s="489">
        <f>-CH265/CH187</f>
        <v>6.3060683588848018E-3</v>
      </c>
      <c r="CJ282" s="489">
        <f>-CJ265/CJ187</f>
        <v>6.515570086455107E-3</v>
      </c>
      <c r="CK282" s="489">
        <f>-CK265/CK187</f>
        <v>8.1565629374394308E-3</v>
      </c>
      <c r="CL282" s="489">
        <f>-CL265/CL187</f>
        <v>8.1565629374394308E-3</v>
      </c>
      <c r="CN282" s="489">
        <f>-CN265/CN187</f>
        <v>8.578013349729947E-3</v>
      </c>
      <c r="CO282" s="489">
        <f>-CO265/CO187</f>
        <v>7.5904412501558169E-3</v>
      </c>
      <c r="CP282" s="489">
        <f>-CP265/CP187</f>
        <v>7.5904412501558169E-3</v>
      </c>
      <c r="CR282" s="489">
        <f>-CR265/CR187</f>
        <v>6.8829371588072551E-3</v>
      </c>
      <c r="CS282" s="489">
        <f>-CS265/CS187</f>
        <v>6.0420605155243777E-3</v>
      </c>
      <c r="CT282" s="489">
        <f>-CT265/CT187</f>
        <v>6.0420605155243777E-3</v>
      </c>
      <c r="CV282" s="489">
        <f>-CV265/CV187</f>
        <v>6.0701002919476138E-3</v>
      </c>
      <c r="CW282" s="489">
        <f>-CW265/CW187</f>
        <v>6.3755624156845263E-3</v>
      </c>
      <c r="CX282" s="489">
        <f>-CX265/CX187</f>
        <v>6.3755624156845263E-3</v>
      </c>
      <c r="CZ282" s="489">
        <f>-CZ265/CZ187</f>
        <v>6.5277285808569485E-3</v>
      </c>
      <c r="DA282" s="489">
        <f>-DA265/DA187</f>
        <v>6.4582482409563467E-3</v>
      </c>
      <c r="DB282" s="489">
        <f>-DB265/DB187</f>
        <v>6.4582482409563467E-3</v>
      </c>
      <c r="DD282" s="489">
        <f>-DD265/DD187</f>
        <v>6.3710885383840947E-3</v>
      </c>
      <c r="DE282" s="489">
        <f>-DE265/DE187</f>
        <v>6.2772976809337298E-3</v>
      </c>
      <c r="DF282" s="489">
        <f>-DF265/DF187</f>
        <v>6.2772976809337298E-3</v>
      </c>
      <c r="DH282" s="489">
        <f>-DH265/DH187</f>
        <v>6.0391539274043176E-3</v>
      </c>
      <c r="DI282" s="489">
        <f ca="1">-DI265/DI187</f>
        <v>5.9058963952996922E-3</v>
      </c>
      <c r="DJ282" s="489">
        <f ca="1">-DJ265/DJ187</f>
        <v>5.9058963952996922E-3</v>
      </c>
      <c r="DL282" s="489">
        <f ca="1">-DL265/DL187</f>
        <v>5.779470298562051E-3</v>
      </c>
      <c r="DM282" s="489">
        <f ca="1">-DM265/DM187</f>
        <v>5.6854443196662245E-3</v>
      </c>
      <c r="DN282" s="489">
        <f ca="1">-DN265/DN187</f>
        <v>5.6854443196662245E-3</v>
      </c>
      <c r="DP282" s="489">
        <f ca="1">-DP265/DP187</f>
        <v>5.694125199757075E-3</v>
      </c>
      <c r="DQ282" s="489">
        <f ca="1">-DQ265/DQ187</f>
        <v>5.7249850591326971E-3</v>
      </c>
      <c r="DR282" s="489">
        <f ca="1">-DR265/DR187</f>
        <v>5.7249850591326971E-3</v>
      </c>
      <c r="DT282" s="1"/>
      <c r="DU282" s="1"/>
      <c r="DV282" s="1"/>
      <c r="DW282" s="1"/>
      <c r="DX282" s="1"/>
      <c r="DY282" s="1"/>
      <c r="DZ282" s="1"/>
      <c r="EA282" s="1"/>
      <c r="EB282" s="1"/>
      <c r="EC282" s="1"/>
      <c r="ED282" s="1"/>
      <c r="EE282" s="1"/>
      <c r="EF282" s="1"/>
      <c r="EG282" s="1"/>
      <c r="EH282" s="1"/>
      <c r="EI282" s="1"/>
      <c r="EJ282" s="1"/>
      <c r="EK282" s="1"/>
      <c r="EL282" s="1"/>
      <c r="EM282" s="1"/>
      <c r="EN282" s="1"/>
      <c r="EO282" s="1"/>
      <c r="EP282" s="1"/>
      <c r="EQ282" s="1"/>
      <c r="ER282" s="1"/>
      <c r="ES282" s="1"/>
      <c r="ET282" s="1"/>
      <c r="EU282" s="1"/>
      <c r="EV282" s="1"/>
      <c r="EW282" s="1"/>
      <c r="EX282" s="1"/>
      <c r="EY282" s="1"/>
      <c r="EZ282" s="1"/>
      <c r="FA282" s="1"/>
      <c r="FB282" s="1"/>
      <c r="FC282" s="1"/>
      <c r="FD282" s="1"/>
      <c r="FE282" s="1"/>
      <c r="FF282" s="1"/>
      <c r="FG282" s="1"/>
      <c r="FH282" s="1"/>
      <c r="FI282" s="1"/>
      <c r="FJ282" s="1"/>
      <c r="FK282" s="1"/>
      <c r="FL282" s="1"/>
      <c r="FM282" s="1"/>
      <c r="FN282" s="1"/>
      <c r="FO282" s="1"/>
      <c r="FP282" s="1"/>
      <c r="FQ282" s="1"/>
      <c r="FR282" s="1"/>
      <c r="FS282" s="1"/>
      <c r="FT282" s="1"/>
      <c r="FU282" s="1"/>
      <c r="FV282" s="1"/>
      <c r="FW282" s="1"/>
      <c r="FX282" s="1"/>
      <c r="FY282" s="1"/>
      <c r="FZ282" s="1"/>
      <c r="GA282" s="1"/>
      <c r="GB282" s="1"/>
      <c r="GC282" s="1"/>
      <c r="GD282" s="1"/>
      <c r="GE282" s="1"/>
      <c r="GF282" s="1"/>
      <c r="GG282" s="1"/>
      <c r="GH282" s="1"/>
      <c r="GI282" s="1"/>
      <c r="GJ282" s="1"/>
      <c r="GK282" s="1"/>
      <c r="GL282" s="1"/>
      <c r="GM282" s="1"/>
      <c r="GN282" s="1"/>
      <c r="GO282" s="1"/>
      <c r="GP282" s="1"/>
      <c r="GQ282" s="1"/>
      <c r="GR282" s="1"/>
      <c r="GS282" s="1"/>
      <c r="GT282" s="1"/>
      <c r="GU282" s="1"/>
      <c r="GV282" s="1"/>
      <c r="GW282" s="1"/>
      <c r="GX282" s="1"/>
      <c r="GY282" s="1"/>
      <c r="GZ282" s="1"/>
      <c r="HA282" s="1"/>
      <c r="HB282" s="1"/>
      <c r="HC282" s="1"/>
      <c r="HD282" s="1"/>
      <c r="HE282" s="1"/>
      <c r="HF282" s="1"/>
      <c r="HG282" s="1"/>
      <c r="HH282" s="1"/>
      <c r="HI282" s="1"/>
      <c r="HJ282" s="1"/>
      <c r="HK282" s="1"/>
      <c r="HL282" s="1"/>
      <c r="HM282" s="1"/>
      <c r="HN282" s="1"/>
      <c r="HO282" s="1"/>
      <c r="HP282" s="1"/>
      <c r="HQ282" s="1"/>
      <c r="HR282" s="1"/>
      <c r="HS282" s="1"/>
      <c r="HT282" s="1"/>
      <c r="HU282" s="1"/>
      <c r="HV282" s="1"/>
      <c r="HW282" s="1"/>
      <c r="HX282" s="1"/>
      <c r="HY282" s="1"/>
      <c r="HZ282" s="1"/>
      <c r="IA282" s="1"/>
      <c r="IB282" s="1"/>
      <c r="IC282" s="1"/>
      <c r="ID282" s="1"/>
      <c r="IE282" s="1"/>
      <c r="IF282" s="1"/>
      <c r="IG282" s="1"/>
      <c r="IH282" s="1"/>
      <c r="II282" s="1"/>
      <c r="IJ282" s="1"/>
      <c r="IK282" s="1"/>
      <c r="IL282" s="1"/>
      <c r="IM282" s="1"/>
      <c r="IN282" s="1"/>
      <c r="IO282" s="1"/>
      <c r="IP282" s="1"/>
      <c r="IQ282" s="1"/>
      <c r="IR282" s="1"/>
      <c r="IS282" s="1"/>
      <c r="IT282" s="1"/>
      <c r="IU282" s="1"/>
      <c r="IV282" s="1"/>
      <c r="IW282" s="1"/>
      <c r="IX282" s="1"/>
      <c r="IY282" s="1"/>
      <c r="IZ282" s="1"/>
      <c r="JA282" s="1"/>
      <c r="JB282" s="1"/>
      <c r="JC282" s="1"/>
      <c r="JD282" s="1"/>
    </row>
    <row r="283" spans="1:264" s="347" customFormat="1" x14ac:dyDescent="0.2">
      <c r="A283" s="424"/>
      <c r="B283" s="348"/>
      <c r="BH283" s="398"/>
      <c r="BI283" s="428"/>
      <c r="BJ283" s="397"/>
      <c r="BK283" s="348"/>
      <c r="BL283" s="348"/>
      <c r="BM283" s="428"/>
      <c r="BN283" s="397"/>
      <c r="BO283" s="348"/>
      <c r="BP283" s="348"/>
      <c r="BQ283" s="428"/>
      <c r="BR283" s="397"/>
      <c r="BT283" s="348"/>
      <c r="BU283" s="428"/>
      <c r="BV283" s="397"/>
      <c r="BX283" s="348"/>
      <c r="BY283" s="428"/>
      <c r="BZ283" s="397"/>
      <c r="CB283" s="348"/>
      <c r="CC283" s="428"/>
      <c r="CD283" s="397"/>
      <c r="CF283" s="348"/>
      <c r="CG283" s="428"/>
      <c r="CH283" s="397"/>
      <c r="CJ283" s="348"/>
      <c r="CK283" s="428"/>
      <c r="CL283" s="397"/>
      <c r="CN283" s="348"/>
      <c r="CO283" s="428"/>
      <c r="CP283" s="397"/>
      <c r="CR283" s="348"/>
      <c r="CS283" s="428"/>
      <c r="CT283" s="397"/>
      <c r="CV283" s="348"/>
      <c r="CW283" s="428"/>
      <c r="CX283" s="397"/>
      <c r="CZ283" s="348"/>
      <c r="DA283" s="428"/>
      <c r="DB283" s="397"/>
      <c r="DD283" s="348"/>
      <c r="DE283" s="428"/>
      <c r="DF283" s="397"/>
      <c r="DH283" s="348"/>
      <c r="DI283" s="348"/>
      <c r="DJ283" s="348"/>
      <c r="DL283" s="348"/>
      <c r="DM283" s="348"/>
      <c r="DN283" s="348"/>
      <c r="DP283" s="348"/>
      <c r="DQ283" s="348"/>
      <c r="DR283" s="348"/>
      <c r="DT283" s="1"/>
      <c r="DU283" s="1"/>
      <c r="DV283" s="1"/>
      <c r="DW283" s="1"/>
      <c r="DX283" s="1"/>
      <c r="DY283" s="1"/>
      <c r="DZ283" s="1"/>
      <c r="EA283" s="1"/>
      <c r="EB283" s="1"/>
      <c r="EC283" s="1"/>
      <c r="ED283" s="1"/>
      <c r="EE283" s="1"/>
      <c r="EF283" s="1"/>
      <c r="EG283" s="1"/>
      <c r="EH283" s="1"/>
      <c r="EI283" s="1"/>
      <c r="EJ283" s="1"/>
      <c r="EK283" s="1"/>
      <c r="EL283" s="1"/>
      <c r="EM283" s="1"/>
      <c r="EN283" s="1"/>
      <c r="EO283" s="1"/>
      <c r="EP283" s="1"/>
      <c r="EQ283" s="1"/>
      <c r="ER283" s="1"/>
      <c r="ES283" s="1"/>
      <c r="ET283" s="1"/>
      <c r="EU283" s="1"/>
      <c r="EV283" s="1"/>
      <c r="EW283" s="1"/>
      <c r="EX283" s="1"/>
      <c r="EY283" s="1"/>
      <c r="EZ283" s="1"/>
      <c r="FA283" s="1"/>
      <c r="FB283" s="1"/>
      <c r="FC283" s="1"/>
      <c r="FD283" s="1"/>
      <c r="FE283" s="1"/>
      <c r="FF283" s="1"/>
      <c r="FG283" s="1"/>
      <c r="FH283" s="1"/>
      <c r="FI283" s="1"/>
      <c r="FJ283" s="1"/>
      <c r="FK283" s="1"/>
      <c r="FL283" s="1"/>
      <c r="FM283" s="1"/>
      <c r="FN283" s="1"/>
      <c r="FO283" s="1"/>
      <c r="FP283" s="1"/>
      <c r="FQ283" s="1"/>
      <c r="FR283" s="1"/>
      <c r="FS283" s="1"/>
      <c r="FT283" s="1"/>
      <c r="FU283" s="1"/>
      <c r="FV283" s="1"/>
      <c r="FW283" s="1"/>
      <c r="FX283" s="1"/>
      <c r="FY283" s="1"/>
      <c r="FZ283" s="1"/>
      <c r="GA283" s="1"/>
      <c r="GB283" s="1"/>
      <c r="GC283" s="1"/>
      <c r="GD283" s="1"/>
      <c r="GE283" s="1"/>
      <c r="GF283" s="1"/>
      <c r="GG283" s="1"/>
      <c r="GH283" s="1"/>
      <c r="GI283" s="1"/>
      <c r="GJ283" s="1"/>
      <c r="GK283" s="1"/>
      <c r="GL283" s="1"/>
      <c r="GM283" s="1"/>
      <c r="GN283" s="1"/>
      <c r="GO283" s="1"/>
      <c r="GP283" s="1"/>
      <c r="GQ283" s="1"/>
      <c r="GR283" s="1"/>
      <c r="GS283" s="1"/>
      <c r="GT283" s="1"/>
      <c r="GU283" s="1"/>
      <c r="GV283" s="1"/>
      <c r="GW283" s="1"/>
      <c r="GX283" s="1"/>
      <c r="GY283" s="1"/>
      <c r="GZ283" s="1"/>
      <c r="HA283" s="1"/>
      <c r="HB283" s="1"/>
      <c r="HC283" s="1"/>
      <c r="HD283" s="1"/>
      <c r="HE283" s="1"/>
      <c r="HF283" s="1"/>
      <c r="HG283" s="1"/>
      <c r="HH283" s="1"/>
      <c r="HI283" s="1"/>
      <c r="HJ283" s="1"/>
      <c r="HK283" s="1"/>
      <c r="HL283" s="1"/>
      <c r="HM283" s="1"/>
      <c r="HN283" s="1"/>
      <c r="HO283" s="1"/>
      <c r="HP283" s="1"/>
      <c r="HQ283" s="1"/>
      <c r="HR283" s="1"/>
      <c r="HS283" s="1"/>
      <c r="HT283" s="1"/>
      <c r="HU283" s="1"/>
      <c r="HV283" s="1"/>
      <c r="HW283" s="1"/>
      <c r="HX283" s="1"/>
      <c r="HY283" s="1"/>
      <c r="HZ283" s="1"/>
      <c r="IA283" s="1"/>
      <c r="IB283" s="1"/>
      <c r="IC283" s="1"/>
      <c r="ID283" s="1"/>
      <c r="IE283" s="1"/>
      <c r="IF283" s="1"/>
      <c r="IG283" s="1"/>
      <c r="IH283" s="1"/>
      <c r="II283" s="1"/>
      <c r="IJ283" s="1"/>
      <c r="IK283" s="1"/>
      <c r="IL283" s="1"/>
      <c r="IM283" s="1"/>
      <c r="IN283" s="1"/>
      <c r="IO283" s="1"/>
      <c r="IP283" s="1"/>
      <c r="IQ283" s="1"/>
      <c r="IR283" s="1"/>
      <c r="IS283" s="1"/>
      <c r="IT283" s="1"/>
      <c r="IU283" s="1"/>
      <c r="IV283" s="1"/>
      <c r="IW283" s="1"/>
      <c r="IX283" s="1"/>
      <c r="IY283" s="1"/>
      <c r="IZ283" s="1"/>
      <c r="JA283" s="1"/>
      <c r="JB283" s="1"/>
      <c r="JC283" s="1"/>
      <c r="JD283" s="1"/>
    </row>
    <row r="284" spans="1:264" s="347" customFormat="1" x14ac:dyDescent="0.2">
      <c r="A284" s="347" t="s">
        <v>290</v>
      </c>
      <c r="B284" s="348"/>
      <c r="BH284" s="479">
        <f>BH198</f>
        <v>1547</v>
      </c>
      <c r="BI284" s="479">
        <f>BI198</f>
        <v>1469</v>
      </c>
      <c r="BJ284" s="479">
        <f>BJ198</f>
        <v>3016</v>
      </c>
      <c r="BK284" s="348"/>
      <c r="BL284" s="479">
        <f>BL198</f>
        <v>1316</v>
      </c>
      <c r="BM284" s="479">
        <f>BM198</f>
        <v>1077</v>
      </c>
      <c r="BN284" s="479">
        <f>BN198</f>
        <v>2393</v>
      </c>
      <c r="BO284" s="348"/>
      <c r="BP284" s="479">
        <f>BP198</f>
        <v>961</v>
      </c>
      <c r="BQ284" s="479">
        <f>BQ198</f>
        <v>1134</v>
      </c>
      <c r="BR284" s="479">
        <f>BR198</f>
        <v>2095</v>
      </c>
      <c r="BT284" s="479">
        <f>BT198</f>
        <v>1068</v>
      </c>
      <c r="BU284" s="479">
        <f>BU198</f>
        <v>1302</v>
      </c>
      <c r="BV284" s="479">
        <f>BV198</f>
        <v>2370</v>
      </c>
      <c r="BX284" s="479">
        <f>BX198</f>
        <v>1194</v>
      </c>
      <c r="BY284" s="479">
        <f>BY198</f>
        <v>970</v>
      </c>
      <c r="BZ284" s="479">
        <f>BZ198</f>
        <v>2164</v>
      </c>
      <c r="CB284" s="479">
        <f>CB198</f>
        <v>1254</v>
      </c>
      <c r="CC284" s="479">
        <f>CC198</f>
        <v>882</v>
      </c>
      <c r="CD284" s="479">
        <f>CD198</f>
        <v>2136</v>
      </c>
      <c r="CF284" s="479">
        <f>CF198</f>
        <v>1186</v>
      </c>
      <c r="CG284" s="479">
        <f>CG198</f>
        <v>1103</v>
      </c>
      <c r="CH284" s="479">
        <f>CH198</f>
        <v>2289</v>
      </c>
      <c r="CJ284" s="479">
        <f>CJ198</f>
        <v>1332</v>
      </c>
      <c r="CK284" s="479">
        <f>CK198</f>
        <v>1299</v>
      </c>
      <c r="CL284" s="479">
        <f>CL198</f>
        <v>2631</v>
      </c>
      <c r="CN284" s="479">
        <f>CN198</f>
        <v>799</v>
      </c>
      <c r="CO284" s="479">
        <f>CO198</f>
        <v>1361</v>
      </c>
      <c r="CP284" s="479">
        <f>CP198</f>
        <v>2160</v>
      </c>
      <c r="CR284" s="479">
        <f>CR198</f>
        <v>1285</v>
      </c>
      <c r="CS284" s="479">
        <f>CS198</f>
        <v>907</v>
      </c>
      <c r="CT284" s="479">
        <f>CT198</f>
        <v>2192</v>
      </c>
      <c r="CV284" s="479">
        <f>CV198</f>
        <v>1060</v>
      </c>
      <c r="CW284" s="479">
        <f>CW198</f>
        <v>1519</v>
      </c>
      <c r="CX284" s="479">
        <f>CX198</f>
        <v>2579</v>
      </c>
      <c r="CZ284" s="479">
        <f>CZ198</f>
        <v>1154</v>
      </c>
      <c r="DA284" s="479">
        <f>DA198</f>
        <v>1776</v>
      </c>
      <c r="DB284" s="479">
        <f>DB198</f>
        <v>2930</v>
      </c>
      <c r="DD284" s="479">
        <f>DD227</f>
        <v>3739</v>
      </c>
      <c r="DE284" s="479">
        <f>DE227</f>
        <v>4247</v>
      </c>
      <c r="DF284" s="479">
        <f>DF227</f>
        <v>7986</v>
      </c>
      <c r="DH284" s="479">
        <f>DH227</f>
        <v>3576</v>
      </c>
      <c r="DI284" s="479">
        <f t="shared" ref="DI284:DJ284" si="169">DI227</f>
        <v>3768.2433119392849</v>
      </c>
      <c r="DJ284" s="479">
        <f t="shared" si="169"/>
        <v>7344.2433119392845</v>
      </c>
      <c r="DL284" s="479">
        <f>DL227</f>
        <v>4224.7192063579532</v>
      </c>
      <c r="DM284" s="479">
        <f t="shared" ref="DM284:DN284" si="170">DM227</f>
        <v>4856.4763955407079</v>
      </c>
      <c r="DN284" s="479">
        <f t="shared" si="170"/>
        <v>9081.1956018986602</v>
      </c>
      <c r="DP284" s="479">
        <f>DP227</f>
        <v>4445.8643060767872</v>
      </c>
      <c r="DQ284" s="479">
        <f t="shared" ref="DQ284:DR284" si="171">DQ227</f>
        <v>4508.0089647994528</v>
      </c>
      <c r="DR284" s="479">
        <f t="shared" si="171"/>
        <v>8953.87327087624</v>
      </c>
      <c r="DT284" s="1"/>
      <c r="DU284" s="1"/>
      <c r="DV284" s="1"/>
      <c r="DW284" s="1"/>
      <c r="DX284" s="1"/>
      <c r="DY284" s="1"/>
      <c r="DZ284" s="1"/>
      <c r="EA284" s="1"/>
      <c r="EB284" s="1"/>
      <c r="EC284" s="1"/>
      <c r="ED284" s="1"/>
      <c r="EE284" s="1"/>
      <c r="EF284" s="1"/>
      <c r="EG284" s="1"/>
      <c r="EH284" s="1"/>
      <c r="EI284" s="1"/>
      <c r="EJ284" s="1"/>
      <c r="EK284" s="1"/>
      <c r="EL284" s="1"/>
      <c r="EM284" s="1"/>
      <c r="EN284" s="1"/>
      <c r="EO284" s="1"/>
      <c r="EP284" s="1"/>
      <c r="EQ284" s="1"/>
      <c r="ER284" s="1"/>
      <c r="ES284" s="1"/>
      <c r="ET284" s="1"/>
      <c r="EU284" s="1"/>
      <c r="EV284" s="1"/>
      <c r="EW284" s="1"/>
      <c r="EX284" s="1"/>
      <c r="EY284" s="1"/>
      <c r="EZ284" s="1"/>
      <c r="FA284" s="1"/>
      <c r="FB284" s="1"/>
      <c r="FC284" s="1"/>
      <c r="FD284" s="1"/>
      <c r="FE284" s="1"/>
      <c r="FF284" s="1"/>
      <c r="FG284" s="1"/>
      <c r="FH284" s="1"/>
      <c r="FI284" s="1"/>
      <c r="FJ284" s="1"/>
      <c r="FK284" s="1"/>
      <c r="FL284" s="1"/>
      <c r="FM284" s="1"/>
      <c r="FN284" s="1"/>
      <c r="FO284" s="1"/>
      <c r="FP284" s="1"/>
      <c r="FQ284" s="1"/>
      <c r="FR284" s="1"/>
      <c r="FS284" s="1"/>
      <c r="FT284" s="1"/>
      <c r="FU284" s="1"/>
      <c r="FV284" s="1"/>
      <c r="FW284" s="1"/>
      <c r="FX284" s="1"/>
      <c r="FY284" s="1"/>
      <c r="FZ284" s="1"/>
      <c r="GA284" s="1"/>
      <c r="GB284" s="1"/>
      <c r="GC284" s="1"/>
      <c r="GD284" s="1"/>
      <c r="GE284" s="1"/>
      <c r="GF284" s="1"/>
      <c r="GG284" s="1"/>
      <c r="GH284" s="1"/>
      <c r="GI284" s="1"/>
      <c r="GJ284" s="1"/>
      <c r="GK284" s="1"/>
      <c r="GL284" s="1"/>
      <c r="GM284" s="1"/>
      <c r="GN284" s="1"/>
      <c r="GO284" s="1"/>
      <c r="GP284" s="1"/>
      <c r="GQ284" s="1"/>
      <c r="GR284" s="1"/>
      <c r="GS284" s="1"/>
      <c r="GT284" s="1"/>
      <c r="GU284" s="1"/>
      <c r="GV284" s="1"/>
      <c r="GW284" s="1"/>
      <c r="GX284" s="1"/>
      <c r="GY284" s="1"/>
      <c r="GZ284" s="1"/>
      <c r="HA284" s="1"/>
      <c r="HB284" s="1"/>
      <c r="HC284" s="1"/>
      <c r="HD284" s="1"/>
      <c r="HE284" s="1"/>
      <c r="HF284" s="1"/>
      <c r="HG284" s="1"/>
      <c r="HH284" s="1"/>
      <c r="HI284" s="1"/>
      <c r="HJ284" s="1"/>
      <c r="HK284" s="1"/>
      <c r="HL284" s="1"/>
      <c r="HM284" s="1"/>
      <c r="HN284" s="1"/>
      <c r="HO284" s="1"/>
      <c r="HP284" s="1"/>
      <c r="HQ284" s="1"/>
      <c r="HR284" s="1"/>
      <c r="HS284" s="1"/>
      <c r="HT284" s="1"/>
      <c r="HU284" s="1"/>
      <c r="HV284" s="1"/>
      <c r="HW284" s="1"/>
      <c r="HX284" s="1"/>
      <c r="HY284" s="1"/>
      <c r="HZ284" s="1"/>
      <c r="IA284" s="1"/>
      <c r="IB284" s="1"/>
      <c r="IC284" s="1"/>
      <c r="ID284" s="1"/>
      <c r="IE284" s="1"/>
      <c r="IF284" s="1"/>
      <c r="IG284" s="1"/>
      <c r="IH284" s="1"/>
      <c r="II284" s="1"/>
      <c r="IJ284" s="1"/>
      <c r="IK284" s="1"/>
      <c r="IL284" s="1"/>
      <c r="IM284" s="1"/>
      <c r="IN284" s="1"/>
      <c r="IO284" s="1"/>
      <c r="IP284" s="1"/>
      <c r="IQ284" s="1"/>
      <c r="IR284" s="1"/>
      <c r="IS284" s="1"/>
      <c r="IT284" s="1"/>
      <c r="IU284" s="1"/>
      <c r="IV284" s="1"/>
      <c r="IW284" s="1"/>
      <c r="IX284" s="1"/>
      <c r="IY284" s="1"/>
      <c r="IZ284" s="1"/>
      <c r="JA284" s="1"/>
      <c r="JB284" s="1"/>
      <c r="JC284" s="1"/>
      <c r="JD284" s="1"/>
    </row>
    <row r="285" spans="1:264" s="347" customFormat="1" x14ac:dyDescent="0.2">
      <c r="A285" s="347" t="s">
        <v>332</v>
      </c>
      <c r="B285" s="348"/>
      <c r="BH285" s="504">
        <f>BH276</f>
        <v>0.41183035714285715</v>
      </c>
      <c r="BI285" s="504">
        <f>BI276</f>
        <v>0.37598152424942261</v>
      </c>
      <c r="BJ285" s="504">
        <f>BJ276</f>
        <v>0.37598152424942261</v>
      </c>
      <c r="BK285" s="348"/>
      <c r="BL285" s="504">
        <f>BL276</f>
        <v>0.3594821020563595</v>
      </c>
      <c r="BM285" s="504">
        <f>BM276</f>
        <v>0.33471933471933474</v>
      </c>
      <c r="BN285" s="504">
        <f>BN276</f>
        <v>0.33471933471933474</v>
      </c>
      <c r="BO285" s="348"/>
      <c r="BP285" s="504">
        <f>BP276</f>
        <v>0.33214285714285713</v>
      </c>
      <c r="BQ285" s="504">
        <f>BQ276</f>
        <v>0.31068301225919437</v>
      </c>
      <c r="BR285" s="504">
        <f>BR276</f>
        <v>0.31068301225919437</v>
      </c>
      <c r="BT285" s="504">
        <f>BT276</f>
        <v>0.32604017216642756</v>
      </c>
      <c r="BU285" s="504">
        <f>BU276</f>
        <v>0.30295250320924261</v>
      </c>
      <c r="BV285" s="504">
        <f>BV276</f>
        <v>0.30295250320924261</v>
      </c>
      <c r="BX285" s="504">
        <f>BX276</f>
        <v>0.30133333333333334</v>
      </c>
      <c r="BY285" s="504">
        <f>BY276</f>
        <v>0.30749921556322563</v>
      </c>
      <c r="BZ285" s="504">
        <f>BZ276</f>
        <v>0.30749921556322563</v>
      </c>
      <c r="CB285" s="504">
        <f>CB276</f>
        <v>0.29046629046629047</v>
      </c>
      <c r="CC285" s="504">
        <f>CC276</f>
        <v>0.27367096571248822</v>
      </c>
      <c r="CD285" s="504">
        <f>CD276</f>
        <v>0.27367096571248822</v>
      </c>
      <c r="CF285" s="504">
        <f>CF276</f>
        <v>0.25842696629213485</v>
      </c>
      <c r="CG285" s="504">
        <f>CG276</f>
        <v>0.24710104914411926</v>
      </c>
      <c r="CH285" s="504">
        <f>CH276</f>
        <v>0.24710104914411926</v>
      </c>
      <c r="CJ285" s="504">
        <f>CJ276</f>
        <v>0.28347620455217265</v>
      </c>
      <c r="CK285" s="504">
        <f>CK276</f>
        <v>0.27254791431792558</v>
      </c>
      <c r="CL285" s="504">
        <f>CL276</f>
        <v>0.27254791431792558</v>
      </c>
      <c r="CN285" s="504">
        <f>CN276</f>
        <v>0.28129032258064518</v>
      </c>
      <c r="CO285" s="504">
        <f>CO276</f>
        <v>0.26400704018773835</v>
      </c>
      <c r="CP285" s="504">
        <f>CP276</f>
        <v>0.26400704018773835</v>
      </c>
      <c r="CR285" s="504">
        <f>CR276</f>
        <v>0.22745548535324525</v>
      </c>
      <c r="CS285" s="504">
        <f>CS276</f>
        <v>0.24940698068451372</v>
      </c>
      <c r="CT285" s="504">
        <f>CT276</f>
        <v>0.24940698068451372</v>
      </c>
      <c r="CV285" s="504">
        <f>CV276</f>
        <v>0.21113306982872201</v>
      </c>
      <c r="CW285" s="504">
        <f>CW276</f>
        <v>0.22669873722188816</v>
      </c>
      <c r="CX285" s="504">
        <f>CX276</f>
        <v>0.22669873722188816</v>
      </c>
      <c r="CZ285" s="504">
        <f>CZ276</f>
        <v>0.22644423849243125</v>
      </c>
      <c r="DA285" s="504">
        <f>DA276</f>
        <v>0.18256410256410258</v>
      </c>
      <c r="DB285" s="504">
        <f>DB276</f>
        <v>0.18256410256410258</v>
      </c>
      <c r="DD285" s="504">
        <f>DD278</f>
        <v>7.1269271792882768E-2</v>
      </c>
      <c r="DE285" s="504">
        <f t="shared" ref="DE285:DF285" si="172">DE278</f>
        <v>7.4168333030358122E-2</v>
      </c>
      <c r="DF285" s="504">
        <f t="shared" si="172"/>
        <v>7.4168333030358122E-2</v>
      </c>
      <c r="DH285" s="504">
        <f>DH278</f>
        <v>7.5747444837138217E-2</v>
      </c>
      <c r="DI285" s="504">
        <f>DI278</f>
        <v>7.5747444837138217E-2</v>
      </c>
      <c r="DJ285" s="504">
        <f>DJ278</f>
        <v>7.5747444837138217E-2</v>
      </c>
      <c r="DL285" s="504">
        <f>DL278</f>
        <v>7.5747444837138217E-2</v>
      </c>
      <c r="DM285" s="504">
        <f>DM278</f>
        <v>7.5747444837138217E-2</v>
      </c>
      <c r="DN285" s="504">
        <f>DN278</f>
        <v>7.5747444837138217E-2</v>
      </c>
      <c r="DP285" s="504">
        <f>DP278</f>
        <v>7.5747444837138217E-2</v>
      </c>
      <c r="DQ285" s="504">
        <f>DQ278</f>
        <v>7.5747444837138217E-2</v>
      </c>
      <c r="DR285" s="504">
        <f>DR278</f>
        <v>7.5747444837138217E-2</v>
      </c>
      <c r="DT285" s="1"/>
      <c r="DU285" s="1"/>
      <c r="DV285" s="1"/>
      <c r="DW285" s="1"/>
      <c r="DX285" s="1"/>
      <c r="DY285" s="1"/>
      <c r="DZ285" s="1"/>
      <c r="EA285" s="1"/>
      <c r="EB285" s="1"/>
      <c r="EC285" s="1"/>
      <c r="ED285" s="1"/>
      <c r="EE285" s="1"/>
      <c r="EF285" s="1"/>
      <c r="EG285" s="1"/>
      <c r="EH285" s="1"/>
      <c r="EI285" s="1"/>
      <c r="EJ285" s="1"/>
      <c r="EK285" s="1"/>
      <c r="EL285" s="1"/>
      <c r="EM285" s="1"/>
      <c r="EN285" s="1"/>
      <c r="EO285" s="1"/>
      <c r="EP285" s="1"/>
      <c r="EQ285" s="1"/>
      <c r="ER285" s="1"/>
      <c r="ES285" s="1"/>
      <c r="ET285" s="1"/>
      <c r="EU285" s="1"/>
      <c r="EV285" s="1"/>
      <c r="EW285" s="1"/>
      <c r="EX285" s="1"/>
      <c r="EY285" s="1"/>
      <c r="EZ285" s="1"/>
      <c r="FA285" s="1"/>
      <c r="FB285" s="1"/>
      <c r="FC285" s="1"/>
      <c r="FD285" s="1"/>
      <c r="FE285" s="1"/>
      <c r="FF285" s="1"/>
      <c r="FG285" s="1"/>
      <c r="FH285" s="1"/>
      <c r="FI285" s="1"/>
      <c r="FJ285" s="1"/>
      <c r="FK285" s="1"/>
      <c r="FL285" s="1"/>
      <c r="FM285" s="1"/>
      <c r="FN285" s="1"/>
      <c r="FO285" s="1"/>
      <c r="FP285" s="1"/>
      <c r="FQ285" s="1"/>
      <c r="FR285" s="1"/>
      <c r="FS285" s="1"/>
      <c r="FT285" s="1"/>
      <c r="FU285" s="1"/>
      <c r="FV285" s="1"/>
      <c r="FW285" s="1"/>
      <c r="FX285" s="1"/>
      <c r="FY285" s="1"/>
      <c r="FZ285" s="1"/>
      <c r="GA285" s="1"/>
      <c r="GB285" s="1"/>
      <c r="GC285" s="1"/>
      <c r="GD285" s="1"/>
      <c r="GE285" s="1"/>
      <c r="GF285" s="1"/>
      <c r="GG285" s="1"/>
      <c r="GH285" s="1"/>
      <c r="GI285" s="1"/>
      <c r="GJ285" s="1"/>
      <c r="GK285" s="1"/>
      <c r="GL285" s="1"/>
      <c r="GM285" s="1"/>
      <c r="GN285" s="1"/>
      <c r="GO285" s="1"/>
      <c r="GP285" s="1"/>
      <c r="GQ285" s="1"/>
      <c r="GR285" s="1"/>
      <c r="GS285" s="1"/>
      <c r="GT285" s="1"/>
      <c r="GU285" s="1"/>
      <c r="GV285" s="1"/>
      <c r="GW285" s="1"/>
      <c r="GX285" s="1"/>
      <c r="GY285" s="1"/>
      <c r="GZ285" s="1"/>
      <c r="HA285" s="1"/>
      <c r="HB285" s="1"/>
      <c r="HC285" s="1"/>
      <c r="HD285" s="1"/>
      <c r="HE285" s="1"/>
      <c r="HF285" s="1"/>
      <c r="HG285" s="1"/>
      <c r="HH285" s="1"/>
      <c r="HI285" s="1"/>
      <c r="HJ285" s="1"/>
      <c r="HK285" s="1"/>
      <c r="HL285" s="1"/>
      <c r="HM285" s="1"/>
      <c r="HN285" s="1"/>
      <c r="HO285" s="1"/>
      <c r="HP285" s="1"/>
      <c r="HQ285" s="1"/>
      <c r="HR285" s="1"/>
      <c r="HS285" s="1"/>
      <c r="HT285" s="1"/>
      <c r="HU285" s="1"/>
      <c r="HV285" s="1"/>
      <c r="HW285" s="1"/>
      <c r="HX285" s="1"/>
      <c r="HY285" s="1"/>
      <c r="HZ285" s="1"/>
      <c r="IA285" s="1"/>
      <c r="IB285" s="1"/>
      <c r="IC285" s="1"/>
      <c r="ID285" s="1"/>
      <c r="IE285" s="1"/>
      <c r="IF285" s="1"/>
      <c r="IG285" s="1"/>
      <c r="IH285" s="1"/>
      <c r="II285" s="1"/>
      <c r="IJ285" s="1"/>
      <c r="IK285" s="1"/>
      <c r="IL285" s="1"/>
      <c r="IM285" s="1"/>
      <c r="IN285" s="1"/>
      <c r="IO285" s="1"/>
      <c r="IP285" s="1"/>
      <c r="IQ285" s="1"/>
      <c r="IR285" s="1"/>
      <c r="IS285" s="1"/>
      <c r="IT285" s="1"/>
      <c r="IU285" s="1"/>
      <c r="IV285" s="1"/>
      <c r="IW285" s="1"/>
      <c r="IX285" s="1"/>
      <c r="IY285" s="1"/>
      <c r="IZ285" s="1"/>
      <c r="JA285" s="1"/>
      <c r="JB285" s="1"/>
      <c r="JC285" s="1"/>
      <c r="JD285" s="1"/>
    </row>
    <row r="286" spans="1:264" s="347" customFormat="1" x14ac:dyDescent="0.2">
      <c r="A286" s="347" t="s">
        <v>333</v>
      </c>
      <c r="B286" s="348"/>
      <c r="BH286" s="479">
        <f>+BH284*BH285</f>
        <v>637.1015625</v>
      </c>
      <c r="BI286" s="479">
        <f>+BI284*BI285</f>
        <v>552.31685912240175</v>
      </c>
      <c r="BJ286" s="479">
        <f>+BJ284*BJ285</f>
        <v>1133.9602771362586</v>
      </c>
      <c r="BK286" s="348"/>
      <c r="BL286" s="479">
        <f>+BL284*BL285</f>
        <v>473.0784463061691</v>
      </c>
      <c r="BM286" s="479">
        <f>+BM284*BM285</f>
        <v>360.49272349272348</v>
      </c>
      <c r="BN286" s="479">
        <f>+BN284*BN285</f>
        <v>800.983367983368</v>
      </c>
      <c r="BO286" s="348"/>
      <c r="BP286" s="479">
        <f>+BP284*BP285</f>
        <v>319.18928571428569</v>
      </c>
      <c r="BQ286" s="479">
        <f>+BQ284*BQ285</f>
        <v>352.31453590192643</v>
      </c>
      <c r="BR286" s="479">
        <f>+BR284*BR285</f>
        <v>650.88091068301219</v>
      </c>
      <c r="BT286" s="479">
        <f>+BT284*BT285</f>
        <v>348.21090387374466</v>
      </c>
      <c r="BU286" s="479">
        <f>+BU284*BU285</f>
        <v>394.44415917843389</v>
      </c>
      <c r="BV286" s="479">
        <f>+BV284*BV285</f>
        <v>717.99743260590503</v>
      </c>
      <c r="BX286" s="479">
        <f>+BX284*BX285</f>
        <v>359.79200000000003</v>
      </c>
      <c r="BY286" s="479">
        <f>+BY284*BY285</f>
        <v>298.27423909632887</v>
      </c>
      <c r="BZ286" s="479">
        <f>+BZ284*BZ285</f>
        <v>665.42830247882023</v>
      </c>
      <c r="CB286" s="479">
        <f>+CB284*CB285</f>
        <v>364.24472824472826</v>
      </c>
      <c r="CC286" s="479">
        <f>+CC284*CC285</f>
        <v>241.37779175841462</v>
      </c>
      <c r="CD286" s="479">
        <f>+CD284*CD285</f>
        <v>584.56118276187487</v>
      </c>
      <c r="CF286" s="479">
        <f>+CF284*CF285</f>
        <v>306.49438202247194</v>
      </c>
      <c r="CG286" s="479">
        <f>+CG284*CG285</f>
        <v>272.55245720596355</v>
      </c>
      <c r="CH286" s="479">
        <f>+CH284*CH285</f>
        <v>565.61430149088903</v>
      </c>
      <c r="CJ286" s="479">
        <f>+CJ284*CJ285</f>
        <v>377.59030446349396</v>
      </c>
      <c r="CK286" s="479">
        <f>+CK284*CK285</f>
        <v>354.03974069898533</v>
      </c>
      <c r="CL286" s="479">
        <f>+CL284*CL285</f>
        <v>717.07356257046217</v>
      </c>
      <c r="CN286" s="479">
        <f>+CN284*CN285</f>
        <v>224.75096774193551</v>
      </c>
      <c r="CO286" s="479">
        <f>+CO284*CO285</f>
        <v>359.31358169551191</v>
      </c>
      <c r="CP286" s="479">
        <f>+CP284*CP285</f>
        <v>570.25520680551483</v>
      </c>
      <c r="CR286" s="479">
        <f>+CR284*CR285</f>
        <v>292.28029867892013</v>
      </c>
      <c r="CS286" s="479">
        <f>+CS284*CS285</f>
        <v>226.21213148085394</v>
      </c>
      <c r="CT286" s="479">
        <f>+CT284*CT285</f>
        <v>546.70010166045404</v>
      </c>
      <c r="CV286" s="479">
        <f>+CV284*CV285</f>
        <v>223.80105401844534</v>
      </c>
      <c r="CW286" s="479">
        <f>+CW284*CW285</f>
        <v>344.3553818400481</v>
      </c>
      <c r="CX286" s="479">
        <f>+CX284*CX285</f>
        <v>584.65604329524956</v>
      </c>
      <c r="CZ286" s="479">
        <f>+CZ284*CZ285</f>
        <v>261.31665122026567</v>
      </c>
      <c r="DA286" s="479">
        <f>+DA284*DA285</f>
        <v>324.23384615384617</v>
      </c>
      <c r="DB286" s="479">
        <f>+DB284*DB285</f>
        <v>534.91282051282053</v>
      </c>
      <c r="DD286" s="479">
        <f>+DD284*DD285</f>
        <v>266.47580723358868</v>
      </c>
      <c r="DE286" s="479">
        <f t="shared" ref="DE286:DF286" si="173">+DE284*DE285</f>
        <v>314.99291037993095</v>
      </c>
      <c r="DF286" s="479">
        <f t="shared" si="173"/>
        <v>592.30830758043999</v>
      </c>
      <c r="DH286" s="479">
        <f>+DH284*DH285</f>
        <v>270.87286273760628</v>
      </c>
      <c r="DI286" s="479">
        <f>+DI284*DI285</f>
        <v>285.43480240403602</v>
      </c>
      <c r="DJ286" s="479">
        <f>+DJ284*DJ285</f>
        <v>556.30766514164225</v>
      </c>
      <c r="DL286" s="479">
        <f>+DL284*DL285</f>
        <v>320.0116850359974</v>
      </c>
      <c r="DM286" s="479">
        <f>+DM284*DM285</f>
        <v>367.86567787408359</v>
      </c>
      <c r="DN286" s="479">
        <f>+DN284*DN285</f>
        <v>687.87736291008093</v>
      </c>
      <c r="DP286" s="479">
        <f>+DP284*DP285</f>
        <v>336.76286127795322</v>
      </c>
      <c r="DQ286" s="479">
        <f>+DQ284*DQ285</f>
        <v>341.47016038647109</v>
      </c>
      <c r="DR286" s="479">
        <f>+DR284*DR285</f>
        <v>678.23302166442431</v>
      </c>
      <c r="DT286" s="1"/>
      <c r="DU286" s="1"/>
      <c r="DV286" s="1"/>
      <c r="DW286" s="1"/>
      <c r="DX286" s="1"/>
      <c r="DY286" s="1"/>
      <c r="DZ286" s="1"/>
      <c r="EA286" s="1"/>
      <c r="EB286" s="1"/>
      <c r="EC286" s="1"/>
      <c r="ED286" s="1"/>
      <c r="EE286" s="1"/>
      <c r="EF286" s="1"/>
      <c r="EG286" s="1"/>
      <c r="EH286" s="1"/>
      <c r="EI286" s="1"/>
      <c r="EJ286" s="1"/>
      <c r="EK286" s="1"/>
      <c r="EL286" s="1"/>
      <c r="EM286" s="1"/>
      <c r="EN286" s="1"/>
      <c r="EO286" s="1"/>
      <c r="EP286" s="1"/>
      <c r="EQ286" s="1"/>
      <c r="ER286" s="1"/>
      <c r="ES286" s="1"/>
      <c r="ET286" s="1"/>
      <c r="EU286" s="1"/>
      <c r="EV286" s="1"/>
      <c r="EW286" s="1"/>
      <c r="EX286" s="1"/>
      <c r="EY286" s="1"/>
      <c r="EZ286" s="1"/>
      <c r="FA286" s="1"/>
      <c r="FB286" s="1"/>
      <c r="FC286" s="1"/>
      <c r="FD286" s="1"/>
      <c r="FE286" s="1"/>
      <c r="FF286" s="1"/>
      <c r="FG286" s="1"/>
      <c r="FH286" s="1"/>
      <c r="FI286" s="1"/>
      <c r="FJ286" s="1"/>
      <c r="FK286" s="1"/>
      <c r="FL286" s="1"/>
      <c r="FM286" s="1"/>
      <c r="FN286" s="1"/>
      <c r="FO286" s="1"/>
      <c r="FP286" s="1"/>
      <c r="FQ286" s="1"/>
      <c r="FR286" s="1"/>
      <c r="FS286" s="1"/>
      <c r="FT286" s="1"/>
      <c r="FU286" s="1"/>
      <c r="FV286" s="1"/>
      <c r="FW286" s="1"/>
      <c r="FX286" s="1"/>
      <c r="FY286" s="1"/>
      <c r="FZ286" s="1"/>
      <c r="GA286" s="1"/>
      <c r="GB286" s="1"/>
      <c r="GC286" s="1"/>
      <c r="GD286" s="1"/>
      <c r="GE286" s="1"/>
      <c r="GF286" s="1"/>
      <c r="GG286" s="1"/>
      <c r="GH286" s="1"/>
      <c r="GI286" s="1"/>
      <c r="GJ286" s="1"/>
      <c r="GK286" s="1"/>
      <c r="GL286" s="1"/>
      <c r="GM286" s="1"/>
      <c r="GN286" s="1"/>
      <c r="GO286" s="1"/>
      <c r="GP286" s="1"/>
      <c r="GQ286" s="1"/>
      <c r="GR286" s="1"/>
      <c r="GS286" s="1"/>
      <c r="GT286" s="1"/>
      <c r="GU286" s="1"/>
      <c r="GV286" s="1"/>
      <c r="GW286" s="1"/>
      <c r="GX286" s="1"/>
      <c r="GY286" s="1"/>
      <c r="GZ286" s="1"/>
      <c r="HA286" s="1"/>
      <c r="HB286" s="1"/>
      <c r="HC286" s="1"/>
      <c r="HD286" s="1"/>
      <c r="HE286" s="1"/>
      <c r="HF286" s="1"/>
      <c r="HG286" s="1"/>
      <c r="HH286" s="1"/>
      <c r="HI286" s="1"/>
      <c r="HJ286" s="1"/>
      <c r="HK286" s="1"/>
      <c r="HL286" s="1"/>
      <c r="HM286" s="1"/>
      <c r="HN286" s="1"/>
      <c r="HO286" s="1"/>
      <c r="HP286" s="1"/>
      <c r="HQ286" s="1"/>
      <c r="HR286" s="1"/>
      <c r="HS286" s="1"/>
      <c r="HT286" s="1"/>
      <c r="HU286" s="1"/>
      <c r="HV286" s="1"/>
      <c r="HW286" s="1"/>
      <c r="HX286" s="1"/>
      <c r="HY286" s="1"/>
      <c r="HZ286" s="1"/>
      <c r="IA286" s="1"/>
      <c r="IB286" s="1"/>
      <c r="IC286" s="1"/>
      <c r="ID286" s="1"/>
      <c r="IE286" s="1"/>
      <c r="IF286" s="1"/>
      <c r="IG286" s="1"/>
      <c r="IH286" s="1"/>
      <c r="II286" s="1"/>
      <c r="IJ286" s="1"/>
      <c r="IK286" s="1"/>
      <c r="IL286" s="1"/>
      <c r="IM286" s="1"/>
      <c r="IN286" s="1"/>
      <c r="IO286" s="1"/>
      <c r="IP286" s="1"/>
      <c r="IQ286" s="1"/>
      <c r="IR286" s="1"/>
      <c r="IS286" s="1"/>
      <c r="IT286" s="1"/>
      <c r="IU286" s="1"/>
      <c r="IV286" s="1"/>
      <c r="IW286" s="1"/>
      <c r="IX286" s="1"/>
      <c r="IY286" s="1"/>
      <c r="IZ286" s="1"/>
      <c r="JA286" s="1"/>
      <c r="JB286" s="1"/>
      <c r="JC286" s="1"/>
      <c r="JD286" s="1"/>
    </row>
    <row r="287" spans="1:264" s="347" customFormat="1" x14ac:dyDescent="0.2">
      <c r="A287" s="347" t="s">
        <v>318</v>
      </c>
      <c r="B287" s="348"/>
      <c r="BH287" s="479">
        <f>-BH243</f>
        <v>595</v>
      </c>
      <c r="BI287" s="479">
        <f>-BI243</f>
        <v>466</v>
      </c>
      <c r="BJ287" s="479">
        <f>-BJ243</f>
        <v>1061</v>
      </c>
      <c r="BK287" s="348"/>
      <c r="BL287" s="479">
        <f>-BL243</f>
        <v>445</v>
      </c>
      <c r="BM287" s="479">
        <f>-BM243</f>
        <v>587</v>
      </c>
      <c r="BN287" s="479">
        <f>-BN243</f>
        <v>1032</v>
      </c>
      <c r="BO287" s="348"/>
      <c r="BP287" s="479">
        <f>-BP243</f>
        <v>456</v>
      </c>
      <c r="BQ287" s="479">
        <f>-BQ243</f>
        <v>549</v>
      </c>
      <c r="BR287" s="479">
        <f>-BR243</f>
        <v>1005</v>
      </c>
      <c r="BT287" s="479">
        <f>-BT243</f>
        <v>525</v>
      </c>
      <c r="BU287" s="479">
        <f>-BU243</f>
        <v>675</v>
      </c>
      <c r="BV287" s="479">
        <f>-BV243</f>
        <v>1200</v>
      </c>
      <c r="BX287" s="479">
        <f>-BX243</f>
        <v>610</v>
      </c>
      <c r="BY287" s="479">
        <f>-BY243</f>
        <v>556</v>
      </c>
      <c r="BZ287" s="479">
        <f>-BZ243</f>
        <v>1166</v>
      </c>
      <c r="CB287" s="479">
        <f>-CB243</f>
        <v>571</v>
      </c>
      <c r="CC287" s="479">
        <f>-CC243</f>
        <v>492</v>
      </c>
      <c r="CD287" s="479">
        <f>-CD243</f>
        <v>1063</v>
      </c>
      <c r="CF287" s="479">
        <f>-CF243</f>
        <v>581</v>
      </c>
      <c r="CG287" s="479">
        <f>-CG243</f>
        <v>534</v>
      </c>
      <c r="CH287" s="479">
        <f>-CH243</f>
        <v>1115</v>
      </c>
      <c r="CJ287" s="479">
        <f>-CJ243</f>
        <v>486</v>
      </c>
      <c r="CK287" s="479">
        <f>-CK243</f>
        <v>540</v>
      </c>
      <c r="CL287" s="479">
        <f>-CL243</f>
        <v>1026</v>
      </c>
      <c r="CN287" s="479">
        <f>-CN243</f>
        <v>335</v>
      </c>
      <c r="CO287" s="479">
        <f>-CO243</f>
        <v>304</v>
      </c>
      <c r="CP287" s="479">
        <f>-CP243</f>
        <v>639</v>
      </c>
      <c r="CR287" s="479">
        <f>-CR243</f>
        <v>174</v>
      </c>
      <c r="CS287" s="479">
        <f>-CS243</f>
        <v>169</v>
      </c>
      <c r="CT287" s="479">
        <f>-CT243</f>
        <v>343</v>
      </c>
      <c r="CV287" s="479">
        <f>-CV243</f>
        <v>222</v>
      </c>
      <c r="CW287" s="479">
        <f>-CW243</f>
        <v>301</v>
      </c>
      <c r="CX287" s="479">
        <f>-CX243</f>
        <v>523</v>
      </c>
      <c r="CZ287" s="479">
        <f>-CZ243</f>
        <v>281</v>
      </c>
      <c r="DA287" s="479">
        <f>-DA243</f>
        <v>294</v>
      </c>
      <c r="DB287" s="479">
        <f>-DB243</f>
        <v>575</v>
      </c>
      <c r="DD287" s="479">
        <f>-DD243</f>
        <v>251</v>
      </c>
      <c r="DE287" s="479">
        <f t="shared" ref="DE287:DF287" si="174">-DE243</f>
        <v>337</v>
      </c>
      <c r="DF287" s="479">
        <f t="shared" si="174"/>
        <v>588</v>
      </c>
      <c r="DH287" s="479">
        <f>-DH243</f>
        <v>338</v>
      </c>
      <c r="DI287" s="479">
        <f ca="1">-DI243</f>
        <v>411.35249358368139</v>
      </c>
      <c r="DJ287" s="479">
        <f ca="1">-DJ243</f>
        <v>749.35249358368139</v>
      </c>
      <c r="DL287" s="479">
        <f ca="1">-DL243</f>
        <v>485.25009772822142</v>
      </c>
      <c r="DM287" s="479">
        <f ca="1">-DM243</f>
        <v>523.05710154994892</v>
      </c>
      <c r="DN287" s="479">
        <f ca="1">-DN243</f>
        <v>1008.3071992781704</v>
      </c>
      <c r="DP287" s="479">
        <f ca="1">-DP243</f>
        <v>464.42503771653548</v>
      </c>
      <c r="DQ287" s="479">
        <f ca="1">-DQ243</f>
        <v>450.86132218778187</v>
      </c>
      <c r="DR287" s="479">
        <f ca="1">-DR243</f>
        <v>915.28635990431735</v>
      </c>
      <c r="DT287" s="1"/>
      <c r="DU287" s="1"/>
      <c r="DV287" s="1"/>
      <c r="DW287" s="1"/>
      <c r="DX287" s="1"/>
      <c r="DY287" s="1"/>
      <c r="DZ287" s="1"/>
      <c r="EA287" s="1"/>
      <c r="EB287" s="1"/>
      <c r="EC287" s="1"/>
      <c r="ED287" s="1"/>
      <c r="EE287" s="1"/>
      <c r="EF287" s="1"/>
      <c r="EG287" s="1"/>
      <c r="EH287" s="1"/>
      <c r="EI287" s="1"/>
      <c r="EJ287" s="1"/>
      <c r="EK287" s="1"/>
      <c r="EL287" s="1"/>
      <c r="EM287" s="1"/>
      <c r="EN287" s="1"/>
      <c r="EO287" s="1"/>
      <c r="EP287" s="1"/>
      <c r="EQ287" s="1"/>
      <c r="ER287" s="1"/>
      <c r="ES287" s="1"/>
      <c r="ET287" s="1"/>
      <c r="EU287" s="1"/>
      <c r="EV287" s="1"/>
      <c r="EW287" s="1"/>
      <c r="EX287" s="1"/>
      <c r="EY287" s="1"/>
      <c r="EZ287" s="1"/>
      <c r="FA287" s="1"/>
      <c r="FB287" s="1"/>
      <c r="FC287" s="1"/>
      <c r="FD287" s="1"/>
      <c r="FE287" s="1"/>
      <c r="FF287" s="1"/>
      <c r="FG287" s="1"/>
      <c r="FH287" s="1"/>
      <c r="FI287" s="1"/>
      <c r="FJ287" s="1"/>
      <c r="FK287" s="1"/>
      <c r="FL287" s="1"/>
      <c r="FM287" s="1"/>
      <c r="FN287" s="1"/>
      <c r="FO287" s="1"/>
      <c r="FP287" s="1"/>
      <c r="FQ287" s="1"/>
      <c r="FR287" s="1"/>
      <c r="FS287" s="1"/>
      <c r="FT287" s="1"/>
      <c r="FU287" s="1"/>
      <c r="FV287" s="1"/>
      <c r="FW287" s="1"/>
      <c r="FX287" s="1"/>
      <c r="FY287" s="1"/>
      <c r="FZ287" s="1"/>
      <c r="GA287" s="1"/>
      <c r="GB287" s="1"/>
      <c r="GC287" s="1"/>
      <c r="GD287" s="1"/>
      <c r="GE287" s="1"/>
      <c r="GF287" s="1"/>
      <c r="GG287" s="1"/>
      <c r="GH287" s="1"/>
      <c r="GI287" s="1"/>
      <c r="GJ287" s="1"/>
      <c r="GK287" s="1"/>
      <c r="GL287" s="1"/>
      <c r="GM287" s="1"/>
      <c r="GN287" s="1"/>
      <c r="GO287" s="1"/>
      <c r="GP287" s="1"/>
      <c r="GQ287" s="1"/>
      <c r="GR287" s="1"/>
      <c r="GS287" s="1"/>
      <c r="GT287" s="1"/>
      <c r="GU287" s="1"/>
      <c r="GV287" s="1"/>
      <c r="GW287" s="1"/>
      <c r="GX287" s="1"/>
      <c r="GY287" s="1"/>
      <c r="GZ287" s="1"/>
      <c r="HA287" s="1"/>
      <c r="HB287" s="1"/>
      <c r="HC287" s="1"/>
      <c r="HD287" s="1"/>
      <c r="HE287" s="1"/>
      <c r="HF287" s="1"/>
      <c r="HG287" s="1"/>
      <c r="HH287" s="1"/>
      <c r="HI287" s="1"/>
      <c r="HJ287" s="1"/>
      <c r="HK287" s="1"/>
      <c r="HL287" s="1"/>
      <c r="HM287" s="1"/>
      <c r="HN287" s="1"/>
      <c r="HO287" s="1"/>
      <c r="HP287" s="1"/>
      <c r="HQ287" s="1"/>
      <c r="HR287" s="1"/>
      <c r="HS287" s="1"/>
      <c r="HT287" s="1"/>
      <c r="HU287" s="1"/>
      <c r="HV287" s="1"/>
      <c r="HW287" s="1"/>
      <c r="HX287" s="1"/>
      <c r="HY287" s="1"/>
      <c r="HZ287" s="1"/>
      <c r="IA287" s="1"/>
      <c r="IB287" s="1"/>
      <c r="IC287" s="1"/>
      <c r="ID287" s="1"/>
      <c r="IE287" s="1"/>
      <c r="IF287" s="1"/>
      <c r="IG287" s="1"/>
      <c r="IH287" s="1"/>
      <c r="II287" s="1"/>
      <c r="IJ287" s="1"/>
      <c r="IK287" s="1"/>
      <c r="IL287" s="1"/>
      <c r="IM287" s="1"/>
      <c r="IN287" s="1"/>
      <c r="IO287" s="1"/>
      <c r="IP287" s="1"/>
      <c r="IQ287" s="1"/>
      <c r="IR287" s="1"/>
      <c r="IS287" s="1"/>
      <c r="IT287" s="1"/>
      <c r="IU287" s="1"/>
      <c r="IV287" s="1"/>
      <c r="IW287" s="1"/>
      <c r="IX287" s="1"/>
      <c r="IY287" s="1"/>
      <c r="IZ287" s="1"/>
      <c r="JA287" s="1"/>
      <c r="JB287" s="1"/>
      <c r="JC287" s="1"/>
      <c r="JD287" s="1"/>
    </row>
    <row r="288" spans="1:264" s="347" customFormat="1" x14ac:dyDescent="0.2">
      <c r="A288" s="429" t="s">
        <v>334</v>
      </c>
      <c r="B288" s="348"/>
      <c r="BH288" s="505">
        <f>+BH287/BH286</f>
        <v>0.93391703147800709</v>
      </c>
      <c r="BI288" s="505">
        <f>+BI287/BI286</f>
        <v>0.84371858708141911</v>
      </c>
      <c r="BJ288" s="505">
        <f>+BJ287/BJ286</f>
        <v>0.93565887746922238</v>
      </c>
      <c r="BK288" s="348"/>
      <c r="BL288" s="505">
        <f>+BL287/BL286</f>
        <v>0.94064737777548812</v>
      </c>
      <c r="BM288" s="505">
        <f>+BM287/BM286</f>
        <v>1.6283269030029355</v>
      </c>
      <c r="BN288" s="505">
        <f>+BN287/BN286</f>
        <v>1.2884162658686178</v>
      </c>
      <c r="BO288" s="348"/>
      <c r="BP288" s="505">
        <f>+BP287/BP286</f>
        <v>1.4286193816924575</v>
      </c>
      <c r="BQ288" s="505">
        <f>+BQ287/BQ286</f>
        <v>1.5582666738247348</v>
      </c>
      <c r="BR288" s="505">
        <f>+BR287/BR286</f>
        <v>1.5440612614454883</v>
      </c>
      <c r="BT288" s="505">
        <f>+BT287/BT286</f>
        <v>1.5077069504703278</v>
      </c>
      <c r="BU288" s="505">
        <f>+BU287/BU286</f>
        <v>1.7112688432398657</v>
      </c>
      <c r="BV288" s="505">
        <f>+BV287/BV286</f>
        <v>1.6713151684187941</v>
      </c>
      <c r="BX288" s="505">
        <f>+BX287/BX286</f>
        <v>1.6954240227687107</v>
      </c>
      <c r="BY288" s="505">
        <f>+BY287/BY286</f>
        <v>1.8640563854407741</v>
      </c>
      <c r="BZ288" s="505">
        <f>+BZ287/BZ286</f>
        <v>1.7522548945641103</v>
      </c>
      <c r="CB288" s="505">
        <f>+CB287/CB286</f>
        <v>1.567627355244404</v>
      </c>
      <c r="CC288" s="505">
        <f>+CC287/CC286</f>
        <v>2.0382985378059266</v>
      </c>
      <c r="CD288" s="505">
        <f>+CD287/CD286</f>
        <v>1.8184580696543111</v>
      </c>
      <c r="CF288" s="505">
        <f>+CF287/CF286</f>
        <v>1.8956301781655545</v>
      </c>
      <c r="CG288" s="505">
        <f>+CG287/CG286</f>
        <v>1.9592558638958251</v>
      </c>
      <c r="CH288" s="505">
        <f>+CH287/CH286</f>
        <v>1.9713080045200386</v>
      </c>
      <c r="CJ288" s="505">
        <f>+CJ287/CJ286</f>
        <v>1.2871093199560353</v>
      </c>
      <c r="CK288" s="505">
        <f>+CK287/CK286</f>
        <v>1.5252525011284634</v>
      </c>
      <c r="CL288" s="505">
        <f>+CL287/CL286</f>
        <v>1.4308155446731892</v>
      </c>
      <c r="CN288" s="505">
        <f>+CN287/CN286</f>
        <v>1.4905386320056031</v>
      </c>
      <c r="CO288" s="505">
        <f>+CO287/CO286</f>
        <v>0.84605763735815165</v>
      </c>
      <c r="CP288" s="505">
        <f>+CP287/CP286</f>
        <v>1.1205509259259259</v>
      </c>
      <c r="CR288" s="505">
        <f>+CR287/CR286</f>
        <v>0.59531894823723619</v>
      </c>
      <c r="CS288" s="505">
        <f>+CS287/CS286</f>
        <v>0.74708636930156758</v>
      </c>
      <c r="CT288" s="505">
        <f>+CT287/CT286</f>
        <v>0.62740065157886393</v>
      </c>
      <c r="CV288" s="505">
        <f>+CV287/CV286</f>
        <v>0.99195243281429357</v>
      </c>
      <c r="CW288" s="505">
        <f>+CW287/CW286</f>
        <v>0.87409698199464614</v>
      </c>
      <c r="CX288" s="505">
        <f>+CX287/CX286</f>
        <v>0.89454304970877818</v>
      </c>
      <c r="CZ288" s="505">
        <f>+CZ287/CZ286</f>
        <v>1.0753237449195041</v>
      </c>
      <c r="DA288" s="505">
        <f>+DA287/DA286</f>
        <v>0.90675296082599444</v>
      </c>
      <c r="DB288" s="505">
        <f>+DB287/DB286</f>
        <v>1.0749415193465506</v>
      </c>
      <c r="DD288" s="505">
        <f>+DD287/DD286</f>
        <v>0.94192415666453799</v>
      </c>
      <c r="DE288" s="505">
        <f t="shared" ref="DE288:DF288" si="175">+DE287/DE286</f>
        <v>1.0698653490122207</v>
      </c>
      <c r="DF288" s="505">
        <f t="shared" si="175"/>
        <v>0.99272624151087918</v>
      </c>
      <c r="DH288" s="505">
        <f>+DH287/DH286</f>
        <v>1.2478178750871016</v>
      </c>
      <c r="DI288" s="505">
        <f ca="1">+DI287/DI286</f>
        <v>1.4411434419318199</v>
      </c>
      <c r="DJ288" s="505">
        <f ca="1">+DJ287/DJ286</f>
        <v>1.3470109087799245</v>
      </c>
      <c r="DL288" s="505">
        <f ca="1">+DL287/DL286</f>
        <v>1.5163511847188853</v>
      </c>
      <c r="DM288" s="505">
        <f ca="1">+DM287/DM286</f>
        <v>1.4218698101239704</v>
      </c>
      <c r="DN288" s="505">
        <f ca="1">+DN287/DN286</f>
        <v>1.4658240751120282</v>
      </c>
      <c r="DP288" s="505">
        <f ca="1">+DP287/DP286</f>
        <v>1.3790862684624063</v>
      </c>
      <c r="DQ288" s="505">
        <f ca="1">+DQ287/DQ286</f>
        <v>1.3203535022723607</v>
      </c>
      <c r="DR288" s="505">
        <f ca="1">+DR287/DR286</f>
        <v>1.349516066997372</v>
      </c>
      <c r="DT288" s="1"/>
      <c r="DU288" s="1"/>
      <c r="DV288" s="1"/>
      <c r="DW288" s="1"/>
      <c r="DX288" s="1"/>
      <c r="DY288" s="1"/>
      <c r="DZ288" s="1"/>
      <c r="EA288" s="1"/>
      <c r="EB288" s="1"/>
      <c r="EC288" s="1"/>
      <c r="ED288" s="1"/>
      <c r="EE288" s="1"/>
      <c r="EF288" s="1"/>
      <c r="EG288" s="1"/>
      <c r="EH288" s="1"/>
      <c r="EI288" s="1"/>
      <c r="EJ288" s="1"/>
      <c r="EK288" s="1"/>
      <c r="EL288" s="1"/>
      <c r="EM288" s="1"/>
      <c r="EN288" s="1"/>
      <c r="EO288" s="1"/>
      <c r="EP288" s="1"/>
      <c r="EQ288" s="1"/>
      <c r="ER288" s="1"/>
      <c r="ES288" s="1"/>
      <c r="ET288" s="1"/>
      <c r="EU288" s="1"/>
      <c r="EV288" s="1"/>
      <c r="EW288" s="1"/>
      <c r="EX288" s="1"/>
      <c r="EY288" s="1"/>
      <c r="EZ288" s="1"/>
      <c r="FA288" s="1"/>
      <c r="FB288" s="1"/>
      <c r="FC288" s="1"/>
      <c r="FD288" s="1"/>
      <c r="FE288" s="1"/>
      <c r="FF288" s="1"/>
      <c r="FG288" s="1"/>
      <c r="FH288" s="1"/>
      <c r="FI288" s="1"/>
      <c r="FJ288" s="1"/>
      <c r="FK288" s="1"/>
      <c r="FL288" s="1"/>
      <c r="FM288" s="1"/>
      <c r="FN288" s="1"/>
      <c r="FO288" s="1"/>
      <c r="FP288" s="1"/>
      <c r="FQ288" s="1"/>
      <c r="FR288" s="1"/>
      <c r="FS288" s="1"/>
      <c r="FT288" s="1"/>
      <c r="FU288" s="1"/>
      <c r="FV288" s="1"/>
      <c r="FW288" s="1"/>
      <c r="FX288" s="1"/>
      <c r="FY288" s="1"/>
      <c r="FZ288" s="1"/>
      <c r="GA288" s="1"/>
      <c r="GB288" s="1"/>
      <c r="GC288" s="1"/>
      <c r="GD288" s="1"/>
      <c r="GE288" s="1"/>
      <c r="GF288" s="1"/>
      <c r="GG288" s="1"/>
      <c r="GH288" s="1"/>
      <c r="GI288" s="1"/>
      <c r="GJ288" s="1"/>
      <c r="GK288" s="1"/>
      <c r="GL288" s="1"/>
      <c r="GM288" s="1"/>
      <c r="GN288" s="1"/>
      <c r="GO288" s="1"/>
      <c r="GP288" s="1"/>
      <c r="GQ288" s="1"/>
      <c r="GR288" s="1"/>
      <c r="GS288" s="1"/>
      <c r="GT288" s="1"/>
      <c r="GU288" s="1"/>
      <c r="GV288" s="1"/>
      <c r="GW288" s="1"/>
      <c r="GX288" s="1"/>
      <c r="GY288" s="1"/>
      <c r="GZ288" s="1"/>
      <c r="HA288" s="1"/>
      <c r="HB288" s="1"/>
      <c r="HC288" s="1"/>
      <c r="HD288" s="1"/>
      <c r="HE288" s="1"/>
      <c r="HF288" s="1"/>
      <c r="HG288" s="1"/>
      <c r="HH288" s="1"/>
      <c r="HI288" s="1"/>
      <c r="HJ288" s="1"/>
      <c r="HK288" s="1"/>
      <c r="HL288" s="1"/>
      <c r="HM288" s="1"/>
      <c r="HN288" s="1"/>
      <c r="HO288" s="1"/>
      <c r="HP288" s="1"/>
      <c r="HQ288" s="1"/>
      <c r="HR288" s="1"/>
      <c r="HS288" s="1"/>
      <c r="HT288" s="1"/>
      <c r="HU288" s="1"/>
      <c r="HV288" s="1"/>
      <c r="HW288" s="1"/>
      <c r="HX288" s="1"/>
      <c r="HY288" s="1"/>
      <c r="HZ288" s="1"/>
      <c r="IA288" s="1"/>
      <c r="IB288" s="1"/>
      <c r="IC288" s="1"/>
      <c r="ID288" s="1"/>
      <c r="IE288" s="1"/>
      <c r="IF288" s="1"/>
      <c r="IG288" s="1"/>
      <c r="IH288" s="1"/>
      <c r="II288" s="1"/>
      <c r="IJ288" s="1"/>
      <c r="IK288" s="1"/>
      <c r="IL288" s="1"/>
      <c r="IM288" s="1"/>
      <c r="IN288" s="1"/>
      <c r="IO288" s="1"/>
      <c r="IP288" s="1"/>
      <c r="IQ288" s="1"/>
      <c r="IR288" s="1"/>
      <c r="IS288" s="1"/>
      <c r="IT288" s="1"/>
      <c r="IU288" s="1"/>
      <c r="IV288" s="1"/>
      <c r="IW288" s="1"/>
      <c r="IX288" s="1"/>
      <c r="IY288" s="1"/>
      <c r="IZ288" s="1"/>
      <c r="JA288" s="1"/>
      <c r="JB288" s="1"/>
      <c r="JC288" s="1"/>
      <c r="JD288" s="1"/>
    </row>
    <row r="289" spans="1:264" s="347" customFormat="1" x14ac:dyDescent="0.2">
      <c r="A289" s="429"/>
      <c r="B289" s="348"/>
      <c r="BH289" s="398"/>
      <c r="BI289" s="428"/>
      <c r="BJ289" s="397"/>
      <c r="BK289" s="348"/>
      <c r="BL289" s="348"/>
      <c r="BM289" s="348"/>
      <c r="BN289" s="348"/>
      <c r="BO289" s="348"/>
      <c r="BP289" s="348"/>
      <c r="BQ289" s="348"/>
      <c r="BR289" s="348"/>
      <c r="BT289" s="348"/>
      <c r="BU289" s="348"/>
      <c r="BV289" s="348"/>
      <c r="BX289" s="348"/>
      <c r="BY289" s="348"/>
      <c r="BZ289" s="348"/>
      <c r="CB289" s="348"/>
      <c r="CC289" s="348"/>
      <c r="CD289" s="348"/>
      <c r="CF289" s="348"/>
      <c r="CG289" s="348"/>
      <c r="CH289" s="348"/>
      <c r="CJ289" s="348"/>
      <c r="CK289" s="348"/>
      <c r="CL289" s="348"/>
      <c r="CN289" s="348"/>
      <c r="CO289" s="348"/>
      <c r="CP289" s="348"/>
      <c r="CR289" s="348"/>
      <c r="CS289" s="348"/>
      <c r="CT289" s="348"/>
      <c r="CV289" s="348"/>
      <c r="CW289" s="348"/>
      <c r="CX289" s="348"/>
      <c r="CZ289" s="348"/>
      <c r="DA289" s="348"/>
      <c r="DB289" s="348"/>
      <c r="DD289" s="348"/>
      <c r="DE289" s="348"/>
      <c r="DF289" s="348"/>
      <c r="DH289" s="348"/>
      <c r="DI289" s="348"/>
      <c r="DJ289" s="348"/>
      <c r="DL289" s="348"/>
      <c r="DM289" s="348"/>
      <c r="DN289" s="348"/>
      <c r="DP289" s="348"/>
      <c r="DQ289" s="348"/>
      <c r="DR289" s="348"/>
      <c r="DT289" s="1"/>
      <c r="DU289" s="1"/>
      <c r="DV289" s="1"/>
      <c r="DW289" s="1"/>
      <c r="DX289" s="1"/>
      <c r="DY289" s="1"/>
      <c r="DZ289" s="1"/>
      <c r="EA289" s="1"/>
      <c r="EB289" s="1"/>
      <c r="EC289" s="1"/>
      <c r="ED289" s="1"/>
      <c r="EE289" s="1"/>
      <c r="EF289" s="1"/>
      <c r="EG289" s="1"/>
      <c r="EH289" s="1"/>
      <c r="EI289" s="1"/>
      <c r="EJ289" s="1"/>
      <c r="EK289" s="1"/>
      <c r="EL289" s="1"/>
      <c r="EM289" s="1"/>
      <c r="EN289" s="1"/>
      <c r="EO289" s="1"/>
      <c r="EP289" s="1"/>
      <c r="EQ289" s="1"/>
      <c r="ER289" s="1"/>
      <c r="ES289" s="1"/>
      <c r="ET289" s="1"/>
      <c r="EU289" s="1"/>
      <c r="EV289" s="1"/>
      <c r="EW289" s="1"/>
      <c r="EX289" s="1"/>
      <c r="EY289" s="1"/>
      <c r="EZ289" s="1"/>
      <c r="FA289" s="1"/>
      <c r="FB289" s="1"/>
      <c r="FC289" s="1"/>
      <c r="FD289" s="1"/>
      <c r="FE289" s="1"/>
      <c r="FF289" s="1"/>
      <c r="FG289" s="1"/>
      <c r="FH289" s="1"/>
      <c r="FI289" s="1"/>
      <c r="FJ289" s="1"/>
      <c r="FK289" s="1"/>
      <c r="FL289" s="1"/>
      <c r="FM289" s="1"/>
      <c r="FN289" s="1"/>
      <c r="FO289" s="1"/>
      <c r="FP289" s="1"/>
      <c r="FQ289" s="1"/>
      <c r="FR289" s="1"/>
      <c r="FS289" s="1"/>
      <c r="FT289" s="1"/>
      <c r="FU289" s="1"/>
      <c r="FV289" s="1"/>
      <c r="FW289" s="1"/>
      <c r="FX289" s="1"/>
      <c r="FY289" s="1"/>
      <c r="FZ289" s="1"/>
      <c r="GA289" s="1"/>
      <c r="GB289" s="1"/>
      <c r="GC289" s="1"/>
      <c r="GD289" s="1"/>
      <c r="GE289" s="1"/>
      <c r="GF289" s="1"/>
      <c r="GG289" s="1"/>
      <c r="GH289" s="1"/>
      <c r="GI289" s="1"/>
      <c r="GJ289" s="1"/>
      <c r="GK289" s="1"/>
      <c r="GL289" s="1"/>
      <c r="GM289" s="1"/>
      <c r="GN289" s="1"/>
      <c r="GO289" s="1"/>
      <c r="GP289" s="1"/>
      <c r="GQ289" s="1"/>
      <c r="GR289" s="1"/>
      <c r="GS289" s="1"/>
      <c r="GT289" s="1"/>
      <c r="GU289" s="1"/>
      <c r="GV289" s="1"/>
      <c r="GW289" s="1"/>
      <c r="GX289" s="1"/>
      <c r="GY289" s="1"/>
      <c r="GZ289" s="1"/>
      <c r="HA289" s="1"/>
      <c r="HB289" s="1"/>
      <c r="HC289" s="1"/>
      <c r="HD289" s="1"/>
      <c r="HE289" s="1"/>
      <c r="HF289" s="1"/>
      <c r="HG289" s="1"/>
      <c r="HH289" s="1"/>
      <c r="HI289" s="1"/>
      <c r="HJ289" s="1"/>
      <c r="HK289" s="1"/>
      <c r="HL289" s="1"/>
      <c r="HM289" s="1"/>
      <c r="HN289" s="1"/>
      <c r="HO289" s="1"/>
      <c r="HP289" s="1"/>
      <c r="HQ289" s="1"/>
      <c r="HR289" s="1"/>
      <c r="HS289" s="1"/>
      <c r="HT289" s="1"/>
      <c r="HU289" s="1"/>
      <c r="HV289" s="1"/>
      <c r="HW289" s="1"/>
      <c r="HX289" s="1"/>
      <c r="HY289" s="1"/>
      <c r="HZ289" s="1"/>
      <c r="IA289" s="1"/>
      <c r="IB289" s="1"/>
      <c r="IC289" s="1"/>
      <c r="ID289" s="1"/>
      <c r="IE289" s="1"/>
      <c r="IF289" s="1"/>
      <c r="IG289" s="1"/>
      <c r="IH289" s="1"/>
      <c r="II289" s="1"/>
      <c r="IJ289" s="1"/>
      <c r="IK289" s="1"/>
      <c r="IL289" s="1"/>
      <c r="IM289" s="1"/>
      <c r="IN289" s="1"/>
      <c r="IO289" s="1"/>
      <c r="IP289" s="1"/>
      <c r="IQ289" s="1"/>
      <c r="IR289" s="1"/>
      <c r="IS289" s="1"/>
      <c r="IT289" s="1"/>
      <c r="IU289" s="1"/>
      <c r="IV289" s="1"/>
      <c r="IW289" s="1"/>
      <c r="IX289" s="1"/>
      <c r="IY289" s="1"/>
      <c r="IZ289" s="1"/>
      <c r="JA289" s="1"/>
      <c r="JB289" s="1"/>
      <c r="JC289" s="1"/>
      <c r="JD289" s="1"/>
    </row>
    <row r="290" spans="1:264" s="460" customFormat="1" x14ac:dyDescent="0.2">
      <c r="A290" s="458" t="s">
        <v>335</v>
      </c>
      <c r="B290" s="459"/>
      <c r="C290" s="458"/>
      <c r="D290" s="458"/>
      <c r="E290" s="458"/>
      <c r="F290" s="458"/>
      <c r="G290" s="458"/>
      <c r="H290" s="458"/>
      <c r="I290" s="458"/>
      <c r="J290" s="458"/>
      <c r="K290" s="458"/>
      <c r="L290" s="458"/>
      <c r="M290" s="458"/>
      <c r="N290" s="458"/>
      <c r="O290" s="458"/>
      <c r="P290" s="458"/>
      <c r="Q290" s="458"/>
      <c r="R290" s="458"/>
      <c r="S290" s="458"/>
      <c r="T290" s="458"/>
      <c r="U290" s="458"/>
      <c r="V290" s="458"/>
      <c r="W290" s="458"/>
      <c r="X290" s="458"/>
      <c r="Y290" s="458"/>
      <c r="Z290" s="458"/>
      <c r="AA290" s="458"/>
      <c r="AB290" s="458"/>
      <c r="AC290" s="458"/>
      <c r="AD290" s="458"/>
      <c r="AE290" s="458"/>
      <c r="AF290" s="458"/>
      <c r="AG290" s="458"/>
      <c r="AH290" s="458"/>
      <c r="AI290" s="458"/>
      <c r="AJ290" s="458"/>
      <c r="AK290" s="458"/>
      <c r="AL290" s="458"/>
      <c r="AM290" s="458"/>
      <c r="AN290" s="458"/>
      <c r="AO290" s="458"/>
      <c r="AP290" s="458"/>
      <c r="AQ290" s="458"/>
      <c r="AR290" s="458"/>
      <c r="AS290" s="458"/>
      <c r="AT290" s="458"/>
      <c r="AU290" s="458"/>
      <c r="AV290" s="458"/>
      <c r="AW290" s="458"/>
      <c r="AX290" s="458"/>
      <c r="AY290" s="458"/>
      <c r="AZ290" s="458"/>
      <c r="BA290" s="458"/>
      <c r="BB290" s="458"/>
      <c r="BC290" s="458"/>
      <c r="BD290" s="458"/>
      <c r="BE290" s="458"/>
      <c r="BF290" s="458"/>
      <c r="BG290" s="458"/>
      <c r="BH290" s="459"/>
      <c r="BI290" s="459"/>
      <c r="BJ290" s="459"/>
      <c r="BK290" s="459"/>
      <c r="BL290" s="459"/>
      <c r="BM290" s="459"/>
      <c r="BN290" s="459"/>
      <c r="BO290" s="459"/>
      <c r="BP290" s="459"/>
      <c r="BQ290" s="459"/>
      <c r="BR290" s="459"/>
      <c r="BS290" s="458"/>
      <c r="BT290" s="459"/>
      <c r="BU290" s="459"/>
      <c r="BV290" s="459"/>
      <c r="BW290" s="458"/>
      <c r="BX290" s="459"/>
      <c r="BY290" s="459"/>
      <c r="BZ290" s="459"/>
      <c r="CA290" s="458"/>
      <c r="CB290" s="459"/>
      <c r="CC290" s="459"/>
      <c r="CD290" s="459"/>
      <c r="CE290" s="458"/>
      <c r="CF290" s="459"/>
      <c r="CG290" s="459"/>
      <c r="CH290" s="459"/>
      <c r="CI290" s="458"/>
      <c r="CJ290" s="459"/>
      <c r="CK290" s="459"/>
      <c r="CL290" s="459"/>
      <c r="CM290" s="458"/>
      <c r="CN290" s="459"/>
      <c r="CO290" s="459"/>
      <c r="CP290" s="459"/>
      <c r="CQ290" s="458"/>
      <c r="CR290" s="459"/>
      <c r="CS290" s="459"/>
      <c r="CT290" s="459"/>
      <c r="CU290" s="458"/>
      <c r="CV290" s="459"/>
      <c r="CW290" s="459"/>
      <c r="CX290" s="459"/>
      <c r="CY290" s="458"/>
      <c r="CZ290" s="459"/>
      <c r="DA290" s="459"/>
      <c r="DB290" s="459"/>
      <c r="DC290" s="458"/>
      <c r="DD290" s="459"/>
      <c r="DE290" s="459"/>
      <c r="DF290" s="459"/>
      <c r="DG290" s="458"/>
      <c r="DH290" s="459"/>
      <c r="DI290" s="459"/>
      <c r="DJ290" s="459"/>
      <c r="DK290" s="458"/>
      <c r="DL290" s="459"/>
      <c r="DM290" s="459"/>
      <c r="DN290" s="459"/>
      <c r="DO290" s="458"/>
      <c r="DP290" s="459"/>
      <c r="DQ290" s="459"/>
      <c r="DR290" s="459"/>
      <c r="DS290" s="458"/>
      <c r="DT290" s="1"/>
      <c r="DU290" s="1"/>
      <c r="DV290" s="1"/>
      <c r="DW290" s="1"/>
      <c r="DX290" s="1"/>
      <c r="DY290" s="1"/>
      <c r="DZ290" s="1"/>
      <c r="EA290" s="1"/>
      <c r="EB290" s="1"/>
      <c r="EC290" s="1"/>
      <c r="ED290" s="1"/>
      <c r="EE290" s="1"/>
      <c r="EF290" s="1"/>
      <c r="EG290" s="1"/>
      <c r="EH290" s="1"/>
      <c r="EI290" s="1"/>
      <c r="EJ290" s="1"/>
      <c r="EK290" s="1"/>
      <c r="EL290" s="1"/>
      <c r="EM290" s="1"/>
      <c r="EN290" s="1"/>
      <c r="EO290" s="1"/>
      <c r="EP290" s="1"/>
      <c r="EQ290" s="1"/>
      <c r="ER290" s="1"/>
      <c r="ES290" s="1"/>
      <c r="ET290" s="1"/>
      <c r="EU290" s="1"/>
      <c r="EV290" s="1"/>
      <c r="EW290" s="1"/>
      <c r="EX290" s="1"/>
      <c r="EY290" s="1"/>
      <c r="EZ290" s="1"/>
      <c r="FA290" s="1"/>
      <c r="FB290" s="1"/>
      <c r="FC290" s="1"/>
      <c r="FD290" s="1"/>
      <c r="FE290" s="1"/>
      <c r="FF290" s="1"/>
      <c r="FG290" s="1"/>
      <c r="FH290" s="1"/>
      <c r="FI290" s="1"/>
      <c r="FJ290" s="1"/>
      <c r="FK290" s="1"/>
      <c r="FL290" s="1"/>
      <c r="FM290" s="1"/>
      <c r="FN290" s="1"/>
      <c r="FO290" s="1"/>
      <c r="FP290" s="1"/>
      <c r="FQ290" s="1"/>
      <c r="FR290" s="1"/>
      <c r="FS290" s="1"/>
      <c r="FT290" s="1"/>
      <c r="FU290" s="1"/>
      <c r="FV290" s="1"/>
      <c r="FW290" s="1"/>
      <c r="FX290" s="1"/>
      <c r="FY290" s="1"/>
      <c r="FZ290" s="1"/>
      <c r="GA290" s="1"/>
      <c r="GB290" s="1"/>
      <c r="GC290" s="1"/>
      <c r="GD290" s="1"/>
      <c r="GE290" s="1"/>
      <c r="GF290" s="1"/>
      <c r="GG290" s="1"/>
      <c r="GH290" s="1"/>
      <c r="GI290" s="1"/>
      <c r="GJ290" s="1"/>
      <c r="GK290" s="1"/>
      <c r="GL290" s="1"/>
      <c r="GM290" s="1"/>
      <c r="GN290" s="1"/>
      <c r="GO290" s="1"/>
      <c r="GP290" s="1"/>
      <c r="GQ290" s="1"/>
      <c r="GR290" s="1"/>
      <c r="GS290" s="1"/>
      <c r="GT290" s="1"/>
      <c r="GU290" s="1"/>
      <c r="GV290" s="1"/>
      <c r="GW290" s="1"/>
      <c r="GX290" s="1"/>
      <c r="GY290" s="1"/>
      <c r="GZ290" s="1"/>
      <c r="HA290" s="1"/>
      <c r="HB290" s="1"/>
      <c r="HC290" s="1"/>
      <c r="HD290" s="1"/>
      <c r="HE290" s="1"/>
      <c r="HF290" s="1"/>
      <c r="HG290" s="1"/>
      <c r="HH290" s="1"/>
      <c r="HI290" s="1"/>
      <c r="HJ290" s="1"/>
      <c r="HK290" s="1"/>
      <c r="HL290" s="1"/>
      <c r="HM290" s="1"/>
      <c r="HN290" s="1"/>
      <c r="HO290" s="1"/>
      <c r="HP290" s="1"/>
      <c r="HQ290" s="1"/>
      <c r="HR290" s="1"/>
      <c r="HS290" s="1"/>
      <c r="HT290" s="1"/>
      <c r="HU290" s="1"/>
      <c r="HV290" s="1"/>
      <c r="HW290" s="1"/>
      <c r="HX290" s="1"/>
      <c r="HY290" s="1"/>
      <c r="HZ290" s="1"/>
      <c r="IA290" s="1"/>
      <c r="IB290" s="1"/>
      <c r="IC290" s="1"/>
      <c r="ID290" s="1"/>
      <c r="IE290" s="1"/>
      <c r="IF290" s="1"/>
      <c r="IG290" s="1"/>
      <c r="IH290" s="1"/>
      <c r="II290" s="1"/>
      <c r="IJ290" s="1"/>
      <c r="IK290" s="1"/>
      <c r="IL290" s="1"/>
      <c r="IM290" s="1"/>
      <c r="IN290" s="1"/>
      <c r="IO290" s="1"/>
      <c r="IP290" s="1"/>
      <c r="IQ290" s="1"/>
      <c r="IR290" s="1"/>
      <c r="IS290" s="1"/>
      <c r="IT290" s="1"/>
      <c r="IU290" s="1"/>
      <c r="IV290" s="1"/>
      <c r="IW290" s="1"/>
      <c r="IX290" s="1"/>
      <c r="IY290" s="1"/>
      <c r="IZ290" s="1"/>
      <c r="JA290" s="1"/>
      <c r="JB290" s="1"/>
      <c r="JC290" s="1"/>
      <c r="JD290" s="1"/>
    </row>
    <row r="291" spans="1:264" s="347" customFormat="1" x14ac:dyDescent="0.2">
      <c r="B291" s="348"/>
      <c r="BH291" s="348"/>
      <c r="BI291" s="348"/>
      <c r="BJ291" s="348"/>
      <c r="BK291" s="348"/>
      <c r="BL291" s="348"/>
      <c r="BM291" s="348"/>
      <c r="BN291" s="348"/>
      <c r="BO291" s="348"/>
      <c r="BP291" s="348"/>
      <c r="BQ291" s="348"/>
      <c r="BR291" s="348"/>
      <c r="BT291" s="348"/>
      <c r="BU291" s="348"/>
      <c r="BV291" s="348"/>
      <c r="BX291" s="348"/>
      <c r="BY291" s="348"/>
      <c r="BZ291" s="348"/>
      <c r="CB291" s="348"/>
      <c r="CC291" s="348"/>
      <c r="CD291" s="348"/>
      <c r="CF291" s="348"/>
      <c r="CG291" s="348"/>
      <c r="CH291" s="348"/>
      <c r="CJ291" s="348"/>
      <c r="CK291" s="348"/>
      <c r="CL291" s="348"/>
      <c r="CN291" s="348"/>
      <c r="CO291" s="348"/>
      <c r="CP291" s="348"/>
      <c r="CR291" s="348"/>
      <c r="CS291" s="348"/>
      <c r="CT291" s="348"/>
      <c r="CV291" s="348"/>
      <c r="CW291" s="348"/>
      <c r="CX291" s="348"/>
      <c r="CZ291" s="348"/>
      <c r="DA291" s="348"/>
      <c r="DB291" s="348"/>
      <c r="DD291" s="348"/>
      <c r="DE291" s="348"/>
      <c r="DF291" s="348"/>
      <c r="DH291" s="348"/>
      <c r="DI291" s="348"/>
      <c r="DJ291" s="348"/>
      <c r="DL291" s="348"/>
      <c r="DM291" s="348"/>
      <c r="DN291" s="348"/>
      <c r="DP291" s="348"/>
      <c r="DQ291" s="348"/>
      <c r="DR291" s="348"/>
      <c r="DT291" s="1"/>
      <c r="DU291" s="1"/>
      <c r="DV291" s="1"/>
      <c r="DW291" s="1"/>
      <c r="DX291" s="1"/>
      <c r="DY291" s="1"/>
      <c r="DZ291" s="1"/>
      <c r="EA291" s="1"/>
      <c r="EB291" s="1"/>
      <c r="EC291" s="1"/>
      <c r="ED291" s="1"/>
      <c r="EE291" s="1"/>
      <c r="EF291" s="1"/>
      <c r="EG291" s="1"/>
      <c r="EH291" s="1"/>
      <c r="EI291" s="1"/>
      <c r="EJ291" s="1"/>
      <c r="EK291" s="1"/>
      <c r="EL291" s="1"/>
      <c r="EM291" s="1"/>
      <c r="EN291" s="1"/>
      <c r="EO291" s="1"/>
      <c r="EP291" s="1"/>
      <c r="EQ291" s="1"/>
      <c r="ER291" s="1"/>
      <c r="ES291" s="1"/>
      <c r="ET291" s="1"/>
      <c r="EU291" s="1"/>
      <c r="EV291" s="1"/>
      <c r="EW291" s="1"/>
      <c r="EX291" s="1"/>
      <c r="EY291" s="1"/>
      <c r="EZ291" s="1"/>
      <c r="FA291" s="1"/>
      <c r="FB291" s="1"/>
      <c r="FC291" s="1"/>
      <c r="FD291" s="1"/>
      <c r="FE291" s="1"/>
      <c r="FF291" s="1"/>
      <c r="FG291" s="1"/>
      <c r="FH291" s="1"/>
      <c r="FI291" s="1"/>
      <c r="FJ291" s="1"/>
      <c r="FK291" s="1"/>
      <c r="FL291" s="1"/>
      <c r="FM291" s="1"/>
      <c r="FN291" s="1"/>
      <c r="FO291" s="1"/>
      <c r="FP291" s="1"/>
      <c r="FQ291" s="1"/>
      <c r="FR291" s="1"/>
      <c r="FS291" s="1"/>
      <c r="FT291" s="1"/>
      <c r="FU291" s="1"/>
      <c r="FV291" s="1"/>
      <c r="FW291" s="1"/>
      <c r="FX291" s="1"/>
      <c r="FY291" s="1"/>
      <c r="FZ291" s="1"/>
      <c r="GA291" s="1"/>
      <c r="GB291" s="1"/>
      <c r="GC291" s="1"/>
      <c r="GD291" s="1"/>
      <c r="GE291" s="1"/>
      <c r="GF291" s="1"/>
      <c r="GG291" s="1"/>
      <c r="GH291" s="1"/>
      <c r="GI291" s="1"/>
      <c r="GJ291" s="1"/>
      <c r="GK291" s="1"/>
      <c r="GL291" s="1"/>
      <c r="GM291" s="1"/>
      <c r="GN291" s="1"/>
      <c r="GO291" s="1"/>
      <c r="GP291" s="1"/>
      <c r="GQ291" s="1"/>
      <c r="GR291" s="1"/>
      <c r="GS291" s="1"/>
      <c r="GT291" s="1"/>
      <c r="GU291" s="1"/>
      <c r="GV291" s="1"/>
      <c r="GW291" s="1"/>
      <c r="GX291" s="1"/>
      <c r="GY291" s="1"/>
      <c r="GZ291" s="1"/>
      <c r="HA291" s="1"/>
      <c r="HB291" s="1"/>
      <c r="HC291" s="1"/>
      <c r="HD291" s="1"/>
      <c r="HE291" s="1"/>
      <c r="HF291" s="1"/>
      <c r="HG291" s="1"/>
      <c r="HH291" s="1"/>
      <c r="HI291" s="1"/>
      <c r="HJ291" s="1"/>
      <c r="HK291" s="1"/>
      <c r="HL291" s="1"/>
      <c r="HM291" s="1"/>
      <c r="HN291" s="1"/>
      <c r="HO291" s="1"/>
      <c r="HP291" s="1"/>
      <c r="HQ291" s="1"/>
      <c r="HR291" s="1"/>
      <c r="HS291" s="1"/>
      <c r="HT291" s="1"/>
      <c r="HU291" s="1"/>
      <c r="HV291" s="1"/>
      <c r="HW291" s="1"/>
      <c r="HX291" s="1"/>
      <c r="HY291" s="1"/>
      <c r="HZ291" s="1"/>
      <c r="IA291" s="1"/>
      <c r="IB291" s="1"/>
      <c r="IC291" s="1"/>
      <c r="ID291" s="1"/>
      <c r="IE291" s="1"/>
      <c r="IF291" s="1"/>
      <c r="IG291" s="1"/>
      <c r="IH291" s="1"/>
      <c r="II291" s="1"/>
      <c r="IJ291" s="1"/>
      <c r="IK291" s="1"/>
      <c r="IL291" s="1"/>
      <c r="IM291" s="1"/>
      <c r="IN291" s="1"/>
      <c r="IO291" s="1"/>
      <c r="IP291" s="1"/>
      <c r="IQ291" s="1"/>
      <c r="IR291" s="1"/>
      <c r="IS291" s="1"/>
      <c r="IT291" s="1"/>
      <c r="IU291" s="1"/>
      <c r="IV291" s="1"/>
      <c r="IW291" s="1"/>
      <c r="IX291" s="1"/>
      <c r="IY291" s="1"/>
      <c r="IZ291" s="1"/>
      <c r="JA291" s="1"/>
      <c r="JB291" s="1"/>
      <c r="JC291" s="1"/>
      <c r="JD291" s="1"/>
    </row>
    <row r="292" spans="1:264" s="347" customFormat="1" x14ac:dyDescent="0.2">
      <c r="A292" s="411" t="s">
        <v>270</v>
      </c>
      <c r="B292" s="348"/>
      <c r="BH292" s="348"/>
      <c r="BI292" s="348"/>
      <c r="BJ292" s="348"/>
      <c r="BK292" s="348"/>
      <c r="BL292" s="348"/>
      <c r="BM292" s="348"/>
      <c r="BN292" s="348"/>
      <c r="BO292" s="348"/>
      <c r="BP292" s="348"/>
      <c r="BQ292" s="348"/>
      <c r="BR292" s="348"/>
      <c r="BT292" s="348"/>
      <c r="BU292" s="348"/>
      <c r="BV292" s="348"/>
      <c r="BX292" s="348"/>
      <c r="BY292" s="348"/>
      <c r="BZ292" s="348"/>
      <c r="CB292" s="348"/>
      <c r="CC292" s="348"/>
      <c r="CD292" s="348"/>
      <c r="CF292" s="348"/>
      <c r="CG292" s="348"/>
      <c r="CH292" s="348"/>
      <c r="CI292" s="506"/>
      <c r="CJ292" s="348"/>
      <c r="CK292" s="348"/>
      <c r="CL292" s="348"/>
      <c r="CN292" s="348"/>
      <c r="CO292" s="348"/>
      <c r="CP292" s="348"/>
      <c r="CR292" s="348"/>
      <c r="CS292" s="348"/>
      <c r="CT292" s="348"/>
      <c r="CV292" s="348"/>
      <c r="CW292" s="348"/>
      <c r="CX292" s="348"/>
      <c r="CZ292" s="348"/>
      <c r="DA292" s="348"/>
      <c r="DB292" s="348"/>
      <c r="DD292" s="348"/>
      <c r="DE292" s="348"/>
      <c r="DF292" s="348"/>
      <c r="DH292" s="348"/>
      <c r="DI292" s="348"/>
      <c r="DJ292" s="348"/>
      <c r="DL292" s="348"/>
      <c r="DM292" s="348"/>
      <c r="DN292" s="348"/>
      <c r="DP292" s="348"/>
      <c r="DQ292" s="348"/>
      <c r="DR292" s="348"/>
      <c r="DT292" s="1"/>
      <c r="DU292" s="1"/>
      <c r="DV292" s="1"/>
      <c r="DW292" s="1"/>
      <c r="DX292" s="1"/>
      <c r="DY292" s="1"/>
      <c r="DZ292" s="1"/>
      <c r="EA292" s="1"/>
      <c r="EB292" s="1"/>
      <c r="EC292" s="1"/>
      <c r="ED292" s="1"/>
      <c r="EE292" s="1"/>
      <c r="EF292" s="1"/>
      <c r="EG292" s="1"/>
      <c r="EH292" s="1"/>
      <c r="EI292" s="1"/>
      <c r="EJ292" s="1"/>
      <c r="EK292" s="1"/>
      <c r="EL292" s="1"/>
      <c r="EM292" s="1"/>
      <c r="EN292" s="1"/>
      <c r="EO292" s="1"/>
      <c r="EP292" s="1"/>
      <c r="EQ292" s="1"/>
      <c r="ER292" s="1"/>
      <c r="ES292" s="1"/>
      <c r="ET292" s="1"/>
      <c r="EU292" s="1"/>
      <c r="EV292" s="1"/>
      <c r="EW292" s="1"/>
      <c r="EX292" s="1"/>
      <c r="EY292" s="1"/>
      <c r="EZ292" s="1"/>
      <c r="FA292" s="1"/>
      <c r="FB292" s="1"/>
      <c r="FC292" s="1"/>
      <c r="FD292" s="1"/>
      <c r="FE292" s="1"/>
      <c r="FF292" s="1"/>
      <c r="FG292" s="1"/>
      <c r="FH292" s="1"/>
      <c r="FI292" s="1"/>
      <c r="FJ292" s="1"/>
      <c r="FK292" s="1"/>
      <c r="FL292" s="1"/>
      <c r="FM292" s="1"/>
      <c r="FN292" s="1"/>
      <c r="FO292" s="1"/>
      <c r="FP292" s="1"/>
      <c r="FQ292" s="1"/>
      <c r="FR292" s="1"/>
      <c r="FS292" s="1"/>
      <c r="FT292" s="1"/>
      <c r="FU292" s="1"/>
      <c r="FV292" s="1"/>
      <c r="FW292" s="1"/>
      <c r="FX292" s="1"/>
      <c r="FY292" s="1"/>
      <c r="FZ292" s="1"/>
      <c r="GA292" s="1"/>
      <c r="GB292" s="1"/>
      <c r="GC292" s="1"/>
      <c r="GD292" s="1"/>
      <c r="GE292" s="1"/>
      <c r="GF292" s="1"/>
      <c r="GG292" s="1"/>
      <c r="GH292" s="1"/>
      <c r="GI292" s="1"/>
      <c r="GJ292" s="1"/>
      <c r="GK292" s="1"/>
      <c r="GL292" s="1"/>
      <c r="GM292" s="1"/>
      <c r="GN292" s="1"/>
      <c r="GO292" s="1"/>
      <c r="GP292" s="1"/>
      <c r="GQ292" s="1"/>
      <c r="GR292" s="1"/>
      <c r="GS292" s="1"/>
      <c r="GT292" s="1"/>
      <c r="GU292" s="1"/>
      <c r="GV292" s="1"/>
      <c r="GW292" s="1"/>
      <c r="GX292" s="1"/>
      <c r="GY292" s="1"/>
      <c r="GZ292" s="1"/>
      <c r="HA292" s="1"/>
      <c r="HB292" s="1"/>
      <c r="HC292" s="1"/>
      <c r="HD292" s="1"/>
      <c r="HE292" s="1"/>
      <c r="HF292" s="1"/>
      <c r="HG292" s="1"/>
      <c r="HH292" s="1"/>
      <c r="HI292" s="1"/>
      <c r="HJ292" s="1"/>
      <c r="HK292" s="1"/>
      <c r="HL292" s="1"/>
      <c r="HM292" s="1"/>
      <c r="HN292" s="1"/>
      <c r="HO292" s="1"/>
      <c r="HP292" s="1"/>
      <c r="HQ292" s="1"/>
      <c r="HR292" s="1"/>
      <c r="HS292" s="1"/>
      <c r="HT292" s="1"/>
      <c r="HU292" s="1"/>
      <c r="HV292" s="1"/>
      <c r="HW292" s="1"/>
      <c r="HX292" s="1"/>
      <c r="HY292" s="1"/>
      <c r="HZ292" s="1"/>
      <c r="IA292" s="1"/>
      <c r="IB292" s="1"/>
      <c r="IC292" s="1"/>
      <c r="ID292" s="1"/>
      <c r="IE292" s="1"/>
      <c r="IF292" s="1"/>
      <c r="IG292" s="1"/>
      <c r="IH292" s="1"/>
      <c r="II292" s="1"/>
      <c r="IJ292" s="1"/>
      <c r="IK292" s="1"/>
      <c r="IL292" s="1"/>
      <c r="IM292" s="1"/>
      <c r="IN292" s="1"/>
      <c r="IO292" s="1"/>
      <c r="IP292" s="1"/>
      <c r="IQ292" s="1"/>
      <c r="IR292" s="1"/>
      <c r="IS292" s="1"/>
      <c r="IT292" s="1"/>
      <c r="IU292" s="1"/>
      <c r="IV292" s="1"/>
      <c r="IW292" s="1"/>
      <c r="IX292" s="1"/>
      <c r="IY292" s="1"/>
      <c r="IZ292" s="1"/>
      <c r="JA292" s="1"/>
      <c r="JB292" s="1"/>
      <c r="JC292" s="1"/>
      <c r="JD292" s="1"/>
    </row>
    <row r="293" spans="1:264" s="347" customFormat="1" x14ac:dyDescent="0.2">
      <c r="A293" s="347" t="s">
        <v>336</v>
      </c>
      <c r="B293" s="348" t="s">
        <v>22</v>
      </c>
      <c r="BH293" s="398">
        <v>48123</v>
      </c>
      <c r="BI293" s="398">
        <v>42346</v>
      </c>
      <c r="BJ293" s="351">
        <f>BI293</f>
        <v>42346</v>
      </c>
      <c r="BK293" s="348"/>
      <c r="BL293" s="398">
        <v>39878</v>
      </c>
      <c r="BM293" s="398">
        <v>43912</v>
      </c>
      <c r="BN293" s="351">
        <f>BM293</f>
        <v>43912</v>
      </c>
      <c r="BO293" s="348"/>
      <c r="BP293" s="398">
        <v>45307</v>
      </c>
      <c r="BQ293" s="398">
        <v>46083</v>
      </c>
      <c r="BR293" s="351">
        <f>BQ293</f>
        <v>46083</v>
      </c>
      <c r="BT293" s="398">
        <v>38800</v>
      </c>
      <c r="BU293" s="398">
        <v>43762</v>
      </c>
      <c r="BV293" s="351">
        <f>BU293</f>
        <v>43762</v>
      </c>
      <c r="BW293" s="393"/>
      <c r="BX293" s="398">
        <v>41018</v>
      </c>
      <c r="BY293" s="398">
        <v>39854</v>
      </c>
      <c r="BZ293" s="351">
        <f>BY293</f>
        <v>39854</v>
      </c>
      <c r="CA293" s="393">
        <f>+BZ293/BV293-1</f>
        <v>-8.9301220236735035E-2</v>
      </c>
      <c r="CB293" s="398">
        <v>35871</v>
      </c>
      <c r="CC293" s="398">
        <v>31405</v>
      </c>
      <c r="CD293" s="351">
        <f>CC293</f>
        <v>31405</v>
      </c>
      <c r="CE293" s="393">
        <f>+CD293/BZ293-1</f>
        <v>-0.2119987956039544</v>
      </c>
      <c r="CF293" s="398">
        <v>30849</v>
      </c>
      <c r="CG293" s="398">
        <v>30924</v>
      </c>
      <c r="CH293" s="351">
        <f>CG293</f>
        <v>30924</v>
      </c>
      <c r="CI293" s="393">
        <f>+CH293/CD293-1</f>
        <v>-1.5316032478904673E-2</v>
      </c>
      <c r="CJ293" s="398">
        <v>26067</v>
      </c>
      <c r="CK293" s="398">
        <v>30126</v>
      </c>
      <c r="CL293" s="351">
        <f>CK293</f>
        <v>30126</v>
      </c>
      <c r="CM293" s="393">
        <f>+CL293/CH293-1</f>
        <v>-2.5805199844780802E-2</v>
      </c>
      <c r="CN293" s="398">
        <v>25379</v>
      </c>
      <c r="CO293" s="398">
        <v>29890</v>
      </c>
      <c r="CP293" s="351">
        <f>CO293</f>
        <v>29890</v>
      </c>
      <c r="CQ293" s="393">
        <f>+CP293/CL293-1</f>
        <v>-7.8337648542786686E-3</v>
      </c>
      <c r="CR293" s="398">
        <v>30471</v>
      </c>
      <c r="CS293" s="398">
        <v>27081</v>
      </c>
      <c r="CT293" s="351">
        <f>CS293</f>
        <v>27081</v>
      </c>
      <c r="CU293" s="393">
        <f t="shared" ref="CU293:CU300" si="176">+CT293/CP293-1</f>
        <v>-9.3977919036467017E-2</v>
      </c>
      <c r="CV293" s="398">
        <v>27168</v>
      </c>
      <c r="CW293" s="398">
        <v>28870</v>
      </c>
      <c r="CX293" s="351">
        <f>CW293</f>
        <v>28870</v>
      </c>
      <c r="CY293" s="393">
        <f t="shared" ref="CY293:CY299" si="177">+CX293/CT293-1</f>
        <v>6.6061076031165733E-2</v>
      </c>
      <c r="CZ293" s="398">
        <v>30772</v>
      </c>
      <c r="DA293" s="398">
        <v>30178</v>
      </c>
      <c r="DB293" s="351">
        <f t="shared" ref="DB293:DB300" si="178">DA293</f>
        <v>30178</v>
      </c>
      <c r="DC293" s="393">
        <f t="shared" ref="DC293:DC299" si="179">+DB293/CX293-1</f>
        <v>4.5306546588153696E-2</v>
      </c>
      <c r="DD293" s="398">
        <v>21267</v>
      </c>
      <c r="DE293" s="398">
        <v>23781</v>
      </c>
      <c r="DF293" s="351">
        <f t="shared" ref="DF293:DF300" si="180">DE293</f>
        <v>23781</v>
      </c>
      <c r="DG293" s="393">
        <f t="shared" ref="DG293:DG294" si="181">+DF293/DB293-1</f>
        <v>-0.21197561137252308</v>
      </c>
      <c r="DH293" s="398">
        <v>21341</v>
      </c>
      <c r="DI293" s="351">
        <f>+DH293*(1+DI303)</f>
        <v>21554.41</v>
      </c>
      <c r="DJ293" s="351">
        <f t="shared" ref="DJ293:DJ300" si="182">DI293</f>
        <v>21554.41</v>
      </c>
      <c r="DK293" s="393">
        <f t="shared" ref="DK293:DK300" si="183">+DJ293/DF293-1</f>
        <v>-9.3628947479079905E-2</v>
      </c>
      <c r="DL293" s="351">
        <f>+DI293*(1+DL303)</f>
        <v>21769.954099999999</v>
      </c>
      <c r="DM293" s="351">
        <f>+DL293*(1+DM303)</f>
        <v>21987.653641000001</v>
      </c>
      <c r="DN293" s="351">
        <f t="shared" ref="DN293:DN300" si="184">DM293</f>
        <v>21987.653641000001</v>
      </c>
      <c r="DO293" s="393">
        <f t="shared" ref="DO293:DO300" si="185">+DN293/DJ293-1</f>
        <v>2.0100000000000007E-2</v>
      </c>
      <c r="DP293" s="351">
        <f>+DM293*(1+DP303)</f>
        <v>22207.530177410001</v>
      </c>
      <c r="DQ293" s="351">
        <f>+DP293*(1+DQ303)</f>
        <v>22429.605479184102</v>
      </c>
      <c r="DR293" s="351">
        <f t="shared" ref="DR293:DR295" si="186">DQ293</f>
        <v>22429.605479184102</v>
      </c>
      <c r="DS293" s="393">
        <f t="shared" ref="DS293:DS300" si="187">+DR293/DN293-1</f>
        <v>2.0100000000000007E-2</v>
      </c>
    </row>
    <row r="294" spans="1:264" s="347" customFormat="1" x14ac:dyDescent="0.2">
      <c r="A294" s="347" t="s">
        <v>337</v>
      </c>
      <c r="B294" s="348" t="s">
        <v>22</v>
      </c>
      <c r="BH294" s="398">
        <v>154698</v>
      </c>
      <c r="BI294" s="398">
        <v>157959</v>
      </c>
      <c r="BJ294" s="351">
        <f>BI294</f>
        <v>157959</v>
      </c>
      <c r="BK294" s="348"/>
      <c r="BL294" s="398">
        <v>155450</v>
      </c>
      <c r="BM294" s="398">
        <v>150406</v>
      </c>
      <c r="BN294" s="351">
        <f>BM294</f>
        <v>150406</v>
      </c>
      <c r="BO294" s="348"/>
      <c r="BP294" s="398">
        <v>149057</v>
      </c>
      <c r="BQ294" s="398">
        <v>143285</v>
      </c>
      <c r="BR294" s="351">
        <f>BQ294</f>
        <v>143285</v>
      </c>
      <c r="BT294" s="398">
        <v>140409</v>
      </c>
      <c r="BU294" s="398">
        <v>138443</v>
      </c>
      <c r="BV294" s="351">
        <f>BU294</f>
        <v>138443</v>
      </c>
      <c r="BW294" s="393"/>
      <c r="BX294" s="398">
        <v>151263</v>
      </c>
      <c r="BY294" s="398">
        <v>158453</v>
      </c>
      <c r="BZ294" s="351">
        <f>BY294</f>
        <v>158453</v>
      </c>
      <c r="CA294" s="393">
        <f>+BZ294/BV294-1</f>
        <v>0.14453601843357911</v>
      </c>
      <c r="CB294" s="398">
        <v>155471</v>
      </c>
      <c r="CC294" s="398">
        <v>149924</v>
      </c>
      <c r="CD294" s="351">
        <f>CC294</f>
        <v>149924</v>
      </c>
      <c r="CE294" s="393">
        <f>+CD294/BZ294-1</f>
        <v>-5.3826686777782684E-2</v>
      </c>
      <c r="CF294" s="398">
        <v>155976</v>
      </c>
      <c r="CG294" s="398">
        <v>148313</v>
      </c>
      <c r="CH294" s="351">
        <f>CG294</f>
        <v>148313</v>
      </c>
      <c r="CI294" s="393">
        <f>+CH294/CD294-1</f>
        <v>-1.0745444358474909E-2</v>
      </c>
      <c r="CJ294" s="398">
        <v>146168</v>
      </c>
      <c r="CK294" s="398">
        <v>129338</v>
      </c>
      <c r="CL294" s="351">
        <f>CK294</f>
        <v>129338</v>
      </c>
      <c r="CM294" s="393">
        <f>+CL294/CH294-1</f>
        <v>-0.12793888600459835</v>
      </c>
      <c r="CN294" s="398">
        <v>124950</v>
      </c>
      <c r="CO294" s="398">
        <v>118958</v>
      </c>
      <c r="CP294" s="351">
        <f>CO294</f>
        <v>118958</v>
      </c>
      <c r="CQ294" s="393">
        <f>+CP294/CL294-1</f>
        <v>-8.025483616570539E-2</v>
      </c>
      <c r="CR294" s="398">
        <v>119273</v>
      </c>
      <c r="CS294" s="398">
        <v>131155</v>
      </c>
      <c r="CT294" s="351">
        <f>CS294</f>
        <v>131155</v>
      </c>
      <c r="CU294" s="393">
        <f t="shared" si="176"/>
        <v>0.10253198607912029</v>
      </c>
      <c r="CV294" s="398">
        <v>160136</v>
      </c>
      <c r="CW294" s="398">
        <v>171348</v>
      </c>
      <c r="CX294" s="351">
        <f>CW294</f>
        <v>171348</v>
      </c>
      <c r="CY294" s="393">
        <f t="shared" si="177"/>
        <v>0.30645419541763563</v>
      </c>
      <c r="CZ294" s="398">
        <v>179676</v>
      </c>
      <c r="DA294" s="398">
        <v>171203</v>
      </c>
      <c r="DB294" s="351">
        <f t="shared" si="178"/>
        <v>171203</v>
      </c>
      <c r="DC294" s="393">
        <f t="shared" si="179"/>
        <v>-8.4623106193248976E-4</v>
      </c>
      <c r="DD294" s="351">
        <f>DD296-DD295</f>
        <v>176599</v>
      </c>
      <c r="DE294" s="351">
        <f>DE296-DE295</f>
        <v>181624</v>
      </c>
      <c r="DF294" s="351">
        <f t="shared" si="180"/>
        <v>181624</v>
      </c>
      <c r="DG294" s="393">
        <f t="shared" si="181"/>
        <v>6.0869260468566555E-2</v>
      </c>
      <c r="DH294" s="351">
        <f>DH296-DH295</f>
        <v>188594</v>
      </c>
      <c r="DI294" s="351">
        <f>DH294*(1+DI304)</f>
        <v>192365.88</v>
      </c>
      <c r="DJ294" s="351">
        <f t="shared" si="182"/>
        <v>192365.88</v>
      </c>
      <c r="DK294" s="393">
        <f t="shared" si="183"/>
        <v>5.9143505263621554E-2</v>
      </c>
      <c r="DL294" s="351">
        <f>DI294*(1+DL304)</f>
        <v>195251.3682</v>
      </c>
      <c r="DM294" s="351">
        <f>DL294*(1+DM304)</f>
        <v>198180.13872299998</v>
      </c>
      <c r="DN294" s="351">
        <f t="shared" si="184"/>
        <v>198180.13872299998</v>
      </c>
      <c r="DO294" s="393">
        <f t="shared" ref="DO294:DO296" si="188">+DN294/DJ294-1</f>
        <v>3.0224999999999946E-2</v>
      </c>
      <c r="DP294" s="351">
        <f>DM294*(1+DP304)</f>
        <v>201152.84080384497</v>
      </c>
      <c r="DQ294" s="351">
        <f>DP294*(1+DQ304)</f>
        <v>204170.13341590262</v>
      </c>
      <c r="DR294" s="351">
        <f t="shared" si="186"/>
        <v>204170.13341590262</v>
      </c>
      <c r="DS294" s="393">
        <f t="shared" si="187"/>
        <v>3.0224999999999724E-2</v>
      </c>
    </row>
    <row r="295" spans="1:264" s="347" customFormat="1" x14ac:dyDescent="0.2">
      <c r="A295" s="347" t="s">
        <v>1136</v>
      </c>
      <c r="B295" s="348"/>
      <c r="BH295" s="398"/>
      <c r="BI295" s="398"/>
      <c r="BJ295" s="351"/>
      <c r="BK295" s="348"/>
      <c r="BL295" s="398"/>
      <c r="BM295" s="398"/>
      <c r="BN295" s="351"/>
      <c r="BO295" s="348"/>
      <c r="BP295" s="398"/>
      <c r="BQ295" s="398"/>
      <c r="BR295" s="351"/>
      <c r="BT295" s="398"/>
      <c r="BU295" s="398"/>
      <c r="BV295" s="351"/>
      <c r="BW295" s="393"/>
      <c r="BX295" s="398"/>
      <c r="BY295" s="398"/>
      <c r="BZ295" s="351"/>
      <c r="CA295" s="393"/>
      <c r="CB295" s="398"/>
      <c r="CC295" s="398"/>
      <c r="CD295" s="351"/>
      <c r="CE295" s="393"/>
      <c r="CF295" s="398"/>
      <c r="CG295" s="398"/>
      <c r="CH295" s="351"/>
      <c r="CI295" s="393"/>
      <c r="CJ295" s="398"/>
      <c r="CK295" s="398"/>
      <c r="CL295" s="351"/>
      <c r="CM295" s="393"/>
      <c r="CN295" s="398"/>
      <c r="CO295" s="398"/>
      <c r="CP295" s="351"/>
      <c r="CQ295" s="393"/>
      <c r="CR295" s="398"/>
      <c r="CS295" s="398"/>
      <c r="CT295" s="351"/>
      <c r="CU295" s="393"/>
      <c r="CV295" s="398"/>
      <c r="CW295" s="398"/>
      <c r="CX295" s="351"/>
      <c r="CY295" s="393"/>
      <c r="CZ295" s="351">
        <f>CZ296-CZ294</f>
        <v>21245</v>
      </c>
      <c r="DA295" s="351">
        <f>DA296-DA294</f>
        <v>22073</v>
      </c>
      <c r="DB295" s="351">
        <f t="shared" si="178"/>
        <v>22073</v>
      </c>
      <c r="DC295" s="393"/>
      <c r="DD295" s="406">
        <v>23000</v>
      </c>
      <c r="DE295" s="406">
        <v>23000</v>
      </c>
      <c r="DF295" s="351">
        <f t="shared" si="180"/>
        <v>23000</v>
      </c>
      <c r="DG295" s="393"/>
      <c r="DH295" s="406">
        <v>23000</v>
      </c>
      <c r="DI295" s="351">
        <f>DH295*(1+DI305)</f>
        <v>23230</v>
      </c>
      <c r="DJ295" s="351">
        <f t="shared" si="182"/>
        <v>23230</v>
      </c>
      <c r="DK295" s="393">
        <f t="shared" si="183"/>
        <v>1.0000000000000009E-2</v>
      </c>
      <c r="DL295" s="351">
        <f>DI295*(1+DL305)</f>
        <v>23578.449999999997</v>
      </c>
      <c r="DM295" s="351">
        <f>DL295*(1+DM305)</f>
        <v>23932.126749999996</v>
      </c>
      <c r="DN295" s="351">
        <f t="shared" si="184"/>
        <v>23932.126749999996</v>
      </c>
      <c r="DO295" s="393">
        <f t="shared" si="188"/>
        <v>3.0224999999999724E-2</v>
      </c>
      <c r="DP295" s="351">
        <f>DM295*(1+DP305)</f>
        <v>24291.108651249993</v>
      </c>
      <c r="DQ295" s="351">
        <f>DP295*(1+DQ305)</f>
        <v>24655.475281018742</v>
      </c>
      <c r="DR295" s="351">
        <f t="shared" si="186"/>
        <v>24655.475281018742</v>
      </c>
      <c r="DS295" s="393">
        <f t="shared" si="187"/>
        <v>3.0224999999999946E-2</v>
      </c>
    </row>
    <row r="296" spans="1:264" s="411" customFormat="1" x14ac:dyDescent="0.2">
      <c r="A296" s="411" t="s">
        <v>1137</v>
      </c>
      <c r="B296" s="423"/>
      <c r="BH296" s="396"/>
      <c r="BI296" s="396"/>
      <c r="BJ296" s="397"/>
      <c r="BK296" s="423"/>
      <c r="BL296" s="396"/>
      <c r="BM296" s="396"/>
      <c r="BN296" s="397"/>
      <c r="BO296" s="423"/>
      <c r="BP296" s="396"/>
      <c r="BQ296" s="396"/>
      <c r="BR296" s="397"/>
      <c r="BT296" s="396"/>
      <c r="BU296" s="396"/>
      <c r="BV296" s="397"/>
      <c r="BW296" s="428"/>
      <c r="BX296" s="396"/>
      <c r="BY296" s="396"/>
      <c r="BZ296" s="397"/>
      <c r="CA296" s="428"/>
      <c r="CB296" s="396"/>
      <c r="CC296" s="396"/>
      <c r="CD296" s="397"/>
      <c r="CE296" s="428"/>
      <c r="CF296" s="396"/>
      <c r="CG296" s="396"/>
      <c r="CH296" s="397"/>
      <c r="CI296" s="428"/>
      <c r="CJ296" s="396"/>
      <c r="CK296" s="396"/>
      <c r="CL296" s="397"/>
      <c r="CM296" s="428"/>
      <c r="CN296" s="396"/>
      <c r="CO296" s="396"/>
      <c r="CP296" s="397"/>
      <c r="CQ296" s="428"/>
      <c r="CR296" s="396"/>
      <c r="CS296" s="396"/>
      <c r="CT296" s="397"/>
      <c r="CU296" s="428"/>
      <c r="CV296" s="396"/>
      <c r="CW296" s="396"/>
      <c r="CX296" s="397"/>
      <c r="CY296" s="428"/>
      <c r="CZ296" s="396">
        <v>200921</v>
      </c>
      <c r="DA296" s="396">
        <v>193276</v>
      </c>
      <c r="DB296" s="397">
        <f t="shared" si="178"/>
        <v>193276</v>
      </c>
      <c r="DC296" s="428"/>
      <c r="DD296" s="396">
        <v>199599</v>
      </c>
      <c r="DE296" s="396">
        <v>204624</v>
      </c>
      <c r="DF296" s="397">
        <f t="shared" si="180"/>
        <v>204624</v>
      </c>
      <c r="DG296" s="428"/>
      <c r="DH296" s="396">
        <v>211594</v>
      </c>
      <c r="DI296" s="397">
        <f t="shared" ref="DI296" si="189">DI294+DI295</f>
        <v>215595.88</v>
      </c>
      <c r="DJ296" s="397">
        <f>DI296</f>
        <v>215595.88</v>
      </c>
      <c r="DK296" s="393">
        <f t="shared" ref="DK296" si="190">+DJ296/DF296-1</f>
        <v>5.3619712252717111E-2</v>
      </c>
      <c r="DL296" s="397">
        <f t="shared" ref="DL296:DM296" si="191">DL294+DL295</f>
        <v>218829.81819999998</v>
      </c>
      <c r="DM296" s="397">
        <f t="shared" si="191"/>
        <v>222112.26547299998</v>
      </c>
      <c r="DN296" s="397">
        <f>DM296</f>
        <v>222112.26547299998</v>
      </c>
      <c r="DO296" s="393">
        <f t="shared" si="188"/>
        <v>3.0224999999999946E-2</v>
      </c>
      <c r="DP296" s="397">
        <f t="shared" ref="DP296:DQ296" si="192">DP294+DP295</f>
        <v>225443.94945509496</v>
      </c>
      <c r="DQ296" s="397">
        <f t="shared" si="192"/>
        <v>228825.60869692135</v>
      </c>
      <c r="DR296" s="397">
        <f>DQ296</f>
        <v>228825.60869692135</v>
      </c>
      <c r="DS296" s="393">
        <f t="shared" si="187"/>
        <v>3.0224999999999724E-2</v>
      </c>
    </row>
    <row r="297" spans="1:264" s="347" customFormat="1" x14ac:dyDescent="0.2">
      <c r="A297" s="347" t="s">
        <v>338</v>
      </c>
      <c r="B297" s="348" t="s">
        <v>22</v>
      </c>
      <c r="BH297" s="398">
        <v>8415</v>
      </c>
      <c r="BI297" s="398">
        <v>8891</v>
      </c>
      <c r="BJ297" s="351">
        <f>BI297</f>
        <v>8891</v>
      </c>
      <c r="BK297" s="348"/>
      <c r="BL297" s="398">
        <v>9197</v>
      </c>
      <c r="BM297" s="398">
        <v>9971</v>
      </c>
      <c r="BN297" s="351">
        <f>BM297</f>
        <v>9971</v>
      </c>
      <c r="BO297" s="348"/>
      <c r="BP297" s="398">
        <v>12078</v>
      </c>
      <c r="BQ297" s="398">
        <v>12568</v>
      </c>
      <c r="BR297" s="351">
        <f>BQ297</f>
        <v>12568</v>
      </c>
      <c r="BT297" s="398">
        <v>13699</v>
      </c>
      <c r="BU297" s="398">
        <v>35164</v>
      </c>
      <c r="BV297" s="351">
        <f>BU297</f>
        <v>35164</v>
      </c>
      <c r="BW297" s="393"/>
      <c r="BX297" s="398">
        <v>37833</v>
      </c>
      <c r="BY297" s="398">
        <v>41787</v>
      </c>
      <c r="BZ297" s="351">
        <f>BY297</f>
        <v>41787</v>
      </c>
      <c r="CA297" s="393">
        <f>+BZ297/BV297-1</f>
        <v>0.1883460357183484</v>
      </c>
      <c r="CB297" s="398">
        <v>43929</v>
      </c>
      <c r="CC297" s="398">
        <v>46082</v>
      </c>
      <c r="CD297" s="351">
        <f>CC297</f>
        <v>46082</v>
      </c>
      <c r="CE297" s="393">
        <f>+CD297/BZ297-1</f>
        <v>0.10278316222748707</v>
      </c>
      <c r="CF297" s="398">
        <v>48081</v>
      </c>
      <c r="CG297" s="398">
        <v>49274</v>
      </c>
      <c r="CH297" s="351">
        <f>CG297</f>
        <v>49274</v>
      </c>
      <c r="CI297" s="393">
        <f>+CH297/CD297-1</f>
        <v>6.9267826917234432E-2</v>
      </c>
      <c r="CJ297" s="398">
        <v>56261</v>
      </c>
      <c r="CK297" s="398">
        <v>69143</v>
      </c>
      <c r="CL297" s="351">
        <f>CK297</f>
        <v>69143</v>
      </c>
      <c r="CM297" s="393">
        <f>+CL297/CH297-1</f>
        <v>0.40323497179039647</v>
      </c>
      <c r="CN297" s="398">
        <v>84025</v>
      </c>
      <c r="CO297" s="398">
        <v>103510</v>
      </c>
      <c r="CP297" s="351">
        <f>CO297</f>
        <v>103510</v>
      </c>
      <c r="CQ297" s="393">
        <f>+CP297/CL297-1</f>
        <v>0.49704236148272418</v>
      </c>
      <c r="CR297" s="398">
        <v>122694</v>
      </c>
      <c r="CS297" s="398">
        <v>131828</v>
      </c>
      <c r="CT297" s="351">
        <f>CS297</f>
        <v>131828</v>
      </c>
      <c r="CU297" s="393">
        <f t="shared" si="176"/>
        <v>0.27357743213216112</v>
      </c>
      <c r="CV297" s="398">
        <v>120719</v>
      </c>
      <c r="CW297" s="398">
        <v>110045</v>
      </c>
      <c r="CX297" s="351">
        <f>CW297</f>
        <v>110045</v>
      </c>
      <c r="CY297" s="393">
        <f t="shared" si="177"/>
        <v>-0.16523803744272836</v>
      </c>
      <c r="CZ297" s="398">
        <v>102403</v>
      </c>
      <c r="DA297" s="398">
        <v>101891</v>
      </c>
      <c r="DB297" s="351">
        <f t="shared" si="178"/>
        <v>101891</v>
      </c>
      <c r="DC297" s="393">
        <f t="shared" si="179"/>
        <v>-7.4096960334408601E-2</v>
      </c>
      <c r="DD297" s="398">
        <f>100962+1034</f>
        <v>101996</v>
      </c>
      <c r="DE297" s="398">
        <f>104810+1026</f>
        <v>105836</v>
      </c>
      <c r="DF297" s="351">
        <f t="shared" si="180"/>
        <v>105836</v>
      </c>
      <c r="DG297" s="393">
        <f t="shared" ref="DG297:DG299" si="193">+DF297/DB297-1</f>
        <v>3.8717845540823026E-2</v>
      </c>
      <c r="DH297" s="398">
        <f>109282+1351</f>
        <v>110633</v>
      </c>
      <c r="DI297" s="351">
        <f>+DH297*(1+DI307)</f>
        <v>111739.33</v>
      </c>
      <c r="DJ297" s="351">
        <f t="shared" si="182"/>
        <v>111739.33</v>
      </c>
      <c r="DK297" s="393">
        <f t="shared" si="183"/>
        <v>5.5778090630787203E-2</v>
      </c>
      <c r="DL297" s="351">
        <f>+DI297*(1+DL307)</f>
        <v>113974.11660000001</v>
      </c>
      <c r="DM297" s="351">
        <f>+DL297*(1+DM307)</f>
        <v>116253.59893200001</v>
      </c>
      <c r="DN297" s="351">
        <f t="shared" si="184"/>
        <v>116253.59893200001</v>
      </c>
      <c r="DO297" s="393">
        <f t="shared" si="185"/>
        <v>4.0399999999999991E-2</v>
      </c>
      <c r="DP297" s="351">
        <f>+DM297*(1+DP307)</f>
        <v>118578.67091064001</v>
      </c>
      <c r="DQ297" s="351">
        <f>+DP297*(1+DQ307)</f>
        <v>120950.24432885282</v>
      </c>
      <c r="DR297" s="351">
        <f t="shared" ref="DR297:DR298" si="194">DQ297</f>
        <v>120950.24432885282</v>
      </c>
      <c r="DS297" s="393">
        <f t="shared" si="187"/>
        <v>4.0399999999999991E-2</v>
      </c>
    </row>
    <row r="298" spans="1:264" s="347" customFormat="1" x14ac:dyDescent="0.2">
      <c r="A298" s="347" t="s">
        <v>339</v>
      </c>
      <c r="B298" s="348" t="s">
        <v>22</v>
      </c>
      <c r="BH298" s="351">
        <f>+BH299-BH293-BH294-BH297</f>
        <v>188791</v>
      </c>
      <c r="BI298" s="351">
        <f>+BI299-BI293-BI294-BI297</f>
        <v>200519</v>
      </c>
      <c r="BJ298" s="351">
        <f>+BJ299-BJ293-BJ294-BJ297</f>
        <v>200519</v>
      </c>
      <c r="BK298" s="348"/>
      <c r="BL298" s="351">
        <f>+BL299-BL293-BL294-BL297</f>
        <v>224469</v>
      </c>
      <c r="BM298" s="351">
        <f>+BM299-BM293-BM294-BM297</f>
        <v>237480</v>
      </c>
      <c r="BN298" s="351">
        <f>+BN299-BN293-BN294-BN297</f>
        <v>237480</v>
      </c>
      <c r="BO298" s="348"/>
      <c r="BP298" s="351">
        <f>+BP299-BP293-BP294-BP297</f>
        <v>251269</v>
      </c>
      <c r="BQ298" s="351">
        <f>+BQ299-BQ293-BQ294-BQ297</f>
        <v>278584</v>
      </c>
      <c r="BR298" s="351">
        <f>+BR299-BR293-BR294-BR297</f>
        <v>278584</v>
      </c>
      <c r="BT298" s="351">
        <f>+BT299-BT293-BT294-BT297</f>
        <v>297324</v>
      </c>
      <c r="BU298" s="351">
        <f>+BU299-BU293-BU294-BU297</f>
        <v>298772</v>
      </c>
      <c r="BV298" s="351">
        <f>+BV299-BV293-BV294-BV297</f>
        <v>298772</v>
      </c>
      <c r="BW298" s="393"/>
      <c r="BX298" s="351">
        <f>+BX299-BX293-BX294-BX297</f>
        <v>299422</v>
      </c>
      <c r="BY298" s="351">
        <f>+BY299-BY293-BY294-BY297</f>
        <v>309754</v>
      </c>
      <c r="BZ298" s="351">
        <f>+BZ299-BZ293-BZ294-BZ297</f>
        <v>309754</v>
      </c>
      <c r="CA298" s="393">
        <f>+BZ298/BV298-1</f>
        <v>3.6757125835084947E-2</v>
      </c>
      <c r="CB298" s="351">
        <f>+CB299-CB293-CB294-CB297</f>
        <v>312762</v>
      </c>
      <c r="CC298" s="351">
        <f>+CC299-CC293-CC294-CC297</f>
        <v>315303</v>
      </c>
      <c r="CD298" s="351">
        <f>+CD299-CD293-CD294-CD297</f>
        <v>315303</v>
      </c>
      <c r="CE298" s="393">
        <f>+CD298/BZ298-1</f>
        <v>1.7914215797051769E-2</v>
      </c>
      <c r="CF298" s="351">
        <f>+CF299-CF293-CF294-CF297</f>
        <v>316903</v>
      </c>
      <c r="CG298" s="351">
        <f>+CG299-CG293-CG294-CG297</f>
        <v>327398</v>
      </c>
      <c r="CH298" s="351">
        <f>+CH299-CH293-CH294-CH297</f>
        <v>327398</v>
      </c>
      <c r="CI298" s="393">
        <f>+CH298/CD298-1</f>
        <v>3.8359926800569655E-2</v>
      </c>
      <c r="CJ298" s="351">
        <f>+CJ299-CJ293-CJ294-CJ297</f>
        <v>346419</v>
      </c>
      <c r="CK298" s="351">
        <f>+CK299-CK293-CK294-CK297</f>
        <v>385882</v>
      </c>
      <c r="CL298" s="351">
        <f>+CL299-CL293-CL294-CL297</f>
        <v>385882</v>
      </c>
      <c r="CM298" s="393">
        <f>+CL298/CH298-1</f>
        <v>0.1786327344699723</v>
      </c>
      <c r="CN298" s="351">
        <f>+CN299-CN293-CN294-CN297</f>
        <v>419846</v>
      </c>
      <c r="CO298" s="351">
        <f>+CO299-CO293-CO294-CO297</f>
        <v>419115</v>
      </c>
      <c r="CP298" s="351">
        <f>+CP299-CP293-CP294-CP297</f>
        <v>419115</v>
      </c>
      <c r="CQ298" s="393">
        <f>+CP298/CL298-1</f>
        <v>8.6122182428825411E-2</v>
      </c>
      <c r="CR298" s="351">
        <f>+CR299-CR293-CR294-CR297</f>
        <v>433461</v>
      </c>
      <c r="CS298" s="351">
        <f>+CS299-CS293-CS294-CS297</f>
        <v>454597</v>
      </c>
      <c r="CT298" s="351">
        <f>+CT299-CT293-CT294-CT297</f>
        <v>454597</v>
      </c>
      <c r="CU298" s="393">
        <f t="shared" si="176"/>
        <v>8.465934170812317E-2</v>
      </c>
      <c r="CV298" s="351">
        <f>+CV299-CV293-CV294-CV297</f>
        <v>454134</v>
      </c>
      <c r="CW298" s="351">
        <f>+CW299-CW293-CW294-CW297</f>
        <v>457163</v>
      </c>
      <c r="CX298" s="351">
        <f>+CX299-CX293-CX294-CX297</f>
        <v>457163</v>
      </c>
      <c r="CY298" s="393">
        <f t="shared" si="177"/>
        <v>5.6445599069065988E-3</v>
      </c>
      <c r="CZ298" s="351">
        <f>CZ299-CZ296-CZ297-CZ293</f>
        <v>439024</v>
      </c>
      <c r="DA298" s="351">
        <f>DA299-DA296-DA297-DA293</f>
        <v>454356</v>
      </c>
      <c r="DB298" s="351">
        <f t="shared" si="178"/>
        <v>454356</v>
      </c>
      <c r="DC298" s="393">
        <f t="shared" si="179"/>
        <v>-6.1400419544014317E-3</v>
      </c>
      <c r="DD298" s="351">
        <f>DD299-DD296-DD297-DD293</f>
        <v>467296</v>
      </c>
      <c r="DE298" s="351">
        <f>DE299-DE296-DE297-DE293</f>
        <v>486757</v>
      </c>
      <c r="DF298" s="351">
        <f t="shared" si="180"/>
        <v>486757</v>
      </c>
      <c r="DG298" s="393">
        <f t="shared" si="193"/>
        <v>7.1311922809426997E-2</v>
      </c>
      <c r="DH298" s="351">
        <f>DH299-DH296-DH297-DH293</f>
        <v>520285</v>
      </c>
      <c r="DI298" s="351">
        <f>+DH298*(1+DI308)</f>
        <v>535893.55000000005</v>
      </c>
      <c r="DJ298" s="351">
        <f t="shared" si="182"/>
        <v>535893.55000000005</v>
      </c>
      <c r="DK298" s="393">
        <f t="shared" si="183"/>
        <v>0.10094677631754667</v>
      </c>
      <c r="DL298" s="351">
        <f>+DI298*(1+DL308)</f>
        <v>551970.35650000011</v>
      </c>
      <c r="DM298" s="351">
        <f>+DL298*(1+DM308)</f>
        <v>568529.46719500015</v>
      </c>
      <c r="DN298" s="351">
        <f t="shared" si="184"/>
        <v>568529.46719500015</v>
      </c>
      <c r="DO298" s="393">
        <f t="shared" si="185"/>
        <v>6.0900000000000176E-2</v>
      </c>
      <c r="DP298" s="351">
        <f>+DM298*(1+DP308)</f>
        <v>585585.35121085017</v>
      </c>
      <c r="DQ298" s="351">
        <f>+DP298*(1+DQ308)</f>
        <v>603152.91174717573</v>
      </c>
      <c r="DR298" s="351">
        <f t="shared" si="194"/>
        <v>603152.91174717573</v>
      </c>
      <c r="DS298" s="393">
        <f t="shared" si="187"/>
        <v>6.0900000000000176E-2</v>
      </c>
    </row>
    <row r="299" spans="1:264" s="347" customFormat="1" x14ac:dyDescent="0.2">
      <c r="A299" s="411" t="s">
        <v>97</v>
      </c>
      <c r="B299" s="348" t="s">
        <v>22</v>
      </c>
      <c r="BH299" s="396">
        <v>400027</v>
      </c>
      <c r="BI299" s="396">
        <v>409715</v>
      </c>
      <c r="BJ299" s="397">
        <f>BI299</f>
        <v>409715</v>
      </c>
      <c r="BK299" s="348"/>
      <c r="BL299" s="396">
        <v>428994</v>
      </c>
      <c r="BM299" s="396">
        <v>441769</v>
      </c>
      <c r="BN299" s="397">
        <f>BM299</f>
        <v>441769</v>
      </c>
      <c r="BO299" s="348"/>
      <c r="BP299" s="396">
        <v>457711</v>
      </c>
      <c r="BQ299" s="396">
        <v>480520</v>
      </c>
      <c r="BR299" s="397">
        <f>BQ299</f>
        <v>480520</v>
      </c>
      <c r="BT299" s="396">
        <v>490232</v>
      </c>
      <c r="BU299" s="396">
        <v>516141</v>
      </c>
      <c r="BV299" s="397">
        <f>BU299</f>
        <v>516141</v>
      </c>
      <c r="BX299" s="396">
        <v>529536</v>
      </c>
      <c r="BY299" s="396">
        <v>549848</v>
      </c>
      <c r="BZ299" s="397">
        <f>BY299</f>
        <v>549848</v>
      </c>
      <c r="CB299" s="396">
        <v>548033</v>
      </c>
      <c r="CC299" s="396">
        <v>542714</v>
      </c>
      <c r="CD299" s="397">
        <f>CC299</f>
        <v>542714</v>
      </c>
      <c r="CF299" s="396">
        <v>551809</v>
      </c>
      <c r="CG299" s="396">
        <v>555909</v>
      </c>
      <c r="CH299" s="397">
        <f>CG299</f>
        <v>555909</v>
      </c>
      <c r="CJ299" s="396">
        <v>574915</v>
      </c>
      <c r="CK299" s="396">
        <v>614489</v>
      </c>
      <c r="CL299" s="397">
        <f>CK299</f>
        <v>614489</v>
      </c>
      <c r="CM299" s="393">
        <f>+CL299/CH299-1</f>
        <v>0.10537695917857048</v>
      </c>
      <c r="CN299" s="396">
        <v>654200</v>
      </c>
      <c r="CO299" s="396">
        <v>671473</v>
      </c>
      <c r="CP299" s="397">
        <f>CO299</f>
        <v>671473</v>
      </c>
      <c r="CQ299" s="428">
        <f>+CP299/CL299-1</f>
        <v>9.2733962690951355E-2</v>
      </c>
      <c r="CR299" s="396">
        <v>705899</v>
      </c>
      <c r="CS299" s="396">
        <v>744661</v>
      </c>
      <c r="CT299" s="397">
        <f>CS299</f>
        <v>744661</v>
      </c>
      <c r="CU299" s="393">
        <f t="shared" si="176"/>
        <v>0.10899619195410692</v>
      </c>
      <c r="CV299" s="396">
        <v>762157</v>
      </c>
      <c r="CW299" s="396">
        <v>767426</v>
      </c>
      <c r="CX299" s="397">
        <f>CW299</f>
        <v>767426</v>
      </c>
      <c r="CY299" s="393">
        <f t="shared" si="177"/>
        <v>3.0570957791532072E-2</v>
      </c>
      <c r="CZ299" s="396">
        <v>773120</v>
      </c>
      <c r="DA299" s="396">
        <v>779701</v>
      </c>
      <c r="DB299" s="397">
        <f t="shared" si="178"/>
        <v>779701</v>
      </c>
      <c r="DC299" s="393">
        <f t="shared" si="179"/>
        <v>1.5995027533599382E-2</v>
      </c>
      <c r="DD299" s="396">
        <v>790158</v>
      </c>
      <c r="DE299" s="396">
        <v>820998</v>
      </c>
      <c r="DF299" s="397">
        <f t="shared" si="180"/>
        <v>820998</v>
      </c>
      <c r="DG299" s="393">
        <f t="shared" si="193"/>
        <v>5.2965175111998164E-2</v>
      </c>
      <c r="DH299" s="396">
        <v>863853</v>
      </c>
      <c r="DI299" s="397">
        <f t="shared" ref="DI299" si="195">DI293+DI296+DI297+DI298</f>
        <v>884783.17</v>
      </c>
      <c r="DJ299" s="397">
        <f t="shared" si="182"/>
        <v>884783.17</v>
      </c>
      <c r="DK299" s="393">
        <f t="shared" si="183"/>
        <v>7.7692235547467847E-2</v>
      </c>
      <c r="DL299" s="397">
        <f t="shared" ref="DL299:DM299" si="196">DL293+DL296+DL297+DL298</f>
        <v>906544.24540000013</v>
      </c>
      <c r="DM299" s="397">
        <f t="shared" si="196"/>
        <v>928882.98524100007</v>
      </c>
      <c r="DN299" s="397">
        <f>DM299</f>
        <v>928882.98524100007</v>
      </c>
      <c r="DO299" s="393">
        <f t="shared" si="185"/>
        <v>4.9842511404234902E-2</v>
      </c>
      <c r="DP299" s="397">
        <f t="shared" ref="DP299:DQ299" si="197">DP293+DP296+DP297+DP298</f>
        <v>951815.5017539952</v>
      </c>
      <c r="DQ299" s="397">
        <f t="shared" si="197"/>
        <v>975358.37025213405</v>
      </c>
      <c r="DR299" s="397">
        <f>DQ299</f>
        <v>975358.37025213405</v>
      </c>
      <c r="DS299" s="393">
        <f t="shared" si="187"/>
        <v>5.003362721632354E-2</v>
      </c>
    </row>
    <row r="300" spans="1:264" s="429" customFormat="1" x14ac:dyDescent="0.2">
      <c r="A300" s="429" t="s">
        <v>340</v>
      </c>
      <c r="B300" s="408"/>
      <c r="BH300" s="507"/>
      <c r="BI300" s="507"/>
      <c r="BJ300" s="508"/>
      <c r="BK300" s="408"/>
      <c r="BL300" s="507"/>
      <c r="BM300" s="507"/>
      <c r="BN300" s="508"/>
      <c r="BO300" s="408"/>
      <c r="BP300" s="507"/>
      <c r="BQ300" s="507"/>
      <c r="BR300" s="508"/>
      <c r="BT300" s="507"/>
      <c r="BU300" s="507"/>
      <c r="BV300" s="508"/>
      <c r="BX300" s="507"/>
      <c r="BY300" s="507"/>
      <c r="BZ300" s="508"/>
      <c r="CB300" s="507"/>
      <c r="CC300" s="507"/>
      <c r="CD300" s="508"/>
      <c r="CF300" s="507"/>
      <c r="CG300" s="507"/>
      <c r="CH300" s="508"/>
      <c r="CJ300" s="507"/>
      <c r="CK300" s="507"/>
      <c r="CL300" s="508"/>
      <c r="CM300" s="393"/>
      <c r="CN300" s="507"/>
      <c r="CO300" s="509">
        <v>12634</v>
      </c>
      <c r="CP300" s="508">
        <f>CO300</f>
        <v>12634</v>
      </c>
      <c r="CQ300" s="428"/>
      <c r="CR300" s="509">
        <v>12744</v>
      </c>
      <c r="CS300" s="509">
        <v>14097</v>
      </c>
      <c r="CT300" s="456">
        <f>CS300</f>
        <v>14097</v>
      </c>
      <c r="CU300" s="393">
        <f t="shared" si="176"/>
        <v>0.11579863859426953</v>
      </c>
      <c r="CV300" s="509">
        <v>14726</v>
      </c>
      <c r="CW300" s="509">
        <v>36</v>
      </c>
      <c r="CX300" s="456">
        <f>CW300</f>
        <v>36</v>
      </c>
      <c r="CY300" s="393"/>
      <c r="CZ300" s="509">
        <v>301</v>
      </c>
      <c r="DA300" s="509">
        <v>241</v>
      </c>
      <c r="DB300" s="456">
        <f t="shared" si="178"/>
        <v>241</v>
      </c>
      <c r="DC300" s="393"/>
      <c r="DD300" s="509">
        <v>582</v>
      </c>
      <c r="DE300" s="509">
        <v>47</v>
      </c>
      <c r="DF300" s="456">
        <f t="shared" si="180"/>
        <v>47</v>
      </c>
      <c r="DG300" s="393"/>
      <c r="DH300" s="509">
        <v>591</v>
      </c>
      <c r="DI300" s="456">
        <f>DH300*(1+DI308)</f>
        <v>608.73</v>
      </c>
      <c r="DJ300" s="456">
        <f t="shared" si="182"/>
        <v>608.73</v>
      </c>
      <c r="DK300" s="393">
        <f t="shared" si="183"/>
        <v>11.951702127659575</v>
      </c>
      <c r="DL300" s="456">
        <f>DI300*(1+DL308)</f>
        <v>626.99189999999999</v>
      </c>
      <c r="DM300" s="456">
        <f>DL300*(1+DM308)</f>
        <v>645.80165699999998</v>
      </c>
      <c r="DN300" s="456">
        <f t="shared" si="184"/>
        <v>645.80165699999998</v>
      </c>
      <c r="DO300" s="393">
        <f t="shared" si="185"/>
        <v>6.0899999999999954E-2</v>
      </c>
      <c r="DP300" s="456">
        <f>DM300*(1+DP308)</f>
        <v>665.17570670999999</v>
      </c>
      <c r="DQ300" s="456">
        <f>DP300*(1+DQ308)</f>
        <v>685.13097791129996</v>
      </c>
      <c r="DR300" s="456">
        <f t="shared" ref="DR300" si="198">DQ300</f>
        <v>685.13097791129996</v>
      </c>
      <c r="DS300" s="393">
        <f t="shared" si="187"/>
        <v>6.0899999999999954E-2</v>
      </c>
    </row>
    <row r="301" spans="1:264" s="347" customFormat="1" x14ac:dyDescent="0.2">
      <c r="A301" s="411" t="s">
        <v>1135</v>
      </c>
      <c r="B301" s="348"/>
      <c r="BH301" s="396"/>
      <c r="BI301" s="396"/>
      <c r="BJ301" s="397"/>
      <c r="BK301" s="348"/>
      <c r="BL301" s="396"/>
      <c r="BM301" s="396"/>
      <c r="BN301" s="397"/>
      <c r="BO301" s="348"/>
      <c r="BP301" s="396"/>
      <c r="BQ301" s="396"/>
      <c r="BR301" s="351">
        <f>BR299-BR293</f>
        <v>434437</v>
      </c>
      <c r="BT301" s="398"/>
      <c r="BU301" s="348"/>
      <c r="BV301" s="351">
        <f>BV299-BV293</f>
        <v>472379</v>
      </c>
      <c r="BX301" s="398"/>
      <c r="BY301" s="348"/>
      <c r="BZ301" s="351">
        <f>BZ299-BZ293</f>
        <v>509994</v>
      </c>
      <c r="CB301" s="398"/>
      <c r="CC301" s="348"/>
      <c r="CD301" s="351">
        <f>CD299-CD293</f>
        <v>511309</v>
      </c>
      <c r="CF301" s="398"/>
      <c r="CG301" s="348"/>
      <c r="CH301" s="351">
        <f>CH299-CH293</f>
        <v>524985</v>
      </c>
      <c r="CJ301" s="398"/>
      <c r="CK301" s="348"/>
      <c r="CL301" s="351">
        <f>CL299-CL293</f>
        <v>584363</v>
      </c>
      <c r="CN301" s="398"/>
      <c r="CO301" s="348"/>
      <c r="CP301" s="351">
        <f>CP299-CP293</f>
        <v>641583</v>
      </c>
      <c r="CR301" s="398"/>
      <c r="CS301" s="348"/>
      <c r="CT301" s="351">
        <f>CT299-CT293</f>
        <v>717580</v>
      </c>
      <c r="CV301" s="398"/>
      <c r="CW301" s="348"/>
      <c r="CX301" s="351">
        <f>CX299-CX293</f>
        <v>738556</v>
      </c>
      <c r="CY301" s="393"/>
      <c r="CZ301" s="396"/>
      <c r="DA301" s="396"/>
      <c r="DB301" s="397"/>
      <c r="DC301" s="393"/>
      <c r="DD301" s="396"/>
      <c r="DE301" s="396"/>
      <c r="DF301" s="397"/>
      <c r="DG301" s="393"/>
      <c r="DH301" s="396"/>
      <c r="DI301" s="397"/>
      <c r="DJ301" s="397"/>
      <c r="DK301" s="393"/>
      <c r="DL301" s="397"/>
      <c r="DM301" s="397"/>
      <c r="DN301" s="397"/>
      <c r="DO301" s="393"/>
      <c r="DP301" s="397"/>
      <c r="DQ301" s="397"/>
      <c r="DR301" s="397"/>
      <c r="DS301" s="393"/>
    </row>
    <row r="302" spans="1:264" s="347" customFormat="1" x14ac:dyDescent="0.2">
      <c r="A302" s="424" t="s">
        <v>273</v>
      </c>
      <c r="B302" s="348"/>
      <c r="BH302" s="398"/>
      <c r="BI302" s="348"/>
      <c r="BJ302" s="348"/>
      <c r="BK302" s="348"/>
      <c r="BL302" s="398"/>
      <c r="BM302" s="348"/>
      <c r="BN302" s="348"/>
      <c r="BO302" s="348"/>
      <c r="BP302" s="398"/>
      <c r="BQ302" s="348"/>
      <c r="CZ302" s="398"/>
      <c r="DA302" s="348"/>
      <c r="DB302" s="351"/>
      <c r="DD302" s="398"/>
      <c r="DE302" s="348"/>
      <c r="DF302" s="351"/>
      <c r="DH302" s="398"/>
      <c r="DI302" s="348"/>
      <c r="DJ302" s="348"/>
      <c r="DL302" s="348"/>
      <c r="DM302" s="348"/>
      <c r="DN302" s="348"/>
      <c r="DP302" s="348"/>
      <c r="DQ302" s="348"/>
      <c r="DR302" s="348"/>
    </row>
    <row r="303" spans="1:264" s="347" customFormat="1" x14ac:dyDescent="0.2">
      <c r="A303" s="436" t="str">
        <f>+A293</f>
        <v>CoD</v>
      </c>
      <c r="B303" s="466" t="s">
        <v>140</v>
      </c>
      <c r="C303" s="463"/>
      <c r="D303" s="463"/>
      <c r="E303" s="463"/>
      <c r="F303" s="463"/>
      <c r="G303" s="463"/>
      <c r="H303" s="463"/>
      <c r="I303" s="463"/>
      <c r="J303" s="463"/>
      <c r="K303" s="463"/>
      <c r="L303" s="463"/>
      <c r="M303" s="463"/>
      <c r="N303" s="463"/>
      <c r="O303" s="463"/>
      <c r="P303" s="463"/>
      <c r="Q303" s="463"/>
      <c r="R303" s="463"/>
      <c r="S303" s="463"/>
      <c r="T303" s="463"/>
      <c r="U303" s="463"/>
      <c r="V303" s="463"/>
      <c r="W303" s="463"/>
      <c r="X303" s="463"/>
      <c r="Y303" s="463"/>
      <c r="Z303" s="463"/>
      <c r="AA303" s="463"/>
      <c r="AB303" s="463"/>
      <c r="AC303" s="463"/>
      <c r="AD303" s="463"/>
      <c r="AE303" s="463"/>
      <c r="AF303" s="463"/>
      <c r="AG303" s="463"/>
      <c r="AH303" s="463"/>
      <c r="AI303" s="463"/>
      <c r="AJ303" s="463"/>
      <c r="AK303" s="463"/>
      <c r="AL303" s="463"/>
      <c r="AM303" s="463"/>
      <c r="AN303" s="463"/>
      <c r="AO303" s="463"/>
      <c r="AP303" s="463"/>
      <c r="AQ303" s="463"/>
      <c r="AR303" s="463"/>
      <c r="AS303" s="463"/>
      <c r="AT303" s="463"/>
      <c r="AU303" s="463"/>
      <c r="AV303" s="463"/>
      <c r="AW303" s="463"/>
      <c r="AX303" s="463"/>
      <c r="AY303" s="463"/>
      <c r="AZ303" s="463"/>
      <c r="BA303" s="463"/>
      <c r="BB303" s="463"/>
      <c r="BC303" s="463"/>
      <c r="BD303" s="463"/>
      <c r="BE303" s="463"/>
      <c r="BF303" s="463"/>
      <c r="BG303" s="463"/>
      <c r="BH303" s="464"/>
      <c r="BI303" s="465">
        <f>+BI293/BH293-1</f>
        <v>-0.12004654738898235</v>
      </c>
      <c r="BJ303" s="466"/>
      <c r="BK303" s="466"/>
      <c r="BL303" s="465">
        <f>+BL293/BI293-1</f>
        <v>-5.8281773957398531E-2</v>
      </c>
      <c r="BM303" s="465">
        <f>+BM293/BL293-1</f>
        <v>0.10115853352725823</v>
      </c>
      <c r="BN303" s="466"/>
      <c r="BO303" s="466"/>
      <c r="BP303" s="465">
        <f>+BP293/BM293-1</f>
        <v>3.1768081617780997E-2</v>
      </c>
      <c r="BQ303" s="465">
        <f>+BQ293/BP293-1</f>
        <v>1.7127596177191062E-2</v>
      </c>
      <c r="BR303" s="466"/>
      <c r="BS303" s="463"/>
      <c r="BT303" s="465">
        <f>+BT293/BQ293-1</f>
        <v>-0.15804092615498122</v>
      </c>
      <c r="BU303" s="465">
        <f>+BU293/BT293-1</f>
        <v>0.12788659793814428</v>
      </c>
      <c r="BV303" s="466"/>
      <c r="BW303" s="463"/>
      <c r="BX303" s="465">
        <f>+BX293/BU293-1</f>
        <v>-6.2702801517298123E-2</v>
      </c>
      <c r="BY303" s="465">
        <f>+BY293/BX293-1</f>
        <v>-2.8377785362523777E-2</v>
      </c>
      <c r="BZ303" s="466"/>
      <c r="CA303" s="463"/>
      <c r="CB303" s="465">
        <f>+CB293/BY293-1</f>
        <v>-9.993978019772165E-2</v>
      </c>
      <c r="CC303" s="465">
        <f>+CC293/CB293-1</f>
        <v>-0.12450168659920269</v>
      </c>
      <c r="CD303" s="466"/>
      <c r="CE303" s="463"/>
      <c r="CF303" s="465">
        <f>+CF293/CC293-1</f>
        <v>-1.7704187231332602E-2</v>
      </c>
      <c r="CG303" s="465">
        <f>+CG293/CF293-1</f>
        <v>2.4311971214625583E-3</v>
      </c>
      <c r="CH303" s="466"/>
      <c r="CI303" s="463"/>
      <c r="CJ303" s="465">
        <f>+CJ293/CG293-1</f>
        <v>-0.15706247574699261</v>
      </c>
      <c r="CK303" s="465">
        <f>+CK293/CJ293-1</f>
        <v>0.1557141213027966</v>
      </c>
      <c r="CL303" s="466"/>
      <c r="CM303" s="463"/>
      <c r="CN303" s="465">
        <f>+CN293/CK293-1</f>
        <v>-0.15757153289517356</v>
      </c>
      <c r="CO303" s="465">
        <f>+CO293/CN293-1</f>
        <v>0.17774538003861462</v>
      </c>
      <c r="CP303" s="466"/>
      <c r="CQ303" s="463"/>
      <c r="CR303" s="465">
        <f>+CR293/CO293-1</f>
        <v>1.9437939110070301E-2</v>
      </c>
      <c r="CS303" s="465">
        <f>+CS293/CR293-1</f>
        <v>-0.11125332283154477</v>
      </c>
      <c r="CT303" s="466"/>
      <c r="CU303" s="463"/>
      <c r="CV303" s="465">
        <f>+CV293/CS293-1</f>
        <v>3.2125844688157823E-3</v>
      </c>
      <c r="CW303" s="465">
        <f>+CW293/CV293-1</f>
        <v>6.2647232037691403E-2</v>
      </c>
      <c r="CX303" s="466"/>
      <c r="CY303" s="463"/>
      <c r="CZ303" s="465">
        <f>+CZ293/CW293-1</f>
        <v>6.5881537928645706E-2</v>
      </c>
      <c r="DA303" s="465">
        <f t="shared" ref="DA303:DA309" si="199">+DA293/CZ293-1</f>
        <v>-1.9303262706356406E-2</v>
      </c>
      <c r="DB303" s="466"/>
      <c r="DC303" s="463"/>
      <c r="DD303" s="465">
        <f t="shared" ref="DD303:DD309" si="200">+DD293/DA293-1</f>
        <v>-0.29528133077076013</v>
      </c>
      <c r="DE303" s="465">
        <f t="shared" ref="DE303:DE309" si="201">+DE293/DD293-1</f>
        <v>0.11821131330229928</v>
      </c>
      <c r="DF303" s="466"/>
      <c r="DG303" s="463"/>
      <c r="DH303" s="465">
        <f t="shared" ref="DH303:DH309" si="202">+DH293/DE293-1</f>
        <v>-0.10260291829611878</v>
      </c>
      <c r="DI303" s="482">
        <v>0.01</v>
      </c>
      <c r="DJ303" s="466"/>
      <c r="DK303" s="463"/>
      <c r="DL303" s="482">
        <v>0.01</v>
      </c>
      <c r="DM303" s="482">
        <v>0.01</v>
      </c>
      <c r="DN303" s="466"/>
      <c r="DO303" s="463"/>
      <c r="DP303" s="482">
        <v>0.01</v>
      </c>
      <c r="DQ303" s="482">
        <v>0.01</v>
      </c>
      <c r="DR303" s="466"/>
      <c r="DS303" s="463"/>
    </row>
    <row r="304" spans="1:264" s="347" customFormat="1" x14ac:dyDescent="0.2">
      <c r="A304" s="436" t="str">
        <f>+A294</f>
        <v>Term Deposits</v>
      </c>
      <c r="B304" s="466" t="s">
        <v>140</v>
      </c>
      <c r="C304" s="463"/>
      <c r="D304" s="463"/>
      <c r="E304" s="463"/>
      <c r="F304" s="463"/>
      <c r="G304" s="463"/>
      <c r="H304" s="463"/>
      <c r="I304" s="463"/>
      <c r="J304" s="463"/>
      <c r="K304" s="463"/>
      <c r="L304" s="463"/>
      <c r="M304" s="463"/>
      <c r="N304" s="463"/>
      <c r="O304" s="463"/>
      <c r="P304" s="463"/>
      <c r="Q304" s="463"/>
      <c r="R304" s="463"/>
      <c r="S304" s="463"/>
      <c r="T304" s="463"/>
      <c r="U304" s="463"/>
      <c r="V304" s="463"/>
      <c r="W304" s="463"/>
      <c r="X304" s="463"/>
      <c r="Y304" s="463"/>
      <c r="Z304" s="463"/>
      <c r="AA304" s="463"/>
      <c r="AB304" s="463"/>
      <c r="AC304" s="463"/>
      <c r="AD304" s="463"/>
      <c r="AE304" s="463"/>
      <c r="AF304" s="463"/>
      <c r="AG304" s="463"/>
      <c r="AH304" s="463"/>
      <c r="AI304" s="463"/>
      <c r="AJ304" s="463"/>
      <c r="AK304" s="463"/>
      <c r="AL304" s="463"/>
      <c r="AM304" s="463"/>
      <c r="AN304" s="463"/>
      <c r="AO304" s="463"/>
      <c r="AP304" s="463"/>
      <c r="AQ304" s="463"/>
      <c r="AR304" s="463"/>
      <c r="AS304" s="463"/>
      <c r="AT304" s="463"/>
      <c r="AU304" s="463"/>
      <c r="AV304" s="463"/>
      <c r="AW304" s="463"/>
      <c r="AX304" s="463"/>
      <c r="AY304" s="463"/>
      <c r="AZ304" s="463"/>
      <c r="BA304" s="463"/>
      <c r="BB304" s="463"/>
      <c r="BC304" s="463"/>
      <c r="BD304" s="463"/>
      <c r="BE304" s="463"/>
      <c r="BF304" s="463"/>
      <c r="BG304" s="463"/>
      <c r="BH304" s="464"/>
      <c r="BI304" s="465">
        <f>+BI294/BH294-1</f>
        <v>2.1079781251212015E-2</v>
      </c>
      <c r="BJ304" s="466"/>
      <c r="BK304" s="466"/>
      <c r="BL304" s="465">
        <f>+BL294/BI294-1</f>
        <v>-1.5883868598813633E-2</v>
      </c>
      <c r="BM304" s="465">
        <f>+BM294/BL294-1</f>
        <v>-3.2447732389836004E-2</v>
      </c>
      <c r="BN304" s="466"/>
      <c r="BO304" s="466"/>
      <c r="BP304" s="465">
        <f>+BP294/BM294-1</f>
        <v>-8.9690570854885632E-3</v>
      </c>
      <c r="BQ304" s="465">
        <f>+BQ294/BP294-1</f>
        <v>-3.8723441368067268E-2</v>
      </c>
      <c r="BR304" s="466"/>
      <c r="BS304" s="463"/>
      <c r="BT304" s="465">
        <f>+BT294/BQ294-1</f>
        <v>-2.007188470530763E-2</v>
      </c>
      <c r="BU304" s="465">
        <f>+BU294/BT294-1</f>
        <v>-1.4001951441859117E-2</v>
      </c>
      <c r="BV304" s="466"/>
      <c r="BW304" s="463"/>
      <c r="BX304" s="465">
        <f>+BX294/BU294-1</f>
        <v>9.2601287172338065E-2</v>
      </c>
      <c r="BY304" s="465">
        <f>+BY294/BX294-1</f>
        <v>4.7533104592663022E-2</v>
      </c>
      <c r="BZ304" s="466"/>
      <c r="CA304" s="463"/>
      <c r="CB304" s="465">
        <f>+CB294/BY294-1</f>
        <v>-1.8819460660258858E-2</v>
      </c>
      <c r="CC304" s="465">
        <f>+CC294/CB294-1</f>
        <v>-3.5678679625139043E-2</v>
      </c>
      <c r="CD304" s="466"/>
      <c r="CE304" s="463"/>
      <c r="CF304" s="465">
        <f>+CF294/CC294-1</f>
        <v>4.0367119340465774E-2</v>
      </c>
      <c r="CG304" s="465">
        <f>+CG294/CF294-1</f>
        <v>-4.912935323383083E-2</v>
      </c>
      <c r="CH304" s="466"/>
      <c r="CI304" s="463"/>
      <c r="CJ304" s="465">
        <f>+CJ294/CG294-1</f>
        <v>-1.4462656678780661E-2</v>
      </c>
      <c r="CK304" s="465">
        <f>+CK294/CJ294-1</f>
        <v>-0.1151414810355208</v>
      </c>
      <c r="CL304" s="466"/>
      <c r="CM304" s="463"/>
      <c r="CN304" s="465">
        <f>+CN294/CK294-1</f>
        <v>-3.39266108954831E-2</v>
      </c>
      <c r="CO304" s="465">
        <f>+CO294/CN294-1</f>
        <v>-4.7955182072829117E-2</v>
      </c>
      <c r="CP304" s="466"/>
      <c r="CQ304" s="463"/>
      <c r="CR304" s="465">
        <f>+CR294/CO294-1</f>
        <v>2.6479934094385538E-3</v>
      </c>
      <c r="CS304" s="465">
        <f>+CS294/CR294-1</f>
        <v>9.9620199039178958E-2</v>
      </c>
      <c r="CT304" s="466"/>
      <c r="CU304" s="463"/>
      <c r="CV304" s="465">
        <f>+CV294/CS294-1</f>
        <v>0.22096755747016883</v>
      </c>
      <c r="CW304" s="465">
        <f>+CW294/CV294-1</f>
        <v>7.00154868361893E-2</v>
      </c>
      <c r="CX304" s="466"/>
      <c r="CY304" s="463"/>
      <c r="CZ304" s="465">
        <f>+CZ294/CW294-1</f>
        <v>4.8602843336368107E-2</v>
      </c>
      <c r="DA304" s="465">
        <f t="shared" si="199"/>
        <v>-4.7157105011242484E-2</v>
      </c>
      <c r="DB304" s="466"/>
      <c r="DC304" s="463"/>
      <c r="DD304" s="465">
        <f t="shared" si="200"/>
        <v>3.1518139284942404E-2</v>
      </c>
      <c r="DE304" s="465">
        <f t="shared" si="201"/>
        <v>2.8454294758180954E-2</v>
      </c>
      <c r="DF304" s="466"/>
      <c r="DG304" s="463"/>
      <c r="DH304" s="465">
        <f t="shared" si="202"/>
        <v>3.8375985552570047E-2</v>
      </c>
      <c r="DI304" s="482">
        <v>0.02</v>
      </c>
      <c r="DJ304" s="466"/>
      <c r="DK304" s="463"/>
      <c r="DL304" s="482">
        <v>1.4999999999999999E-2</v>
      </c>
      <c r="DM304" s="482">
        <v>1.4999999999999999E-2</v>
      </c>
      <c r="DN304" s="466"/>
      <c r="DO304" s="463"/>
      <c r="DP304" s="482">
        <v>1.4999999999999999E-2</v>
      </c>
      <c r="DQ304" s="482">
        <v>1.4999999999999999E-2</v>
      </c>
      <c r="DR304" s="466"/>
      <c r="DS304" s="463"/>
    </row>
    <row r="305" spans="1:264" s="347" customFormat="1" x14ac:dyDescent="0.2">
      <c r="A305" s="436" t="s">
        <v>1136</v>
      </c>
      <c r="B305" s="466"/>
      <c r="C305" s="463"/>
      <c r="D305" s="463"/>
      <c r="E305" s="463"/>
      <c r="F305" s="463"/>
      <c r="G305" s="463"/>
      <c r="H305" s="463"/>
      <c r="I305" s="463"/>
      <c r="J305" s="463"/>
      <c r="K305" s="463"/>
      <c r="L305" s="463"/>
      <c r="M305" s="463"/>
      <c r="N305" s="463"/>
      <c r="O305" s="463"/>
      <c r="P305" s="463"/>
      <c r="Q305" s="463"/>
      <c r="R305" s="463"/>
      <c r="S305" s="463"/>
      <c r="T305" s="463"/>
      <c r="U305" s="463"/>
      <c r="V305" s="463"/>
      <c r="W305" s="463"/>
      <c r="X305" s="463"/>
      <c r="Y305" s="463"/>
      <c r="Z305" s="463"/>
      <c r="AA305" s="463"/>
      <c r="AB305" s="463"/>
      <c r="AC305" s="463"/>
      <c r="AD305" s="463"/>
      <c r="AE305" s="463"/>
      <c r="AF305" s="463"/>
      <c r="AG305" s="463"/>
      <c r="AH305" s="463"/>
      <c r="AI305" s="463"/>
      <c r="AJ305" s="463"/>
      <c r="AK305" s="463"/>
      <c r="AL305" s="463"/>
      <c r="AM305" s="463"/>
      <c r="AN305" s="463"/>
      <c r="AO305" s="463"/>
      <c r="AP305" s="463"/>
      <c r="AQ305" s="463"/>
      <c r="AR305" s="463"/>
      <c r="AS305" s="463"/>
      <c r="AT305" s="463"/>
      <c r="AU305" s="463"/>
      <c r="AV305" s="463"/>
      <c r="AW305" s="463"/>
      <c r="AX305" s="463"/>
      <c r="AY305" s="463"/>
      <c r="AZ305" s="463"/>
      <c r="BA305" s="463"/>
      <c r="BB305" s="463"/>
      <c r="BC305" s="463"/>
      <c r="BD305" s="463"/>
      <c r="BE305" s="463"/>
      <c r="BF305" s="463"/>
      <c r="BG305" s="463"/>
      <c r="BH305" s="464"/>
      <c r="BI305" s="465"/>
      <c r="BJ305" s="466"/>
      <c r="BK305" s="466"/>
      <c r="BL305" s="465"/>
      <c r="BM305" s="465"/>
      <c r="BN305" s="466"/>
      <c r="BO305" s="466"/>
      <c r="BP305" s="465"/>
      <c r="BQ305" s="465"/>
      <c r="BR305" s="466"/>
      <c r="BS305" s="463"/>
      <c r="BT305" s="465"/>
      <c r="BU305" s="465"/>
      <c r="BV305" s="466"/>
      <c r="BW305" s="463"/>
      <c r="BX305" s="465"/>
      <c r="BY305" s="465"/>
      <c r="BZ305" s="466"/>
      <c r="CA305" s="463"/>
      <c r="CB305" s="465"/>
      <c r="CC305" s="465"/>
      <c r="CD305" s="466"/>
      <c r="CE305" s="463"/>
      <c r="CF305" s="465"/>
      <c r="CG305" s="465"/>
      <c r="CH305" s="466"/>
      <c r="CI305" s="463"/>
      <c r="CJ305" s="465"/>
      <c r="CK305" s="465"/>
      <c r="CL305" s="466"/>
      <c r="CM305" s="463"/>
      <c r="CN305" s="465"/>
      <c r="CO305" s="465"/>
      <c r="CP305" s="466"/>
      <c r="CQ305" s="463"/>
      <c r="CR305" s="465"/>
      <c r="CS305" s="465"/>
      <c r="CT305" s="466"/>
      <c r="CU305" s="463"/>
      <c r="CV305" s="465"/>
      <c r="CW305" s="465"/>
      <c r="CX305" s="466"/>
      <c r="CY305" s="463"/>
      <c r="CZ305" s="465"/>
      <c r="DA305" s="465">
        <f t="shared" si="199"/>
        <v>3.8973876206166214E-2</v>
      </c>
      <c r="DB305" s="466"/>
      <c r="DC305" s="463"/>
      <c r="DD305" s="465">
        <f t="shared" si="200"/>
        <v>4.1997009921623807E-2</v>
      </c>
      <c r="DE305" s="465">
        <f t="shared" si="201"/>
        <v>0</v>
      </c>
      <c r="DF305" s="466"/>
      <c r="DG305" s="463"/>
      <c r="DH305" s="465">
        <f t="shared" si="202"/>
        <v>0</v>
      </c>
      <c r="DI305" s="482">
        <v>0.01</v>
      </c>
      <c r="DJ305" s="466"/>
      <c r="DK305" s="463"/>
      <c r="DL305" s="482">
        <v>1.4999999999999999E-2</v>
      </c>
      <c r="DM305" s="482">
        <v>1.4999999999999999E-2</v>
      </c>
      <c r="DN305" s="466"/>
      <c r="DO305" s="463"/>
      <c r="DP305" s="482">
        <v>1.4999999999999999E-2</v>
      </c>
      <c r="DQ305" s="482">
        <v>1.4999999999999999E-2</v>
      </c>
      <c r="DR305" s="466"/>
      <c r="DS305" s="463"/>
    </row>
    <row r="306" spans="1:264" s="411" customFormat="1" x14ac:dyDescent="0.2">
      <c r="A306" s="424" t="s">
        <v>1137</v>
      </c>
      <c r="B306" s="423"/>
      <c r="BH306" s="396"/>
      <c r="BI306" s="481"/>
      <c r="BJ306" s="423"/>
      <c r="BK306" s="423"/>
      <c r="BL306" s="481"/>
      <c r="BM306" s="481"/>
      <c r="BN306" s="423"/>
      <c r="BO306" s="423"/>
      <c r="BP306" s="481"/>
      <c r="BQ306" s="481"/>
      <c r="BR306" s="423"/>
      <c r="BT306" s="481"/>
      <c r="BU306" s="481"/>
      <c r="BV306" s="423"/>
      <c r="BX306" s="481"/>
      <c r="BY306" s="481"/>
      <c r="BZ306" s="423"/>
      <c r="CB306" s="481"/>
      <c r="CC306" s="481"/>
      <c r="CD306" s="423"/>
      <c r="CF306" s="481"/>
      <c r="CG306" s="481"/>
      <c r="CH306" s="423"/>
      <c r="CJ306" s="481"/>
      <c r="CK306" s="481"/>
      <c r="CL306" s="423"/>
      <c r="CN306" s="481"/>
      <c r="CO306" s="481"/>
      <c r="CP306" s="423"/>
      <c r="CR306" s="481"/>
      <c r="CS306" s="481"/>
      <c r="CT306" s="423"/>
      <c r="CV306" s="481"/>
      <c r="CW306" s="481"/>
      <c r="CX306" s="423"/>
      <c r="CZ306" s="481"/>
      <c r="DA306" s="481">
        <f t="shared" si="199"/>
        <v>-3.8049780759602081E-2</v>
      </c>
      <c r="DB306" s="423"/>
      <c r="DD306" s="481">
        <f t="shared" si="200"/>
        <v>3.2714874066102295E-2</v>
      </c>
      <c r="DE306" s="481">
        <f t="shared" si="201"/>
        <v>2.5175476831046151E-2</v>
      </c>
      <c r="DF306" s="423"/>
      <c r="DH306" s="481">
        <f t="shared" si="202"/>
        <v>3.4062475564938577E-2</v>
      </c>
      <c r="DI306" s="481">
        <f>+DI296/DH296-1</f>
        <v>1.891301265631351E-2</v>
      </c>
      <c r="DJ306" s="423"/>
      <c r="DL306" s="481">
        <f>+DL296/DI296-1</f>
        <v>1.4999999999999902E-2</v>
      </c>
      <c r="DM306" s="481">
        <f>+DM296/DL296-1</f>
        <v>1.4999999999999902E-2</v>
      </c>
      <c r="DN306" s="423"/>
      <c r="DP306" s="481">
        <f>+DP296/DM296-1</f>
        <v>1.4999999999999902E-2</v>
      </c>
      <c r="DQ306" s="481">
        <f>+DQ296/DP296-1</f>
        <v>1.4999999999999902E-2</v>
      </c>
      <c r="DR306" s="423"/>
    </row>
    <row r="307" spans="1:264" s="347" customFormat="1" x14ac:dyDescent="0.2">
      <c r="A307" s="436" t="s">
        <v>338</v>
      </c>
      <c r="B307" s="466" t="s">
        <v>140</v>
      </c>
      <c r="C307" s="463"/>
      <c r="D307" s="463"/>
      <c r="E307" s="463"/>
      <c r="F307" s="463"/>
      <c r="G307" s="463"/>
      <c r="H307" s="463"/>
      <c r="I307" s="463"/>
      <c r="J307" s="463"/>
      <c r="K307" s="463"/>
      <c r="L307" s="463"/>
      <c r="M307" s="463"/>
      <c r="N307" s="463"/>
      <c r="O307" s="463"/>
      <c r="P307" s="463"/>
      <c r="Q307" s="463"/>
      <c r="R307" s="463"/>
      <c r="S307" s="463"/>
      <c r="T307" s="463"/>
      <c r="U307" s="463"/>
      <c r="V307" s="463"/>
      <c r="W307" s="463"/>
      <c r="X307" s="463"/>
      <c r="Y307" s="463"/>
      <c r="Z307" s="463"/>
      <c r="AA307" s="463"/>
      <c r="AB307" s="463"/>
      <c r="AC307" s="463"/>
      <c r="AD307" s="463"/>
      <c r="AE307" s="463"/>
      <c r="AF307" s="463"/>
      <c r="AG307" s="463"/>
      <c r="AH307" s="463"/>
      <c r="AI307" s="463"/>
      <c r="AJ307" s="463"/>
      <c r="AK307" s="463"/>
      <c r="AL307" s="463"/>
      <c r="AM307" s="463"/>
      <c r="AN307" s="463"/>
      <c r="AO307" s="463"/>
      <c r="AP307" s="463"/>
      <c r="AQ307" s="463"/>
      <c r="AR307" s="463"/>
      <c r="AS307" s="463"/>
      <c r="AT307" s="463"/>
      <c r="AU307" s="463"/>
      <c r="AV307" s="463"/>
      <c r="AW307" s="463"/>
      <c r="AX307" s="463"/>
      <c r="AY307" s="463"/>
      <c r="AZ307" s="463"/>
      <c r="BA307" s="463"/>
      <c r="BB307" s="463"/>
      <c r="BC307" s="463"/>
      <c r="BD307" s="463"/>
      <c r="BE307" s="463"/>
      <c r="BF307" s="463"/>
      <c r="BG307" s="463"/>
      <c r="BH307" s="464"/>
      <c r="BI307" s="465">
        <f>+BI297/BH297-1</f>
        <v>5.6565656565656486E-2</v>
      </c>
      <c r="BJ307" s="466"/>
      <c r="BK307" s="466"/>
      <c r="BL307" s="465">
        <f>+BL297/BI297-1</f>
        <v>3.4416826003824008E-2</v>
      </c>
      <c r="BM307" s="465">
        <f>+BM297/BL297-1</f>
        <v>8.4157877568772355E-2</v>
      </c>
      <c r="BN307" s="466"/>
      <c r="BO307" s="466"/>
      <c r="BP307" s="465">
        <f>+BP297/BM297-1</f>
        <v>0.21131280714070799</v>
      </c>
      <c r="BQ307" s="465">
        <f>+BQ297/BP297-1</f>
        <v>4.0569630733565232E-2</v>
      </c>
      <c r="BR307" s="466"/>
      <c r="BS307" s="463"/>
      <c r="BT307" s="465">
        <f>+BT297/BQ297-1</f>
        <v>8.999045194143851E-2</v>
      </c>
      <c r="BU307" s="465">
        <f>+BU297/BT297-1</f>
        <v>1.5669026936272719</v>
      </c>
      <c r="BV307" s="466"/>
      <c r="BW307" s="463"/>
      <c r="BX307" s="465">
        <f>+BX297/BU297-1</f>
        <v>7.5901490160391383E-2</v>
      </c>
      <c r="BY307" s="465">
        <f>+BY297/BX297-1</f>
        <v>0.10451193402585046</v>
      </c>
      <c r="BZ307" s="466"/>
      <c r="CA307" s="463"/>
      <c r="CB307" s="465">
        <f>+CB297/BY297-1</f>
        <v>5.1259961231962192E-2</v>
      </c>
      <c r="CC307" s="465">
        <f>+CC297/CB297-1</f>
        <v>4.901090395866059E-2</v>
      </c>
      <c r="CD307" s="466"/>
      <c r="CE307" s="463"/>
      <c r="CF307" s="465">
        <f>+CF297/CC297-1</f>
        <v>4.3379193611388311E-2</v>
      </c>
      <c r="CG307" s="465">
        <f>+CG297/CF297-1</f>
        <v>2.4812295917306271E-2</v>
      </c>
      <c r="CH307" s="466"/>
      <c r="CI307" s="463"/>
      <c r="CJ307" s="465">
        <f>+CJ297/CG297-1</f>
        <v>0.14179892032309138</v>
      </c>
      <c r="CK307" s="465">
        <f>+CK297/CJ297-1</f>
        <v>0.22896855725991361</v>
      </c>
      <c r="CL307" s="466"/>
      <c r="CM307" s="463"/>
      <c r="CN307" s="465">
        <f>+CN297/CK297-1</f>
        <v>0.21523509248947836</v>
      </c>
      <c r="CO307" s="465">
        <f>+CO297/CN297-1</f>
        <v>0.23189526926509973</v>
      </c>
      <c r="CP307" s="466"/>
      <c r="CQ307" s="463"/>
      <c r="CR307" s="465">
        <f>+CR297/CO297-1</f>
        <v>0.18533475026567481</v>
      </c>
      <c r="CS307" s="465">
        <f>+CS297/CR297-1</f>
        <v>7.4445368151661917E-2</v>
      </c>
      <c r="CT307" s="466"/>
      <c r="CU307" s="463"/>
      <c r="CV307" s="465">
        <f>+CV297/CS297-1</f>
        <v>-8.4268895833965463E-2</v>
      </c>
      <c r="CW307" s="465">
        <f>+CW297/CV297-1</f>
        <v>-8.8420215541878289E-2</v>
      </c>
      <c r="CX307" s="466"/>
      <c r="CY307" s="463"/>
      <c r="CZ307" s="465">
        <f>+CZ297/CW297-1</f>
        <v>-6.9444318233449986E-2</v>
      </c>
      <c r="DA307" s="465">
        <f t="shared" si="199"/>
        <v>-4.9998535199163863E-3</v>
      </c>
      <c r="DB307" s="466"/>
      <c r="DC307" s="463"/>
      <c r="DD307" s="465">
        <f t="shared" si="200"/>
        <v>1.03051299918544E-3</v>
      </c>
      <c r="DE307" s="465">
        <f t="shared" si="201"/>
        <v>3.7648535236675995E-2</v>
      </c>
      <c r="DF307" s="466"/>
      <c r="DG307" s="463"/>
      <c r="DH307" s="465">
        <f t="shared" si="202"/>
        <v>4.5324842208700256E-2</v>
      </c>
      <c r="DI307" s="482">
        <v>0.01</v>
      </c>
      <c r="DJ307" s="466"/>
      <c r="DK307" s="463"/>
      <c r="DL307" s="482">
        <v>0.02</v>
      </c>
      <c r="DM307" s="482">
        <v>0.02</v>
      </c>
      <c r="DN307" s="466"/>
      <c r="DO307" s="463"/>
      <c r="DP307" s="482">
        <v>0.02</v>
      </c>
      <c r="DQ307" s="482">
        <v>0.02</v>
      </c>
      <c r="DR307" s="466"/>
      <c r="DS307" s="463"/>
    </row>
    <row r="308" spans="1:264" s="347" customFormat="1" x14ac:dyDescent="0.2">
      <c r="A308" s="436" t="str">
        <f>+A298</f>
        <v>Other Deposits</v>
      </c>
      <c r="B308" s="466" t="s">
        <v>140</v>
      </c>
      <c r="C308" s="463"/>
      <c r="D308" s="463"/>
      <c r="E308" s="463"/>
      <c r="F308" s="463"/>
      <c r="G308" s="463"/>
      <c r="H308" s="463"/>
      <c r="I308" s="463"/>
      <c r="J308" s="463"/>
      <c r="K308" s="463"/>
      <c r="L308" s="463"/>
      <c r="M308" s="463"/>
      <c r="N308" s="463"/>
      <c r="O308" s="463"/>
      <c r="P308" s="463"/>
      <c r="Q308" s="463"/>
      <c r="R308" s="463"/>
      <c r="S308" s="463"/>
      <c r="T308" s="463"/>
      <c r="U308" s="463"/>
      <c r="V308" s="463"/>
      <c r="W308" s="463"/>
      <c r="X308" s="463"/>
      <c r="Y308" s="463"/>
      <c r="Z308" s="463"/>
      <c r="AA308" s="463"/>
      <c r="AB308" s="463"/>
      <c r="AC308" s="463"/>
      <c r="AD308" s="463"/>
      <c r="AE308" s="463"/>
      <c r="AF308" s="463"/>
      <c r="AG308" s="463"/>
      <c r="AH308" s="463"/>
      <c r="AI308" s="463"/>
      <c r="AJ308" s="463"/>
      <c r="AK308" s="463"/>
      <c r="AL308" s="463"/>
      <c r="AM308" s="463"/>
      <c r="AN308" s="463"/>
      <c r="AO308" s="463"/>
      <c r="AP308" s="463"/>
      <c r="AQ308" s="463"/>
      <c r="AR308" s="463"/>
      <c r="AS308" s="463"/>
      <c r="AT308" s="463"/>
      <c r="AU308" s="463"/>
      <c r="AV308" s="463"/>
      <c r="AW308" s="463"/>
      <c r="AX308" s="463"/>
      <c r="AY308" s="463"/>
      <c r="AZ308" s="463"/>
      <c r="BA308" s="463"/>
      <c r="BB308" s="463"/>
      <c r="BC308" s="463"/>
      <c r="BD308" s="463"/>
      <c r="BE308" s="463"/>
      <c r="BF308" s="463"/>
      <c r="BG308" s="463"/>
      <c r="BH308" s="464"/>
      <c r="BI308" s="465">
        <f>+BI298/BH298-1</f>
        <v>6.212160537313749E-2</v>
      </c>
      <c r="BJ308" s="466"/>
      <c r="BK308" s="466"/>
      <c r="BL308" s="465">
        <f>+BL298/BI298-1</f>
        <v>0.11944005306230343</v>
      </c>
      <c r="BM308" s="465">
        <f>+BM298/BL298-1</f>
        <v>5.796346043328926E-2</v>
      </c>
      <c r="BN308" s="466"/>
      <c r="BO308" s="466"/>
      <c r="BP308" s="465">
        <f>+BP298/BM298-1</f>
        <v>5.8063836954690862E-2</v>
      </c>
      <c r="BQ308" s="465">
        <f>+BQ298/BP298-1</f>
        <v>0.10870819719105818</v>
      </c>
      <c r="BR308" s="466"/>
      <c r="BS308" s="463"/>
      <c r="BT308" s="465">
        <f>+BT298/BQ298-1</f>
        <v>6.7268759153433111E-2</v>
      </c>
      <c r="BU308" s="465">
        <f>+BU298/BT298-1</f>
        <v>4.8701080302968602E-3</v>
      </c>
      <c r="BV308" s="466"/>
      <c r="BW308" s="463"/>
      <c r="BX308" s="465">
        <f>+BX298/BU298-1</f>
        <v>2.1755720080864904E-3</v>
      </c>
      <c r="BY308" s="465">
        <f>+BY298/BX298-1</f>
        <v>3.4506482489596646E-2</v>
      </c>
      <c r="BZ308" s="466"/>
      <c r="CA308" s="463"/>
      <c r="CB308" s="465">
        <f>+CB298/BY298-1</f>
        <v>9.7109319007986361E-3</v>
      </c>
      <c r="CC308" s="465">
        <f>+CC298/CB298-1</f>
        <v>8.1243885126709436E-3</v>
      </c>
      <c r="CD308" s="466"/>
      <c r="CE308" s="463"/>
      <c r="CF308" s="465">
        <f>+CF298/CC298-1</f>
        <v>5.0744839091285687E-3</v>
      </c>
      <c r="CG308" s="465">
        <f>+CG298/CF298-1</f>
        <v>3.3117389232667493E-2</v>
      </c>
      <c r="CH308" s="466"/>
      <c r="CI308" s="463"/>
      <c r="CJ308" s="465">
        <f>+CJ298/CG298-1</f>
        <v>5.8097483796480054E-2</v>
      </c>
      <c r="CK308" s="465">
        <f>+CK298/CJ298-1</f>
        <v>0.11391696182946087</v>
      </c>
      <c r="CL308" s="466"/>
      <c r="CM308" s="463"/>
      <c r="CN308" s="465">
        <f>+CN298/CK298-1</f>
        <v>8.8016543917570633E-2</v>
      </c>
      <c r="CO308" s="465">
        <f>+CO298/CN298-1</f>
        <v>-1.7411145991625965E-3</v>
      </c>
      <c r="CP308" s="466"/>
      <c r="CQ308" s="463"/>
      <c r="CR308" s="465">
        <f>+CR298/CO298-1</f>
        <v>3.4229268816434733E-2</v>
      </c>
      <c r="CS308" s="465">
        <f>+CS298/CR298-1</f>
        <v>4.8761018869056372E-2</v>
      </c>
      <c r="CT308" s="466"/>
      <c r="CU308" s="463"/>
      <c r="CV308" s="465">
        <f>+CV298/CS298-1</f>
        <v>-1.0184845038572199E-3</v>
      </c>
      <c r="CW308" s="465">
        <f>+CW298/CV298-1</f>
        <v>6.6698375369385055E-3</v>
      </c>
      <c r="CX308" s="466"/>
      <c r="CY308" s="463"/>
      <c r="CZ308" s="465">
        <f>+CZ298/CW298-1</f>
        <v>-3.9677314218342308E-2</v>
      </c>
      <c r="DA308" s="465">
        <f t="shared" si="199"/>
        <v>3.4922919931484442E-2</v>
      </c>
      <c r="DB308" s="466"/>
      <c r="DC308" s="463"/>
      <c r="DD308" s="465">
        <f t="shared" si="200"/>
        <v>2.8479870409986896E-2</v>
      </c>
      <c r="DE308" s="465">
        <f t="shared" si="201"/>
        <v>4.164598027802513E-2</v>
      </c>
      <c r="DF308" s="466"/>
      <c r="DG308" s="463"/>
      <c r="DH308" s="465">
        <f t="shared" si="202"/>
        <v>6.8880365356841278E-2</v>
      </c>
      <c r="DI308" s="482">
        <v>0.03</v>
      </c>
      <c r="DJ308" s="466"/>
      <c r="DK308" s="463"/>
      <c r="DL308" s="482">
        <v>0.03</v>
      </c>
      <c r="DM308" s="482">
        <v>0.03</v>
      </c>
      <c r="DN308" s="466"/>
      <c r="DO308" s="463"/>
      <c r="DP308" s="482">
        <v>0.03</v>
      </c>
      <c r="DQ308" s="482">
        <v>0.03</v>
      </c>
      <c r="DR308" s="466"/>
      <c r="DS308" s="463"/>
    </row>
    <row r="309" spans="1:264" s="347" customFormat="1" x14ac:dyDescent="0.2">
      <c r="A309" s="424" t="str">
        <f>+A299</f>
        <v>Total Deposits</v>
      </c>
      <c r="B309" s="348" t="s">
        <v>140</v>
      </c>
      <c r="BH309" s="398"/>
      <c r="BI309" s="428">
        <f>+BI299/BH299-1</f>
        <v>2.4218365260344932E-2</v>
      </c>
      <c r="BJ309" s="348"/>
      <c r="BK309" s="348"/>
      <c r="BL309" s="428">
        <f>+BL299/BI299-1</f>
        <v>4.7054659946548227E-2</v>
      </c>
      <c r="BM309" s="428">
        <f>+BM299/BL299-1</f>
        <v>2.977897126766349E-2</v>
      </c>
      <c r="BN309" s="348"/>
      <c r="BO309" s="348"/>
      <c r="BP309" s="428">
        <f>+BP299/BM299-1</f>
        <v>3.6086733111648783E-2</v>
      </c>
      <c r="BQ309" s="428">
        <f>+BQ299/BP299-1</f>
        <v>4.9832754729512763E-2</v>
      </c>
      <c r="BR309" s="348"/>
      <c r="BT309" s="428">
        <f>+BT299/BQ299-1</f>
        <v>2.0211437609256588E-2</v>
      </c>
      <c r="BU309" s="428">
        <f>+BU299/BT299-1</f>
        <v>5.2850487116304024E-2</v>
      </c>
      <c r="BV309" s="348"/>
      <c r="BX309" s="428">
        <f>+BX299/BU299-1</f>
        <v>2.5952210733113601E-2</v>
      </c>
      <c r="BY309" s="428">
        <f>+BY299/BX299-1</f>
        <v>3.8358109741358559E-2</v>
      </c>
      <c r="BZ309" s="348"/>
      <c r="CB309" s="428">
        <f>+CB299/BY299-1</f>
        <v>-3.3009122521132639E-3</v>
      </c>
      <c r="CC309" s="428">
        <f>+CC299/CB299-1</f>
        <v>-9.7056199170487689E-3</v>
      </c>
      <c r="CD309" s="348"/>
      <c r="CF309" s="428">
        <f>+CF299/CC299-1</f>
        <v>1.67583662850046E-2</v>
      </c>
      <c r="CG309" s="428">
        <f>+CG299/CF299-1</f>
        <v>7.43010715664294E-3</v>
      </c>
      <c r="CH309" s="348"/>
      <c r="CJ309" s="428">
        <f>+CJ299/CG299-1</f>
        <v>3.4189048927072641E-2</v>
      </c>
      <c r="CK309" s="428">
        <f>+CK299/CJ299-1</f>
        <v>6.8834523364323497E-2</v>
      </c>
      <c r="CL309" s="348"/>
      <c r="CN309" s="428">
        <f>+CN299/CK299-1</f>
        <v>6.4624427776575288E-2</v>
      </c>
      <c r="CO309" s="428">
        <f>+CO299/CN299-1</f>
        <v>2.640324059920518E-2</v>
      </c>
      <c r="CP309" s="348"/>
      <c r="CR309" s="428">
        <f>+CR299/CO299-1</f>
        <v>5.1269373452097033E-2</v>
      </c>
      <c r="CS309" s="428">
        <f>+CS299/CR299-1</f>
        <v>5.4911538336220866E-2</v>
      </c>
      <c r="CT309" s="348"/>
      <c r="CV309" s="428">
        <f>+CV299/CS299-1</f>
        <v>2.349525488779447E-2</v>
      </c>
      <c r="CW309" s="428">
        <f>+CW299/CV299-1</f>
        <v>6.9132737743011763E-3</v>
      </c>
      <c r="CX309" s="348"/>
      <c r="CZ309" s="428">
        <f>+CZ299/CW299-1</f>
        <v>7.4196078840174096E-3</v>
      </c>
      <c r="DA309" s="428">
        <f t="shared" si="199"/>
        <v>8.5122620033113439E-3</v>
      </c>
      <c r="DB309" s="348"/>
      <c r="DD309" s="428">
        <f t="shared" si="200"/>
        <v>1.3411551351094841E-2</v>
      </c>
      <c r="DE309" s="428">
        <f t="shared" si="201"/>
        <v>3.9030168649814234E-2</v>
      </c>
      <c r="DF309" s="348"/>
      <c r="DH309" s="428">
        <f t="shared" si="202"/>
        <v>5.2198665526590915E-2</v>
      </c>
      <c r="DI309" s="428">
        <f>+DI299/DH299-1</f>
        <v>2.422885606694658E-2</v>
      </c>
      <c r="DJ309" s="348"/>
      <c r="DL309" s="428">
        <f>+DL299/DI299-1</f>
        <v>2.4594811630515245E-2</v>
      </c>
      <c r="DM309" s="428">
        <f>+DM299/DL299-1</f>
        <v>2.4641643200926433E-2</v>
      </c>
      <c r="DN309" s="348"/>
      <c r="DP309" s="428">
        <f>+DP299/DM299-1</f>
        <v>2.4688272772102948E-2</v>
      </c>
      <c r="DQ309" s="428">
        <f>+DQ299/DP299-1</f>
        <v>2.473469748575674E-2</v>
      </c>
      <c r="DR309" s="348"/>
    </row>
    <row r="310" spans="1:264" s="347" customFormat="1" x14ac:dyDescent="0.2">
      <c r="A310" s="424" t="s">
        <v>341</v>
      </c>
      <c r="B310" s="348"/>
      <c r="BH310" s="398"/>
      <c r="BI310" s="428"/>
      <c r="BJ310" s="397"/>
      <c r="BK310" s="348"/>
      <c r="BL310" s="348"/>
      <c r="BM310" s="428"/>
      <c r="BN310" s="397"/>
      <c r="BO310" s="348"/>
      <c r="BP310" s="348"/>
      <c r="BQ310" s="428"/>
      <c r="BR310" s="397"/>
      <c r="BT310" s="348"/>
      <c r="BU310" s="428"/>
      <c r="BV310" s="397"/>
      <c r="BX310" s="348"/>
      <c r="BY310" s="348"/>
      <c r="BZ310" s="348"/>
      <c r="CB310" s="348"/>
      <c r="CC310" s="348"/>
      <c r="CD310" s="348"/>
      <c r="CF310" s="403">
        <f>CF294/CF299</f>
        <v>0.28266302289379114</v>
      </c>
      <c r="CG310" s="403">
        <f t="shared" ref="CG310:CT310" si="203">CG294/CG299</f>
        <v>0.26679366586977366</v>
      </c>
      <c r="CH310" s="403">
        <f t="shared" si="203"/>
        <v>0.26679366586977366</v>
      </c>
      <c r="CJ310" s="403">
        <f t="shared" si="203"/>
        <v>0.25424280110972924</v>
      </c>
      <c r="CK310" s="403">
        <f t="shared" si="203"/>
        <v>0.2104805781714563</v>
      </c>
      <c r="CL310" s="403">
        <f t="shared" si="203"/>
        <v>0.2104805781714563</v>
      </c>
      <c r="CN310" s="403">
        <f t="shared" si="203"/>
        <v>0.19099663711403242</v>
      </c>
      <c r="CO310" s="403">
        <f t="shared" si="203"/>
        <v>0.17715976666224853</v>
      </c>
      <c r="CP310" s="403">
        <f t="shared" si="203"/>
        <v>0.17715976666224853</v>
      </c>
      <c r="CR310" s="403">
        <f t="shared" si="203"/>
        <v>0.1689660985495092</v>
      </c>
      <c r="CS310" s="403">
        <f t="shared" si="203"/>
        <v>0.17612712361732386</v>
      </c>
      <c r="CT310" s="403">
        <f t="shared" si="203"/>
        <v>0.17612712361732386</v>
      </c>
      <c r="CV310" s="403">
        <f t="shared" ref="CV310:CX310" si="204">CV294/CV299</f>
        <v>0.21010894080878348</v>
      </c>
      <c r="CW310" s="403">
        <f t="shared" si="204"/>
        <v>0.22327625073948498</v>
      </c>
      <c r="CX310" s="403">
        <f t="shared" si="204"/>
        <v>0.22327625073948498</v>
      </c>
      <c r="CZ310" s="403">
        <f t="shared" ref="CZ310:DB310" si="205">CZ294/CZ299</f>
        <v>0.23240376655629139</v>
      </c>
      <c r="DA310" s="403">
        <f t="shared" si="205"/>
        <v>0.21957519613287657</v>
      </c>
      <c r="DB310" s="403">
        <f t="shared" si="205"/>
        <v>0.21957519613287657</v>
      </c>
      <c r="DD310" s="403">
        <f t="shared" ref="DD310:DF310" si="206">DD294/DD299</f>
        <v>0.22349833830702215</v>
      </c>
      <c r="DE310" s="403">
        <f t="shared" si="206"/>
        <v>0.22122343781592646</v>
      </c>
      <c r="DF310" s="403">
        <f t="shared" si="206"/>
        <v>0.22122343781592646</v>
      </c>
      <c r="DH310" s="403">
        <f t="shared" ref="DH310" si="207">DH294/DH299</f>
        <v>0.21831723684469465</v>
      </c>
      <c r="DI310" s="403">
        <f t="shared" ref="DI310:DJ310" si="208">DI294/DI299</f>
        <v>0.21741584438139799</v>
      </c>
      <c r="DJ310" s="403">
        <f t="shared" si="208"/>
        <v>0.21741584438139799</v>
      </c>
      <c r="DL310" s="403">
        <f t="shared" ref="DL310:DN310" si="209">DL294/DL299</f>
        <v>0.21537985508236063</v>
      </c>
      <c r="DM310" s="403">
        <f t="shared" si="209"/>
        <v>0.21335317997194431</v>
      </c>
      <c r="DN310" s="403">
        <f t="shared" si="209"/>
        <v>0.21335317997194431</v>
      </c>
      <c r="DP310" s="403">
        <f t="shared" ref="DP310:DR310" si="210">DP294/DP299</f>
        <v>0.2113359578964229</v>
      </c>
      <c r="DQ310" s="403">
        <f t="shared" si="210"/>
        <v>0.20932832448356783</v>
      </c>
      <c r="DR310" s="403">
        <f t="shared" si="210"/>
        <v>0.20932832448356783</v>
      </c>
    </row>
    <row r="311" spans="1:264" s="347" customFormat="1" x14ac:dyDescent="0.2">
      <c r="A311" s="411" t="s">
        <v>280</v>
      </c>
      <c r="B311" s="348"/>
      <c r="BH311" s="398"/>
      <c r="BI311" s="348"/>
      <c r="BJ311" s="348"/>
      <c r="BK311" s="348"/>
      <c r="BL311" s="398"/>
      <c r="BM311" s="348"/>
      <c r="BN311" s="348"/>
      <c r="BO311" s="348"/>
      <c r="BP311" s="398"/>
      <c r="BQ311" s="348"/>
      <c r="BR311" s="348"/>
      <c r="BT311" s="398"/>
      <c r="BU311" s="348"/>
      <c r="BV311" s="348"/>
      <c r="BX311" s="398"/>
      <c r="BY311" s="348"/>
      <c r="BZ311" s="348"/>
      <c r="CB311" s="398"/>
      <c r="CC311" s="348"/>
      <c r="CD311" s="348"/>
      <c r="CF311" s="398"/>
      <c r="CG311" s="348"/>
      <c r="CH311" s="348"/>
      <c r="CJ311" s="398"/>
      <c r="CK311" s="348"/>
      <c r="CL311" s="348"/>
      <c r="CN311" s="398"/>
      <c r="CO311" s="348"/>
      <c r="CP311" s="348"/>
      <c r="CR311" s="398"/>
      <c r="CS311" s="348"/>
      <c r="CT311" s="348"/>
      <c r="CV311" s="398"/>
      <c r="CW311" s="348"/>
      <c r="CX311" s="348"/>
      <c r="CZ311" s="398"/>
      <c r="DA311" s="348"/>
      <c r="DB311" s="348"/>
      <c r="DD311" s="398"/>
      <c r="DE311" s="348"/>
      <c r="DF311" s="348"/>
      <c r="DH311" s="398"/>
      <c r="DI311" s="348"/>
      <c r="DJ311" s="348"/>
      <c r="DL311" s="348"/>
      <c r="DM311" s="348"/>
      <c r="DN311" s="348"/>
      <c r="DP311" s="348"/>
      <c r="DQ311" s="348"/>
      <c r="DR311" s="348"/>
    </row>
    <row r="312" spans="1:264" s="347" customFormat="1" x14ac:dyDescent="0.2">
      <c r="A312" s="347" t="s">
        <v>336</v>
      </c>
      <c r="B312" s="348" t="s">
        <v>22</v>
      </c>
      <c r="BH312" s="398">
        <v>352</v>
      </c>
      <c r="BI312" s="398">
        <v>81</v>
      </c>
      <c r="BJ312" s="351">
        <f>BI312</f>
        <v>81</v>
      </c>
      <c r="BK312" s="348"/>
      <c r="BL312" s="398">
        <v>77</v>
      </c>
      <c r="BM312" s="398">
        <v>211</v>
      </c>
      <c r="BN312" s="351">
        <f>BM312</f>
        <v>211</v>
      </c>
      <c r="BO312" s="348"/>
      <c r="BP312" s="398">
        <v>759</v>
      </c>
      <c r="BQ312" s="398">
        <v>1862</v>
      </c>
      <c r="BR312" s="351">
        <f>BQ312</f>
        <v>1862</v>
      </c>
      <c r="BT312" s="398">
        <v>2210</v>
      </c>
      <c r="BU312" s="398">
        <v>2779</v>
      </c>
      <c r="BV312" s="351">
        <f>BU312</f>
        <v>2779</v>
      </c>
      <c r="BX312" s="398">
        <v>2521</v>
      </c>
      <c r="BY312" s="398">
        <v>2409</v>
      </c>
      <c r="BZ312" s="351">
        <f>BY312</f>
        <v>2409</v>
      </c>
      <c r="CB312" s="398">
        <v>2162</v>
      </c>
      <c r="CC312" s="398">
        <v>2339</v>
      </c>
      <c r="CD312" s="351">
        <f>CC312</f>
        <v>2339</v>
      </c>
      <c r="CF312" s="398">
        <v>3450</v>
      </c>
      <c r="CG312" s="398">
        <v>3229</v>
      </c>
      <c r="CH312" s="351">
        <f>CG312</f>
        <v>3229</v>
      </c>
      <c r="CJ312" s="398">
        <v>3235</v>
      </c>
      <c r="CK312" s="398">
        <v>3758</v>
      </c>
      <c r="CL312" s="351">
        <f>CK312</f>
        <v>3758</v>
      </c>
      <c r="CN312" s="398">
        <v>3489</v>
      </c>
      <c r="CO312" s="398">
        <v>3588</v>
      </c>
      <c r="CP312" s="351">
        <f>CO312</f>
        <v>3588</v>
      </c>
      <c r="CR312" s="398">
        <v>2709</v>
      </c>
      <c r="CS312" s="398">
        <v>2606</v>
      </c>
      <c r="CT312" s="351">
        <f>CS312</f>
        <v>2606</v>
      </c>
      <c r="CV312" s="398">
        <v>3422</v>
      </c>
      <c r="CW312" s="398">
        <v>3397</v>
      </c>
      <c r="CX312" s="351">
        <f>CW312</f>
        <v>3397</v>
      </c>
      <c r="CZ312" s="398">
        <v>2110</v>
      </c>
      <c r="DA312" s="398">
        <v>2331</v>
      </c>
      <c r="DB312" s="351">
        <f>DA312</f>
        <v>2331</v>
      </c>
      <c r="DD312" s="398">
        <v>2737</v>
      </c>
      <c r="DE312" s="398">
        <v>2366</v>
      </c>
      <c r="DF312" s="351">
        <f>DE312</f>
        <v>2366</v>
      </c>
      <c r="DH312" s="398">
        <v>1525</v>
      </c>
      <c r="DI312" s="351">
        <f>+DI327/DI$151</f>
        <v>1495.5557692307696</v>
      </c>
      <c r="DJ312" s="351">
        <f>DI312</f>
        <v>1495.5557692307696</v>
      </c>
      <c r="DL312" s="351">
        <f>+DL327/DL$151</f>
        <v>1480.6002115384617</v>
      </c>
      <c r="DM312" s="351">
        <f>+DM327/DM$151</f>
        <v>1465.7942094230773</v>
      </c>
      <c r="DN312" s="351">
        <f>DM312</f>
        <v>1465.7942094230773</v>
      </c>
      <c r="DP312" s="351">
        <f>+DP327/DP$151</f>
        <v>1451.1362673288463</v>
      </c>
      <c r="DQ312" s="351">
        <f>+DQ327/DQ$151</f>
        <v>1436.6249046555579</v>
      </c>
      <c r="DR312" s="351">
        <f>DQ312</f>
        <v>1436.6249046555579</v>
      </c>
    </row>
    <row r="313" spans="1:264" s="347" customFormat="1" x14ac:dyDescent="0.2">
      <c r="A313" s="347" t="s">
        <v>337</v>
      </c>
      <c r="B313" s="348" t="s">
        <v>22</v>
      </c>
      <c r="BH313" s="398">
        <v>17670</v>
      </c>
      <c r="BI313" s="398">
        <v>18959</v>
      </c>
      <c r="BJ313" s="351">
        <f>BI313</f>
        <v>18959</v>
      </c>
      <c r="BK313" s="348"/>
      <c r="BL313" s="398">
        <v>19805</v>
      </c>
      <c r="BM313" s="398">
        <v>20125</v>
      </c>
      <c r="BN313" s="351">
        <f>BM313</f>
        <v>20125</v>
      </c>
      <c r="BO313" s="348"/>
      <c r="BP313" s="398">
        <v>22043</v>
      </c>
      <c r="BQ313" s="398">
        <v>21494</v>
      </c>
      <c r="BR313" s="351">
        <f>BQ313</f>
        <v>21494</v>
      </c>
      <c r="BT313" s="398">
        <v>21694</v>
      </c>
      <c r="BU313" s="398">
        <v>22060</v>
      </c>
      <c r="BV313" s="351">
        <f>BU313</f>
        <v>22060</v>
      </c>
      <c r="BX313" s="398">
        <v>24560</v>
      </c>
      <c r="BY313" s="398">
        <v>27396</v>
      </c>
      <c r="BZ313" s="351">
        <f>BY313</f>
        <v>27396</v>
      </c>
      <c r="CB313" s="398">
        <v>27919</v>
      </c>
      <c r="CC313" s="398">
        <v>29580</v>
      </c>
      <c r="CD313" s="351">
        <f>CC313</f>
        <v>29580</v>
      </c>
      <c r="CF313" s="398">
        <v>31484</v>
      </c>
      <c r="CG313" s="398">
        <v>32537</v>
      </c>
      <c r="CH313" s="351">
        <f>CG313</f>
        <v>32537</v>
      </c>
      <c r="CJ313" s="398">
        <v>32498</v>
      </c>
      <c r="CK313" s="398">
        <v>30717</v>
      </c>
      <c r="CL313" s="351">
        <f>CK313</f>
        <v>30717</v>
      </c>
      <c r="CN313" s="398">
        <v>26167</v>
      </c>
      <c r="CO313" s="398">
        <v>23649</v>
      </c>
      <c r="CP313" s="351">
        <f>CO313</f>
        <v>23649</v>
      </c>
      <c r="CR313" s="398">
        <v>23901</v>
      </c>
      <c r="CS313" s="398">
        <v>23956</v>
      </c>
      <c r="CT313" s="351">
        <f>CS313</f>
        <v>23956</v>
      </c>
      <c r="CV313" s="398">
        <v>29576</v>
      </c>
      <c r="CW313" s="398">
        <v>33935</v>
      </c>
      <c r="CX313" s="351">
        <f>CW313</f>
        <v>33935</v>
      </c>
      <c r="CZ313" s="398">
        <v>37645</v>
      </c>
      <c r="DA313" s="398">
        <v>38288</v>
      </c>
      <c r="DB313" s="351">
        <f>DA313</f>
        <v>38288</v>
      </c>
      <c r="DD313" s="351">
        <f>DD315-DD314</f>
        <v>39401</v>
      </c>
      <c r="DE313" s="351">
        <f>DE315-DE314</f>
        <v>40843</v>
      </c>
      <c r="DF313" s="351">
        <f>DE313</f>
        <v>40843</v>
      </c>
      <c r="DH313" s="351">
        <f>DH315-DH314</f>
        <v>37968</v>
      </c>
      <c r="DI313" s="351">
        <f>+DI328/DI$151</f>
        <v>38363.25661538462</v>
      </c>
      <c r="DJ313" s="351">
        <f>DI313</f>
        <v>38363.25661538462</v>
      </c>
      <c r="DL313" s="351">
        <f>+DL328/DL$151</f>
        <v>39130.521747692314</v>
      </c>
      <c r="DM313" s="351">
        <f>+DM328/DM$151</f>
        <v>39913.132182646157</v>
      </c>
      <c r="DN313" s="351">
        <f>DM313</f>
        <v>39913.132182646157</v>
      </c>
      <c r="DP313" s="351">
        <f>+DP328/DP$151</f>
        <v>40711.394826299082</v>
      </c>
      <c r="DQ313" s="351">
        <f>+DQ328/DQ$151</f>
        <v>41525.622722825065</v>
      </c>
      <c r="DR313" s="351">
        <f>DQ313</f>
        <v>41525.622722825065</v>
      </c>
    </row>
    <row r="314" spans="1:264" s="347" customFormat="1" x14ac:dyDescent="0.2">
      <c r="A314" s="347" t="s">
        <v>1136</v>
      </c>
      <c r="B314" s="348"/>
      <c r="BH314" s="398"/>
      <c r="BI314" s="398"/>
      <c r="BJ314" s="351"/>
      <c r="BK314" s="348"/>
      <c r="BL314" s="398"/>
      <c r="BM314" s="398"/>
      <c r="BN314" s="351"/>
      <c r="BO314" s="348"/>
      <c r="BP314" s="398"/>
      <c r="BQ314" s="398"/>
      <c r="BR314" s="351"/>
      <c r="BT314" s="398"/>
      <c r="BU314" s="398"/>
      <c r="BV314" s="351"/>
      <c r="BX314" s="398"/>
      <c r="BY314" s="398"/>
      <c r="BZ314" s="351"/>
      <c r="CB314" s="398"/>
      <c r="CC314" s="398"/>
      <c r="CD314" s="351"/>
      <c r="CF314" s="398"/>
      <c r="CG314" s="398"/>
      <c r="CH314" s="351"/>
      <c r="CJ314" s="398"/>
      <c r="CK314" s="398"/>
      <c r="CL314" s="351"/>
      <c r="CN314" s="398"/>
      <c r="CO314" s="398"/>
      <c r="CP314" s="351"/>
      <c r="CR314" s="398"/>
      <c r="CS314" s="398"/>
      <c r="CT314" s="351"/>
      <c r="CV314" s="398"/>
      <c r="CW314" s="398"/>
      <c r="CX314" s="351"/>
      <c r="CZ314" s="351">
        <f>CZ315-CZ313</f>
        <v>0</v>
      </c>
      <c r="DA314" s="351">
        <f>DA315-DA313</f>
        <v>0</v>
      </c>
      <c r="DB314" s="351">
        <f t="shared" ref="DB314:DB315" si="211">DA314</f>
        <v>0</v>
      </c>
      <c r="DD314" s="406">
        <v>0</v>
      </c>
      <c r="DE314" s="406">
        <v>0</v>
      </c>
      <c r="DF314" s="351">
        <f t="shared" ref="DF314:DF315" si="212">DE314</f>
        <v>0</v>
      </c>
      <c r="DH314" s="406">
        <v>0</v>
      </c>
      <c r="DI314" s="351">
        <f t="shared" ref="DI314" si="213">+DI329/DI$151</f>
        <v>0</v>
      </c>
      <c r="DJ314" s="351">
        <f t="shared" ref="DJ314:DJ315" si="214">DI314</f>
        <v>0</v>
      </c>
      <c r="DL314" s="351">
        <f t="shared" ref="DL314:DM314" si="215">+DL329/DL$151</f>
        <v>0</v>
      </c>
      <c r="DM314" s="351">
        <f t="shared" si="215"/>
        <v>0</v>
      </c>
      <c r="DN314" s="351">
        <f t="shared" ref="DN314:DN315" si="216">DM314</f>
        <v>0</v>
      </c>
      <c r="DP314" s="351">
        <f t="shared" ref="DP314:DQ314" si="217">+DP329/DP$151</f>
        <v>0</v>
      </c>
      <c r="DQ314" s="351">
        <f t="shared" si="217"/>
        <v>0</v>
      </c>
      <c r="DR314" s="351">
        <f t="shared" ref="DR314:DR315" si="218">DQ314</f>
        <v>0</v>
      </c>
    </row>
    <row r="315" spans="1:264" s="411" customFormat="1" x14ac:dyDescent="0.2">
      <c r="A315" s="411" t="s">
        <v>1137</v>
      </c>
      <c r="B315" s="423"/>
      <c r="BH315" s="396"/>
      <c r="BI315" s="396"/>
      <c r="BJ315" s="397"/>
      <c r="BK315" s="423"/>
      <c r="BL315" s="396"/>
      <c r="BM315" s="396"/>
      <c r="BN315" s="397"/>
      <c r="BO315" s="423"/>
      <c r="BP315" s="396"/>
      <c r="BQ315" s="396"/>
      <c r="BR315" s="397"/>
      <c r="BT315" s="396"/>
      <c r="BU315" s="396"/>
      <c r="BV315" s="397"/>
      <c r="BX315" s="396"/>
      <c r="BY315" s="396"/>
      <c r="BZ315" s="397"/>
      <c r="CB315" s="396"/>
      <c r="CC315" s="396"/>
      <c r="CD315" s="397"/>
      <c r="CF315" s="396"/>
      <c r="CG315" s="396"/>
      <c r="CH315" s="397"/>
      <c r="CJ315" s="396"/>
      <c r="CK315" s="396"/>
      <c r="CL315" s="397"/>
      <c r="CN315" s="396"/>
      <c r="CO315" s="396"/>
      <c r="CP315" s="397"/>
      <c r="CR315" s="396"/>
      <c r="CS315" s="396"/>
      <c r="CT315" s="397"/>
      <c r="CV315" s="396"/>
      <c r="CW315" s="396"/>
      <c r="CX315" s="397"/>
      <c r="CZ315" s="396">
        <v>37645</v>
      </c>
      <c r="DA315" s="396">
        <v>38288</v>
      </c>
      <c r="DB315" s="397">
        <f t="shared" si="211"/>
        <v>38288</v>
      </c>
      <c r="DD315" s="396">
        <v>39401</v>
      </c>
      <c r="DE315" s="396">
        <v>40843</v>
      </c>
      <c r="DF315" s="397">
        <f t="shared" si="212"/>
        <v>40843</v>
      </c>
      <c r="DH315" s="396">
        <v>37968</v>
      </c>
      <c r="DI315" s="397">
        <f t="shared" ref="DI315" si="219">+DI330/DI$151</f>
        <v>38363.25661538462</v>
      </c>
      <c r="DJ315" s="397">
        <f t="shared" si="214"/>
        <v>38363.25661538462</v>
      </c>
      <c r="DL315" s="397">
        <f t="shared" ref="DL315:DM315" si="220">+DL330/DL$151</f>
        <v>39130.521747692314</v>
      </c>
      <c r="DM315" s="397">
        <f t="shared" si="220"/>
        <v>39913.132182646157</v>
      </c>
      <c r="DN315" s="397">
        <f t="shared" si="216"/>
        <v>39913.132182646157</v>
      </c>
      <c r="DP315" s="397">
        <f t="shared" ref="DP315:DQ315" si="221">+DP330/DP$151</f>
        <v>40711.394826299082</v>
      </c>
      <c r="DQ315" s="397">
        <f t="shared" si="221"/>
        <v>41525.622722825065</v>
      </c>
      <c r="DR315" s="397">
        <f t="shared" si="218"/>
        <v>41525.622722825065</v>
      </c>
    </row>
    <row r="316" spans="1:264" s="347" customFormat="1" x14ac:dyDescent="0.2">
      <c r="A316" s="347" t="s">
        <v>338</v>
      </c>
      <c r="B316" s="348" t="s">
        <v>22</v>
      </c>
      <c r="BH316" s="398">
        <v>1921</v>
      </c>
      <c r="BI316" s="398">
        <v>1977</v>
      </c>
      <c r="BJ316" s="351">
        <f>BI316</f>
        <v>1977</v>
      </c>
      <c r="BK316" s="348"/>
      <c r="BL316" s="398">
        <v>2465</v>
      </c>
      <c r="BM316" s="398">
        <v>2427</v>
      </c>
      <c r="BN316" s="351">
        <f>BM316</f>
        <v>2427</v>
      </c>
      <c r="BO316" s="348"/>
      <c r="BP316" s="398">
        <v>2768</v>
      </c>
      <c r="BQ316" s="398">
        <v>2592</v>
      </c>
      <c r="BR316" s="351">
        <f>BQ316</f>
        <v>2592</v>
      </c>
      <c r="BT316" s="398">
        <v>3170</v>
      </c>
      <c r="BU316" s="398">
        <v>3345</v>
      </c>
      <c r="BV316" s="351">
        <f>BU316</f>
        <v>3345</v>
      </c>
      <c r="BX316" s="398">
        <v>3784</v>
      </c>
      <c r="BY316" s="398">
        <v>3847</v>
      </c>
      <c r="BZ316" s="351">
        <f>BY316</f>
        <v>3847</v>
      </c>
      <c r="CB316" s="398">
        <v>4244</v>
      </c>
      <c r="CC316" s="398">
        <v>4418</v>
      </c>
      <c r="CD316" s="351">
        <f>CC316</f>
        <v>4418</v>
      </c>
      <c r="CF316" s="398">
        <v>5114</v>
      </c>
      <c r="CG316" s="398">
        <v>5286</v>
      </c>
      <c r="CH316" s="351">
        <f>CG316</f>
        <v>5286</v>
      </c>
      <c r="CJ316" s="398">
        <v>6326</v>
      </c>
      <c r="CK316" s="398">
        <v>7588</v>
      </c>
      <c r="CL316" s="351">
        <f>CK316</f>
        <v>7588</v>
      </c>
      <c r="CN316" s="398">
        <v>9815</v>
      </c>
      <c r="CO316" s="398">
        <v>10848</v>
      </c>
      <c r="CP316" s="351">
        <f>CO316</f>
        <v>10848</v>
      </c>
      <c r="CR316" s="398">
        <v>13084</v>
      </c>
      <c r="CS316" s="398">
        <v>11898</v>
      </c>
      <c r="CT316" s="351">
        <f>CS316</f>
        <v>11898</v>
      </c>
      <c r="CV316" s="398">
        <v>11278</v>
      </c>
      <c r="CW316" s="398">
        <v>9635</v>
      </c>
      <c r="CX316" s="351">
        <f>CW316</f>
        <v>9635</v>
      </c>
      <c r="CZ316" s="398">
        <v>9659</v>
      </c>
      <c r="DA316" s="398">
        <v>8811</v>
      </c>
      <c r="DB316" s="351">
        <f>DA316</f>
        <v>8811</v>
      </c>
      <c r="DD316" s="398">
        <f>9368+140</f>
        <v>9508</v>
      </c>
      <c r="DE316" s="398">
        <f>9729+179</f>
        <v>9908</v>
      </c>
      <c r="DF316" s="351">
        <f>DE316</f>
        <v>9908</v>
      </c>
      <c r="DH316" s="398">
        <f>10367+115</f>
        <v>10482</v>
      </c>
      <c r="DI316" s="351">
        <f>+DI331/DI$151</f>
        <v>10643.037564102566</v>
      </c>
      <c r="DJ316" s="351">
        <f>DI316</f>
        <v>10643.037564102566</v>
      </c>
      <c r="DL316" s="351">
        <f>+DL331/DL$151</f>
        <v>10909.113503205128</v>
      </c>
      <c r="DM316" s="351">
        <f>+DM331/DM$151</f>
        <v>11181.841340785255</v>
      </c>
      <c r="DN316" s="351">
        <f>DM316</f>
        <v>11181.841340785255</v>
      </c>
      <c r="DP316" s="351">
        <f>+DP331/DP$151</f>
        <v>11461.387374304884</v>
      </c>
      <c r="DQ316" s="351">
        <f>+DQ331/DQ$151</f>
        <v>11747.922058662505</v>
      </c>
      <c r="DR316" s="351">
        <f>DQ316</f>
        <v>11747.922058662505</v>
      </c>
    </row>
    <row r="317" spans="1:264" s="347" customFormat="1" x14ac:dyDescent="0.2">
      <c r="A317" s="347" t="s">
        <v>339</v>
      </c>
      <c r="B317" s="348" t="s">
        <v>22</v>
      </c>
      <c r="BH317" s="351">
        <f>+BH318-BH312-BH313-BH316</f>
        <v>11595</v>
      </c>
      <c r="BI317" s="351">
        <f>+BI318-BI312-BI313-BI316</f>
        <v>13449</v>
      </c>
      <c r="BJ317" s="351">
        <f>+BJ318-BJ312-BJ313-BJ316</f>
        <v>13449</v>
      </c>
      <c r="BK317" s="348"/>
      <c r="BL317" s="351">
        <f>+BL318-BL312-BL313-BL316</f>
        <v>17358</v>
      </c>
      <c r="BM317" s="351">
        <f>+BM318-BM312-BM313-BM316</f>
        <v>18157</v>
      </c>
      <c r="BN317" s="351">
        <f>+BN318-BN312-BN313-BN316</f>
        <v>18157</v>
      </c>
      <c r="BO317" s="348"/>
      <c r="BP317" s="351">
        <f>+BP318-BP312-BP313-BP316</f>
        <v>19561</v>
      </c>
      <c r="BQ317" s="351">
        <f>+BQ318-BQ312-BQ313-BQ316</f>
        <v>19880</v>
      </c>
      <c r="BR317" s="351">
        <f>+BR318-BR312-BR313-BR316</f>
        <v>19880</v>
      </c>
      <c r="BT317" s="351">
        <f>+BT318-BT312-BT313-BT316</f>
        <v>22779</v>
      </c>
      <c r="BU317" s="351">
        <f>+BU318-BU312-BU313-BU316</f>
        <v>23752</v>
      </c>
      <c r="BV317" s="351">
        <f>+BV318-BV312-BV313-BV316</f>
        <v>23752</v>
      </c>
      <c r="BX317" s="351">
        <f>+BX318-BX312-BX313-BX316</f>
        <v>23082</v>
      </c>
      <c r="BY317" s="351">
        <f>+BY318-BY312-BY313-BY316</f>
        <v>21530</v>
      </c>
      <c r="BZ317" s="351">
        <f>+BZ318-BZ312-BZ313-BZ316</f>
        <v>21530</v>
      </c>
      <c r="CB317" s="351">
        <f>+CB318-CB312-CB313-CB316</f>
        <v>20758</v>
      </c>
      <c r="CC317" s="351">
        <f>+CC318-CC312-CC313-CC316</f>
        <v>20629</v>
      </c>
      <c r="CD317" s="351">
        <f>+CD318-CD312-CD313-CD316</f>
        <v>20629</v>
      </c>
      <c r="CF317" s="351">
        <f>+CF318-CF312-CF313-CF316</f>
        <v>22328</v>
      </c>
      <c r="CG317" s="351">
        <f>+CG318-CG312-CG313-CG316</f>
        <v>22167</v>
      </c>
      <c r="CH317" s="351">
        <f>+CH318-CH312-CH313-CH316</f>
        <v>22167</v>
      </c>
      <c r="CJ317" s="351">
        <f>+CJ318-CJ312-CJ313-CJ316</f>
        <v>23912</v>
      </c>
      <c r="CK317" s="351">
        <f>+CK318-CK312-CK313-CK316</f>
        <v>27499</v>
      </c>
      <c r="CL317" s="351">
        <f>+CL318-CL312-CL313-CL316</f>
        <v>27499</v>
      </c>
      <c r="CN317" s="351">
        <f>+CN318-CN312-CN313-CN316</f>
        <v>32100</v>
      </c>
      <c r="CO317" s="351">
        <f>+CO318-CO312-CO313-CO316</f>
        <v>33841</v>
      </c>
      <c r="CP317" s="351">
        <f>+CP318-CP312-CP313-CP316</f>
        <v>33841</v>
      </c>
      <c r="CR317" s="351">
        <f>+CR318-CR312-CR313-CR316</f>
        <v>36551</v>
      </c>
      <c r="CS317" s="351">
        <f>+CS318-CS312-CS313-CS316</f>
        <v>34189</v>
      </c>
      <c r="CT317" s="351">
        <f>+CT318-CT312-CT313-CT316</f>
        <v>34189</v>
      </c>
      <c r="CV317" s="351">
        <f>+CV318-CV312-CV313-CV316</f>
        <v>33108</v>
      </c>
      <c r="CW317" s="351">
        <f>+CW318-CW312-CW313-CW316</f>
        <v>30552</v>
      </c>
      <c r="CX317" s="351">
        <f>+CX318-CX312-CX313-CX316</f>
        <v>30552</v>
      </c>
      <c r="CZ317" s="351">
        <f>+CZ318-CZ312-CZ313-CZ316</f>
        <v>30880</v>
      </c>
      <c r="DA317" s="351">
        <f>+DA318-DA312-DA313-DA316</f>
        <v>30574</v>
      </c>
      <c r="DB317" s="351">
        <f>DA317</f>
        <v>30574</v>
      </c>
      <c r="DD317" s="351">
        <f>+DD318-DD312-DD313-DD316</f>
        <v>30607</v>
      </c>
      <c r="DE317" s="351">
        <f>+DE318-DE312-DE313-DE316</f>
        <v>32435</v>
      </c>
      <c r="DF317" s="351">
        <f>DE317</f>
        <v>32435</v>
      </c>
      <c r="DH317" s="351">
        <f>+DH318-DH312-DH313-DH316</f>
        <v>31530</v>
      </c>
      <c r="DI317" s="351">
        <f>+DI332/DI$151</f>
        <v>31858.235384615393</v>
      </c>
      <c r="DJ317" s="351">
        <f>DI317</f>
        <v>31858.235384615393</v>
      </c>
      <c r="DL317" s="351">
        <f>+DL332/DL$151</f>
        <v>32495.400092307704</v>
      </c>
      <c r="DM317" s="351">
        <f>+DM332/DM$151</f>
        <v>33145.308094153857</v>
      </c>
      <c r="DN317" s="351">
        <f>DM317</f>
        <v>33145.308094153857</v>
      </c>
      <c r="DP317" s="351">
        <f>+DP332/DP$151</f>
        <v>33808.214256036939</v>
      </c>
      <c r="DQ317" s="351">
        <f>+DQ332/DQ$151</f>
        <v>34484.378541157675</v>
      </c>
      <c r="DR317" s="351">
        <f>DQ317</f>
        <v>34484.378541157675</v>
      </c>
      <c r="DT317" s="1"/>
      <c r="DU317" s="1"/>
      <c r="DV317" s="1"/>
      <c r="DW317" s="1"/>
      <c r="DX317" s="1"/>
      <c r="DY317" s="1"/>
      <c r="DZ317" s="1"/>
      <c r="EA317" s="1"/>
      <c r="EB317" s="1"/>
      <c r="EC317" s="1"/>
      <c r="ED317" s="1"/>
      <c r="EE317" s="1"/>
      <c r="EF317" s="1"/>
      <c r="EG317" s="1"/>
      <c r="EH317" s="1"/>
      <c r="EI317" s="1"/>
      <c r="EJ317" s="1"/>
      <c r="EK317" s="1"/>
      <c r="EL317" s="1"/>
      <c r="EM317" s="1"/>
      <c r="EN317" s="1"/>
      <c r="EO317" s="1"/>
      <c r="EP317" s="1"/>
      <c r="EQ317" s="1"/>
      <c r="ER317" s="1"/>
      <c r="ES317" s="1"/>
      <c r="ET317" s="1"/>
      <c r="EU317" s="1"/>
      <c r="EV317" s="1"/>
      <c r="EW317" s="1"/>
      <c r="EX317" s="1"/>
      <c r="EY317" s="1"/>
      <c r="EZ317" s="1"/>
      <c r="FA317" s="1"/>
      <c r="FB317" s="1"/>
      <c r="FC317" s="1"/>
      <c r="FD317" s="1"/>
      <c r="FE317" s="1"/>
      <c r="FF317" s="1"/>
      <c r="FG317" s="1"/>
      <c r="FH317" s="1"/>
      <c r="FI317" s="1"/>
      <c r="FJ317" s="1"/>
      <c r="FK317" s="1"/>
      <c r="FL317" s="1"/>
      <c r="FM317" s="1"/>
      <c r="FN317" s="1"/>
      <c r="FO317" s="1"/>
      <c r="FP317" s="1"/>
      <c r="FQ317" s="1"/>
      <c r="FR317" s="1"/>
      <c r="FS317" s="1"/>
      <c r="FT317" s="1"/>
      <c r="FU317" s="1"/>
      <c r="FV317" s="1"/>
      <c r="FW317" s="1"/>
      <c r="FX317" s="1"/>
      <c r="FY317" s="1"/>
      <c r="FZ317" s="1"/>
      <c r="GA317" s="1"/>
      <c r="GB317" s="1"/>
      <c r="GC317" s="1"/>
      <c r="GD317" s="1"/>
      <c r="GE317" s="1"/>
      <c r="GF317" s="1"/>
      <c r="GG317" s="1"/>
      <c r="GH317" s="1"/>
      <c r="GI317" s="1"/>
      <c r="GJ317" s="1"/>
      <c r="GK317" s="1"/>
      <c r="GL317" s="1"/>
      <c r="GM317" s="1"/>
      <c r="GN317" s="1"/>
      <c r="GO317" s="1"/>
      <c r="GP317" s="1"/>
      <c r="GQ317" s="1"/>
      <c r="GR317" s="1"/>
      <c r="GS317" s="1"/>
      <c r="GT317" s="1"/>
      <c r="GU317" s="1"/>
      <c r="GV317" s="1"/>
      <c r="GW317" s="1"/>
      <c r="GX317" s="1"/>
      <c r="GY317" s="1"/>
      <c r="GZ317" s="1"/>
      <c r="HA317" s="1"/>
      <c r="HB317" s="1"/>
      <c r="HC317" s="1"/>
      <c r="HD317" s="1"/>
      <c r="HE317" s="1"/>
      <c r="HF317" s="1"/>
      <c r="HG317" s="1"/>
      <c r="HH317" s="1"/>
      <c r="HI317" s="1"/>
      <c r="HJ317" s="1"/>
      <c r="HK317" s="1"/>
      <c r="HL317" s="1"/>
      <c r="HM317" s="1"/>
      <c r="HN317" s="1"/>
      <c r="HO317" s="1"/>
      <c r="HP317" s="1"/>
      <c r="HQ317" s="1"/>
      <c r="HR317" s="1"/>
      <c r="HS317" s="1"/>
      <c r="HT317" s="1"/>
      <c r="HU317" s="1"/>
      <c r="HV317" s="1"/>
      <c r="HW317" s="1"/>
      <c r="HX317" s="1"/>
      <c r="HY317" s="1"/>
      <c r="HZ317" s="1"/>
      <c r="IA317" s="1"/>
      <c r="IB317" s="1"/>
      <c r="IC317" s="1"/>
      <c r="ID317" s="1"/>
      <c r="IE317" s="1"/>
      <c r="IF317" s="1"/>
      <c r="IG317" s="1"/>
      <c r="IH317" s="1"/>
      <c r="II317" s="1"/>
      <c r="IJ317" s="1"/>
      <c r="IK317" s="1"/>
      <c r="IL317" s="1"/>
      <c r="IM317" s="1"/>
      <c r="IN317" s="1"/>
      <c r="IO317" s="1"/>
      <c r="IP317" s="1"/>
      <c r="IQ317" s="1"/>
      <c r="IR317" s="1"/>
      <c r="IS317" s="1"/>
      <c r="IT317" s="1"/>
      <c r="IU317" s="1"/>
      <c r="IV317" s="1"/>
      <c r="IW317" s="1"/>
      <c r="IX317" s="1"/>
      <c r="IY317" s="1"/>
      <c r="IZ317" s="1"/>
      <c r="JA317" s="1"/>
      <c r="JB317" s="1"/>
      <c r="JC317" s="1"/>
      <c r="JD317" s="1"/>
    </row>
    <row r="318" spans="1:264" s="347" customFormat="1" x14ac:dyDescent="0.2">
      <c r="A318" s="411" t="s">
        <v>97</v>
      </c>
      <c r="B318" s="348" t="s">
        <v>22</v>
      </c>
      <c r="BH318" s="396">
        <v>31538</v>
      </c>
      <c r="BI318" s="396">
        <v>34466</v>
      </c>
      <c r="BJ318" s="397">
        <f>BI318</f>
        <v>34466</v>
      </c>
      <c r="BK318" s="348"/>
      <c r="BL318" s="396">
        <v>39705</v>
      </c>
      <c r="BM318" s="396">
        <v>40920</v>
      </c>
      <c r="BN318" s="397">
        <f>BM318</f>
        <v>40920</v>
      </c>
      <c r="BO318" s="348"/>
      <c r="BP318" s="396">
        <v>45131</v>
      </c>
      <c r="BQ318" s="396">
        <v>45828</v>
      </c>
      <c r="BR318" s="397">
        <f>BQ318</f>
        <v>45828</v>
      </c>
      <c r="BT318" s="396">
        <v>49853</v>
      </c>
      <c r="BU318" s="396">
        <v>51936</v>
      </c>
      <c r="BV318" s="397">
        <f>BU318</f>
        <v>51936</v>
      </c>
      <c r="BX318" s="396">
        <v>53947</v>
      </c>
      <c r="BY318" s="396">
        <v>55182</v>
      </c>
      <c r="BZ318" s="397">
        <f>BY318</f>
        <v>55182</v>
      </c>
      <c r="CB318" s="396">
        <v>55083</v>
      </c>
      <c r="CC318" s="396">
        <v>56966</v>
      </c>
      <c r="CD318" s="397">
        <f>CC318</f>
        <v>56966</v>
      </c>
      <c r="CF318" s="396">
        <v>62376</v>
      </c>
      <c r="CG318" s="396">
        <v>63219</v>
      </c>
      <c r="CH318" s="397">
        <f>CG318</f>
        <v>63219</v>
      </c>
      <c r="CJ318" s="396">
        <v>65971</v>
      </c>
      <c r="CK318" s="396">
        <v>69562</v>
      </c>
      <c r="CL318" s="397">
        <f>CK318</f>
        <v>69562</v>
      </c>
      <c r="CN318" s="396">
        <v>71571</v>
      </c>
      <c r="CO318" s="396">
        <v>71926</v>
      </c>
      <c r="CP318" s="397">
        <f>CO318</f>
        <v>71926</v>
      </c>
      <c r="CR318" s="396">
        <v>76245</v>
      </c>
      <c r="CS318" s="396">
        <v>72649</v>
      </c>
      <c r="CT318" s="397">
        <f>CS318</f>
        <v>72649</v>
      </c>
      <c r="CV318" s="396">
        <v>77384</v>
      </c>
      <c r="CW318" s="396">
        <v>77519</v>
      </c>
      <c r="CX318" s="397">
        <f>CW318</f>
        <v>77519</v>
      </c>
      <c r="CZ318" s="396">
        <v>80294</v>
      </c>
      <c r="DA318" s="396">
        <v>80004</v>
      </c>
      <c r="DB318" s="397">
        <f>DA318</f>
        <v>80004</v>
      </c>
      <c r="DD318" s="396">
        <v>82253</v>
      </c>
      <c r="DE318" s="396">
        <v>85552</v>
      </c>
      <c r="DF318" s="397">
        <f>DE318</f>
        <v>85552</v>
      </c>
      <c r="DH318" s="396">
        <v>81505</v>
      </c>
      <c r="DI318" s="397">
        <f t="shared" ref="DI318" si="222">DI312+DI315+DI316+DI317</f>
        <v>82360.085333333351</v>
      </c>
      <c r="DJ318" s="397">
        <f>DI318</f>
        <v>82360.085333333351</v>
      </c>
      <c r="DL318" s="397">
        <f t="shared" ref="DL318:DM318" si="223">DL312+DL315+DL316+DL317</f>
        <v>84015.635554743611</v>
      </c>
      <c r="DM318" s="397">
        <f t="shared" si="223"/>
        <v>85706.075827008346</v>
      </c>
      <c r="DN318" s="397">
        <f>DM318</f>
        <v>85706.075827008346</v>
      </c>
      <c r="DP318" s="397">
        <f t="shared" ref="DP318:DQ318" si="224">DP312+DP315+DP316+DP317</f>
        <v>87432.132723969757</v>
      </c>
      <c r="DQ318" s="397">
        <f t="shared" si="224"/>
        <v>89194.548227300809</v>
      </c>
      <c r="DR318" s="397">
        <f>DQ318</f>
        <v>89194.548227300809</v>
      </c>
      <c r="DT318" s="1"/>
      <c r="DU318" s="1"/>
      <c r="DV318" s="1"/>
      <c r="DW318" s="1"/>
      <c r="DX318" s="1"/>
      <c r="DY318" s="1"/>
      <c r="DZ318" s="1"/>
      <c r="EA318" s="1"/>
      <c r="EB318" s="1"/>
      <c r="EC318" s="1"/>
      <c r="ED318" s="1"/>
      <c r="EE318" s="1"/>
      <c r="EF318" s="1"/>
      <c r="EG318" s="1"/>
      <c r="EH318" s="1"/>
      <c r="EI318" s="1"/>
      <c r="EJ318" s="1"/>
      <c r="EK318" s="1"/>
      <c r="EL318" s="1"/>
      <c r="EM318" s="1"/>
      <c r="EN318" s="1"/>
      <c r="EO318" s="1"/>
      <c r="EP318" s="1"/>
      <c r="EQ318" s="1"/>
      <c r="ER318" s="1"/>
      <c r="ES318" s="1"/>
      <c r="ET318" s="1"/>
      <c r="EU318" s="1"/>
      <c r="EV318" s="1"/>
      <c r="EW318" s="1"/>
      <c r="EX318" s="1"/>
      <c r="EY318" s="1"/>
      <c r="EZ318" s="1"/>
      <c r="FA318" s="1"/>
      <c r="FB318" s="1"/>
      <c r="FC318" s="1"/>
      <c r="FD318" s="1"/>
      <c r="FE318" s="1"/>
      <c r="FF318" s="1"/>
      <c r="FG318" s="1"/>
      <c r="FH318" s="1"/>
      <c r="FI318" s="1"/>
      <c r="FJ318" s="1"/>
      <c r="FK318" s="1"/>
      <c r="FL318" s="1"/>
      <c r="FM318" s="1"/>
      <c r="FN318" s="1"/>
      <c r="FO318" s="1"/>
      <c r="FP318" s="1"/>
      <c r="FQ318" s="1"/>
      <c r="FR318" s="1"/>
      <c r="FS318" s="1"/>
      <c r="FT318" s="1"/>
      <c r="FU318" s="1"/>
      <c r="FV318" s="1"/>
      <c r="FW318" s="1"/>
      <c r="FX318" s="1"/>
      <c r="FY318" s="1"/>
      <c r="FZ318" s="1"/>
      <c r="GA318" s="1"/>
      <c r="GB318" s="1"/>
      <c r="GC318" s="1"/>
      <c r="GD318" s="1"/>
      <c r="GE318" s="1"/>
      <c r="GF318" s="1"/>
      <c r="GG318" s="1"/>
      <c r="GH318" s="1"/>
      <c r="GI318" s="1"/>
      <c r="GJ318" s="1"/>
      <c r="GK318" s="1"/>
      <c r="GL318" s="1"/>
      <c r="GM318" s="1"/>
      <c r="GN318" s="1"/>
      <c r="GO318" s="1"/>
      <c r="GP318" s="1"/>
      <c r="GQ318" s="1"/>
      <c r="GR318" s="1"/>
      <c r="GS318" s="1"/>
      <c r="GT318" s="1"/>
      <c r="GU318" s="1"/>
      <c r="GV318" s="1"/>
      <c r="GW318" s="1"/>
      <c r="GX318" s="1"/>
      <c r="GY318" s="1"/>
      <c r="GZ318" s="1"/>
      <c r="HA318" s="1"/>
      <c r="HB318" s="1"/>
      <c r="HC318" s="1"/>
      <c r="HD318" s="1"/>
      <c r="HE318" s="1"/>
      <c r="HF318" s="1"/>
      <c r="HG318" s="1"/>
      <c r="HH318" s="1"/>
      <c r="HI318" s="1"/>
      <c r="HJ318" s="1"/>
      <c r="HK318" s="1"/>
      <c r="HL318" s="1"/>
      <c r="HM318" s="1"/>
      <c r="HN318" s="1"/>
      <c r="HO318" s="1"/>
      <c r="HP318" s="1"/>
      <c r="HQ318" s="1"/>
      <c r="HR318" s="1"/>
      <c r="HS318" s="1"/>
      <c r="HT318" s="1"/>
      <c r="HU318" s="1"/>
      <c r="HV318" s="1"/>
      <c r="HW318" s="1"/>
      <c r="HX318" s="1"/>
      <c r="HY318" s="1"/>
      <c r="HZ318" s="1"/>
      <c r="IA318" s="1"/>
      <c r="IB318" s="1"/>
      <c r="IC318" s="1"/>
      <c r="ID318" s="1"/>
      <c r="IE318" s="1"/>
      <c r="IF318" s="1"/>
      <c r="IG318" s="1"/>
      <c r="IH318" s="1"/>
      <c r="II318" s="1"/>
      <c r="IJ318" s="1"/>
      <c r="IK318" s="1"/>
      <c r="IL318" s="1"/>
      <c r="IM318" s="1"/>
      <c r="IN318" s="1"/>
      <c r="IO318" s="1"/>
      <c r="IP318" s="1"/>
      <c r="IQ318" s="1"/>
      <c r="IR318" s="1"/>
      <c r="IS318" s="1"/>
      <c r="IT318" s="1"/>
      <c r="IU318" s="1"/>
      <c r="IV318" s="1"/>
      <c r="IW318" s="1"/>
      <c r="IX318" s="1"/>
      <c r="IY318" s="1"/>
      <c r="IZ318" s="1"/>
      <c r="JA318" s="1"/>
      <c r="JB318" s="1"/>
      <c r="JC318" s="1"/>
      <c r="JD318" s="1"/>
    </row>
    <row r="319" spans="1:264" s="347" customFormat="1" x14ac:dyDescent="0.2">
      <c r="A319" s="424" t="s">
        <v>273</v>
      </c>
      <c r="B319" s="348"/>
      <c r="BH319" s="398"/>
      <c r="BI319" s="348"/>
      <c r="BJ319" s="348"/>
      <c r="BK319" s="348"/>
      <c r="BL319" s="398"/>
      <c r="BM319" s="348"/>
      <c r="BN319" s="348"/>
      <c r="BO319" s="348"/>
      <c r="BP319" s="398"/>
      <c r="BQ319" s="348"/>
      <c r="BR319" s="348"/>
      <c r="BT319" s="398"/>
      <c r="BU319" s="348"/>
      <c r="BV319" s="348"/>
      <c r="BX319" s="398"/>
      <c r="BY319" s="348"/>
      <c r="BZ319" s="348"/>
      <c r="CB319" s="398"/>
      <c r="CC319" s="348"/>
      <c r="CD319" s="348"/>
      <c r="CF319" s="398"/>
      <c r="CG319" s="348"/>
      <c r="CH319" s="348"/>
      <c r="CJ319" s="398"/>
      <c r="CK319" s="348"/>
      <c r="CL319" s="348"/>
      <c r="CN319" s="348"/>
      <c r="CO319" s="348"/>
      <c r="CP319" s="348"/>
      <c r="CR319" s="348"/>
      <c r="CS319" s="348"/>
      <c r="CT319" s="348"/>
      <c r="CV319" s="348"/>
      <c r="CW319" s="348"/>
      <c r="CX319" s="348"/>
      <c r="CZ319" s="348"/>
      <c r="DA319" s="348"/>
      <c r="DB319" s="348"/>
      <c r="DD319" s="348"/>
      <c r="DE319" s="348"/>
      <c r="DF319" s="348"/>
      <c r="DH319" s="348"/>
      <c r="DI319" s="348"/>
      <c r="DJ319" s="348"/>
      <c r="DL319" s="348"/>
      <c r="DM319" s="348"/>
      <c r="DN319" s="348"/>
      <c r="DP319" s="348"/>
      <c r="DQ319" s="348"/>
      <c r="DR319" s="348"/>
      <c r="DT319" s="1"/>
      <c r="DU319" s="1"/>
      <c r="DV319" s="1"/>
      <c r="DW319" s="1"/>
      <c r="DX319" s="1"/>
      <c r="DY319" s="1"/>
      <c r="DZ319" s="1"/>
      <c r="EA319" s="1"/>
      <c r="EB319" s="1"/>
      <c r="EC319" s="1"/>
      <c r="ED319" s="1"/>
      <c r="EE319" s="1"/>
      <c r="EF319" s="1"/>
      <c r="EG319" s="1"/>
      <c r="EH319" s="1"/>
      <c r="EI319" s="1"/>
      <c r="EJ319" s="1"/>
      <c r="EK319" s="1"/>
      <c r="EL319" s="1"/>
      <c r="EM319" s="1"/>
      <c r="EN319" s="1"/>
      <c r="EO319" s="1"/>
      <c r="EP319" s="1"/>
      <c r="EQ319" s="1"/>
      <c r="ER319" s="1"/>
      <c r="ES319" s="1"/>
      <c r="ET319" s="1"/>
      <c r="EU319" s="1"/>
      <c r="EV319" s="1"/>
      <c r="EW319" s="1"/>
      <c r="EX319" s="1"/>
      <c r="EY319" s="1"/>
      <c r="EZ319" s="1"/>
      <c r="FA319" s="1"/>
      <c r="FB319" s="1"/>
      <c r="FC319" s="1"/>
      <c r="FD319" s="1"/>
      <c r="FE319" s="1"/>
      <c r="FF319" s="1"/>
      <c r="FG319" s="1"/>
      <c r="FH319" s="1"/>
      <c r="FI319" s="1"/>
      <c r="FJ319" s="1"/>
      <c r="FK319" s="1"/>
      <c r="FL319" s="1"/>
      <c r="FM319" s="1"/>
      <c r="FN319" s="1"/>
      <c r="FO319" s="1"/>
      <c r="FP319" s="1"/>
      <c r="FQ319" s="1"/>
      <c r="FR319" s="1"/>
      <c r="FS319" s="1"/>
      <c r="FT319" s="1"/>
      <c r="FU319" s="1"/>
      <c r="FV319" s="1"/>
      <c r="FW319" s="1"/>
      <c r="FX319" s="1"/>
      <c r="FY319" s="1"/>
      <c r="FZ319" s="1"/>
      <c r="GA319" s="1"/>
      <c r="GB319" s="1"/>
      <c r="GC319" s="1"/>
      <c r="GD319" s="1"/>
      <c r="GE319" s="1"/>
      <c r="GF319" s="1"/>
      <c r="GG319" s="1"/>
      <c r="GH319" s="1"/>
      <c r="GI319" s="1"/>
      <c r="GJ319" s="1"/>
      <c r="GK319" s="1"/>
      <c r="GL319" s="1"/>
      <c r="GM319" s="1"/>
      <c r="GN319" s="1"/>
      <c r="GO319" s="1"/>
      <c r="GP319" s="1"/>
      <c r="GQ319" s="1"/>
      <c r="GR319" s="1"/>
      <c r="GS319" s="1"/>
      <c r="GT319" s="1"/>
      <c r="GU319" s="1"/>
      <c r="GV319" s="1"/>
      <c r="GW319" s="1"/>
      <c r="GX319" s="1"/>
      <c r="GY319" s="1"/>
      <c r="GZ319" s="1"/>
      <c r="HA319" s="1"/>
      <c r="HB319" s="1"/>
      <c r="HC319" s="1"/>
      <c r="HD319" s="1"/>
      <c r="HE319" s="1"/>
      <c r="HF319" s="1"/>
      <c r="HG319" s="1"/>
      <c r="HH319" s="1"/>
      <c r="HI319" s="1"/>
      <c r="HJ319" s="1"/>
      <c r="HK319" s="1"/>
      <c r="HL319" s="1"/>
      <c r="HM319" s="1"/>
      <c r="HN319" s="1"/>
      <c r="HO319" s="1"/>
      <c r="HP319" s="1"/>
      <c r="HQ319" s="1"/>
      <c r="HR319" s="1"/>
      <c r="HS319" s="1"/>
      <c r="HT319" s="1"/>
      <c r="HU319" s="1"/>
      <c r="HV319" s="1"/>
      <c r="HW319" s="1"/>
      <c r="HX319" s="1"/>
      <c r="HY319" s="1"/>
      <c r="HZ319" s="1"/>
      <c r="IA319" s="1"/>
      <c r="IB319" s="1"/>
      <c r="IC319" s="1"/>
      <c r="ID319" s="1"/>
      <c r="IE319" s="1"/>
      <c r="IF319" s="1"/>
      <c r="IG319" s="1"/>
      <c r="IH319" s="1"/>
      <c r="II319" s="1"/>
      <c r="IJ319" s="1"/>
      <c r="IK319" s="1"/>
      <c r="IL319" s="1"/>
      <c r="IM319" s="1"/>
      <c r="IN319" s="1"/>
      <c r="IO319" s="1"/>
      <c r="IP319" s="1"/>
      <c r="IQ319" s="1"/>
      <c r="IR319" s="1"/>
      <c r="IS319" s="1"/>
      <c r="IT319" s="1"/>
      <c r="IU319" s="1"/>
      <c r="IV319" s="1"/>
      <c r="IW319" s="1"/>
      <c r="IX319" s="1"/>
      <c r="IY319" s="1"/>
      <c r="IZ319" s="1"/>
      <c r="JA319" s="1"/>
      <c r="JB319" s="1"/>
      <c r="JC319" s="1"/>
      <c r="JD319" s="1"/>
    </row>
    <row r="320" spans="1:264" s="347" customFormat="1" x14ac:dyDescent="0.2">
      <c r="A320" s="429" t="str">
        <f>+A312</f>
        <v>CoD</v>
      </c>
      <c r="B320" s="348" t="s">
        <v>140</v>
      </c>
      <c r="BH320" s="398"/>
      <c r="BI320" s="393">
        <f>+BI312/BH312-1</f>
        <v>-0.76988636363636365</v>
      </c>
      <c r="BJ320" s="348"/>
      <c r="BK320" s="348"/>
      <c r="BL320" s="393">
        <f>+BL312/BI312-1</f>
        <v>-4.9382716049382713E-2</v>
      </c>
      <c r="BM320" s="393">
        <f>+BM312/BL312-1</f>
        <v>1.7402597402597402</v>
      </c>
      <c r="BN320" s="348"/>
      <c r="BO320" s="348"/>
      <c r="BP320" s="393">
        <f>+BP312/BM312-1</f>
        <v>2.5971563981042656</v>
      </c>
      <c r="BQ320" s="393">
        <f>+BQ312/BP312-1</f>
        <v>1.4532279314888013</v>
      </c>
      <c r="BR320" s="348"/>
      <c r="BT320" s="393">
        <f>+BT312/BQ312-1</f>
        <v>0.18689581095596131</v>
      </c>
      <c r="BU320" s="393">
        <f>+BU312/BT312-1</f>
        <v>0.25746606334841626</v>
      </c>
      <c r="BV320" s="348"/>
      <c r="BX320" s="393">
        <f>+BX312/BU312-1</f>
        <v>-9.2839150773659562E-2</v>
      </c>
      <c r="BY320" s="393">
        <f>+BY312/BX312-1</f>
        <v>-4.4426814756049149E-2</v>
      </c>
      <c r="BZ320" s="348"/>
      <c r="CB320" s="393">
        <f>+CB312/BY312-1</f>
        <v>-0.10253217102532175</v>
      </c>
      <c r="CC320" s="393">
        <f>+CC312/CB312-1</f>
        <v>8.1868640148011096E-2</v>
      </c>
      <c r="CD320" s="348"/>
      <c r="CF320" s="393">
        <f>+CF312/CC312-1</f>
        <v>0.47498931167165459</v>
      </c>
      <c r="CG320" s="393">
        <f>+CG312/CF312-1</f>
        <v>-6.4057971014492732E-2</v>
      </c>
      <c r="CH320" s="348"/>
      <c r="CJ320" s="393">
        <f>+CJ312/CG312-1</f>
        <v>1.8581604211829195E-3</v>
      </c>
      <c r="CK320" s="393">
        <f>+CK312/CJ312-1</f>
        <v>0.16166924265842342</v>
      </c>
      <c r="CL320" s="348"/>
      <c r="CN320" s="393">
        <f>+CN312/CK312-1</f>
        <v>-7.1580627993613644E-2</v>
      </c>
      <c r="CO320" s="393">
        <f>+CO312/CN312-1</f>
        <v>2.8374892519346551E-2</v>
      </c>
      <c r="CP320" s="348"/>
      <c r="CR320" s="393">
        <f>+CR312/CO312-1</f>
        <v>-0.24498327759197325</v>
      </c>
      <c r="CS320" s="393">
        <f>+CS312/CR312-1</f>
        <v>-3.8021410114433385E-2</v>
      </c>
      <c r="CT320" s="348"/>
      <c r="CV320" s="393">
        <f>+CV312/CS312-1</f>
        <v>0.31312356101304673</v>
      </c>
      <c r="CW320" s="393">
        <f>+CW312/CV312-1</f>
        <v>-7.3056691992986478E-3</v>
      </c>
      <c r="CX320" s="348"/>
      <c r="CZ320" s="393">
        <f>+CZ312/CW312-1</f>
        <v>-0.378863703267589</v>
      </c>
      <c r="DA320" s="393">
        <f>+DA312/CZ312-1</f>
        <v>0.10473933649289102</v>
      </c>
      <c r="DB320" s="348"/>
      <c r="DD320" s="393">
        <f>+DD312/DA312-1</f>
        <v>0.17417417417417425</v>
      </c>
      <c r="DE320" s="393">
        <f>+DE312/DD312-1</f>
        <v>-0.13554987212276215</v>
      </c>
      <c r="DF320" s="348"/>
      <c r="DH320" s="393">
        <f>+DH312/DE312-1</f>
        <v>-0.35545224006762466</v>
      </c>
      <c r="DI320" s="393">
        <f>+DI312/DH312-1</f>
        <v>-1.9307692307692137E-2</v>
      </c>
      <c r="DJ320" s="348"/>
      <c r="DL320" s="393">
        <f>+DL312/DI312-1</f>
        <v>-1.000000000000012E-2</v>
      </c>
      <c r="DM320" s="393">
        <f>+DM312/DL312-1</f>
        <v>-9.9999999999998979E-3</v>
      </c>
      <c r="DN320" s="348"/>
      <c r="DP320" s="393">
        <f>+DP312/DM312-1</f>
        <v>-1.000000000000012E-2</v>
      </c>
      <c r="DQ320" s="393">
        <f>+DQ312/DP312-1</f>
        <v>-1.0000000000000009E-2</v>
      </c>
      <c r="DR320" s="348"/>
      <c r="DT320" s="1"/>
      <c r="DU320" s="1"/>
      <c r="DV320" s="1"/>
      <c r="DW320" s="1"/>
      <c r="DX320" s="1"/>
      <c r="DY320" s="1"/>
      <c r="DZ320" s="1"/>
      <c r="EA320" s="1"/>
      <c r="EB320" s="1"/>
      <c r="EC320" s="1"/>
      <c r="ED320" s="1"/>
      <c r="EE320" s="1"/>
      <c r="EF320" s="1"/>
      <c r="EG320" s="1"/>
      <c r="EH320" s="1"/>
      <c r="EI320" s="1"/>
      <c r="EJ320" s="1"/>
      <c r="EK320" s="1"/>
      <c r="EL320" s="1"/>
      <c r="EM320" s="1"/>
      <c r="EN320" s="1"/>
      <c r="EO320" s="1"/>
      <c r="EP320" s="1"/>
      <c r="EQ320" s="1"/>
      <c r="ER320" s="1"/>
      <c r="ES320" s="1"/>
      <c r="ET320" s="1"/>
      <c r="EU320" s="1"/>
      <c r="EV320" s="1"/>
      <c r="EW320" s="1"/>
      <c r="EX320" s="1"/>
      <c r="EY320" s="1"/>
      <c r="EZ320" s="1"/>
      <c r="FA320" s="1"/>
      <c r="FB320" s="1"/>
      <c r="FC320" s="1"/>
      <c r="FD320" s="1"/>
      <c r="FE320" s="1"/>
      <c r="FF320" s="1"/>
      <c r="FG320" s="1"/>
      <c r="FH320" s="1"/>
      <c r="FI320" s="1"/>
      <c r="FJ320" s="1"/>
      <c r="FK320" s="1"/>
      <c r="FL320" s="1"/>
      <c r="FM320" s="1"/>
      <c r="FN320" s="1"/>
      <c r="FO320" s="1"/>
      <c r="FP320" s="1"/>
      <c r="FQ320" s="1"/>
      <c r="FR320" s="1"/>
      <c r="FS320" s="1"/>
      <c r="FT320" s="1"/>
      <c r="FU320" s="1"/>
      <c r="FV320" s="1"/>
      <c r="FW320" s="1"/>
      <c r="FX320" s="1"/>
      <c r="FY320" s="1"/>
      <c r="FZ320" s="1"/>
      <c r="GA320" s="1"/>
      <c r="GB320" s="1"/>
      <c r="GC320" s="1"/>
      <c r="GD320" s="1"/>
      <c r="GE320" s="1"/>
      <c r="GF320" s="1"/>
      <c r="GG320" s="1"/>
      <c r="GH320" s="1"/>
      <c r="GI320" s="1"/>
      <c r="GJ320" s="1"/>
      <c r="GK320" s="1"/>
      <c r="GL320" s="1"/>
      <c r="GM320" s="1"/>
      <c r="GN320" s="1"/>
      <c r="GO320" s="1"/>
      <c r="GP320" s="1"/>
      <c r="GQ320" s="1"/>
      <c r="GR320" s="1"/>
      <c r="GS320" s="1"/>
      <c r="GT320" s="1"/>
      <c r="GU320" s="1"/>
      <c r="GV320" s="1"/>
      <c r="GW320" s="1"/>
      <c r="GX320" s="1"/>
      <c r="GY320" s="1"/>
      <c r="GZ320" s="1"/>
      <c r="HA320" s="1"/>
      <c r="HB320" s="1"/>
      <c r="HC320" s="1"/>
      <c r="HD320" s="1"/>
      <c r="HE320" s="1"/>
      <c r="HF320" s="1"/>
      <c r="HG320" s="1"/>
      <c r="HH320" s="1"/>
      <c r="HI320" s="1"/>
      <c r="HJ320" s="1"/>
      <c r="HK320" s="1"/>
      <c r="HL320" s="1"/>
      <c r="HM320" s="1"/>
      <c r="HN320" s="1"/>
      <c r="HO320" s="1"/>
      <c r="HP320" s="1"/>
      <c r="HQ320" s="1"/>
      <c r="HR320" s="1"/>
      <c r="HS320" s="1"/>
      <c r="HT320" s="1"/>
      <c r="HU320" s="1"/>
      <c r="HV320" s="1"/>
      <c r="HW320" s="1"/>
      <c r="HX320" s="1"/>
      <c r="HY320" s="1"/>
      <c r="HZ320" s="1"/>
      <c r="IA320" s="1"/>
      <c r="IB320" s="1"/>
      <c r="IC320" s="1"/>
      <c r="ID320" s="1"/>
      <c r="IE320" s="1"/>
      <c r="IF320" s="1"/>
      <c r="IG320" s="1"/>
      <c r="IH320" s="1"/>
      <c r="II320" s="1"/>
      <c r="IJ320" s="1"/>
      <c r="IK320" s="1"/>
      <c r="IL320" s="1"/>
      <c r="IM320" s="1"/>
      <c r="IN320" s="1"/>
      <c r="IO320" s="1"/>
      <c r="IP320" s="1"/>
      <c r="IQ320" s="1"/>
      <c r="IR320" s="1"/>
      <c r="IS320" s="1"/>
      <c r="IT320" s="1"/>
      <c r="IU320" s="1"/>
      <c r="IV320" s="1"/>
      <c r="IW320" s="1"/>
      <c r="IX320" s="1"/>
      <c r="IY320" s="1"/>
      <c r="IZ320" s="1"/>
      <c r="JA320" s="1"/>
      <c r="JB320" s="1"/>
      <c r="JC320" s="1"/>
      <c r="JD320" s="1"/>
    </row>
    <row r="321" spans="1:264" s="347" customFormat="1" x14ac:dyDescent="0.2">
      <c r="A321" s="429" t="str">
        <f>+A313</f>
        <v>Term Deposits</v>
      </c>
      <c r="B321" s="348" t="s">
        <v>140</v>
      </c>
      <c r="BH321" s="398"/>
      <c r="BI321" s="393">
        <f>+BI313/BH313-1</f>
        <v>7.2948500282965512E-2</v>
      </c>
      <c r="BJ321" s="348"/>
      <c r="BK321" s="348"/>
      <c r="BL321" s="393">
        <f>+BL313/BI313-1</f>
        <v>4.4622606677567456E-2</v>
      </c>
      <c r="BM321" s="393">
        <f>+BM313/BL313-1</f>
        <v>1.6157535975763748E-2</v>
      </c>
      <c r="BN321" s="348"/>
      <c r="BO321" s="348"/>
      <c r="BP321" s="393">
        <f>+BP313/BM313-1</f>
        <v>9.5304347826086877E-2</v>
      </c>
      <c r="BQ321" s="393">
        <f>+BQ313/BP313-1</f>
        <v>-2.4905865807739458E-2</v>
      </c>
      <c r="BR321" s="348"/>
      <c r="BT321" s="393">
        <f>+BT313/BQ313-1</f>
        <v>9.3049223038987883E-3</v>
      </c>
      <c r="BU321" s="393">
        <f>+BU313/BT313-1</f>
        <v>1.6871024246335464E-2</v>
      </c>
      <c r="BV321" s="348"/>
      <c r="BX321" s="393">
        <f>+BX313/BU313-1</f>
        <v>0.11332728921124202</v>
      </c>
      <c r="BY321" s="393">
        <f>+BY313/BX313-1</f>
        <v>0.11547231270358305</v>
      </c>
      <c r="BZ321" s="348"/>
      <c r="CB321" s="393">
        <f>+CB313/BY313-1</f>
        <v>1.9090378157395227E-2</v>
      </c>
      <c r="CC321" s="393">
        <f>+CC313/CB313-1</f>
        <v>5.9493534868727327E-2</v>
      </c>
      <c r="CD321" s="348"/>
      <c r="CF321" s="393">
        <f>+CF313/CC313-1</f>
        <v>6.4367816091954078E-2</v>
      </c>
      <c r="CG321" s="393">
        <f>+CG313/CF313-1</f>
        <v>3.3445559649345702E-2</v>
      </c>
      <c r="CH321" s="348"/>
      <c r="CJ321" s="393">
        <f>+CJ313/CG313-1</f>
        <v>-1.1986353996987775E-3</v>
      </c>
      <c r="CK321" s="393">
        <f>+CK313/CJ313-1</f>
        <v>-5.4803372515231707E-2</v>
      </c>
      <c r="CL321" s="348"/>
      <c r="CN321" s="393">
        <f>+CN313/CK313-1</f>
        <v>-0.14812644463977598</v>
      </c>
      <c r="CO321" s="393">
        <f>+CO313/CN313-1</f>
        <v>-9.6228073527725777E-2</v>
      </c>
      <c r="CP321" s="348"/>
      <c r="CR321" s="393">
        <f>+CR313/CO313-1</f>
        <v>1.0655841684637846E-2</v>
      </c>
      <c r="CS321" s="393">
        <f>+CS313/CR313-1</f>
        <v>2.3011589473242999E-3</v>
      </c>
      <c r="CT321" s="348"/>
      <c r="CV321" s="393">
        <f>+CV313/CS313-1</f>
        <v>0.23459676072800129</v>
      </c>
      <c r="CW321" s="393">
        <f>+CW313/CV313-1</f>
        <v>0.14738301325398973</v>
      </c>
      <c r="CX321" s="348"/>
      <c r="CZ321" s="393">
        <f>+CZ313/CW313-1</f>
        <v>0.10932665389715623</v>
      </c>
      <c r="DA321" s="393">
        <f>+DA313/CZ313-1</f>
        <v>1.7080621596493595E-2</v>
      </c>
      <c r="DB321" s="348"/>
      <c r="DD321" s="393">
        <f>+DD313/DA313-1</f>
        <v>2.9069160050146259E-2</v>
      </c>
      <c r="DE321" s="393">
        <f>+DE313/DD313-1</f>
        <v>3.6598055886906344E-2</v>
      </c>
      <c r="DF321" s="348"/>
      <c r="DH321" s="393">
        <f>+DH313/DE313-1</f>
        <v>-7.0391499155301962E-2</v>
      </c>
      <c r="DI321" s="393">
        <f t="shared" ref="DI321" si="225">+DI313/DH313-1</f>
        <v>1.0410256410256613E-2</v>
      </c>
      <c r="DJ321" s="348"/>
      <c r="DL321" s="393">
        <f t="shared" ref="DL321" si="226">+DL313/DI313-1</f>
        <v>2.0000000000000018E-2</v>
      </c>
      <c r="DM321" s="393">
        <f t="shared" ref="DM321" si="227">+DM313/DL313-1</f>
        <v>2.0000000000000018E-2</v>
      </c>
      <c r="DN321" s="348"/>
      <c r="DP321" s="393">
        <f t="shared" ref="DP321" si="228">+DP313/DM313-1</f>
        <v>2.0000000000000018E-2</v>
      </c>
      <c r="DQ321" s="393">
        <f t="shared" ref="DQ321" si="229">+DQ313/DP313-1</f>
        <v>2.0000000000000018E-2</v>
      </c>
      <c r="DR321" s="348"/>
      <c r="DT321" s="1"/>
      <c r="DU321" s="1"/>
      <c r="DV321" s="1"/>
      <c r="DW321" s="1"/>
      <c r="DX321" s="1"/>
      <c r="DY321" s="1"/>
      <c r="DZ321" s="1"/>
      <c r="EA321" s="1"/>
      <c r="EB321" s="1"/>
      <c r="EC321" s="1"/>
      <c r="ED321" s="1"/>
      <c r="EE321" s="1"/>
      <c r="EF321" s="1"/>
      <c r="EG321" s="1"/>
      <c r="EH321" s="1"/>
      <c r="EI321" s="1"/>
      <c r="EJ321" s="1"/>
      <c r="EK321" s="1"/>
      <c r="EL321" s="1"/>
      <c r="EM321" s="1"/>
      <c r="EN321" s="1"/>
      <c r="EO321" s="1"/>
      <c r="EP321" s="1"/>
      <c r="EQ321" s="1"/>
      <c r="ER321" s="1"/>
      <c r="ES321" s="1"/>
      <c r="ET321" s="1"/>
      <c r="EU321" s="1"/>
      <c r="EV321" s="1"/>
      <c r="EW321" s="1"/>
      <c r="EX321" s="1"/>
      <c r="EY321" s="1"/>
      <c r="EZ321" s="1"/>
      <c r="FA321" s="1"/>
      <c r="FB321" s="1"/>
      <c r="FC321" s="1"/>
      <c r="FD321" s="1"/>
      <c r="FE321" s="1"/>
      <c r="FF321" s="1"/>
      <c r="FG321" s="1"/>
      <c r="FH321" s="1"/>
      <c r="FI321" s="1"/>
      <c r="FJ321" s="1"/>
      <c r="FK321" s="1"/>
      <c r="FL321" s="1"/>
      <c r="FM321" s="1"/>
      <c r="FN321" s="1"/>
      <c r="FO321" s="1"/>
      <c r="FP321" s="1"/>
      <c r="FQ321" s="1"/>
      <c r="FR321" s="1"/>
      <c r="FS321" s="1"/>
      <c r="FT321" s="1"/>
      <c r="FU321" s="1"/>
      <c r="FV321" s="1"/>
      <c r="FW321" s="1"/>
      <c r="FX321" s="1"/>
      <c r="FY321" s="1"/>
      <c r="FZ321" s="1"/>
      <c r="GA321" s="1"/>
      <c r="GB321" s="1"/>
      <c r="GC321" s="1"/>
      <c r="GD321" s="1"/>
      <c r="GE321" s="1"/>
      <c r="GF321" s="1"/>
      <c r="GG321" s="1"/>
      <c r="GH321" s="1"/>
      <c r="GI321" s="1"/>
      <c r="GJ321" s="1"/>
      <c r="GK321" s="1"/>
      <c r="GL321" s="1"/>
      <c r="GM321" s="1"/>
      <c r="GN321" s="1"/>
      <c r="GO321" s="1"/>
      <c r="GP321" s="1"/>
      <c r="GQ321" s="1"/>
      <c r="GR321" s="1"/>
      <c r="GS321" s="1"/>
      <c r="GT321" s="1"/>
      <c r="GU321" s="1"/>
      <c r="GV321" s="1"/>
      <c r="GW321" s="1"/>
      <c r="GX321" s="1"/>
      <c r="GY321" s="1"/>
      <c r="GZ321" s="1"/>
      <c r="HA321" s="1"/>
      <c r="HB321" s="1"/>
      <c r="HC321" s="1"/>
      <c r="HD321" s="1"/>
      <c r="HE321" s="1"/>
      <c r="HF321" s="1"/>
      <c r="HG321" s="1"/>
      <c r="HH321" s="1"/>
      <c r="HI321" s="1"/>
      <c r="HJ321" s="1"/>
      <c r="HK321" s="1"/>
      <c r="HL321" s="1"/>
      <c r="HM321" s="1"/>
      <c r="HN321" s="1"/>
      <c r="HO321" s="1"/>
      <c r="HP321" s="1"/>
      <c r="HQ321" s="1"/>
      <c r="HR321" s="1"/>
      <c r="HS321" s="1"/>
      <c r="HT321" s="1"/>
      <c r="HU321" s="1"/>
      <c r="HV321" s="1"/>
      <c r="HW321" s="1"/>
      <c r="HX321" s="1"/>
      <c r="HY321" s="1"/>
      <c r="HZ321" s="1"/>
      <c r="IA321" s="1"/>
      <c r="IB321" s="1"/>
      <c r="IC321" s="1"/>
      <c r="ID321" s="1"/>
      <c r="IE321" s="1"/>
      <c r="IF321" s="1"/>
      <c r="IG321" s="1"/>
      <c r="IH321" s="1"/>
      <c r="II321" s="1"/>
      <c r="IJ321" s="1"/>
      <c r="IK321" s="1"/>
      <c r="IL321" s="1"/>
      <c r="IM321" s="1"/>
      <c r="IN321" s="1"/>
      <c r="IO321" s="1"/>
      <c r="IP321" s="1"/>
      <c r="IQ321" s="1"/>
      <c r="IR321" s="1"/>
      <c r="IS321" s="1"/>
      <c r="IT321" s="1"/>
      <c r="IU321" s="1"/>
      <c r="IV321" s="1"/>
      <c r="IW321" s="1"/>
      <c r="IX321" s="1"/>
      <c r="IY321" s="1"/>
      <c r="IZ321" s="1"/>
      <c r="JA321" s="1"/>
      <c r="JB321" s="1"/>
      <c r="JC321" s="1"/>
      <c r="JD321" s="1"/>
    </row>
    <row r="322" spans="1:264" s="411" customFormat="1" x14ac:dyDescent="0.2">
      <c r="A322" s="424" t="s">
        <v>1138</v>
      </c>
      <c r="B322" s="423"/>
      <c r="BH322" s="396"/>
      <c r="BI322" s="428"/>
      <c r="BJ322" s="423"/>
      <c r="BK322" s="423"/>
      <c r="BL322" s="428"/>
      <c r="BM322" s="428"/>
      <c r="BN322" s="423"/>
      <c r="BO322" s="423"/>
      <c r="BP322" s="428"/>
      <c r="BQ322" s="428"/>
      <c r="BR322" s="423"/>
      <c r="BT322" s="428"/>
      <c r="BU322" s="428"/>
      <c r="BV322" s="423"/>
      <c r="BX322" s="428"/>
      <c r="BY322" s="428"/>
      <c r="BZ322" s="423"/>
      <c r="CB322" s="428"/>
      <c r="CC322" s="428"/>
      <c r="CD322" s="423"/>
      <c r="CF322" s="428"/>
      <c r="CG322" s="428"/>
      <c r="CH322" s="423"/>
      <c r="CJ322" s="428"/>
      <c r="CK322" s="428"/>
      <c r="CL322" s="423"/>
      <c r="CN322" s="428"/>
      <c r="CO322" s="428"/>
      <c r="CP322" s="423"/>
      <c r="CR322" s="428"/>
      <c r="CS322" s="428"/>
      <c r="CT322" s="423"/>
      <c r="CV322" s="428"/>
      <c r="CW322" s="428"/>
      <c r="CX322" s="423"/>
      <c r="CZ322" s="428"/>
      <c r="DA322" s="428">
        <f>+DA315/CZ315-1</f>
        <v>1.7080621596493595E-2</v>
      </c>
      <c r="DB322" s="423"/>
      <c r="DD322" s="428">
        <f>+DD315/DA315-1</f>
        <v>2.9069160050146259E-2</v>
      </c>
      <c r="DE322" s="428">
        <f>+DE315/DD315-1</f>
        <v>3.6598055886906344E-2</v>
      </c>
      <c r="DF322" s="423"/>
      <c r="DH322" s="428">
        <f>+DH315/DE315-1</f>
        <v>-7.0391499155301962E-2</v>
      </c>
      <c r="DI322" s="428">
        <f>+DI315/DH315-1</f>
        <v>1.0410256410256613E-2</v>
      </c>
      <c r="DJ322" s="423"/>
      <c r="DL322" s="428">
        <f>+DL315/DI315-1</f>
        <v>2.0000000000000018E-2</v>
      </c>
      <c r="DM322" s="428">
        <f>+DM315/DL315-1</f>
        <v>2.0000000000000018E-2</v>
      </c>
      <c r="DN322" s="423"/>
      <c r="DP322" s="428">
        <f>+DP315/DM315-1</f>
        <v>2.0000000000000018E-2</v>
      </c>
      <c r="DQ322" s="428">
        <f>+DQ315/DP315-1</f>
        <v>2.0000000000000018E-2</v>
      </c>
      <c r="DR322" s="423"/>
      <c r="DT322" s="451"/>
      <c r="DU322" s="451"/>
      <c r="DV322" s="451"/>
      <c r="DW322" s="451"/>
      <c r="DX322" s="451"/>
      <c r="DY322" s="451"/>
      <c r="DZ322" s="451"/>
      <c r="EA322" s="451"/>
      <c r="EB322" s="451"/>
      <c r="EC322" s="451"/>
      <c r="ED322" s="451"/>
      <c r="EE322" s="451"/>
      <c r="EF322" s="451"/>
      <c r="EG322" s="451"/>
      <c r="EH322" s="451"/>
      <c r="EI322" s="451"/>
      <c r="EJ322" s="451"/>
      <c r="EK322" s="451"/>
      <c r="EL322" s="451"/>
      <c r="EM322" s="451"/>
      <c r="EN322" s="451"/>
      <c r="EO322" s="451"/>
      <c r="EP322" s="451"/>
      <c r="EQ322" s="451"/>
      <c r="ER322" s="451"/>
      <c r="ES322" s="451"/>
      <c r="ET322" s="451"/>
      <c r="EU322" s="451"/>
      <c r="EV322" s="451"/>
      <c r="EW322" s="451"/>
      <c r="EX322" s="451"/>
      <c r="EY322" s="451"/>
      <c r="EZ322" s="451"/>
      <c r="FA322" s="451"/>
      <c r="FB322" s="451"/>
      <c r="FC322" s="451"/>
      <c r="FD322" s="451"/>
      <c r="FE322" s="451"/>
      <c r="FF322" s="451"/>
      <c r="FG322" s="451"/>
      <c r="FH322" s="451"/>
      <c r="FI322" s="451"/>
      <c r="FJ322" s="451"/>
      <c r="FK322" s="451"/>
      <c r="FL322" s="451"/>
      <c r="FM322" s="451"/>
      <c r="FN322" s="451"/>
      <c r="FO322" s="451"/>
      <c r="FP322" s="451"/>
      <c r="FQ322" s="451"/>
      <c r="FR322" s="451"/>
      <c r="FS322" s="451"/>
      <c r="FT322" s="451"/>
      <c r="FU322" s="451"/>
      <c r="FV322" s="451"/>
      <c r="FW322" s="451"/>
      <c r="FX322" s="451"/>
      <c r="FY322" s="451"/>
      <c r="FZ322" s="451"/>
      <c r="GA322" s="451"/>
      <c r="GB322" s="451"/>
      <c r="GC322" s="451"/>
      <c r="GD322" s="451"/>
      <c r="GE322" s="451"/>
      <c r="GF322" s="451"/>
      <c r="GG322" s="451"/>
      <c r="GH322" s="451"/>
      <c r="GI322" s="451"/>
      <c r="GJ322" s="451"/>
      <c r="GK322" s="451"/>
      <c r="GL322" s="451"/>
      <c r="GM322" s="451"/>
      <c r="GN322" s="451"/>
      <c r="GO322" s="451"/>
      <c r="GP322" s="451"/>
      <c r="GQ322" s="451"/>
      <c r="GR322" s="451"/>
      <c r="GS322" s="451"/>
      <c r="GT322" s="451"/>
      <c r="GU322" s="451"/>
      <c r="GV322" s="451"/>
      <c r="GW322" s="451"/>
      <c r="GX322" s="451"/>
      <c r="GY322" s="451"/>
      <c r="GZ322" s="451"/>
      <c r="HA322" s="451"/>
      <c r="HB322" s="451"/>
      <c r="HC322" s="451"/>
      <c r="HD322" s="451"/>
      <c r="HE322" s="451"/>
      <c r="HF322" s="451"/>
      <c r="HG322" s="451"/>
      <c r="HH322" s="451"/>
      <c r="HI322" s="451"/>
      <c r="HJ322" s="451"/>
      <c r="HK322" s="451"/>
      <c r="HL322" s="451"/>
      <c r="HM322" s="451"/>
      <c r="HN322" s="451"/>
      <c r="HO322" s="451"/>
      <c r="HP322" s="451"/>
      <c r="HQ322" s="451"/>
      <c r="HR322" s="451"/>
      <c r="HS322" s="451"/>
      <c r="HT322" s="451"/>
      <c r="HU322" s="451"/>
      <c r="HV322" s="451"/>
      <c r="HW322" s="451"/>
      <c r="HX322" s="451"/>
      <c r="HY322" s="451"/>
      <c r="HZ322" s="451"/>
      <c r="IA322" s="451"/>
      <c r="IB322" s="451"/>
      <c r="IC322" s="451"/>
      <c r="ID322" s="451"/>
      <c r="IE322" s="451"/>
      <c r="IF322" s="451"/>
      <c r="IG322" s="451"/>
      <c r="IH322" s="451"/>
      <c r="II322" s="451"/>
      <c r="IJ322" s="451"/>
      <c r="IK322" s="451"/>
      <c r="IL322" s="451"/>
      <c r="IM322" s="451"/>
      <c r="IN322" s="451"/>
      <c r="IO322" s="451"/>
      <c r="IP322" s="451"/>
      <c r="IQ322" s="451"/>
      <c r="IR322" s="451"/>
      <c r="IS322" s="451"/>
      <c r="IT322" s="451"/>
      <c r="IU322" s="451"/>
      <c r="IV322" s="451"/>
      <c r="IW322" s="451"/>
      <c r="IX322" s="451"/>
      <c r="IY322" s="451"/>
      <c r="IZ322" s="451"/>
      <c r="JA322" s="451"/>
      <c r="JB322" s="451"/>
      <c r="JC322" s="451"/>
      <c r="JD322" s="451"/>
    </row>
    <row r="323" spans="1:264" s="347" customFormat="1" x14ac:dyDescent="0.2">
      <c r="A323" s="429" t="str">
        <f>+A317</f>
        <v>Other Deposits</v>
      </c>
      <c r="B323" s="348" t="s">
        <v>140</v>
      </c>
      <c r="BH323" s="398"/>
      <c r="BI323" s="393">
        <f>+BI317/BH317-1</f>
        <v>0.15989650711513592</v>
      </c>
      <c r="BJ323" s="348"/>
      <c r="BK323" s="348"/>
      <c r="BL323" s="393">
        <f>+BL317/BI317-1</f>
        <v>0.29065358019183574</v>
      </c>
      <c r="BM323" s="393">
        <f>+BM317/BL317-1</f>
        <v>4.6030648692245713E-2</v>
      </c>
      <c r="BN323" s="348"/>
      <c r="BO323" s="348"/>
      <c r="BP323" s="393">
        <f>+BP317/BM317-1</f>
        <v>7.7325549374896774E-2</v>
      </c>
      <c r="BQ323" s="393">
        <f>+BQ317/BP317-1</f>
        <v>1.6307959715760934E-2</v>
      </c>
      <c r="BR323" s="348"/>
      <c r="BT323" s="393">
        <f>+BT317/BQ317-1</f>
        <v>0.14582494969818915</v>
      </c>
      <c r="BU323" s="393">
        <f>+BU317/BT317-1</f>
        <v>4.2714781158084136E-2</v>
      </c>
      <c r="BV323" s="348"/>
      <c r="BX323" s="393">
        <f>+BX317/BU317-1</f>
        <v>-2.8208150892556461E-2</v>
      </c>
      <c r="BY323" s="393">
        <f>+BY317/BX317-1</f>
        <v>-6.723854085434533E-2</v>
      </c>
      <c r="BZ323" s="348"/>
      <c r="CB323" s="393">
        <f>+CB317/BY317-1</f>
        <v>-3.5856943799349783E-2</v>
      </c>
      <c r="CC323" s="393">
        <f>+CC317/CB317-1</f>
        <v>-6.2144715290490815E-3</v>
      </c>
      <c r="CD323" s="348"/>
      <c r="CF323" s="393">
        <f>+CF317/CC317-1</f>
        <v>8.235978476901451E-2</v>
      </c>
      <c r="CG323" s="393">
        <f>+CG317/CF317-1</f>
        <v>-7.2106771766391464E-3</v>
      </c>
      <c r="CH323" s="348"/>
      <c r="CJ323" s="393">
        <f>+CJ317/CG317-1</f>
        <v>7.8720620742545266E-2</v>
      </c>
      <c r="CK323" s="393">
        <f>+CK317/CJ317-1</f>
        <v>0.15000836400133832</v>
      </c>
      <c r="CL323" s="348"/>
      <c r="CN323" s="393">
        <f>+CN317/CK317-1</f>
        <v>0.16731517509727634</v>
      </c>
      <c r="CO323" s="393">
        <f>+CO317/CN317-1</f>
        <v>5.4236760124610539E-2</v>
      </c>
      <c r="CP323" s="348"/>
      <c r="CR323" s="393">
        <f>+CR317/CO317-1</f>
        <v>8.0080375875417387E-2</v>
      </c>
      <c r="CS323" s="393">
        <f>+CS317/CR317-1</f>
        <v>-6.4622034964843644E-2</v>
      </c>
      <c r="CT323" s="348"/>
      <c r="CV323" s="393">
        <f>+CV317/CS317-1</f>
        <v>-3.1618356781420887E-2</v>
      </c>
      <c r="CW323" s="393">
        <f>+CW317/CV317-1</f>
        <v>-7.7201884740848103E-2</v>
      </c>
      <c r="CX323" s="348"/>
      <c r="CZ323" s="393">
        <f>+CZ317/CW317-1</f>
        <v>1.073579471065722E-2</v>
      </c>
      <c r="DA323" s="393">
        <f>+DA317/CZ317-1</f>
        <v>-9.9093264248704127E-3</v>
      </c>
      <c r="DB323" s="348"/>
      <c r="DD323" s="393">
        <f>+DD317/DA317-1</f>
        <v>1.0793484660169828E-3</v>
      </c>
      <c r="DE323" s="393">
        <f>+DE317/DD317-1</f>
        <v>5.9724899532786591E-2</v>
      </c>
      <c r="DF323" s="348"/>
      <c r="DH323" s="393">
        <f>+DH317/DE317-1</f>
        <v>-2.7901957761677254E-2</v>
      </c>
      <c r="DI323" s="393">
        <f>+DI317/DH317-1</f>
        <v>1.0410256410256613E-2</v>
      </c>
      <c r="DJ323" s="348"/>
      <c r="DL323" s="393">
        <f>+DL317/DI317-1</f>
        <v>2.0000000000000018E-2</v>
      </c>
      <c r="DM323" s="393">
        <f>+DM317/DL317-1</f>
        <v>2.0000000000000018E-2</v>
      </c>
      <c r="DN323" s="348"/>
      <c r="DP323" s="393">
        <f>+DP317/DM317-1</f>
        <v>2.000000000000024E-2</v>
      </c>
      <c r="DQ323" s="393">
        <f>+DQ317/DP317-1</f>
        <v>2.0000000000000018E-2</v>
      </c>
      <c r="DR323" s="348"/>
      <c r="DT323" s="1"/>
      <c r="DU323" s="1"/>
      <c r="DV323" s="1"/>
      <c r="DW323" s="1"/>
      <c r="DX323" s="1"/>
      <c r="DY323" s="1"/>
      <c r="DZ323" s="1"/>
      <c r="EA323" s="1"/>
      <c r="EB323" s="1"/>
      <c r="EC323" s="1"/>
      <c r="ED323" s="1"/>
      <c r="EE323" s="1"/>
      <c r="EF323" s="1"/>
      <c r="EG323" s="1"/>
      <c r="EH323" s="1"/>
      <c r="EI323" s="1"/>
      <c r="EJ323" s="1"/>
      <c r="EK323" s="1"/>
      <c r="EL323" s="1"/>
      <c r="EM323" s="1"/>
      <c r="EN323" s="1"/>
      <c r="EO323" s="1"/>
      <c r="EP323" s="1"/>
      <c r="EQ323" s="1"/>
      <c r="ER323" s="1"/>
      <c r="ES323" s="1"/>
      <c r="ET323" s="1"/>
      <c r="EU323" s="1"/>
      <c r="EV323" s="1"/>
      <c r="EW323" s="1"/>
      <c r="EX323" s="1"/>
      <c r="EY323" s="1"/>
      <c r="EZ323" s="1"/>
      <c r="FA323" s="1"/>
      <c r="FB323" s="1"/>
      <c r="FC323" s="1"/>
      <c r="FD323" s="1"/>
      <c r="FE323" s="1"/>
      <c r="FF323" s="1"/>
      <c r="FG323" s="1"/>
      <c r="FH323" s="1"/>
      <c r="FI323" s="1"/>
      <c r="FJ323" s="1"/>
      <c r="FK323" s="1"/>
      <c r="FL323" s="1"/>
      <c r="FM323" s="1"/>
      <c r="FN323" s="1"/>
      <c r="FO323" s="1"/>
      <c r="FP323" s="1"/>
      <c r="FQ323" s="1"/>
      <c r="FR323" s="1"/>
      <c r="FS323" s="1"/>
      <c r="FT323" s="1"/>
      <c r="FU323" s="1"/>
      <c r="FV323" s="1"/>
      <c r="FW323" s="1"/>
      <c r="FX323" s="1"/>
      <c r="FY323" s="1"/>
      <c r="FZ323" s="1"/>
      <c r="GA323" s="1"/>
      <c r="GB323" s="1"/>
      <c r="GC323" s="1"/>
      <c r="GD323" s="1"/>
      <c r="GE323" s="1"/>
      <c r="GF323" s="1"/>
      <c r="GG323" s="1"/>
      <c r="GH323" s="1"/>
      <c r="GI323" s="1"/>
      <c r="GJ323" s="1"/>
      <c r="GK323" s="1"/>
      <c r="GL323" s="1"/>
      <c r="GM323" s="1"/>
      <c r="GN323" s="1"/>
      <c r="GO323" s="1"/>
      <c r="GP323" s="1"/>
      <c r="GQ323" s="1"/>
      <c r="GR323" s="1"/>
      <c r="GS323" s="1"/>
      <c r="GT323" s="1"/>
      <c r="GU323" s="1"/>
      <c r="GV323" s="1"/>
      <c r="GW323" s="1"/>
      <c r="GX323" s="1"/>
      <c r="GY323" s="1"/>
      <c r="GZ323" s="1"/>
      <c r="HA323" s="1"/>
      <c r="HB323" s="1"/>
      <c r="HC323" s="1"/>
      <c r="HD323" s="1"/>
      <c r="HE323" s="1"/>
      <c r="HF323" s="1"/>
      <c r="HG323" s="1"/>
      <c r="HH323" s="1"/>
      <c r="HI323" s="1"/>
      <c r="HJ323" s="1"/>
      <c r="HK323" s="1"/>
      <c r="HL323" s="1"/>
      <c r="HM323" s="1"/>
      <c r="HN323" s="1"/>
      <c r="HO323" s="1"/>
      <c r="HP323" s="1"/>
      <c r="HQ323" s="1"/>
      <c r="HR323" s="1"/>
      <c r="HS323" s="1"/>
      <c r="HT323" s="1"/>
      <c r="HU323" s="1"/>
      <c r="HV323" s="1"/>
      <c r="HW323" s="1"/>
      <c r="HX323" s="1"/>
      <c r="HY323" s="1"/>
      <c r="HZ323" s="1"/>
      <c r="IA323" s="1"/>
      <c r="IB323" s="1"/>
      <c r="IC323" s="1"/>
      <c r="ID323" s="1"/>
      <c r="IE323" s="1"/>
      <c r="IF323" s="1"/>
      <c r="IG323" s="1"/>
      <c r="IH323" s="1"/>
      <c r="II323" s="1"/>
      <c r="IJ323" s="1"/>
      <c r="IK323" s="1"/>
      <c r="IL323" s="1"/>
      <c r="IM323" s="1"/>
      <c r="IN323" s="1"/>
      <c r="IO323" s="1"/>
      <c r="IP323" s="1"/>
      <c r="IQ323" s="1"/>
      <c r="IR323" s="1"/>
      <c r="IS323" s="1"/>
      <c r="IT323" s="1"/>
      <c r="IU323" s="1"/>
      <c r="IV323" s="1"/>
      <c r="IW323" s="1"/>
      <c r="IX323" s="1"/>
      <c r="IY323" s="1"/>
      <c r="IZ323" s="1"/>
      <c r="JA323" s="1"/>
      <c r="JB323" s="1"/>
      <c r="JC323" s="1"/>
      <c r="JD323" s="1"/>
    </row>
    <row r="324" spans="1:264" s="347" customFormat="1" x14ac:dyDescent="0.2">
      <c r="A324" s="424" t="str">
        <f>+A318</f>
        <v>Total Deposits</v>
      </c>
      <c r="B324" s="348" t="s">
        <v>140</v>
      </c>
      <c r="BH324" s="398"/>
      <c r="BI324" s="428">
        <f>+BI318/BH318-1</f>
        <v>9.2840383029995532E-2</v>
      </c>
      <c r="BJ324" s="348"/>
      <c r="BK324" s="348"/>
      <c r="BL324" s="428">
        <f>+BL318/BI318-1</f>
        <v>0.15200487436894328</v>
      </c>
      <c r="BM324" s="428">
        <f>+BM318/BL318-1</f>
        <v>3.0600680015111514E-2</v>
      </c>
      <c r="BN324" s="348"/>
      <c r="BO324" s="348"/>
      <c r="BP324" s="428">
        <f>+BP318/BM318-1</f>
        <v>0.10290811339198447</v>
      </c>
      <c r="BQ324" s="428">
        <f>+BQ318/BP318-1</f>
        <v>1.544392989297827E-2</v>
      </c>
      <c r="BR324" s="348"/>
      <c r="BT324" s="428">
        <f>+BT318/BQ318-1</f>
        <v>8.7828401850397197E-2</v>
      </c>
      <c r="BU324" s="428">
        <f>+BU318/BT318-1</f>
        <v>4.1782841554169226E-2</v>
      </c>
      <c r="BV324" s="348"/>
      <c r="BX324" s="428">
        <f>+BX318/BU318-1</f>
        <v>3.8720733210104719E-2</v>
      </c>
      <c r="BY324" s="428">
        <f>+BY318/BX318-1</f>
        <v>2.2892839268170651E-2</v>
      </c>
      <c r="BZ324" s="348"/>
      <c r="CB324" s="428">
        <f>+CB318/BY318-1</f>
        <v>-1.7940632815048874E-3</v>
      </c>
      <c r="CC324" s="428">
        <f>+CC318/CB318-1</f>
        <v>3.4184775702122305E-2</v>
      </c>
      <c r="CD324" s="348"/>
      <c r="CF324" s="428">
        <f>+CF318/CC318-1</f>
        <v>9.4968928834743505E-2</v>
      </c>
      <c r="CG324" s="428">
        <f>+CG318/CF318-1</f>
        <v>1.3514813389765346E-2</v>
      </c>
      <c r="CH324" s="348"/>
      <c r="CJ324" s="428">
        <f>+CJ318/CG318-1</f>
        <v>4.3531216881000923E-2</v>
      </c>
      <c r="CK324" s="428">
        <f>+CK318/CJ318-1</f>
        <v>5.4433008443103725E-2</v>
      </c>
      <c r="CL324" s="348"/>
      <c r="CN324" s="428">
        <f>+CN318/CK318-1</f>
        <v>2.8880710732871462E-2</v>
      </c>
      <c r="CO324" s="428">
        <f>+CO318/CN318-1</f>
        <v>4.9601095415741092E-3</v>
      </c>
      <c r="CP324" s="348"/>
      <c r="CR324" s="428">
        <f>+CR318/CO318-1</f>
        <v>6.0047826933236959E-2</v>
      </c>
      <c r="CS324" s="428">
        <f>+CS318/CR318-1</f>
        <v>-4.7163748442520803E-2</v>
      </c>
      <c r="CT324" s="348"/>
      <c r="CV324" s="428">
        <f>+CV318/CS318-1</f>
        <v>6.517639609629855E-2</v>
      </c>
      <c r="CW324" s="428">
        <f>+CW318/CV318-1</f>
        <v>1.7445466763155171E-3</v>
      </c>
      <c r="CX324" s="348"/>
      <c r="CZ324" s="428">
        <f>+CZ318/CW318-1</f>
        <v>3.5797675408609564E-2</v>
      </c>
      <c r="DA324" s="428">
        <f>+DA318/CZ318-1</f>
        <v>-3.6117269036292088E-3</v>
      </c>
      <c r="DB324" s="348"/>
      <c r="DD324" s="428">
        <f>+DD318/DA318-1</f>
        <v>2.8111094445277818E-2</v>
      </c>
      <c r="DE324" s="428">
        <f>+DE318/DD318-1</f>
        <v>4.0107959588100206E-2</v>
      </c>
      <c r="DF324" s="348"/>
      <c r="DH324" s="428">
        <f>+DH318/DE318-1</f>
        <v>-4.7304563306526992E-2</v>
      </c>
      <c r="DI324" s="428">
        <f>+DI318/DH318-1</f>
        <v>1.049120094881717E-2</v>
      </c>
      <c r="DJ324" s="348"/>
      <c r="DL324" s="428">
        <f>+DL318/DI318-1</f>
        <v>2.0101366028335343E-2</v>
      </c>
      <c r="DM324" s="428">
        <f>+DM318/DL318-1</f>
        <v>2.0120543766680932E-2</v>
      </c>
      <c r="DN324" s="348"/>
      <c r="DP324" s="428">
        <f>+DP318/DM318-1</f>
        <v>2.0139259443465063E-2</v>
      </c>
      <c r="DQ324" s="428">
        <f>+DQ318/DP318-1</f>
        <v>2.0157526168269824E-2</v>
      </c>
      <c r="DR324" s="348"/>
      <c r="DT324" s="1"/>
      <c r="DU324" s="1"/>
      <c r="DV324" s="1"/>
      <c r="DW324" s="1"/>
      <c r="DX324" s="1"/>
      <c r="DY324" s="1"/>
      <c r="DZ324" s="1"/>
      <c r="EA324" s="1"/>
      <c r="EB324" s="1"/>
      <c r="EC324" s="1"/>
      <c r="ED324" s="1"/>
      <c r="EE324" s="1"/>
      <c r="EF324" s="1"/>
      <c r="EG324" s="1"/>
      <c r="EH324" s="1"/>
      <c r="EI324" s="1"/>
      <c r="EJ324" s="1"/>
      <c r="EK324" s="1"/>
      <c r="EL324" s="1"/>
      <c r="EM324" s="1"/>
      <c r="EN324" s="1"/>
      <c r="EO324" s="1"/>
      <c r="EP324" s="1"/>
      <c r="EQ324" s="1"/>
      <c r="ER324" s="1"/>
      <c r="ES324" s="1"/>
      <c r="ET324" s="1"/>
      <c r="EU324" s="1"/>
      <c r="EV324" s="1"/>
      <c r="EW324" s="1"/>
      <c r="EX324" s="1"/>
      <c r="EY324" s="1"/>
      <c r="EZ324" s="1"/>
      <c r="FA324" s="1"/>
      <c r="FB324" s="1"/>
      <c r="FC324" s="1"/>
      <c r="FD324" s="1"/>
      <c r="FE324" s="1"/>
      <c r="FF324" s="1"/>
      <c r="FG324" s="1"/>
      <c r="FH324" s="1"/>
      <c r="FI324" s="1"/>
      <c r="FJ324" s="1"/>
      <c r="FK324" s="1"/>
      <c r="FL324" s="1"/>
      <c r="FM324" s="1"/>
      <c r="FN324" s="1"/>
      <c r="FO324" s="1"/>
      <c r="FP324" s="1"/>
      <c r="FQ324" s="1"/>
      <c r="FR324" s="1"/>
      <c r="FS324" s="1"/>
      <c r="FT324" s="1"/>
      <c r="FU324" s="1"/>
      <c r="FV324" s="1"/>
      <c r="FW324" s="1"/>
      <c r="FX324" s="1"/>
      <c r="FY324" s="1"/>
      <c r="FZ324" s="1"/>
      <c r="GA324" s="1"/>
      <c r="GB324" s="1"/>
      <c r="GC324" s="1"/>
      <c r="GD324" s="1"/>
      <c r="GE324" s="1"/>
      <c r="GF324" s="1"/>
      <c r="GG324" s="1"/>
      <c r="GH324" s="1"/>
      <c r="GI324" s="1"/>
      <c r="GJ324" s="1"/>
      <c r="GK324" s="1"/>
      <c r="GL324" s="1"/>
      <c r="GM324" s="1"/>
      <c r="GN324" s="1"/>
      <c r="GO324" s="1"/>
      <c r="GP324" s="1"/>
      <c r="GQ324" s="1"/>
      <c r="GR324" s="1"/>
      <c r="GS324" s="1"/>
      <c r="GT324" s="1"/>
      <c r="GU324" s="1"/>
      <c r="GV324" s="1"/>
      <c r="GW324" s="1"/>
      <c r="GX324" s="1"/>
      <c r="GY324" s="1"/>
      <c r="GZ324" s="1"/>
      <c r="HA324" s="1"/>
      <c r="HB324" s="1"/>
      <c r="HC324" s="1"/>
      <c r="HD324" s="1"/>
      <c r="HE324" s="1"/>
      <c r="HF324" s="1"/>
      <c r="HG324" s="1"/>
      <c r="HH324" s="1"/>
      <c r="HI324" s="1"/>
      <c r="HJ324" s="1"/>
      <c r="HK324" s="1"/>
      <c r="HL324" s="1"/>
      <c r="HM324" s="1"/>
      <c r="HN324" s="1"/>
      <c r="HO324" s="1"/>
      <c r="HP324" s="1"/>
      <c r="HQ324" s="1"/>
      <c r="HR324" s="1"/>
      <c r="HS324" s="1"/>
      <c r="HT324" s="1"/>
      <c r="HU324" s="1"/>
      <c r="HV324" s="1"/>
      <c r="HW324" s="1"/>
      <c r="HX324" s="1"/>
      <c r="HY324" s="1"/>
      <c r="HZ324" s="1"/>
      <c r="IA324" s="1"/>
      <c r="IB324" s="1"/>
      <c r="IC324" s="1"/>
      <c r="ID324" s="1"/>
      <c r="IE324" s="1"/>
      <c r="IF324" s="1"/>
      <c r="IG324" s="1"/>
      <c r="IH324" s="1"/>
      <c r="II324" s="1"/>
      <c r="IJ324" s="1"/>
      <c r="IK324" s="1"/>
      <c r="IL324" s="1"/>
      <c r="IM324" s="1"/>
      <c r="IN324" s="1"/>
      <c r="IO324" s="1"/>
      <c r="IP324" s="1"/>
      <c r="IQ324" s="1"/>
      <c r="IR324" s="1"/>
      <c r="IS324" s="1"/>
      <c r="IT324" s="1"/>
      <c r="IU324" s="1"/>
      <c r="IV324" s="1"/>
      <c r="IW324" s="1"/>
      <c r="IX324" s="1"/>
      <c r="IY324" s="1"/>
      <c r="IZ324" s="1"/>
      <c r="JA324" s="1"/>
      <c r="JB324" s="1"/>
      <c r="JC324" s="1"/>
      <c r="JD324" s="1"/>
    </row>
    <row r="325" spans="1:264" s="429" customFormat="1" x14ac:dyDescent="0.2">
      <c r="A325" s="429" t="s">
        <v>281</v>
      </c>
      <c r="B325" s="408"/>
      <c r="BH325" s="442">
        <f>BH151</f>
        <v>1.2609999999999999</v>
      </c>
      <c r="BI325" s="442">
        <f>BI151</f>
        <v>1.1859999999999999</v>
      </c>
      <c r="BJ325" s="408"/>
      <c r="BK325" s="408"/>
      <c r="BL325" s="442">
        <f>BL151</f>
        <v>1.0867</v>
      </c>
      <c r="BM325" s="442">
        <f>BM151</f>
        <v>1.0762</v>
      </c>
      <c r="BN325" s="408"/>
      <c r="BO325" s="408"/>
      <c r="BP325" s="442">
        <f>BP151</f>
        <v>1.0449999999999999</v>
      </c>
      <c r="BQ325" s="442">
        <f>BQ151</f>
        <v>1.0762</v>
      </c>
      <c r="BR325" s="408"/>
      <c r="BT325" s="442">
        <f>BT151</f>
        <v>1.0660000000000001</v>
      </c>
      <c r="BU325" s="442">
        <f>BU151</f>
        <v>1.0469999999999999</v>
      </c>
      <c r="BV325" s="408"/>
      <c r="BX325" s="442">
        <f>BX151</f>
        <v>1.0392999999999999</v>
      </c>
      <c r="BY325" s="442">
        <f>BY151</f>
        <v>1.0492999999999999</v>
      </c>
      <c r="BZ325" s="408"/>
      <c r="CB325" s="442">
        <f>CB151</f>
        <v>1.0983000000000001</v>
      </c>
      <c r="CC325" s="442">
        <f>CC151</f>
        <v>1.0909</v>
      </c>
      <c r="CD325" s="408"/>
      <c r="CF325" s="442">
        <f>CF151</f>
        <v>1.0515000000000001</v>
      </c>
      <c r="CG325" s="442">
        <f>CG151</f>
        <v>1.046</v>
      </c>
      <c r="CH325" s="408"/>
      <c r="CJ325" s="442">
        <f>CJ151</f>
        <v>1.0408999999999999</v>
      </c>
      <c r="CK325" s="442">
        <f>CK151</f>
        <v>1.0705</v>
      </c>
      <c r="CL325" s="408"/>
      <c r="CN325" s="442">
        <f>CN151</f>
        <v>1.0667</v>
      </c>
      <c r="CO325" s="442">
        <f>CO151</f>
        <v>1.0740000000000001</v>
      </c>
      <c r="CP325" s="408"/>
      <c r="CR325" s="442">
        <f>CR151</f>
        <v>1.0628</v>
      </c>
      <c r="CS325" s="442">
        <f>CS151</f>
        <v>1.1073</v>
      </c>
      <c r="CT325" s="408"/>
      <c r="CV325" s="442">
        <f>CV151</f>
        <v>1.0713999999999999</v>
      </c>
      <c r="CW325" s="442">
        <f>CW151</f>
        <v>1.0887</v>
      </c>
      <c r="CX325" s="408"/>
      <c r="CZ325" s="442">
        <f>CZ151</f>
        <v>1.0764</v>
      </c>
      <c r="DA325" s="442">
        <f>DA151</f>
        <v>1.0929</v>
      </c>
      <c r="DB325" s="408"/>
      <c r="DD325" s="442">
        <f>DD151</f>
        <v>1.1042000000000001</v>
      </c>
      <c r="DE325" s="442">
        <f>DE151</f>
        <v>1.0766</v>
      </c>
      <c r="DF325" s="408"/>
      <c r="DH325" s="442">
        <f>DH151</f>
        <v>1.159</v>
      </c>
      <c r="DI325" s="442">
        <f>DI151</f>
        <v>1.17</v>
      </c>
      <c r="DJ325" s="408"/>
      <c r="DL325" s="442">
        <f>DL151</f>
        <v>1.17</v>
      </c>
      <c r="DM325" s="442">
        <f>DM151</f>
        <v>1.17</v>
      </c>
      <c r="DN325" s="408"/>
      <c r="DP325" s="442">
        <f>DP151</f>
        <v>1.17</v>
      </c>
      <c r="DQ325" s="442">
        <f>DQ151</f>
        <v>1.17</v>
      </c>
      <c r="DR325" s="408"/>
      <c r="DT325" s="1"/>
      <c r="DU325" s="1"/>
      <c r="DV325" s="1"/>
      <c r="DW325" s="1"/>
      <c r="DX325" s="1"/>
      <c r="DY325" s="1"/>
      <c r="DZ325" s="1"/>
      <c r="EA325" s="1"/>
      <c r="EB325" s="1"/>
      <c r="EC325" s="1"/>
      <c r="ED325" s="1"/>
      <c r="EE325" s="1"/>
      <c r="EF325" s="1"/>
      <c r="EG325" s="1"/>
      <c r="EH325" s="1"/>
      <c r="EI325" s="1"/>
      <c r="EJ325" s="1"/>
      <c r="EK325" s="1"/>
      <c r="EL325" s="1"/>
      <c r="EM325" s="1"/>
      <c r="EN325" s="1"/>
      <c r="EO325" s="1"/>
      <c r="EP325" s="1"/>
      <c r="EQ325" s="1"/>
      <c r="ER325" s="1"/>
      <c r="ES325" s="1"/>
      <c r="ET325" s="1"/>
      <c r="EU325" s="1"/>
      <c r="EV325" s="1"/>
      <c r="EW325" s="1"/>
      <c r="EX325" s="1"/>
      <c r="EY325" s="1"/>
      <c r="EZ325" s="1"/>
      <c r="FA325" s="1"/>
      <c r="FB325" s="1"/>
      <c r="FC325" s="1"/>
      <c r="FD325" s="1"/>
      <c r="FE325" s="1"/>
      <c r="FF325" s="1"/>
      <c r="FG325" s="1"/>
      <c r="FH325" s="1"/>
      <c r="FI325" s="1"/>
      <c r="FJ325" s="1"/>
      <c r="FK325" s="1"/>
      <c r="FL325" s="1"/>
      <c r="FM325" s="1"/>
      <c r="FN325" s="1"/>
      <c r="FO325" s="1"/>
      <c r="FP325" s="1"/>
      <c r="FQ325" s="1"/>
      <c r="FR325" s="1"/>
      <c r="FS325" s="1"/>
      <c r="FT325" s="1"/>
      <c r="FU325" s="1"/>
      <c r="FV325" s="1"/>
      <c r="FW325" s="1"/>
      <c r="FX325" s="1"/>
      <c r="FY325" s="1"/>
      <c r="FZ325" s="1"/>
      <c r="GA325" s="1"/>
      <c r="GB325" s="1"/>
      <c r="GC325" s="1"/>
      <c r="GD325" s="1"/>
      <c r="GE325" s="1"/>
      <c r="GF325" s="1"/>
      <c r="GG325" s="1"/>
      <c r="GH325" s="1"/>
      <c r="GI325" s="1"/>
      <c r="GJ325" s="1"/>
      <c r="GK325" s="1"/>
      <c r="GL325" s="1"/>
      <c r="GM325" s="1"/>
      <c r="GN325" s="1"/>
      <c r="GO325" s="1"/>
      <c r="GP325" s="1"/>
      <c r="GQ325" s="1"/>
      <c r="GR325" s="1"/>
      <c r="GS325" s="1"/>
      <c r="GT325" s="1"/>
      <c r="GU325" s="1"/>
      <c r="GV325" s="1"/>
      <c r="GW325" s="1"/>
      <c r="GX325" s="1"/>
      <c r="GY325" s="1"/>
      <c r="GZ325" s="1"/>
      <c r="HA325" s="1"/>
      <c r="HB325" s="1"/>
      <c r="HC325" s="1"/>
      <c r="HD325" s="1"/>
      <c r="HE325" s="1"/>
      <c r="HF325" s="1"/>
      <c r="HG325" s="1"/>
      <c r="HH325" s="1"/>
      <c r="HI325" s="1"/>
      <c r="HJ325" s="1"/>
      <c r="HK325" s="1"/>
      <c r="HL325" s="1"/>
      <c r="HM325" s="1"/>
      <c r="HN325" s="1"/>
      <c r="HO325" s="1"/>
      <c r="HP325" s="1"/>
      <c r="HQ325" s="1"/>
      <c r="HR325" s="1"/>
      <c r="HS325" s="1"/>
      <c r="HT325" s="1"/>
      <c r="HU325" s="1"/>
      <c r="HV325" s="1"/>
      <c r="HW325" s="1"/>
      <c r="HX325" s="1"/>
      <c r="HY325" s="1"/>
      <c r="HZ325" s="1"/>
      <c r="IA325" s="1"/>
      <c r="IB325" s="1"/>
      <c r="IC325" s="1"/>
      <c r="ID325" s="1"/>
      <c r="IE325" s="1"/>
      <c r="IF325" s="1"/>
      <c r="IG325" s="1"/>
      <c r="IH325" s="1"/>
      <c r="II325" s="1"/>
      <c r="IJ325" s="1"/>
      <c r="IK325" s="1"/>
      <c r="IL325" s="1"/>
      <c r="IM325" s="1"/>
      <c r="IN325" s="1"/>
      <c r="IO325" s="1"/>
      <c r="IP325" s="1"/>
      <c r="IQ325" s="1"/>
      <c r="IR325" s="1"/>
      <c r="IS325" s="1"/>
      <c r="IT325" s="1"/>
      <c r="IU325" s="1"/>
      <c r="IV325" s="1"/>
      <c r="IW325" s="1"/>
      <c r="IX325" s="1"/>
      <c r="IY325" s="1"/>
      <c r="IZ325" s="1"/>
      <c r="JA325" s="1"/>
      <c r="JB325" s="1"/>
      <c r="JC325" s="1"/>
      <c r="JD325" s="1"/>
    </row>
    <row r="326" spans="1:264" s="347" customFormat="1" x14ac:dyDescent="0.2">
      <c r="A326" s="411" t="s">
        <v>280</v>
      </c>
      <c r="B326" s="348"/>
      <c r="BH326" s="398"/>
      <c r="BI326" s="348"/>
      <c r="BJ326" s="348"/>
      <c r="BK326" s="348"/>
      <c r="BL326" s="398"/>
      <c r="BM326" s="348"/>
      <c r="BN326" s="348"/>
      <c r="BO326" s="348"/>
      <c r="BP326" s="398"/>
      <c r="BQ326" s="348"/>
      <c r="BR326" s="348"/>
      <c r="BT326" s="398"/>
      <c r="BU326" s="348"/>
      <c r="BV326" s="348"/>
      <c r="BX326" s="398"/>
      <c r="BY326" s="348"/>
      <c r="BZ326" s="348"/>
      <c r="CB326" s="398"/>
      <c r="CC326" s="348"/>
      <c r="CD326" s="348"/>
      <c r="CF326" s="398"/>
      <c r="CG326" s="348"/>
      <c r="CH326" s="348"/>
      <c r="CJ326" s="398"/>
      <c r="CK326" s="348"/>
      <c r="CL326" s="348"/>
      <c r="CN326" s="398"/>
      <c r="CO326" s="348"/>
      <c r="CP326" s="348"/>
      <c r="CR326" s="398"/>
      <c r="CS326" s="348"/>
      <c r="CT326" s="348"/>
      <c r="CV326" s="398"/>
      <c r="CW326" s="348"/>
      <c r="CX326" s="348"/>
      <c r="CZ326" s="398"/>
      <c r="DA326" s="348"/>
      <c r="DB326" s="348"/>
      <c r="DD326" s="398"/>
      <c r="DE326" s="348"/>
      <c r="DF326" s="348"/>
      <c r="DH326" s="398"/>
      <c r="DI326" s="348"/>
      <c r="DJ326" s="348"/>
      <c r="DL326" s="348"/>
      <c r="DM326" s="348"/>
      <c r="DN326" s="348"/>
      <c r="DP326" s="348"/>
      <c r="DQ326" s="348"/>
      <c r="DR326" s="348"/>
      <c r="DT326" s="1"/>
      <c r="DU326" s="1"/>
      <c r="DV326" s="1"/>
      <c r="DW326" s="1"/>
      <c r="DX326" s="1"/>
      <c r="DY326" s="1"/>
      <c r="DZ326" s="1"/>
      <c r="EA326" s="1"/>
      <c r="EB326" s="1"/>
      <c r="EC326" s="1"/>
      <c r="ED326" s="1"/>
      <c r="EE326" s="1"/>
      <c r="EF326" s="1"/>
      <c r="EG326" s="1"/>
      <c r="EH326" s="1"/>
      <c r="EI326" s="1"/>
      <c r="EJ326" s="1"/>
      <c r="EK326" s="1"/>
      <c r="EL326" s="1"/>
      <c r="EM326" s="1"/>
      <c r="EN326" s="1"/>
      <c r="EO326" s="1"/>
      <c r="EP326" s="1"/>
      <c r="EQ326" s="1"/>
      <c r="ER326" s="1"/>
      <c r="ES326" s="1"/>
      <c r="ET326" s="1"/>
      <c r="EU326" s="1"/>
      <c r="EV326" s="1"/>
      <c r="EW326" s="1"/>
      <c r="EX326" s="1"/>
      <c r="EY326" s="1"/>
      <c r="EZ326" s="1"/>
      <c r="FA326" s="1"/>
      <c r="FB326" s="1"/>
      <c r="FC326" s="1"/>
      <c r="FD326" s="1"/>
      <c r="FE326" s="1"/>
      <c r="FF326" s="1"/>
      <c r="FG326" s="1"/>
      <c r="FH326" s="1"/>
      <c r="FI326" s="1"/>
      <c r="FJ326" s="1"/>
      <c r="FK326" s="1"/>
      <c r="FL326" s="1"/>
      <c r="FM326" s="1"/>
      <c r="FN326" s="1"/>
      <c r="FO326" s="1"/>
      <c r="FP326" s="1"/>
      <c r="FQ326" s="1"/>
      <c r="FR326" s="1"/>
      <c r="FS326" s="1"/>
      <c r="FT326" s="1"/>
      <c r="FU326" s="1"/>
      <c r="FV326" s="1"/>
      <c r="FW326" s="1"/>
      <c r="FX326" s="1"/>
      <c r="FY326" s="1"/>
      <c r="FZ326" s="1"/>
      <c r="GA326" s="1"/>
      <c r="GB326" s="1"/>
      <c r="GC326" s="1"/>
      <c r="GD326" s="1"/>
      <c r="GE326" s="1"/>
      <c r="GF326" s="1"/>
      <c r="GG326" s="1"/>
      <c r="GH326" s="1"/>
      <c r="GI326" s="1"/>
      <c r="GJ326" s="1"/>
      <c r="GK326" s="1"/>
      <c r="GL326" s="1"/>
      <c r="GM326" s="1"/>
      <c r="GN326" s="1"/>
      <c r="GO326" s="1"/>
      <c r="GP326" s="1"/>
      <c r="GQ326" s="1"/>
      <c r="GR326" s="1"/>
      <c r="GS326" s="1"/>
      <c r="GT326" s="1"/>
      <c r="GU326" s="1"/>
      <c r="GV326" s="1"/>
      <c r="GW326" s="1"/>
      <c r="GX326" s="1"/>
      <c r="GY326" s="1"/>
      <c r="GZ326" s="1"/>
      <c r="HA326" s="1"/>
      <c r="HB326" s="1"/>
      <c r="HC326" s="1"/>
      <c r="HD326" s="1"/>
      <c r="HE326" s="1"/>
      <c r="HF326" s="1"/>
      <c r="HG326" s="1"/>
      <c r="HH326" s="1"/>
      <c r="HI326" s="1"/>
      <c r="HJ326" s="1"/>
      <c r="HK326" s="1"/>
      <c r="HL326" s="1"/>
      <c r="HM326" s="1"/>
      <c r="HN326" s="1"/>
      <c r="HO326" s="1"/>
      <c r="HP326" s="1"/>
      <c r="HQ326" s="1"/>
      <c r="HR326" s="1"/>
      <c r="HS326" s="1"/>
      <c r="HT326" s="1"/>
      <c r="HU326" s="1"/>
      <c r="HV326" s="1"/>
      <c r="HW326" s="1"/>
      <c r="HX326" s="1"/>
      <c r="HY326" s="1"/>
      <c r="HZ326" s="1"/>
      <c r="IA326" s="1"/>
      <c r="IB326" s="1"/>
      <c r="IC326" s="1"/>
      <c r="ID326" s="1"/>
      <c r="IE326" s="1"/>
      <c r="IF326" s="1"/>
      <c r="IG326" s="1"/>
      <c r="IH326" s="1"/>
      <c r="II326" s="1"/>
      <c r="IJ326" s="1"/>
      <c r="IK326" s="1"/>
      <c r="IL326" s="1"/>
      <c r="IM326" s="1"/>
      <c r="IN326" s="1"/>
      <c r="IO326" s="1"/>
      <c r="IP326" s="1"/>
      <c r="IQ326" s="1"/>
      <c r="IR326" s="1"/>
      <c r="IS326" s="1"/>
      <c r="IT326" s="1"/>
      <c r="IU326" s="1"/>
      <c r="IV326" s="1"/>
      <c r="IW326" s="1"/>
      <c r="IX326" s="1"/>
      <c r="IY326" s="1"/>
      <c r="IZ326" s="1"/>
      <c r="JA326" s="1"/>
      <c r="JB326" s="1"/>
      <c r="JC326" s="1"/>
      <c r="JD326" s="1"/>
    </row>
    <row r="327" spans="1:264" s="347" customFormat="1" x14ac:dyDescent="0.2">
      <c r="A327" s="347" t="str">
        <f>A312</f>
        <v>CoD</v>
      </c>
      <c r="B327" s="348" t="s">
        <v>282</v>
      </c>
      <c r="BH327" s="351">
        <f>+BH312*BH$325</f>
        <v>443.87199999999996</v>
      </c>
      <c r="BI327" s="351">
        <f>+BI312*BI$325</f>
        <v>96.066000000000003</v>
      </c>
      <c r="BJ327" s="351">
        <f>BI327</f>
        <v>96.066000000000003</v>
      </c>
      <c r="BK327" s="348"/>
      <c r="BL327" s="351">
        <f>+BL312*BL$325</f>
        <v>83.675899999999999</v>
      </c>
      <c r="BM327" s="351">
        <f>+BM312*BM$325</f>
        <v>227.07820000000001</v>
      </c>
      <c r="BN327" s="351">
        <f>BM327</f>
        <v>227.07820000000001</v>
      </c>
      <c r="BO327" s="348"/>
      <c r="BP327" s="351">
        <f>+BP312*BP$325</f>
        <v>793.15499999999997</v>
      </c>
      <c r="BQ327" s="351">
        <f>+BQ312*BQ$325</f>
        <v>2003.8844000000001</v>
      </c>
      <c r="BR327" s="351">
        <f>BQ327</f>
        <v>2003.8844000000001</v>
      </c>
      <c r="BT327" s="351">
        <f>+BT312*BT$325</f>
        <v>2355.86</v>
      </c>
      <c r="BU327" s="351">
        <f>+BU312*BU$325</f>
        <v>2909.6129999999998</v>
      </c>
      <c r="BV327" s="351">
        <f>BU327</f>
        <v>2909.6129999999998</v>
      </c>
      <c r="BX327" s="351">
        <f>+BX312*BX$325</f>
        <v>2620.0752999999995</v>
      </c>
      <c r="BY327" s="351">
        <f>+BY312*BY$325</f>
        <v>2527.7637</v>
      </c>
      <c r="BZ327" s="351">
        <f>BY327</f>
        <v>2527.7637</v>
      </c>
      <c r="CB327" s="351">
        <f>+CB312*CB$325</f>
        <v>2374.5246000000002</v>
      </c>
      <c r="CC327" s="351">
        <f>+CC312*CC$325</f>
        <v>2551.6151</v>
      </c>
      <c r="CD327" s="351">
        <f>CC327</f>
        <v>2551.6151</v>
      </c>
      <c r="CE327" s="393">
        <f>+CD327/BZ327-1</f>
        <v>9.4357712313062336E-3</v>
      </c>
      <c r="CF327" s="351">
        <f>+CF312*CF$325</f>
        <v>3627.6750000000002</v>
      </c>
      <c r="CG327" s="351">
        <f>+CG312*CG$325</f>
        <v>3377.5340000000001</v>
      </c>
      <c r="CH327" s="351">
        <f>CG327</f>
        <v>3377.5340000000001</v>
      </c>
      <c r="CI327" s="393">
        <f>+CH327/CD327-1</f>
        <v>0.32368475166963862</v>
      </c>
      <c r="CJ327" s="351">
        <f>+CJ312*CJ$325</f>
        <v>3367.3114999999998</v>
      </c>
      <c r="CK327" s="351">
        <f>+CK312*CK$325</f>
        <v>4022.9389999999999</v>
      </c>
      <c r="CL327" s="351">
        <f>CK327</f>
        <v>4022.9389999999999</v>
      </c>
      <c r="CN327" s="351">
        <f>+CN312*CN$325</f>
        <v>3721.7163</v>
      </c>
      <c r="CO327" s="351">
        <f>+CO312*CO$325</f>
        <v>3853.5120000000002</v>
      </c>
      <c r="CP327" s="351">
        <f>CO327</f>
        <v>3853.5120000000002</v>
      </c>
      <c r="CQ327" s="393">
        <f>+CP327/CL327-1</f>
        <v>-4.21152296865549E-2</v>
      </c>
      <c r="CR327" s="351">
        <f>+CR312*CR$325</f>
        <v>2879.1251999999999</v>
      </c>
      <c r="CS327" s="351">
        <f>+CS312*CS$325</f>
        <v>2885.6237999999998</v>
      </c>
      <c r="CT327" s="351">
        <f>CS327</f>
        <v>2885.6237999999998</v>
      </c>
      <c r="CU327" s="393">
        <f>+CT327/CP327-1</f>
        <v>-0.25117041285974984</v>
      </c>
      <c r="CV327" s="351">
        <f>+CV312*CV$325</f>
        <v>3666.3307999999997</v>
      </c>
      <c r="CW327" s="351">
        <f>+CW312*CW$325</f>
        <v>3698.3139000000001</v>
      </c>
      <c r="CX327" s="351">
        <f>CW327</f>
        <v>3698.3139000000001</v>
      </c>
      <c r="CY327" s="393">
        <f>+CX327/CT327-1</f>
        <v>0.28163411322016407</v>
      </c>
      <c r="CZ327" s="351">
        <f>+CZ312*CZ$325</f>
        <v>2271.2040000000002</v>
      </c>
      <c r="DA327" s="351">
        <f>+DA312*DA$325</f>
        <v>2547.5499</v>
      </c>
      <c r="DB327" s="351">
        <f>DA327</f>
        <v>2547.5499</v>
      </c>
      <c r="DC327" s="393">
        <f>+DB327/CX327-1</f>
        <v>-0.31115909333710157</v>
      </c>
      <c r="DD327" s="351">
        <f>+DD312*DD$325</f>
        <v>3022.1954000000001</v>
      </c>
      <c r="DE327" s="351">
        <f>+DE312*DE$325</f>
        <v>2547.2356</v>
      </c>
      <c r="DF327" s="351">
        <f>DE327</f>
        <v>2547.2356</v>
      </c>
      <c r="DG327" s="393">
        <f>+DF327/DB327-1</f>
        <v>-1.2337344206680978E-4</v>
      </c>
      <c r="DH327" s="351">
        <f>+DH312*DH$325</f>
        <v>1767.4750000000001</v>
      </c>
      <c r="DI327" s="351">
        <f>+DH327*(1+DI335)</f>
        <v>1749.8002500000002</v>
      </c>
      <c r="DJ327" s="351">
        <f>DI327</f>
        <v>1749.8002500000002</v>
      </c>
      <c r="DK327" s="393">
        <f>+DJ327/DF327-1</f>
        <v>-0.31305912574400252</v>
      </c>
      <c r="DL327" s="351">
        <f>+DI327*(1+DL335)</f>
        <v>1732.3022475000002</v>
      </c>
      <c r="DM327" s="351">
        <f>+DL327*(1+DM335)</f>
        <v>1714.9792250250002</v>
      </c>
      <c r="DN327" s="351">
        <f>DM327</f>
        <v>1714.9792250250002</v>
      </c>
      <c r="DO327" s="393">
        <f>+DN327/DJ327-1</f>
        <v>-1.9900000000000029E-2</v>
      </c>
      <c r="DP327" s="351">
        <f>+DM327*(1+DP335)</f>
        <v>1697.8294327747501</v>
      </c>
      <c r="DQ327" s="351">
        <f>+DP327*(1+DQ335)</f>
        <v>1680.8511384470025</v>
      </c>
      <c r="DR327" s="351">
        <f>DQ327</f>
        <v>1680.8511384470025</v>
      </c>
      <c r="DS327" s="393">
        <f>+DR327/DN327-1</f>
        <v>-1.990000000000014E-2</v>
      </c>
      <c r="DT327" s="1"/>
      <c r="DU327" s="1"/>
      <c r="DV327" s="1"/>
      <c r="DW327" s="1"/>
      <c r="DX327" s="1"/>
      <c r="DY327" s="1"/>
      <c r="DZ327" s="1"/>
      <c r="EA327" s="1"/>
      <c r="EB327" s="1"/>
      <c r="EC327" s="1"/>
      <c r="ED327" s="1"/>
      <c r="EE327" s="1"/>
      <c r="EF327" s="1"/>
      <c r="EG327" s="1"/>
      <c r="EH327" s="1"/>
      <c r="EI327" s="1"/>
      <c r="EJ327" s="1"/>
      <c r="EK327" s="1"/>
      <c r="EL327" s="1"/>
      <c r="EM327" s="1"/>
      <c r="EN327" s="1"/>
      <c r="EO327" s="1"/>
      <c r="EP327" s="1"/>
      <c r="EQ327" s="1"/>
      <c r="ER327" s="1"/>
      <c r="ES327" s="1"/>
      <c r="ET327" s="1"/>
      <c r="EU327" s="1"/>
      <c r="EV327" s="1"/>
      <c r="EW327" s="1"/>
      <c r="EX327" s="1"/>
      <c r="EY327" s="1"/>
      <c r="EZ327" s="1"/>
      <c r="FA327" s="1"/>
      <c r="FB327" s="1"/>
      <c r="FC327" s="1"/>
      <c r="FD327" s="1"/>
      <c r="FE327" s="1"/>
      <c r="FF327" s="1"/>
      <c r="FG327" s="1"/>
      <c r="FH327" s="1"/>
      <c r="FI327" s="1"/>
      <c r="FJ327" s="1"/>
      <c r="FK327" s="1"/>
      <c r="FL327" s="1"/>
      <c r="FM327" s="1"/>
      <c r="FN327" s="1"/>
      <c r="FO327" s="1"/>
      <c r="FP327" s="1"/>
      <c r="FQ327" s="1"/>
      <c r="FR327" s="1"/>
      <c r="FS327" s="1"/>
      <c r="FT327" s="1"/>
      <c r="FU327" s="1"/>
      <c r="FV327" s="1"/>
      <c r="FW327" s="1"/>
      <c r="FX327" s="1"/>
      <c r="FY327" s="1"/>
      <c r="FZ327" s="1"/>
      <c r="GA327" s="1"/>
      <c r="GB327" s="1"/>
      <c r="GC327" s="1"/>
      <c r="GD327" s="1"/>
      <c r="GE327" s="1"/>
      <c r="GF327" s="1"/>
      <c r="GG327" s="1"/>
      <c r="GH327" s="1"/>
      <c r="GI327" s="1"/>
      <c r="GJ327" s="1"/>
      <c r="GK327" s="1"/>
      <c r="GL327" s="1"/>
      <c r="GM327" s="1"/>
      <c r="GN327" s="1"/>
      <c r="GO327" s="1"/>
      <c r="GP327" s="1"/>
      <c r="GQ327" s="1"/>
      <c r="GR327" s="1"/>
      <c r="GS327" s="1"/>
      <c r="GT327" s="1"/>
      <c r="GU327" s="1"/>
      <c r="GV327" s="1"/>
      <c r="GW327" s="1"/>
      <c r="GX327" s="1"/>
      <c r="GY327" s="1"/>
      <c r="GZ327" s="1"/>
      <c r="HA327" s="1"/>
      <c r="HB327" s="1"/>
      <c r="HC327" s="1"/>
      <c r="HD327" s="1"/>
      <c r="HE327" s="1"/>
      <c r="HF327" s="1"/>
      <c r="HG327" s="1"/>
      <c r="HH327" s="1"/>
      <c r="HI327" s="1"/>
      <c r="HJ327" s="1"/>
      <c r="HK327" s="1"/>
      <c r="HL327" s="1"/>
      <c r="HM327" s="1"/>
      <c r="HN327" s="1"/>
      <c r="HO327" s="1"/>
      <c r="HP327" s="1"/>
      <c r="HQ327" s="1"/>
      <c r="HR327" s="1"/>
      <c r="HS327" s="1"/>
      <c r="HT327" s="1"/>
      <c r="HU327" s="1"/>
      <c r="HV327" s="1"/>
      <c r="HW327" s="1"/>
      <c r="HX327" s="1"/>
      <c r="HY327" s="1"/>
      <c r="HZ327" s="1"/>
      <c r="IA327" s="1"/>
      <c r="IB327" s="1"/>
      <c r="IC327" s="1"/>
      <c r="ID327" s="1"/>
      <c r="IE327" s="1"/>
      <c r="IF327" s="1"/>
      <c r="IG327" s="1"/>
      <c r="IH327" s="1"/>
      <c r="II327" s="1"/>
      <c r="IJ327" s="1"/>
      <c r="IK327" s="1"/>
      <c r="IL327" s="1"/>
      <c r="IM327" s="1"/>
      <c r="IN327" s="1"/>
      <c r="IO327" s="1"/>
      <c r="IP327" s="1"/>
      <c r="IQ327" s="1"/>
      <c r="IR327" s="1"/>
      <c r="IS327" s="1"/>
      <c r="IT327" s="1"/>
      <c r="IU327" s="1"/>
      <c r="IV327" s="1"/>
      <c r="IW327" s="1"/>
      <c r="IX327" s="1"/>
      <c r="IY327" s="1"/>
      <c r="IZ327" s="1"/>
      <c r="JA327" s="1"/>
      <c r="JB327" s="1"/>
      <c r="JC327" s="1"/>
      <c r="JD327" s="1"/>
    </row>
    <row r="328" spans="1:264" s="347" customFormat="1" x14ac:dyDescent="0.2">
      <c r="A328" s="347" t="str">
        <f>A313</f>
        <v>Term Deposits</v>
      </c>
      <c r="B328" s="348" t="s">
        <v>282</v>
      </c>
      <c r="BH328" s="351">
        <f>+BH313*BH$325</f>
        <v>22281.87</v>
      </c>
      <c r="BI328" s="351">
        <f>+BI313*BI$325</f>
        <v>22485.374</v>
      </c>
      <c r="BJ328" s="351">
        <f>BI328</f>
        <v>22485.374</v>
      </c>
      <c r="BK328" s="348"/>
      <c r="BL328" s="351">
        <f>+BL313*BL$325</f>
        <v>21522.093499999999</v>
      </c>
      <c r="BM328" s="351">
        <f>+BM313*BM$325</f>
        <v>21658.525000000001</v>
      </c>
      <c r="BN328" s="351">
        <f>BM328</f>
        <v>21658.525000000001</v>
      </c>
      <c r="BO328" s="348"/>
      <c r="BP328" s="351">
        <f>+BP313*BP$325</f>
        <v>23034.934999999998</v>
      </c>
      <c r="BQ328" s="351">
        <f>+BQ313*BQ$325</f>
        <v>23131.842800000002</v>
      </c>
      <c r="BR328" s="351">
        <f>BQ328</f>
        <v>23131.842800000002</v>
      </c>
      <c r="BT328" s="351">
        <f>+BT313*BT$325</f>
        <v>23125.804</v>
      </c>
      <c r="BU328" s="351">
        <f>+BU313*BU$325</f>
        <v>23096.82</v>
      </c>
      <c r="BV328" s="351">
        <f>BU328</f>
        <v>23096.82</v>
      </c>
      <c r="BX328" s="351">
        <f>+BX313*BX$325</f>
        <v>25525.207999999999</v>
      </c>
      <c r="BY328" s="351">
        <f>+BY313*BY$325</f>
        <v>28746.622799999997</v>
      </c>
      <c r="BZ328" s="351">
        <f>BY328</f>
        <v>28746.622799999997</v>
      </c>
      <c r="CB328" s="351">
        <f>+CB313*CB$325</f>
        <v>30663.437700000002</v>
      </c>
      <c r="CC328" s="351">
        <f>+CC313*CC$325</f>
        <v>32268.822</v>
      </c>
      <c r="CD328" s="351">
        <f>CC328</f>
        <v>32268.822</v>
      </c>
      <c r="CE328" s="393">
        <f>+CD328/BZ328-1</f>
        <v>0.12252566934575704</v>
      </c>
      <c r="CF328" s="351">
        <f>+CF313*CF$325</f>
        <v>33105.426000000007</v>
      </c>
      <c r="CG328" s="351">
        <f>+CG313*CG$325</f>
        <v>34033.702000000005</v>
      </c>
      <c r="CH328" s="351">
        <f>CG328</f>
        <v>34033.702000000005</v>
      </c>
      <c r="CI328" s="393">
        <f>+CH328/CD328-1</f>
        <v>5.4693040855349651E-2</v>
      </c>
      <c r="CJ328" s="351">
        <f>+CJ313*CJ$325</f>
        <v>33827.1682</v>
      </c>
      <c r="CK328" s="351">
        <f>+CK313*CK$325</f>
        <v>32882.548499999997</v>
      </c>
      <c r="CL328" s="351">
        <f>CK328</f>
        <v>32882.548499999997</v>
      </c>
      <c r="CN328" s="351">
        <f>+CN313*CN$325</f>
        <v>27912.338899999999</v>
      </c>
      <c r="CO328" s="351">
        <f>+CO313*CO$325</f>
        <v>25399.026000000002</v>
      </c>
      <c r="CP328" s="351">
        <f>CO328</f>
        <v>25399.026000000002</v>
      </c>
      <c r="CQ328" s="393">
        <f>+CP328/CL328-1</f>
        <v>-0.2275834094793473</v>
      </c>
      <c r="CR328" s="351">
        <f>+CR313*CR$325</f>
        <v>25401.982799999998</v>
      </c>
      <c r="CS328" s="351">
        <f>+CS313*CS$325</f>
        <v>26526.478799999997</v>
      </c>
      <c r="CT328" s="351">
        <f>CS328</f>
        <v>26526.478799999997</v>
      </c>
      <c r="CU328" s="393">
        <f>+CT328/CP328-1</f>
        <v>4.4389607695979993E-2</v>
      </c>
      <c r="CV328" s="351">
        <f>+CV313*CV$325</f>
        <v>31687.726399999996</v>
      </c>
      <c r="CW328" s="351">
        <f>+CW313*CW$325</f>
        <v>36945.034500000002</v>
      </c>
      <c r="CX328" s="351">
        <f>CW328</f>
        <v>36945.034500000002</v>
      </c>
      <c r="CY328" s="393">
        <f>+CX328/CT328-1</f>
        <v>0.39276059889260551</v>
      </c>
      <c r="CZ328" s="351">
        <f>+CZ313*CZ$325</f>
        <v>40521.078000000001</v>
      </c>
      <c r="DA328" s="351">
        <f>+DA313*DA$325</f>
        <v>41844.955199999997</v>
      </c>
      <c r="DB328" s="351">
        <f>DA328</f>
        <v>41844.955199999997</v>
      </c>
      <c r="DC328" s="393">
        <f>+DB328/CX328-1</f>
        <v>0.13262731423352703</v>
      </c>
      <c r="DD328" s="351">
        <f>+DD313*DD$325</f>
        <v>43506.584200000005</v>
      </c>
      <c r="DE328" s="351">
        <f>+DE313*DE$325</f>
        <v>43971.573799999998</v>
      </c>
      <c r="DF328" s="351">
        <f>DE328</f>
        <v>43971.573799999998</v>
      </c>
      <c r="DG328" s="393">
        <f>+DF328/DB328-1</f>
        <v>5.0821385513157402E-2</v>
      </c>
      <c r="DH328" s="351">
        <f>+DH313*DH$325</f>
        <v>44004.912000000004</v>
      </c>
      <c r="DI328" s="351">
        <f>+DH328*(1+DI336)</f>
        <v>44885.010240000003</v>
      </c>
      <c r="DJ328" s="351">
        <f>DI328</f>
        <v>44885.010240000003</v>
      </c>
      <c r="DK328" s="393">
        <f>+DJ328/DF328-1</f>
        <v>2.0773339707026883E-2</v>
      </c>
      <c r="DL328" s="351">
        <f>+DI328*(1+DL336)</f>
        <v>45782.710444800003</v>
      </c>
      <c r="DM328" s="351">
        <f>+DL328*(1+DM336)</f>
        <v>46698.364653696</v>
      </c>
      <c r="DN328" s="351">
        <f>DM328</f>
        <v>46698.364653696</v>
      </c>
      <c r="DO328" s="393">
        <f>+DN328/DJ328-1</f>
        <v>4.0399999999999991E-2</v>
      </c>
      <c r="DP328" s="351">
        <f>+DM328*(1+DP336)</f>
        <v>47632.331946769918</v>
      </c>
      <c r="DQ328" s="351">
        <f>+DP328*(1+DQ336)</f>
        <v>48584.978585705321</v>
      </c>
      <c r="DR328" s="351">
        <f>DQ328</f>
        <v>48584.978585705321</v>
      </c>
      <c r="DS328" s="393">
        <f>+DR328/DN328-1</f>
        <v>4.0399999999999991E-2</v>
      </c>
      <c r="DT328" s="1"/>
      <c r="DU328" s="1"/>
      <c r="DV328" s="1"/>
      <c r="DW328" s="1"/>
      <c r="DX328" s="1"/>
      <c r="DY328" s="1"/>
      <c r="DZ328" s="1"/>
      <c r="EA328" s="1"/>
      <c r="EB328" s="1"/>
      <c r="EC328" s="1"/>
      <c r="ED328" s="1"/>
      <c r="EE328" s="1"/>
      <c r="EF328" s="1"/>
      <c r="EG328" s="1"/>
      <c r="EH328" s="1"/>
      <c r="EI328" s="1"/>
      <c r="EJ328" s="1"/>
      <c r="EK328" s="1"/>
      <c r="EL328" s="1"/>
      <c r="EM328" s="1"/>
      <c r="EN328" s="1"/>
      <c r="EO328" s="1"/>
      <c r="EP328" s="1"/>
      <c r="EQ328" s="1"/>
      <c r="ER328" s="1"/>
      <c r="ES328" s="1"/>
      <c r="ET328" s="1"/>
      <c r="EU328" s="1"/>
      <c r="EV328" s="1"/>
      <c r="EW328" s="1"/>
      <c r="EX328" s="1"/>
      <c r="EY328" s="1"/>
      <c r="EZ328" s="1"/>
      <c r="FA328" s="1"/>
      <c r="FB328" s="1"/>
      <c r="FC328" s="1"/>
      <c r="FD328" s="1"/>
      <c r="FE328" s="1"/>
      <c r="FF328" s="1"/>
      <c r="FG328" s="1"/>
      <c r="FH328" s="1"/>
      <c r="FI328" s="1"/>
      <c r="FJ328" s="1"/>
      <c r="FK328" s="1"/>
      <c r="FL328" s="1"/>
      <c r="FM328" s="1"/>
      <c r="FN328" s="1"/>
      <c r="FO328" s="1"/>
      <c r="FP328" s="1"/>
      <c r="FQ328" s="1"/>
      <c r="FR328" s="1"/>
      <c r="FS328" s="1"/>
      <c r="FT328" s="1"/>
      <c r="FU328" s="1"/>
      <c r="FV328" s="1"/>
      <c r="FW328" s="1"/>
      <c r="FX328" s="1"/>
      <c r="FY328" s="1"/>
      <c r="FZ328" s="1"/>
      <c r="GA328" s="1"/>
      <c r="GB328" s="1"/>
      <c r="GC328" s="1"/>
      <c r="GD328" s="1"/>
      <c r="GE328" s="1"/>
      <c r="GF328" s="1"/>
      <c r="GG328" s="1"/>
      <c r="GH328" s="1"/>
      <c r="GI328" s="1"/>
      <c r="GJ328" s="1"/>
      <c r="GK328" s="1"/>
      <c r="GL328" s="1"/>
      <c r="GM328" s="1"/>
      <c r="GN328" s="1"/>
      <c r="GO328" s="1"/>
      <c r="GP328" s="1"/>
      <c r="GQ328" s="1"/>
      <c r="GR328" s="1"/>
      <c r="GS328" s="1"/>
      <c r="GT328" s="1"/>
      <c r="GU328" s="1"/>
      <c r="GV328" s="1"/>
      <c r="GW328" s="1"/>
      <c r="GX328" s="1"/>
      <c r="GY328" s="1"/>
      <c r="GZ328" s="1"/>
      <c r="HA328" s="1"/>
      <c r="HB328" s="1"/>
      <c r="HC328" s="1"/>
      <c r="HD328" s="1"/>
      <c r="HE328" s="1"/>
      <c r="HF328" s="1"/>
      <c r="HG328" s="1"/>
      <c r="HH328" s="1"/>
      <c r="HI328" s="1"/>
      <c r="HJ328" s="1"/>
      <c r="HK328" s="1"/>
      <c r="HL328" s="1"/>
      <c r="HM328" s="1"/>
      <c r="HN328" s="1"/>
      <c r="HO328" s="1"/>
      <c r="HP328" s="1"/>
      <c r="HQ328" s="1"/>
      <c r="HR328" s="1"/>
      <c r="HS328" s="1"/>
      <c r="HT328" s="1"/>
      <c r="HU328" s="1"/>
      <c r="HV328" s="1"/>
      <c r="HW328" s="1"/>
      <c r="HX328" s="1"/>
      <c r="HY328" s="1"/>
      <c r="HZ328" s="1"/>
      <c r="IA328" s="1"/>
      <c r="IB328" s="1"/>
      <c r="IC328" s="1"/>
      <c r="ID328" s="1"/>
      <c r="IE328" s="1"/>
      <c r="IF328" s="1"/>
      <c r="IG328" s="1"/>
      <c r="IH328" s="1"/>
      <c r="II328" s="1"/>
      <c r="IJ328" s="1"/>
      <c r="IK328" s="1"/>
      <c r="IL328" s="1"/>
      <c r="IM328" s="1"/>
      <c r="IN328" s="1"/>
      <c r="IO328" s="1"/>
      <c r="IP328" s="1"/>
      <c r="IQ328" s="1"/>
      <c r="IR328" s="1"/>
      <c r="IS328" s="1"/>
      <c r="IT328" s="1"/>
      <c r="IU328" s="1"/>
      <c r="IV328" s="1"/>
      <c r="IW328" s="1"/>
      <c r="IX328" s="1"/>
      <c r="IY328" s="1"/>
      <c r="IZ328" s="1"/>
      <c r="JA328" s="1"/>
      <c r="JB328" s="1"/>
      <c r="JC328" s="1"/>
      <c r="JD328" s="1"/>
    </row>
    <row r="329" spans="1:264" s="347" customFormat="1" x14ac:dyDescent="0.2">
      <c r="A329" s="347" t="s">
        <v>1136</v>
      </c>
      <c r="B329" s="348"/>
      <c r="BH329" s="351"/>
      <c r="BI329" s="351"/>
      <c r="BJ329" s="351"/>
      <c r="BK329" s="348"/>
      <c r="BL329" s="351"/>
      <c r="BM329" s="351"/>
      <c r="BN329" s="351"/>
      <c r="BO329" s="348"/>
      <c r="BP329" s="351"/>
      <c r="BQ329" s="351"/>
      <c r="BR329" s="351"/>
      <c r="BT329" s="351"/>
      <c r="BU329" s="351"/>
      <c r="BV329" s="351"/>
      <c r="BX329" s="351"/>
      <c r="BY329" s="351"/>
      <c r="BZ329" s="351"/>
      <c r="CB329" s="351"/>
      <c r="CC329" s="351"/>
      <c r="CD329" s="351"/>
      <c r="CE329" s="393"/>
      <c r="CF329" s="351"/>
      <c r="CG329" s="351"/>
      <c r="CH329" s="351"/>
      <c r="CI329" s="393"/>
      <c r="CJ329" s="351"/>
      <c r="CK329" s="351"/>
      <c r="CL329" s="351"/>
      <c r="CN329" s="351"/>
      <c r="CO329" s="351"/>
      <c r="CP329" s="351"/>
      <c r="CQ329" s="393"/>
      <c r="CR329" s="351"/>
      <c r="CS329" s="351"/>
      <c r="CT329" s="351"/>
      <c r="CU329" s="393"/>
      <c r="CV329" s="351"/>
      <c r="CW329" s="351"/>
      <c r="CX329" s="351"/>
      <c r="CY329" s="393"/>
      <c r="CZ329" s="351">
        <f t="shared" ref="CZ329:DA329" si="230">+CZ314*CZ$325</f>
        <v>0</v>
      </c>
      <c r="DA329" s="351">
        <f t="shared" si="230"/>
        <v>0</v>
      </c>
      <c r="DB329" s="351">
        <f t="shared" ref="DB329:DB330" si="231">DA329</f>
        <v>0</v>
      </c>
      <c r="DC329" s="393"/>
      <c r="DD329" s="351">
        <f t="shared" ref="DD329:DE329" si="232">+DD314*DD$325</f>
        <v>0</v>
      </c>
      <c r="DE329" s="351">
        <f t="shared" si="232"/>
        <v>0</v>
      </c>
      <c r="DF329" s="351">
        <f t="shared" ref="DF329:DF330" si="233">DE329</f>
        <v>0</v>
      </c>
      <c r="DG329" s="393"/>
      <c r="DH329" s="351">
        <f t="shared" ref="DH329" si="234">+DH314*DH$325</f>
        <v>0</v>
      </c>
      <c r="DI329" s="406">
        <v>0</v>
      </c>
      <c r="DJ329" s="351">
        <f>DI329</f>
        <v>0</v>
      </c>
      <c r="DL329" s="406">
        <v>0</v>
      </c>
      <c r="DM329" s="406">
        <v>0</v>
      </c>
      <c r="DN329" s="351">
        <f>DM329</f>
        <v>0</v>
      </c>
      <c r="DO329" s="393"/>
      <c r="DP329" s="406">
        <v>0</v>
      </c>
      <c r="DQ329" s="406">
        <v>0</v>
      </c>
      <c r="DR329" s="351">
        <f>DQ329</f>
        <v>0</v>
      </c>
      <c r="DS329" s="393"/>
      <c r="DT329" s="1"/>
      <c r="DU329" s="1"/>
      <c r="DV329" s="1"/>
      <c r="DW329" s="1"/>
      <c r="DX329" s="1"/>
      <c r="DY329" s="1"/>
      <c r="DZ329" s="1"/>
      <c r="EA329" s="1"/>
      <c r="EB329" s="1"/>
      <c r="EC329" s="1"/>
      <c r="ED329" s="1"/>
      <c r="EE329" s="1"/>
      <c r="EF329" s="1"/>
      <c r="EG329" s="1"/>
      <c r="EH329" s="1"/>
      <c r="EI329" s="1"/>
      <c r="EJ329" s="1"/>
      <c r="EK329" s="1"/>
      <c r="EL329" s="1"/>
      <c r="EM329" s="1"/>
      <c r="EN329" s="1"/>
      <c r="EO329" s="1"/>
      <c r="EP329" s="1"/>
      <c r="EQ329" s="1"/>
      <c r="ER329" s="1"/>
      <c r="ES329" s="1"/>
      <c r="ET329" s="1"/>
      <c r="EU329" s="1"/>
      <c r="EV329" s="1"/>
      <c r="EW329" s="1"/>
      <c r="EX329" s="1"/>
      <c r="EY329" s="1"/>
      <c r="EZ329" s="1"/>
      <c r="FA329" s="1"/>
      <c r="FB329" s="1"/>
      <c r="FC329" s="1"/>
      <c r="FD329" s="1"/>
      <c r="FE329" s="1"/>
      <c r="FF329" s="1"/>
      <c r="FG329" s="1"/>
      <c r="FH329" s="1"/>
      <c r="FI329" s="1"/>
      <c r="FJ329" s="1"/>
      <c r="FK329" s="1"/>
      <c r="FL329" s="1"/>
      <c r="FM329" s="1"/>
      <c r="FN329" s="1"/>
      <c r="FO329" s="1"/>
      <c r="FP329" s="1"/>
      <c r="FQ329" s="1"/>
      <c r="FR329" s="1"/>
      <c r="FS329" s="1"/>
      <c r="FT329" s="1"/>
      <c r="FU329" s="1"/>
      <c r="FV329" s="1"/>
      <c r="FW329" s="1"/>
      <c r="FX329" s="1"/>
      <c r="FY329" s="1"/>
      <c r="FZ329" s="1"/>
      <c r="GA329" s="1"/>
      <c r="GB329" s="1"/>
      <c r="GC329" s="1"/>
      <c r="GD329" s="1"/>
      <c r="GE329" s="1"/>
      <c r="GF329" s="1"/>
      <c r="GG329" s="1"/>
      <c r="GH329" s="1"/>
      <c r="GI329" s="1"/>
      <c r="GJ329" s="1"/>
      <c r="GK329" s="1"/>
      <c r="GL329" s="1"/>
      <c r="GM329" s="1"/>
      <c r="GN329" s="1"/>
      <c r="GO329" s="1"/>
      <c r="GP329" s="1"/>
      <c r="GQ329" s="1"/>
      <c r="GR329" s="1"/>
      <c r="GS329" s="1"/>
      <c r="GT329" s="1"/>
      <c r="GU329" s="1"/>
      <c r="GV329" s="1"/>
      <c r="GW329" s="1"/>
      <c r="GX329" s="1"/>
      <c r="GY329" s="1"/>
      <c r="GZ329" s="1"/>
      <c r="HA329" s="1"/>
      <c r="HB329" s="1"/>
      <c r="HC329" s="1"/>
      <c r="HD329" s="1"/>
      <c r="HE329" s="1"/>
      <c r="HF329" s="1"/>
      <c r="HG329" s="1"/>
      <c r="HH329" s="1"/>
      <c r="HI329" s="1"/>
      <c r="HJ329" s="1"/>
      <c r="HK329" s="1"/>
      <c r="HL329" s="1"/>
      <c r="HM329" s="1"/>
      <c r="HN329" s="1"/>
      <c r="HO329" s="1"/>
      <c r="HP329" s="1"/>
      <c r="HQ329" s="1"/>
      <c r="HR329" s="1"/>
      <c r="HS329" s="1"/>
      <c r="HT329" s="1"/>
      <c r="HU329" s="1"/>
      <c r="HV329" s="1"/>
      <c r="HW329" s="1"/>
      <c r="HX329" s="1"/>
      <c r="HY329" s="1"/>
      <c r="HZ329" s="1"/>
      <c r="IA329" s="1"/>
      <c r="IB329" s="1"/>
      <c r="IC329" s="1"/>
      <c r="ID329" s="1"/>
      <c r="IE329" s="1"/>
      <c r="IF329" s="1"/>
      <c r="IG329" s="1"/>
      <c r="IH329" s="1"/>
      <c r="II329" s="1"/>
      <c r="IJ329" s="1"/>
      <c r="IK329" s="1"/>
      <c r="IL329" s="1"/>
      <c r="IM329" s="1"/>
      <c r="IN329" s="1"/>
      <c r="IO329" s="1"/>
      <c r="IP329" s="1"/>
      <c r="IQ329" s="1"/>
      <c r="IR329" s="1"/>
      <c r="IS329" s="1"/>
      <c r="IT329" s="1"/>
      <c r="IU329" s="1"/>
      <c r="IV329" s="1"/>
      <c r="IW329" s="1"/>
      <c r="IX329" s="1"/>
      <c r="IY329" s="1"/>
      <c r="IZ329" s="1"/>
      <c r="JA329" s="1"/>
      <c r="JB329" s="1"/>
      <c r="JC329" s="1"/>
      <c r="JD329" s="1"/>
    </row>
    <row r="330" spans="1:264" s="411" customFormat="1" x14ac:dyDescent="0.2">
      <c r="A330" s="411" t="s">
        <v>1137</v>
      </c>
      <c r="B330" s="423"/>
      <c r="BH330" s="397"/>
      <c r="BI330" s="397"/>
      <c r="BJ330" s="397"/>
      <c r="BK330" s="423"/>
      <c r="BL330" s="397"/>
      <c r="BM330" s="397"/>
      <c r="BN330" s="397"/>
      <c r="BO330" s="423"/>
      <c r="BP330" s="397"/>
      <c r="BQ330" s="397"/>
      <c r="BR330" s="397"/>
      <c r="BT330" s="397"/>
      <c r="BU330" s="397"/>
      <c r="BV330" s="397"/>
      <c r="BX330" s="397"/>
      <c r="BY330" s="397"/>
      <c r="BZ330" s="397"/>
      <c r="CB330" s="397"/>
      <c r="CC330" s="397"/>
      <c r="CD330" s="397"/>
      <c r="CE330" s="428"/>
      <c r="CF330" s="397"/>
      <c r="CG330" s="397"/>
      <c r="CH330" s="397"/>
      <c r="CI330" s="428"/>
      <c r="CJ330" s="397"/>
      <c r="CK330" s="397"/>
      <c r="CL330" s="397"/>
      <c r="CN330" s="397"/>
      <c r="CO330" s="397"/>
      <c r="CP330" s="397"/>
      <c r="CQ330" s="428"/>
      <c r="CR330" s="397"/>
      <c r="CS330" s="397"/>
      <c r="CT330" s="397"/>
      <c r="CU330" s="428"/>
      <c r="CV330" s="397"/>
      <c r="CW330" s="397"/>
      <c r="CX330" s="397"/>
      <c r="CY330" s="428"/>
      <c r="CZ330" s="397">
        <f t="shared" ref="CZ330:DA330" si="235">+CZ315*CZ$325</f>
        <v>40521.078000000001</v>
      </c>
      <c r="DA330" s="397">
        <f t="shared" si="235"/>
        <v>41844.955199999997</v>
      </c>
      <c r="DB330" s="397">
        <f t="shared" si="231"/>
        <v>41844.955199999997</v>
      </c>
      <c r="DC330" s="428"/>
      <c r="DD330" s="397">
        <f>+DD315*DD$325</f>
        <v>43506.584200000005</v>
      </c>
      <c r="DE330" s="397">
        <f t="shared" ref="DE330" si="236">+DE315*DE$325</f>
        <v>43971.573799999998</v>
      </c>
      <c r="DF330" s="397">
        <f t="shared" si="233"/>
        <v>43971.573799999998</v>
      </c>
      <c r="DG330" s="428"/>
      <c r="DH330" s="397">
        <f>+DH315*DH$325</f>
        <v>44004.912000000004</v>
      </c>
      <c r="DI330" s="397">
        <f t="shared" ref="DI330" si="237">DI328+DI329</f>
        <v>44885.010240000003</v>
      </c>
      <c r="DJ330" s="397">
        <f t="shared" ref="DJ330" si="238">DI330</f>
        <v>44885.010240000003</v>
      </c>
      <c r="DK330" s="428">
        <f t="shared" ref="DK330" si="239">+DJ330/DF330-1</f>
        <v>2.0773339707026883E-2</v>
      </c>
      <c r="DL330" s="397">
        <f t="shared" ref="DL330:DM330" si="240">DL328+DL329</f>
        <v>45782.710444800003</v>
      </c>
      <c r="DM330" s="397">
        <f t="shared" si="240"/>
        <v>46698.364653696</v>
      </c>
      <c r="DN330" s="397">
        <f t="shared" ref="DN330" si="241">DM330</f>
        <v>46698.364653696</v>
      </c>
      <c r="DO330" s="428">
        <f t="shared" ref="DO330" si="242">+DN330/DJ330-1</f>
        <v>4.0399999999999991E-2</v>
      </c>
      <c r="DP330" s="397">
        <f t="shared" ref="DP330:DQ330" si="243">DP328+DP329</f>
        <v>47632.331946769918</v>
      </c>
      <c r="DQ330" s="397">
        <f t="shared" si="243"/>
        <v>48584.978585705321</v>
      </c>
      <c r="DR330" s="397">
        <f t="shared" ref="DR330" si="244">DQ330</f>
        <v>48584.978585705321</v>
      </c>
      <c r="DS330" s="428">
        <f t="shared" ref="DS330" si="245">+DR330/DN330-1</f>
        <v>4.0399999999999991E-2</v>
      </c>
      <c r="DT330" s="451"/>
      <c r="DU330" s="451"/>
      <c r="DV330" s="451"/>
      <c r="DW330" s="451"/>
      <c r="DX330" s="451"/>
      <c r="DY330" s="451"/>
      <c r="DZ330" s="451"/>
      <c r="EA330" s="451"/>
      <c r="EB330" s="451"/>
      <c r="EC330" s="451"/>
      <c r="ED330" s="451"/>
      <c r="EE330" s="451"/>
      <c r="EF330" s="451"/>
      <c r="EG330" s="451"/>
      <c r="EH330" s="451"/>
      <c r="EI330" s="451"/>
      <c r="EJ330" s="451"/>
      <c r="EK330" s="451"/>
      <c r="EL330" s="451"/>
      <c r="EM330" s="451"/>
      <c r="EN330" s="451"/>
      <c r="EO330" s="451"/>
      <c r="EP330" s="451"/>
      <c r="EQ330" s="451"/>
      <c r="ER330" s="451"/>
      <c r="ES330" s="451"/>
      <c r="ET330" s="451"/>
      <c r="EU330" s="451"/>
      <c r="EV330" s="451"/>
      <c r="EW330" s="451"/>
      <c r="EX330" s="451"/>
      <c r="EY330" s="451"/>
      <c r="EZ330" s="451"/>
      <c r="FA330" s="451"/>
      <c r="FB330" s="451"/>
      <c r="FC330" s="451"/>
      <c r="FD330" s="451"/>
      <c r="FE330" s="451"/>
      <c r="FF330" s="451"/>
      <c r="FG330" s="451"/>
      <c r="FH330" s="451"/>
      <c r="FI330" s="451"/>
      <c r="FJ330" s="451"/>
      <c r="FK330" s="451"/>
      <c r="FL330" s="451"/>
      <c r="FM330" s="451"/>
      <c r="FN330" s="451"/>
      <c r="FO330" s="451"/>
      <c r="FP330" s="451"/>
      <c r="FQ330" s="451"/>
      <c r="FR330" s="451"/>
      <c r="FS330" s="451"/>
      <c r="FT330" s="451"/>
      <c r="FU330" s="451"/>
      <c r="FV330" s="451"/>
      <c r="FW330" s="451"/>
      <c r="FX330" s="451"/>
      <c r="FY330" s="451"/>
      <c r="FZ330" s="451"/>
      <c r="GA330" s="451"/>
      <c r="GB330" s="451"/>
      <c r="GC330" s="451"/>
      <c r="GD330" s="451"/>
      <c r="GE330" s="451"/>
      <c r="GF330" s="451"/>
      <c r="GG330" s="451"/>
      <c r="GH330" s="451"/>
      <c r="GI330" s="451"/>
      <c r="GJ330" s="451"/>
      <c r="GK330" s="451"/>
      <c r="GL330" s="451"/>
      <c r="GM330" s="451"/>
      <c r="GN330" s="451"/>
      <c r="GO330" s="451"/>
      <c r="GP330" s="451"/>
      <c r="GQ330" s="451"/>
      <c r="GR330" s="451"/>
      <c r="GS330" s="451"/>
      <c r="GT330" s="451"/>
      <c r="GU330" s="451"/>
      <c r="GV330" s="451"/>
      <c r="GW330" s="451"/>
      <c r="GX330" s="451"/>
      <c r="GY330" s="451"/>
      <c r="GZ330" s="451"/>
      <c r="HA330" s="451"/>
      <c r="HB330" s="451"/>
      <c r="HC330" s="451"/>
      <c r="HD330" s="451"/>
      <c r="HE330" s="451"/>
      <c r="HF330" s="451"/>
      <c r="HG330" s="451"/>
      <c r="HH330" s="451"/>
      <c r="HI330" s="451"/>
      <c r="HJ330" s="451"/>
      <c r="HK330" s="451"/>
      <c r="HL330" s="451"/>
      <c r="HM330" s="451"/>
      <c r="HN330" s="451"/>
      <c r="HO330" s="451"/>
      <c r="HP330" s="451"/>
      <c r="HQ330" s="451"/>
      <c r="HR330" s="451"/>
      <c r="HS330" s="451"/>
      <c r="HT330" s="451"/>
      <c r="HU330" s="451"/>
      <c r="HV330" s="451"/>
      <c r="HW330" s="451"/>
      <c r="HX330" s="451"/>
      <c r="HY330" s="451"/>
      <c r="HZ330" s="451"/>
      <c r="IA330" s="451"/>
      <c r="IB330" s="451"/>
      <c r="IC330" s="451"/>
      <c r="ID330" s="451"/>
      <c r="IE330" s="451"/>
      <c r="IF330" s="451"/>
      <c r="IG330" s="451"/>
      <c r="IH330" s="451"/>
      <c r="II330" s="451"/>
      <c r="IJ330" s="451"/>
      <c r="IK330" s="451"/>
      <c r="IL330" s="451"/>
      <c r="IM330" s="451"/>
      <c r="IN330" s="451"/>
      <c r="IO330" s="451"/>
      <c r="IP330" s="451"/>
      <c r="IQ330" s="451"/>
      <c r="IR330" s="451"/>
      <c r="IS330" s="451"/>
      <c r="IT330" s="451"/>
      <c r="IU330" s="451"/>
      <c r="IV330" s="451"/>
      <c r="IW330" s="451"/>
      <c r="IX330" s="451"/>
      <c r="IY330" s="451"/>
      <c r="IZ330" s="451"/>
      <c r="JA330" s="451"/>
      <c r="JB330" s="451"/>
      <c r="JC330" s="451"/>
      <c r="JD330" s="451"/>
    </row>
    <row r="331" spans="1:264" s="347" customFormat="1" x14ac:dyDescent="0.2">
      <c r="A331" s="347" t="s">
        <v>338</v>
      </c>
      <c r="B331" s="348" t="s">
        <v>282</v>
      </c>
      <c r="BH331" s="351">
        <f t="shared" ref="BH331:BI333" si="246">+BH316*BH$325</f>
        <v>2422.3809999999999</v>
      </c>
      <c r="BI331" s="351">
        <f t="shared" si="246"/>
        <v>2344.7219999999998</v>
      </c>
      <c r="BJ331" s="351">
        <f>BI331</f>
        <v>2344.7219999999998</v>
      </c>
      <c r="BK331" s="348"/>
      <c r="BL331" s="351">
        <f t="shared" ref="BL331:BM333" si="247">+BL316*BL$325</f>
        <v>2678.7154999999998</v>
      </c>
      <c r="BM331" s="351">
        <f t="shared" si="247"/>
        <v>2611.9374000000003</v>
      </c>
      <c r="BN331" s="351">
        <f>BM331</f>
        <v>2611.9374000000003</v>
      </c>
      <c r="BO331" s="348"/>
      <c r="BP331" s="351">
        <f t="shared" ref="BP331:BQ333" si="248">+BP316*BP$325</f>
        <v>2892.56</v>
      </c>
      <c r="BQ331" s="351">
        <f t="shared" si="248"/>
        <v>2789.5104000000001</v>
      </c>
      <c r="BR331" s="351">
        <f>BQ331</f>
        <v>2789.5104000000001</v>
      </c>
      <c r="BT331" s="351">
        <f t="shared" ref="BT331:BU333" si="249">+BT316*BT$325</f>
        <v>3379.2200000000003</v>
      </c>
      <c r="BU331" s="351">
        <f t="shared" si="249"/>
        <v>3502.2149999999997</v>
      </c>
      <c r="BV331" s="351">
        <f>BU331</f>
        <v>3502.2149999999997</v>
      </c>
      <c r="BX331" s="351">
        <f t="shared" ref="BX331:BY333" si="250">+BX316*BX$325</f>
        <v>3932.7111999999997</v>
      </c>
      <c r="BY331" s="351">
        <f t="shared" si="250"/>
        <v>4036.6570999999994</v>
      </c>
      <c r="BZ331" s="351">
        <f>BY331</f>
        <v>4036.6570999999994</v>
      </c>
      <c r="CB331" s="351">
        <f t="shared" ref="CB331:CC333" si="251">+CB316*CB$325</f>
        <v>4661.1851999999999</v>
      </c>
      <c r="CC331" s="351">
        <f t="shared" si="251"/>
        <v>4819.5962</v>
      </c>
      <c r="CD331" s="351">
        <f>CC331</f>
        <v>4819.5962</v>
      </c>
      <c r="CE331" s="393">
        <f>+CD331/BZ331-1</f>
        <v>0.19395729699210773</v>
      </c>
      <c r="CF331" s="351">
        <f t="shared" ref="CF331:CG333" si="252">+CF316*CF$325</f>
        <v>5377.3710000000001</v>
      </c>
      <c r="CG331" s="351">
        <f t="shared" si="252"/>
        <v>5529.1559999999999</v>
      </c>
      <c r="CH331" s="351">
        <f>CG331</f>
        <v>5529.1559999999999</v>
      </c>
      <c r="CI331" s="393">
        <f>+CH331/CD331-1</f>
        <v>0.14722391058404427</v>
      </c>
      <c r="CJ331" s="351">
        <f t="shared" ref="CJ331:CK333" si="253">+CJ316*CJ$325</f>
        <v>6584.7333999999992</v>
      </c>
      <c r="CK331" s="351">
        <f t="shared" si="253"/>
        <v>8122.9539999999997</v>
      </c>
      <c r="CL331" s="351">
        <f>CK331</f>
        <v>8122.9539999999997</v>
      </c>
      <c r="CN331" s="351">
        <f t="shared" ref="CN331:CO333" si="254">+CN316*CN$325</f>
        <v>10469.6605</v>
      </c>
      <c r="CO331" s="351">
        <f t="shared" si="254"/>
        <v>11650.752</v>
      </c>
      <c r="CP331" s="351">
        <f>CO331</f>
        <v>11650.752</v>
      </c>
      <c r="CQ331" s="393">
        <f>+CP331/CL331-1</f>
        <v>0.43429988646987305</v>
      </c>
      <c r="CR331" s="351">
        <f t="shared" ref="CR331:CS333" si="255">+CR316*CR$325</f>
        <v>13905.6752</v>
      </c>
      <c r="CS331" s="351">
        <f t="shared" si="255"/>
        <v>13174.6554</v>
      </c>
      <c r="CT331" s="351">
        <f>CS331</f>
        <v>13174.6554</v>
      </c>
      <c r="CU331" s="393">
        <f>+CT331/CP331-1</f>
        <v>0.13079871582538183</v>
      </c>
      <c r="CV331" s="351">
        <f t="shared" ref="CV331:CW333" si="256">+CV316*CV$325</f>
        <v>12083.249199999998</v>
      </c>
      <c r="CW331" s="351">
        <f t="shared" si="256"/>
        <v>10489.6245</v>
      </c>
      <c r="CX331" s="351">
        <f>CW331</f>
        <v>10489.6245</v>
      </c>
      <c r="CY331" s="393">
        <f>+CX331/CT331-1</f>
        <v>-0.20380274234724949</v>
      </c>
      <c r="CZ331" s="351">
        <f t="shared" ref="CZ331:DA333" si="257">+CZ316*CZ$325</f>
        <v>10396.9476</v>
      </c>
      <c r="DA331" s="351">
        <f t="shared" si="257"/>
        <v>9629.5419000000002</v>
      </c>
      <c r="DB331" s="351">
        <f>DA331</f>
        <v>9629.5419000000002</v>
      </c>
      <c r="DC331" s="393">
        <f>+DB331/CX331-1</f>
        <v>-8.1993650011017993E-2</v>
      </c>
      <c r="DD331" s="351">
        <f>+DD316*DD$325</f>
        <v>10498.733600000001</v>
      </c>
      <c r="DE331" s="351">
        <f t="shared" ref="DE331" si="258">+DE316*DE$325</f>
        <v>10666.952799999999</v>
      </c>
      <c r="DF331" s="351">
        <f>DE331</f>
        <v>10666.952799999999</v>
      </c>
      <c r="DG331" s="393">
        <f>+DF331/DB331-1</f>
        <v>0.10773211340406541</v>
      </c>
      <c r="DH331" s="351">
        <f>+DH316*DH$325</f>
        <v>12148.638000000001</v>
      </c>
      <c r="DI331" s="351">
        <f>+DH331*(1+DI338)</f>
        <v>12452.353950000001</v>
      </c>
      <c r="DJ331" s="351">
        <f>DI331</f>
        <v>12452.353950000001</v>
      </c>
      <c r="DK331" s="393">
        <f>+DJ331/DF331-1</f>
        <v>0.16737686792801809</v>
      </c>
      <c r="DL331" s="351">
        <f>+DI331*(1+DL338)</f>
        <v>12763.66279875</v>
      </c>
      <c r="DM331" s="351">
        <f>+DL331*(1+DM338)</f>
        <v>13082.754368718748</v>
      </c>
      <c r="DN331" s="351">
        <f>DM331</f>
        <v>13082.754368718748</v>
      </c>
      <c r="DO331" s="393">
        <f>+DN331/DJ331-1</f>
        <v>5.0624999999999698E-2</v>
      </c>
      <c r="DP331" s="351">
        <f>+DM331*(1+DP338)</f>
        <v>13409.823227936715</v>
      </c>
      <c r="DQ331" s="351">
        <f>+DP331*(1+DQ338)</f>
        <v>13745.068808635131</v>
      </c>
      <c r="DR331" s="351">
        <f>DQ331</f>
        <v>13745.068808635131</v>
      </c>
      <c r="DS331" s="393">
        <f>+DR331/DN331-1</f>
        <v>5.0624999999999698E-2</v>
      </c>
      <c r="DT331" s="1"/>
      <c r="DU331" s="1"/>
      <c r="DV331" s="1"/>
      <c r="DW331" s="1"/>
      <c r="DX331" s="1"/>
      <c r="DY331" s="1"/>
      <c r="DZ331" s="1"/>
      <c r="EA331" s="1"/>
      <c r="EB331" s="1"/>
      <c r="EC331" s="1"/>
      <c r="ED331" s="1"/>
      <c r="EE331" s="1"/>
      <c r="EF331" s="1"/>
      <c r="EG331" s="1"/>
      <c r="EH331" s="1"/>
      <c r="EI331" s="1"/>
      <c r="EJ331" s="1"/>
      <c r="EK331" s="1"/>
      <c r="EL331" s="1"/>
      <c r="EM331" s="1"/>
      <c r="EN331" s="1"/>
      <c r="EO331" s="1"/>
      <c r="EP331" s="1"/>
      <c r="EQ331" s="1"/>
      <c r="ER331" s="1"/>
      <c r="ES331" s="1"/>
      <c r="ET331" s="1"/>
      <c r="EU331" s="1"/>
      <c r="EV331" s="1"/>
      <c r="EW331" s="1"/>
      <c r="EX331" s="1"/>
      <c r="EY331" s="1"/>
      <c r="EZ331" s="1"/>
      <c r="FA331" s="1"/>
      <c r="FB331" s="1"/>
      <c r="FC331" s="1"/>
      <c r="FD331" s="1"/>
      <c r="FE331" s="1"/>
      <c r="FF331" s="1"/>
      <c r="FG331" s="1"/>
      <c r="FH331" s="1"/>
      <c r="FI331" s="1"/>
      <c r="FJ331" s="1"/>
      <c r="FK331" s="1"/>
      <c r="FL331" s="1"/>
      <c r="FM331" s="1"/>
      <c r="FN331" s="1"/>
      <c r="FO331" s="1"/>
      <c r="FP331" s="1"/>
      <c r="FQ331" s="1"/>
      <c r="FR331" s="1"/>
      <c r="FS331" s="1"/>
      <c r="FT331" s="1"/>
      <c r="FU331" s="1"/>
      <c r="FV331" s="1"/>
      <c r="FW331" s="1"/>
      <c r="FX331" s="1"/>
      <c r="FY331" s="1"/>
      <c r="FZ331" s="1"/>
      <c r="GA331" s="1"/>
      <c r="GB331" s="1"/>
      <c r="GC331" s="1"/>
      <c r="GD331" s="1"/>
      <c r="GE331" s="1"/>
      <c r="GF331" s="1"/>
      <c r="GG331" s="1"/>
      <c r="GH331" s="1"/>
      <c r="GI331" s="1"/>
      <c r="GJ331" s="1"/>
      <c r="GK331" s="1"/>
      <c r="GL331" s="1"/>
      <c r="GM331" s="1"/>
      <c r="GN331" s="1"/>
      <c r="GO331" s="1"/>
      <c r="GP331" s="1"/>
      <c r="GQ331" s="1"/>
      <c r="GR331" s="1"/>
      <c r="GS331" s="1"/>
      <c r="GT331" s="1"/>
      <c r="GU331" s="1"/>
      <c r="GV331" s="1"/>
      <c r="GW331" s="1"/>
      <c r="GX331" s="1"/>
      <c r="GY331" s="1"/>
      <c r="GZ331" s="1"/>
      <c r="HA331" s="1"/>
      <c r="HB331" s="1"/>
      <c r="HC331" s="1"/>
      <c r="HD331" s="1"/>
      <c r="HE331" s="1"/>
      <c r="HF331" s="1"/>
      <c r="HG331" s="1"/>
      <c r="HH331" s="1"/>
      <c r="HI331" s="1"/>
      <c r="HJ331" s="1"/>
      <c r="HK331" s="1"/>
      <c r="HL331" s="1"/>
      <c r="HM331" s="1"/>
      <c r="HN331" s="1"/>
      <c r="HO331" s="1"/>
      <c r="HP331" s="1"/>
      <c r="HQ331" s="1"/>
      <c r="HR331" s="1"/>
      <c r="HS331" s="1"/>
      <c r="HT331" s="1"/>
      <c r="HU331" s="1"/>
      <c r="HV331" s="1"/>
      <c r="HW331" s="1"/>
      <c r="HX331" s="1"/>
      <c r="HY331" s="1"/>
      <c r="HZ331" s="1"/>
      <c r="IA331" s="1"/>
      <c r="IB331" s="1"/>
      <c r="IC331" s="1"/>
      <c r="ID331" s="1"/>
      <c r="IE331" s="1"/>
      <c r="IF331" s="1"/>
      <c r="IG331" s="1"/>
      <c r="IH331" s="1"/>
      <c r="II331" s="1"/>
      <c r="IJ331" s="1"/>
      <c r="IK331" s="1"/>
      <c r="IL331" s="1"/>
      <c r="IM331" s="1"/>
      <c r="IN331" s="1"/>
      <c r="IO331" s="1"/>
      <c r="IP331" s="1"/>
      <c r="IQ331" s="1"/>
      <c r="IR331" s="1"/>
      <c r="IS331" s="1"/>
      <c r="IT331" s="1"/>
      <c r="IU331" s="1"/>
      <c r="IV331" s="1"/>
      <c r="IW331" s="1"/>
      <c r="IX331" s="1"/>
      <c r="IY331" s="1"/>
      <c r="IZ331" s="1"/>
      <c r="JA331" s="1"/>
      <c r="JB331" s="1"/>
      <c r="JC331" s="1"/>
      <c r="JD331" s="1"/>
    </row>
    <row r="332" spans="1:264" s="347" customFormat="1" x14ac:dyDescent="0.2">
      <c r="A332" s="347" t="str">
        <f>A317</f>
        <v>Other Deposits</v>
      </c>
      <c r="B332" s="348" t="s">
        <v>282</v>
      </c>
      <c r="BH332" s="351">
        <f t="shared" si="246"/>
        <v>14621.294999999998</v>
      </c>
      <c r="BI332" s="351">
        <f t="shared" si="246"/>
        <v>15950.513999999999</v>
      </c>
      <c r="BJ332" s="351">
        <f>BI332</f>
        <v>15950.513999999999</v>
      </c>
      <c r="BK332" s="348"/>
      <c r="BL332" s="351">
        <f t="shared" si="247"/>
        <v>18862.938600000001</v>
      </c>
      <c r="BM332" s="351">
        <f t="shared" si="247"/>
        <v>19540.563399999999</v>
      </c>
      <c r="BN332" s="351">
        <f>BM332</f>
        <v>19540.563399999999</v>
      </c>
      <c r="BO332" s="348"/>
      <c r="BP332" s="351">
        <f t="shared" si="248"/>
        <v>20441.244999999999</v>
      </c>
      <c r="BQ332" s="351">
        <f t="shared" si="248"/>
        <v>21394.856</v>
      </c>
      <c r="BR332" s="351">
        <f>BQ332</f>
        <v>21394.856</v>
      </c>
      <c r="BT332" s="351">
        <f t="shared" si="249"/>
        <v>24282.414000000001</v>
      </c>
      <c r="BU332" s="351">
        <f t="shared" si="249"/>
        <v>24868.343999999997</v>
      </c>
      <c r="BV332" s="351">
        <f>BU332</f>
        <v>24868.343999999997</v>
      </c>
      <c r="BX332" s="351">
        <f t="shared" si="250"/>
        <v>23989.122599999999</v>
      </c>
      <c r="BY332" s="351">
        <f t="shared" si="250"/>
        <v>22591.428999999996</v>
      </c>
      <c r="BZ332" s="351">
        <f>BY332</f>
        <v>22591.428999999996</v>
      </c>
      <c r="CB332" s="351">
        <f t="shared" si="251"/>
        <v>22798.511399999999</v>
      </c>
      <c r="CC332" s="351">
        <f t="shared" si="251"/>
        <v>22504.176100000001</v>
      </c>
      <c r="CD332" s="351">
        <f>CC332</f>
        <v>22504.176100000001</v>
      </c>
      <c r="CE332" s="393">
        <f>+CD332/BZ332-1</f>
        <v>-3.8622125231650983E-3</v>
      </c>
      <c r="CF332" s="351">
        <f t="shared" si="252"/>
        <v>23477.892000000003</v>
      </c>
      <c r="CG332" s="351">
        <f t="shared" si="252"/>
        <v>23186.682000000001</v>
      </c>
      <c r="CH332" s="351">
        <f>CG332</f>
        <v>23186.682000000001</v>
      </c>
      <c r="CI332" s="393">
        <f>+CH332/CD332-1</f>
        <v>3.032796655017278E-2</v>
      </c>
      <c r="CJ332" s="351">
        <f t="shared" si="253"/>
        <v>24890.000799999998</v>
      </c>
      <c r="CK332" s="351">
        <f t="shared" si="253"/>
        <v>29437.679500000002</v>
      </c>
      <c r="CL332" s="351">
        <f>CK332</f>
        <v>29437.679500000002</v>
      </c>
      <c r="CN332" s="351">
        <f t="shared" si="254"/>
        <v>34241.07</v>
      </c>
      <c r="CO332" s="351">
        <f t="shared" si="254"/>
        <v>36345.234000000004</v>
      </c>
      <c r="CP332" s="351">
        <f>CO332</f>
        <v>36345.234000000004</v>
      </c>
      <c r="CQ332" s="393">
        <f>+CP332/CL332-1</f>
        <v>0.23465010209109738</v>
      </c>
      <c r="CR332" s="351">
        <f t="shared" si="255"/>
        <v>38846.402799999996</v>
      </c>
      <c r="CS332" s="351">
        <f t="shared" si="255"/>
        <v>37857.479699999996</v>
      </c>
      <c r="CT332" s="351">
        <f>CS332</f>
        <v>37857.479699999996</v>
      </c>
      <c r="CU332" s="393">
        <f>+CT332/CP332-1</f>
        <v>4.1607813007889627E-2</v>
      </c>
      <c r="CV332" s="351">
        <f t="shared" si="256"/>
        <v>35471.911199999995</v>
      </c>
      <c r="CW332" s="351">
        <f t="shared" si="256"/>
        <v>33261.962399999997</v>
      </c>
      <c r="CX332" s="351">
        <f>CW332</f>
        <v>33261.962399999997</v>
      </c>
      <c r="CY332" s="393">
        <f>+CX332/CT332-1</f>
        <v>-0.12138994292322103</v>
      </c>
      <c r="CZ332" s="351">
        <f t="shared" si="257"/>
        <v>33239.232000000004</v>
      </c>
      <c r="DA332" s="351">
        <f t="shared" si="257"/>
        <v>33414.3246</v>
      </c>
      <c r="DB332" s="351">
        <f>DA332</f>
        <v>33414.3246</v>
      </c>
      <c r="DC332" s="393">
        <f>+DB332/CX332-1</f>
        <v>4.5806738089513299E-3</v>
      </c>
      <c r="DD332" s="351">
        <f>+DD317*DD$325</f>
        <v>33796.249400000001</v>
      </c>
      <c r="DE332" s="351">
        <f t="shared" ref="DE332" si="259">+DE317*DE$325</f>
        <v>34919.521000000001</v>
      </c>
      <c r="DF332" s="351">
        <f>DE332</f>
        <v>34919.521000000001</v>
      </c>
      <c r="DG332" s="393">
        <f>+DF332/DB332-1</f>
        <v>4.5046440950657463E-2</v>
      </c>
      <c r="DH332" s="351">
        <f>+DH317*DH$325</f>
        <v>36543.270000000004</v>
      </c>
      <c r="DI332" s="351">
        <f>+DH332*(1+DI339)</f>
        <v>37274.135400000006</v>
      </c>
      <c r="DJ332" s="351">
        <f>DI332</f>
        <v>37274.135400000006</v>
      </c>
      <c r="DK332" s="393">
        <f>+DJ332/DF332-1</f>
        <v>6.7429745098737337E-2</v>
      </c>
      <c r="DL332" s="351">
        <f>+DI332*(1+DL339)</f>
        <v>38019.61810800001</v>
      </c>
      <c r="DM332" s="351">
        <f>+DL332*(1+DM339)</f>
        <v>38780.010470160014</v>
      </c>
      <c r="DN332" s="351">
        <f>DM332</f>
        <v>38780.010470160014</v>
      </c>
      <c r="DO332" s="393">
        <f>+DN332/DJ332-1</f>
        <v>4.0400000000000214E-2</v>
      </c>
      <c r="DP332" s="351">
        <f>+DM332*(1+DP339)</f>
        <v>39555.610679563215</v>
      </c>
      <c r="DQ332" s="351">
        <f>+DP332*(1+DQ339)</f>
        <v>40346.722893154481</v>
      </c>
      <c r="DR332" s="351">
        <f>DQ332</f>
        <v>40346.722893154481</v>
      </c>
      <c r="DS332" s="393">
        <f>+DR332/DN332-1</f>
        <v>4.0399999999999991E-2</v>
      </c>
      <c r="DT332" s="1"/>
      <c r="DU332" s="1"/>
      <c r="DV332" s="1"/>
      <c r="DW332" s="1"/>
      <c r="DX332" s="1"/>
      <c r="DY332" s="1"/>
      <c r="DZ332" s="1"/>
      <c r="EA332" s="1"/>
      <c r="EB332" s="1"/>
      <c r="EC332" s="1"/>
      <c r="ED332" s="1"/>
      <c r="EE332" s="1"/>
      <c r="EF332" s="1"/>
      <c r="EG332" s="1"/>
      <c r="EH332" s="1"/>
      <c r="EI332" s="1"/>
      <c r="EJ332" s="1"/>
      <c r="EK332" s="1"/>
      <c r="EL332" s="1"/>
      <c r="EM332" s="1"/>
      <c r="EN332" s="1"/>
      <c r="EO332" s="1"/>
      <c r="EP332" s="1"/>
      <c r="EQ332" s="1"/>
      <c r="ER332" s="1"/>
      <c r="ES332" s="1"/>
      <c r="ET332" s="1"/>
      <c r="EU332" s="1"/>
      <c r="EV332" s="1"/>
      <c r="EW332" s="1"/>
      <c r="EX332" s="1"/>
      <c r="EY332" s="1"/>
      <c r="EZ332" s="1"/>
      <c r="FA332" s="1"/>
      <c r="FB332" s="1"/>
      <c r="FC332" s="1"/>
      <c r="FD332" s="1"/>
      <c r="FE332" s="1"/>
      <c r="FF332" s="1"/>
      <c r="FG332" s="1"/>
      <c r="FH332" s="1"/>
      <c r="FI332" s="1"/>
      <c r="FJ332" s="1"/>
      <c r="FK332" s="1"/>
      <c r="FL332" s="1"/>
      <c r="FM332" s="1"/>
      <c r="FN332" s="1"/>
      <c r="FO332" s="1"/>
      <c r="FP332" s="1"/>
      <c r="FQ332" s="1"/>
      <c r="FR332" s="1"/>
      <c r="FS332" s="1"/>
      <c r="FT332" s="1"/>
      <c r="FU332" s="1"/>
      <c r="FV332" s="1"/>
      <c r="FW332" s="1"/>
      <c r="FX332" s="1"/>
      <c r="FY332" s="1"/>
      <c r="FZ332" s="1"/>
      <c r="GA332" s="1"/>
      <c r="GB332" s="1"/>
      <c r="GC332" s="1"/>
      <c r="GD332" s="1"/>
      <c r="GE332" s="1"/>
      <c r="GF332" s="1"/>
      <c r="GG332" s="1"/>
      <c r="GH332" s="1"/>
      <c r="GI332" s="1"/>
      <c r="GJ332" s="1"/>
      <c r="GK332" s="1"/>
      <c r="GL332" s="1"/>
      <c r="GM332" s="1"/>
      <c r="GN332" s="1"/>
      <c r="GO332" s="1"/>
      <c r="GP332" s="1"/>
      <c r="GQ332" s="1"/>
      <c r="GR332" s="1"/>
      <c r="GS332" s="1"/>
      <c r="GT332" s="1"/>
      <c r="GU332" s="1"/>
      <c r="GV332" s="1"/>
      <c r="GW332" s="1"/>
      <c r="GX332" s="1"/>
      <c r="GY332" s="1"/>
      <c r="GZ332" s="1"/>
      <c r="HA332" s="1"/>
      <c r="HB332" s="1"/>
      <c r="HC332" s="1"/>
      <c r="HD332" s="1"/>
      <c r="HE332" s="1"/>
      <c r="HF332" s="1"/>
      <c r="HG332" s="1"/>
      <c r="HH332" s="1"/>
      <c r="HI332" s="1"/>
      <c r="HJ332" s="1"/>
      <c r="HK332" s="1"/>
      <c r="HL332" s="1"/>
      <c r="HM332" s="1"/>
      <c r="HN332" s="1"/>
      <c r="HO332" s="1"/>
      <c r="HP332" s="1"/>
      <c r="HQ332" s="1"/>
      <c r="HR332" s="1"/>
      <c r="HS332" s="1"/>
      <c r="HT332" s="1"/>
      <c r="HU332" s="1"/>
      <c r="HV332" s="1"/>
      <c r="HW332" s="1"/>
      <c r="HX332" s="1"/>
      <c r="HY332" s="1"/>
      <c r="HZ332" s="1"/>
      <c r="IA332" s="1"/>
      <c r="IB332" s="1"/>
      <c r="IC332" s="1"/>
      <c r="ID332" s="1"/>
      <c r="IE332" s="1"/>
      <c r="IF332" s="1"/>
      <c r="IG332" s="1"/>
      <c r="IH332" s="1"/>
      <c r="II332" s="1"/>
      <c r="IJ332" s="1"/>
      <c r="IK332" s="1"/>
      <c r="IL332" s="1"/>
      <c r="IM332" s="1"/>
      <c r="IN332" s="1"/>
      <c r="IO332" s="1"/>
      <c r="IP332" s="1"/>
      <c r="IQ332" s="1"/>
      <c r="IR332" s="1"/>
      <c r="IS332" s="1"/>
      <c r="IT332" s="1"/>
      <c r="IU332" s="1"/>
      <c r="IV332" s="1"/>
      <c r="IW332" s="1"/>
      <c r="IX332" s="1"/>
      <c r="IY332" s="1"/>
      <c r="IZ332" s="1"/>
      <c r="JA332" s="1"/>
      <c r="JB332" s="1"/>
      <c r="JC332" s="1"/>
      <c r="JD332" s="1"/>
    </row>
    <row r="333" spans="1:264" s="347" customFormat="1" x14ac:dyDescent="0.2">
      <c r="A333" s="411" t="str">
        <f>A318</f>
        <v>Total Deposits</v>
      </c>
      <c r="B333" s="423" t="s">
        <v>282</v>
      </c>
      <c r="C333" s="411"/>
      <c r="D333" s="411"/>
      <c r="E333" s="411"/>
      <c r="F333" s="411"/>
      <c r="G333" s="411"/>
      <c r="H333" s="411"/>
      <c r="I333" s="411"/>
      <c r="J333" s="411"/>
      <c r="K333" s="411"/>
      <c r="L333" s="411"/>
      <c r="M333" s="411"/>
      <c r="N333" s="411"/>
      <c r="O333" s="411"/>
      <c r="P333" s="411"/>
      <c r="Q333" s="411"/>
      <c r="R333" s="411"/>
      <c r="S333" s="411"/>
      <c r="T333" s="411"/>
      <c r="U333" s="411"/>
      <c r="V333" s="411"/>
      <c r="W333" s="411"/>
      <c r="X333" s="411"/>
      <c r="Y333" s="411"/>
      <c r="Z333" s="411"/>
      <c r="AA333" s="411"/>
      <c r="AB333" s="411"/>
      <c r="AC333" s="411"/>
      <c r="AD333" s="411"/>
      <c r="AE333" s="411"/>
      <c r="AF333" s="411"/>
      <c r="AG333" s="411"/>
      <c r="AH333" s="411"/>
      <c r="AI333" s="411"/>
      <c r="AJ333" s="411"/>
      <c r="AK333" s="411"/>
      <c r="AL333" s="411"/>
      <c r="AM333" s="411"/>
      <c r="AN333" s="411"/>
      <c r="AO333" s="411"/>
      <c r="AP333" s="411"/>
      <c r="AQ333" s="411"/>
      <c r="AR333" s="411"/>
      <c r="AS333" s="411"/>
      <c r="AT333" s="411"/>
      <c r="AU333" s="411"/>
      <c r="AV333" s="411"/>
      <c r="AW333" s="411"/>
      <c r="AX333" s="411"/>
      <c r="AY333" s="411"/>
      <c r="AZ333" s="411"/>
      <c r="BA333" s="411"/>
      <c r="BB333" s="411"/>
      <c r="BC333" s="411"/>
      <c r="BD333" s="411"/>
      <c r="BE333" s="411"/>
      <c r="BF333" s="411"/>
      <c r="BG333" s="411"/>
      <c r="BH333" s="397">
        <f t="shared" si="246"/>
        <v>39769.417999999998</v>
      </c>
      <c r="BI333" s="397">
        <f t="shared" si="246"/>
        <v>40876.675999999999</v>
      </c>
      <c r="BJ333" s="397">
        <f>BI333</f>
        <v>40876.675999999999</v>
      </c>
      <c r="BK333" s="423"/>
      <c r="BL333" s="397">
        <f t="shared" si="247"/>
        <v>43147.423499999997</v>
      </c>
      <c r="BM333" s="397">
        <f t="shared" si="247"/>
        <v>44038.103999999999</v>
      </c>
      <c r="BN333" s="397">
        <f>BM333</f>
        <v>44038.103999999999</v>
      </c>
      <c r="BO333" s="348"/>
      <c r="BP333" s="397">
        <f t="shared" si="248"/>
        <v>47161.894999999997</v>
      </c>
      <c r="BQ333" s="397">
        <f t="shared" si="248"/>
        <v>49320.0936</v>
      </c>
      <c r="BR333" s="397">
        <f>BQ333</f>
        <v>49320.0936</v>
      </c>
      <c r="BT333" s="397">
        <f t="shared" si="249"/>
        <v>53143.298000000003</v>
      </c>
      <c r="BU333" s="397">
        <f t="shared" si="249"/>
        <v>54376.991999999998</v>
      </c>
      <c r="BV333" s="397">
        <f>BU333</f>
        <v>54376.991999999998</v>
      </c>
      <c r="BX333" s="397">
        <f t="shared" si="250"/>
        <v>56067.117099999996</v>
      </c>
      <c r="BY333" s="397">
        <f t="shared" si="250"/>
        <v>57902.472599999994</v>
      </c>
      <c r="BZ333" s="397">
        <f>BY333</f>
        <v>57902.472599999994</v>
      </c>
      <c r="CB333" s="397">
        <f t="shared" si="251"/>
        <v>60497.658900000002</v>
      </c>
      <c r="CC333" s="397">
        <f t="shared" si="251"/>
        <v>62144.2094</v>
      </c>
      <c r="CD333" s="397">
        <f>CC333</f>
        <v>62144.2094</v>
      </c>
      <c r="CF333" s="397">
        <f t="shared" si="252"/>
        <v>65588.364000000001</v>
      </c>
      <c r="CG333" s="397">
        <f t="shared" si="252"/>
        <v>66127.074000000008</v>
      </c>
      <c r="CH333" s="397">
        <f>CG333</f>
        <v>66127.074000000008</v>
      </c>
      <c r="CJ333" s="397">
        <f t="shared" si="253"/>
        <v>68669.213900000002</v>
      </c>
      <c r="CK333" s="397">
        <f t="shared" si="253"/>
        <v>74466.120999999999</v>
      </c>
      <c r="CL333" s="397">
        <f>CK333</f>
        <v>74466.120999999999</v>
      </c>
      <c r="CN333" s="397">
        <f t="shared" si="254"/>
        <v>76344.785699999993</v>
      </c>
      <c r="CO333" s="397">
        <f t="shared" si="254"/>
        <v>77248.524000000005</v>
      </c>
      <c r="CP333" s="397">
        <f>CO333</f>
        <v>77248.524000000005</v>
      </c>
      <c r="CQ333" s="428">
        <f>+CP333/CL333-1</f>
        <v>3.7364682927421455E-2</v>
      </c>
      <c r="CR333" s="397">
        <f t="shared" si="255"/>
        <v>81033.186000000002</v>
      </c>
      <c r="CS333" s="397">
        <f t="shared" si="255"/>
        <v>80444.237699999998</v>
      </c>
      <c r="CT333" s="397">
        <f>CS333</f>
        <v>80444.237699999998</v>
      </c>
      <c r="CU333" s="428">
        <f>+CT333/CP333-1</f>
        <v>4.1369252569796622E-2</v>
      </c>
      <c r="CV333" s="397">
        <f t="shared" si="256"/>
        <v>82909.217599999989</v>
      </c>
      <c r="CW333" s="397">
        <f t="shared" si="256"/>
        <v>84394.935299999997</v>
      </c>
      <c r="CX333" s="397">
        <f>CW333</f>
        <v>84394.935299999997</v>
      </c>
      <c r="CY333" s="428">
        <f>+CX333/CT333-1</f>
        <v>4.9111007984602884E-2</v>
      </c>
      <c r="CZ333" s="397">
        <f t="shared" si="257"/>
        <v>86428.461599999995</v>
      </c>
      <c r="DA333" s="397">
        <f t="shared" si="257"/>
        <v>87436.371599999999</v>
      </c>
      <c r="DB333" s="397">
        <f>DA333</f>
        <v>87436.371599999999</v>
      </c>
      <c r="DC333" s="428">
        <f>+DB333/CX333-1</f>
        <v>3.6038137705640239E-2</v>
      </c>
      <c r="DD333" s="397">
        <f>+DD318*DD$325</f>
        <v>90823.762600000002</v>
      </c>
      <c r="DE333" s="397">
        <f t="shared" ref="DE333" si="260">+DE318*DE$325</f>
        <v>92105.283200000005</v>
      </c>
      <c r="DF333" s="397">
        <f>DE333</f>
        <v>92105.283200000005</v>
      </c>
      <c r="DG333" s="428">
        <f>+DF333/DB333-1</f>
        <v>5.3397819632305055E-2</v>
      </c>
      <c r="DH333" s="397">
        <f>+DH318*DH$325</f>
        <v>94464.294999999998</v>
      </c>
      <c r="DI333" s="397">
        <f t="shared" ref="DI333" si="261">DI327+DI330+DI331+DI332</f>
        <v>96361.299840000022</v>
      </c>
      <c r="DJ333" s="397">
        <f>DI333</f>
        <v>96361.299840000022</v>
      </c>
      <c r="DK333" s="428">
        <f>+DJ333/DF333-1</f>
        <v>4.6208170607959342E-2</v>
      </c>
      <c r="DL333" s="397">
        <f t="shared" ref="DL333:DM333" si="262">DL327+DL330+DL331+DL332</f>
        <v>98298.293599050012</v>
      </c>
      <c r="DM333" s="397">
        <f t="shared" si="262"/>
        <v>100276.10871759977</v>
      </c>
      <c r="DN333" s="397">
        <f>DM333</f>
        <v>100276.10871759977</v>
      </c>
      <c r="DO333" s="428">
        <f>+DN333/DJ333-1</f>
        <v>4.0626360209959467E-2</v>
      </c>
      <c r="DP333" s="397">
        <f t="shared" ref="DP333:DQ333" si="263">DP327+DP330+DP331+DP332</f>
        <v>102295.59528704459</v>
      </c>
      <c r="DQ333" s="397">
        <f t="shared" si="263"/>
        <v>104357.62142594194</v>
      </c>
      <c r="DR333" s="397">
        <f>DQ333</f>
        <v>104357.62142594194</v>
      </c>
      <c r="DS333" s="428">
        <f>+DR333/DN333-1</f>
        <v>4.0702743260975893E-2</v>
      </c>
      <c r="DT333" s="1"/>
      <c r="DU333" s="1"/>
      <c r="DV333" s="1"/>
      <c r="DW333" s="1"/>
      <c r="DX333" s="1"/>
      <c r="DY333" s="1"/>
      <c r="DZ333" s="1"/>
      <c r="EA333" s="1"/>
      <c r="EB333" s="1"/>
      <c r="EC333" s="1"/>
      <c r="ED333" s="1"/>
      <c r="EE333" s="1"/>
      <c r="EF333" s="1"/>
      <c r="EG333" s="1"/>
      <c r="EH333" s="1"/>
      <c r="EI333" s="1"/>
      <c r="EJ333" s="1"/>
      <c r="EK333" s="1"/>
      <c r="EL333" s="1"/>
      <c r="EM333" s="1"/>
      <c r="EN333" s="1"/>
      <c r="EO333" s="1"/>
      <c r="EP333" s="1"/>
      <c r="EQ333" s="1"/>
      <c r="ER333" s="1"/>
      <c r="ES333" s="1"/>
      <c r="ET333" s="1"/>
      <c r="EU333" s="1"/>
      <c r="EV333" s="1"/>
      <c r="EW333" s="1"/>
      <c r="EX333" s="1"/>
      <c r="EY333" s="1"/>
      <c r="EZ333" s="1"/>
      <c r="FA333" s="1"/>
      <c r="FB333" s="1"/>
      <c r="FC333" s="1"/>
      <c r="FD333" s="1"/>
      <c r="FE333" s="1"/>
      <c r="FF333" s="1"/>
      <c r="FG333" s="1"/>
      <c r="FH333" s="1"/>
      <c r="FI333" s="1"/>
      <c r="FJ333" s="1"/>
      <c r="FK333" s="1"/>
      <c r="FL333" s="1"/>
      <c r="FM333" s="1"/>
      <c r="FN333" s="1"/>
      <c r="FO333" s="1"/>
      <c r="FP333" s="1"/>
      <c r="FQ333" s="1"/>
      <c r="FR333" s="1"/>
      <c r="FS333" s="1"/>
      <c r="FT333" s="1"/>
      <c r="FU333" s="1"/>
      <c r="FV333" s="1"/>
      <c r="FW333" s="1"/>
      <c r="FX333" s="1"/>
      <c r="FY333" s="1"/>
      <c r="FZ333" s="1"/>
      <c r="GA333" s="1"/>
      <c r="GB333" s="1"/>
      <c r="GC333" s="1"/>
      <c r="GD333" s="1"/>
      <c r="GE333" s="1"/>
      <c r="GF333" s="1"/>
      <c r="GG333" s="1"/>
      <c r="GH333" s="1"/>
      <c r="GI333" s="1"/>
      <c r="GJ333" s="1"/>
      <c r="GK333" s="1"/>
      <c r="GL333" s="1"/>
      <c r="GM333" s="1"/>
      <c r="GN333" s="1"/>
      <c r="GO333" s="1"/>
      <c r="GP333" s="1"/>
      <c r="GQ333" s="1"/>
      <c r="GR333" s="1"/>
      <c r="GS333" s="1"/>
      <c r="GT333" s="1"/>
      <c r="GU333" s="1"/>
      <c r="GV333" s="1"/>
      <c r="GW333" s="1"/>
      <c r="GX333" s="1"/>
      <c r="GY333" s="1"/>
      <c r="GZ333" s="1"/>
      <c r="HA333" s="1"/>
      <c r="HB333" s="1"/>
      <c r="HC333" s="1"/>
      <c r="HD333" s="1"/>
      <c r="HE333" s="1"/>
      <c r="HF333" s="1"/>
      <c r="HG333" s="1"/>
      <c r="HH333" s="1"/>
      <c r="HI333" s="1"/>
      <c r="HJ333" s="1"/>
      <c r="HK333" s="1"/>
      <c r="HL333" s="1"/>
      <c r="HM333" s="1"/>
      <c r="HN333" s="1"/>
      <c r="HO333" s="1"/>
      <c r="HP333" s="1"/>
      <c r="HQ333" s="1"/>
      <c r="HR333" s="1"/>
      <c r="HS333" s="1"/>
      <c r="HT333" s="1"/>
      <c r="HU333" s="1"/>
      <c r="HV333" s="1"/>
      <c r="HW333" s="1"/>
      <c r="HX333" s="1"/>
      <c r="HY333" s="1"/>
      <c r="HZ333" s="1"/>
      <c r="IA333" s="1"/>
      <c r="IB333" s="1"/>
      <c r="IC333" s="1"/>
      <c r="ID333" s="1"/>
      <c r="IE333" s="1"/>
      <c r="IF333" s="1"/>
      <c r="IG333" s="1"/>
      <c r="IH333" s="1"/>
      <c r="II333" s="1"/>
      <c r="IJ333" s="1"/>
      <c r="IK333" s="1"/>
      <c r="IL333" s="1"/>
      <c r="IM333" s="1"/>
      <c r="IN333" s="1"/>
      <c r="IO333" s="1"/>
      <c r="IP333" s="1"/>
      <c r="IQ333" s="1"/>
      <c r="IR333" s="1"/>
      <c r="IS333" s="1"/>
      <c r="IT333" s="1"/>
      <c r="IU333" s="1"/>
      <c r="IV333" s="1"/>
      <c r="IW333" s="1"/>
      <c r="IX333" s="1"/>
      <c r="IY333" s="1"/>
      <c r="IZ333" s="1"/>
      <c r="JA333" s="1"/>
      <c r="JB333" s="1"/>
      <c r="JC333" s="1"/>
      <c r="JD333" s="1"/>
    </row>
    <row r="334" spans="1:264" s="347" customFormat="1" x14ac:dyDescent="0.2">
      <c r="A334" s="424" t="s">
        <v>273</v>
      </c>
      <c r="B334" s="348"/>
      <c r="BH334" s="398"/>
      <c r="BI334" s="348"/>
      <c r="BJ334" s="348"/>
      <c r="BK334" s="348"/>
      <c r="BL334" s="398"/>
      <c r="BM334" s="348"/>
      <c r="BN334" s="348"/>
      <c r="BO334" s="348"/>
      <c r="BP334" s="398"/>
      <c r="BQ334" s="348"/>
      <c r="BR334" s="348"/>
      <c r="BT334" s="398"/>
      <c r="BU334" s="348"/>
      <c r="BV334" s="348"/>
      <c r="BX334" s="398"/>
      <c r="BY334" s="348"/>
      <c r="BZ334" s="348"/>
      <c r="CB334" s="398"/>
      <c r="CC334" s="348"/>
      <c r="CD334" s="348"/>
      <c r="CF334" s="398"/>
      <c r="CG334" s="348"/>
      <c r="CH334" s="348"/>
      <c r="CJ334" s="398"/>
      <c r="CK334" s="348"/>
      <c r="CL334" s="348"/>
      <c r="CN334" s="398"/>
      <c r="CO334" s="348"/>
      <c r="CP334" s="348"/>
      <c r="CR334" s="398"/>
      <c r="CS334" s="348"/>
      <c r="CT334" s="348"/>
      <c r="CV334" s="398"/>
      <c r="CW334" s="348"/>
      <c r="CX334" s="348"/>
      <c r="CZ334" s="398"/>
      <c r="DA334" s="348"/>
      <c r="DB334" s="348"/>
      <c r="DD334" s="398"/>
      <c r="DE334" s="348"/>
      <c r="DF334" s="348"/>
      <c r="DH334" s="398"/>
      <c r="DI334" s="348"/>
      <c r="DJ334" s="348"/>
      <c r="DL334" s="348"/>
      <c r="DM334" s="348"/>
      <c r="DN334" s="348"/>
      <c r="DP334" s="348"/>
      <c r="DQ334" s="348"/>
      <c r="DR334" s="348"/>
      <c r="DT334" s="1"/>
      <c r="DU334" s="1"/>
      <c r="DV334" s="1"/>
      <c r="DW334" s="1"/>
      <c r="DX334" s="1"/>
      <c r="DY334" s="1"/>
      <c r="DZ334" s="1"/>
      <c r="EA334" s="1"/>
      <c r="EB334" s="1"/>
      <c r="EC334" s="1"/>
      <c r="ED334" s="1"/>
      <c r="EE334" s="1"/>
      <c r="EF334" s="1"/>
      <c r="EG334" s="1"/>
      <c r="EH334" s="1"/>
      <c r="EI334" s="1"/>
      <c r="EJ334" s="1"/>
      <c r="EK334" s="1"/>
      <c r="EL334" s="1"/>
      <c r="EM334" s="1"/>
      <c r="EN334" s="1"/>
      <c r="EO334" s="1"/>
      <c r="EP334" s="1"/>
      <c r="EQ334" s="1"/>
      <c r="ER334" s="1"/>
      <c r="ES334" s="1"/>
      <c r="ET334" s="1"/>
      <c r="EU334" s="1"/>
      <c r="EV334" s="1"/>
      <c r="EW334" s="1"/>
      <c r="EX334" s="1"/>
      <c r="EY334" s="1"/>
      <c r="EZ334" s="1"/>
      <c r="FA334" s="1"/>
      <c r="FB334" s="1"/>
      <c r="FC334" s="1"/>
      <c r="FD334" s="1"/>
      <c r="FE334" s="1"/>
      <c r="FF334" s="1"/>
      <c r="FG334" s="1"/>
      <c r="FH334" s="1"/>
      <c r="FI334" s="1"/>
      <c r="FJ334" s="1"/>
      <c r="FK334" s="1"/>
      <c r="FL334" s="1"/>
      <c r="FM334" s="1"/>
      <c r="FN334" s="1"/>
      <c r="FO334" s="1"/>
      <c r="FP334" s="1"/>
      <c r="FQ334" s="1"/>
      <c r="FR334" s="1"/>
      <c r="FS334" s="1"/>
      <c r="FT334" s="1"/>
      <c r="FU334" s="1"/>
      <c r="FV334" s="1"/>
      <c r="FW334" s="1"/>
      <c r="FX334" s="1"/>
      <c r="FY334" s="1"/>
      <c r="FZ334" s="1"/>
      <c r="GA334" s="1"/>
      <c r="GB334" s="1"/>
      <c r="GC334" s="1"/>
      <c r="GD334" s="1"/>
      <c r="GE334" s="1"/>
      <c r="GF334" s="1"/>
      <c r="GG334" s="1"/>
      <c r="GH334" s="1"/>
      <c r="GI334" s="1"/>
      <c r="GJ334" s="1"/>
      <c r="GK334" s="1"/>
      <c r="GL334" s="1"/>
      <c r="GM334" s="1"/>
      <c r="GN334" s="1"/>
      <c r="GO334" s="1"/>
      <c r="GP334" s="1"/>
      <c r="GQ334" s="1"/>
      <c r="GR334" s="1"/>
      <c r="GS334" s="1"/>
      <c r="GT334" s="1"/>
      <c r="GU334" s="1"/>
      <c r="GV334" s="1"/>
      <c r="GW334" s="1"/>
      <c r="GX334" s="1"/>
      <c r="GY334" s="1"/>
      <c r="GZ334" s="1"/>
      <c r="HA334" s="1"/>
      <c r="HB334" s="1"/>
      <c r="HC334" s="1"/>
      <c r="HD334" s="1"/>
      <c r="HE334" s="1"/>
      <c r="HF334" s="1"/>
      <c r="HG334" s="1"/>
      <c r="HH334" s="1"/>
      <c r="HI334" s="1"/>
      <c r="HJ334" s="1"/>
      <c r="HK334" s="1"/>
      <c r="HL334" s="1"/>
      <c r="HM334" s="1"/>
      <c r="HN334" s="1"/>
      <c r="HO334" s="1"/>
      <c r="HP334" s="1"/>
      <c r="HQ334" s="1"/>
      <c r="HR334" s="1"/>
      <c r="HS334" s="1"/>
      <c r="HT334" s="1"/>
      <c r="HU334" s="1"/>
      <c r="HV334" s="1"/>
      <c r="HW334" s="1"/>
      <c r="HX334" s="1"/>
      <c r="HY334" s="1"/>
      <c r="HZ334" s="1"/>
      <c r="IA334" s="1"/>
      <c r="IB334" s="1"/>
      <c r="IC334" s="1"/>
      <c r="ID334" s="1"/>
      <c r="IE334" s="1"/>
      <c r="IF334" s="1"/>
      <c r="IG334" s="1"/>
      <c r="IH334" s="1"/>
      <c r="II334" s="1"/>
      <c r="IJ334" s="1"/>
      <c r="IK334" s="1"/>
      <c r="IL334" s="1"/>
      <c r="IM334" s="1"/>
      <c r="IN334" s="1"/>
      <c r="IO334" s="1"/>
      <c r="IP334" s="1"/>
      <c r="IQ334" s="1"/>
      <c r="IR334" s="1"/>
      <c r="IS334" s="1"/>
      <c r="IT334" s="1"/>
      <c r="IU334" s="1"/>
      <c r="IV334" s="1"/>
      <c r="IW334" s="1"/>
      <c r="IX334" s="1"/>
      <c r="IY334" s="1"/>
      <c r="IZ334" s="1"/>
      <c r="JA334" s="1"/>
      <c r="JB334" s="1"/>
      <c r="JC334" s="1"/>
      <c r="JD334" s="1"/>
    </row>
    <row r="335" spans="1:264" s="347" customFormat="1" x14ac:dyDescent="0.2">
      <c r="A335" s="436" t="str">
        <f>+A327</f>
        <v>CoD</v>
      </c>
      <c r="B335" s="466" t="s">
        <v>140</v>
      </c>
      <c r="C335" s="463"/>
      <c r="D335" s="463"/>
      <c r="E335" s="463"/>
      <c r="F335" s="463"/>
      <c r="G335" s="463"/>
      <c r="H335" s="463"/>
      <c r="I335" s="463"/>
      <c r="J335" s="463"/>
      <c r="K335" s="463"/>
      <c r="L335" s="463"/>
      <c r="M335" s="463"/>
      <c r="N335" s="463"/>
      <c r="O335" s="463"/>
      <c r="P335" s="463"/>
      <c r="Q335" s="463"/>
      <c r="R335" s="463"/>
      <c r="S335" s="463"/>
      <c r="T335" s="463"/>
      <c r="U335" s="463"/>
      <c r="V335" s="463"/>
      <c r="W335" s="463"/>
      <c r="X335" s="463"/>
      <c r="Y335" s="463"/>
      <c r="Z335" s="463"/>
      <c r="AA335" s="463"/>
      <c r="AB335" s="463"/>
      <c r="AC335" s="463"/>
      <c r="AD335" s="463"/>
      <c r="AE335" s="463"/>
      <c r="AF335" s="463"/>
      <c r="AG335" s="463"/>
      <c r="AH335" s="463"/>
      <c r="AI335" s="463"/>
      <c r="AJ335" s="463"/>
      <c r="AK335" s="463"/>
      <c r="AL335" s="463"/>
      <c r="AM335" s="463"/>
      <c r="AN335" s="463"/>
      <c r="AO335" s="463"/>
      <c r="AP335" s="463"/>
      <c r="AQ335" s="463"/>
      <c r="AR335" s="463"/>
      <c r="AS335" s="463"/>
      <c r="AT335" s="463"/>
      <c r="AU335" s="463"/>
      <c r="AV335" s="463"/>
      <c r="AW335" s="463"/>
      <c r="AX335" s="463"/>
      <c r="AY335" s="463"/>
      <c r="AZ335" s="463"/>
      <c r="BA335" s="463"/>
      <c r="BB335" s="463"/>
      <c r="BC335" s="463"/>
      <c r="BD335" s="463"/>
      <c r="BE335" s="463"/>
      <c r="BF335" s="463"/>
      <c r="BG335" s="463"/>
      <c r="BH335" s="464"/>
      <c r="BI335" s="465">
        <f>+BI327/BH327-1</f>
        <v>-0.78357274169129831</v>
      </c>
      <c r="BJ335" s="466"/>
      <c r="BK335" s="466"/>
      <c r="BL335" s="465">
        <f>+BL327/BI327-1</f>
        <v>-0.12897487144254993</v>
      </c>
      <c r="BM335" s="465">
        <f>+BM327/BL327-1</f>
        <v>1.713782582559614</v>
      </c>
      <c r="BN335" s="466"/>
      <c r="BO335" s="466"/>
      <c r="BP335" s="465">
        <f>+BP327/BM327-1</f>
        <v>2.4928716186758568</v>
      </c>
      <c r="BQ335" s="465">
        <f>+BQ327/BP327-1</f>
        <v>1.5264726314528687</v>
      </c>
      <c r="BR335" s="466"/>
      <c r="BS335" s="463"/>
      <c r="BT335" s="465">
        <f>+BT327/BQ327-1</f>
        <v>0.17564665905877597</v>
      </c>
      <c r="BU335" s="465">
        <f>+BU327/BT327-1</f>
        <v>0.23505344120618354</v>
      </c>
      <c r="BV335" s="466"/>
      <c r="BW335" s="463"/>
      <c r="BX335" s="465">
        <f>+BX327/BU327-1</f>
        <v>-9.9510725309517212E-2</v>
      </c>
      <c r="BY335" s="465">
        <f>+BY327/BX327-1</f>
        <v>-3.5232422518543527E-2</v>
      </c>
      <c r="BZ335" s="466"/>
      <c r="CA335" s="463"/>
      <c r="CB335" s="465">
        <f>+CB327/BY327-1</f>
        <v>-6.0622399158592133E-2</v>
      </c>
      <c r="CC335" s="465">
        <f>+CC327/CB327-1</f>
        <v>7.4579349483260726E-2</v>
      </c>
      <c r="CD335" s="466"/>
      <c r="CE335" s="463"/>
      <c r="CF335" s="465">
        <f>+CF327/CC327-1</f>
        <v>0.42171717043060308</v>
      </c>
      <c r="CG335" s="465">
        <f>+CG327/CF327-1</f>
        <v>-6.895353084275746E-2</v>
      </c>
      <c r="CH335" s="466"/>
      <c r="CI335" s="463"/>
      <c r="CJ335" s="465">
        <f>+CJ327/CG327-1</f>
        <v>-3.0266164604116907E-3</v>
      </c>
      <c r="CK335" s="465">
        <f>+CK327/CJ327-1</f>
        <v>0.19470354910735166</v>
      </c>
      <c r="CL335" s="466"/>
      <c r="CM335" s="463"/>
      <c r="CN335" s="465">
        <f>+CN327/CK327-1</f>
        <v>-7.4876278263229845E-2</v>
      </c>
      <c r="CO335" s="465">
        <f>+CO327/CN327-1</f>
        <v>3.5412613261252668E-2</v>
      </c>
      <c r="CP335" s="466"/>
      <c r="CQ335" s="463"/>
      <c r="CR335" s="465">
        <f>+CR327/CO327-1</f>
        <v>-0.25285682255563247</v>
      </c>
      <c r="CS335" s="465">
        <f>+CS327/CR327-1</f>
        <v>2.2571439408052285E-3</v>
      </c>
      <c r="CT335" s="466"/>
      <c r="CU335" s="463"/>
      <c r="CV335" s="465">
        <f>+CV327/CS327-1</f>
        <v>0.27055051320272594</v>
      </c>
      <c r="CW335" s="465">
        <f>+CW327/CV327-1</f>
        <v>8.7234627055474689E-3</v>
      </c>
      <c r="CX335" s="466"/>
      <c r="CY335" s="463"/>
      <c r="CZ335" s="465">
        <f>+CZ327/CW327-1</f>
        <v>-0.38588122549575898</v>
      </c>
      <c r="DA335" s="465">
        <f>+DA327/CZ327-1</f>
        <v>0.12167374661192909</v>
      </c>
      <c r="DB335" s="466"/>
      <c r="DC335" s="463"/>
      <c r="DD335" s="465">
        <f>+DD327/DA327-1</f>
        <v>0.18631450555688822</v>
      </c>
      <c r="DE335" s="465">
        <f>+DE327/DD327-1</f>
        <v>-0.15715721094671775</v>
      </c>
      <c r="DF335" s="466"/>
      <c r="DG335" s="463"/>
      <c r="DH335" s="465">
        <f>+DH327/DE327-1</f>
        <v>-0.30612032903434605</v>
      </c>
      <c r="DI335" s="482">
        <v>-0.01</v>
      </c>
      <c r="DJ335" s="466"/>
      <c r="DK335" s="463"/>
      <c r="DL335" s="482">
        <v>-0.01</v>
      </c>
      <c r="DM335" s="482">
        <v>-0.01</v>
      </c>
      <c r="DN335" s="466"/>
      <c r="DO335" s="463"/>
      <c r="DP335" s="482">
        <v>-0.01</v>
      </c>
      <c r="DQ335" s="482">
        <v>-0.01</v>
      </c>
      <c r="DR335" s="466"/>
      <c r="DS335" s="463"/>
      <c r="DT335" s="1"/>
      <c r="DU335" s="1"/>
      <c r="DV335" s="1"/>
      <c r="DW335" s="1"/>
      <c r="DX335" s="1"/>
      <c r="DY335" s="1"/>
      <c r="DZ335" s="1"/>
      <c r="EA335" s="1"/>
      <c r="EB335" s="1"/>
      <c r="EC335" s="1"/>
      <c r="ED335" s="1"/>
      <c r="EE335" s="1"/>
      <c r="EF335" s="1"/>
      <c r="EG335" s="1"/>
      <c r="EH335" s="1"/>
      <c r="EI335" s="1"/>
      <c r="EJ335" s="1"/>
      <c r="EK335" s="1"/>
      <c r="EL335" s="1"/>
      <c r="EM335" s="1"/>
      <c r="EN335" s="1"/>
      <c r="EO335" s="1"/>
      <c r="EP335" s="1"/>
      <c r="EQ335" s="1"/>
      <c r="ER335" s="1"/>
      <c r="ES335" s="1"/>
      <c r="ET335" s="1"/>
      <c r="EU335" s="1"/>
      <c r="EV335" s="1"/>
      <c r="EW335" s="1"/>
      <c r="EX335" s="1"/>
      <c r="EY335" s="1"/>
      <c r="EZ335" s="1"/>
      <c r="FA335" s="1"/>
      <c r="FB335" s="1"/>
      <c r="FC335" s="1"/>
      <c r="FD335" s="1"/>
      <c r="FE335" s="1"/>
      <c r="FF335" s="1"/>
      <c r="FG335" s="1"/>
      <c r="FH335" s="1"/>
      <c r="FI335" s="1"/>
      <c r="FJ335" s="1"/>
      <c r="FK335" s="1"/>
      <c r="FL335" s="1"/>
      <c r="FM335" s="1"/>
      <c r="FN335" s="1"/>
      <c r="FO335" s="1"/>
      <c r="FP335" s="1"/>
      <c r="FQ335" s="1"/>
      <c r="FR335" s="1"/>
      <c r="FS335" s="1"/>
      <c r="FT335" s="1"/>
      <c r="FU335" s="1"/>
      <c r="FV335" s="1"/>
      <c r="FW335" s="1"/>
      <c r="FX335" s="1"/>
      <c r="FY335" s="1"/>
      <c r="FZ335" s="1"/>
      <c r="GA335" s="1"/>
      <c r="GB335" s="1"/>
      <c r="GC335" s="1"/>
      <c r="GD335" s="1"/>
      <c r="GE335" s="1"/>
      <c r="GF335" s="1"/>
      <c r="GG335" s="1"/>
      <c r="GH335" s="1"/>
      <c r="GI335" s="1"/>
      <c r="GJ335" s="1"/>
      <c r="GK335" s="1"/>
      <c r="GL335" s="1"/>
      <c r="GM335" s="1"/>
      <c r="GN335" s="1"/>
      <c r="GO335" s="1"/>
      <c r="GP335" s="1"/>
      <c r="GQ335" s="1"/>
      <c r="GR335" s="1"/>
      <c r="GS335" s="1"/>
      <c r="GT335" s="1"/>
      <c r="GU335" s="1"/>
      <c r="GV335" s="1"/>
      <c r="GW335" s="1"/>
      <c r="GX335" s="1"/>
      <c r="GY335" s="1"/>
      <c r="GZ335" s="1"/>
      <c r="HA335" s="1"/>
      <c r="HB335" s="1"/>
      <c r="HC335" s="1"/>
      <c r="HD335" s="1"/>
      <c r="HE335" s="1"/>
      <c r="HF335" s="1"/>
      <c r="HG335" s="1"/>
      <c r="HH335" s="1"/>
      <c r="HI335" s="1"/>
      <c r="HJ335" s="1"/>
      <c r="HK335" s="1"/>
      <c r="HL335" s="1"/>
      <c r="HM335" s="1"/>
      <c r="HN335" s="1"/>
      <c r="HO335" s="1"/>
      <c r="HP335" s="1"/>
      <c r="HQ335" s="1"/>
      <c r="HR335" s="1"/>
      <c r="HS335" s="1"/>
      <c r="HT335" s="1"/>
      <c r="HU335" s="1"/>
      <c r="HV335" s="1"/>
      <c r="HW335" s="1"/>
      <c r="HX335" s="1"/>
      <c r="HY335" s="1"/>
      <c r="HZ335" s="1"/>
      <c r="IA335" s="1"/>
      <c r="IB335" s="1"/>
      <c r="IC335" s="1"/>
      <c r="ID335" s="1"/>
      <c r="IE335" s="1"/>
      <c r="IF335" s="1"/>
      <c r="IG335" s="1"/>
      <c r="IH335" s="1"/>
      <c r="II335" s="1"/>
      <c r="IJ335" s="1"/>
      <c r="IK335" s="1"/>
      <c r="IL335" s="1"/>
      <c r="IM335" s="1"/>
      <c r="IN335" s="1"/>
      <c r="IO335" s="1"/>
      <c r="IP335" s="1"/>
      <c r="IQ335" s="1"/>
      <c r="IR335" s="1"/>
      <c r="IS335" s="1"/>
      <c r="IT335" s="1"/>
      <c r="IU335" s="1"/>
      <c r="IV335" s="1"/>
      <c r="IW335" s="1"/>
      <c r="IX335" s="1"/>
      <c r="IY335" s="1"/>
      <c r="IZ335" s="1"/>
      <c r="JA335" s="1"/>
      <c r="JB335" s="1"/>
      <c r="JC335" s="1"/>
      <c r="JD335" s="1"/>
    </row>
    <row r="336" spans="1:264" s="347" customFormat="1" x14ac:dyDescent="0.2">
      <c r="A336" s="436" t="str">
        <f>+A328</f>
        <v>Term Deposits</v>
      </c>
      <c r="B336" s="466" t="s">
        <v>140</v>
      </c>
      <c r="C336" s="463"/>
      <c r="D336" s="463"/>
      <c r="E336" s="463"/>
      <c r="F336" s="463"/>
      <c r="G336" s="463"/>
      <c r="H336" s="463"/>
      <c r="I336" s="463"/>
      <c r="J336" s="463"/>
      <c r="K336" s="463"/>
      <c r="L336" s="463"/>
      <c r="M336" s="463"/>
      <c r="N336" s="463"/>
      <c r="O336" s="463"/>
      <c r="P336" s="463"/>
      <c r="Q336" s="463"/>
      <c r="R336" s="463"/>
      <c r="S336" s="463"/>
      <c r="T336" s="463"/>
      <c r="U336" s="463"/>
      <c r="V336" s="463"/>
      <c r="W336" s="463"/>
      <c r="X336" s="463"/>
      <c r="Y336" s="463"/>
      <c r="Z336" s="463"/>
      <c r="AA336" s="463"/>
      <c r="AB336" s="463"/>
      <c r="AC336" s="463"/>
      <c r="AD336" s="463"/>
      <c r="AE336" s="463"/>
      <c r="AF336" s="463"/>
      <c r="AG336" s="463"/>
      <c r="AH336" s="463"/>
      <c r="AI336" s="463"/>
      <c r="AJ336" s="463"/>
      <c r="AK336" s="463"/>
      <c r="AL336" s="463"/>
      <c r="AM336" s="463"/>
      <c r="AN336" s="463"/>
      <c r="AO336" s="463"/>
      <c r="AP336" s="463"/>
      <c r="AQ336" s="463"/>
      <c r="AR336" s="463"/>
      <c r="AS336" s="463"/>
      <c r="AT336" s="463"/>
      <c r="AU336" s="463"/>
      <c r="AV336" s="463"/>
      <c r="AW336" s="463"/>
      <c r="AX336" s="463"/>
      <c r="AY336" s="463"/>
      <c r="AZ336" s="463"/>
      <c r="BA336" s="463"/>
      <c r="BB336" s="463"/>
      <c r="BC336" s="463"/>
      <c r="BD336" s="463"/>
      <c r="BE336" s="463"/>
      <c r="BF336" s="463"/>
      <c r="BG336" s="463"/>
      <c r="BH336" s="464"/>
      <c r="BI336" s="465">
        <f>+BI328/BH328-1</f>
        <v>9.1331652145894004E-3</v>
      </c>
      <c r="BJ336" s="466"/>
      <c r="BK336" s="466"/>
      <c r="BL336" s="465">
        <f>+BL328/BI328-1</f>
        <v>-4.2840314775284605E-2</v>
      </c>
      <c r="BM336" s="465">
        <f>+BM328/BL328-1</f>
        <v>6.3391370360881272E-3</v>
      </c>
      <c r="BN336" s="466"/>
      <c r="BO336" s="466"/>
      <c r="BP336" s="465">
        <f>+BP328/BM328-1</f>
        <v>6.3550495705501531E-2</v>
      </c>
      <c r="BQ336" s="465">
        <f>+BQ328/BP328-1</f>
        <v>4.2069925528336327E-3</v>
      </c>
      <c r="BR336" s="466"/>
      <c r="BS336" s="463"/>
      <c r="BT336" s="465">
        <f>+BT328/BQ328-1</f>
        <v>-2.6106004835901864E-4</v>
      </c>
      <c r="BU336" s="465">
        <f>+BU328/BT328-1</f>
        <v>-1.2533185873234709E-3</v>
      </c>
      <c r="BV336" s="466"/>
      <c r="BW336" s="463"/>
      <c r="BX336" s="465">
        <f>+BX328/BU328-1</f>
        <v>0.10513949539373812</v>
      </c>
      <c r="BY336" s="465">
        <f>+BY328/BX328-1</f>
        <v>0.1262052320984024</v>
      </c>
      <c r="BZ336" s="466"/>
      <c r="CA336" s="463"/>
      <c r="CB336" s="465">
        <f>+CB328/BY328-1</f>
        <v>6.6679655322850806E-2</v>
      </c>
      <c r="CC336" s="465">
        <f>+CC328/CB328-1</f>
        <v>5.2355000626690851E-2</v>
      </c>
      <c r="CD336" s="466"/>
      <c r="CE336" s="463"/>
      <c r="CF336" s="465">
        <f>+CF328/CC328-1</f>
        <v>2.5926078119616669E-2</v>
      </c>
      <c r="CG336" s="465">
        <f>+CG328/CF328-1</f>
        <v>2.8039995618845071E-2</v>
      </c>
      <c r="CH336" s="466"/>
      <c r="CI336" s="463"/>
      <c r="CJ336" s="465">
        <f>+CJ328/CG328-1</f>
        <v>-6.0685082098915766E-3</v>
      </c>
      <c r="CK336" s="465">
        <f>+CK328/CJ328-1</f>
        <v>-2.792488258003234E-2</v>
      </c>
      <c r="CL336" s="466"/>
      <c r="CM336" s="463"/>
      <c r="CN336" s="465">
        <f>+CN328/CK328-1</f>
        <v>-0.15115037692409994</v>
      </c>
      <c r="CO336" s="465">
        <f>+CO328/CN328-1</f>
        <v>-9.004307768705111E-2</v>
      </c>
      <c r="CP336" s="466"/>
      <c r="CQ336" s="463"/>
      <c r="CR336" s="465">
        <f>+CR328/CO328-1</f>
        <v>1.1641391287975367E-4</v>
      </c>
      <c r="CS336" s="465">
        <f>+CS328/CR328-1</f>
        <v>4.4268040367305472E-2</v>
      </c>
      <c r="CT336" s="466"/>
      <c r="CU336" s="463"/>
      <c r="CV336" s="465">
        <f>+CV328/CS328-1</f>
        <v>0.19456964638668883</v>
      </c>
      <c r="CW336" s="465">
        <f>+CW328/CV328-1</f>
        <v>0.16590991835880042</v>
      </c>
      <c r="CX336" s="466"/>
      <c r="CY336" s="463"/>
      <c r="CZ336" s="465">
        <f>+CZ328/CW328-1</f>
        <v>9.6793616473683342E-2</v>
      </c>
      <c r="DA336" s="465">
        <f>+DA328/CZ328-1</f>
        <v>3.2671322317732843E-2</v>
      </c>
      <c r="DB336" s="466"/>
      <c r="DC336" s="463"/>
      <c r="DD336" s="465">
        <f>+DD328/DA328-1</f>
        <v>3.9709183390403302E-2</v>
      </c>
      <c r="DE336" s="465">
        <f>+DE328/DD328-1</f>
        <v>1.0687798376963764E-2</v>
      </c>
      <c r="DF336" s="466"/>
      <c r="DG336" s="463"/>
      <c r="DH336" s="465">
        <f>+DH328/DE328-1</f>
        <v>7.5817618335971559E-4</v>
      </c>
      <c r="DI336" s="482">
        <v>0.02</v>
      </c>
      <c r="DJ336" s="466"/>
      <c r="DK336" s="463"/>
      <c r="DL336" s="482">
        <v>0.02</v>
      </c>
      <c r="DM336" s="482">
        <v>0.02</v>
      </c>
      <c r="DN336" s="466"/>
      <c r="DO336" s="463"/>
      <c r="DP336" s="482">
        <v>0.02</v>
      </c>
      <c r="DQ336" s="482">
        <v>0.02</v>
      </c>
      <c r="DR336" s="466"/>
      <c r="DS336" s="463"/>
    </row>
    <row r="337" spans="1:123" s="411" customFormat="1" x14ac:dyDescent="0.2">
      <c r="A337" s="424" t="s">
        <v>1138</v>
      </c>
      <c r="B337" s="423"/>
      <c r="BH337" s="396"/>
      <c r="BI337" s="481"/>
      <c r="BJ337" s="423"/>
      <c r="BK337" s="423"/>
      <c r="BL337" s="481"/>
      <c r="BM337" s="481"/>
      <c r="BN337" s="423"/>
      <c r="BO337" s="423"/>
      <c r="BP337" s="481"/>
      <c r="BQ337" s="481"/>
      <c r="BR337" s="423"/>
      <c r="BT337" s="481"/>
      <c r="BU337" s="481"/>
      <c r="BV337" s="423"/>
      <c r="BX337" s="481"/>
      <c r="BY337" s="481"/>
      <c r="BZ337" s="423"/>
      <c r="CB337" s="481"/>
      <c r="CC337" s="481"/>
      <c r="CD337" s="423"/>
      <c r="CF337" s="481"/>
      <c r="CG337" s="481"/>
      <c r="CH337" s="423"/>
      <c r="CJ337" s="481"/>
      <c r="CK337" s="481"/>
      <c r="CL337" s="423"/>
      <c r="CN337" s="481"/>
      <c r="CO337" s="481"/>
      <c r="CP337" s="423"/>
      <c r="CR337" s="481"/>
      <c r="CS337" s="481"/>
      <c r="CT337" s="423"/>
      <c r="CV337" s="481"/>
      <c r="CW337" s="481"/>
      <c r="CX337" s="423"/>
      <c r="CZ337" s="481"/>
      <c r="DA337" s="481">
        <f>+DA330/CZ330-1</f>
        <v>3.2671322317732843E-2</v>
      </c>
      <c r="DB337" s="423"/>
      <c r="DD337" s="481">
        <f>+DD330/DA330-1</f>
        <v>3.9709183390403302E-2</v>
      </c>
      <c r="DE337" s="481">
        <f>+DE330/DD330-1</f>
        <v>1.0687798376963764E-2</v>
      </c>
      <c r="DF337" s="423"/>
      <c r="DH337" s="481">
        <f>+DH330/DE330-1</f>
        <v>7.5817618335971559E-4</v>
      </c>
      <c r="DI337" s="481">
        <f>+DI330/DH330-1</f>
        <v>2.0000000000000018E-2</v>
      </c>
      <c r="DJ337" s="423"/>
      <c r="DL337" s="481">
        <f>+DL330/DI330-1</f>
        <v>2.0000000000000018E-2</v>
      </c>
      <c r="DM337" s="481">
        <f>+DM330/DL330-1</f>
        <v>2.0000000000000018E-2</v>
      </c>
      <c r="DN337" s="423"/>
      <c r="DP337" s="481">
        <f>+DP330/DM330-1</f>
        <v>2.0000000000000018E-2</v>
      </c>
      <c r="DQ337" s="481">
        <f>+DQ330/DP330-1</f>
        <v>2.0000000000000018E-2</v>
      </c>
      <c r="DR337" s="423"/>
    </row>
    <row r="338" spans="1:123" s="347" customFormat="1" x14ac:dyDescent="0.2">
      <c r="A338" s="436" t="s">
        <v>338</v>
      </c>
      <c r="B338" s="466" t="s">
        <v>140</v>
      </c>
      <c r="C338" s="463"/>
      <c r="D338" s="463"/>
      <c r="E338" s="463"/>
      <c r="F338" s="463"/>
      <c r="G338" s="463"/>
      <c r="H338" s="463"/>
      <c r="I338" s="463"/>
      <c r="J338" s="463"/>
      <c r="K338" s="463"/>
      <c r="L338" s="463"/>
      <c r="M338" s="463"/>
      <c r="N338" s="463"/>
      <c r="O338" s="463"/>
      <c r="P338" s="463"/>
      <c r="Q338" s="463"/>
      <c r="R338" s="463"/>
      <c r="S338" s="463"/>
      <c r="T338" s="463"/>
      <c r="U338" s="463"/>
      <c r="V338" s="463"/>
      <c r="W338" s="463"/>
      <c r="X338" s="463"/>
      <c r="Y338" s="463"/>
      <c r="Z338" s="463"/>
      <c r="AA338" s="463"/>
      <c r="AB338" s="463"/>
      <c r="AC338" s="463"/>
      <c r="AD338" s="463"/>
      <c r="AE338" s="463"/>
      <c r="AF338" s="463"/>
      <c r="AG338" s="463"/>
      <c r="AH338" s="463"/>
      <c r="AI338" s="463"/>
      <c r="AJ338" s="463"/>
      <c r="AK338" s="463"/>
      <c r="AL338" s="463"/>
      <c r="AM338" s="463"/>
      <c r="AN338" s="463"/>
      <c r="AO338" s="463"/>
      <c r="AP338" s="463"/>
      <c r="AQ338" s="463"/>
      <c r="AR338" s="463"/>
      <c r="AS338" s="463"/>
      <c r="AT338" s="463"/>
      <c r="AU338" s="463"/>
      <c r="AV338" s="463"/>
      <c r="AW338" s="463"/>
      <c r="AX338" s="463"/>
      <c r="AY338" s="463"/>
      <c r="AZ338" s="463"/>
      <c r="BA338" s="463"/>
      <c r="BB338" s="463"/>
      <c r="BC338" s="463"/>
      <c r="BD338" s="463"/>
      <c r="BE338" s="463"/>
      <c r="BF338" s="463"/>
      <c r="BG338" s="463"/>
      <c r="BH338" s="464"/>
      <c r="BI338" s="465">
        <f>+BI331/BH331-1</f>
        <v>-3.2058953566759363E-2</v>
      </c>
      <c r="BJ338" s="466"/>
      <c r="BK338" s="466"/>
      <c r="BL338" s="465">
        <f>+BL331/BI331-1</f>
        <v>0.14244481861815594</v>
      </c>
      <c r="BM338" s="465">
        <f>+BM331/BL331-1</f>
        <v>-2.4929149810795304E-2</v>
      </c>
      <c r="BN338" s="466"/>
      <c r="BO338" s="466"/>
      <c r="BP338" s="465">
        <f>+BP331/BM331-1</f>
        <v>0.10743848608316564</v>
      </c>
      <c r="BQ338" s="465">
        <f>+BQ331/BP331-1</f>
        <v>-3.5625743286223921E-2</v>
      </c>
      <c r="BR338" s="466"/>
      <c r="BS338" s="463"/>
      <c r="BT338" s="465">
        <f>+BT331/BQ331-1</f>
        <v>0.21140254576573736</v>
      </c>
      <c r="BU338" s="465">
        <f>+BU331/BT331-1</f>
        <v>3.6397452666591557E-2</v>
      </c>
      <c r="BV338" s="466"/>
      <c r="BW338" s="463"/>
      <c r="BX338" s="465">
        <f>+BX331/BU331-1</f>
        <v>0.1229211227751581</v>
      </c>
      <c r="BY338" s="465">
        <f>+BY331/BX331-1</f>
        <v>2.6431104323144661E-2</v>
      </c>
      <c r="BZ338" s="466"/>
      <c r="CA338" s="463"/>
      <c r="CB338" s="465">
        <f>+CB331/BY331-1</f>
        <v>0.15471418169256945</v>
      </c>
      <c r="CC338" s="465">
        <f>+CC331/CB331-1</f>
        <v>3.3985133223198183E-2</v>
      </c>
      <c r="CD338" s="466"/>
      <c r="CE338" s="463"/>
      <c r="CF338" s="465">
        <f>+CF331/CC331-1</f>
        <v>0.11573060830282844</v>
      </c>
      <c r="CG338" s="465">
        <f>+CG331/CF331-1</f>
        <v>2.8226618546497884E-2</v>
      </c>
      <c r="CH338" s="466"/>
      <c r="CI338" s="463"/>
      <c r="CJ338" s="465">
        <f>+CJ331/CG331-1</f>
        <v>0.19091112639976138</v>
      </c>
      <c r="CK338" s="465">
        <f>+CK331/CJ331-1</f>
        <v>0.23360408182964565</v>
      </c>
      <c r="CL338" s="466"/>
      <c r="CM338" s="463"/>
      <c r="CN338" s="465">
        <f>+CN331/CK331-1</f>
        <v>0.28889816438699523</v>
      </c>
      <c r="CO338" s="465">
        <f>+CO331/CN331-1</f>
        <v>0.11281086908214455</v>
      </c>
      <c r="CP338" s="466"/>
      <c r="CQ338" s="463"/>
      <c r="CR338" s="465">
        <f>+CR331/CO331-1</f>
        <v>0.19354314639947701</v>
      </c>
      <c r="CS338" s="465">
        <f>+CS331/CR331-1</f>
        <v>-5.2569888875298898E-2</v>
      </c>
      <c r="CT338" s="466"/>
      <c r="CU338" s="463"/>
      <c r="CV338" s="465">
        <f>+CV331/CS331-1</f>
        <v>-8.284134703060253E-2</v>
      </c>
      <c r="CW338" s="465">
        <f>+CW331/CV331-1</f>
        <v>-0.13188710036701046</v>
      </c>
      <c r="CX338" s="466"/>
      <c r="CY338" s="463"/>
      <c r="CZ338" s="465">
        <f>+CZ331/CW331-1</f>
        <v>-8.835101771278886E-3</v>
      </c>
      <c r="DA338" s="465">
        <f>+DA331/CZ331-1</f>
        <v>-7.3810673047924102E-2</v>
      </c>
      <c r="DB338" s="466"/>
      <c r="DC338" s="463"/>
      <c r="DD338" s="465">
        <f>+DD331/DA331-1</f>
        <v>9.0263037330986728E-2</v>
      </c>
      <c r="DE338" s="465">
        <f>+DE331/DD331-1</f>
        <v>1.602280869380257E-2</v>
      </c>
      <c r="DF338" s="466"/>
      <c r="DG338" s="463"/>
      <c r="DH338" s="465">
        <f>+DH331/DE331-1</f>
        <v>0.13890426139318834</v>
      </c>
      <c r="DI338" s="482">
        <v>2.5000000000000001E-2</v>
      </c>
      <c r="DJ338" s="466"/>
      <c r="DK338" s="463"/>
      <c r="DL338" s="482">
        <v>2.5000000000000001E-2</v>
      </c>
      <c r="DM338" s="482">
        <v>2.5000000000000001E-2</v>
      </c>
      <c r="DN338" s="466"/>
      <c r="DO338" s="463"/>
      <c r="DP338" s="482">
        <v>2.5000000000000001E-2</v>
      </c>
      <c r="DQ338" s="482">
        <v>2.5000000000000001E-2</v>
      </c>
      <c r="DR338" s="466"/>
      <c r="DS338" s="463"/>
    </row>
    <row r="339" spans="1:123" s="347" customFormat="1" x14ac:dyDescent="0.2">
      <c r="A339" s="436" t="str">
        <f>+A332</f>
        <v>Other Deposits</v>
      </c>
      <c r="B339" s="466" t="s">
        <v>140</v>
      </c>
      <c r="C339" s="463"/>
      <c r="D339" s="463"/>
      <c r="E339" s="463"/>
      <c r="F339" s="463"/>
      <c r="G339" s="463"/>
      <c r="H339" s="463"/>
      <c r="I339" s="463"/>
      <c r="J339" s="463"/>
      <c r="K339" s="463"/>
      <c r="L339" s="463"/>
      <c r="M339" s="463"/>
      <c r="N339" s="463"/>
      <c r="O339" s="463"/>
      <c r="P339" s="463"/>
      <c r="Q339" s="463"/>
      <c r="R339" s="463"/>
      <c r="S339" s="463"/>
      <c r="T339" s="463"/>
      <c r="U339" s="463"/>
      <c r="V339" s="463"/>
      <c r="W339" s="463"/>
      <c r="X339" s="463"/>
      <c r="Y339" s="463"/>
      <c r="Z339" s="463"/>
      <c r="AA339" s="463"/>
      <c r="AB339" s="463"/>
      <c r="AC339" s="463"/>
      <c r="AD339" s="463"/>
      <c r="AE339" s="463"/>
      <c r="AF339" s="463"/>
      <c r="AG339" s="463"/>
      <c r="AH339" s="463"/>
      <c r="AI339" s="463"/>
      <c r="AJ339" s="463"/>
      <c r="AK339" s="463"/>
      <c r="AL339" s="463"/>
      <c r="AM339" s="463"/>
      <c r="AN339" s="463"/>
      <c r="AO339" s="463"/>
      <c r="AP339" s="463"/>
      <c r="AQ339" s="463"/>
      <c r="AR339" s="463"/>
      <c r="AS339" s="463"/>
      <c r="AT339" s="463"/>
      <c r="AU339" s="463"/>
      <c r="AV339" s="463"/>
      <c r="AW339" s="463"/>
      <c r="AX339" s="463"/>
      <c r="AY339" s="463"/>
      <c r="AZ339" s="463"/>
      <c r="BA339" s="463"/>
      <c r="BB339" s="463"/>
      <c r="BC339" s="463"/>
      <c r="BD339" s="463"/>
      <c r="BE339" s="463"/>
      <c r="BF339" s="463"/>
      <c r="BG339" s="463"/>
      <c r="BH339" s="464"/>
      <c r="BI339" s="465">
        <f>+BI332/BH332-1</f>
        <v>9.0909799713363437E-2</v>
      </c>
      <c r="BJ339" s="466"/>
      <c r="BK339" s="466"/>
      <c r="BL339" s="465">
        <f>+BL332/BI332-1</f>
        <v>0.18259126947257021</v>
      </c>
      <c r="BM339" s="465">
        <f>+BM332/BL332-1</f>
        <v>3.5923607364124921E-2</v>
      </c>
      <c r="BN339" s="466"/>
      <c r="BO339" s="466"/>
      <c r="BP339" s="465">
        <f>+BP332/BM332-1</f>
        <v>4.6092918692405727E-2</v>
      </c>
      <c r="BQ339" s="465">
        <f>+BQ332/BP332-1</f>
        <v>4.6651316981915825E-2</v>
      </c>
      <c r="BR339" s="466"/>
      <c r="BS339" s="463"/>
      <c r="BT339" s="465">
        <f>+BT332/BQ332-1</f>
        <v>0.13496505889079136</v>
      </c>
      <c r="BU339" s="465">
        <f>+BU332/BT332-1</f>
        <v>2.4129808510801043E-2</v>
      </c>
      <c r="BV339" s="466"/>
      <c r="BW339" s="463"/>
      <c r="BX339" s="465">
        <f>+BX332/BU332-1</f>
        <v>-3.5355044147692305E-2</v>
      </c>
      <c r="BY339" s="465">
        <f>+BY332/BX332-1</f>
        <v>-5.8263639871514172E-2</v>
      </c>
      <c r="BZ339" s="466"/>
      <c r="CA339" s="463"/>
      <c r="CB339" s="465">
        <f>+CB332/BY332-1</f>
        <v>9.1664143954772737E-3</v>
      </c>
      <c r="CC339" s="465">
        <f>+CC332/CB332-1</f>
        <v>-1.2910285888226847E-2</v>
      </c>
      <c r="CD339" s="466"/>
      <c r="CE339" s="463"/>
      <c r="CF339" s="465">
        <f>+CF332/CC332-1</f>
        <v>4.3268231446162764E-2</v>
      </c>
      <c r="CG339" s="465">
        <f>+CG332/CF332-1</f>
        <v>-1.2403583762971682E-2</v>
      </c>
      <c r="CH339" s="466"/>
      <c r="CI339" s="463"/>
      <c r="CJ339" s="465">
        <f>+CJ332/CG332-1</f>
        <v>7.3461084255177056E-2</v>
      </c>
      <c r="CK339" s="465">
        <f>+CK332/CJ332-1</f>
        <v>0.18271107086505212</v>
      </c>
      <c r="CL339" s="466"/>
      <c r="CM339" s="463"/>
      <c r="CN339" s="465">
        <f>+CN332/CK332-1</f>
        <v>0.1631715060964638</v>
      </c>
      <c r="CO339" s="465">
        <f>+CO332/CN332-1</f>
        <v>6.145146749210828E-2</v>
      </c>
      <c r="CP339" s="466"/>
      <c r="CQ339" s="463"/>
      <c r="CR339" s="465">
        <f>+CR332/CO332-1</f>
        <v>6.8816967858839284E-2</v>
      </c>
      <c r="CS339" s="465">
        <f>+CS332/CR332-1</f>
        <v>-2.5457263188343404E-2</v>
      </c>
      <c r="CT339" s="466"/>
      <c r="CU339" s="463"/>
      <c r="CV339" s="465">
        <f>+CV332/CS332-1</f>
        <v>-6.3014456295145349E-2</v>
      </c>
      <c r="CW339" s="465">
        <f>+CW332/CV332-1</f>
        <v>-6.2301373826172624E-2</v>
      </c>
      <c r="CX339" s="466"/>
      <c r="CY339" s="463"/>
      <c r="CZ339" s="465">
        <f>+CZ332/CW332-1</f>
        <v>-6.8337519376171496E-4</v>
      </c>
      <c r="DA339" s="465">
        <f>+DA332/CZ332-1</f>
        <v>5.2676487832208352E-3</v>
      </c>
      <c r="DB339" s="466"/>
      <c r="DC339" s="463"/>
      <c r="DD339" s="465">
        <f>+DD332/DA332-1</f>
        <v>1.1429972162298352E-2</v>
      </c>
      <c r="DE339" s="465">
        <f>+DE332/DD332-1</f>
        <v>3.3236575653865286E-2</v>
      </c>
      <c r="DF339" s="466"/>
      <c r="DG339" s="463"/>
      <c r="DH339" s="465">
        <f>+DH332/DE332-1</f>
        <v>4.6499750096801185E-2</v>
      </c>
      <c r="DI339" s="482">
        <v>0.02</v>
      </c>
      <c r="DJ339" s="466"/>
      <c r="DK339" s="463"/>
      <c r="DL339" s="482">
        <v>0.02</v>
      </c>
      <c r="DM339" s="482">
        <v>0.02</v>
      </c>
      <c r="DN339" s="466"/>
      <c r="DO339" s="463"/>
      <c r="DP339" s="482">
        <v>0.02</v>
      </c>
      <c r="DQ339" s="482">
        <v>0.02</v>
      </c>
      <c r="DR339" s="466"/>
      <c r="DS339" s="463"/>
    </row>
    <row r="340" spans="1:123" s="347" customFormat="1" x14ac:dyDescent="0.2">
      <c r="A340" s="424" t="str">
        <f>+A333</f>
        <v>Total Deposits</v>
      </c>
      <c r="B340" s="348" t="s">
        <v>140</v>
      </c>
      <c r="BH340" s="398"/>
      <c r="BI340" s="428">
        <f>+BI333/BH333-1</f>
        <v>2.7841946291494724E-2</v>
      </c>
      <c r="BJ340" s="348"/>
      <c r="BK340" s="348"/>
      <c r="BL340" s="428">
        <f>+BL333/BI333-1</f>
        <v>5.5551177889317627E-2</v>
      </c>
      <c r="BM340" s="428">
        <f>+BM333/BL333-1</f>
        <v>2.064272736934103E-2</v>
      </c>
      <c r="BN340" s="348"/>
      <c r="BO340" s="348"/>
      <c r="BP340" s="428">
        <f>+BP333/BM333-1</f>
        <v>7.0933821310744882E-2</v>
      </c>
      <c r="BQ340" s="428">
        <f>+BQ333/BP333-1</f>
        <v>4.5761490287869133E-2</v>
      </c>
      <c r="BR340" s="348"/>
      <c r="BT340" s="428">
        <f>+BT333/BQ333-1</f>
        <v>7.7518190273669685E-2</v>
      </c>
      <c r="BU340" s="428">
        <f>+BU333/BT333-1</f>
        <v>2.3214479462678295E-2</v>
      </c>
      <c r="BV340" s="348"/>
      <c r="BX340" s="428">
        <f>+BX333/BU333-1</f>
        <v>3.1081621800632009E-2</v>
      </c>
      <c r="BY340" s="428">
        <f>+BY333/BX333-1</f>
        <v>3.2734971850371775E-2</v>
      </c>
      <c r="BZ340" s="348"/>
      <c r="CB340" s="428">
        <f>+CB333/BY333-1</f>
        <v>4.4819956445176112E-2</v>
      </c>
      <c r="CC340" s="428">
        <f>+CC333/CB333-1</f>
        <v>2.7216763920099307E-2</v>
      </c>
      <c r="CD340" s="348"/>
      <c r="CF340" s="428">
        <f>+CF333/CC333-1</f>
        <v>5.5421971463683883E-2</v>
      </c>
      <c r="CG340" s="428">
        <f>+CG333/CF333-1</f>
        <v>8.2134995774556518E-3</v>
      </c>
      <c r="CH340" s="348"/>
      <c r="CJ340" s="428">
        <f>+CJ333/CG333-1</f>
        <v>3.8443253968865942E-2</v>
      </c>
      <c r="CK340" s="428">
        <f>+CK333/CJ333-1</f>
        <v>8.4417845651208134E-2</v>
      </c>
      <c r="CL340" s="348"/>
      <c r="CN340" s="428">
        <f>+CN333/CK333-1</f>
        <v>2.522844851821926E-2</v>
      </c>
      <c r="CO340" s="428">
        <f>+CO333/CN333-1</f>
        <v>1.183759036997345E-2</v>
      </c>
      <c r="CP340" s="348"/>
      <c r="CR340" s="428">
        <f>+CR333/CO333-1</f>
        <v>4.899332445497584E-2</v>
      </c>
      <c r="CS340" s="428">
        <f>+CS333/CR333-1</f>
        <v>-7.2679889446776169E-3</v>
      </c>
      <c r="CT340" s="348"/>
      <c r="CV340" s="428">
        <f>+CV333/CS333-1</f>
        <v>3.0642094082519833E-2</v>
      </c>
      <c r="CW340" s="428">
        <f>+CW333/CV333-1</f>
        <v>1.7919813297092357E-2</v>
      </c>
      <c r="CX340" s="348"/>
      <c r="CZ340" s="428">
        <f>+CZ333/CW333-1</f>
        <v>2.4095359428517815E-2</v>
      </c>
      <c r="DA340" s="428">
        <f>+DA333/CZ333-1</f>
        <v>1.1661783414180338E-2</v>
      </c>
      <c r="DB340" s="348"/>
      <c r="DD340" s="428">
        <f>+DD333/DA333-1</f>
        <v>3.8741211900883643E-2</v>
      </c>
      <c r="DE340" s="428">
        <f>+DE333/DD333-1</f>
        <v>1.4109970379051484E-2</v>
      </c>
      <c r="DF340" s="348"/>
      <c r="DH340" s="428">
        <f>+DH333/DE333-1</f>
        <v>2.561212254108769E-2</v>
      </c>
      <c r="DI340" s="428">
        <f>+DI333/DH333-1</f>
        <v>2.0081712778357463E-2</v>
      </c>
      <c r="DJ340" s="348"/>
      <c r="DL340" s="428">
        <f>+DL333/DI333-1</f>
        <v>2.0101366028335121E-2</v>
      </c>
      <c r="DM340" s="428">
        <f>+DM333/DL333-1</f>
        <v>2.0120543766681154E-2</v>
      </c>
      <c r="DN340" s="348"/>
      <c r="DP340" s="428">
        <f>+DP333/DM333-1</f>
        <v>2.0139259443464841E-2</v>
      </c>
      <c r="DQ340" s="428">
        <f>+DQ333/DP333-1</f>
        <v>2.0157526168269824E-2</v>
      </c>
      <c r="DR340" s="348"/>
    </row>
    <row r="341" spans="1:123" s="347" customFormat="1" x14ac:dyDescent="0.2">
      <c r="A341" s="347" t="s">
        <v>342</v>
      </c>
      <c r="B341" s="348"/>
      <c r="BH341" s="398"/>
      <c r="BI341" s="348"/>
      <c r="BJ341" s="348"/>
      <c r="BK341" s="348"/>
      <c r="BL341" s="398"/>
      <c r="BM341" s="348"/>
      <c r="BN341" s="348"/>
      <c r="BO341" s="348"/>
      <c r="BP341" s="398"/>
      <c r="BQ341" s="348"/>
      <c r="BR341" s="348"/>
      <c r="BT341" s="398"/>
      <c r="BU341" s="348"/>
      <c r="BV341" s="348"/>
      <c r="BX341" s="398"/>
      <c r="BY341" s="348"/>
      <c r="BZ341" s="348"/>
      <c r="CB341" s="398"/>
      <c r="CC341" s="348"/>
      <c r="CD341" s="348"/>
      <c r="CF341" s="403">
        <f>CF328/CF333</f>
        <v>0.50474541490316793</v>
      </c>
      <c r="CG341" s="403">
        <f>CG328/CG333</f>
        <v>0.51467122225913098</v>
      </c>
      <c r="CH341" s="348"/>
      <c r="CJ341" s="403">
        <f t="shared" ref="CJ341:CK341" si="264">CJ328/CJ333</f>
        <v>0.49261038941353019</v>
      </c>
      <c r="CK341" s="403">
        <f t="shared" si="264"/>
        <v>0.44157729795003015</v>
      </c>
      <c r="CL341" s="348"/>
      <c r="CN341" s="403">
        <f t="shared" ref="CN341:CO341" si="265">CN328/CN333</f>
        <v>0.36560897570244932</v>
      </c>
      <c r="CO341" s="403">
        <f t="shared" si="265"/>
        <v>0.32879626282568197</v>
      </c>
      <c r="CP341" s="348"/>
      <c r="CR341" s="403">
        <f t="shared" ref="CR341:CS341" si="266">CR328/CR333</f>
        <v>0.31347629352744438</v>
      </c>
      <c r="CS341" s="403">
        <f t="shared" si="266"/>
        <v>0.3297498933226885</v>
      </c>
      <c r="CT341" s="348"/>
      <c r="CV341" s="403">
        <f t="shared" ref="CV341:CW341" si="267">CV328/CV333</f>
        <v>0.38219787036079811</v>
      </c>
      <c r="CW341" s="403">
        <f t="shared" si="267"/>
        <v>0.43776364504186072</v>
      </c>
      <c r="CX341" s="348"/>
      <c r="CZ341" s="403">
        <f t="shared" ref="CZ341:DA341" si="268">CZ328/CZ333</f>
        <v>0.46883951478317187</v>
      </c>
      <c r="DA341" s="403">
        <f t="shared" si="268"/>
        <v>0.47857607119644013</v>
      </c>
      <c r="DB341" s="348"/>
      <c r="DD341" s="403">
        <f t="shared" ref="DD341:DE341" si="269">DD328/DD333</f>
        <v>0.47902204174923713</v>
      </c>
      <c r="DE341" s="403">
        <f t="shared" si="269"/>
        <v>0.47740555451655131</v>
      </c>
      <c r="DF341" s="348"/>
      <c r="DH341" s="403">
        <f t="shared" ref="DH341" si="270">DH328/DH333</f>
        <v>0.46583645175142635</v>
      </c>
      <c r="DI341" s="403">
        <f t="shared" ref="DI341" si="271">DI328/DI333</f>
        <v>0.46579913631849978</v>
      </c>
      <c r="DJ341" s="348"/>
      <c r="DL341" s="403">
        <f t="shared" ref="DL341:DM341" si="272">DL328/DL333</f>
        <v>0.46575285051786963</v>
      </c>
      <c r="DM341" s="403">
        <f t="shared" si="272"/>
        <v>0.46569781427407769</v>
      </c>
      <c r="DN341" s="348"/>
      <c r="DP341" s="403">
        <f t="shared" ref="DP341:DQ341" si="273">DP328/DP333</f>
        <v>0.46563424175901347</v>
      </c>
      <c r="DQ341" s="403">
        <f t="shared" si="273"/>
        <v>0.46556234151220061</v>
      </c>
      <c r="DR341" s="348"/>
    </row>
    <row r="342" spans="1:123" s="347" customFormat="1" x14ac:dyDescent="0.2">
      <c r="A342" s="411" t="s">
        <v>283</v>
      </c>
      <c r="B342" s="348"/>
      <c r="BH342" s="398"/>
      <c r="BI342" s="348"/>
      <c r="BJ342" s="348"/>
      <c r="BK342" s="348"/>
      <c r="BL342" s="398"/>
      <c r="BM342" s="348"/>
      <c r="BN342" s="348"/>
      <c r="BO342" s="348"/>
      <c r="BP342" s="398"/>
      <c r="BQ342" s="348"/>
      <c r="BR342" s="348"/>
      <c r="BT342" s="398"/>
      <c r="BU342" s="348"/>
      <c r="BV342" s="348"/>
      <c r="BX342" s="398"/>
      <c r="BY342" s="348"/>
      <c r="BZ342" s="348"/>
      <c r="CB342" s="398"/>
      <c r="CC342" s="348"/>
      <c r="CD342" s="348"/>
      <c r="CF342" s="398"/>
      <c r="CG342" s="348"/>
      <c r="CH342" s="348"/>
      <c r="CJ342" s="398"/>
      <c r="CK342" s="348"/>
      <c r="CL342" s="348"/>
      <c r="CN342" s="348"/>
      <c r="CO342" s="348"/>
      <c r="CP342" s="348"/>
      <c r="CR342" s="348"/>
      <c r="CS342" s="348"/>
      <c r="CT342" s="348"/>
      <c r="CV342" s="348"/>
      <c r="CW342" s="348"/>
      <c r="CX342" s="348"/>
      <c r="CZ342" s="348"/>
      <c r="DA342" s="348"/>
      <c r="DB342" s="348"/>
      <c r="DD342" s="348"/>
      <c r="DE342" s="348"/>
      <c r="DF342" s="348"/>
      <c r="DH342" s="348"/>
      <c r="DI342" s="348"/>
      <c r="DJ342" s="348"/>
      <c r="DL342" s="348"/>
      <c r="DM342" s="348"/>
      <c r="DN342" s="348"/>
      <c r="DP342" s="348"/>
      <c r="DQ342" s="348"/>
      <c r="DR342" s="348"/>
    </row>
    <row r="343" spans="1:123" s="347" customFormat="1" x14ac:dyDescent="0.2">
      <c r="A343" s="347" t="s">
        <v>336</v>
      </c>
      <c r="B343" s="348" t="s">
        <v>22</v>
      </c>
      <c r="BH343" s="398">
        <v>9408</v>
      </c>
      <c r="BI343" s="398">
        <v>6157</v>
      </c>
      <c r="BJ343" s="351">
        <f>BI343</f>
        <v>6157</v>
      </c>
      <c r="BK343" s="348"/>
      <c r="BL343" s="398">
        <v>8480</v>
      </c>
      <c r="BM343" s="398">
        <v>6075</v>
      </c>
      <c r="BN343" s="351">
        <f>BM343</f>
        <v>6075</v>
      </c>
      <c r="BO343" s="348"/>
      <c r="BP343" s="398">
        <v>10040</v>
      </c>
      <c r="BQ343" s="398">
        <v>5198</v>
      </c>
      <c r="BR343" s="351">
        <f>BQ343</f>
        <v>5198</v>
      </c>
      <c r="BT343" s="398">
        <v>6962</v>
      </c>
      <c r="BU343" s="398">
        <v>6319</v>
      </c>
      <c r="BV343" s="351">
        <f>BU343</f>
        <v>6319</v>
      </c>
      <c r="BX343" s="398">
        <v>9343</v>
      </c>
      <c r="BY343" s="398">
        <v>10087</v>
      </c>
      <c r="BZ343" s="351">
        <f>BY343</f>
        <v>10087</v>
      </c>
      <c r="CB343" s="398">
        <v>8798</v>
      </c>
      <c r="CC343" s="398">
        <v>6170</v>
      </c>
      <c r="CD343" s="351">
        <f>CC343</f>
        <v>6170</v>
      </c>
      <c r="CF343" s="398">
        <v>9347</v>
      </c>
      <c r="CG343" s="398">
        <v>8915</v>
      </c>
      <c r="CH343" s="351">
        <f>CG343</f>
        <v>8915</v>
      </c>
      <c r="CJ343" s="398">
        <v>13895</v>
      </c>
      <c r="CK343" s="398">
        <v>9911</v>
      </c>
      <c r="CL343" s="351">
        <f>CK343</f>
        <v>9911</v>
      </c>
      <c r="CN343" s="398">
        <v>10409</v>
      </c>
      <c r="CO343" s="398">
        <v>10944</v>
      </c>
      <c r="CP343" s="351">
        <f>CO343</f>
        <v>10944</v>
      </c>
      <c r="CR343" s="398">
        <v>16163</v>
      </c>
      <c r="CS343" s="398">
        <v>15930</v>
      </c>
      <c r="CT343" s="351">
        <f>CS343</f>
        <v>15930</v>
      </c>
      <c r="CV343" s="398">
        <v>15587</v>
      </c>
      <c r="CW343" s="398">
        <v>12517</v>
      </c>
      <c r="CX343" s="351">
        <f>CW343</f>
        <v>12517</v>
      </c>
      <c r="CZ343" s="398">
        <v>11721</v>
      </c>
      <c r="DA343" s="398">
        <v>12908</v>
      </c>
      <c r="DB343" s="351">
        <f>DA343</f>
        <v>12908</v>
      </c>
      <c r="DD343" s="398">
        <v>16151</v>
      </c>
      <c r="DE343" s="398">
        <v>14595</v>
      </c>
      <c r="DF343" s="351">
        <f>DE343</f>
        <v>14595</v>
      </c>
      <c r="DH343" s="398">
        <v>17845</v>
      </c>
      <c r="DI343" s="351">
        <f>+DH343*(1+DI351)</f>
        <v>18023.45</v>
      </c>
      <c r="DJ343" s="351">
        <f t="shared" ref="DJ343:DJ349" si="274">DI343</f>
        <v>18023.45</v>
      </c>
      <c r="DL343" s="351">
        <f>+DI343*(1+DL351)</f>
        <v>18203.684499999999</v>
      </c>
      <c r="DM343" s="351">
        <f>+DL343*(1+DM351)</f>
        <v>18385.721344999998</v>
      </c>
      <c r="DN343" s="351">
        <f t="shared" ref="DN343:DN349" si="275">DM343</f>
        <v>18385.721344999998</v>
      </c>
      <c r="DP343" s="351">
        <f>+DM343*(1+DP351)</f>
        <v>18569.578558449997</v>
      </c>
      <c r="DQ343" s="351">
        <f>+DP343*(1+DQ351)</f>
        <v>18755.274344034497</v>
      </c>
      <c r="DR343" s="351">
        <f t="shared" ref="DR343:DR349" si="276">DQ343</f>
        <v>18755.274344034497</v>
      </c>
    </row>
    <row r="344" spans="1:123" s="347" customFormat="1" x14ac:dyDescent="0.2">
      <c r="A344" s="347" t="s">
        <v>337</v>
      </c>
      <c r="B344" s="348" t="s">
        <v>22</v>
      </c>
      <c r="BH344" s="398">
        <v>6361</v>
      </c>
      <c r="BI344" s="398">
        <v>7922</v>
      </c>
      <c r="BJ344" s="351">
        <f>BI344</f>
        <v>7922</v>
      </c>
      <c r="BK344" s="348"/>
      <c r="BL344" s="398">
        <v>7129</v>
      </c>
      <c r="BM344" s="398">
        <v>8578</v>
      </c>
      <c r="BN344" s="351">
        <f>BM344</f>
        <v>8578</v>
      </c>
      <c r="BO344" s="348"/>
      <c r="BP344" s="398">
        <v>7600</v>
      </c>
      <c r="BQ344" s="398">
        <v>9318</v>
      </c>
      <c r="BR344" s="351">
        <f>BQ344</f>
        <v>9318</v>
      </c>
      <c r="BT344" s="398">
        <v>10967</v>
      </c>
      <c r="BU344" s="398">
        <v>10009</v>
      </c>
      <c r="BV344" s="351">
        <f>BU344</f>
        <v>10009</v>
      </c>
      <c r="BX344" s="398">
        <v>10694</v>
      </c>
      <c r="BY344" s="398">
        <v>8912</v>
      </c>
      <c r="BZ344" s="351">
        <f>BY344</f>
        <v>8912</v>
      </c>
      <c r="CB344" s="398">
        <v>10962</v>
      </c>
      <c r="CC344" s="398">
        <v>14316</v>
      </c>
      <c r="CD344" s="351">
        <f>CC344</f>
        <v>14316</v>
      </c>
      <c r="CF344" s="398">
        <v>11432</v>
      </c>
      <c r="CG344" s="398">
        <v>6610</v>
      </c>
      <c r="CH344" s="351">
        <f>CG344</f>
        <v>6610</v>
      </c>
      <c r="CJ344" s="398">
        <v>6531</v>
      </c>
      <c r="CK344" s="398">
        <v>4691</v>
      </c>
      <c r="CL344" s="351">
        <f>CK344</f>
        <v>4691</v>
      </c>
      <c r="CN344" s="398">
        <v>3610</v>
      </c>
      <c r="CO344" s="398">
        <v>4457</v>
      </c>
      <c r="CP344" s="351">
        <f>CO344</f>
        <v>4457</v>
      </c>
      <c r="CR344" s="398">
        <v>4420</v>
      </c>
      <c r="CS344" s="398">
        <v>4024</v>
      </c>
      <c r="CT344" s="351">
        <f>CS344</f>
        <v>4024</v>
      </c>
      <c r="CV344" s="398">
        <v>5366</v>
      </c>
      <c r="CW344" s="398">
        <v>5813</v>
      </c>
      <c r="CX344" s="351">
        <f>CW344</f>
        <v>5813</v>
      </c>
      <c r="CZ344" s="398">
        <v>5019</v>
      </c>
      <c r="DA344" s="398">
        <v>6281</v>
      </c>
      <c r="DB344" s="351">
        <f>DA344</f>
        <v>6281</v>
      </c>
      <c r="DD344" s="351">
        <f>DD346-DD345</f>
        <v>8237</v>
      </c>
      <c r="DE344" s="351">
        <f>DE346-DE345</f>
        <v>9216</v>
      </c>
      <c r="DF344" s="351">
        <f>DE344</f>
        <v>9216</v>
      </c>
      <c r="DH344" s="351">
        <f>DH346-DH345</f>
        <v>8303</v>
      </c>
      <c r="DI344" s="351">
        <f>+DH344*(1+DI352)</f>
        <v>8386.0300000000007</v>
      </c>
      <c r="DJ344" s="351">
        <f t="shared" si="274"/>
        <v>8386.0300000000007</v>
      </c>
      <c r="DL344" s="351">
        <f>+DI344*(1+DL352)</f>
        <v>8469.8903000000009</v>
      </c>
      <c r="DM344" s="351">
        <f>+DL344*(1+DM352)</f>
        <v>8554.5892030000014</v>
      </c>
      <c r="DN344" s="351">
        <f t="shared" si="275"/>
        <v>8554.5892030000014</v>
      </c>
      <c r="DP344" s="351">
        <f>+DM344*(1+DP352)</f>
        <v>8640.135095030002</v>
      </c>
      <c r="DQ344" s="351">
        <f>+DP344*(1+DQ352)</f>
        <v>8726.5364459803022</v>
      </c>
      <c r="DR344" s="351">
        <f t="shared" si="276"/>
        <v>8726.5364459803022</v>
      </c>
    </row>
    <row r="345" spans="1:123" s="347" customFormat="1" x14ac:dyDescent="0.2">
      <c r="A345" s="347" t="s">
        <v>1136</v>
      </c>
      <c r="B345" s="348"/>
      <c r="BH345" s="398"/>
      <c r="BI345" s="398"/>
      <c r="BJ345" s="351"/>
      <c r="BK345" s="348"/>
      <c r="BL345" s="398"/>
      <c r="BM345" s="398"/>
      <c r="BN345" s="351"/>
      <c r="BO345" s="348"/>
      <c r="BP345" s="398"/>
      <c r="BQ345" s="398"/>
      <c r="BR345" s="351"/>
      <c r="BT345" s="398"/>
      <c r="BU345" s="398"/>
      <c r="BV345" s="351"/>
      <c r="BX345" s="398"/>
      <c r="BY345" s="398"/>
      <c r="BZ345" s="351"/>
      <c r="CB345" s="398"/>
      <c r="CC345" s="398"/>
      <c r="CD345" s="351"/>
      <c r="CF345" s="398"/>
      <c r="CG345" s="398"/>
      <c r="CH345" s="351"/>
      <c r="CJ345" s="398"/>
      <c r="CK345" s="398"/>
      <c r="CL345" s="351"/>
      <c r="CN345" s="398"/>
      <c r="CO345" s="398"/>
      <c r="CP345" s="351"/>
      <c r="CR345" s="398"/>
      <c r="CS345" s="398"/>
      <c r="CT345" s="351"/>
      <c r="CV345" s="398"/>
      <c r="CW345" s="398"/>
      <c r="CX345" s="351"/>
      <c r="CZ345" s="351">
        <f>CZ346-CZ344</f>
        <v>251</v>
      </c>
      <c r="DA345" s="351">
        <f>DA346-DA344</f>
        <v>-72</v>
      </c>
      <c r="DB345" s="351">
        <f>DA345</f>
        <v>-72</v>
      </c>
      <c r="DD345" s="406">
        <v>50</v>
      </c>
      <c r="DE345" s="406">
        <v>50</v>
      </c>
      <c r="DF345" s="351">
        <f>DE345</f>
        <v>50</v>
      </c>
      <c r="DH345" s="406">
        <v>50</v>
      </c>
      <c r="DI345" s="351">
        <f>+DH345*(1+DI353)</f>
        <v>50.5</v>
      </c>
      <c r="DJ345" s="351">
        <f t="shared" si="274"/>
        <v>50.5</v>
      </c>
      <c r="DL345" s="351">
        <f>+DI345*(1+DL353)</f>
        <v>51.005000000000003</v>
      </c>
      <c r="DM345" s="351">
        <f>+DL345*(1+DM353)</f>
        <v>51.515050000000002</v>
      </c>
      <c r="DN345" s="351">
        <f t="shared" si="275"/>
        <v>51.515050000000002</v>
      </c>
      <c r="DP345" s="351">
        <f>+DM345*(1+DP353)</f>
        <v>52.030200499999999</v>
      </c>
      <c r="DQ345" s="351">
        <f>+DP345*(1+DQ353)</f>
        <v>52.550502504999997</v>
      </c>
      <c r="DR345" s="351">
        <f t="shared" si="276"/>
        <v>52.550502504999997</v>
      </c>
    </row>
    <row r="346" spans="1:123" s="411" customFormat="1" x14ac:dyDescent="0.2">
      <c r="A346" s="411" t="s">
        <v>1137</v>
      </c>
      <c r="B346" s="423"/>
      <c r="BH346" s="396"/>
      <c r="BI346" s="396"/>
      <c r="BJ346" s="397"/>
      <c r="BK346" s="423"/>
      <c r="BL346" s="396"/>
      <c r="BM346" s="396"/>
      <c r="BN346" s="397"/>
      <c r="BO346" s="423"/>
      <c r="BP346" s="396"/>
      <c r="BQ346" s="396"/>
      <c r="BR346" s="397"/>
      <c r="BT346" s="396"/>
      <c r="BU346" s="396"/>
      <c r="BV346" s="397"/>
      <c r="BX346" s="396"/>
      <c r="BY346" s="396"/>
      <c r="BZ346" s="397"/>
      <c r="CB346" s="396"/>
      <c r="CC346" s="396"/>
      <c r="CD346" s="397"/>
      <c r="CF346" s="396"/>
      <c r="CG346" s="396"/>
      <c r="CH346" s="397"/>
      <c r="CJ346" s="396"/>
      <c r="CK346" s="396"/>
      <c r="CL346" s="397"/>
      <c r="CN346" s="396"/>
      <c r="CO346" s="396"/>
      <c r="CP346" s="397"/>
      <c r="CR346" s="396"/>
      <c r="CS346" s="396"/>
      <c r="CT346" s="397"/>
      <c r="CV346" s="396"/>
      <c r="CW346" s="396"/>
      <c r="CX346" s="397"/>
      <c r="CZ346" s="396">
        <v>5270</v>
      </c>
      <c r="DA346" s="396">
        <v>6209</v>
      </c>
      <c r="DB346" s="397">
        <f>DA346</f>
        <v>6209</v>
      </c>
      <c r="DD346" s="396">
        <v>8287</v>
      </c>
      <c r="DE346" s="396">
        <v>9266</v>
      </c>
      <c r="DF346" s="397">
        <f>DE346</f>
        <v>9266</v>
      </c>
      <c r="DH346" s="396">
        <v>8353</v>
      </c>
      <c r="DI346" s="397">
        <f t="shared" ref="DI346" si="277">DI344+DI345</f>
        <v>8436.5300000000007</v>
      </c>
      <c r="DJ346" s="397">
        <f t="shared" si="274"/>
        <v>8436.5300000000007</v>
      </c>
      <c r="DL346" s="397">
        <f>DL344+DL345</f>
        <v>8520.8953000000001</v>
      </c>
      <c r="DM346" s="397">
        <f>+DL346*(1+DM356)</f>
        <v>8776.5221590000001</v>
      </c>
      <c r="DN346" s="397">
        <f t="shared" si="275"/>
        <v>8776.5221590000001</v>
      </c>
      <c r="DP346" s="397">
        <f>DP344+DP345</f>
        <v>8692.1652955300015</v>
      </c>
      <c r="DQ346" s="397">
        <f>+DP346*(1+DQ356)</f>
        <v>8952.930254395902</v>
      </c>
      <c r="DR346" s="397">
        <f t="shared" si="276"/>
        <v>8952.930254395902</v>
      </c>
    </row>
    <row r="347" spans="1:123" s="347" customFormat="1" x14ac:dyDescent="0.2">
      <c r="A347" s="347" t="s">
        <v>338</v>
      </c>
      <c r="B347" s="348" t="s">
        <v>22</v>
      </c>
      <c r="BH347" s="398">
        <v>102</v>
      </c>
      <c r="BI347" s="398">
        <v>84</v>
      </c>
      <c r="BJ347" s="351">
        <f>BI347</f>
        <v>84</v>
      </c>
      <c r="BK347" s="348"/>
      <c r="BL347" s="398">
        <v>231</v>
      </c>
      <c r="BM347" s="398">
        <v>77</v>
      </c>
      <c r="BN347" s="351">
        <f>BM347</f>
        <v>77</v>
      </c>
      <c r="BO347" s="348"/>
      <c r="BP347" s="398">
        <v>46</v>
      </c>
      <c r="BQ347" s="398">
        <v>76</v>
      </c>
      <c r="BR347" s="351">
        <f>BQ347</f>
        <v>76</v>
      </c>
      <c r="BT347" s="398">
        <v>67</v>
      </c>
      <c r="BU347" s="398">
        <v>65</v>
      </c>
      <c r="BV347" s="351">
        <f>BU347</f>
        <v>65</v>
      </c>
      <c r="BX347" s="398">
        <v>64</v>
      </c>
      <c r="BY347" s="398">
        <v>49</v>
      </c>
      <c r="BZ347" s="351">
        <f>BY347</f>
        <v>49</v>
      </c>
      <c r="CB347" s="398">
        <v>59</v>
      </c>
      <c r="CC347" s="398">
        <v>57</v>
      </c>
      <c r="CD347" s="351">
        <f>CC347</f>
        <v>57</v>
      </c>
      <c r="CF347" s="398">
        <v>35</v>
      </c>
      <c r="CG347" s="398">
        <v>63</v>
      </c>
      <c r="CH347" s="351">
        <f>CG347</f>
        <v>63</v>
      </c>
      <c r="CJ347" s="398">
        <v>40</v>
      </c>
      <c r="CK347" s="398">
        <v>189</v>
      </c>
      <c r="CL347" s="351">
        <f>CK347</f>
        <v>189</v>
      </c>
      <c r="CN347" s="398">
        <v>51</v>
      </c>
      <c r="CO347" s="398">
        <v>58</v>
      </c>
      <c r="CP347" s="351">
        <f>CO347</f>
        <v>58</v>
      </c>
      <c r="CR347" s="398">
        <v>43</v>
      </c>
      <c r="CS347" s="398">
        <v>30</v>
      </c>
      <c r="CT347" s="351">
        <f>CS347</f>
        <v>30</v>
      </c>
      <c r="CV347" s="398">
        <v>25</v>
      </c>
      <c r="CW347" s="398">
        <v>21</v>
      </c>
      <c r="CX347" s="351">
        <f>CW347</f>
        <v>21</v>
      </c>
      <c r="CZ347" s="398">
        <v>99</v>
      </c>
      <c r="DA347" s="398">
        <v>32</v>
      </c>
      <c r="DB347" s="351">
        <f>DA347</f>
        <v>32</v>
      </c>
      <c r="DD347" s="398">
        <v>22</v>
      </c>
      <c r="DE347" s="398">
        <v>4</v>
      </c>
      <c r="DF347" s="351">
        <f>DE347</f>
        <v>4</v>
      </c>
      <c r="DH347" s="398">
        <v>3</v>
      </c>
      <c r="DI347" s="351">
        <f>+DH347*(1+DI355)</f>
        <v>3.09</v>
      </c>
      <c r="DJ347" s="351">
        <f t="shared" si="274"/>
        <v>3.09</v>
      </c>
      <c r="DL347" s="351">
        <f>+DI347*(1+DL355)</f>
        <v>3.1827000000000001</v>
      </c>
      <c r="DM347" s="351">
        <f>+DL347*(1+DM355)</f>
        <v>3.278181</v>
      </c>
      <c r="DN347" s="351">
        <f t="shared" si="275"/>
        <v>3.278181</v>
      </c>
      <c r="DP347" s="351">
        <f>+DM347*(1+DP355)</f>
        <v>3.3765264300000002</v>
      </c>
      <c r="DQ347" s="351">
        <f>+DP347*(1+DQ355)</f>
        <v>3.4778222229000004</v>
      </c>
      <c r="DR347" s="351">
        <f t="shared" si="276"/>
        <v>3.4778222229000004</v>
      </c>
    </row>
    <row r="348" spans="1:123" s="347" customFormat="1" x14ac:dyDescent="0.2">
      <c r="A348" s="347" t="s">
        <v>339</v>
      </c>
      <c r="B348" s="348" t="s">
        <v>22</v>
      </c>
      <c r="BH348" s="351">
        <f>+BH349-BH343-BH344-BH347</f>
        <v>974</v>
      </c>
      <c r="BI348" s="351">
        <f>+BI349-BI343-BI344-BI347</f>
        <v>1085</v>
      </c>
      <c r="BJ348" s="351">
        <f>+BJ349-BJ343-BJ344-BJ347</f>
        <v>1085</v>
      </c>
      <c r="BK348" s="348"/>
      <c r="BL348" s="351">
        <f>+BL349-BL343-BL344-BL347</f>
        <v>947</v>
      </c>
      <c r="BM348" s="351">
        <f>+BM349-BM343-BM344-BM347</f>
        <v>933</v>
      </c>
      <c r="BN348" s="351">
        <f>+BN349-BN343-BN344-BN347</f>
        <v>933</v>
      </c>
      <c r="BO348" s="348"/>
      <c r="BP348" s="351">
        <f>+BP349-BP343-BP344-BP347</f>
        <v>2035</v>
      </c>
      <c r="BQ348" s="351">
        <f>+BQ349-BQ343-BQ344-BQ347</f>
        <v>2291</v>
      </c>
      <c r="BR348" s="351">
        <f>+BR349-BR343-BR344-BR347</f>
        <v>2291</v>
      </c>
      <c r="BT348" s="351">
        <f>+BT349-BT343-BT344-BT347</f>
        <v>2417</v>
      </c>
      <c r="BU348" s="351">
        <f>+BU349-BU343-BU344-BU347</f>
        <v>3575</v>
      </c>
      <c r="BV348" s="351">
        <f>+BV349-BV343-BV344-BV347</f>
        <v>3575</v>
      </c>
      <c r="BX348" s="351">
        <f>+BX349-BX343-BX344-BX347</f>
        <v>2507</v>
      </c>
      <c r="BY348" s="351">
        <f>+BY349-BY343-BY344-BY347</f>
        <v>2577</v>
      </c>
      <c r="BZ348" s="351">
        <f>+BZ349-BZ343-BZ344-BZ347</f>
        <v>2577</v>
      </c>
      <c r="CB348" s="351">
        <f>+CB349-CB343-CB344-CB347</f>
        <v>1962</v>
      </c>
      <c r="CC348" s="351">
        <f>+CC349-CC343-CC344-CC347</f>
        <v>2011</v>
      </c>
      <c r="CD348" s="351">
        <f>+CD349-CD343-CD344-CD347</f>
        <v>2011</v>
      </c>
      <c r="CF348" s="351">
        <f>+CF349-CF343-CF344-CF347</f>
        <v>2011</v>
      </c>
      <c r="CG348" s="351">
        <f>+CG349-CG343-CG344-CG347</f>
        <v>1324</v>
      </c>
      <c r="CH348" s="351">
        <f>+CH349-CH343-CH344-CH347</f>
        <v>1324</v>
      </c>
      <c r="CJ348" s="351">
        <f>+CJ349-CJ343-CJ344-CJ347</f>
        <v>1472</v>
      </c>
      <c r="CK348" s="351">
        <f>+CK349-CK343-CK344-CK347</f>
        <v>3157</v>
      </c>
      <c r="CL348" s="351">
        <f>+CL349-CL343-CL344-CL347</f>
        <v>3157</v>
      </c>
      <c r="CN348" s="351">
        <f>+CN349-CN343-CN344-CN347</f>
        <v>6625</v>
      </c>
      <c r="CO348" s="351">
        <f>+CO349-CO343-CO344-CO347</f>
        <v>7523</v>
      </c>
      <c r="CP348" s="351">
        <f>+CP349-CP343-CP344-CP347</f>
        <v>7523</v>
      </c>
      <c r="CR348" s="351">
        <f>+CR349-CR343-CR344-CR347</f>
        <v>12354</v>
      </c>
      <c r="CS348" s="351">
        <f>+CS349-CS343-CS344-CS347</f>
        <v>20292</v>
      </c>
      <c r="CT348" s="351">
        <f>+CT349-CT343-CT344-CT347</f>
        <v>20292</v>
      </c>
      <c r="CV348" s="351">
        <f>+CV349-CV343-CV344-CV347</f>
        <v>18633</v>
      </c>
      <c r="CW348" s="351">
        <f>+CW349-CW343-CW344-CW347</f>
        <v>1699</v>
      </c>
      <c r="CX348" s="351">
        <f>+CX349-CX343-CX344-CX347</f>
        <v>1699</v>
      </c>
      <c r="CZ348" s="351">
        <f>+CZ349-CZ343-CZ344-CZ347</f>
        <v>3046</v>
      </c>
      <c r="DA348" s="351">
        <f>+DA349-DA343-DA344-DA347</f>
        <v>3996</v>
      </c>
      <c r="DB348" s="351">
        <f>+DB349-DB343-DB344-DB347</f>
        <v>3996</v>
      </c>
      <c r="DD348" s="351">
        <f>+DD349-DD343-DD344-DD347</f>
        <v>5681</v>
      </c>
      <c r="DE348" s="351">
        <f>+DE349-DE343-DE344-DE347</f>
        <v>7492</v>
      </c>
      <c r="DF348" s="351">
        <f>+DF349-DF343-DF344-DF347</f>
        <v>7492</v>
      </c>
      <c r="DH348" s="351">
        <f>+DH349-DH343-DH344-DH347</f>
        <v>11025</v>
      </c>
      <c r="DI348" s="351">
        <f>+DH348*(1+DI356)</f>
        <v>11355.75</v>
      </c>
      <c r="DJ348" s="351">
        <f t="shared" si="274"/>
        <v>11355.75</v>
      </c>
      <c r="DL348" s="351">
        <f>+DI348*(1+DL356)</f>
        <v>11696.422500000001</v>
      </c>
      <c r="DM348" s="351">
        <f>+DL348*(1+DM356)</f>
        <v>12047.315175000002</v>
      </c>
      <c r="DN348" s="351">
        <f t="shared" si="275"/>
        <v>12047.315175000002</v>
      </c>
      <c r="DP348" s="351">
        <f>+DM348*(1+DP356)</f>
        <v>12408.734630250003</v>
      </c>
      <c r="DQ348" s="351">
        <f>+DP348*(1+DQ356)</f>
        <v>12780.996669157503</v>
      </c>
      <c r="DR348" s="351">
        <f t="shared" si="276"/>
        <v>12780.996669157503</v>
      </c>
    </row>
    <row r="349" spans="1:123" s="347" customFormat="1" x14ac:dyDescent="0.2">
      <c r="A349" s="411" t="s">
        <v>97</v>
      </c>
      <c r="B349" s="348" t="s">
        <v>22</v>
      </c>
      <c r="BH349" s="396">
        <v>16845</v>
      </c>
      <c r="BI349" s="396">
        <v>15248</v>
      </c>
      <c r="BJ349" s="397">
        <f>BI349</f>
        <v>15248</v>
      </c>
      <c r="BK349" s="348"/>
      <c r="BL349" s="396">
        <v>16787</v>
      </c>
      <c r="BM349" s="396">
        <v>15663</v>
      </c>
      <c r="BN349" s="397">
        <f>BM349</f>
        <v>15663</v>
      </c>
      <c r="BO349" s="348"/>
      <c r="BP349" s="396">
        <v>19721</v>
      </c>
      <c r="BQ349" s="396">
        <v>16883</v>
      </c>
      <c r="BR349" s="397">
        <f>BQ349</f>
        <v>16883</v>
      </c>
      <c r="BT349" s="396">
        <v>20413</v>
      </c>
      <c r="BU349" s="396">
        <v>19968</v>
      </c>
      <c r="BV349" s="397">
        <f>BU349</f>
        <v>19968</v>
      </c>
      <c r="BX349" s="396">
        <v>22608</v>
      </c>
      <c r="BY349" s="396">
        <v>21625</v>
      </c>
      <c r="BZ349" s="397">
        <f>BY349</f>
        <v>21625</v>
      </c>
      <c r="CB349" s="396">
        <v>21781</v>
      </c>
      <c r="CC349" s="396">
        <v>22554</v>
      </c>
      <c r="CD349" s="397">
        <f>CC349</f>
        <v>22554</v>
      </c>
      <c r="CF349" s="396">
        <v>22825</v>
      </c>
      <c r="CG349" s="396">
        <v>16912</v>
      </c>
      <c r="CH349" s="397">
        <f>CG349</f>
        <v>16912</v>
      </c>
      <c r="CJ349" s="396">
        <v>21938</v>
      </c>
      <c r="CK349" s="396">
        <v>17948</v>
      </c>
      <c r="CL349" s="397">
        <f>CK349</f>
        <v>17948</v>
      </c>
      <c r="CN349" s="396">
        <v>20695</v>
      </c>
      <c r="CO349" s="396">
        <v>22982</v>
      </c>
      <c r="CP349" s="397">
        <f>CO349</f>
        <v>22982</v>
      </c>
      <c r="CR349" s="396">
        <v>32980</v>
      </c>
      <c r="CS349" s="396">
        <v>40276</v>
      </c>
      <c r="CT349" s="397">
        <f>CS349</f>
        <v>40276</v>
      </c>
      <c r="CU349" s="393">
        <f t="shared" ref="CU349" si="278">+CT349/CP349-1</f>
        <v>0.75250195805412923</v>
      </c>
      <c r="CV349" s="396">
        <v>39611</v>
      </c>
      <c r="CW349" s="396">
        <v>20050</v>
      </c>
      <c r="CX349" s="397">
        <f>CW349</f>
        <v>20050</v>
      </c>
      <c r="CY349" s="393">
        <f t="shared" ref="CY349" si="279">+CX349/CT349-1</f>
        <v>-0.50218492402423287</v>
      </c>
      <c r="CZ349" s="396">
        <v>19885</v>
      </c>
      <c r="DA349" s="396">
        <v>23217</v>
      </c>
      <c r="DB349" s="397">
        <f>DA349</f>
        <v>23217</v>
      </c>
      <c r="DC349" s="393">
        <f t="shared" ref="DC349" si="280">+DB349/CX349-1</f>
        <v>0.15795511221945135</v>
      </c>
      <c r="DD349" s="396">
        <v>30091</v>
      </c>
      <c r="DE349" s="396">
        <v>31307</v>
      </c>
      <c r="DF349" s="397">
        <f>DE349</f>
        <v>31307</v>
      </c>
      <c r="DG349" s="393">
        <f t="shared" ref="DG349" si="281">+DF349/DB349-1</f>
        <v>0.34845156566309177</v>
      </c>
      <c r="DH349" s="396">
        <v>37176</v>
      </c>
      <c r="DI349" s="397">
        <f t="shared" ref="DI349" si="282">DI343+DI346+DI347+DI348</f>
        <v>37818.820000000007</v>
      </c>
      <c r="DJ349" s="397">
        <f t="shared" si="274"/>
        <v>37818.820000000007</v>
      </c>
      <c r="DK349" s="393">
        <f t="shared" ref="DK349" si="283">+DJ349/DF349-1</f>
        <v>0.20799885009742258</v>
      </c>
      <c r="DL349" s="397">
        <f t="shared" ref="DL349:DM349" si="284">DL343+DL346+DL347+DL348</f>
        <v>38424.184999999998</v>
      </c>
      <c r="DM349" s="397">
        <f t="shared" si="284"/>
        <v>39212.836860000003</v>
      </c>
      <c r="DN349" s="397">
        <f t="shared" si="275"/>
        <v>39212.836860000003</v>
      </c>
      <c r="DO349" s="393">
        <f t="shared" ref="DO349" si="285">+DN349/DJ349-1</f>
        <v>3.6860400721122399E-2</v>
      </c>
      <c r="DP349" s="397">
        <f t="shared" ref="DP349:DQ349" si="286">DP343+DP346+DP347+DP348</f>
        <v>39673.855010660001</v>
      </c>
      <c r="DQ349" s="397">
        <f t="shared" si="286"/>
        <v>40492.679089810801</v>
      </c>
      <c r="DR349" s="397">
        <f t="shared" si="276"/>
        <v>40492.679089810801</v>
      </c>
      <c r="DS349" s="393">
        <f t="shared" ref="DS349" si="287">+DR349/DN349-1</f>
        <v>3.2638348364852243E-2</v>
      </c>
    </row>
    <row r="350" spans="1:123" s="347" customFormat="1" x14ac:dyDescent="0.2">
      <c r="A350" s="424" t="s">
        <v>273</v>
      </c>
      <c r="B350" s="348"/>
      <c r="BH350" s="398"/>
      <c r="BI350" s="348"/>
      <c r="BJ350" s="348"/>
      <c r="BK350" s="348"/>
      <c r="BL350" s="398"/>
      <c r="BM350" s="348"/>
      <c r="BN350" s="348"/>
      <c r="BO350" s="348"/>
      <c r="BP350" s="398"/>
      <c r="BQ350" s="348"/>
      <c r="BR350" s="348"/>
      <c r="BT350" s="398"/>
      <c r="BU350" s="348"/>
      <c r="BV350" s="348"/>
      <c r="BX350" s="398"/>
      <c r="BY350" s="348"/>
      <c r="BZ350" s="348"/>
      <c r="CB350" s="398"/>
      <c r="CC350" s="348"/>
      <c r="CD350" s="348"/>
      <c r="CF350" s="398"/>
      <c r="CG350" s="348"/>
      <c r="CH350" s="348"/>
      <c r="CJ350" s="398"/>
      <c r="CK350" s="348"/>
      <c r="CL350" s="348"/>
      <c r="CN350" s="398"/>
      <c r="CO350" s="348"/>
      <c r="CP350" s="348"/>
      <c r="CR350" s="398"/>
      <c r="CS350" s="348"/>
      <c r="CT350" s="348"/>
      <c r="CV350" s="398"/>
      <c r="CW350" s="348"/>
      <c r="CX350" s="348"/>
      <c r="CZ350" s="398"/>
      <c r="DA350" s="348"/>
      <c r="DB350" s="348"/>
      <c r="DD350" s="398"/>
      <c r="DE350" s="348"/>
      <c r="DF350" s="348"/>
      <c r="DH350" s="398"/>
      <c r="DI350" s="348"/>
      <c r="DJ350" s="348"/>
      <c r="DL350" s="348"/>
      <c r="DM350" s="348"/>
      <c r="DN350" s="348"/>
      <c r="DP350" s="348"/>
      <c r="DQ350" s="348"/>
      <c r="DR350" s="348"/>
    </row>
    <row r="351" spans="1:123" s="347" customFormat="1" x14ac:dyDescent="0.2">
      <c r="A351" s="436" t="str">
        <f>+A343</f>
        <v>CoD</v>
      </c>
      <c r="B351" s="466" t="s">
        <v>140</v>
      </c>
      <c r="C351" s="463"/>
      <c r="D351" s="463"/>
      <c r="E351" s="463"/>
      <c r="F351" s="463"/>
      <c r="G351" s="463"/>
      <c r="H351" s="463"/>
      <c r="I351" s="463"/>
      <c r="J351" s="463"/>
      <c r="K351" s="463"/>
      <c r="L351" s="463"/>
      <c r="M351" s="463"/>
      <c r="N351" s="463"/>
      <c r="O351" s="463"/>
      <c r="P351" s="463"/>
      <c r="Q351" s="463"/>
      <c r="R351" s="463"/>
      <c r="S351" s="463"/>
      <c r="T351" s="463"/>
      <c r="U351" s="463"/>
      <c r="V351" s="463"/>
      <c r="W351" s="463"/>
      <c r="X351" s="463"/>
      <c r="Y351" s="463"/>
      <c r="Z351" s="463"/>
      <c r="AA351" s="463"/>
      <c r="AB351" s="463"/>
      <c r="AC351" s="463"/>
      <c r="AD351" s="463"/>
      <c r="AE351" s="463"/>
      <c r="AF351" s="463"/>
      <c r="AG351" s="463"/>
      <c r="AH351" s="463"/>
      <c r="AI351" s="463"/>
      <c r="AJ351" s="463"/>
      <c r="AK351" s="463"/>
      <c r="AL351" s="463"/>
      <c r="AM351" s="463"/>
      <c r="AN351" s="463"/>
      <c r="AO351" s="463"/>
      <c r="AP351" s="463"/>
      <c r="AQ351" s="463"/>
      <c r="AR351" s="463"/>
      <c r="AS351" s="463"/>
      <c r="AT351" s="463"/>
      <c r="AU351" s="463"/>
      <c r="AV351" s="463"/>
      <c r="AW351" s="463"/>
      <c r="AX351" s="463"/>
      <c r="AY351" s="463"/>
      <c r="AZ351" s="463"/>
      <c r="BA351" s="463"/>
      <c r="BB351" s="463"/>
      <c r="BC351" s="463"/>
      <c r="BD351" s="463"/>
      <c r="BE351" s="463"/>
      <c r="BF351" s="463"/>
      <c r="BG351" s="463"/>
      <c r="BH351" s="464"/>
      <c r="BI351" s="465">
        <f>+BI343/BH343-1</f>
        <v>-0.34555697278911568</v>
      </c>
      <c r="BJ351" s="466"/>
      <c r="BK351" s="466"/>
      <c r="BL351" s="465">
        <f>+BL343/BI343-1</f>
        <v>0.37729413675491319</v>
      </c>
      <c r="BM351" s="465">
        <f>+BM343/BL343-1</f>
        <v>-0.28360849056603776</v>
      </c>
      <c r="BN351" s="466"/>
      <c r="BO351" s="466"/>
      <c r="BP351" s="465">
        <f>+BP343/BM343-1</f>
        <v>0.65267489711934146</v>
      </c>
      <c r="BQ351" s="465">
        <f>+BQ343/BP343-1</f>
        <v>-0.48227091633466135</v>
      </c>
      <c r="BR351" s="466"/>
      <c r="BS351" s="463"/>
      <c r="BT351" s="465">
        <f>+BT343/BQ343-1</f>
        <v>0.339361292804925</v>
      </c>
      <c r="BU351" s="465">
        <f>+BU343/BT343-1</f>
        <v>-9.2358517667336937E-2</v>
      </c>
      <c r="BV351" s="466"/>
      <c r="BW351" s="463"/>
      <c r="BX351" s="465">
        <f>+BX343/BU343-1</f>
        <v>0.47855673366038931</v>
      </c>
      <c r="BY351" s="465">
        <f>+BY343/BX343-1</f>
        <v>7.9631809911163476E-2</v>
      </c>
      <c r="BZ351" s="466"/>
      <c r="CA351" s="463"/>
      <c r="CB351" s="465">
        <f>+CB343/BY343-1</f>
        <v>-0.1277882422920591</v>
      </c>
      <c r="CC351" s="465">
        <f>+CC343/CB343-1</f>
        <v>-0.29870425096612863</v>
      </c>
      <c r="CD351" s="466"/>
      <c r="CE351" s="463"/>
      <c r="CF351" s="465">
        <f>+CF343/CC343-1</f>
        <v>0.51491085899513767</v>
      </c>
      <c r="CG351" s="465">
        <f>+CG343/CF343-1</f>
        <v>-4.6218037873114404E-2</v>
      </c>
      <c r="CH351" s="466"/>
      <c r="CI351" s="463"/>
      <c r="CJ351" s="465">
        <f>+CJ343/CG343-1</f>
        <v>0.55860908581043178</v>
      </c>
      <c r="CK351" s="465">
        <f>+CK343/CJ343-1</f>
        <v>-0.28672184238934872</v>
      </c>
      <c r="CL351" s="466"/>
      <c r="CM351" s="463"/>
      <c r="CN351" s="465">
        <f>+CN343/CK343-1</f>
        <v>5.0247200080718368E-2</v>
      </c>
      <c r="CO351" s="465">
        <f>+CO343/CN343-1</f>
        <v>5.139782880199828E-2</v>
      </c>
      <c r="CP351" s="466"/>
      <c r="CQ351" s="463"/>
      <c r="CR351" s="465">
        <f>+CR343/CO343-1</f>
        <v>0.47688230994152048</v>
      </c>
      <c r="CS351" s="465">
        <f>+CS343/CR343-1</f>
        <v>-1.4415640660768392E-2</v>
      </c>
      <c r="CT351" s="466"/>
      <c r="CU351" s="463"/>
      <c r="CV351" s="465">
        <f>+CV343/CS343-1</f>
        <v>-2.1531701192718189E-2</v>
      </c>
      <c r="CW351" s="465">
        <f>+CW343/CV343-1</f>
        <v>-0.19695900429845381</v>
      </c>
      <c r="CX351" s="466"/>
      <c r="CY351" s="463"/>
      <c r="CZ351" s="465">
        <f>+CZ343/CW343-1</f>
        <v>-6.3593512822561316E-2</v>
      </c>
      <c r="DA351" s="465">
        <f t="shared" ref="DA351:DA357" si="288">+DA343/CZ343-1</f>
        <v>0.101271222591929</v>
      </c>
      <c r="DB351" s="466"/>
      <c r="DC351" s="463"/>
      <c r="DD351" s="465">
        <f t="shared" ref="DD351:DD357" si="289">+DD343/DA343-1</f>
        <v>0.25123954136969329</v>
      </c>
      <c r="DE351" s="465">
        <f t="shared" ref="DE351:DE357" si="290">+DE343/DD343-1</f>
        <v>-9.6340783852393086E-2</v>
      </c>
      <c r="DF351" s="466"/>
      <c r="DG351" s="463"/>
      <c r="DH351" s="465">
        <f t="shared" ref="DH351:DH357" si="291">+DH343/DE343-1</f>
        <v>0.222678999657417</v>
      </c>
      <c r="DI351" s="482">
        <v>0.01</v>
      </c>
      <c r="DJ351" s="466"/>
      <c r="DK351" s="463"/>
      <c r="DL351" s="482">
        <v>0.01</v>
      </c>
      <c r="DM351" s="482">
        <v>0.01</v>
      </c>
      <c r="DN351" s="466"/>
      <c r="DO351" s="463"/>
      <c r="DP351" s="482">
        <v>0.01</v>
      </c>
      <c r="DQ351" s="482">
        <v>0.01</v>
      </c>
      <c r="DR351" s="466"/>
      <c r="DS351" s="463"/>
    </row>
    <row r="352" spans="1:123" s="347" customFormat="1" x14ac:dyDescent="0.2">
      <c r="A352" s="436" t="str">
        <f>+A344</f>
        <v>Term Deposits</v>
      </c>
      <c r="B352" s="466" t="s">
        <v>140</v>
      </c>
      <c r="C352" s="463"/>
      <c r="D352" s="463"/>
      <c r="E352" s="463"/>
      <c r="F352" s="463"/>
      <c r="G352" s="463"/>
      <c r="H352" s="463"/>
      <c r="I352" s="463"/>
      <c r="J352" s="463"/>
      <c r="K352" s="463"/>
      <c r="L352" s="463"/>
      <c r="M352" s="463"/>
      <c r="N352" s="463"/>
      <c r="O352" s="463"/>
      <c r="P352" s="463"/>
      <c r="Q352" s="463"/>
      <c r="R352" s="463"/>
      <c r="S352" s="463"/>
      <c r="T352" s="463"/>
      <c r="U352" s="463"/>
      <c r="V352" s="463"/>
      <c r="W352" s="463"/>
      <c r="X352" s="463"/>
      <c r="Y352" s="463"/>
      <c r="Z352" s="463"/>
      <c r="AA352" s="463"/>
      <c r="AB352" s="463"/>
      <c r="AC352" s="463"/>
      <c r="AD352" s="463"/>
      <c r="AE352" s="463"/>
      <c r="AF352" s="463"/>
      <c r="AG352" s="463"/>
      <c r="AH352" s="463"/>
      <c r="AI352" s="463"/>
      <c r="AJ352" s="463"/>
      <c r="AK352" s="463"/>
      <c r="AL352" s="463"/>
      <c r="AM352" s="463"/>
      <c r="AN352" s="463"/>
      <c r="AO352" s="463"/>
      <c r="AP352" s="463"/>
      <c r="AQ352" s="463"/>
      <c r="AR352" s="463"/>
      <c r="AS352" s="463"/>
      <c r="AT352" s="463"/>
      <c r="AU352" s="463"/>
      <c r="AV352" s="463"/>
      <c r="AW352" s="463"/>
      <c r="AX352" s="463"/>
      <c r="AY352" s="463"/>
      <c r="AZ352" s="463"/>
      <c r="BA352" s="463"/>
      <c r="BB352" s="463"/>
      <c r="BC352" s="463"/>
      <c r="BD352" s="463"/>
      <c r="BE352" s="463"/>
      <c r="BF352" s="463"/>
      <c r="BG352" s="463"/>
      <c r="BH352" s="464"/>
      <c r="BI352" s="465">
        <f>+BI344/BH344-1</f>
        <v>0.24540166640465344</v>
      </c>
      <c r="BJ352" s="466"/>
      <c r="BK352" s="466"/>
      <c r="BL352" s="465">
        <f>+BL344/BI344-1</f>
        <v>-0.10010098459984851</v>
      </c>
      <c r="BM352" s="465">
        <f>+BM344/BL344-1</f>
        <v>0.20325431336793387</v>
      </c>
      <c r="BN352" s="466"/>
      <c r="BO352" s="466"/>
      <c r="BP352" s="465">
        <f>+BP344/BM344-1</f>
        <v>-0.1140125903474003</v>
      </c>
      <c r="BQ352" s="465">
        <f>+BQ344/BP344-1</f>
        <v>0.22605263157894728</v>
      </c>
      <c r="BR352" s="466"/>
      <c r="BS352" s="463"/>
      <c r="BT352" s="465">
        <f>+BT344/BQ344-1</f>
        <v>0.1769693067181799</v>
      </c>
      <c r="BU352" s="465">
        <f>+BU344/BT344-1</f>
        <v>-8.7352967994893782E-2</v>
      </c>
      <c r="BV352" s="466"/>
      <c r="BW352" s="463"/>
      <c r="BX352" s="465">
        <f>+BX344/BU344-1</f>
        <v>6.8438405435108374E-2</v>
      </c>
      <c r="BY352" s="465">
        <f>+BY344/BX344-1</f>
        <v>-0.166635496540116</v>
      </c>
      <c r="BZ352" s="466"/>
      <c r="CA352" s="463"/>
      <c r="CB352" s="465">
        <f>+CB344/BY344-1</f>
        <v>0.23002692998204677</v>
      </c>
      <c r="CC352" s="465">
        <f>+CC344/CB344-1</f>
        <v>0.30596606458675435</v>
      </c>
      <c r="CD352" s="466"/>
      <c r="CE352" s="463"/>
      <c r="CF352" s="465">
        <f>+CF344/CC344-1</f>
        <v>-0.2014529198100028</v>
      </c>
      <c r="CG352" s="465">
        <f>+CG344/CF344-1</f>
        <v>-0.42179846046186142</v>
      </c>
      <c r="CH352" s="466"/>
      <c r="CI352" s="463"/>
      <c r="CJ352" s="465">
        <f>+CJ344/CG344-1</f>
        <v>-1.1951588502269295E-2</v>
      </c>
      <c r="CK352" s="465">
        <f>+CK344/CJ344-1</f>
        <v>-0.28173327208696985</v>
      </c>
      <c r="CL352" s="466"/>
      <c r="CM352" s="463"/>
      <c r="CN352" s="465">
        <f>+CN344/CK344-1</f>
        <v>-0.23044127051801322</v>
      </c>
      <c r="CO352" s="465">
        <f>+CO344/CN344-1</f>
        <v>0.23462603878116339</v>
      </c>
      <c r="CP352" s="466"/>
      <c r="CQ352" s="463"/>
      <c r="CR352" s="465">
        <f>+CR344/CO344-1</f>
        <v>-8.3015481265424906E-3</v>
      </c>
      <c r="CS352" s="465">
        <f>+CS344/CR344-1</f>
        <v>-8.959276018099549E-2</v>
      </c>
      <c r="CT352" s="466"/>
      <c r="CU352" s="463"/>
      <c r="CV352" s="465">
        <f>+CV344/CS344-1</f>
        <v>0.33349900596421467</v>
      </c>
      <c r="CW352" s="465">
        <f>+CW344/CV344-1</f>
        <v>8.3302273574357155E-2</v>
      </c>
      <c r="CX352" s="466"/>
      <c r="CY352" s="463"/>
      <c r="CZ352" s="465">
        <f>+CZ344/CW344-1</f>
        <v>-0.13659040082573537</v>
      </c>
      <c r="DA352" s="465">
        <f t="shared" si="288"/>
        <v>0.25144451085873687</v>
      </c>
      <c r="DB352" s="466"/>
      <c r="DC352" s="463"/>
      <c r="DD352" s="465">
        <f t="shared" si="289"/>
        <v>0.31141537971660571</v>
      </c>
      <c r="DE352" s="465">
        <f t="shared" si="290"/>
        <v>0.11885395168143731</v>
      </c>
      <c r="DF352" s="466"/>
      <c r="DG352" s="463"/>
      <c r="DH352" s="465">
        <f t="shared" si="291"/>
        <v>-9.906684027777779E-2</v>
      </c>
      <c r="DI352" s="482">
        <v>0.01</v>
      </c>
      <c r="DJ352" s="466"/>
      <c r="DK352" s="463"/>
      <c r="DL352" s="482">
        <v>0.01</v>
      </c>
      <c r="DM352" s="482">
        <v>0.01</v>
      </c>
      <c r="DN352" s="466"/>
      <c r="DO352" s="463"/>
      <c r="DP352" s="482">
        <v>0.01</v>
      </c>
      <c r="DQ352" s="482">
        <v>0.01</v>
      </c>
      <c r="DR352" s="466"/>
      <c r="DS352" s="463"/>
    </row>
    <row r="353" spans="1:123" s="347" customFormat="1" x14ac:dyDescent="0.2">
      <c r="A353" s="436" t="str">
        <f>+A345</f>
        <v>Other Investment Deposits</v>
      </c>
      <c r="B353" s="466"/>
      <c r="C353" s="463"/>
      <c r="D353" s="463"/>
      <c r="E353" s="463"/>
      <c r="F353" s="463"/>
      <c r="G353" s="463"/>
      <c r="H353" s="463"/>
      <c r="I353" s="463"/>
      <c r="J353" s="463"/>
      <c r="K353" s="463"/>
      <c r="L353" s="463"/>
      <c r="M353" s="463"/>
      <c r="N353" s="463"/>
      <c r="O353" s="463"/>
      <c r="P353" s="463"/>
      <c r="Q353" s="463"/>
      <c r="R353" s="463"/>
      <c r="S353" s="463"/>
      <c r="T353" s="463"/>
      <c r="U353" s="463"/>
      <c r="V353" s="463"/>
      <c r="W353" s="463"/>
      <c r="X353" s="463"/>
      <c r="Y353" s="463"/>
      <c r="Z353" s="463"/>
      <c r="AA353" s="463"/>
      <c r="AB353" s="463"/>
      <c r="AC353" s="463"/>
      <c r="AD353" s="463"/>
      <c r="AE353" s="463"/>
      <c r="AF353" s="463"/>
      <c r="AG353" s="463"/>
      <c r="AH353" s="463"/>
      <c r="AI353" s="463"/>
      <c r="AJ353" s="463"/>
      <c r="AK353" s="463"/>
      <c r="AL353" s="463"/>
      <c r="AM353" s="463"/>
      <c r="AN353" s="463"/>
      <c r="AO353" s="463"/>
      <c r="AP353" s="463"/>
      <c r="AQ353" s="463"/>
      <c r="AR353" s="463"/>
      <c r="AS353" s="463"/>
      <c r="AT353" s="463"/>
      <c r="AU353" s="463"/>
      <c r="AV353" s="463"/>
      <c r="AW353" s="463"/>
      <c r="AX353" s="463"/>
      <c r="AY353" s="463"/>
      <c r="AZ353" s="463"/>
      <c r="BA353" s="463"/>
      <c r="BB353" s="463"/>
      <c r="BC353" s="463"/>
      <c r="BD353" s="463"/>
      <c r="BE353" s="463"/>
      <c r="BF353" s="463"/>
      <c r="BG353" s="463"/>
      <c r="BH353" s="464"/>
      <c r="BI353" s="465"/>
      <c r="BJ353" s="466"/>
      <c r="BK353" s="466"/>
      <c r="BL353" s="465"/>
      <c r="BM353" s="465"/>
      <c r="BN353" s="466"/>
      <c r="BO353" s="466"/>
      <c r="BP353" s="465"/>
      <c r="BQ353" s="465"/>
      <c r="BR353" s="466"/>
      <c r="BS353" s="463"/>
      <c r="BT353" s="465"/>
      <c r="BU353" s="465"/>
      <c r="BV353" s="466"/>
      <c r="BW353" s="463"/>
      <c r="BX353" s="465"/>
      <c r="BY353" s="465"/>
      <c r="BZ353" s="466"/>
      <c r="CA353" s="463"/>
      <c r="CB353" s="465"/>
      <c r="CC353" s="465"/>
      <c r="CD353" s="466"/>
      <c r="CE353" s="463"/>
      <c r="CF353" s="465"/>
      <c r="CG353" s="465"/>
      <c r="CH353" s="466"/>
      <c r="CI353" s="463"/>
      <c r="CJ353" s="465"/>
      <c r="CK353" s="465"/>
      <c r="CL353" s="466"/>
      <c r="CM353" s="463"/>
      <c r="CN353" s="465"/>
      <c r="CO353" s="465"/>
      <c r="CP353" s="466"/>
      <c r="CQ353" s="463"/>
      <c r="CR353" s="465"/>
      <c r="CS353" s="465"/>
      <c r="CT353" s="466"/>
      <c r="CU353" s="463"/>
      <c r="CV353" s="465"/>
      <c r="CW353" s="465"/>
      <c r="CX353" s="466"/>
      <c r="CY353" s="463"/>
      <c r="CZ353" s="465"/>
      <c r="DA353" s="465">
        <f t="shared" si="288"/>
        <v>-1.2868525896414342</v>
      </c>
      <c r="DB353" s="466"/>
      <c r="DC353" s="463"/>
      <c r="DD353" s="465">
        <f t="shared" si="289"/>
        <v>-1.6944444444444444</v>
      </c>
      <c r="DE353" s="465">
        <f t="shared" si="290"/>
        <v>0</v>
      </c>
      <c r="DF353" s="466"/>
      <c r="DG353" s="463"/>
      <c r="DH353" s="465">
        <f t="shared" si="291"/>
        <v>0</v>
      </c>
      <c r="DI353" s="482">
        <v>0.01</v>
      </c>
      <c r="DJ353" s="466"/>
      <c r="DK353" s="463"/>
      <c r="DL353" s="482">
        <v>0.01</v>
      </c>
      <c r="DM353" s="482">
        <v>0.01</v>
      </c>
      <c r="DN353" s="466"/>
      <c r="DO353" s="463"/>
      <c r="DP353" s="482">
        <v>0.01</v>
      </c>
      <c r="DQ353" s="482">
        <v>0.01</v>
      </c>
      <c r="DR353" s="466"/>
      <c r="DS353" s="463"/>
    </row>
    <row r="354" spans="1:123" s="411" customFormat="1" x14ac:dyDescent="0.2">
      <c r="A354" s="424" t="s">
        <v>1137</v>
      </c>
      <c r="B354" s="423"/>
      <c r="BH354" s="396"/>
      <c r="BI354" s="481"/>
      <c r="BJ354" s="423"/>
      <c r="BK354" s="423"/>
      <c r="BL354" s="481"/>
      <c r="BM354" s="481"/>
      <c r="BN354" s="423"/>
      <c r="BO354" s="423"/>
      <c r="BP354" s="481"/>
      <c r="BQ354" s="481"/>
      <c r="BR354" s="423"/>
      <c r="BT354" s="481"/>
      <c r="BU354" s="481"/>
      <c r="BV354" s="423"/>
      <c r="BX354" s="481"/>
      <c r="BY354" s="481"/>
      <c r="BZ354" s="423"/>
      <c r="CB354" s="481"/>
      <c r="CC354" s="481"/>
      <c r="CD354" s="423"/>
      <c r="CF354" s="481"/>
      <c r="CG354" s="481"/>
      <c r="CH354" s="423"/>
      <c r="CJ354" s="481"/>
      <c r="CK354" s="481"/>
      <c r="CL354" s="423"/>
      <c r="CN354" s="481"/>
      <c r="CO354" s="481"/>
      <c r="CP354" s="423"/>
      <c r="CR354" s="481"/>
      <c r="CS354" s="481"/>
      <c r="CT354" s="423"/>
      <c r="CV354" s="481"/>
      <c r="CW354" s="481"/>
      <c r="CX354" s="423"/>
      <c r="CZ354" s="481"/>
      <c r="DA354" s="481">
        <f t="shared" si="288"/>
        <v>0.17817836812144217</v>
      </c>
      <c r="DB354" s="423"/>
      <c r="DD354" s="481">
        <f t="shared" si="289"/>
        <v>0.33467547109035278</v>
      </c>
      <c r="DE354" s="481">
        <f t="shared" si="290"/>
        <v>0.11813684083504294</v>
      </c>
      <c r="DF354" s="423"/>
      <c r="DH354" s="481">
        <f t="shared" si="291"/>
        <v>-9.8532268508525811E-2</v>
      </c>
      <c r="DI354" s="481">
        <f>+DI346/DH346-1</f>
        <v>1.0000000000000009E-2</v>
      </c>
      <c r="DJ354" s="423"/>
      <c r="DL354" s="481">
        <f>+DL346/DI346-1</f>
        <v>1.0000000000000009E-2</v>
      </c>
      <c r="DM354" s="481">
        <f>+DM346/DL346-1</f>
        <v>3.0000000000000027E-2</v>
      </c>
      <c r="DN354" s="423"/>
      <c r="DP354" s="481">
        <f>+DP346/DM346-1</f>
        <v>-9.6116504854367735E-3</v>
      </c>
      <c r="DQ354" s="481">
        <f>+DQ346/DP346-1</f>
        <v>3.0000000000000027E-2</v>
      </c>
      <c r="DR354" s="423"/>
    </row>
    <row r="355" spans="1:123" s="347" customFormat="1" x14ac:dyDescent="0.2">
      <c r="A355" s="436" t="s">
        <v>338</v>
      </c>
      <c r="B355" s="466" t="s">
        <v>140</v>
      </c>
      <c r="C355" s="463"/>
      <c r="D355" s="463"/>
      <c r="E355" s="463"/>
      <c r="F355" s="463"/>
      <c r="G355" s="463"/>
      <c r="H355" s="463"/>
      <c r="I355" s="463"/>
      <c r="J355" s="463"/>
      <c r="K355" s="463"/>
      <c r="L355" s="463"/>
      <c r="M355" s="463"/>
      <c r="N355" s="463"/>
      <c r="O355" s="463"/>
      <c r="P355" s="463"/>
      <c r="Q355" s="463"/>
      <c r="R355" s="463"/>
      <c r="S355" s="463"/>
      <c r="T355" s="463"/>
      <c r="U355" s="463"/>
      <c r="V355" s="463"/>
      <c r="W355" s="463"/>
      <c r="X355" s="463"/>
      <c r="Y355" s="463"/>
      <c r="Z355" s="463"/>
      <c r="AA355" s="463"/>
      <c r="AB355" s="463"/>
      <c r="AC355" s="463"/>
      <c r="AD355" s="463"/>
      <c r="AE355" s="463"/>
      <c r="AF355" s="463"/>
      <c r="AG355" s="463"/>
      <c r="AH355" s="463"/>
      <c r="AI355" s="463"/>
      <c r="AJ355" s="463"/>
      <c r="AK355" s="463"/>
      <c r="AL355" s="463"/>
      <c r="AM355" s="463"/>
      <c r="AN355" s="463"/>
      <c r="AO355" s="463"/>
      <c r="AP355" s="463"/>
      <c r="AQ355" s="463"/>
      <c r="AR355" s="463"/>
      <c r="AS355" s="463"/>
      <c r="AT355" s="463"/>
      <c r="AU355" s="463"/>
      <c r="AV355" s="463"/>
      <c r="AW355" s="463"/>
      <c r="AX355" s="463"/>
      <c r="AY355" s="463"/>
      <c r="AZ355" s="463"/>
      <c r="BA355" s="463"/>
      <c r="BB355" s="463"/>
      <c r="BC355" s="463"/>
      <c r="BD355" s="463"/>
      <c r="BE355" s="463"/>
      <c r="BF355" s="463"/>
      <c r="BG355" s="463"/>
      <c r="BH355" s="464"/>
      <c r="BI355" s="465">
        <f>+BI347/BH347-1</f>
        <v>-0.17647058823529416</v>
      </c>
      <c r="BJ355" s="466"/>
      <c r="BK355" s="466"/>
      <c r="BL355" s="465">
        <f>+BL347/BI347-1</f>
        <v>1.75</v>
      </c>
      <c r="BM355" s="465">
        <f>+BM347/BL347-1</f>
        <v>-0.66666666666666674</v>
      </c>
      <c r="BN355" s="466"/>
      <c r="BO355" s="466"/>
      <c r="BP355" s="465">
        <f>+BP347/BM347-1</f>
        <v>-0.40259740259740262</v>
      </c>
      <c r="BQ355" s="465">
        <f>+BQ347/BP347-1</f>
        <v>0.65217391304347827</v>
      </c>
      <c r="BR355" s="466"/>
      <c r="BS355" s="463"/>
      <c r="BT355" s="465">
        <f>+BT347/BQ347-1</f>
        <v>-0.11842105263157898</v>
      </c>
      <c r="BU355" s="465">
        <f>+BU347/BT347-1</f>
        <v>-2.9850746268656692E-2</v>
      </c>
      <c r="BV355" s="466"/>
      <c r="BW355" s="463"/>
      <c r="BX355" s="465">
        <f>+BX347/BU347-1</f>
        <v>-1.538461538461533E-2</v>
      </c>
      <c r="BY355" s="465">
        <f>+BY347/BX347-1</f>
        <v>-0.234375</v>
      </c>
      <c r="BZ355" s="466"/>
      <c r="CA355" s="463"/>
      <c r="CB355" s="465">
        <f>+CB347/BY347-1</f>
        <v>0.20408163265306123</v>
      </c>
      <c r="CC355" s="465">
        <f>+CC347/CB347-1</f>
        <v>-3.3898305084745783E-2</v>
      </c>
      <c r="CD355" s="466"/>
      <c r="CE355" s="463"/>
      <c r="CF355" s="465">
        <f>+CF347/CC347-1</f>
        <v>-0.38596491228070173</v>
      </c>
      <c r="CG355" s="465">
        <f>+CG347/CF347-1</f>
        <v>0.8</v>
      </c>
      <c r="CH355" s="466"/>
      <c r="CI355" s="463"/>
      <c r="CJ355" s="465">
        <f>+CJ347/CG347-1</f>
        <v>-0.36507936507936511</v>
      </c>
      <c r="CK355" s="465">
        <f>+CK347/CJ347-1</f>
        <v>3.7249999999999996</v>
      </c>
      <c r="CL355" s="466"/>
      <c r="CM355" s="463"/>
      <c r="CN355" s="465">
        <f>+CN347/CK347-1</f>
        <v>-0.73015873015873023</v>
      </c>
      <c r="CO355" s="465">
        <f>+CO347/CN347-1</f>
        <v>0.13725490196078427</v>
      </c>
      <c r="CP355" s="466"/>
      <c r="CQ355" s="463"/>
      <c r="CR355" s="465">
        <f>+CR347/CO347-1</f>
        <v>-0.25862068965517238</v>
      </c>
      <c r="CS355" s="465">
        <f>+CS347/CR347-1</f>
        <v>-0.30232558139534882</v>
      </c>
      <c r="CT355" s="466"/>
      <c r="CU355" s="463"/>
      <c r="CV355" s="465">
        <f>+CV347/CS347-1</f>
        <v>-0.16666666666666663</v>
      </c>
      <c r="CW355" s="465">
        <f>+CW347/CV347-1</f>
        <v>-0.16000000000000003</v>
      </c>
      <c r="CX355" s="466"/>
      <c r="CY355" s="463"/>
      <c r="CZ355" s="465">
        <f>+CZ347/CW347-1</f>
        <v>3.7142857142857144</v>
      </c>
      <c r="DA355" s="465">
        <f t="shared" si="288"/>
        <v>-0.67676767676767668</v>
      </c>
      <c r="DB355" s="466"/>
      <c r="DC355" s="463"/>
      <c r="DD355" s="465">
        <f t="shared" si="289"/>
        <v>-0.3125</v>
      </c>
      <c r="DE355" s="465">
        <f t="shared" si="290"/>
        <v>-0.81818181818181812</v>
      </c>
      <c r="DF355" s="466"/>
      <c r="DG355" s="463"/>
      <c r="DH355" s="465">
        <f t="shared" si="291"/>
        <v>-0.25</v>
      </c>
      <c r="DI355" s="482">
        <v>0.03</v>
      </c>
      <c r="DJ355" s="466"/>
      <c r="DK355" s="463"/>
      <c r="DL355" s="482">
        <v>0.03</v>
      </c>
      <c r="DM355" s="482">
        <v>0.03</v>
      </c>
      <c r="DN355" s="466"/>
      <c r="DO355" s="463"/>
      <c r="DP355" s="482">
        <v>0.03</v>
      </c>
      <c r="DQ355" s="482">
        <v>0.03</v>
      </c>
      <c r="DR355" s="466"/>
      <c r="DS355" s="463"/>
    </row>
    <row r="356" spans="1:123" s="347" customFormat="1" x14ac:dyDescent="0.2">
      <c r="A356" s="436" t="str">
        <f>+A348</f>
        <v>Other Deposits</v>
      </c>
      <c r="B356" s="466" t="s">
        <v>140</v>
      </c>
      <c r="C356" s="463"/>
      <c r="D356" s="463"/>
      <c r="E356" s="463"/>
      <c r="F356" s="463"/>
      <c r="G356" s="463"/>
      <c r="H356" s="463"/>
      <c r="I356" s="463"/>
      <c r="J356" s="463"/>
      <c r="K356" s="463"/>
      <c r="L356" s="463"/>
      <c r="M356" s="463"/>
      <c r="N356" s="463"/>
      <c r="O356" s="463"/>
      <c r="P356" s="463"/>
      <c r="Q356" s="463"/>
      <c r="R356" s="463"/>
      <c r="S356" s="463"/>
      <c r="T356" s="463"/>
      <c r="U356" s="463"/>
      <c r="V356" s="463"/>
      <c r="W356" s="463"/>
      <c r="X356" s="463"/>
      <c r="Y356" s="463"/>
      <c r="Z356" s="463"/>
      <c r="AA356" s="463"/>
      <c r="AB356" s="463"/>
      <c r="AC356" s="463"/>
      <c r="AD356" s="463"/>
      <c r="AE356" s="463"/>
      <c r="AF356" s="463"/>
      <c r="AG356" s="463"/>
      <c r="AH356" s="463"/>
      <c r="AI356" s="463"/>
      <c r="AJ356" s="463"/>
      <c r="AK356" s="463"/>
      <c r="AL356" s="463"/>
      <c r="AM356" s="463"/>
      <c r="AN356" s="463"/>
      <c r="AO356" s="463"/>
      <c r="AP356" s="463"/>
      <c r="AQ356" s="463"/>
      <c r="AR356" s="463"/>
      <c r="AS356" s="463"/>
      <c r="AT356" s="463"/>
      <c r="AU356" s="463"/>
      <c r="AV356" s="463"/>
      <c r="AW356" s="463"/>
      <c r="AX356" s="463"/>
      <c r="AY356" s="463"/>
      <c r="AZ356" s="463"/>
      <c r="BA356" s="463"/>
      <c r="BB356" s="463"/>
      <c r="BC356" s="463"/>
      <c r="BD356" s="463"/>
      <c r="BE356" s="463"/>
      <c r="BF356" s="463"/>
      <c r="BG356" s="463"/>
      <c r="BH356" s="464"/>
      <c r="BI356" s="465">
        <f>+BI348/BH348-1</f>
        <v>0.11396303901437377</v>
      </c>
      <c r="BJ356" s="466"/>
      <c r="BK356" s="466"/>
      <c r="BL356" s="465">
        <f>+BL348/BI348-1</f>
        <v>-0.12718894009216586</v>
      </c>
      <c r="BM356" s="465">
        <f>+BM348/BL348-1</f>
        <v>-1.4783526927138357E-2</v>
      </c>
      <c r="BN356" s="466"/>
      <c r="BO356" s="466"/>
      <c r="BP356" s="465">
        <f>+BP348/BM348-1</f>
        <v>1.1811361200428725</v>
      </c>
      <c r="BQ356" s="465">
        <f>+BQ348/BP348-1</f>
        <v>0.12579852579852591</v>
      </c>
      <c r="BR356" s="466"/>
      <c r="BS356" s="463"/>
      <c r="BT356" s="465">
        <f>+BT348/BQ348-1</f>
        <v>5.4997817546922789E-2</v>
      </c>
      <c r="BU356" s="465">
        <f>+BU348/BT348-1</f>
        <v>0.47910633016135695</v>
      </c>
      <c r="BV356" s="466"/>
      <c r="BW356" s="463"/>
      <c r="BX356" s="465">
        <f>+BX348/BU348-1</f>
        <v>-0.29874125874125879</v>
      </c>
      <c r="BY356" s="465">
        <f>+BY348/BX348-1</f>
        <v>2.7921818907060247E-2</v>
      </c>
      <c r="BZ356" s="466"/>
      <c r="CA356" s="463"/>
      <c r="CB356" s="465">
        <f>+CB348/BY348-1</f>
        <v>-0.23864959254947615</v>
      </c>
      <c r="CC356" s="465">
        <f>+CC348/CB348-1</f>
        <v>2.4974515800203934E-2</v>
      </c>
      <c r="CD356" s="466"/>
      <c r="CE356" s="463"/>
      <c r="CF356" s="465">
        <f>+CF348/CC348-1</f>
        <v>0</v>
      </c>
      <c r="CG356" s="465">
        <f>+CG348/CF348-1</f>
        <v>-0.34162108403779212</v>
      </c>
      <c r="CH356" s="466"/>
      <c r="CI356" s="463"/>
      <c r="CJ356" s="465">
        <f>+CJ348/CG348-1</f>
        <v>0.1117824773413898</v>
      </c>
      <c r="CK356" s="465">
        <f>+CK348/CJ348-1</f>
        <v>1.144701086956522</v>
      </c>
      <c r="CL356" s="466"/>
      <c r="CM356" s="463"/>
      <c r="CN356" s="465">
        <f>+CN348/CK348-1</f>
        <v>1.0985112448527081</v>
      </c>
      <c r="CO356" s="465">
        <f>+CO348/CN348-1</f>
        <v>0.13554716981132064</v>
      </c>
      <c r="CP356" s="466"/>
      <c r="CQ356" s="463"/>
      <c r="CR356" s="465">
        <f>+CR348/CO348-1</f>
        <v>0.64216403030705838</v>
      </c>
      <c r="CS356" s="465">
        <f>+CS348/CR348-1</f>
        <v>0.64254492472073821</v>
      </c>
      <c r="CT356" s="466"/>
      <c r="CU356" s="463"/>
      <c r="CV356" s="465">
        <f>+CV348/CS348-1</f>
        <v>-8.175635718509755E-2</v>
      </c>
      <c r="CW356" s="465">
        <f>+CW348/CV348-1</f>
        <v>-0.90881768904631566</v>
      </c>
      <c r="CX356" s="466"/>
      <c r="CY356" s="463"/>
      <c r="CZ356" s="465">
        <f>+CZ348/CW348-1</f>
        <v>0.79281930547380819</v>
      </c>
      <c r="DA356" s="465">
        <f t="shared" si="288"/>
        <v>0.31188443860801041</v>
      </c>
      <c r="DB356" s="466"/>
      <c r="DC356" s="463"/>
      <c r="DD356" s="465">
        <f t="shared" si="289"/>
        <v>0.42167167167167174</v>
      </c>
      <c r="DE356" s="465">
        <f t="shared" si="290"/>
        <v>0.31878190459426148</v>
      </c>
      <c r="DF356" s="466"/>
      <c r="DG356" s="463"/>
      <c r="DH356" s="465">
        <f t="shared" si="291"/>
        <v>0.47156967431927388</v>
      </c>
      <c r="DI356" s="482">
        <v>0.03</v>
      </c>
      <c r="DJ356" s="466"/>
      <c r="DK356" s="463"/>
      <c r="DL356" s="482">
        <v>0.03</v>
      </c>
      <c r="DM356" s="482">
        <v>0.03</v>
      </c>
      <c r="DN356" s="466"/>
      <c r="DO356" s="463"/>
      <c r="DP356" s="482">
        <v>0.03</v>
      </c>
      <c r="DQ356" s="482">
        <v>0.03</v>
      </c>
      <c r="DR356" s="466"/>
      <c r="DS356" s="463"/>
    </row>
    <row r="357" spans="1:123" s="347" customFormat="1" x14ac:dyDescent="0.2">
      <c r="A357" s="424" t="str">
        <f>+A349</f>
        <v>Total Deposits</v>
      </c>
      <c r="B357" s="348" t="s">
        <v>140</v>
      </c>
      <c r="BH357" s="398"/>
      <c r="BI357" s="428">
        <f>+BI349/BH349-1</f>
        <v>-9.4805580290887481E-2</v>
      </c>
      <c r="BJ357" s="348"/>
      <c r="BK357" s="348"/>
      <c r="BL357" s="428">
        <f>+BL349/BI349-1</f>
        <v>0.10093126967471133</v>
      </c>
      <c r="BM357" s="428">
        <f>+BM349/BL349-1</f>
        <v>-6.6956573539048048E-2</v>
      </c>
      <c r="BN357" s="348"/>
      <c r="BO357" s="348"/>
      <c r="BP357" s="428">
        <f>+BP349/BM349-1</f>
        <v>0.25908191278809944</v>
      </c>
      <c r="BQ357" s="428">
        <f>+BQ349/BP349-1</f>
        <v>-0.14390750976116828</v>
      </c>
      <c r="BR357" s="348"/>
      <c r="BT357" s="428">
        <f>+BT349/BQ349-1</f>
        <v>0.2090860629035125</v>
      </c>
      <c r="BU357" s="428">
        <f>+BU349/BT349-1</f>
        <v>-2.1799833439474892E-2</v>
      </c>
      <c r="BV357" s="348"/>
      <c r="BX357" s="428">
        <f>+BX349/BU349-1</f>
        <v>0.13221153846153855</v>
      </c>
      <c r="BY357" s="428">
        <f>+BY349/BX349-1</f>
        <v>-4.3480184005661671E-2</v>
      </c>
      <c r="BZ357" s="348"/>
      <c r="CB357" s="428">
        <f>+CB349/BY349-1</f>
        <v>7.2138728323698498E-3</v>
      </c>
      <c r="CC357" s="428">
        <f>+CC349/CB349-1</f>
        <v>3.548964693999368E-2</v>
      </c>
      <c r="CD357" s="348"/>
      <c r="CF357" s="428">
        <f>+CF349/CC349-1</f>
        <v>1.201560698767401E-2</v>
      </c>
      <c r="CG357" s="428">
        <f>+CG349/CF349-1</f>
        <v>-0.25905805038335161</v>
      </c>
      <c r="CH357" s="348"/>
      <c r="CJ357" s="428">
        <f>+CJ349/CG349-1</f>
        <v>0.29718543046357615</v>
      </c>
      <c r="CK357" s="428">
        <f>+CK349/CJ349-1</f>
        <v>-0.18187619655392473</v>
      </c>
      <c r="CL357" s="348"/>
      <c r="CN357" s="428">
        <f>+CN349/CK349-1</f>
        <v>0.1530532649877423</v>
      </c>
      <c r="CO357" s="428">
        <f>+CO349/CN349-1</f>
        <v>0.11050978497221542</v>
      </c>
      <c r="CP357" s="348"/>
      <c r="CR357" s="428">
        <f>+CR349/CO349-1</f>
        <v>0.43503611522060748</v>
      </c>
      <c r="CS357" s="428">
        <f>+CS349/CR349-1</f>
        <v>0.22122498483929665</v>
      </c>
      <c r="CT357" s="348"/>
      <c r="CV357" s="428">
        <f>+CV349/CS349-1</f>
        <v>-1.651107359221371E-2</v>
      </c>
      <c r="CW357" s="428">
        <f>+CW349/CV349-1</f>
        <v>-0.49382747216682232</v>
      </c>
      <c r="CX357" s="348"/>
      <c r="CZ357" s="428">
        <f>+CZ349/CW349-1</f>
        <v>-8.2294264339152212E-3</v>
      </c>
      <c r="DA357" s="428">
        <f t="shared" si="288"/>
        <v>0.1675634900678904</v>
      </c>
      <c r="DB357" s="348"/>
      <c r="DD357" s="428">
        <f t="shared" si="289"/>
        <v>0.29607615109617957</v>
      </c>
      <c r="DE357" s="428">
        <f t="shared" si="290"/>
        <v>4.0410754046060315E-2</v>
      </c>
      <c r="DF357" s="348"/>
      <c r="DH357" s="428">
        <f t="shared" si="291"/>
        <v>0.18746606190308879</v>
      </c>
      <c r="DI357" s="428">
        <f>+DI349/DH349-1</f>
        <v>1.7291263180546856E-2</v>
      </c>
      <c r="DJ357" s="348"/>
      <c r="DL357" s="428">
        <f>+DL349/DI349-1</f>
        <v>1.6006977478408624E-2</v>
      </c>
      <c r="DM357" s="428">
        <f>+DM349/DL349-1</f>
        <v>2.0524881920072069E-2</v>
      </c>
      <c r="DN357" s="348"/>
      <c r="DP357" s="428">
        <f>+DP349/DM349-1</f>
        <v>1.175681709298293E-2</v>
      </c>
      <c r="DQ357" s="428">
        <f>+DQ349/DP349-1</f>
        <v>2.0638883691307175E-2</v>
      </c>
      <c r="DR357" s="348"/>
    </row>
    <row r="358" spans="1:123" s="347" customFormat="1" x14ac:dyDescent="0.2">
      <c r="A358" s="424"/>
      <c r="B358" s="348"/>
      <c r="BH358" s="398"/>
      <c r="BI358" s="428"/>
      <c r="BJ358" s="348"/>
      <c r="BK358" s="348"/>
      <c r="BL358" s="428"/>
      <c r="BM358" s="428"/>
      <c r="BN358" s="348"/>
      <c r="BO358" s="348"/>
      <c r="BP358" s="428"/>
      <c r="BQ358" s="428"/>
      <c r="BR358" s="348"/>
      <c r="BT358" s="428"/>
      <c r="BU358" s="428"/>
      <c r="BV358" s="348"/>
      <c r="BX358" s="428"/>
      <c r="BY358" s="428"/>
      <c r="BZ358" s="348"/>
      <c r="CB358" s="428"/>
      <c r="CC358" s="428"/>
      <c r="CD358" s="348"/>
      <c r="CF358" s="428"/>
      <c r="CG358" s="428"/>
      <c r="CH358" s="348"/>
      <c r="CJ358" s="428"/>
      <c r="CK358" s="428"/>
      <c r="CL358" s="348"/>
      <c r="CN358" s="428"/>
      <c r="CO358" s="428"/>
      <c r="CP358" s="348"/>
      <c r="CR358" s="428"/>
      <c r="CS358" s="428"/>
      <c r="CT358" s="348"/>
      <c r="CV358" s="428"/>
      <c r="CW358" s="428"/>
      <c r="CX358" s="348"/>
      <c r="CZ358" s="428"/>
      <c r="DA358" s="428"/>
      <c r="DB358" s="348"/>
      <c r="DD358" s="428"/>
      <c r="DE358" s="428"/>
      <c r="DF358" s="348"/>
      <c r="DH358" s="428"/>
      <c r="DI358" s="428"/>
      <c r="DJ358" s="348"/>
      <c r="DL358" s="428"/>
      <c r="DM358" s="428"/>
      <c r="DN358" s="348"/>
      <c r="DP358" s="428"/>
      <c r="DQ358" s="428"/>
      <c r="DR358" s="348"/>
    </row>
    <row r="359" spans="1:123" s="347" customFormat="1" x14ac:dyDescent="0.2">
      <c r="A359" s="411" t="s">
        <v>343</v>
      </c>
      <c r="B359" s="348"/>
      <c r="BH359" s="348"/>
      <c r="BI359" s="348"/>
      <c r="BJ359" s="348"/>
      <c r="BK359" s="348"/>
      <c r="BL359" s="348"/>
      <c r="BM359" s="348"/>
      <c r="BN359" s="348"/>
      <c r="BO359" s="348"/>
      <c r="BP359" s="348"/>
      <c r="BQ359" s="348"/>
      <c r="BR359" s="348"/>
      <c r="BT359" s="348"/>
      <c r="BU359" s="348"/>
      <c r="BV359" s="348"/>
      <c r="BX359" s="348"/>
      <c r="BY359" s="348"/>
      <c r="BZ359" s="348"/>
      <c r="CB359" s="348"/>
      <c r="CC359" s="348"/>
      <c r="CD359" s="348"/>
      <c r="CF359" s="348"/>
      <c r="CG359" s="348"/>
      <c r="CH359" s="348"/>
      <c r="CJ359" s="348"/>
      <c r="CK359" s="348"/>
      <c r="CL359" s="348"/>
      <c r="CN359" s="348"/>
      <c r="CO359" s="348"/>
      <c r="CP359" s="348"/>
      <c r="CR359" s="348"/>
      <c r="CS359" s="348"/>
      <c r="CT359" s="348"/>
      <c r="CV359" s="348"/>
      <c r="CW359" s="348"/>
      <c r="CX359" s="348"/>
      <c r="CZ359" s="348"/>
      <c r="DA359" s="348"/>
      <c r="DB359" s="348"/>
      <c r="DD359" s="348"/>
      <c r="DE359" s="348"/>
      <c r="DF359" s="348"/>
      <c r="DH359" s="348"/>
      <c r="DI359" s="348"/>
      <c r="DJ359" s="348"/>
      <c r="DL359" s="348"/>
      <c r="DM359" s="348"/>
      <c r="DN359" s="348"/>
      <c r="DP359" s="348"/>
      <c r="DQ359" s="348"/>
      <c r="DR359" s="348"/>
    </row>
    <row r="360" spans="1:123" s="347" customFormat="1" x14ac:dyDescent="0.2">
      <c r="A360" s="347" t="s">
        <v>336</v>
      </c>
      <c r="B360" s="348" t="s">
        <v>22</v>
      </c>
      <c r="BH360" s="351">
        <f t="shared" ref="BH360:BJ361" si="292">+BH293+BH312+BH343</f>
        <v>57883</v>
      </c>
      <c r="BI360" s="351">
        <f t="shared" si="292"/>
        <v>48584</v>
      </c>
      <c r="BJ360" s="351">
        <f t="shared" si="292"/>
        <v>48584</v>
      </c>
      <c r="BK360" s="348"/>
      <c r="BL360" s="351">
        <f t="shared" ref="BL360:BN361" si="293">+BL293+BL312+BL343</f>
        <v>48435</v>
      </c>
      <c r="BM360" s="351">
        <f t="shared" si="293"/>
        <v>50198</v>
      </c>
      <c r="BN360" s="351">
        <f t="shared" si="293"/>
        <v>50198</v>
      </c>
      <c r="BO360" s="348"/>
      <c r="BP360" s="351">
        <f t="shared" ref="BP360:BR361" si="294">+BP293+BP312+BP343</f>
        <v>56106</v>
      </c>
      <c r="BQ360" s="351">
        <f t="shared" si="294"/>
        <v>53143</v>
      </c>
      <c r="BR360" s="351">
        <f t="shared" si="294"/>
        <v>53143</v>
      </c>
      <c r="BT360" s="351">
        <f t="shared" ref="BT360:BV361" si="295">+BT293+BT312+BT343</f>
        <v>47972</v>
      </c>
      <c r="BU360" s="351">
        <f t="shared" si="295"/>
        <v>52860</v>
      </c>
      <c r="BV360" s="351">
        <f t="shared" si="295"/>
        <v>52860</v>
      </c>
      <c r="BX360" s="351">
        <f t="shared" ref="BX360:BZ361" si="296">+BX293+BX312+BX343</f>
        <v>52882</v>
      </c>
      <c r="BY360" s="351">
        <f t="shared" si="296"/>
        <v>52350</v>
      </c>
      <c r="BZ360" s="351">
        <f t="shared" si="296"/>
        <v>52350</v>
      </c>
      <c r="CB360" s="351">
        <f t="shared" ref="CB360:CD361" si="297">+CB293+CB312+CB343</f>
        <v>46831</v>
      </c>
      <c r="CC360" s="351">
        <f t="shared" si="297"/>
        <v>39914</v>
      </c>
      <c r="CD360" s="351">
        <f t="shared" si="297"/>
        <v>39914</v>
      </c>
      <c r="CF360" s="351">
        <f t="shared" ref="CF360:CH361" si="298">+CF293+CF312+CF343</f>
        <v>43646</v>
      </c>
      <c r="CG360" s="351">
        <f t="shared" si="298"/>
        <v>43068</v>
      </c>
      <c r="CH360" s="351">
        <f t="shared" si="298"/>
        <v>43068</v>
      </c>
      <c r="CJ360" s="351">
        <f t="shared" ref="CJ360:CL361" si="299">+CJ293+CJ312+CJ343</f>
        <v>43197</v>
      </c>
      <c r="CK360" s="351">
        <f t="shared" si="299"/>
        <v>43795</v>
      </c>
      <c r="CL360" s="351">
        <f t="shared" si="299"/>
        <v>43795</v>
      </c>
      <c r="CN360" s="351">
        <f t="shared" ref="CN360:CP361" si="300">+CN293+CN312+CN343</f>
        <v>39277</v>
      </c>
      <c r="CO360" s="351">
        <f t="shared" si="300"/>
        <v>44422</v>
      </c>
      <c r="CP360" s="351">
        <f t="shared" si="300"/>
        <v>44422</v>
      </c>
      <c r="CR360" s="351">
        <f t="shared" ref="CR360:CT361" si="301">+CR293+CR312+CR343</f>
        <v>49343</v>
      </c>
      <c r="CS360" s="351">
        <f t="shared" si="301"/>
        <v>45617</v>
      </c>
      <c r="CT360" s="351">
        <f t="shared" si="301"/>
        <v>45617</v>
      </c>
      <c r="CV360" s="351">
        <f t="shared" ref="CV360:CX361" si="302">+CV293+CV312+CV343</f>
        <v>46177</v>
      </c>
      <c r="CW360" s="351">
        <f t="shared" si="302"/>
        <v>44784</v>
      </c>
      <c r="CX360" s="351">
        <f t="shared" si="302"/>
        <v>44784</v>
      </c>
      <c r="CZ360" s="351">
        <f t="shared" ref="CZ360:DA363" si="303">+CZ293+CZ312+CZ343</f>
        <v>44603</v>
      </c>
      <c r="DA360" s="351">
        <f t="shared" si="303"/>
        <v>45417</v>
      </c>
      <c r="DB360" s="351">
        <f>DA360</f>
        <v>45417</v>
      </c>
      <c r="DD360" s="351">
        <f t="shared" ref="DD360:DE364" si="304">+DD293+DD312+DD343</f>
        <v>40155</v>
      </c>
      <c r="DE360" s="351">
        <f t="shared" si="304"/>
        <v>40742</v>
      </c>
      <c r="DF360" s="351">
        <f>DE360</f>
        <v>40742</v>
      </c>
      <c r="DH360" s="351">
        <f t="shared" ref="DH360" si="305">+DH293+DH312+DH343</f>
        <v>40711</v>
      </c>
      <c r="DI360" s="351">
        <f t="shared" ref="DI360:DI363" si="306">+DI293+DI312+DI343</f>
        <v>41073.415769230771</v>
      </c>
      <c r="DJ360" s="351">
        <f>DI360</f>
        <v>41073.415769230771</v>
      </c>
      <c r="DL360" s="351">
        <f t="shared" ref="DL360:DM363" si="307">+DL293+DL312+DL343</f>
        <v>41454.23881153846</v>
      </c>
      <c r="DM360" s="351">
        <f t="shared" si="307"/>
        <v>41839.169195423077</v>
      </c>
      <c r="DN360" s="351">
        <f>DM360</f>
        <v>41839.169195423077</v>
      </c>
      <c r="DP360" s="351">
        <f t="shared" ref="DP360:DQ360" si="308">+DP293+DP312+DP343</f>
        <v>42228.245003188844</v>
      </c>
      <c r="DQ360" s="351">
        <f t="shared" si="308"/>
        <v>42621.504727874155</v>
      </c>
      <c r="DR360" s="351">
        <f>DQ360</f>
        <v>42621.504727874155</v>
      </c>
    </row>
    <row r="361" spans="1:123" s="347" customFormat="1" x14ac:dyDescent="0.2">
      <c r="A361" s="347" t="s">
        <v>337</v>
      </c>
      <c r="B361" s="348" t="s">
        <v>22</v>
      </c>
      <c r="BH361" s="351">
        <f t="shared" si="292"/>
        <v>178729</v>
      </c>
      <c r="BI361" s="351">
        <f t="shared" si="292"/>
        <v>184840</v>
      </c>
      <c r="BJ361" s="351">
        <f t="shared" si="292"/>
        <v>184840</v>
      </c>
      <c r="BK361" s="348"/>
      <c r="BL361" s="351">
        <f t="shared" si="293"/>
        <v>182384</v>
      </c>
      <c r="BM361" s="351">
        <f t="shared" si="293"/>
        <v>179109</v>
      </c>
      <c r="BN361" s="351">
        <f t="shared" si="293"/>
        <v>179109</v>
      </c>
      <c r="BO361" s="348"/>
      <c r="BP361" s="351">
        <f t="shared" si="294"/>
        <v>178700</v>
      </c>
      <c r="BQ361" s="351">
        <f t="shared" si="294"/>
        <v>174097</v>
      </c>
      <c r="BR361" s="351">
        <f t="shared" si="294"/>
        <v>174097</v>
      </c>
      <c r="BT361" s="351">
        <f t="shared" si="295"/>
        <v>173070</v>
      </c>
      <c r="BU361" s="351">
        <f t="shared" si="295"/>
        <v>170512</v>
      </c>
      <c r="BV361" s="351">
        <f t="shared" si="295"/>
        <v>170512</v>
      </c>
      <c r="BX361" s="351">
        <f t="shared" si="296"/>
        <v>186517</v>
      </c>
      <c r="BY361" s="351">
        <f t="shared" si="296"/>
        <v>194761</v>
      </c>
      <c r="BZ361" s="351">
        <f t="shared" si="296"/>
        <v>194761</v>
      </c>
      <c r="CB361" s="351">
        <f t="shared" si="297"/>
        <v>194352</v>
      </c>
      <c r="CC361" s="351">
        <f t="shared" si="297"/>
        <v>193820</v>
      </c>
      <c r="CD361" s="351">
        <f t="shared" si="297"/>
        <v>193820</v>
      </c>
      <c r="CF361" s="351">
        <f t="shared" si="298"/>
        <v>198892</v>
      </c>
      <c r="CG361" s="351">
        <f t="shared" si="298"/>
        <v>187460</v>
      </c>
      <c r="CH361" s="351">
        <f t="shared" si="298"/>
        <v>187460</v>
      </c>
      <c r="CJ361" s="351">
        <f t="shared" si="299"/>
        <v>185197</v>
      </c>
      <c r="CK361" s="351">
        <f t="shared" si="299"/>
        <v>164746</v>
      </c>
      <c r="CL361" s="351">
        <f t="shared" si="299"/>
        <v>164746</v>
      </c>
      <c r="CN361" s="351">
        <f t="shared" si="300"/>
        <v>154727</v>
      </c>
      <c r="CO361" s="351">
        <f t="shared" si="300"/>
        <v>147064</v>
      </c>
      <c r="CP361" s="351">
        <f t="shared" si="300"/>
        <v>147064</v>
      </c>
      <c r="CR361" s="351">
        <f t="shared" si="301"/>
        <v>147594</v>
      </c>
      <c r="CS361" s="351">
        <f t="shared" si="301"/>
        <v>159135</v>
      </c>
      <c r="CT361" s="351">
        <f t="shared" si="301"/>
        <v>159135</v>
      </c>
      <c r="CV361" s="351">
        <f t="shared" si="302"/>
        <v>195078</v>
      </c>
      <c r="CW361" s="351">
        <f t="shared" si="302"/>
        <v>211096</v>
      </c>
      <c r="CX361" s="351">
        <f t="shared" si="302"/>
        <v>211096</v>
      </c>
      <c r="CZ361" s="351">
        <f t="shared" si="303"/>
        <v>222340</v>
      </c>
      <c r="DA361" s="351">
        <f t="shared" si="303"/>
        <v>215772</v>
      </c>
      <c r="DB361" s="351">
        <f t="shared" ref="DB361:DB369" si="309">DA361</f>
        <v>215772</v>
      </c>
      <c r="DD361" s="351">
        <f t="shared" si="304"/>
        <v>224237</v>
      </c>
      <c r="DE361" s="351">
        <f t="shared" si="304"/>
        <v>231683</v>
      </c>
      <c r="DF361" s="351">
        <f t="shared" ref="DF361:DF369" si="310">DE361</f>
        <v>231683</v>
      </c>
      <c r="DH361" s="351">
        <f t="shared" ref="DH361" si="311">+DH294+DH313+DH344</f>
        <v>234865</v>
      </c>
      <c r="DI361" s="351">
        <f t="shared" si="306"/>
        <v>239115.16661538463</v>
      </c>
      <c r="DJ361" s="351">
        <f t="shared" ref="DJ361:DJ369" si="312">DI361</f>
        <v>239115.16661538463</v>
      </c>
      <c r="DL361" s="351">
        <f t="shared" si="307"/>
        <v>242851.78024769231</v>
      </c>
      <c r="DM361" s="351">
        <f t="shared" si="307"/>
        <v>246647.86010864616</v>
      </c>
      <c r="DN361" s="351">
        <f t="shared" ref="DN361:DN369" si="313">DM361</f>
        <v>246647.86010864616</v>
      </c>
      <c r="DP361" s="351">
        <f t="shared" ref="DP361:DQ361" si="314">+DP294+DP313+DP344</f>
        <v>250504.37072517406</v>
      </c>
      <c r="DQ361" s="351">
        <f t="shared" si="314"/>
        <v>254422.29258470799</v>
      </c>
      <c r="DR361" s="351">
        <f t="shared" ref="DR361:DR369" si="315">DQ361</f>
        <v>254422.29258470799</v>
      </c>
    </row>
    <row r="362" spans="1:123" s="347" customFormat="1" x14ac:dyDescent="0.2">
      <c r="A362" s="347" t="s">
        <v>1136</v>
      </c>
      <c r="B362" s="348"/>
      <c r="BH362" s="351"/>
      <c r="BI362" s="351"/>
      <c r="BJ362" s="351"/>
      <c r="BK362" s="348"/>
      <c r="BL362" s="351"/>
      <c r="BM362" s="351"/>
      <c r="BN362" s="351"/>
      <c r="BO362" s="348"/>
      <c r="BP362" s="351"/>
      <c r="BQ362" s="351"/>
      <c r="BR362" s="351"/>
      <c r="BT362" s="351"/>
      <c r="BU362" s="351"/>
      <c r="BV362" s="351"/>
      <c r="BX362" s="351"/>
      <c r="BY362" s="351"/>
      <c r="BZ362" s="351"/>
      <c r="CB362" s="351"/>
      <c r="CC362" s="351"/>
      <c r="CD362" s="351"/>
      <c r="CF362" s="351"/>
      <c r="CG362" s="351"/>
      <c r="CH362" s="351"/>
      <c r="CJ362" s="351"/>
      <c r="CK362" s="351"/>
      <c r="CL362" s="351"/>
      <c r="CN362" s="351"/>
      <c r="CO362" s="351"/>
      <c r="CP362" s="351"/>
      <c r="CR362" s="351"/>
      <c r="CS362" s="351"/>
      <c r="CT362" s="351"/>
      <c r="CV362" s="351"/>
      <c r="CW362" s="351"/>
      <c r="CX362" s="351"/>
      <c r="CZ362" s="351">
        <f t="shared" si="303"/>
        <v>21496</v>
      </c>
      <c r="DA362" s="351">
        <f t="shared" si="303"/>
        <v>22001</v>
      </c>
      <c r="DB362" s="351">
        <f t="shared" si="309"/>
        <v>22001</v>
      </c>
      <c r="DD362" s="351">
        <f t="shared" si="304"/>
        <v>23050</v>
      </c>
      <c r="DE362" s="351">
        <f t="shared" si="304"/>
        <v>23050</v>
      </c>
      <c r="DF362" s="351">
        <f t="shared" si="310"/>
        <v>23050</v>
      </c>
      <c r="DH362" s="351">
        <f t="shared" ref="DH362" si="316">+DH295+DH314+DH345</f>
        <v>23050</v>
      </c>
      <c r="DI362" s="351">
        <f t="shared" si="306"/>
        <v>23280.5</v>
      </c>
      <c r="DJ362" s="351">
        <f t="shared" si="312"/>
        <v>23280.5</v>
      </c>
      <c r="DL362" s="351">
        <f t="shared" si="307"/>
        <v>23629.454999999998</v>
      </c>
      <c r="DM362" s="351">
        <f t="shared" si="307"/>
        <v>23983.641799999998</v>
      </c>
      <c r="DN362" s="351">
        <f t="shared" si="313"/>
        <v>23983.641799999998</v>
      </c>
      <c r="DP362" s="351">
        <f t="shared" ref="DP362:DQ362" si="317">+DP295+DP314+DP345</f>
        <v>24343.138851749995</v>
      </c>
      <c r="DQ362" s="351">
        <f t="shared" si="317"/>
        <v>24708.025783523743</v>
      </c>
      <c r="DR362" s="351">
        <f t="shared" si="315"/>
        <v>24708.025783523743</v>
      </c>
    </row>
    <row r="363" spans="1:123" s="411" customFormat="1" x14ac:dyDescent="0.2">
      <c r="A363" s="411" t="s">
        <v>1137</v>
      </c>
      <c r="B363" s="423"/>
      <c r="BH363" s="397"/>
      <c r="BI363" s="397"/>
      <c r="BJ363" s="397"/>
      <c r="BK363" s="423"/>
      <c r="BL363" s="397"/>
      <c r="BM363" s="397"/>
      <c r="BN363" s="397"/>
      <c r="BO363" s="423"/>
      <c r="BP363" s="397"/>
      <c r="BQ363" s="397"/>
      <c r="BR363" s="397"/>
      <c r="BT363" s="397"/>
      <c r="BU363" s="397"/>
      <c r="BV363" s="397"/>
      <c r="BX363" s="397"/>
      <c r="BY363" s="397"/>
      <c r="BZ363" s="397"/>
      <c r="CB363" s="397"/>
      <c r="CC363" s="397"/>
      <c r="CD363" s="397"/>
      <c r="CF363" s="397"/>
      <c r="CG363" s="397"/>
      <c r="CH363" s="397"/>
      <c r="CJ363" s="397"/>
      <c r="CK363" s="397"/>
      <c r="CL363" s="397"/>
      <c r="CN363" s="397"/>
      <c r="CO363" s="397"/>
      <c r="CP363" s="397"/>
      <c r="CR363" s="397"/>
      <c r="CS363" s="397"/>
      <c r="CT363" s="397"/>
      <c r="CV363" s="397"/>
      <c r="CW363" s="397"/>
      <c r="CX363" s="397"/>
      <c r="CZ363" s="397">
        <f t="shared" si="303"/>
        <v>243836</v>
      </c>
      <c r="DA363" s="397">
        <f t="shared" si="303"/>
        <v>237773</v>
      </c>
      <c r="DB363" s="397">
        <f t="shared" si="309"/>
        <v>237773</v>
      </c>
      <c r="DD363" s="397">
        <f t="shared" si="304"/>
        <v>247287</v>
      </c>
      <c r="DE363" s="397">
        <f t="shared" si="304"/>
        <v>254733</v>
      </c>
      <c r="DF363" s="397">
        <f t="shared" si="310"/>
        <v>254733</v>
      </c>
      <c r="DH363" s="397">
        <f t="shared" ref="DH363" si="318">+DH296+DH315+DH346</f>
        <v>257915</v>
      </c>
      <c r="DI363" s="397">
        <f t="shared" si="306"/>
        <v>262395.66661538463</v>
      </c>
      <c r="DJ363" s="397">
        <f t="shared" si="312"/>
        <v>262395.66661538463</v>
      </c>
      <c r="DL363" s="397">
        <f t="shared" si="307"/>
        <v>266481.23524769227</v>
      </c>
      <c r="DM363" s="397">
        <f t="shared" si="307"/>
        <v>270801.91981464613</v>
      </c>
      <c r="DN363" s="397">
        <f t="shared" si="313"/>
        <v>270801.91981464613</v>
      </c>
      <c r="DP363" s="397">
        <f t="shared" ref="DP363:DQ363" si="319">+DP296+DP315+DP346</f>
        <v>274847.50957692403</v>
      </c>
      <c r="DQ363" s="397">
        <f t="shared" si="319"/>
        <v>279304.16167414229</v>
      </c>
      <c r="DR363" s="397">
        <f t="shared" si="315"/>
        <v>279304.16167414229</v>
      </c>
    </row>
    <row r="364" spans="1:123" s="347" customFormat="1" x14ac:dyDescent="0.2">
      <c r="A364" s="347" t="s">
        <v>338</v>
      </c>
      <c r="B364" s="348" t="s">
        <v>22</v>
      </c>
      <c r="BH364" s="351">
        <f t="shared" ref="BH364:BJ364" si="320">+BH297+BH316+BH347</f>
        <v>10438</v>
      </c>
      <c r="BI364" s="351">
        <f t="shared" si="320"/>
        <v>10952</v>
      </c>
      <c r="BJ364" s="351">
        <f t="shared" si="320"/>
        <v>10952</v>
      </c>
      <c r="BK364" s="348"/>
      <c r="BL364" s="351">
        <f t="shared" ref="BL364:BN364" si="321">+BL297+BL316+BL347</f>
        <v>11893</v>
      </c>
      <c r="BM364" s="351">
        <f t="shared" si="321"/>
        <v>12475</v>
      </c>
      <c r="BN364" s="351">
        <f t="shared" si="321"/>
        <v>12475</v>
      </c>
      <c r="BO364" s="348"/>
      <c r="BP364" s="351">
        <f t="shared" ref="BP364:BR364" si="322">+BP297+BP316+BP347</f>
        <v>14892</v>
      </c>
      <c r="BQ364" s="351">
        <f t="shared" si="322"/>
        <v>15236</v>
      </c>
      <c r="BR364" s="351">
        <f t="shared" si="322"/>
        <v>15236</v>
      </c>
      <c r="BT364" s="351">
        <f t="shared" ref="BT364:BV364" si="323">+BT297+BT316+BT347</f>
        <v>16936</v>
      </c>
      <c r="BU364" s="351">
        <f t="shared" si="323"/>
        <v>38574</v>
      </c>
      <c r="BV364" s="351">
        <f t="shared" si="323"/>
        <v>38574</v>
      </c>
      <c r="BX364" s="351">
        <f t="shared" ref="BX364:BZ364" si="324">+BX297+BX316+BX347</f>
        <v>41681</v>
      </c>
      <c r="BY364" s="351">
        <f t="shared" si="324"/>
        <v>45683</v>
      </c>
      <c r="BZ364" s="351">
        <f t="shared" si="324"/>
        <v>45683</v>
      </c>
      <c r="CB364" s="351">
        <f t="shared" ref="CB364:CD364" si="325">+CB297+CB316+CB347</f>
        <v>48232</v>
      </c>
      <c r="CC364" s="351">
        <f t="shared" si="325"/>
        <v>50557</v>
      </c>
      <c r="CD364" s="351">
        <f t="shared" si="325"/>
        <v>50557</v>
      </c>
      <c r="CF364" s="351">
        <f t="shared" ref="CF364:CH364" si="326">+CF297+CF316+CF347</f>
        <v>53230</v>
      </c>
      <c r="CG364" s="351">
        <f t="shared" si="326"/>
        <v>54623</v>
      </c>
      <c r="CH364" s="351">
        <f t="shared" si="326"/>
        <v>54623</v>
      </c>
      <c r="CJ364" s="351">
        <f t="shared" ref="CJ364:CL364" si="327">+CJ297+CJ316+CJ347</f>
        <v>62627</v>
      </c>
      <c r="CK364" s="351">
        <f t="shared" si="327"/>
        <v>76920</v>
      </c>
      <c r="CL364" s="351">
        <f t="shared" si="327"/>
        <v>76920</v>
      </c>
      <c r="CN364" s="351">
        <f>+CN297+CN316+CN347</f>
        <v>93891</v>
      </c>
      <c r="CO364" s="351">
        <f t="shared" ref="CO364:CP364" si="328">+CO297+CO316+CO347</f>
        <v>114416</v>
      </c>
      <c r="CP364" s="351">
        <f t="shared" si="328"/>
        <v>114416</v>
      </c>
      <c r="CR364" s="351">
        <f>+CR297+CR316+CR347</f>
        <v>135821</v>
      </c>
      <c r="CS364" s="351">
        <f t="shared" ref="CS364:CT364" si="329">+CS297+CS316+CS347</f>
        <v>143756</v>
      </c>
      <c r="CT364" s="351">
        <f t="shared" si="329"/>
        <v>143756</v>
      </c>
      <c r="CV364" s="351">
        <f>+CV297+CV316+CV347</f>
        <v>132022</v>
      </c>
      <c r="CW364" s="351">
        <f t="shared" ref="CW364:CX364" si="330">+CW297+CW316+CW347</f>
        <v>119701</v>
      </c>
      <c r="CX364" s="351">
        <f t="shared" si="330"/>
        <v>119701</v>
      </c>
      <c r="CZ364" s="351">
        <f>+CZ297+CZ316+CZ347</f>
        <v>112161</v>
      </c>
      <c r="DA364" s="351">
        <f t="shared" ref="DA364" si="331">+DA297+DA316+DA347</f>
        <v>110734</v>
      </c>
      <c r="DB364" s="351">
        <f t="shared" si="309"/>
        <v>110734</v>
      </c>
      <c r="DD364" s="351">
        <f>+DD297+DD316+DD347</f>
        <v>111526</v>
      </c>
      <c r="DE364" s="351">
        <f t="shared" si="304"/>
        <v>115748</v>
      </c>
      <c r="DF364" s="351">
        <f t="shared" si="310"/>
        <v>115748</v>
      </c>
      <c r="DH364" s="351">
        <f>+DH297+DH316+DH347</f>
        <v>121118</v>
      </c>
      <c r="DI364" s="351">
        <f t="shared" ref="DI364" si="332">+DI297+DI316+DI347</f>
        <v>122385.45756410256</v>
      </c>
      <c r="DJ364" s="351">
        <f t="shared" si="312"/>
        <v>122385.45756410256</v>
      </c>
      <c r="DL364" s="351">
        <f t="shared" ref="DL364:DM364" si="333">+DL297+DL316+DL347</f>
        <v>124886.41280320514</v>
      </c>
      <c r="DM364" s="351">
        <f t="shared" si="333"/>
        <v>127438.71845378526</v>
      </c>
      <c r="DN364" s="351">
        <f t="shared" si="313"/>
        <v>127438.71845378526</v>
      </c>
      <c r="DP364" s="351">
        <f t="shared" ref="DP364:DQ364" si="334">+DP297+DP316+DP347</f>
        <v>130043.4348113749</v>
      </c>
      <c r="DQ364" s="351">
        <f t="shared" si="334"/>
        <v>132701.64420973821</v>
      </c>
      <c r="DR364" s="351">
        <f t="shared" si="315"/>
        <v>132701.64420973821</v>
      </c>
    </row>
    <row r="365" spans="1:123" s="347" customFormat="1" x14ac:dyDescent="0.2">
      <c r="A365" s="347" t="s">
        <v>344</v>
      </c>
      <c r="B365" s="348" t="s">
        <v>22</v>
      </c>
      <c r="BH365" s="398">
        <f>4592+19+17</f>
        <v>4628</v>
      </c>
      <c r="BI365" s="398">
        <f>5502+70+0</f>
        <v>5572</v>
      </c>
      <c r="BJ365" s="351">
        <f>BI365</f>
        <v>5572</v>
      </c>
      <c r="BK365" s="348"/>
      <c r="BL365" s="398">
        <f>10547+87</f>
        <v>10634</v>
      </c>
      <c r="BM365" s="398">
        <v>9961</v>
      </c>
      <c r="BN365" s="351">
        <f>BM365</f>
        <v>9961</v>
      </c>
      <c r="BO365" s="348"/>
      <c r="BP365" s="398">
        <f>9015+52</f>
        <v>9067</v>
      </c>
      <c r="BQ365" s="398">
        <v>12976</v>
      </c>
      <c r="BR365" s="351">
        <f>BQ365</f>
        <v>12976</v>
      </c>
      <c r="BT365" s="398">
        <f>11910+29+0</f>
        <v>11939</v>
      </c>
      <c r="BU365" s="398">
        <v>17124</v>
      </c>
      <c r="BV365" s="351">
        <f>BU365</f>
        <v>17124</v>
      </c>
      <c r="BX365" s="398">
        <v>13015</v>
      </c>
      <c r="BY365" s="398">
        <v>16175</v>
      </c>
      <c r="BZ365" s="351">
        <f>BY365</f>
        <v>16175</v>
      </c>
      <c r="CB365" s="398">
        <v>12270</v>
      </c>
      <c r="CC365" s="398">
        <v>14696</v>
      </c>
      <c r="CD365" s="351">
        <f>CC365</f>
        <v>14696</v>
      </c>
      <c r="CF365" s="398">
        <f>17382+0</f>
        <v>17382</v>
      </c>
      <c r="CG365" s="398">
        <f>19099</f>
        <v>19099</v>
      </c>
      <c r="CH365" s="351">
        <f>CG365</f>
        <v>19099</v>
      </c>
      <c r="CJ365" s="398">
        <f>19580+381+385</f>
        <v>20346</v>
      </c>
      <c r="CK365" s="398">
        <f>14717+93+2067</f>
        <v>16877</v>
      </c>
      <c r="CL365" s="351">
        <f>CK365</f>
        <v>16877</v>
      </c>
      <c r="CN365" s="398">
        <f>20848+0+5785</f>
        <v>26633</v>
      </c>
      <c r="CO365" s="398">
        <f>12634+0+6684</f>
        <v>19318</v>
      </c>
      <c r="CP365" s="351">
        <f>CO365</f>
        <v>19318</v>
      </c>
      <c r="CR365" s="398">
        <f>12744+0+11413</f>
        <v>24157</v>
      </c>
      <c r="CS365" s="398">
        <f>14097+19067</f>
        <v>33164</v>
      </c>
      <c r="CT365" s="351">
        <f>CS365</f>
        <v>33164</v>
      </c>
      <c r="CV365" s="398">
        <f>14726+295+17518</f>
        <v>32539</v>
      </c>
      <c r="CW365" s="398">
        <f>36+474</f>
        <v>510</v>
      </c>
      <c r="CX365" s="351">
        <f>CW365</f>
        <v>510</v>
      </c>
      <c r="CZ365" s="398">
        <f>301+0+2683</f>
        <v>2984</v>
      </c>
      <c r="DA365" s="398">
        <f>3433+106+241</f>
        <v>3780</v>
      </c>
      <c r="DB365" s="351">
        <f t="shared" si="309"/>
        <v>3780</v>
      </c>
      <c r="DD365" s="398">
        <f>4986+7+582</f>
        <v>5575</v>
      </c>
      <c r="DE365" s="398">
        <f>47+328+7423</f>
        <v>7798</v>
      </c>
      <c r="DF365" s="351">
        <f t="shared" si="310"/>
        <v>7798</v>
      </c>
      <c r="DH365" s="398">
        <f>591+224+10882</f>
        <v>11697</v>
      </c>
      <c r="DI365" s="351">
        <f>DH365*(1+DI374)</f>
        <v>11930.94</v>
      </c>
      <c r="DJ365" s="351">
        <f t="shared" si="312"/>
        <v>11930.94</v>
      </c>
      <c r="DL365" s="351">
        <f>DJ365*(1+DL374)</f>
        <v>12169.558800000001</v>
      </c>
      <c r="DM365" s="351">
        <f>DL365*(1+DM374)</f>
        <v>12412.949976000002</v>
      </c>
      <c r="DN365" s="351">
        <f t="shared" si="313"/>
        <v>12412.949976000002</v>
      </c>
      <c r="DP365" s="351">
        <f>DN365*(1+DP374)</f>
        <v>12661.208975520001</v>
      </c>
      <c r="DQ365" s="351">
        <f>DP365*(1+DQ374)</f>
        <v>12914.433155030401</v>
      </c>
      <c r="DR365" s="351">
        <f t="shared" si="315"/>
        <v>12914.433155030401</v>
      </c>
    </row>
    <row r="366" spans="1:123" s="347" customFormat="1" x14ac:dyDescent="0.2">
      <c r="A366" s="347" t="s">
        <v>339</v>
      </c>
      <c r="B366" s="348" t="s">
        <v>22</v>
      </c>
      <c r="BH366" s="351">
        <f>BH367-BH365-BH364-BH361-BH360</f>
        <v>196732</v>
      </c>
      <c r="BI366" s="351">
        <f>BI367-BI365-BI364-BI361-BI360</f>
        <v>209481</v>
      </c>
      <c r="BJ366" s="351">
        <f>BJ367-BJ365-BJ364-BJ361-BJ360</f>
        <v>209481</v>
      </c>
      <c r="BK366" s="348"/>
      <c r="BL366" s="351">
        <f>BL367-BL365-BL364-BL361-BL360</f>
        <v>232140</v>
      </c>
      <c r="BM366" s="351">
        <f>BM367-BM365-BM364-BM361-BM360</f>
        <v>246609</v>
      </c>
      <c r="BN366" s="351">
        <f>BN367-BN365-BN364-BN361-BN360</f>
        <v>246609</v>
      </c>
      <c r="BO366" s="348"/>
      <c r="BP366" s="351">
        <f>BP367-BP365-BP364-BP361-BP360</f>
        <v>263798</v>
      </c>
      <c r="BQ366" s="351">
        <f>BQ367-BQ365-BQ364-BQ361-BQ360</f>
        <v>287779</v>
      </c>
      <c r="BR366" s="351">
        <f>BR367-BR365-BR364-BR361-BR360</f>
        <v>287779</v>
      </c>
      <c r="BT366" s="351">
        <f>BT367-BT365-BT364-BT361-BT360</f>
        <v>310581</v>
      </c>
      <c r="BU366" s="351">
        <f>BU367-BU365-BU364-BU361-BU360</f>
        <v>308975</v>
      </c>
      <c r="BV366" s="351">
        <f>BV367-BV365-BV364-BV361-BV360</f>
        <v>308975</v>
      </c>
      <c r="BX366" s="351">
        <f>BX367-BX365-BX364-BX361-BX360</f>
        <v>311996</v>
      </c>
      <c r="BY366" s="351">
        <f>BY367-BY365-BY364-BY361-BY360</f>
        <v>317686</v>
      </c>
      <c r="BZ366" s="351">
        <f>BZ367-BZ365-BZ364-BZ361-BZ360</f>
        <v>317686</v>
      </c>
      <c r="CB366" s="351">
        <f>CB367-CB365-CB364-CB361-CB360</f>
        <v>323212</v>
      </c>
      <c r="CC366" s="351">
        <f>CC367-CC365-CC364-CC361-CC360</f>
        <v>323247</v>
      </c>
      <c r="CD366" s="351">
        <f>CD367-CD365-CD364-CD361-CD360</f>
        <v>323247</v>
      </c>
      <c r="CF366" s="351">
        <f>CF367-CF365-CF364-CF361-CF360</f>
        <v>323860</v>
      </c>
      <c r="CG366" s="351">
        <f>CG367-CG365-CG364-CG361-CG360</f>
        <v>331790</v>
      </c>
      <c r="CH366" s="351">
        <f>CH367-CH365-CH364-CH361-CH360</f>
        <v>331790</v>
      </c>
      <c r="CJ366" s="351">
        <f>CJ367-CJ365-CJ364-CJ361-CJ360</f>
        <v>351457</v>
      </c>
      <c r="CK366" s="351">
        <f>CK367-CK365-CK364-CK361-CK360</f>
        <v>399661</v>
      </c>
      <c r="CL366" s="351">
        <f>CL367-CL365-CL364-CL361-CL360</f>
        <v>399661</v>
      </c>
      <c r="CN366" s="351">
        <f>CN367-CN365-CN364-CN361-CN360</f>
        <v>431938</v>
      </c>
      <c r="CO366" s="351">
        <f>CO367-CO365-CO364-CO361-CO360</f>
        <v>441161</v>
      </c>
      <c r="CP366" s="351">
        <f>CP367-CP365-CP364-CP361-CP360</f>
        <v>441161</v>
      </c>
      <c r="CR366" s="351">
        <f>CR367-CR365-CR364-CR361-CR360</f>
        <v>458209</v>
      </c>
      <c r="CS366" s="351">
        <f>CS367-CS365-CS364-CS361-CS360</f>
        <v>475914</v>
      </c>
      <c r="CT366" s="351">
        <f>CT367-CT365-CT364-CT361-CT360</f>
        <v>475914</v>
      </c>
      <c r="CV366" s="351">
        <f>CV367-CV365-CV364-CV361-CV360</f>
        <v>473336</v>
      </c>
      <c r="CW366" s="351">
        <f>CW367-CW365-CW364-CW361-CW360</f>
        <v>488904</v>
      </c>
      <c r="CX366" s="351">
        <f>CX367-CX365-CX364-CX361-CX360</f>
        <v>488904</v>
      </c>
      <c r="CZ366" s="351">
        <f>CZ367-CZ365-CZ364-CZ361-CZ360-CZ362</f>
        <v>469715</v>
      </c>
      <c r="DA366" s="351">
        <f>DA367-DA365-DA364-DA361-DA360-DA362</f>
        <v>485218</v>
      </c>
      <c r="DB366" s="351">
        <f t="shared" si="309"/>
        <v>485218</v>
      </c>
      <c r="DD366" s="351">
        <f>DD367-DD365-DD364-DD361-DD360-DD362</f>
        <v>497959</v>
      </c>
      <c r="DE366" s="351">
        <f>DE367-DE365-DE364-DE361-DE360-DE362</f>
        <v>518836</v>
      </c>
      <c r="DF366" s="351">
        <f t="shared" si="310"/>
        <v>518836</v>
      </c>
      <c r="DH366" s="351">
        <f>DH367-DH365-DH364-DH361-DH360-DH362</f>
        <v>551093</v>
      </c>
      <c r="DI366" s="351">
        <f>DI367-DI365-DI364-DI361-DI360-DI362</f>
        <v>567176.59538461536</v>
      </c>
      <c r="DJ366" s="351">
        <f t="shared" si="312"/>
        <v>567176.59538461536</v>
      </c>
      <c r="DL366" s="351">
        <f>DL367-DL365-DL364-DL361-DL360-DL362</f>
        <v>583992.62029230781</v>
      </c>
      <c r="DM366" s="351">
        <f>DM367-DM365-DM364-DM361-DM360-DM362</f>
        <v>601479.55839415372</v>
      </c>
      <c r="DN366" s="351">
        <f t="shared" si="313"/>
        <v>601479.55839415372</v>
      </c>
      <c r="DP366" s="351">
        <f>DP367-DP365-DP364-DP361-DP360-DP362</f>
        <v>619141.09112161724</v>
      </c>
      <c r="DQ366" s="351">
        <f>DQ367-DQ365-DQ364-DQ361-DQ360-DQ362</f>
        <v>637677.69710837095</v>
      </c>
      <c r="DR366" s="351">
        <f t="shared" si="315"/>
        <v>637677.69710837095</v>
      </c>
    </row>
    <row r="367" spans="1:123" s="347" customFormat="1" x14ac:dyDescent="0.2">
      <c r="A367" s="411" t="s">
        <v>97</v>
      </c>
      <c r="B367" s="348" t="s">
        <v>22</v>
      </c>
      <c r="BH367" s="397">
        <f>+BH299+BH318+BH349</f>
        <v>448410</v>
      </c>
      <c r="BI367" s="397">
        <f>+BI299+BI318+BI349</f>
        <v>459429</v>
      </c>
      <c r="BJ367" s="397">
        <f>+BJ299+BJ318+BJ349</f>
        <v>459429</v>
      </c>
      <c r="BK367" s="348"/>
      <c r="BL367" s="397">
        <f>+BL299+BL318+BL349</f>
        <v>485486</v>
      </c>
      <c r="BM367" s="397">
        <f>+BM299+BM318+BM349</f>
        <v>498352</v>
      </c>
      <c r="BN367" s="397">
        <f>+BN299+BN318+BN349</f>
        <v>498352</v>
      </c>
      <c r="BO367" s="393">
        <f>BN367/BJ367-1</f>
        <v>8.4720381168798653E-2</v>
      </c>
      <c r="BP367" s="397">
        <f>+BP299+BP318+BP349</f>
        <v>522563</v>
      </c>
      <c r="BQ367" s="397">
        <f>+BQ299+BQ318+BQ349</f>
        <v>543231</v>
      </c>
      <c r="BR367" s="397">
        <f>+BR299+BR318+BR349</f>
        <v>543231</v>
      </c>
      <c r="BS367" s="393">
        <f>BR367/BN367-1</f>
        <v>9.0054820688990844E-2</v>
      </c>
      <c r="BT367" s="397">
        <f>+BT299+BT318+BT349</f>
        <v>560498</v>
      </c>
      <c r="BU367" s="397">
        <f>+BU299+BU318+BU349</f>
        <v>588045</v>
      </c>
      <c r="BV367" s="397">
        <f>+BV299+BV318+BV349</f>
        <v>588045</v>
      </c>
      <c r="BW367" s="393">
        <f>BV367/BR367-1</f>
        <v>8.2495292058074821E-2</v>
      </c>
      <c r="BX367" s="397">
        <f>+BX299+BX318+BX349</f>
        <v>606091</v>
      </c>
      <c r="BY367" s="397">
        <f>+BY299+BY318+BY349</f>
        <v>626655</v>
      </c>
      <c r="BZ367" s="397">
        <f>+BZ299+BZ318+BZ349</f>
        <v>626655</v>
      </c>
      <c r="CA367" s="393">
        <f>BZ367/BV367-1</f>
        <v>6.5658240440782611E-2</v>
      </c>
      <c r="CB367" s="397">
        <f>+CB299+CB318+CB349</f>
        <v>624897</v>
      </c>
      <c r="CC367" s="397">
        <f>+CC299+CC318+CC349</f>
        <v>622234</v>
      </c>
      <c r="CD367" s="397">
        <f>+CD299+CD318+CD349</f>
        <v>622234</v>
      </c>
      <c r="CF367" s="397">
        <f>+CF299+CF318+CF349</f>
        <v>637010</v>
      </c>
      <c r="CG367" s="397">
        <f>+CG299+CG318+CG349</f>
        <v>636040</v>
      </c>
      <c r="CH367" s="397">
        <f>+CH299+CH318+CH349</f>
        <v>636040</v>
      </c>
      <c r="CJ367" s="397">
        <f>+CJ299+CJ318+CJ349</f>
        <v>662824</v>
      </c>
      <c r="CK367" s="397">
        <f>+CK299+CK318+CK349</f>
        <v>701999</v>
      </c>
      <c r="CL367" s="397">
        <f>+CL299+CL318+CL349</f>
        <v>701999</v>
      </c>
      <c r="CN367" s="397">
        <f>+CN299+CN318+CN349</f>
        <v>746466</v>
      </c>
      <c r="CO367" s="397">
        <f>+CO299+CO318+CO349</f>
        <v>766381</v>
      </c>
      <c r="CP367" s="397">
        <f>+CP299+CP318+CP349</f>
        <v>766381</v>
      </c>
      <c r="CR367" s="397">
        <f>+CR299+CR318+CR349</f>
        <v>815124</v>
      </c>
      <c r="CS367" s="397">
        <f>+CS299+CS318+CS349</f>
        <v>857586</v>
      </c>
      <c r="CT367" s="397">
        <f>+CT299+CT318+CT349</f>
        <v>857586</v>
      </c>
      <c r="CV367" s="397">
        <f>+CV299+CV318+CV349</f>
        <v>879152</v>
      </c>
      <c r="CW367" s="397">
        <f>+CW299+CW318+CW349</f>
        <v>864995</v>
      </c>
      <c r="CX367" s="397">
        <f>+CX299+CX318+CX349</f>
        <v>864995</v>
      </c>
      <c r="CZ367" s="397">
        <f>+CZ299+CZ318+CZ349</f>
        <v>873299</v>
      </c>
      <c r="DA367" s="397">
        <f>+DA299+DA318+DA349</f>
        <v>882922</v>
      </c>
      <c r="DB367" s="397">
        <f t="shared" si="309"/>
        <v>882922</v>
      </c>
      <c r="DD367" s="397">
        <f>+DD299+DD318+DD349</f>
        <v>902502</v>
      </c>
      <c r="DE367" s="397">
        <f>+DE299+DE318+DE349</f>
        <v>937857</v>
      </c>
      <c r="DF367" s="397">
        <f t="shared" si="310"/>
        <v>937857</v>
      </c>
      <c r="DH367" s="397">
        <f>+DH299+DH318+DH349</f>
        <v>982534</v>
      </c>
      <c r="DI367" s="397">
        <f>+DI299+DI318+DI349</f>
        <v>1004962.0753333333</v>
      </c>
      <c r="DJ367" s="397">
        <f t="shared" si="312"/>
        <v>1004962.0753333333</v>
      </c>
      <c r="DL367" s="397">
        <f>+DL299+DL318+DL349</f>
        <v>1028984.0659547437</v>
      </c>
      <c r="DM367" s="397">
        <f>+DM299+DM318+DM349</f>
        <v>1053801.8979280083</v>
      </c>
      <c r="DN367" s="397">
        <f t="shared" si="313"/>
        <v>1053801.8979280083</v>
      </c>
      <c r="DP367" s="397">
        <f>+DP299+DP318+DP349</f>
        <v>1078921.489488625</v>
      </c>
      <c r="DQ367" s="397">
        <f>+DQ299+DQ318+DQ349</f>
        <v>1105045.5975692456</v>
      </c>
      <c r="DR367" s="397">
        <f t="shared" si="315"/>
        <v>1105045.5975692456</v>
      </c>
    </row>
    <row r="368" spans="1:123" s="347" customFormat="1" x14ac:dyDescent="0.2">
      <c r="A368" s="347" t="s">
        <v>345</v>
      </c>
      <c r="B368" s="348" t="s">
        <v>22</v>
      </c>
      <c r="BH368" s="351">
        <f>BH367-BH365</f>
        <v>443782</v>
      </c>
      <c r="BI368" s="351">
        <f>BI367-BI365</f>
        <v>453857</v>
      </c>
      <c r="BJ368" s="351">
        <f>BJ367-BJ365</f>
        <v>453857</v>
      </c>
      <c r="BK368" s="348"/>
      <c r="BL368" s="351">
        <f>BL367-BL365</f>
        <v>474852</v>
      </c>
      <c r="BM368" s="351">
        <f>BM367-BM365</f>
        <v>488391</v>
      </c>
      <c r="BN368" s="351">
        <f>BN367-BN365</f>
        <v>488391</v>
      </c>
      <c r="BO368" s="348"/>
      <c r="BP368" s="351">
        <f>BP367-BP365</f>
        <v>513496</v>
      </c>
      <c r="BQ368" s="351">
        <f>BQ367-BQ365</f>
        <v>530255</v>
      </c>
      <c r="BR368" s="351">
        <f>BR367-BR365</f>
        <v>530255</v>
      </c>
      <c r="BT368" s="351">
        <f>BT367-BT365</f>
        <v>548559</v>
      </c>
      <c r="BU368" s="351">
        <f>BU367-BU365</f>
        <v>570921</v>
      </c>
      <c r="BV368" s="351">
        <f>BV367-BV365</f>
        <v>570921</v>
      </c>
      <c r="BX368" s="351">
        <f>BX367-BX365</f>
        <v>593076</v>
      </c>
      <c r="BY368" s="351">
        <f>BY367-BY365</f>
        <v>610480</v>
      </c>
      <c r="BZ368" s="351">
        <f>BZ367-BZ365</f>
        <v>610480</v>
      </c>
      <c r="CB368" s="351">
        <f>CB367-CB365</f>
        <v>612627</v>
      </c>
      <c r="CC368" s="351">
        <f>CC367-CC365</f>
        <v>607538</v>
      </c>
      <c r="CD368" s="351">
        <f>CD367-CD365</f>
        <v>607538</v>
      </c>
      <c r="CF368" s="351">
        <f>CF367-CF365</f>
        <v>619628</v>
      </c>
      <c r="CG368" s="351">
        <f>CG367-CG365</f>
        <v>616941</v>
      </c>
      <c r="CH368" s="351">
        <f>CH367-CH365</f>
        <v>616941</v>
      </c>
      <c r="CJ368" s="351">
        <f>CJ367-CJ365</f>
        <v>642478</v>
      </c>
      <c r="CK368" s="351">
        <f>CK367-CK365</f>
        <v>685122</v>
      </c>
      <c r="CL368" s="351">
        <f>CL367-CL365</f>
        <v>685122</v>
      </c>
      <c r="CN368" s="351">
        <f>CN367-CN365</f>
        <v>719833</v>
      </c>
      <c r="CO368" s="351">
        <f>CO367-CO365</f>
        <v>747063</v>
      </c>
      <c r="CP368" s="351">
        <f>CP367-CP365</f>
        <v>747063</v>
      </c>
      <c r="CR368" s="351">
        <f>CR367-CR365</f>
        <v>790967</v>
      </c>
      <c r="CS368" s="351">
        <f>CS367-CS365</f>
        <v>824422</v>
      </c>
      <c r="CT368" s="351">
        <f>CT367-CT365</f>
        <v>824422</v>
      </c>
      <c r="CV368" s="351">
        <f>CV367-CV365</f>
        <v>846613</v>
      </c>
      <c r="CW368" s="351">
        <f>CW367-CW365</f>
        <v>864485</v>
      </c>
      <c r="CX368" s="351">
        <f>CX367-CX365</f>
        <v>864485</v>
      </c>
      <c r="CZ368" s="351">
        <f>CZ367-CZ365</f>
        <v>870315</v>
      </c>
      <c r="DA368" s="351">
        <f>DA367-DA365</f>
        <v>879142</v>
      </c>
      <c r="DB368" s="351">
        <f t="shared" si="309"/>
        <v>879142</v>
      </c>
      <c r="DD368" s="351">
        <f>DD367-DD365</f>
        <v>896927</v>
      </c>
      <c r="DE368" s="351">
        <f>DE367-DE365</f>
        <v>930059</v>
      </c>
      <c r="DF368" s="351">
        <f t="shared" si="310"/>
        <v>930059</v>
      </c>
      <c r="DH368" s="351">
        <f>DH367-DH365</f>
        <v>970837</v>
      </c>
      <c r="DI368" s="351">
        <f>DI367-DI365</f>
        <v>993031.1353333334</v>
      </c>
      <c r="DJ368" s="351">
        <f t="shared" si="312"/>
        <v>993031.1353333334</v>
      </c>
      <c r="DL368" s="351">
        <f>DL367-DL365</f>
        <v>1016814.5071547437</v>
      </c>
      <c r="DM368" s="351">
        <f>DM367-DM365</f>
        <v>1041388.9479520083</v>
      </c>
      <c r="DN368" s="351">
        <f t="shared" si="313"/>
        <v>1041388.9479520083</v>
      </c>
      <c r="DP368" s="351">
        <f>DP367-DP365</f>
        <v>1066260.280513105</v>
      </c>
      <c r="DQ368" s="351">
        <f>DQ367-DQ365</f>
        <v>1092131.1644142151</v>
      </c>
      <c r="DR368" s="351">
        <f t="shared" si="315"/>
        <v>1092131.1644142151</v>
      </c>
    </row>
    <row r="369" spans="1:264" s="347" customFormat="1" x14ac:dyDescent="0.2">
      <c r="A369" s="347" t="s">
        <v>346</v>
      </c>
      <c r="B369" s="348" t="s">
        <v>22</v>
      </c>
      <c r="BH369" s="351">
        <f>BH361+BH364+BH366</f>
        <v>385899</v>
      </c>
      <c r="BI369" s="351">
        <f>BI361+BI364+BI366</f>
        <v>405273</v>
      </c>
      <c r="BJ369" s="351">
        <f>BJ361+BJ364+BJ366</f>
        <v>405273</v>
      </c>
      <c r="BK369" s="348"/>
      <c r="BL369" s="351">
        <f>BL361+BL364+BL366</f>
        <v>426417</v>
      </c>
      <c r="BM369" s="351">
        <f>BM361+BM364+BM366</f>
        <v>438193</v>
      </c>
      <c r="BN369" s="351">
        <f>BN361+BN364+BN366</f>
        <v>438193</v>
      </c>
      <c r="BO369" s="348"/>
      <c r="BP369" s="351">
        <f>BP361+BP364+BP366</f>
        <v>457390</v>
      </c>
      <c r="BQ369" s="351">
        <f>BQ361+BQ364+BQ366</f>
        <v>477112</v>
      </c>
      <c r="BR369" s="351">
        <f>BR361+BR364+BR366</f>
        <v>477112</v>
      </c>
      <c r="BT369" s="351">
        <f>BT361+BT364+BT366</f>
        <v>500587</v>
      </c>
      <c r="BU369" s="351">
        <f>BU361+BU364+BU366</f>
        <v>518061</v>
      </c>
      <c r="BV369" s="351">
        <f>BV361+BV364+BV366</f>
        <v>518061</v>
      </c>
      <c r="BX369" s="351">
        <f>BX361+BX364+BX366</f>
        <v>540194</v>
      </c>
      <c r="BY369" s="351">
        <f>BY361+BY364+BY366</f>
        <v>558130</v>
      </c>
      <c r="BZ369" s="351">
        <f>BZ361+BZ364+BZ366</f>
        <v>558130</v>
      </c>
      <c r="CB369" s="351">
        <f>CB361+CB364+CB366</f>
        <v>565796</v>
      </c>
      <c r="CC369" s="351">
        <f>CC361+CC364+CC366</f>
        <v>567624</v>
      </c>
      <c r="CD369" s="351">
        <f>CD361+CD364+CD366</f>
        <v>567624</v>
      </c>
      <c r="CF369" s="351">
        <f>CF361+CF364+CF366</f>
        <v>575982</v>
      </c>
      <c r="CG369" s="351">
        <f>CG361+CG364+CG366</f>
        <v>573873</v>
      </c>
      <c r="CH369" s="351">
        <f>CH361+CH364+CH366</f>
        <v>573873</v>
      </c>
      <c r="CJ369" s="351">
        <f>CJ361+CJ364+CJ366</f>
        <v>599281</v>
      </c>
      <c r="CK369" s="351">
        <f>CK361+CK364+CK366</f>
        <v>641327</v>
      </c>
      <c r="CL369" s="351">
        <f>CL361+CL364+CL366</f>
        <v>641327</v>
      </c>
      <c r="CN369" s="351">
        <f>CN361+CN364+CN366</f>
        <v>680556</v>
      </c>
      <c r="CO369" s="351">
        <f>CO361+CO364+CO366</f>
        <v>702641</v>
      </c>
      <c r="CP369" s="351">
        <f>CP361+CP364+CP366</f>
        <v>702641</v>
      </c>
      <c r="CR369" s="351">
        <f>CR361+CR364+CR366</f>
        <v>741624</v>
      </c>
      <c r="CS369" s="351">
        <f>CS361+CS364+CS366</f>
        <v>778805</v>
      </c>
      <c r="CT369" s="351">
        <f>CT361+CT364+CT366</f>
        <v>778805</v>
      </c>
      <c r="CV369" s="351">
        <f>CV361+CV364+CV366</f>
        <v>800436</v>
      </c>
      <c r="CW369" s="351">
        <f>CW361+CW364+CW366</f>
        <v>819701</v>
      </c>
      <c r="CX369" s="351">
        <f>CX361+CX364+CX366</f>
        <v>819701</v>
      </c>
      <c r="CZ369" s="351">
        <f>CZ367-CZ360-CZ365</f>
        <v>825712</v>
      </c>
      <c r="DA369" s="351">
        <f>DA367-DA360-DA365</f>
        <v>833725</v>
      </c>
      <c r="DB369" s="351">
        <f t="shared" si="309"/>
        <v>833725</v>
      </c>
      <c r="DD369" s="351">
        <f>DD367-DD360-DD365</f>
        <v>856772</v>
      </c>
      <c r="DE369" s="351">
        <f>DE367-DE360-DE365</f>
        <v>889317</v>
      </c>
      <c r="DF369" s="351">
        <f t="shared" si="310"/>
        <v>889317</v>
      </c>
      <c r="DH369" s="351">
        <f>DH367-DH360-DH365</f>
        <v>930126</v>
      </c>
      <c r="DI369" s="351">
        <f>DI367-DI360-DI365</f>
        <v>951957.71956410259</v>
      </c>
      <c r="DJ369" s="351">
        <f t="shared" si="312"/>
        <v>951957.71956410259</v>
      </c>
      <c r="DL369" s="351">
        <f>DL367-DL360-DL365</f>
        <v>975360.26834320521</v>
      </c>
      <c r="DM369" s="351">
        <f>DM367-DM360-DM365</f>
        <v>999549.7787565852</v>
      </c>
      <c r="DN369" s="351">
        <f t="shared" si="313"/>
        <v>999549.7787565852</v>
      </c>
      <c r="DP369" s="351">
        <f>DP367-DP360-DP365</f>
        <v>1024032.0355099161</v>
      </c>
      <c r="DQ369" s="351">
        <f>DQ367-DQ360-DQ365</f>
        <v>1049509.659686341</v>
      </c>
      <c r="DR369" s="351">
        <f t="shared" si="315"/>
        <v>1049509.659686341</v>
      </c>
    </row>
    <row r="370" spans="1:264" s="347" customFormat="1" x14ac:dyDescent="0.2">
      <c r="A370" s="424" t="s">
        <v>273</v>
      </c>
      <c r="B370" s="348"/>
      <c r="BH370" s="398"/>
      <c r="BI370" s="348"/>
      <c r="BJ370" s="397"/>
      <c r="BK370" s="348"/>
      <c r="BL370" s="398"/>
      <c r="BM370" s="348"/>
      <c r="BN370" s="397"/>
      <c r="BO370" s="348"/>
      <c r="BP370" s="398"/>
      <c r="BQ370" s="348"/>
      <c r="BR370" s="397"/>
      <c r="BT370" s="398"/>
      <c r="BU370" s="348"/>
      <c r="BV370" s="397"/>
      <c r="BX370" s="398"/>
      <c r="BY370" s="348"/>
      <c r="BZ370" s="397"/>
      <c r="CB370" s="398"/>
      <c r="CC370" s="348"/>
      <c r="CD370" s="397"/>
      <c r="CF370" s="398"/>
      <c r="CG370" s="348"/>
      <c r="CH370" s="397"/>
      <c r="CJ370" s="398"/>
      <c r="CK370" s="348"/>
      <c r="CL370" s="397"/>
      <c r="CN370" s="348"/>
      <c r="CO370" s="348"/>
      <c r="CP370" s="397"/>
      <c r="CR370" s="348"/>
      <c r="CS370" s="348"/>
      <c r="CT370" s="397"/>
      <c r="CV370" s="348"/>
      <c r="CW370" s="348"/>
      <c r="CX370" s="397"/>
      <c r="CZ370" s="348"/>
      <c r="DA370" s="348"/>
      <c r="DB370" s="397"/>
      <c r="DD370" s="348"/>
      <c r="DE370" s="348"/>
      <c r="DF370" s="397"/>
      <c r="DH370" s="348"/>
      <c r="DI370" s="348"/>
      <c r="DJ370" s="397"/>
      <c r="DL370" s="348"/>
      <c r="DM370" s="348"/>
      <c r="DN370" s="397"/>
      <c r="DP370" s="348"/>
      <c r="DQ370" s="348"/>
      <c r="DR370" s="397"/>
    </row>
    <row r="371" spans="1:264" s="347" customFormat="1" x14ac:dyDescent="0.2">
      <c r="A371" s="429" t="str">
        <f>A360</f>
        <v>CoD</v>
      </c>
      <c r="B371" s="348" t="s">
        <v>140</v>
      </c>
      <c r="BH371" s="398"/>
      <c r="BI371" s="393">
        <f>+BI360/BH360-1</f>
        <v>-0.16065165938185655</v>
      </c>
      <c r="BJ371" s="397"/>
      <c r="BK371" s="348"/>
      <c r="BL371" s="393">
        <f>+BL360/BI360-1</f>
        <v>-3.0668532850320895E-3</v>
      </c>
      <c r="BM371" s="393">
        <f>+BM360/BL360-1</f>
        <v>3.6399298028285232E-2</v>
      </c>
      <c r="BN371" s="397"/>
      <c r="BO371" s="348"/>
      <c r="BP371" s="393">
        <f>+BP360/BM360-1</f>
        <v>0.11769393202916456</v>
      </c>
      <c r="BQ371" s="393">
        <f>+BQ360/BP360-1</f>
        <v>-5.2810751078316009E-2</v>
      </c>
      <c r="BR371" s="397"/>
      <c r="BT371" s="393">
        <f>+BT360/BQ360-1</f>
        <v>-9.7303501872306741E-2</v>
      </c>
      <c r="BU371" s="393">
        <f>+BU360/BT360-1</f>
        <v>0.10189277078295667</v>
      </c>
      <c r="BV371" s="397"/>
      <c r="BX371" s="393">
        <f>+BX360/BU360-1</f>
        <v>4.1619371925838422E-4</v>
      </c>
      <c r="BY371" s="393">
        <f>+BY360/BX360-1</f>
        <v>-1.0060133882984768E-2</v>
      </c>
      <c r="BZ371" s="397"/>
      <c r="CB371" s="393">
        <f>+CB360/BY360-1</f>
        <v>-0.10542502387774599</v>
      </c>
      <c r="CC371" s="393">
        <f>+CC360/CB360-1</f>
        <v>-0.14770130896201239</v>
      </c>
      <c r="CD371" s="397"/>
      <c r="CF371" s="393">
        <f>+CF360/CC360-1</f>
        <v>9.3501027208498178E-2</v>
      </c>
      <c r="CG371" s="393">
        <f>+CG360/CF360-1</f>
        <v>-1.3242908857627245E-2</v>
      </c>
      <c r="CH371" s="397"/>
      <c r="CJ371" s="393">
        <f>+CJ360/CG360-1</f>
        <v>2.9952633045415844E-3</v>
      </c>
      <c r="CK371" s="393">
        <f>+CK360/CJ360-1</f>
        <v>1.3843553950505738E-2</v>
      </c>
      <c r="CL371" s="397"/>
      <c r="CN371" s="393">
        <f>+CN360/CK360-1</f>
        <v>-0.10316246146820418</v>
      </c>
      <c r="CO371" s="393">
        <f>+CO360/CN360-1</f>
        <v>0.13099269292461235</v>
      </c>
      <c r="CP371" s="397"/>
      <c r="CR371" s="393">
        <f>+CR360/CO360-1</f>
        <v>0.11077844311377238</v>
      </c>
      <c r="CS371" s="393">
        <f>+CS360/CR360-1</f>
        <v>-7.5512230711549777E-2</v>
      </c>
      <c r="CT371" s="397"/>
      <c r="CV371" s="393">
        <f>+CV360/CS360-1</f>
        <v>1.2276125128789728E-2</v>
      </c>
      <c r="CW371" s="393">
        <f>+CW360/CV360-1</f>
        <v>-3.0166533122550132E-2</v>
      </c>
      <c r="CX371" s="397"/>
      <c r="CZ371" s="393">
        <f>+CZ360/CW360-1</f>
        <v>-4.0416220078599574E-3</v>
      </c>
      <c r="DA371" s="393">
        <f>+DA360/CZ360-1</f>
        <v>1.8249893504921122E-2</v>
      </c>
      <c r="DB371" s="397"/>
      <c r="DD371" s="393">
        <f>+DD360/DA360-1</f>
        <v>-0.11585970011229274</v>
      </c>
      <c r="DE371" s="393">
        <f>+DE360/DD360-1</f>
        <v>1.4618353878719903E-2</v>
      </c>
      <c r="DF371" s="397"/>
      <c r="DH371" s="393">
        <f>+DH360/DE360-1</f>
        <v>-7.6088557262776746E-4</v>
      </c>
      <c r="DI371" s="393">
        <f>+DI360/DH360-1</f>
        <v>8.9021583658168701E-3</v>
      </c>
      <c r="DJ371" s="397"/>
      <c r="DL371" s="393">
        <f>+DL360/DI360-1</f>
        <v>9.2717645994511155E-3</v>
      </c>
      <c r="DM371" s="393">
        <f>+DM360/DL360-1</f>
        <v>9.2856700525756342E-3</v>
      </c>
      <c r="DN371" s="397"/>
      <c r="DP371" s="393">
        <f>+DP360/DM360-1</f>
        <v>9.2993196386970123E-3</v>
      </c>
      <c r="DQ371" s="393">
        <f>+DQ360/DP360-1</f>
        <v>9.3127177000988937E-3</v>
      </c>
      <c r="DR371" s="397"/>
    </row>
    <row r="372" spans="1:264" s="347" customFormat="1" x14ac:dyDescent="0.2">
      <c r="A372" s="429" t="str">
        <f>A361</f>
        <v>Term Deposits</v>
      </c>
      <c r="B372" s="348" t="s">
        <v>140</v>
      </c>
      <c r="BH372" s="398"/>
      <c r="BI372" s="393">
        <f>+BI361/BH361-1</f>
        <v>3.4191429482624436E-2</v>
      </c>
      <c r="BJ372" s="397"/>
      <c r="BK372" s="348"/>
      <c r="BL372" s="393">
        <f>+BL361/BI361-1</f>
        <v>-1.3287167279809609E-2</v>
      </c>
      <c r="BM372" s="393">
        <f>+BM361/BL361-1</f>
        <v>-1.7956619001666785E-2</v>
      </c>
      <c r="BN372" s="397"/>
      <c r="BO372" s="348"/>
      <c r="BP372" s="393">
        <f>+BP361/BM361-1</f>
        <v>-2.2835256743100052E-3</v>
      </c>
      <c r="BQ372" s="393">
        <f>+BQ361/BP361-1</f>
        <v>-2.5758254057078878E-2</v>
      </c>
      <c r="BR372" s="397"/>
      <c r="BT372" s="393">
        <f>+BT361/BQ361-1</f>
        <v>-5.8990103218320433E-3</v>
      </c>
      <c r="BU372" s="393">
        <f>+BU361/BT361-1</f>
        <v>-1.4780146761426027E-2</v>
      </c>
      <c r="BV372" s="397"/>
      <c r="BX372" s="393">
        <f>+BX361/BU361-1</f>
        <v>9.3864361452566492E-2</v>
      </c>
      <c r="BY372" s="393">
        <f>+BY361/BX361-1</f>
        <v>4.4199724421902564E-2</v>
      </c>
      <c r="BZ372" s="397"/>
      <c r="CB372" s="393">
        <f>+CB361/BY361-1</f>
        <v>-2.1000097555465835E-3</v>
      </c>
      <c r="CC372" s="393">
        <f>+CC361/CB361-1</f>
        <v>-2.7373013912900257E-3</v>
      </c>
      <c r="CD372" s="397"/>
      <c r="CF372" s="393">
        <f>+CF361/CC361-1</f>
        <v>2.616861005056248E-2</v>
      </c>
      <c r="CG372" s="393">
        <f>+CG361/CF361-1</f>
        <v>-5.747843050499768E-2</v>
      </c>
      <c r="CH372" s="397"/>
      <c r="CJ372" s="393">
        <f>+CJ361/CG361-1</f>
        <v>-1.207190867385044E-2</v>
      </c>
      <c r="CK372" s="393">
        <f>+CK361/CJ361-1</f>
        <v>-0.11042835467097201</v>
      </c>
      <c r="CL372" s="397"/>
      <c r="CN372" s="393">
        <f>+CN361/CK361-1</f>
        <v>-6.081483010209654E-2</v>
      </c>
      <c r="CO372" s="393">
        <f>+CO361/CN361-1</f>
        <v>-4.9525939234910554E-2</v>
      </c>
      <c r="CP372" s="397"/>
      <c r="CR372" s="393">
        <f>+CR361/CO361-1</f>
        <v>3.6038731436653926E-3</v>
      </c>
      <c r="CS372" s="393">
        <f>+CS361/CR361-1</f>
        <v>7.8194235538030066E-2</v>
      </c>
      <c r="CT372" s="397"/>
      <c r="CV372" s="393">
        <f>+CV361/CS361-1</f>
        <v>0.2258648317466303</v>
      </c>
      <c r="CW372" s="393">
        <f>+CW361/CV361-1</f>
        <v>8.2110745445411526E-2</v>
      </c>
      <c r="CX372" s="397"/>
      <c r="CZ372" s="393">
        <f>+CZ361/CW361-1</f>
        <v>5.3264865274567086E-2</v>
      </c>
      <c r="DA372" s="393">
        <f>+DA361/CZ361-1</f>
        <v>-2.9540343617882492E-2</v>
      </c>
      <c r="DB372" s="397"/>
      <c r="DD372" s="393">
        <f>+DD361/DA361-1</f>
        <v>3.9231225552898374E-2</v>
      </c>
      <c r="DE372" s="393">
        <f>+DE361/DD361-1</f>
        <v>3.320593835986041E-2</v>
      </c>
      <c r="DF372" s="397"/>
      <c r="DH372" s="393">
        <f>+DH361/DE361-1</f>
        <v>1.373428348217165E-2</v>
      </c>
      <c r="DI372" s="393">
        <f>+DI361/DH361-1</f>
        <v>1.8096211080342428E-2</v>
      </c>
      <c r="DJ372" s="397"/>
      <c r="DL372" s="393">
        <f>+DL361/DI361-1</f>
        <v>1.5626836579203607E-2</v>
      </c>
      <c r="DM372" s="393">
        <f>+DM361/DL361-1</f>
        <v>1.5631262233622989E-2</v>
      </c>
      <c r="DN372" s="397"/>
      <c r="DP372" s="393">
        <f>+DP361/DM361-1</f>
        <v>1.5635694608617801E-2</v>
      </c>
      <c r="DQ372" s="393">
        <f>+DQ361/DP361-1</f>
        <v>1.5640133735759232E-2</v>
      </c>
      <c r="DR372" s="397"/>
    </row>
    <row r="373" spans="1:264" s="347" customFormat="1" x14ac:dyDescent="0.2">
      <c r="A373" s="429" t="s">
        <v>338</v>
      </c>
      <c r="B373" s="348" t="s">
        <v>140</v>
      </c>
      <c r="BH373" s="398"/>
      <c r="BI373" s="393">
        <f t="shared" ref="BI373:BI376" si="335">+BI364/BH364-1</f>
        <v>4.9243150028741134E-2</v>
      </c>
      <c r="BJ373" s="397"/>
      <c r="BK373" s="348"/>
      <c r="BL373" s="393">
        <f t="shared" ref="BL373:BL376" si="336">+BL364/BI364-1</f>
        <v>8.5920379839298677E-2</v>
      </c>
      <c r="BM373" s="393">
        <f t="shared" ref="BM373:BM376" si="337">+BM364/BL364-1</f>
        <v>4.8936349112923549E-2</v>
      </c>
      <c r="BN373" s="397"/>
      <c r="BO373" s="348"/>
      <c r="BP373" s="393">
        <f t="shared" ref="BP373:BP376" si="338">+BP364/BM364-1</f>
        <v>0.19374749498998001</v>
      </c>
      <c r="BQ373" s="393">
        <f t="shared" ref="BQ373:BQ376" si="339">+BQ364/BP364-1</f>
        <v>2.3099650819231821E-2</v>
      </c>
      <c r="BR373" s="397"/>
      <c r="BT373" s="393">
        <f t="shared" ref="BT373:BT376" si="340">+BT364/BQ364-1</f>
        <v>0.11157784195326848</v>
      </c>
      <c r="BU373" s="393">
        <f t="shared" ref="BU373:BU376" si="341">+BU364/BT364-1</f>
        <v>1.2776334435521965</v>
      </c>
      <c r="BV373" s="397"/>
      <c r="BX373" s="393">
        <f t="shared" ref="BX373:BX376" si="342">+BX364/BU364-1</f>
        <v>8.0546482086379489E-2</v>
      </c>
      <c r="BY373" s="393">
        <f t="shared" ref="BY373:BY376" si="343">+BY364/BX364-1</f>
        <v>9.6014970850027526E-2</v>
      </c>
      <c r="BZ373" s="397"/>
      <c r="CB373" s="393">
        <f t="shared" ref="CB373:CB376" si="344">+CB364/BY364-1</f>
        <v>5.5797561456121469E-2</v>
      </c>
      <c r="CC373" s="393">
        <f t="shared" ref="CC373:CC376" si="345">+CC364/CB364-1</f>
        <v>4.8204511527616623E-2</v>
      </c>
      <c r="CD373" s="397"/>
      <c r="CF373" s="393">
        <f t="shared" ref="CF373:CF376" si="346">+CF364/CC364-1</f>
        <v>5.2871016872045429E-2</v>
      </c>
      <c r="CG373" s="393">
        <f t="shared" ref="CG373:CG376" si="347">+CG364/CF364-1</f>
        <v>2.6169453315799451E-2</v>
      </c>
      <c r="CH373" s="397"/>
      <c r="CJ373" s="393">
        <f t="shared" ref="CJ373:CJ376" si="348">+CJ364/CG364-1</f>
        <v>0.14653168079380485</v>
      </c>
      <c r="CK373" s="393">
        <f t="shared" ref="CK373:CK376" si="349">+CK364/CJ364-1</f>
        <v>0.22822424832739863</v>
      </c>
      <c r="CL373" s="397"/>
      <c r="CN373" s="393">
        <f t="shared" ref="CN373:CN376" si="350">+CN364/CK364-1</f>
        <v>0.22063182527301084</v>
      </c>
      <c r="CO373" s="393">
        <f t="shared" ref="CO373:CO376" si="351">+CO364/CN364-1</f>
        <v>0.21860455208699459</v>
      </c>
      <c r="CP373" s="397"/>
      <c r="CR373" s="393">
        <f t="shared" ref="CR373:CR376" si="352">+CR364/CO364-1</f>
        <v>0.18708047825478946</v>
      </c>
      <c r="CS373" s="393">
        <f t="shared" ref="CS373:CS376" si="353">+CS364/CR364-1</f>
        <v>5.8422482532156206E-2</v>
      </c>
      <c r="CT373" s="397"/>
      <c r="CV373" s="393">
        <f t="shared" ref="CV373:CV376" si="354">+CV364/CS364-1</f>
        <v>-8.1624419154678773E-2</v>
      </c>
      <c r="CW373" s="393">
        <f t="shared" ref="CW373:CW376" si="355">+CW364/CV364-1</f>
        <v>-9.3325354865098187E-2</v>
      </c>
      <c r="CX373" s="397"/>
      <c r="CZ373" s="393">
        <f t="shared" ref="CZ373:CZ376" si="356">+CZ364/CW364-1</f>
        <v>-6.2990284124610496E-2</v>
      </c>
      <c r="DA373" s="393">
        <f t="shared" ref="DA373:DA376" si="357">+DA364/CZ364-1</f>
        <v>-1.272278242882996E-2</v>
      </c>
      <c r="DB373" s="397"/>
      <c r="DD373" s="393">
        <f t="shared" ref="DD373:DD376" si="358">+DD364/DA364-1</f>
        <v>7.1522748207415443E-3</v>
      </c>
      <c r="DE373" s="393">
        <f t="shared" ref="DE373:DE376" si="359">+DE364/DD364-1</f>
        <v>3.7856643293940451E-2</v>
      </c>
      <c r="DF373" s="397"/>
      <c r="DH373" s="393">
        <f t="shared" ref="DH373:DH376" si="360">+DH364/DE364-1</f>
        <v>4.6393890175208119E-2</v>
      </c>
      <c r="DI373" s="393">
        <f>+DI364/DH364-1</f>
        <v>1.0464650705118705E-2</v>
      </c>
      <c r="DJ373" s="397"/>
      <c r="DL373" s="393">
        <f>+DL364/DI364-1</f>
        <v>2.0435068748201779E-2</v>
      </c>
      <c r="DM373" s="393">
        <f>+DM364/DL364-1</f>
        <v>2.0437016271754205E-2</v>
      </c>
      <c r="DN373" s="397"/>
      <c r="DP373" s="393">
        <f>+DP364/DM364-1</f>
        <v>2.0438971681390639E-2</v>
      </c>
      <c r="DQ373" s="393">
        <f>+DQ364/DP364-1</f>
        <v>2.0440935001593719E-2</v>
      </c>
      <c r="DR373" s="397"/>
    </row>
    <row r="374" spans="1:264" s="347" customFormat="1" x14ac:dyDescent="0.2">
      <c r="A374" s="436" t="s">
        <v>344</v>
      </c>
      <c r="B374" s="466" t="s">
        <v>140</v>
      </c>
      <c r="C374" s="463"/>
      <c r="D374" s="463"/>
      <c r="E374" s="463"/>
      <c r="F374" s="463"/>
      <c r="G374" s="463"/>
      <c r="H374" s="463"/>
      <c r="I374" s="463"/>
      <c r="J374" s="463"/>
      <c r="K374" s="463"/>
      <c r="L374" s="463"/>
      <c r="M374" s="463"/>
      <c r="N374" s="463"/>
      <c r="O374" s="463"/>
      <c r="P374" s="463"/>
      <c r="Q374" s="463"/>
      <c r="R374" s="463"/>
      <c r="S374" s="463"/>
      <c r="T374" s="463"/>
      <c r="U374" s="463"/>
      <c r="V374" s="463"/>
      <c r="W374" s="463"/>
      <c r="X374" s="463"/>
      <c r="Y374" s="463"/>
      <c r="Z374" s="463"/>
      <c r="AA374" s="463"/>
      <c r="AB374" s="463"/>
      <c r="AC374" s="463"/>
      <c r="AD374" s="463"/>
      <c r="AE374" s="463"/>
      <c r="AF374" s="463"/>
      <c r="AG374" s="463"/>
      <c r="AH374" s="463"/>
      <c r="AI374" s="463"/>
      <c r="AJ374" s="463"/>
      <c r="AK374" s="463"/>
      <c r="AL374" s="463"/>
      <c r="AM374" s="463"/>
      <c r="AN374" s="463"/>
      <c r="AO374" s="463"/>
      <c r="AP374" s="463"/>
      <c r="AQ374" s="463"/>
      <c r="AR374" s="463"/>
      <c r="AS374" s="463"/>
      <c r="AT374" s="463"/>
      <c r="AU374" s="463"/>
      <c r="AV374" s="463"/>
      <c r="AW374" s="463"/>
      <c r="AX374" s="463"/>
      <c r="AY374" s="463"/>
      <c r="AZ374" s="463"/>
      <c r="BA374" s="463"/>
      <c r="BB374" s="463"/>
      <c r="BC374" s="463"/>
      <c r="BD374" s="463"/>
      <c r="BE374" s="463"/>
      <c r="BF374" s="463"/>
      <c r="BG374" s="463"/>
      <c r="BH374" s="464"/>
      <c r="BI374" s="465">
        <f t="shared" si="335"/>
        <v>0.20397579948141753</v>
      </c>
      <c r="BJ374" s="466"/>
      <c r="BK374" s="466"/>
      <c r="BL374" s="465">
        <f t="shared" si="336"/>
        <v>0.9084709260588657</v>
      </c>
      <c r="BM374" s="465">
        <f t="shared" si="337"/>
        <v>-6.3287568177543774E-2</v>
      </c>
      <c r="BN374" s="466"/>
      <c r="BO374" s="466"/>
      <c r="BP374" s="465">
        <f t="shared" si="338"/>
        <v>-8.9750025097881769E-2</v>
      </c>
      <c r="BQ374" s="465">
        <f t="shared" si="339"/>
        <v>0.43112385574059786</v>
      </c>
      <c r="BR374" s="466"/>
      <c r="BS374" s="463"/>
      <c r="BT374" s="465">
        <f t="shared" si="340"/>
        <v>-7.9916769420468547E-2</v>
      </c>
      <c r="BU374" s="465">
        <f t="shared" si="341"/>
        <v>0.43429097914398196</v>
      </c>
      <c r="BV374" s="466"/>
      <c r="BW374" s="463"/>
      <c r="BX374" s="465">
        <f t="shared" si="342"/>
        <v>-0.2399556178462976</v>
      </c>
      <c r="BY374" s="465">
        <f t="shared" si="343"/>
        <v>0.24279677295428348</v>
      </c>
      <c r="BZ374" s="466"/>
      <c r="CA374" s="463"/>
      <c r="CB374" s="465">
        <f t="shared" si="344"/>
        <v>-0.24142194744976819</v>
      </c>
      <c r="CC374" s="465">
        <f t="shared" si="345"/>
        <v>0.19771801140994305</v>
      </c>
      <c r="CD374" s="466"/>
      <c r="CE374" s="463"/>
      <c r="CF374" s="465">
        <f t="shared" si="346"/>
        <v>0.18277082199237893</v>
      </c>
      <c r="CG374" s="465">
        <f t="shared" si="347"/>
        <v>9.8780347485905029E-2</v>
      </c>
      <c r="CH374" s="466"/>
      <c r="CI374" s="463"/>
      <c r="CJ374" s="465">
        <f t="shared" si="348"/>
        <v>6.5291376511859234E-2</v>
      </c>
      <c r="CK374" s="465">
        <f t="shared" si="349"/>
        <v>-0.1705003440479701</v>
      </c>
      <c r="CL374" s="466"/>
      <c r="CM374" s="463"/>
      <c r="CN374" s="465">
        <f t="shared" si="350"/>
        <v>0.57806482194702857</v>
      </c>
      <c r="CO374" s="465">
        <f t="shared" si="351"/>
        <v>-0.27465925731235685</v>
      </c>
      <c r="CP374" s="466"/>
      <c r="CQ374" s="463"/>
      <c r="CR374" s="465">
        <f t="shared" si="352"/>
        <v>0.25049176933429962</v>
      </c>
      <c r="CS374" s="465">
        <f t="shared" si="353"/>
        <v>0.3728525893115866</v>
      </c>
      <c r="CT374" s="466"/>
      <c r="CU374" s="463"/>
      <c r="CV374" s="465">
        <f t="shared" si="354"/>
        <v>-1.8845736340610264E-2</v>
      </c>
      <c r="CW374" s="465">
        <f t="shared" si="355"/>
        <v>-0.98432650050708381</v>
      </c>
      <c r="CX374" s="466"/>
      <c r="CY374" s="463"/>
      <c r="CZ374" s="465">
        <f t="shared" si="356"/>
        <v>4.8509803921568624</v>
      </c>
      <c r="DA374" s="465">
        <f t="shared" si="357"/>
        <v>0.26675603217158184</v>
      </c>
      <c r="DB374" s="466"/>
      <c r="DC374" s="463"/>
      <c r="DD374" s="465">
        <f t="shared" si="358"/>
        <v>0.47486772486772488</v>
      </c>
      <c r="DE374" s="465">
        <f t="shared" si="359"/>
        <v>0.39874439461883404</v>
      </c>
      <c r="DF374" s="466"/>
      <c r="DG374" s="463"/>
      <c r="DH374" s="465">
        <f t="shared" si="360"/>
        <v>0.5</v>
      </c>
      <c r="DI374" s="482">
        <v>0.02</v>
      </c>
      <c r="DJ374" s="466"/>
      <c r="DK374" s="463"/>
      <c r="DL374" s="482">
        <v>0.02</v>
      </c>
      <c r="DM374" s="482">
        <v>0.02</v>
      </c>
      <c r="DN374" s="466"/>
      <c r="DO374" s="463"/>
      <c r="DP374" s="482">
        <v>0.02</v>
      </c>
      <c r="DQ374" s="482">
        <v>0.02</v>
      </c>
      <c r="DR374" s="466"/>
      <c r="DS374" s="463"/>
    </row>
    <row r="375" spans="1:264" s="347" customFormat="1" x14ac:dyDescent="0.2">
      <c r="A375" s="429" t="str">
        <f>A366</f>
        <v>Other Deposits</v>
      </c>
      <c r="B375" s="348" t="s">
        <v>140</v>
      </c>
      <c r="BH375" s="398"/>
      <c r="BI375" s="393">
        <f t="shared" si="335"/>
        <v>6.4803895655002774E-2</v>
      </c>
      <c r="BJ375" s="397"/>
      <c r="BK375" s="348"/>
      <c r="BL375" s="393">
        <f t="shared" si="336"/>
        <v>0.10816732782448057</v>
      </c>
      <c r="BM375" s="393">
        <f t="shared" si="337"/>
        <v>6.2328767123287721E-2</v>
      </c>
      <c r="BN375" s="397"/>
      <c r="BO375" s="348"/>
      <c r="BP375" s="393">
        <f t="shared" si="338"/>
        <v>6.9701430199222258E-2</v>
      </c>
      <c r="BQ375" s="393">
        <f t="shared" si="339"/>
        <v>9.0906678594985468E-2</v>
      </c>
      <c r="BR375" s="397"/>
      <c r="BT375" s="393">
        <f t="shared" si="340"/>
        <v>7.9234412517939168E-2</v>
      </c>
      <c r="BU375" s="393">
        <f t="shared" si="341"/>
        <v>-5.1709537930523242E-3</v>
      </c>
      <c r="BV375" s="397"/>
      <c r="BX375" s="393">
        <f t="shared" si="342"/>
        <v>9.7774900881948401E-3</v>
      </c>
      <c r="BY375" s="393">
        <f t="shared" si="343"/>
        <v>1.8237413300170591E-2</v>
      </c>
      <c r="BZ375" s="397"/>
      <c r="CB375" s="393">
        <f t="shared" si="344"/>
        <v>1.7394534225618985E-2</v>
      </c>
      <c r="CC375" s="393">
        <f t="shared" si="345"/>
        <v>1.0828805861162749E-4</v>
      </c>
      <c r="CD375" s="397"/>
      <c r="CF375" s="393">
        <f t="shared" si="346"/>
        <v>1.8963826423756824E-3</v>
      </c>
      <c r="CG375" s="393">
        <f t="shared" si="347"/>
        <v>2.4485888964367319E-2</v>
      </c>
      <c r="CH375" s="397"/>
      <c r="CJ375" s="393">
        <f t="shared" si="348"/>
        <v>5.9275445311793629E-2</v>
      </c>
      <c r="CK375" s="393">
        <f t="shared" si="349"/>
        <v>0.13715475861911974</v>
      </c>
      <c r="CL375" s="397"/>
      <c r="CN375" s="393">
        <f t="shared" si="350"/>
        <v>8.0760944900803322E-2</v>
      </c>
      <c r="CO375" s="393">
        <f t="shared" si="351"/>
        <v>2.1352601530775228E-2</v>
      </c>
      <c r="CP375" s="397"/>
      <c r="CR375" s="393">
        <f t="shared" si="352"/>
        <v>3.8643488431661099E-2</v>
      </c>
      <c r="CS375" s="393">
        <f t="shared" si="353"/>
        <v>3.8639572771377306E-2</v>
      </c>
      <c r="CT375" s="397"/>
      <c r="CV375" s="393">
        <f t="shared" si="354"/>
        <v>-5.416945078312474E-3</v>
      </c>
      <c r="CW375" s="393">
        <f t="shared" si="355"/>
        <v>3.2889955549546102E-2</v>
      </c>
      <c r="CX375" s="397"/>
      <c r="CZ375" s="393">
        <f t="shared" si="356"/>
        <v>-3.9249014121381709E-2</v>
      </c>
      <c r="DA375" s="393">
        <f t="shared" si="357"/>
        <v>3.300512012603396E-2</v>
      </c>
      <c r="DB375" s="397"/>
      <c r="DD375" s="393">
        <f t="shared" si="358"/>
        <v>2.6258300392813183E-2</v>
      </c>
      <c r="DE375" s="393">
        <f t="shared" si="359"/>
        <v>4.192513841501011E-2</v>
      </c>
      <c r="DF375" s="397"/>
      <c r="DH375" s="393">
        <f t="shared" si="360"/>
        <v>6.2171861628722791E-2</v>
      </c>
      <c r="DI375" s="393">
        <f>+DI366/DH366-1</f>
        <v>2.918490233883464E-2</v>
      </c>
      <c r="DJ375" s="397"/>
      <c r="DL375" s="393">
        <f>+DL366/DI366-1</f>
        <v>2.9648658009749473E-2</v>
      </c>
      <c r="DM375" s="393">
        <f>+DM366/DL366-1</f>
        <v>2.9943765544662382E-2</v>
      </c>
      <c r="DN375" s="397"/>
      <c r="DP375" s="393">
        <f>+DP366/DM366-1</f>
        <v>2.9363479574628926E-2</v>
      </c>
      <c r="DQ375" s="393">
        <f>+DQ366/DP366-1</f>
        <v>2.9939227508181343E-2</v>
      </c>
      <c r="DR375" s="397"/>
      <c r="DT375" s="1"/>
      <c r="DU375" s="1"/>
      <c r="DV375" s="1"/>
      <c r="DW375" s="1"/>
      <c r="DX375" s="1"/>
      <c r="DY375" s="1"/>
      <c r="DZ375" s="1"/>
      <c r="EA375" s="1"/>
      <c r="EB375" s="1"/>
      <c r="EC375" s="1"/>
      <c r="ED375" s="1"/>
      <c r="EE375" s="1"/>
      <c r="EF375" s="1"/>
      <c r="EG375" s="1"/>
      <c r="EH375" s="1"/>
      <c r="EI375" s="1"/>
      <c r="EJ375" s="1"/>
      <c r="EK375" s="1"/>
      <c r="EL375" s="1"/>
      <c r="EM375" s="1"/>
      <c r="EN375" s="1"/>
      <c r="EO375" s="1"/>
      <c r="EP375" s="1"/>
      <c r="EQ375" s="1"/>
      <c r="ER375" s="1"/>
      <c r="ES375" s="1"/>
      <c r="ET375" s="1"/>
      <c r="EU375" s="1"/>
      <c r="EV375" s="1"/>
      <c r="EW375" s="1"/>
      <c r="EX375" s="1"/>
      <c r="EY375" s="1"/>
      <c r="EZ375" s="1"/>
      <c r="FA375" s="1"/>
      <c r="FB375" s="1"/>
      <c r="FC375" s="1"/>
      <c r="FD375" s="1"/>
      <c r="FE375" s="1"/>
      <c r="FF375" s="1"/>
      <c r="FG375" s="1"/>
      <c r="FH375" s="1"/>
      <c r="FI375" s="1"/>
      <c r="FJ375" s="1"/>
      <c r="FK375" s="1"/>
      <c r="FL375" s="1"/>
      <c r="FM375" s="1"/>
      <c r="FN375" s="1"/>
      <c r="FO375" s="1"/>
      <c r="FP375" s="1"/>
      <c r="FQ375" s="1"/>
      <c r="FR375" s="1"/>
      <c r="FS375" s="1"/>
      <c r="FT375" s="1"/>
      <c r="FU375" s="1"/>
      <c r="FV375" s="1"/>
      <c r="FW375" s="1"/>
      <c r="FX375" s="1"/>
      <c r="FY375" s="1"/>
      <c r="FZ375" s="1"/>
      <c r="GA375" s="1"/>
      <c r="GB375" s="1"/>
      <c r="GC375" s="1"/>
      <c r="GD375" s="1"/>
      <c r="GE375" s="1"/>
      <c r="GF375" s="1"/>
      <c r="GG375" s="1"/>
      <c r="GH375" s="1"/>
      <c r="GI375" s="1"/>
      <c r="GJ375" s="1"/>
      <c r="GK375" s="1"/>
      <c r="GL375" s="1"/>
      <c r="GM375" s="1"/>
      <c r="GN375" s="1"/>
      <c r="GO375" s="1"/>
      <c r="GP375" s="1"/>
      <c r="GQ375" s="1"/>
      <c r="GR375" s="1"/>
      <c r="GS375" s="1"/>
      <c r="GT375" s="1"/>
      <c r="GU375" s="1"/>
      <c r="GV375" s="1"/>
      <c r="GW375" s="1"/>
      <c r="GX375" s="1"/>
      <c r="GY375" s="1"/>
      <c r="GZ375" s="1"/>
      <c r="HA375" s="1"/>
      <c r="HB375" s="1"/>
      <c r="HC375" s="1"/>
      <c r="HD375" s="1"/>
      <c r="HE375" s="1"/>
      <c r="HF375" s="1"/>
      <c r="HG375" s="1"/>
      <c r="HH375" s="1"/>
      <c r="HI375" s="1"/>
      <c r="HJ375" s="1"/>
      <c r="HK375" s="1"/>
      <c r="HL375" s="1"/>
      <c r="HM375" s="1"/>
      <c r="HN375" s="1"/>
      <c r="HO375" s="1"/>
      <c r="HP375" s="1"/>
      <c r="HQ375" s="1"/>
      <c r="HR375" s="1"/>
      <c r="HS375" s="1"/>
      <c r="HT375" s="1"/>
      <c r="HU375" s="1"/>
      <c r="HV375" s="1"/>
      <c r="HW375" s="1"/>
      <c r="HX375" s="1"/>
      <c r="HY375" s="1"/>
      <c r="HZ375" s="1"/>
      <c r="IA375" s="1"/>
      <c r="IB375" s="1"/>
      <c r="IC375" s="1"/>
      <c r="ID375" s="1"/>
      <c r="IE375" s="1"/>
      <c r="IF375" s="1"/>
      <c r="IG375" s="1"/>
      <c r="IH375" s="1"/>
      <c r="II375" s="1"/>
      <c r="IJ375" s="1"/>
      <c r="IK375" s="1"/>
      <c r="IL375" s="1"/>
      <c r="IM375" s="1"/>
      <c r="IN375" s="1"/>
      <c r="IO375" s="1"/>
      <c r="IP375" s="1"/>
      <c r="IQ375" s="1"/>
      <c r="IR375" s="1"/>
      <c r="IS375" s="1"/>
      <c r="IT375" s="1"/>
      <c r="IU375" s="1"/>
      <c r="IV375" s="1"/>
      <c r="IW375" s="1"/>
      <c r="IX375" s="1"/>
      <c r="IY375" s="1"/>
      <c r="IZ375" s="1"/>
      <c r="JA375" s="1"/>
      <c r="JB375" s="1"/>
      <c r="JC375" s="1"/>
      <c r="JD375" s="1"/>
    </row>
    <row r="376" spans="1:264" s="411" customFormat="1" x14ac:dyDescent="0.2">
      <c r="A376" s="424" t="str">
        <f>A367</f>
        <v>Total Deposits</v>
      </c>
      <c r="B376" s="423"/>
      <c r="BH376" s="396"/>
      <c r="BI376" s="428">
        <f t="shared" si="335"/>
        <v>2.4573493008630543E-2</v>
      </c>
      <c r="BJ376" s="397"/>
      <c r="BK376" s="423"/>
      <c r="BL376" s="428">
        <f t="shared" si="336"/>
        <v>5.6716054058407295E-2</v>
      </c>
      <c r="BM376" s="428">
        <f t="shared" si="337"/>
        <v>2.6501279130603184E-2</v>
      </c>
      <c r="BN376" s="397"/>
      <c r="BO376" s="423"/>
      <c r="BP376" s="428">
        <f t="shared" si="338"/>
        <v>4.8582126689568739E-2</v>
      </c>
      <c r="BQ376" s="428">
        <f t="shared" si="339"/>
        <v>3.9551212006973424E-2</v>
      </c>
      <c r="BR376" s="397"/>
      <c r="BT376" s="428">
        <f t="shared" si="340"/>
        <v>3.1785741240834886E-2</v>
      </c>
      <c r="BU376" s="428">
        <f t="shared" si="341"/>
        <v>4.9147365378645391E-2</v>
      </c>
      <c r="BV376" s="397"/>
      <c r="BX376" s="428">
        <f t="shared" si="342"/>
        <v>3.0688127609281635E-2</v>
      </c>
      <c r="BY376" s="428">
        <f t="shared" si="343"/>
        <v>3.3928898465741986E-2</v>
      </c>
      <c r="BZ376" s="397"/>
      <c r="CB376" s="428">
        <f t="shared" si="344"/>
        <v>-2.8053713765947563E-3</v>
      </c>
      <c r="CC376" s="428">
        <f t="shared" si="345"/>
        <v>-4.2615022955783122E-3</v>
      </c>
      <c r="CD376" s="397"/>
      <c r="CF376" s="428">
        <f t="shared" si="346"/>
        <v>2.3746693366161198E-2</v>
      </c>
      <c r="CG376" s="428">
        <f t="shared" si="347"/>
        <v>-1.5227390464828128E-3</v>
      </c>
      <c r="CH376" s="397"/>
      <c r="CJ376" s="428">
        <f t="shared" si="348"/>
        <v>4.2110559084334254E-2</v>
      </c>
      <c r="CK376" s="428">
        <f t="shared" si="349"/>
        <v>5.9103170675775196E-2</v>
      </c>
      <c r="CL376" s="397"/>
      <c r="CN376" s="428">
        <f t="shared" si="350"/>
        <v>6.3343395076061348E-2</v>
      </c>
      <c r="CO376" s="428">
        <f t="shared" si="351"/>
        <v>2.667904499334206E-2</v>
      </c>
      <c r="CP376" s="397"/>
      <c r="CR376" s="428">
        <f t="shared" si="352"/>
        <v>6.3601524568067225E-2</v>
      </c>
      <c r="CS376" s="428">
        <f t="shared" si="353"/>
        <v>5.209268773830722E-2</v>
      </c>
      <c r="CT376" s="397"/>
      <c r="CV376" s="428">
        <f t="shared" si="354"/>
        <v>2.5147332162605229E-2</v>
      </c>
      <c r="CW376" s="428">
        <f t="shared" si="355"/>
        <v>-1.6103017453182211E-2</v>
      </c>
      <c r="CX376" s="397"/>
      <c r="CZ376" s="428">
        <f t="shared" si="356"/>
        <v>9.6000554916502168E-3</v>
      </c>
      <c r="DA376" s="428">
        <f t="shared" si="357"/>
        <v>1.1019135485097253E-2</v>
      </c>
      <c r="DB376" s="397"/>
      <c r="DD376" s="428">
        <f t="shared" si="358"/>
        <v>2.2176364390059433E-2</v>
      </c>
      <c r="DE376" s="428">
        <f t="shared" si="359"/>
        <v>3.9174428422319219E-2</v>
      </c>
      <c r="DF376" s="397"/>
      <c r="DH376" s="428">
        <f t="shared" si="360"/>
        <v>4.7637326372783839E-2</v>
      </c>
      <c r="DI376" s="428">
        <f>+DI367/DH367-1</f>
        <v>2.2826767657234681E-2</v>
      </c>
      <c r="DJ376" s="397"/>
      <c r="DL376" s="428">
        <f>+DL367/DI367-1</f>
        <v>2.3903380247898953E-2</v>
      </c>
      <c r="DM376" s="428">
        <f>+DM367/DL367-1</f>
        <v>2.4118771897830626E-2</v>
      </c>
      <c r="DN376" s="397"/>
      <c r="DP376" s="428">
        <f>+DP367/DM367-1</f>
        <v>2.383710981163234E-2</v>
      </c>
      <c r="DQ376" s="428">
        <f>+DQ367/DP367-1</f>
        <v>2.4213168738536073E-2</v>
      </c>
      <c r="DR376" s="397"/>
      <c r="DT376" s="1"/>
      <c r="DU376" s="1"/>
      <c r="DV376" s="1"/>
      <c r="DW376" s="1"/>
      <c r="DX376" s="1"/>
      <c r="DY376" s="1"/>
      <c r="DZ376" s="1"/>
      <c r="EA376" s="1"/>
      <c r="EB376" s="1"/>
      <c r="EC376" s="1"/>
      <c r="ED376" s="1"/>
      <c r="EE376" s="1"/>
      <c r="EF376" s="1"/>
      <c r="EG376" s="1"/>
      <c r="EH376" s="1"/>
      <c r="EI376" s="1"/>
      <c r="EJ376" s="1"/>
      <c r="EK376" s="1"/>
      <c r="EL376" s="1"/>
      <c r="EM376" s="1"/>
      <c r="EN376" s="1"/>
      <c r="EO376" s="1"/>
      <c r="EP376" s="1"/>
      <c r="EQ376" s="1"/>
      <c r="ER376" s="1"/>
      <c r="ES376" s="1"/>
      <c r="ET376" s="1"/>
      <c r="EU376" s="1"/>
      <c r="EV376" s="1"/>
      <c r="EW376" s="1"/>
      <c r="EX376" s="1"/>
      <c r="EY376" s="1"/>
      <c r="EZ376" s="1"/>
      <c r="FA376" s="1"/>
      <c r="FB376" s="1"/>
      <c r="FC376" s="1"/>
      <c r="FD376" s="1"/>
      <c r="FE376" s="1"/>
      <c r="FF376" s="1"/>
      <c r="FG376" s="1"/>
      <c r="FH376" s="1"/>
      <c r="FI376" s="1"/>
      <c r="FJ376" s="1"/>
      <c r="FK376" s="1"/>
      <c r="FL376" s="1"/>
      <c r="FM376" s="1"/>
      <c r="FN376" s="1"/>
      <c r="FO376" s="1"/>
      <c r="FP376" s="1"/>
      <c r="FQ376" s="1"/>
      <c r="FR376" s="1"/>
      <c r="FS376" s="1"/>
      <c r="FT376" s="1"/>
      <c r="FU376" s="1"/>
      <c r="FV376" s="1"/>
      <c r="FW376" s="1"/>
      <c r="FX376" s="1"/>
      <c r="FY376" s="1"/>
      <c r="FZ376" s="1"/>
      <c r="GA376" s="1"/>
      <c r="GB376" s="1"/>
      <c r="GC376" s="1"/>
      <c r="GD376" s="1"/>
      <c r="GE376" s="1"/>
      <c r="GF376" s="1"/>
      <c r="GG376" s="1"/>
      <c r="GH376" s="1"/>
      <c r="GI376" s="1"/>
      <c r="GJ376" s="1"/>
      <c r="GK376" s="1"/>
      <c r="GL376" s="1"/>
      <c r="GM376" s="1"/>
      <c r="GN376" s="1"/>
      <c r="GO376" s="1"/>
      <c r="GP376" s="1"/>
      <c r="GQ376" s="1"/>
      <c r="GR376" s="1"/>
      <c r="GS376" s="1"/>
      <c r="GT376" s="1"/>
      <c r="GU376" s="1"/>
      <c r="GV376" s="1"/>
      <c r="GW376" s="1"/>
      <c r="GX376" s="1"/>
      <c r="GY376" s="1"/>
      <c r="GZ376" s="1"/>
      <c r="HA376" s="1"/>
      <c r="HB376" s="1"/>
      <c r="HC376" s="1"/>
      <c r="HD376" s="1"/>
      <c r="HE376" s="1"/>
      <c r="HF376" s="1"/>
      <c r="HG376" s="1"/>
      <c r="HH376" s="1"/>
      <c r="HI376" s="1"/>
      <c r="HJ376" s="1"/>
      <c r="HK376" s="1"/>
      <c r="HL376" s="1"/>
      <c r="HM376" s="1"/>
      <c r="HN376" s="1"/>
      <c r="HO376" s="1"/>
      <c r="HP376" s="1"/>
      <c r="HQ376" s="1"/>
      <c r="HR376" s="1"/>
      <c r="HS376" s="1"/>
      <c r="HT376" s="1"/>
      <c r="HU376" s="1"/>
      <c r="HV376" s="1"/>
      <c r="HW376" s="1"/>
      <c r="HX376" s="1"/>
      <c r="HY376" s="1"/>
      <c r="HZ376" s="1"/>
      <c r="IA376" s="1"/>
      <c r="IB376" s="1"/>
      <c r="IC376" s="1"/>
      <c r="ID376" s="1"/>
      <c r="IE376" s="1"/>
      <c r="IF376" s="1"/>
      <c r="IG376" s="1"/>
      <c r="IH376" s="1"/>
      <c r="II376" s="1"/>
      <c r="IJ376" s="1"/>
      <c r="IK376" s="1"/>
      <c r="IL376" s="1"/>
      <c r="IM376" s="1"/>
      <c r="IN376" s="1"/>
      <c r="IO376" s="1"/>
      <c r="IP376" s="1"/>
      <c r="IQ376" s="1"/>
      <c r="IR376" s="1"/>
      <c r="IS376" s="1"/>
      <c r="IT376" s="1"/>
      <c r="IU376" s="1"/>
      <c r="IV376" s="1"/>
      <c r="IW376" s="1"/>
      <c r="IX376" s="1"/>
      <c r="IY376" s="1"/>
      <c r="IZ376" s="1"/>
      <c r="JA376" s="1"/>
      <c r="JB376" s="1"/>
      <c r="JC376" s="1"/>
      <c r="JD376" s="1"/>
    </row>
    <row r="377" spans="1:264" s="347" customFormat="1" x14ac:dyDescent="0.2">
      <c r="A377" s="424"/>
      <c r="B377" s="348"/>
      <c r="BH377" s="398"/>
      <c r="BI377" s="428"/>
      <c r="BJ377" s="397"/>
      <c r="BK377" s="348"/>
      <c r="BL377" s="348"/>
      <c r="BM377" s="428"/>
      <c r="BN377" s="397"/>
      <c r="BO377" s="348"/>
      <c r="BP377" s="348"/>
      <c r="BQ377" s="348"/>
      <c r="BR377" s="348"/>
      <c r="BT377" s="348"/>
      <c r="BU377" s="348"/>
      <c r="BV377" s="348"/>
      <c r="BX377" s="348"/>
      <c r="BY377" s="348"/>
      <c r="BZ377" s="348"/>
      <c r="CB377" s="348"/>
      <c r="CC377" s="348"/>
      <c r="CD377" s="348"/>
      <c r="CF377" s="348"/>
      <c r="CG377" s="348"/>
      <c r="CH377" s="348"/>
      <c r="CJ377" s="348"/>
      <c r="CK377" s="348"/>
      <c r="CL377" s="348"/>
      <c r="CN377" s="348"/>
      <c r="CO377" s="348"/>
      <c r="CP377" s="348"/>
      <c r="CR377" s="348"/>
      <c r="CS377" s="348"/>
      <c r="CT377" s="348"/>
      <c r="CV377" s="348"/>
      <c r="CW377" s="348"/>
      <c r="CX377" s="348"/>
      <c r="CZ377" s="348"/>
      <c r="DA377" s="348"/>
      <c r="DB377" s="348"/>
      <c r="DD377" s="348"/>
      <c r="DE377" s="348"/>
      <c r="DF377" s="348"/>
      <c r="DH377" s="348"/>
      <c r="DI377" s="348"/>
      <c r="DJ377" s="348"/>
      <c r="DL377" s="348"/>
      <c r="DM377" s="348"/>
      <c r="DN377" s="348"/>
      <c r="DP377" s="348"/>
      <c r="DQ377" s="348"/>
      <c r="DR377" s="348"/>
      <c r="DT377" s="1"/>
      <c r="DU377" s="1"/>
      <c r="DV377" s="1"/>
      <c r="DW377" s="1"/>
      <c r="DX377" s="1"/>
      <c r="DY377" s="1"/>
      <c r="DZ377" s="1"/>
      <c r="EA377" s="1"/>
      <c r="EB377" s="1"/>
      <c r="EC377" s="1"/>
      <c r="ED377" s="1"/>
      <c r="EE377" s="1"/>
      <c r="EF377" s="1"/>
      <c r="EG377" s="1"/>
      <c r="EH377" s="1"/>
      <c r="EI377" s="1"/>
      <c r="EJ377" s="1"/>
      <c r="EK377" s="1"/>
      <c r="EL377" s="1"/>
      <c r="EM377" s="1"/>
      <c r="EN377" s="1"/>
      <c r="EO377" s="1"/>
      <c r="EP377" s="1"/>
      <c r="EQ377" s="1"/>
      <c r="ER377" s="1"/>
      <c r="ES377" s="1"/>
      <c r="ET377" s="1"/>
      <c r="EU377" s="1"/>
      <c r="EV377" s="1"/>
      <c r="EW377" s="1"/>
      <c r="EX377" s="1"/>
      <c r="EY377" s="1"/>
      <c r="EZ377" s="1"/>
      <c r="FA377" s="1"/>
      <c r="FB377" s="1"/>
      <c r="FC377" s="1"/>
      <c r="FD377" s="1"/>
      <c r="FE377" s="1"/>
      <c r="FF377" s="1"/>
      <c r="FG377" s="1"/>
      <c r="FH377" s="1"/>
      <c r="FI377" s="1"/>
      <c r="FJ377" s="1"/>
      <c r="FK377" s="1"/>
      <c r="FL377" s="1"/>
      <c r="FM377" s="1"/>
      <c r="FN377" s="1"/>
      <c r="FO377" s="1"/>
      <c r="FP377" s="1"/>
      <c r="FQ377" s="1"/>
      <c r="FR377" s="1"/>
      <c r="FS377" s="1"/>
      <c r="FT377" s="1"/>
      <c r="FU377" s="1"/>
      <c r="FV377" s="1"/>
      <c r="FW377" s="1"/>
      <c r="FX377" s="1"/>
      <c r="FY377" s="1"/>
      <c r="FZ377" s="1"/>
      <c r="GA377" s="1"/>
      <c r="GB377" s="1"/>
      <c r="GC377" s="1"/>
      <c r="GD377" s="1"/>
      <c r="GE377" s="1"/>
      <c r="GF377" s="1"/>
      <c r="GG377" s="1"/>
      <c r="GH377" s="1"/>
      <c r="GI377" s="1"/>
      <c r="GJ377" s="1"/>
      <c r="GK377" s="1"/>
      <c r="GL377" s="1"/>
      <c r="GM377" s="1"/>
      <c r="GN377" s="1"/>
      <c r="GO377" s="1"/>
      <c r="GP377" s="1"/>
      <c r="GQ377" s="1"/>
      <c r="GR377" s="1"/>
      <c r="GS377" s="1"/>
      <c r="GT377" s="1"/>
      <c r="GU377" s="1"/>
      <c r="GV377" s="1"/>
      <c r="GW377" s="1"/>
      <c r="GX377" s="1"/>
      <c r="GY377" s="1"/>
      <c r="GZ377" s="1"/>
      <c r="HA377" s="1"/>
      <c r="HB377" s="1"/>
      <c r="HC377" s="1"/>
      <c r="HD377" s="1"/>
      <c r="HE377" s="1"/>
      <c r="HF377" s="1"/>
      <c r="HG377" s="1"/>
      <c r="HH377" s="1"/>
      <c r="HI377" s="1"/>
      <c r="HJ377" s="1"/>
      <c r="HK377" s="1"/>
      <c r="HL377" s="1"/>
      <c r="HM377" s="1"/>
      <c r="HN377" s="1"/>
      <c r="HO377" s="1"/>
      <c r="HP377" s="1"/>
      <c r="HQ377" s="1"/>
      <c r="HR377" s="1"/>
      <c r="HS377" s="1"/>
      <c r="HT377" s="1"/>
      <c r="HU377" s="1"/>
      <c r="HV377" s="1"/>
      <c r="HW377" s="1"/>
      <c r="HX377" s="1"/>
      <c r="HY377" s="1"/>
      <c r="HZ377" s="1"/>
      <c r="IA377" s="1"/>
      <c r="IB377" s="1"/>
      <c r="IC377" s="1"/>
      <c r="ID377" s="1"/>
      <c r="IE377" s="1"/>
      <c r="IF377" s="1"/>
      <c r="IG377" s="1"/>
      <c r="IH377" s="1"/>
      <c r="II377" s="1"/>
      <c r="IJ377" s="1"/>
      <c r="IK377" s="1"/>
      <c r="IL377" s="1"/>
      <c r="IM377" s="1"/>
      <c r="IN377" s="1"/>
      <c r="IO377" s="1"/>
      <c r="IP377" s="1"/>
      <c r="IQ377" s="1"/>
      <c r="IR377" s="1"/>
      <c r="IS377" s="1"/>
      <c r="IT377" s="1"/>
      <c r="IU377" s="1"/>
      <c r="IV377" s="1"/>
      <c r="IW377" s="1"/>
      <c r="IX377" s="1"/>
      <c r="IY377" s="1"/>
      <c r="IZ377" s="1"/>
      <c r="JA377" s="1"/>
      <c r="JB377" s="1"/>
      <c r="JC377" s="1"/>
      <c r="JD377" s="1"/>
    </row>
    <row r="378" spans="1:264" s="460" customFormat="1" x14ac:dyDescent="0.2">
      <c r="A378" s="458" t="s">
        <v>347</v>
      </c>
      <c r="B378" s="459"/>
      <c r="C378" s="458"/>
      <c r="D378" s="458"/>
      <c r="E378" s="458"/>
      <c r="F378" s="458"/>
      <c r="G378" s="458"/>
      <c r="H378" s="458"/>
      <c r="I378" s="458"/>
      <c r="J378" s="458"/>
      <c r="K378" s="458"/>
      <c r="L378" s="458"/>
      <c r="M378" s="458"/>
      <c r="N378" s="458"/>
      <c r="O378" s="458"/>
      <c r="P378" s="458"/>
      <c r="Q378" s="458"/>
      <c r="R378" s="458"/>
      <c r="S378" s="458"/>
      <c r="T378" s="458"/>
      <c r="U378" s="458"/>
      <c r="V378" s="458"/>
      <c r="W378" s="458"/>
      <c r="X378" s="458"/>
      <c r="Y378" s="458"/>
      <c r="Z378" s="458"/>
      <c r="AA378" s="458"/>
      <c r="AB378" s="458"/>
      <c r="AC378" s="458"/>
      <c r="AD378" s="458"/>
      <c r="AE378" s="458"/>
      <c r="AF378" s="458"/>
      <c r="AG378" s="458"/>
      <c r="AH378" s="458"/>
      <c r="AI378" s="458"/>
      <c r="AJ378" s="458"/>
      <c r="AK378" s="458"/>
      <c r="AL378" s="458"/>
      <c r="AM378" s="458"/>
      <c r="AN378" s="458"/>
      <c r="AO378" s="458"/>
      <c r="AP378" s="458"/>
      <c r="AQ378" s="458"/>
      <c r="AR378" s="458"/>
      <c r="AS378" s="458"/>
      <c r="AT378" s="458"/>
      <c r="AU378" s="458"/>
      <c r="AV378" s="458"/>
      <c r="AW378" s="458"/>
      <c r="AX378" s="458"/>
      <c r="AY378" s="458"/>
      <c r="AZ378" s="458"/>
      <c r="BA378" s="458"/>
      <c r="BB378" s="458"/>
      <c r="BC378" s="458"/>
      <c r="BD378" s="458"/>
      <c r="BE378" s="458"/>
      <c r="BF378" s="458"/>
      <c r="BG378" s="458"/>
      <c r="BH378" s="459"/>
      <c r="BI378" s="459"/>
      <c r="BJ378" s="459"/>
      <c r="BK378" s="459"/>
      <c r="BL378" s="459"/>
      <c r="BM378" s="459"/>
      <c r="BN378" s="459"/>
      <c r="BO378" s="459"/>
      <c r="BP378" s="510"/>
      <c r="BQ378" s="510"/>
      <c r="BR378" s="510"/>
      <c r="BS378" s="511"/>
      <c r="BT378" s="510"/>
      <c r="BU378" s="510"/>
      <c r="BV378" s="510"/>
      <c r="BW378" s="511"/>
      <c r="BX378" s="510"/>
      <c r="BY378" s="510"/>
      <c r="BZ378" s="510"/>
      <c r="CA378" s="511"/>
      <c r="CB378" s="510"/>
      <c r="CC378" s="510"/>
      <c r="CD378" s="510"/>
      <c r="CE378" s="511"/>
      <c r="CF378" s="510"/>
      <c r="CG378" s="510"/>
      <c r="CH378" s="510"/>
      <c r="CI378" s="511"/>
      <c r="CJ378" s="459"/>
      <c r="CK378" s="458"/>
      <c r="CL378" s="510"/>
      <c r="CM378" s="458"/>
      <c r="CN378" s="459"/>
      <c r="CO378" s="458"/>
      <c r="CP378" s="458"/>
      <c r="CQ378" s="458"/>
      <c r="CR378" s="459"/>
      <c r="CS378" s="458"/>
      <c r="CT378" s="458"/>
      <c r="CU378" s="458"/>
      <c r="CV378" s="459"/>
      <c r="CW378" s="458"/>
      <c r="CX378" s="458"/>
      <c r="CY378" s="458"/>
      <c r="CZ378" s="459"/>
      <c r="DA378" s="458"/>
      <c r="DB378" s="458"/>
      <c r="DC378" s="458"/>
      <c r="DD378" s="459"/>
      <c r="DE378" s="458"/>
      <c r="DF378" s="458"/>
      <c r="DG378" s="458"/>
      <c r="DH378" s="459"/>
      <c r="DI378" s="458"/>
      <c r="DJ378" s="458"/>
      <c r="DK378" s="458"/>
      <c r="DL378" s="459"/>
      <c r="DM378" s="458"/>
      <c r="DN378" s="458"/>
      <c r="DO378" s="458"/>
      <c r="DP378" s="459"/>
      <c r="DQ378" s="458"/>
      <c r="DR378" s="458"/>
      <c r="DS378" s="458"/>
      <c r="DT378" s="1"/>
      <c r="DU378" s="1"/>
      <c r="DV378" s="1"/>
      <c r="DW378" s="1"/>
      <c r="DX378" s="1"/>
      <c r="DY378" s="1"/>
      <c r="DZ378" s="1"/>
      <c r="EA378" s="1"/>
      <c r="EB378" s="1"/>
      <c r="EC378" s="1"/>
      <c r="ED378" s="1"/>
      <c r="EE378" s="1"/>
      <c r="EF378" s="1"/>
      <c r="EG378" s="1"/>
      <c r="EH378" s="1"/>
      <c r="EI378" s="1"/>
      <c r="EJ378" s="1"/>
      <c r="EK378" s="1"/>
      <c r="EL378" s="1"/>
      <c r="EM378" s="1"/>
      <c r="EN378" s="1"/>
      <c r="EO378" s="1"/>
      <c r="EP378" s="1"/>
      <c r="EQ378" s="1"/>
      <c r="ER378" s="1"/>
      <c r="ES378" s="1"/>
      <c r="ET378" s="1"/>
      <c r="EU378" s="1"/>
      <c r="EV378" s="1"/>
      <c r="EW378" s="1"/>
      <c r="EX378" s="1"/>
      <c r="EY378" s="1"/>
      <c r="EZ378" s="1"/>
      <c r="FA378" s="1"/>
      <c r="FB378" s="1"/>
      <c r="FC378" s="1"/>
      <c r="FD378" s="1"/>
      <c r="FE378" s="1"/>
      <c r="FF378" s="1"/>
      <c r="FG378" s="1"/>
      <c r="FH378" s="1"/>
      <c r="FI378" s="1"/>
      <c r="FJ378" s="1"/>
      <c r="FK378" s="1"/>
      <c r="FL378" s="1"/>
      <c r="FM378" s="1"/>
      <c r="FN378" s="1"/>
      <c r="FO378" s="1"/>
      <c r="FP378" s="1"/>
      <c r="FQ378" s="1"/>
      <c r="FR378" s="1"/>
      <c r="FS378" s="1"/>
      <c r="FT378" s="1"/>
      <c r="FU378" s="1"/>
      <c r="FV378" s="1"/>
      <c r="FW378" s="1"/>
      <c r="FX378" s="1"/>
      <c r="FY378" s="1"/>
      <c r="FZ378" s="1"/>
      <c r="GA378" s="1"/>
      <c r="GB378" s="1"/>
      <c r="GC378" s="1"/>
      <c r="GD378" s="1"/>
      <c r="GE378" s="1"/>
      <c r="GF378" s="1"/>
      <c r="GG378" s="1"/>
      <c r="GH378" s="1"/>
      <c r="GI378" s="1"/>
      <c r="GJ378" s="1"/>
      <c r="GK378" s="1"/>
      <c r="GL378" s="1"/>
      <c r="GM378" s="1"/>
      <c r="GN378" s="1"/>
      <c r="GO378" s="1"/>
      <c r="GP378" s="1"/>
      <c r="GQ378" s="1"/>
      <c r="GR378" s="1"/>
      <c r="GS378" s="1"/>
      <c r="GT378" s="1"/>
      <c r="GU378" s="1"/>
      <c r="GV378" s="1"/>
      <c r="GW378" s="1"/>
      <c r="GX378" s="1"/>
      <c r="GY378" s="1"/>
      <c r="GZ378" s="1"/>
      <c r="HA378" s="1"/>
      <c r="HB378" s="1"/>
      <c r="HC378" s="1"/>
      <c r="HD378" s="1"/>
      <c r="HE378" s="1"/>
      <c r="HF378" s="1"/>
      <c r="HG378" s="1"/>
      <c r="HH378" s="1"/>
      <c r="HI378" s="1"/>
      <c r="HJ378" s="1"/>
      <c r="HK378" s="1"/>
      <c r="HL378" s="1"/>
      <c r="HM378" s="1"/>
      <c r="HN378" s="1"/>
      <c r="HO378" s="1"/>
      <c r="HP378" s="1"/>
      <c r="HQ378" s="1"/>
      <c r="HR378" s="1"/>
      <c r="HS378" s="1"/>
      <c r="HT378" s="1"/>
      <c r="HU378" s="1"/>
      <c r="HV378" s="1"/>
      <c r="HW378" s="1"/>
      <c r="HX378" s="1"/>
      <c r="HY378" s="1"/>
      <c r="HZ378" s="1"/>
      <c r="IA378" s="1"/>
      <c r="IB378" s="1"/>
      <c r="IC378" s="1"/>
      <c r="ID378" s="1"/>
      <c r="IE378" s="1"/>
      <c r="IF378" s="1"/>
      <c r="IG378" s="1"/>
      <c r="IH378" s="1"/>
      <c r="II378" s="1"/>
      <c r="IJ378" s="1"/>
      <c r="IK378" s="1"/>
      <c r="IL378" s="1"/>
      <c r="IM378" s="1"/>
      <c r="IN378" s="1"/>
      <c r="IO378" s="1"/>
      <c r="IP378" s="1"/>
      <c r="IQ378" s="1"/>
      <c r="IR378" s="1"/>
      <c r="IS378" s="1"/>
      <c r="IT378" s="1"/>
      <c r="IU378" s="1"/>
      <c r="IV378" s="1"/>
      <c r="IW378" s="1"/>
      <c r="IX378" s="1"/>
      <c r="IY378" s="1"/>
      <c r="IZ378" s="1"/>
      <c r="JA378" s="1"/>
      <c r="JB378" s="1"/>
      <c r="JC378" s="1"/>
      <c r="JD378" s="1"/>
    </row>
    <row r="379" spans="1:264" s="347" customFormat="1" x14ac:dyDescent="0.2">
      <c r="A379" s="424"/>
      <c r="B379" s="348"/>
      <c r="BH379" s="398"/>
      <c r="BI379" s="428"/>
      <c r="BJ379" s="397"/>
      <c r="BK379" s="348"/>
      <c r="BL379" s="348"/>
      <c r="BM379" s="428"/>
      <c r="BN379" s="397"/>
      <c r="BO379" s="348"/>
      <c r="BP379" s="348"/>
      <c r="BT379" s="348"/>
      <c r="BX379" s="348"/>
      <c r="CB379" s="348"/>
      <c r="CF379" s="348"/>
      <c r="CJ379" s="348"/>
      <c r="CN379" s="348"/>
      <c r="CR379" s="348"/>
      <c r="CV379" s="348"/>
      <c r="CZ379" s="348"/>
      <c r="DD379" s="348"/>
      <c r="DH379" s="348"/>
      <c r="DL379" s="348"/>
      <c r="DP379" s="348"/>
      <c r="DT379" s="1"/>
      <c r="DU379" s="1"/>
      <c r="DV379" s="1"/>
      <c r="DW379" s="1"/>
      <c r="DX379" s="1"/>
      <c r="DY379" s="1"/>
      <c r="DZ379" s="1"/>
      <c r="EA379" s="1"/>
      <c r="EB379" s="1"/>
      <c r="EC379" s="1"/>
      <c r="ED379" s="1"/>
      <c r="EE379" s="1"/>
      <c r="EF379" s="1"/>
      <c r="EG379" s="1"/>
      <c r="EH379" s="1"/>
      <c r="EI379" s="1"/>
      <c r="EJ379" s="1"/>
      <c r="EK379" s="1"/>
      <c r="EL379" s="1"/>
      <c r="EM379" s="1"/>
      <c r="EN379" s="1"/>
      <c r="EO379" s="1"/>
      <c r="EP379" s="1"/>
      <c r="EQ379" s="1"/>
      <c r="ER379" s="1"/>
      <c r="ES379" s="1"/>
      <c r="ET379" s="1"/>
      <c r="EU379" s="1"/>
      <c r="EV379" s="1"/>
      <c r="EW379" s="1"/>
      <c r="EX379" s="1"/>
      <c r="EY379" s="1"/>
      <c r="EZ379" s="1"/>
      <c r="FA379" s="1"/>
      <c r="FB379" s="1"/>
      <c r="FC379" s="1"/>
      <c r="FD379" s="1"/>
      <c r="FE379" s="1"/>
      <c r="FF379" s="1"/>
      <c r="FG379" s="1"/>
      <c r="FH379" s="1"/>
      <c r="FI379" s="1"/>
      <c r="FJ379" s="1"/>
      <c r="FK379" s="1"/>
      <c r="FL379" s="1"/>
      <c r="FM379" s="1"/>
      <c r="FN379" s="1"/>
      <c r="FO379" s="1"/>
      <c r="FP379" s="1"/>
      <c r="FQ379" s="1"/>
      <c r="FR379" s="1"/>
      <c r="FS379" s="1"/>
      <c r="FT379" s="1"/>
      <c r="FU379" s="1"/>
      <c r="FV379" s="1"/>
      <c r="FW379" s="1"/>
      <c r="FX379" s="1"/>
      <c r="FY379" s="1"/>
      <c r="FZ379" s="1"/>
      <c r="GA379" s="1"/>
      <c r="GB379" s="1"/>
      <c r="GC379" s="1"/>
      <c r="GD379" s="1"/>
      <c r="GE379" s="1"/>
      <c r="GF379" s="1"/>
      <c r="GG379" s="1"/>
      <c r="GH379" s="1"/>
      <c r="GI379" s="1"/>
      <c r="GJ379" s="1"/>
      <c r="GK379" s="1"/>
      <c r="GL379" s="1"/>
      <c r="GM379" s="1"/>
      <c r="GN379" s="1"/>
      <c r="GO379" s="1"/>
      <c r="GP379" s="1"/>
      <c r="GQ379" s="1"/>
      <c r="GR379" s="1"/>
      <c r="GS379" s="1"/>
      <c r="GT379" s="1"/>
      <c r="GU379" s="1"/>
      <c r="GV379" s="1"/>
      <c r="GW379" s="1"/>
      <c r="GX379" s="1"/>
      <c r="GY379" s="1"/>
      <c r="GZ379" s="1"/>
      <c r="HA379" s="1"/>
      <c r="HB379" s="1"/>
      <c r="HC379" s="1"/>
      <c r="HD379" s="1"/>
      <c r="HE379" s="1"/>
      <c r="HF379" s="1"/>
      <c r="HG379" s="1"/>
      <c r="HH379" s="1"/>
      <c r="HI379" s="1"/>
      <c r="HJ379" s="1"/>
      <c r="HK379" s="1"/>
      <c r="HL379" s="1"/>
      <c r="HM379" s="1"/>
      <c r="HN379" s="1"/>
      <c r="HO379" s="1"/>
      <c r="HP379" s="1"/>
      <c r="HQ379" s="1"/>
      <c r="HR379" s="1"/>
      <c r="HS379" s="1"/>
      <c r="HT379" s="1"/>
      <c r="HU379" s="1"/>
      <c r="HV379" s="1"/>
      <c r="HW379" s="1"/>
      <c r="HX379" s="1"/>
      <c r="HY379" s="1"/>
      <c r="HZ379" s="1"/>
      <c r="IA379" s="1"/>
      <c r="IB379" s="1"/>
      <c r="IC379" s="1"/>
      <c r="ID379" s="1"/>
      <c r="IE379" s="1"/>
      <c r="IF379" s="1"/>
      <c r="IG379" s="1"/>
      <c r="IH379" s="1"/>
      <c r="II379" s="1"/>
      <c r="IJ379" s="1"/>
      <c r="IK379" s="1"/>
      <c r="IL379" s="1"/>
      <c r="IM379" s="1"/>
      <c r="IN379" s="1"/>
      <c r="IO379" s="1"/>
      <c r="IP379" s="1"/>
      <c r="IQ379" s="1"/>
      <c r="IR379" s="1"/>
      <c r="IS379" s="1"/>
      <c r="IT379" s="1"/>
      <c r="IU379" s="1"/>
      <c r="IV379" s="1"/>
      <c r="IW379" s="1"/>
      <c r="IX379" s="1"/>
      <c r="IY379" s="1"/>
      <c r="IZ379" s="1"/>
      <c r="JA379" s="1"/>
      <c r="JB379" s="1"/>
      <c r="JC379" s="1"/>
      <c r="JD379" s="1"/>
    </row>
    <row r="380" spans="1:264" s="347" customFormat="1" x14ac:dyDescent="0.2">
      <c r="A380" s="411" t="s">
        <v>286</v>
      </c>
      <c r="B380" s="348"/>
      <c r="BH380" s="351">
        <f>BH185</f>
        <v>541061</v>
      </c>
      <c r="BI380" s="351">
        <f>BI185</f>
        <v>562758</v>
      </c>
      <c r="BJ380" s="351">
        <f>BJ185</f>
        <v>562758</v>
      </c>
      <c r="BK380" s="348"/>
      <c r="BL380" s="351">
        <f>BL185</f>
        <v>586968</v>
      </c>
      <c r="BM380" s="351">
        <f>BM185</f>
        <v>603100</v>
      </c>
      <c r="BN380" s="351">
        <f>BN185</f>
        <v>603100</v>
      </c>
      <c r="BO380" s="348"/>
      <c r="BP380" s="351">
        <f>BP185</f>
        <v>625672</v>
      </c>
      <c r="BQ380" s="351">
        <f>BQ185</f>
        <v>644228</v>
      </c>
      <c r="BR380" s="351">
        <f>BR185</f>
        <v>644228</v>
      </c>
      <c r="BS380" s="393">
        <f t="shared" ref="BS380:BS387" si="361">BR380/BN380-1</f>
        <v>6.819432929862379E-2</v>
      </c>
      <c r="BT380" s="351">
        <f>BT185</f>
        <v>674088</v>
      </c>
      <c r="BU380" s="351">
        <f>BU185</f>
        <v>700299</v>
      </c>
      <c r="BV380" s="351">
        <f>BV185</f>
        <v>700299</v>
      </c>
      <c r="BW380" s="393">
        <f t="shared" ref="BW380:BW387" si="362">BV380/BR380-1</f>
        <v>8.7035956214259524E-2</v>
      </c>
      <c r="BX380" s="351">
        <f>BX185</f>
        <v>717810</v>
      </c>
      <c r="BY380" s="351">
        <f>BY185</f>
        <v>736539</v>
      </c>
      <c r="BZ380" s="351">
        <f>BZ185</f>
        <v>736539</v>
      </c>
      <c r="CA380" s="393">
        <f t="shared" ref="CA380:CA387" si="363">BZ380/BV380-1</f>
        <v>5.1749324217227111E-2</v>
      </c>
      <c r="CB380" s="351">
        <f>CB185</f>
        <v>741096</v>
      </c>
      <c r="CC380" s="351">
        <f>CC185</f>
        <v>748029</v>
      </c>
      <c r="CD380" s="351">
        <f>CD185</f>
        <v>748029</v>
      </c>
      <c r="CE380" s="393">
        <f t="shared" ref="CE380:CE387" si="364">CD380/BZ380-1</f>
        <v>1.5599988595308645E-2</v>
      </c>
      <c r="CF380" s="351">
        <f>CF185</f>
        <v>759410</v>
      </c>
      <c r="CG380" s="351">
        <f>CG185</f>
        <v>761013</v>
      </c>
      <c r="CH380" s="351">
        <f>CH185</f>
        <v>761013</v>
      </c>
      <c r="CI380" s="393">
        <f t="shared" ref="CI380:CI387" si="365">CH380/CD380-1</f>
        <v>1.7357615814360239E-2</v>
      </c>
      <c r="CJ380" s="351">
        <f>CJ185</f>
        <v>771383</v>
      </c>
      <c r="CK380" s="351">
        <f>CK185</f>
        <v>780108</v>
      </c>
      <c r="CL380" s="351">
        <f>CL185</f>
        <v>780108</v>
      </c>
      <c r="CN380" s="351">
        <f>CN185</f>
        <v>794473</v>
      </c>
      <c r="CO380" s="351">
        <f>CO185</f>
        <v>818266</v>
      </c>
      <c r="CP380" s="351">
        <f>CP185</f>
        <v>818266</v>
      </c>
      <c r="CR380" s="351">
        <f>CR185</f>
        <v>850509</v>
      </c>
      <c r="CS380" s="351">
        <f>CS185</f>
        <v>884963</v>
      </c>
      <c r="CT380" s="351">
        <f>CT185</f>
        <v>884963</v>
      </c>
      <c r="CV380" s="351">
        <f>CV185</f>
        <v>912835</v>
      </c>
      <c r="CW380" s="351">
        <f>CW185</f>
        <v>933251</v>
      </c>
      <c r="CX380" s="351">
        <f>CX185</f>
        <v>933251</v>
      </c>
      <c r="CZ380" s="351">
        <f>CZ185</f>
        <v>928807</v>
      </c>
      <c r="DA380" s="351">
        <f>DA185</f>
        <v>949948</v>
      </c>
      <c r="DB380" s="351">
        <f>DB185</f>
        <v>949948</v>
      </c>
      <c r="DD380" s="351">
        <f>DD185</f>
        <v>977384</v>
      </c>
      <c r="DE380" s="351">
        <f>DE185</f>
        <v>1015883</v>
      </c>
      <c r="DF380" s="351">
        <f>DF185</f>
        <v>1015883</v>
      </c>
      <c r="DH380" s="351">
        <f>DH185</f>
        <v>1048988</v>
      </c>
      <c r="DI380" s="351">
        <f>DI185</f>
        <v>1085563.3850495967</v>
      </c>
      <c r="DJ380" s="351">
        <f>DJ185</f>
        <v>1085563.3850495967</v>
      </c>
      <c r="DL380" s="351">
        <f>DL185</f>
        <v>1117407.6161743863</v>
      </c>
      <c r="DM380" s="351">
        <f>DM185</f>
        <v>1152170.2205865183</v>
      </c>
      <c r="DN380" s="351">
        <f>DN185</f>
        <v>1152170.2205865183</v>
      </c>
      <c r="DP380" s="351">
        <f>DP185</f>
        <v>1179120.5333508002</v>
      </c>
      <c r="DQ380" s="351">
        <f>DQ185</f>
        <v>1208740.8652868862</v>
      </c>
      <c r="DR380" s="351">
        <f>DR185</f>
        <v>1208740.8652868862</v>
      </c>
      <c r="DT380" s="1"/>
      <c r="DU380" s="1"/>
      <c r="DV380" s="1"/>
      <c r="DW380" s="1"/>
      <c r="DX380" s="1"/>
      <c r="DY380" s="1"/>
      <c r="DZ380" s="1"/>
      <c r="EA380" s="1"/>
      <c r="EB380" s="1"/>
      <c r="EC380" s="1"/>
      <c r="ED380" s="1"/>
      <c r="EE380" s="1"/>
      <c r="EF380" s="1"/>
      <c r="EG380" s="1"/>
      <c r="EH380" s="1"/>
      <c r="EI380" s="1"/>
      <c r="EJ380" s="1"/>
      <c r="EK380" s="1"/>
      <c r="EL380" s="1"/>
      <c r="EM380" s="1"/>
      <c r="EN380" s="1"/>
      <c r="EO380" s="1"/>
      <c r="EP380" s="1"/>
      <c r="EQ380" s="1"/>
      <c r="ER380" s="1"/>
      <c r="ES380" s="1"/>
      <c r="ET380" s="1"/>
      <c r="EU380" s="1"/>
      <c r="EV380" s="1"/>
      <c r="EW380" s="1"/>
      <c r="EX380" s="1"/>
      <c r="EY380" s="1"/>
      <c r="EZ380" s="1"/>
      <c r="FA380" s="1"/>
      <c r="FB380" s="1"/>
      <c r="FC380" s="1"/>
      <c r="FD380" s="1"/>
      <c r="FE380" s="1"/>
      <c r="FF380" s="1"/>
      <c r="FG380" s="1"/>
      <c r="FH380" s="1"/>
      <c r="FI380" s="1"/>
      <c r="FJ380" s="1"/>
      <c r="FK380" s="1"/>
      <c r="FL380" s="1"/>
      <c r="FM380" s="1"/>
      <c r="FN380" s="1"/>
      <c r="FO380" s="1"/>
      <c r="FP380" s="1"/>
      <c r="FQ380" s="1"/>
      <c r="FR380" s="1"/>
      <c r="FS380" s="1"/>
      <c r="FT380" s="1"/>
      <c r="FU380" s="1"/>
      <c r="FV380" s="1"/>
      <c r="FW380" s="1"/>
      <c r="FX380" s="1"/>
      <c r="FY380" s="1"/>
      <c r="FZ380" s="1"/>
      <c r="GA380" s="1"/>
      <c r="GB380" s="1"/>
      <c r="GC380" s="1"/>
      <c r="GD380" s="1"/>
      <c r="GE380" s="1"/>
      <c r="GF380" s="1"/>
      <c r="GG380" s="1"/>
      <c r="GH380" s="1"/>
      <c r="GI380" s="1"/>
      <c r="GJ380" s="1"/>
      <c r="GK380" s="1"/>
      <c r="GL380" s="1"/>
      <c r="GM380" s="1"/>
      <c r="GN380" s="1"/>
      <c r="GO380" s="1"/>
      <c r="GP380" s="1"/>
      <c r="GQ380" s="1"/>
      <c r="GR380" s="1"/>
      <c r="GS380" s="1"/>
      <c r="GT380" s="1"/>
      <c r="GU380" s="1"/>
      <c r="GV380" s="1"/>
      <c r="GW380" s="1"/>
      <c r="GX380" s="1"/>
      <c r="GY380" s="1"/>
      <c r="GZ380" s="1"/>
      <c r="HA380" s="1"/>
      <c r="HB380" s="1"/>
      <c r="HC380" s="1"/>
      <c r="HD380" s="1"/>
      <c r="HE380" s="1"/>
      <c r="HF380" s="1"/>
      <c r="HG380" s="1"/>
      <c r="HH380" s="1"/>
      <c r="HI380" s="1"/>
      <c r="HJ380" s="1"/>
      <c r="HK380" s="1"/>
      <c r="HL380" s="1"/>
      <c r="HM380" s="1"/>
      <c r="HN380" s="1"/>
      <c r="HO380" s="1"/>
      <c r="HP380" s="1"/>
      <c r="HQ380" s="1"/>
      <c r="HR380" s="1"/>
      <c r="HS380" s="1"/>
      <c r="HT380" s="1"/>
      <c r="HU380" s="1"/>
      <c r="HV380" s="1"/>
      <c r="HW380" s="1"/>
      <c r="HX380" s="1"/>
      <c r="HY380" s="1"/>
      <c r="HZ380" s="1"/>
      <c r="IA380" s="1"/>
      <c r="IB380" s="1"/>
      <c r="IC380" s="1"/>
      <c r="ID380" s="1"/>
      <c r="IE380" s="1"/>
      <c r="IF380" s="1"/>
      <c r="IG380" s="1"/>
      <c r="IH380" s="1"/>
      <c r="II380" s="1"/>
      <c r="IJ380" s="1"/>
      <c r="IK380" s="1"/>
      <c r="IL380" s="1"/>
      <c r="IM380" s="1"/>
      <c r="IN380" s="1"/>
      <c r="IO380" s="1"/>
      <c r="IP380" s="1"/>
      <c r="IQ380" s="1"/>
      <c r="IR380" s="1"/>
      <c r="IS380" s="1"/>
      <c r="IT380" s="1"/>
      <c r="IU380" s="1"/>
      <c r="IV380" s="1"/>
      <c r="IW380" s="1"/>
      <c r="IX380" s="1"/>
      <c r="IY380" s="1"/>
      <c r="IZ380" s="1"/>
      <c r="JA380" s="1"/>
      <c r="JB380" s="1"/>
      <c r="JC380" s="1"/>
      <c r="JD380" s="1"/>
    </row>
    <row r="381" spans="1:264" s="347" customFormat="1" x14ac:dyDescent="0.2">
      <c r="A381" s="347" t="s">
        <v>322</v>
      </c>
      <c r="B381" s="348"/>
      <c r="BH381" s="351">
        <f>BH267</f>
        <v>-6434</v>
      </c>
      <c r="BI381" s="351">
        <f>BI267</f>
        <v>-6141</v>
      </c>
      <c r="BJ381" s="351">
        <f>BI381</f>
        <v>-6141</v>
      </c>
      <c r="BK381" s="348"/>
      <c r="BL381" s="351">
        <f>BL267</f>
        <v>-5822</v>
      </c>
      <c r="BM381" s="351">
        <f>BM267</f>
        <v>-5359</v>
      </c>
      <c r="BN381" s="351">
        <f>BM381</f>
        <v>-5359</v>
      </c>
      <c r="BO381" s="348"/>
      <c r="BP381" s="351">
        <f>BP267</f>
        <v>-5363</v>
      </c>
      <c r="BQ381" s="351">
        <f>BQ267</f>
        <v>-4997</v>
      </c>
      <c r="BR381" s="351">
        <f>BQ381</f>
        <v>-4997</v>
      </c>
      <c r="BS381" s="393">
        <f t="shared" si="361"/>
        <v>-6.7549916029109869E-2</v>
      </c>
      <c r="BT381" s="351">
        <f>BT267</f>
        <v>-4972</v>
      </c>
      <c r="BU381" s="351">
        <f>BU267</f>
        <v>-4945</v>
      </c>
      <c r="BV381" s="351">
        <f>BU381</f>
        <v>-4945</v>
      </c>
      <c r="BW381" s="393">
        <f t="shared" si="362"/>
        <v>-1.0406243746247767E-2</v>
      </c>
      <c r="BX381" s="351">
        <f>BX267</f>
        <v>-4940</v>
      </c>
      <c r="BY381" s="351">
        <f>BY267</f>
        <v>-4811</v>
      </c>
      <c r="BZ381" s="351">
        <f>BY381</f>
        <v>-4811</v>
      </c>
      <c r="CA381" s="393">
        <f t="shared" si="363"/>
        <v>-2.7098078867543007E-2</v>
      </c>
      <c r="CB381" s="351">
        <f>CB267</f>
        <v>-4807</v>
      </c>
      <c r="CC381" s="351">
        <f>CC267</f>
        <v>-4692</v>
      </c>
      <c r="CD381" s="351">
        <f>CC381</f>
        <v>-4692</v>
      </c>
      <c r="CE381" s="393">
        <f t="shared" si="364"/>
        <v>-2.4734982332155431E-2</v>
      </c>
      <c r="CF381" s="351">
        <f>CF267</f>
        <v>-5953</v>
      </c>
      <c r="CG381" s="351">
        <f>CG267</f>
        <v>-5924</v>
      </c>
      <c r="CH381" s="351">
        <f>CG381</f>
        <v>-5924</v>
      </c>
      <c r="CI381" s="393">
        <f t="shared" si="365"/>
        <v>0.26257459505541347</v>
      </c>
      <c r="CJ381" s="351">
        <f>CJ267</f>
        <v>-6006</v>
      </c>
      <c r="CK381" s="351">
        <f>CK267</f>
        <v>-7247</v>
      </c>
      <c r="CL381" s="351">
        <f>CK381</f>
        <v>-7247</v>
      </c>
      <c r="CN381" s="351">
        <f>CN267</f>
        <v>-7667</v>
      </c>
      <c r="CO381" s="351">
        <f>CO267</f>
        <v>-7021</v>
      </c>
      <c r="CP381" s="351">
        <f>CO381</f>
        <v>-7021</v>
      </c>
      <c r="CR381" s="351">
        <f>CR267</f>
        <v>-6659</v>
      </c>
      <c r="CS381" s="351">
        <f>CS267</f>
        <v>-6226</v>
      </c>
      <c r="CT381" s="351">
        <f>CS381</f>
        <v>-6226</v>
      </c>
      <c r="CV381" s="351">
        <f>CV267</f>
        <v>-6648</v>
      </c>
      <c r="CW381" s="351">
        <f>CW267</f>
        <v>-7328</v>
      </c>
      <c r="CX381" s="351">
        <f>CW381</f>
        <v>-7328</v>
      </c>
      <c r="CZ381" s="351">
        <f>CZ267</f>
        <v>-7673</v>
      </c>
      <c r="DA381" s="351">
        <f>DA267</f>
        <v>-7961</v>
      </c>
      <c r="DB381" s="351">
        <f>DA381</f>
        <v>-7961</v>
      </c>
      <c r="DD381" s="351">
        <f>DD267</f>
        <v>-8178</v>
      </c>
      <c r="DE381" s="351">
        <f>DE267</f>
        <v>-8331</v>
      </c>
      <c r="DF381" s="351">
        <f>DE381</f>
        <v>-8331</v>
      </c>
      <c r="DH381" s="351">
        <f>DH267</f>
        <v>-8297</v>
      </c>
      <c r="DI381" s="351">
        <f ca="1">DI267</f>
        <v>-8441.6345360018568</v>
      </c>
      <c r="DJ381" s="351">
        <f ca="1">DI381</f>
        <v>-8441.6345360018568</v>
      </c>
      <c r="DL381" s="351">
        <f ca="1">DL267</f>
        <v>-8547.9944079777506</v>
      </c>
      <c r="DM381" s="351">
        <f ca="1">DM267</f>
        <v>-8705.5889902243944</v>
      </c>
      <c r="DN381" s="351">
        <f ca="1">DM381</f>
        <v>-8705.5889902243944</v>
      </c>
      <c r="DP381" s="351">
        <f ca="1">DP267</f>
        <v>-8919.4564641363286</v>
      </c>
      <c r="DQ381" s="351">
        <f ca="1">DQ267</f>
        <v>-9180.8210178334648</v>
      </c>
      <c r="DR381" s="351">
        <f ca="1">DQ381</f>
        <v>-9180.8210178334648</v>
      </c>
      <c r="DT381" s="1"/>
      <c r="DU381" s="1"/>
      <c r="DV381" s="1"/>
      <c r="DW381" s="1"/>
      <c r="DX381" s="1"/>
      <c r="DY381" s="1"/>
      <c r="DZ381" s="1"/>
      <c r="EA381" s="1"/>
      <c r="EB381" s="1"/>
      <c r="EC381" s="1"/>
      <c r="ED381" s="1"/>
      <c r="EE381" s="1"/>
      <c r="EF381" s="1"/>
      <c r="EG381" s="1"/>
      <c r="EH381" s="1"/>
      <c r="EI381" s="1"/>
      <c r="EJ381" s="1"/>
      <c r="EK381" s="1"/>
      <c r="EL381" s="1"/>
      <c r="EM381" s="1"/>
      <c r="EN381" s="1"/>
      <c r="EO381" s="1"/>
      <c r="EP381" s="1"/>
      <c r="EQ381" s="1"/>
      <c r="ER381" s="1"/>
      <c r="ES381" s="1"/>
      <c r="ET381" s="1"/>
      <c r="EU381" s="1"/>
      <c r="EV381" s="1"/>
      <c r="EW381" s="1"/>
      <c r="EX381" s="1"/>
      <c r="EY381" s="1"/>
      <c r="EZ381" s="1"/>
      <c r="FA381" s="1"/>
      <c r="FB381" s="1"/>
      <c r="FC381" s="1"/>
      <c r="FD381" s="1"/>
      <c r="FE381" s="1"/>
      <c r="FF381" s="1"/>
      <c r="FG381" s="1"/>
      <c r="FH381" s="1"/>
      <c r="FI381" s="1"/>
      <c r="FJ381" s="1"/>
      <c r="FK381" s="1"/>
      <c r="FL381" s="1"/>
      <c r="FM381" s="1"/>
      <c r="FN381" s="1"/>
      <c r="FO381" s="1"/>
      <c r="FP381" s="1"/>
      <c r="FQ381" s="1"/>
      <c r="FR381" s="1"/>
      <c r="FS381" s="1"/>
      <c r="FT381" s="1"/>
      <c r="FU381" s="1"/>
      <c r="FV381" s="1"/>
      <c r="FW381" s="1"/>
      <c r="FX381" s="1"/>
      <c r="FY381" s="1"/>
      <c r="FZ381" s="1"/>
      <c r="GA381" s="1"/>
      <c r="GB381" s="1"/>
      <c r="GC381" s="1"/>
      <c r="GD381" s="1"/>
      <c r="GE381" s="1"/>
      <c r="GF381" s="1"/>
      <c r="GG381" s="1"/>
      <c r="GH381" s="1"/>
      <c r="GI381" s="1"/>
      <c r="GJ381" s="1"/>
      <c r="GK381" s="1"/>
      <c r="GL381" s="1"/>
      <c r="GM381" s="1"/>
      <c r="GN381" s="1"/>
      <c r="GO381" s="1"/>
      <c r="GP381" s="1"/>
      <c r="GQ381" s="1"/>
      <c r="GR381" s="1"/>
      <c r="GS381" s="1"/>
      <c r="GT381" s="1"/>
      <c r="GU381" s="1"/>
      <c r="GV381" s="1"/>
      <c r="GW381" s="1"/>
      <c r="GX381" s="1"/>
      <c r="GY381" s="1"/>
      <c r="GZ381" s="1"/>
      <c r="HA381" s="1"/>
      <c r="HB381" s="1"/>
      <c r="HC381" s="1"/>
      <c r="HD381" s="1"/>
      <c r="HE381" s="1"/>
      <c r="HF381" s="1"/>
      <c r="HG381" s="1"/>
      <c r="HH381" s="1"/>
      <c r="HI381" s="1"/>
      <c r="HJ381" s="1"/>
      <c r="HK381" s="1"/>
      <c r="HL381" s="1"/>
      <c r="HM381" s="1"/>
      <c r="HN381" s="1"/>
      <c r="HO381" s="1"/>
      <c r="HP381" s="1"/>
      <c r="HQ381" s="1"/>
      <c r="HR381" s="1"/>
      <c r="HS381" s="1"/>
      <c r="HT381" s="1"/>
      <c r="HU381" s="1"/>
      <c r="HV381" s="1"/>
      <c r="HW381" s="1"/>
      <c r="HX381" s="1"/>
      <c r="HY381" s="1"/>
      <c r="HZ381" s="1"/>
      <c r="IA381" s="1"/>
      <c r="IB381" s="1"/>
      <c r="IC381" s="1"/>
      <c r="ID381" s="1"/>
      <c r="IE381" s="1"/>
      <c r="IF381" s="1"/>
      <c r="IG381" s="1"/>
      <c r="IH381" s="1"/>
      <c r="II381" s="1"/>
      <c r="IJ381" s="1"/>
      <c r="IK381" s="1"/>
      <c r="IL381" s="1"/>
      <c r="IM381" s="1"/>
      <c r="IN381" s="1"/>
      <c r="IO381" s="1"/>
      <c r="IP381" s="1"/>
      <c r="IQ381" s="1"/>
      <c r="IR381" s="1"/>
      <c r="IS381" s="1"/>
      <c r="IT381" s="1"/>
      <c r="IU381" s="1"/>
      <c r="IV381" s="1"/>
      <c r="IW381" s="1"/>
      <c r="IX381" s="1"/>
      <c r="IY381" s="1"/>
      <c r="IZ381" s="1"/>
      <c r="JA381" s="1"/>
      <c r="JB381" s="1"/>
      <c r="JC381" s="1"/>
      <c r="JD381" s="1"/>
    </row>
    <row r="382" spans="1:264" s="347" customFormat="1" x14ac:dyDescent="0.2">
      <c r="A382" s="411" t="s">
        <v>348</v>
      </c>
      <c r="B382" s="348"/>
      <c r="BH382" s="397">
        <f>SUM(BH380:BH381)</f>
        <v>534627</v>
      </c>
      <c r="BI382" s="397">
        <f>SUM(BI380:BI381)</f>
        <v>556617</v>
      </c>
      <c r="BJ382" s="397">
        <f>SUM(BJ380:BJ381)</f>
        <v>556617</v>
      </c>
      <c r="BK382" s="348"/>
      <c r="BL382" s="397">
        <f>SUM(BL380:BL381)</f>
        <v>581146</v>
      </c>
      <c r="BM382" s="397">
        <f>SUM(BM380:BM381)</f>
        <v>597741</v>
      </c>
      <c r="BN382" s="397">
        <f>SUM(BN380:BN381)</f>
        <v>597741</v>
      </c>
      <c r="BO382" s="348"/>
      <c r="BP382" s="397">
        <f>SUM(BP380:BP381)</f>
        <v>620309</v>
      </c>
      <c r="BQ382" s="397">
        <f>SUM(BQ380:BQ381)</f>
        <v>639231</v>
      </c>
      <c r="BR382" s="397">
        <f>SUM(BR380:BR381)</f>
        <v>639231</v>
      </c>
      <c r="BS382" s="428">
        <f t="shared" si="361"/>
        <v>6.9411333671272279E-2</v>
      </c>
      <c r="BT382" s="397">
        <f>SUM(BT380:BT381)</f>
        <v>669116</v>
      </c>
      <c r="BU382" s="397">
        <f>SUM(BU380:BU381)</f>
        <v>695354</v>
      </c>
      <c r="BV382" s="397">
        <f>SUM(BV380:BV381)</f>
        <v>695354</v>
      </c>
      <c r="BW382" s="428">
        <f t="shared" si="362"/>
        <v>8.779768190216064E-2</v>
      </c>
      <c r="BX382" s="397">
        <f>SUM(BX380:BX381)</f>
        <v>712870</v>
      </c>
      <c r="BY382" s="397">
        <f>SUM(BY380:BY381)</f>
        <v>731728</v>
      </c>
      <c r="BZ382" s="397">
        <f>SUM(BZ380:BZ381)</f>
        <v>731728</v>
      </c>
      <c r="CA382" s="428">
        <f t="shared" si="363"/>
        <v>5.2310046393635456E-2</v>
      </c>
      <c r="CB382" s="397">
        <f>SUM(CB380:CB381)</f>
        <v>736289</v>
      </c>
      <c r="CC382" s="397">
        <f>SUM(CC380:CC381)</f>
        <v>743337</v>
      </c>
      <c r="CD382" s="397">
        <f>SUM(CD380:CD381)</f>
        <v>743337</v>
      </c>
      <c r="CE382" s="428">
        <f t="shared" si="364"/>
        <v>1.5865184877440708E-2</v>
      </c>
      <c r="CF382" s="397">
        <f>SUM(CF380:CF381)</f>
        <v>753457</v>
      </c>
      <c r="CG382" s="397">
        <f>SUM(CG380:CG381)</f>
        <v>755089</v>
      </c>
      <c r="CH382" s="397">
        <f>SUM(CH380:CH381)</f>
        <v>755089</v>
      </c>
      <c r="CI382" s="428">
        <f t="shared" si="365"/>
        <v>1.5809787485353111E-2</v>
      </c>
      <c r="CJ382" s="397">
        <f>SUM(CJ380:CJ381)</f>
        <v>765377</v>
      </c>
      <c r="CK382" s="397">
        <f>SUM(CK380:CK381)</f>
        <v>772861</v>
      </c>
      <c r="CL382" s="397">
        <f>SUM(CL380:CL381)</f>
        <v>772861</v>
      </c>
      <c r="CN382" s="397">
        <f>SUM(CN380:CN381)</f>
        <v>786806</v>
      </c>
      <c r="CO382" s="397">
        <f>SUM(CO380:CO381)</f>
        <v>811245</v>
      </c>
      <c r="CP382" s="397">
        <f>SUM(CP380:CP381)</f>
        <v>811245</v>
      </c>
      <c r="CR382" s="397">
        <f>SUM(CR380:CR381)</f>
        <v>843850</v>
      </c>
      <c r="CS382" s="397">
        <f>SUM(CS380:CS381)</f>
        <v>878737</v>
      </c>
      <c r="CT382" s="397">
        <f>SUM(CT380:CT381)</f>
        <v>878737</v>
      </c>
      <c r="CV382" s="397">
        <f>SUM(CV380:CV381)</f>
        <v>906187</v>
      </c>
      <c r="CW382" s="397">
        <f>SUM(CW380:CW381)</f>
        <v>925923</v>
      </c>
      <c r="CX382" s="397">
        <f>SUM(CX380:CX381)</f>
        <v>925923</v>
      </c>
      <c r="CZ382" s="397">
        <f>SUM(CZ380:CZ381)</f>
        <v>921134</v>
      </c>
      <c r="DA382" s="397">
        <f>SUM(DA380:DA381)</f>
        <v>941987</v>
      </c>
      <c r="DB382" s="397">
        <f>SUM(DB380:DB381)</f>
        <v>941987</v>
      </c>
      <c r="DD382" s="397">
        <f>SUM(DD380:DD381)</f>
        <v>969206</v>
      </c>
      <c r="DE382" s="397">
        <f>SUM(DE380:DE381)</f>
        <v>1007552</v>
      </c>
      <c r="DF382" s="397">
        <f>SUM(DF380:DF381)</f>
        <v>1007552</v>
      </c>
      <c r="DH382" s="397">
        <f>SUM(DH380:DH381)</f>
        <v>1040691</v>
      </c>
      <c r="DI382" s="397">
        <f ca="1">SUM(DI380:DI381)</f>
        <v>1077121.7505135948</v>
      </c>
      <c r="DJ382" s="397">
        <f ca="1">SUM(DJ380:DJ381)</f>
        <v>1077121.7505135948</v>
      </c>
      <c r="DL382" s="397">
        <f ca="1">SUM(DL380:DL381)</f>
        <v>1108859.6217664087</v>
      </c>
      <c r="DM382" s="397">
        <f ca="1">SUM(DM380:DM381)</f>
        <v>1143464.631596294</v>
      </c>
      <c r="DN382" s="397">
        <f ca="1">SUM(DN380:DN381)</f>
        <v>1143464.631596294</v>
      </c>
      <c r="DP382" s="397">
        <f ca="1">SUM(DP380:DP381)</f>
        <v>1170201.0768866639</v>
      </c>
      <c r="DQ382" s="397">
        <f ca="1">SUM(DQ380:DQ381)</f>
        <v>1199560.0442690528</v>
      </c>
      <c r="DR382" s="397">
        <f ca="1">SUM(DR380:DR381)</f>
        <v>1199560.0442690528</v>
      </c>
      <c r="DT382" s="1"/>
      <c r="DU382" s="1"/>
      <c r="DV382" s="1"/>
      <c r="DW382" s="1"/>
      <c r="DX382" s="1"/>
      <c r="DY382" s="1"/>
      <c r="DZ382" s="1"/>
      <c r="EA382" s="1"/>
      <c r="EB382" s="1"/>
      <c r="EC382" s="1"/>
      <c r="ED382" s="1"/>
      <c r="EE382" s="1"/>
      <c r="EF382" s="1"/>
      <c r="EG382" s="1"/>
      <c r="EH382" s="1"/>
      <c r="EI382" s="1"/>
      <c r="EJ382" s="1"/>
      <c r="EK382" s="1"/>
      <c r="EL382" s="1"/>
      <c r="EM382" s="1"/>
      <c r="EN382" s="1"/>
      <c r="EO382" s="1"/>
      <c r="EP382" s="1"/>
      <c r="EQ382" s="1"/>
      <c r="ER382" s="1"/>
      <c r="ES382" s="1"/>
      <c r="ET382" s="1"/>
      <c r="EU382" s="1"/>
      <c r="EV382" s="1"/>
      <c r="EW382" s="1"/>
      <c r="EX382" s="1"/>
      <c r="EY382" s="1"/>
      <c r="EZ382" s="1"/>
      <c r="FA382" s="1"/>
      <c r="FB382" s="1"/>
      <c r="FC382" s="1"/>
      <c r="FD382" s="1"/>
      <c r="FE382" s="1"/>
      <c r="FF382" s="1"/>
      <c r="FG382" s="1"/>
      <c r="FH382" s="1"/>
      <c r="FI382" s="1"/>
      <c r="FJ382" s="1"/>
      <c r="FK382" s="1"/>
      <c r="FL382" s="1"/>
      <c r="FM382" s="1"/>
      <c r="FN382" s="1"/>
      <c r="FO382" s="1"/>
      <c r="FP382" s="1"/>
      <c r="FQ382" s="1"/>
      <c r="FR382" s="1"/>
      <c r="FS382" s="1"/>
      <c r="FT382" s="1"/>
      <c r="FU382" s="1"/>
      <c r="FV382" s="1"/>
      <c r="FW382" s="1"/>
      <c r="FX382" s="1"/>
      <c r="FY382" s="1"/>
      <c r="FZ382" s="1"/>
      <c r="GA382" s="1"/>
      <c r="GB382" s="1"/>
      <c r="GC382" s="1"/>
      <c r="GD382" s="1"/>
      <c r="GE382" s="1"/>
      <c r="GF382" s="1"/>
      <c r="GG382" s="1"/>
      <c r="GH382" s="1"/>
      <c r="GI382" s="1"/>
      <c r="GJ382" s="1"/>
      <c r="GK382" s="1"/>
      <c r="GL382" s="1"/>
      <c r="GM382" s="1"/>
      <c r="GN382" s="1"/>
      <c r="GO382" s="1"/>
      <c r="GP382" s="1"/>
      <c r="GQ382" s="1"/>
      <c r="GR382" s="1"/>
      <c r="GS382" s="1"/>
      <c r="GT382" s="1"/>
      <c r="GU382" s="1"/>
      <c r="GV382" s="1"/>
      <c r="GW382" s="1"/>
      <c r="GX382" s="1"/>
      <c r="GY382" s="1"/>
      <c r="GZ382" s="1"/>
      <c r="HA382" s="1"/>
      <c r="HB382" s="1"/>
      <c r="HC382" s="1"/>
      <c r="HD382" s="1"/>
      <c r="HE382" s="1"/>
      <c r="HF382" s="1"/>
      <c r="HG382" s="1"/>
      <c r="HH382" s="1"/>
      <c r="HI382" s="1"/>
      <c r="HJ382" s="1"/>
      <c r="HK382" s="1"/>
      <c r="HL382" s="1"/>
      <c r="HM382" s="1"/>
      <c r="HN382" s="1"/>
      <c r="HO382" s="1"/>
      <c r="HP382" s="1"/>
      <c r="HQ382" s="1"/>
      <c r="HR382" s="1"/>
      <c r="HS382" s="1"/>
      <c r="HT382" s="1"/>
      <c r="HU382" s="1"/>
      <c r="HV382" s="1"/>
      <c r="HW382" s="1"/>
      <c r="HX382" s="1"/>
      <c r="HY382" s="1"/>
      <c r="HZ382" s="1"/>
      <c r="IA382" s="1"/>
      <c r="IB382" s="1"/>
      <c r="IC382" s="1"/>
      <c r="ID382" s="1"/>
      <c r="IE382" s="1"/>
      <c r="IF382" s="1"/>
      <c r="IG382" s="1"/>
      <c r="IH382" s="1"/>
      <c r="II382" s="1"/>
      <c r="IJ382" s="1"/>
      <c r="IK382" s="1"/>
      <c r="IL382" s="1"/>
      <c r="IM382" s="1"/>
      <c r="IN382" s="1"/>
      <c r="IO382" s="1"/>
      <c r="IP382" s="1"/>
      <c r="IQ382" s="1"/>
      <c r="IR382" s="1"/>
      <c r="IS382" s="1"/>
      <c r="IT382" s="1"/>
      <c r="IU382" s="1"/>
      <c r="IV382" s="1"/>
      <c r="IW382" s="1"/>
      <c r="IX382" s="1"/>
      <c r="IY382" s="1"/>
      <c r="IZ382" s="1"/>
      <c r="JA382" s="1"/>
      <c r="JB382" s="1"/>
      <c r="JC382" s="1"/>
      <c r="JD382" s="1"/>
    </row>
    <row r="383" spans="1:264" s="347" customFormat="1" x14ac:dyDescent="0.2">
      <c r="A383" s="347" t="s">
        <v>287</v>
      </c>
      <c r="B383" s="348"/>
      <c r="BH383" s="351">
        <f>BH186</f>
        <v>8155</v>
      </c>
      <c r="BI383" s="351">
        <f>BI186</f>
        <v>6063</v>
      </c>
      <c r="BJ383" s="351">
        <f>BJ186</f>
        <v>6063</v>
      </c>
      <c r="BK383" s="348"/>
      <c r="BL383" s="351">
        <f>BL186</f>
        <v>4807</v>
      </c>
      <c r="BM383" s="351">
        <f>BM186</f>
        <v>5027</v>
      </c>
      <c r="BN383" s="351">
        <f>BN186</f>
        <v>5027</v>
      </c>
      <c r="BO383" s="348"/>
      <c r="BP383" s="351">
        <f>BP186</f>
        <v>2026</v>
      </c>
      <c r="BQ383" s="351">
        <f>BQ186</f>
        <v>1944</v>
      </c>
      <c r="BR383" s="351">
        <f>BR186</f>
        <v>1944</v>
      </c>
      <c r="BS383" s="393">
        <f t="shared" si="361"/>
        <v>-0.61328824348518007</v>
      </c>
      <c r="BT383" s="351">
        <f>BT186</f>
        <v>1640</v>
      </c>
      <c r="BU383" s="351">
        <f>BU186</f>
        <v>1431</v>
      </c>
      <c r="BV383" s="351">
        <f>BV186</f>
        <v>1431</v>
      </c>
      <c r="BW383" s="393">
        <f t="shared" si="362"/>
        <v>-0.26388888888888884</v>
      </c>
      <c r="BX383" s="351">
        <f>BX186</f>
        <v>1440</v>
      </c>
      <c r="BY383" s="351">
        <f>BY186</f>
        <v>463</v>
      </c>
      <c r="BZ383" s="351">
        <f>BZ186</f>
        <v>463</v>
      </c>
      <c r="CA383" s="393">
        <f t="shared" si="363"/>
        <v>-0.67645003494060096</v>
      </c>
      <c r="CB383" s="351">
        <f>CB186</f>
        <v>222</v>
      </c>
      <c r="CC383" s="351">
        <f>CC186</f>
        <v>379</v>
      </c>
      <c r="CD383" s="351">
        <f>CD186</f>
        <v>379</v>
      </c>
      <c r="CE383" s="393">
        <f t="shared" si="364"/>
        <v>-0.18142548596112307</v>
      </c>
      <c r="CF383" s="351">
        <f>CF186</f>
        <v>53</v>
      </c>
      <c r="CG383" s="351">
        <f>CG186</f>
        <v>0</v>
      </c>
      <c r="CH383" s="351">
        <f>CH186</f>
        <v>0</v>
      </c>
      <c r="CI383" s="393">
        <f t="shared" si="365"/>
        <v>-1</v>
      </c>
      <c r="CJ383" s="351">
        <f>CJ186</f>
        <v>0</v>
      </c>
      <c r="CK383" s="351">
        <f>CK186</f>
        <v>0</v>
      </c>
      <c r="CL383" s="351">
        <f>CL186</f>
        <v>0</v>
      </c>
      <c r="CN383" s="351">
        <f>CN186</f>
        <v>0</v>
      </c>
      <c r="CO383" s="351">
        <f>CO186</f>
        <v>0</v>
      </c>
      <c r="CP383" s="351">
        <f>CP186</f>
        <v>0</v>
      </c>
      <c r="CR383" s="351">
        <f>CR186</f>
        <v>0</v>
      </c>
      <c r="CS383" s="351">
        <f>CS186</f>
        <v>0</v>
      </c>
      <c r="CT383" s="351">
        <f>CT186</f>
        <v>0</v>
      </c>
      <c r="CV383" s="351">
        <f>CV186</f>
        <v>0</v>
      </c>
      <c r="CW383" s="351">
        <f>CW186</f>
        <v>0</v>
      </c>
      <c r="CX383" s="351">
        <f>CX186</f>
        <v>0</v>
      </c>
      <c r="CZ383" s="351">
        <f>CZ186</f>
        <v>0</v>
      </c>
      <c r="DA383" s="351">
        <f>DA186</f>
        <v>0</v>
      </c>
      <c r="DB383" s="351">
        <f>DB186</f>
        <v>0</v>
      </c>
      <c r="DD383" s="351">
        <f>DD186</f>
        <v>0</v>
      </c>
      <c r="DE383" s="351">
        <f>DE186</f>
        <v>0</v>
      </c>
      <c r="DF383" s="351">
        <f>DF186</f>
        <v>0</v>
      </c>
      <c r="DH383" s="351">
        <f>DH186</f>
        <v>0</v>
      </c>
      <c r="DI383" s="351">
        <f>DI186</f>
        <v>0</v>
      </c>
      <c r="DJ383" s="351">
        <f>DJ186</f>
        <v>0</v>
      </c>
      <c r="DL383" s="351">
        <f>DL186</f>
        <v>0</v>
      </c>
      <c r="DM383" s="351">
        <f>DM186</f>
        <v>0</v>
      </c>
      <c r="DN383" s="351">
        <f>DN186</f>
        <v>0</v>
      </c>
      <c r="DP383" s="351">
        <f>DP186</f>
        <v>0</v>
      </c>
      <c r="DQ383" s="351">
        <f>DQ186</f>
        <v>0</v>
      </c>
      <c r="DR383" s="351">
        <f>DR186</f>
        <v>0</v>
      </c>
      <c r="DT383" s="1"/>
      <c r="DU383" s="1"/>
      <c r="DV383" s="1"/>
      <c r="DW383" s="1"/>
      <c r="DX383" s="1"/>
      <c r="DY383" s="1"/>
      <c r="DZ383" s="1"/>
      <c r="EA383" s="1"/>
      <c r="EB383" s="1"/>
      <c r="EC383" s="1"/>
      <c r="ED383" s="1"/>
      <c r="EE383" s="1"/>
      <c r="EF383" s="1"/>
      <c r="EG383" s="1"/>
      <c r="EH383" s="1"/>
      <c r="EI383" s="1"/>
      <c r="EJ383" s="1"/>
      <c r="EK383" s="1"/>
      <c r="EL383" s="1"/>
      <c r="EM383" s="1"/>
      <c r="EN383" s="1"/>
      <c r="EO383" s="1"/>
      <c r="EP383" s="1"/>
      <c r="EQ383" s="1"/>
      <c r="ER383" s="1"/>
      <c r="ES383" s="1"/>
      <c r="ET383" s="1"/>
      <c r="EU383" s="1"/>
      <c r="EV383" s="1"/>
      <c r="EW383" s="1"/>
      <c r="EX383" s="1"/>
      <c r="EY383" s="1"/>
      <c r="EZ383" s="1"/>
      <c r="FA383" s="1"/>
      <c r="FB383" s="1"/>
      <c r="FC383" s="1"/>
      <c r="FD383" s="1"/>
      <c r="FE383" s="1"/>
      <c r="FF383" s="1"/>
      <c r="FG383" s="1"/>
      <c r="FH383" s="1"/>
      <c r="FI383" s="1"/>
      <c r="FJ383" s="1"/>
      <c r="FK383" s="1"/>
      <c r="FL383" s="1"/>
      <c r="FM383" s="1"/>
      <c r="FN383" s="1"/>
      <c r="FO383" s="1"/>
      <c r="FP383" s="1"/>
      <c r="FQ383" s="1"/>
      <c r="FR383" s="1"/>
      <c r="FS383" s="1"/>
      <c r="FT383" s="1"/>
      <c r="FU383" s="1"/>
      <c r="FV383" s="1"/>
      <c r="FW383" s="1"/>
      <c r="FX383" s="1"/>
      <c r="FY383" s="1"/>
      <c r="FZ383" s="1"/>
      <c r="GA383" s="1"/>
      <c r="GB383" s="1"/>
      <c r="GC383" s="1"/>
      <c r="GD383" s="1"/>
      <c r="GE383" s="1"/>
      <c r="GF383" s="1"/>
      <c r="GG383" s="1"/>
      <c r="GH383" s="1"/>
      <c r="GI383" s="1"/>
      <c r="GJ383" s="1"/>
      <c r="GK383" s="1"/>
      <c r="GL383" s="1"/>
      <c r="GM383" s="1"/>
      <c r="GN383" s="1"/>
      <c r="GO383" s="1"/>
      <c r="GP383" s="1"/>
      <c r="GQ383" s="1"/>
      <c r="GR383" s="1"/>
      <c r="GS383" s="1"/>
      <c r="GT383" s="1"/>
      <c r="GU383" s="1"/>
      <c r="GV383" s="1"/>
      <c r="GW383" s="1"/>
      <c r="GX383" s="1"/>
      <c r="GY383" s="1"/>
      <c r="GZ383" s="1"/>
      <c r="HA383" s="1"/>
      <c r="HB383" s="1"/>
      <c r="HC383" s="1"/>
      <c r="HD383" s="1"/>
      <c r="HE383" s="1"/>
      <c r="HF383" s="1"/>
      <c r="HG383" s="1"/>
      <c r="HH383" s="1"/>
      <c r="HI383" s="1"/>
      <c r="HJ383" s="1"/>
      <c r="HK383" s="1"/>
      <c r="HL383" s="1"/>
      <c r="HM383" s="1"/>
      <c r="HN383" s="1"/>
      <c r="HO383" s="1"/>
      <c r="HP383" s="1"/>
      <c r="HQ383" s="1"/>
      <c r="HR383" s="1"/>
      <c r="HS383" s="1"/>
      <c r="HT383" s="1"/>
      <c r="HU383" s="1"/>
      <c r="HV383" s="1"/>
      <c r="HW383" s="1"/>
      <c r="HX383" s="1"/>
      <c r="HY383" s="1"/>
      <c r="HZ383" s="1"/>
      <c r="IA383" s="1"/>
      <c r="IB383" s="1"/>
      <c r="IC383" s="1"/>
      <c r="ID383" s="1"/>
      <c r="IE383" s="1"/>
      <c r="IF383" s="1"/>
      <c r="IG383" s="1"/>
      <c r="IH383" s="1"/>
      <c r="II383" s="1"/>
      <c r="IJ383" s="1"/>
      <c r="IK383" s="1"/>
      <c r="IL383" s="1"/>
      <c r="IM383" s="1"/>
      <c r="IN383" s="1"/>
      <c r="IO383" s="1"/>
      <c r="IP383" s="1"/>
      <c r="IQ383" s="1"/>
      <c r="IR383" s="1"/>
      <c r="IS383" s="1"/>
      <c r="IT383" s="1"/>
      <c r="IU383" s="1"/>
      <c r="IV383" s="1"/>
      <c r="IW383" s="1"/>
      <c r="IX383" s="1"/>
      <c r="IY383" s="1"/>
      <c r="IZ383" s="1"/>
      <c r="JA383" s="1"/>
      <c r="JB383" s="1"/>
      <c r="JC383" s="1"/>
      <c r="JD383" s="1"/>
    </row>
    <row r="384" spans="1:264" s="347" customFormat="1" x14ac:dyDescent="0.2">
      <c r="A384" s="347" t="s">
        <v>349</v>
      </c>
      <c r="B384" s="348"/>
      <c r="BH384" s="398">
        <v>2029</v>
      </c>
      <c r="BI384" s="398">
        <v>2281</v>
      </c>
      <c r="BJ384" s="351">
        <f>BI384</f>
        <v>2281</v>
      </c>
      <c r="BK384" s="348"/>
      <c r="BL384" s="398">
        <v>2220</v>
      </c>
      <c r="BM384" s="398">
        <v>1844</v>
      </c>
      <c r="BN384" s="351">
        <f>BM384</f>
        <v>1844</v>
      </c>
      <c r="BO384" s="348"/>
      <c r="BP384" s="398">
        <v>2102</v>
      </c>
      <c r="BQ384" s="398">
        <v>2637</v>
      </c>
      <c r="BR384" s="351">
        <f>BQ384</f>
        <v>2637</v>
      </c>
      <c r="BS384" s="393">
        <f t="shared" si="361"/>
        <v>0.43004338394793917</v>
      </c>
      <c r="BT384" s="398">
        <v>2673</v>
      </c>
      <c r="BU384" s="398">
        <v>2776</v>
      </c>
      <c r="BV384" s="351">
        <f>BU384</f>
        <v>2776</v>
      </c>
      <c r="BW384" s="393">
        <f t="shared" si="362"/>
        <v>5.2711414486158459E-2</v>
      </c>
      <c r="BX384" s="398">
        <v>2842</v>
      </c>
      <c r="BY384" s="398">
        <v>2778</v>
      </c>
      <c r="BZ384" s="351">
        <f>BY384</f>
        <v>2778</v>
      </c>
      <c r="CA384" s="393">
        <f t="shared" si="363"/>
        <v>7.2046109510082168E-4</v>
      </c>
      <c r="CB384" s="398">
        <v>2750</v>
      </c>
      <c r="CC384" s="398">
        <v>2842</v>
      </c>
      <c r="CD384" s="351">
        <f>CC384</f>
        <v>2842</v>
      </c>
      <c r="CE384" s="393">
        <f t="shared" si="364"/>
        <v>2.3038156947444266E-2</v>
      </c>
      <c r="CF384" s="398">
        <v>2831</v>
      </c>
      <c r="CG384" s="398">
        <v>3001</v>
      </c>
      <c r="CH384" s="351">
        <f>CG384</f>
        <v>3001</v>
      </c>
      <c r="CI384" s="393">
        <f t="shared" si="365"/>
        <v>5.5946516537649593E-2</v>
      </c>
      <c r="CJ384" s="398">
        <v>3054</v>
      </c>
      <c r="CK384" s="398">
        <v>3034</v>
      </c>
      <c r="CL384" s="351">
        <f>CK384</f>
        <v>3034</v>
      </c>
      <c r="CN384" s="398">
        <v>2865</v>
      </c>
      <c r="CO384" s="398">
        <v>3941</v>
      </c>
      <c r="CP384" s="351">
        <f>CO384</f>
        <v>3941</v>
      </c>
      <c r="CR384" s="398">
        <v>5151</v>
      </c>
      <c r="CS384" s="398">
        <v>2801</v>
      </c>
      <c r="CT384" s="351">
        <f>CS384</f>
        <v>2801</v>
      </c>
      <c r="CV384" s="398">
        <v>1840</v>
      </c>
      <c r="CW384" s="398">
        <v>1827</v>
      </c>
      <c r="CX384" s="351">
        <f>CW384</f>
        <v>1827</v>
      </c>
      <c r="CZ384" s="398">
        <v>1774</v>
      </c>
      <c r="DA384" s="398">
        <v>1671</v>
      </c>
      <c r="DB384" s="351">
        <f>DA384</f>
        <v>1671</v>
      </c>
      <c r="DD384" s="398">
        <v>771</v>
      </c>
      <c r="DE384" s="398">
        <v>819</v>
      </c>
      <c r="DF384" s="351">
        <f>DE384</f>
        <v>819</v>
      </c>
      <c r="DH384" s="406">
        <v>819</v>
      </c>
      <c r="DI384" s="351">
        <f>DI411</f>
        <v>839.47499999999991</v>
      </c>
      <c r="DJ384" s="351">
        <f>DI384</f>
        <v>839.47499999999991</v>
      </c>
      <c r="DL384" s="351">
        <f>DL411</f>
        <v>860.46187499999985</v>
      </c>
      <c r="DM384" s="351">
        <f>DM411</f>
        <v>881.97342187499976</v>
      </c>
      <c r="DN384" s="351">
        <f>DM384</f>
        <v>881.97342187499976</v>
      </c>
      <c r="DP384" s="351">
        <f>DP411</f>
        <v>904.02275742187464</v>
      </c>
      <c r="DQ384" s="351">
        <f>DQ411</f>
        <v>926.62332635742143</v>
      </c>
      <c r="DR384" s="351">
        <f>DQ384</f>
        <v>926.62332635742143</v>
      </c>
      <c r="DT384" s="1"/>
      <c r="DU384" s="1"/>
      <c r="DV384" s="1"/>
      <c r="DW384" s="1"/>
      <c r="DX384" s="1"/>
      <c r="DY384" s="1"/>
      <c r="DZ384" s="1"/>
      <c r="EA384" s="1"/>
      <c r="EB384" s="1"/>
      <c r="EC384" s="1"/>
      <c r="ED384" s="1"/>
      <c r="EE384" s="1"/>
      <c r="EF384" s="1"/>
      <c r="EG384" s="1"/>
      <c r="EH384" s="1"/>
      <c r="EI384" s="1"/>
      <c r="EJ384" s="1"/>
      <c r="EK384" s="1"/>
      <c r="EL384" s="1"/>
      <c r="EM384" s="1"/>
      <c r="EN384" s="1"/>
      <c r="EO384" s="1"/>
      <c r="EP384" s="1"/>
      <c r="EQ384" s="1"/>
      <c r="ER384" s="1"/>
      <c r="ES384" s="1"/>
      <c r="ET384" s="1"/>
      <c r="EU384" s="1"/>
      <c r="EV384" s="1"/>
      <c r="EW384" s="1"/>
      <c r="EX384" s="1"/>
      <c r="EY384" s="1"/>
      <c r="EZ384" s="1"/>
      <c r="FA384" s="1"/>
      <c r="FB384" s="1"/>
      <c r="FC384" s="1"/>
      <c r="FD384" s="1"/>
      <c r="FE384" s="1"/>
      <c r="FF384" s="1"/>
      <c r="FG384" s="1"/>
      <c r="FH384" s="1"/>
      <c r="FI384" s="1"/>
      <c r="FJ384" s="1"/>
      <c r="FK384" s="1"/>
      <c r="FL384" s="1"/>
      <c r="FM384" s="1"/>
      <c r="FN384" s="1"/>
      <c r="FO384" s="1"/>
      <c r="FP384" s="1"/>
      <c r="FQ384" s="1"/>
      <c r="FR384" s="1"/>
      <c r="FS384" s="1"/>
      <c r="FT384" s="1"/>
      <c r="FU384" s="1"/>
      <c r="FV384" s="1"/>
      <c r="FW384" s="1"/>
      <c r="FX384" s="1"/>
      <c r="FY384" s="1"/>
      <c r="FZ384" s="1"/>
      <c r="GA384" s="1"/>
      <c r="GB384" s="1"/>
      <c r="GC384" s="1"/>
      <c r="GD384" s="1"/>
      <c r="GE384" s="1"/>
      <c r="GF384" s="1"/>
      <c r="GG384" s="1"/>
      <c r="GH384" s="1"/>
      <c r="GI384" s="1"/>
      <c r="GJ384" s="1"/>
      <c r="GK384" s="1"/>
      <c r="GL384" s="1"/>
      <c r="GM384" s="1"/>
      <c r="GN384" s="1"/>
      <c r="GO384" s="1"/>
      <c r="GP384" s="1"/>
      <c r="GQ384" s="1"/>
      <c r="GR384" s="1"/>
      <c r="GS384" s="1"/>
      <c r="GT384" s="1"/>
      <c r="GU384" s="1"/>
      <c r="GV384" s="1"/>
      <c r="GW384" s="1"/>
      <c r="GX384" s="1"/>
      <c r="GY384" s="1"/>
      <c r="GZ384" s="1"/>
      <c r="HA384" s="1"/>
      <c r="HB384" s="1"/>
      <c r="HC384" s="1"/>
      <c r="HD384" s="1"/>
      <c r="HE384" s="1"/>
      <c r="HF384" s="1"/>
      <c r="HG384" s="1"/>
      <c r="HH384" s="1"/>
      <c r="HI384" s="1"/>
      <c r="HJ384" s="1"/>
      <c r="HK384" s="1"/>
      <c r="HL384" s="1"/>
      <c r="HM384" s="1"/>
      <c r="HN384" s="1"/>
      <c r="HO384" s="1"/>
      <c r="HP384" s="1"/>
      <c r="HQ384" s="1"/>
      <c r="HR384" s="1"/>
      <c r="HS384" s="1"/>
      <c r="HT384" s="1"/>
      <c r="HU384" s="1"/>
      <c r="HV384" s="1"/>
      <c r="HW384" s="1"/>
      <c r="HX384" s="1"/>
      <c r="HY384" s="1"/>
      <c r="HZ384" s="1"/>
      <c r="IA384" s="1"/>
      <c r="IB384" s="1"/>
      <c r="IC384" s="1"/>
      <c r="ID384" s="1"/>
      <c r="IE384" s="1"/>
      <c r="IF384" s="1"/>
      <c r="IG384" s="1"/>
      <c r="IH384" s="1"/>
      <c r="II384" s="1"/>
      <c r="IJ384" s="1"/>
      <c r="IK384" s="1"/>
      <c r="IL384" s="1"/>
      <c r="IM384" s="1"/>
      <c r="IN384" s="1"/>
      <c r="IO384" s="1"/>
      <c r="IP384" s="1"/>
      <c r="IQ384" s="1"/>
      <c r="IR384" s="1"/>
      <c r="IS384" s="1"/>
      <c r="IT384" s="1"/>
      <c r="IU384" s="1"/>
      <c r="IV384" s="1"/>
      <c r="IW384" s="1"/>
      <c r="IX384" s="1"/>
      <c r="IY384" s="1"/>
      <c r="IZ384" s="1"/>
      <c r="JA384" s="1"/>
      <c r="JB384" s="1"/>
      <c r="JC384" s="1"/>
      <c r="JD384" s="1"/>
    </row>
    <row r="385" spans="1:264" s="347" customFormat="1" x14ac:dyDescent="0.2">
      <c r="A385" s="347" t="s">
        <v>350</v>
      </c>
      <c r="B385" s="348"/>
      <c r="BH385" s="398">
        <v>10366</v>
      </c>
      <c r="BI385" s="398">
        <v>10423</v>
      </c>
      <c r="BJ385" s="351">
        <f>BI385</f>
        <v>10423</v>
      </c>
      <c r="BK385" s="348"/>
      <c r="BL385" s="398">
        <v>9942</v>
      </c>
      <c r="BM385" s="398">
        <v>9792</v>
      </c>
      <c r="BN385" s="351">
        <f>BM385</f>
        <v>9792</v>
      </c>
      <c r="BO385" s="348"/>
      <c r="BP385" s="398">
        <v>9881</v>
      </c>
      <c r="BQ385" s="398">
        <v>9970</v>
      </c>
      <c r="BR385" s="351">
        <f>BQ385</f>
        <v>9970</v>
      </c>
      <c r="BS385" s="393">
        <f t="shared" si="361"/>
        <v>1.8178104575163445E-2</v>
      </c>
      <c r="BT385" s="398">
        <v>10018</v>
      </c>
      <c r="BU385" s="398">
        <v>10384</v>
      </c>
      <c r="BV385" s="351">
        <f>BU385</f>
        <v>10384</v>
      </c>
      <c r="BW385" s="393">
        <f t="shared" si="362"/>
        <v>4.1524573721163582E-2</v>
      </c>
      <c r="BX385" s="398">
        <v>8567</v>
      </c>
      <c r="BY385" s="398">
        <v>8588</v>
      </c>
      <c r="BZ385" s="351">
        <f>BY385</f>
        <v>8588</v>
      </c>
      <c r="CA385" s="393">
        <f t="shared" si="363"/>
        <v>-0.17295839753466868</v>
      </c>
      <c r="CB385" s="398">
        <v>9140</v>
      </c>
      <c r="CC385" s="398">
        <v>9090</v>
      </c>
      <c r="CD385" s="351">
        <f>CC385</f>
        <v>9090</v>
      </c>
      <c r="CE385" s="393">
        <f t="shared" si="364"/>
        <v>5.8453656264555232E-2</v>
      </c>
      <c r="CF385" s="398">
        <v>8161</v>
      </c>
      <c r="CG385" s="398">
        <v>7965</v>
      </c>
      <c r="CH385" s="351">
        <f>CG385</f>
        <v>7965</v>
      </c>
      <c r="CI385" s="393">
        <f t="shared" si="365"/>
        <v>-0.12376237623762376</v>
      </c>
      <c r="CJ385" s="398">
        <v>7729</v>
      </c>
      <c r="CK385" s="398">
        <v>6891</v>
      </c>
      <c r="CL385" s="351">
        <f>CK385</f>
        <v>6891</v>
      </c>
      <c r="CN385" s="398">
        <v>6880</v>
      </c>
      <c r="CO385" s="398">
        <v>6942</v>
      </c>
      <c r="CP385" s="351">
        <f>CO385</f>
        <v>6942</v>
      </c>
      <c r="CR385" s="398">
        <v>7073</v>
      </c>
      <c r="CS385" s="398">
        <v>6899</v>
      </c>
      <c r="CT385" s="351">
        <f>CS385</f>
        <v>6899</v>
      </c>
      <c r="CV385" s="398">
        <v>7136</v>
      </c>
      <c r="CW385" s="398">
        <v>7393</v>
      </c>
      <c r="CX385" s="351">
        <f>CW385</f>
        <v>7393</v>
      </c>
      <c r="CZ385" s="398">
        <v>7510</v>
      </c>
      <c r="DA385" s="398">
        <v>7600</v>
      </c>
      <c r="DB385" s="351">
        <f>DA385</f>
        <v>7600</v>
      </c>
      <c r="DD385" s="398">
        <v>7783</v>
      </c>
      <c r="DE385" s="398">
        <v>8082</v>
      </c>
      <c r="DF385" s="351">
        <f>DE385</f>
        <v>8082</v>
      </c>
      <c r="DH385" s="398">
        <v>8296</v>
      </c>
      <c r="DI385" s="351">
        <f>DI421</f>
        <v>8498.554894737299</v>
      </c>
      <c r="DJ385" s="351">
        <f>DI385</f>
        <v>8498.554894737299</v>
      </c>
      <c r="DL385" s="351">
        <f>DL421</f>
        <v>8675.4263979548159</v>
      </c>
      <c r="DM385" s="351">
        <f>DM421</f>
        <v>8838.0358728931587</v>
      </c>
      <c r="DN385" s="351">
        <f>DM385</f>
        <v>8838.0358728931587</v>
      </c>
      <c r="DP385" s="351">
        <f>DP421</f>
        <v>8940.6107961401376</v>
      </c>
      <c r="DQ385" s="351">
        <f>DQ421</f>
        <v>9036.8393534051011</v>
      </c>
      <c r="DR385" s="351">
        <f>DQ385</f>
        <v>9036.8393534051011</v>
      </c>
      <c r="DT385" s="1"/>
      <c r="DU385" s="1"/>
      <c r="DV385" s="1"/>
      <c r="DW385" s="1"/>
      <c r="DX385" s="1"/>
      <c r="DY385" s="1"/>
      <c r="DZ385" s="1"/>
      <c r="EA385" s="1"/>
      <c r="EB385" s="1"/>
      <c r="EC385" s="1"/>
      <c r="ED385" s="1"/>
      <c r="EE385" s="1"/>
      <c r="EF385" s="1"/>
      <c r="EG385" s="1"/>
      <c r="EH385" s="1"/>
      <c r="EI385" s="1"/>
      <c r="EJ385" s="1"/>
      <c r="EK385" s="1"/>
      <c r="EL385" s="1"/>
      <c r="EM385" s="1"/>
      <c r="EN385" s="1"/>
      <c r="EO385" s="1"/>
      <c r="EP385" s="1"/>
      <c r="EQ385" s="1"/>
      <c r="ER385" s="1"/>
      <c r="ES385" s="1"/>
      <c r="ET385" s="1"/>
      <c r="EU385" s="1"/>
      <c r="EV385" s="1"/>
      <c r="EW385" s="1"/>
      <c r="EX385" s="1"/>
      <c r="EY385" s="1"/>
      <c r="EZ385" s="1"/>
      <c r="FA385" s="1"/>
      <c r="FB385" s="1"/>
      <c r="FC385" s="1"/>
      <c r="FD385" s="1"/>
      <c r="FE385" s="1"/>
      <c r="FF385" s="1"/>
      <c r="FG385" s="1"/>
      <c r="FH385" s="1"/>
      <c r="FI385" s="1"/>
      <c r="FJ385" s="1"/>
      <c r="FK385" s="1"/>
      <c r="FL385" s="1"/>
      <c r="FM385" s="1"/>
      <c r="FN385" s="1"/>
      <c r="FO385" s="1"/>
      <c r="FP385" s="1"/>
      <c r="FQ385" s="1"/>
      <c r="FR385" s="1"/>
      <c r="FS385" s="1"/>
      <c r="FT385" s="1"/>
      <c r="FU385" s="1"/>
      <c r="FV385" s="1"/>
      <c r="FW385" s="1"/>
      <c r="FX385" s="1"/>
      <c r="FY385" s="1"/>
      <c r="FZ385" s="1"/>
      <c r="GA385" s="1"/>
      <c r="GB385" s="1"/>
      <c r="GC385" s="1"/>
      <c r="GD385" s="1"/>
      <c r="GE385" s="1"/>
      <c r="GF385" s="1"/>
      <c r="GG385" s="1"/>
      <c r="GH385" s="1"/>
      <c r="GI385" s="1"/>
      <c r="GJ385" s="1"/>
      <c r="GK385" s="1"/>
      <c r="GL385" s="1"/>
      <c r="GM385" s="1"/>
      <c r="GN385" s="1"/>
      <c r="GO385" s="1"/>
      <c r="GP385" s="1"/>
      <c r="GQ385" s="1"/>
      <c r="GR385" s="1"/>
      <c r="GS385" s="1"/>
      <c r="GT385" s="1"/>
      <c r="GU385" s="1"/>
      <c r="GV385" s="1"/>
      <c r="GW385" s="1"/>
      <c r="GX385" s="1"/>
      <c r="GY385" s="1"/>
      <c r="GZ385" s="1"/>
      <c r="HA385" s="1"/>
      <c r="HB385" s="1"/>
      <c r="HC385" s="1"/>
      <c r="HD385" s="1"/>
      <c r="HE385" s="1"/>
      <c r="HF385" s="1"/>
      <c r="HG385" s="1"/>
      <c r="HH385" s="1"/>
      <c r="HI385" s="1"/>
      <c r="HJ385" s="1"/>
      <c r="HK385" s="1"/>
      <c r="HL385" s="1"/>
      <c r="HM385" s="1"/>
      <c r="HN385" s="1"/>
      <c r="HO385" s="1"/>
      <c r="HP385" s="1"/>
      <c r="HQ385" s="1"/>
      <c r="HR385" s="1"/>
      <c r="HS385" s="1"/>
      <c r="HT385" s="1"/>
      <c r="HU385" s="1"/>
      <c r="HV385" s="1"/>
      <c r="HW385" s="1"/>
      <c r="HX385" s="1"/>
      <c r="HY385" s="1"/>
      <c r="HZ385" s="1"/>
      <c r="IA385" s="1"/>
      <c r="IB385" s="1"/>
      <c r="IC385" s="1"/>
      <c r="ID385" s="1"/>
      <c r="IE385" s="1"/>
      <c r="IF385" s="1"/>
      <c r="IG385" s="1"/>
      <c r="IH385" s="1"/>
      <c r="II385" s="1"/>
      <c r="IJ385" s="1"/>
      <c r="IK385" s="1"/>
      <c r="IL385" s="1"/>
      <c r="IM385" s="1"/>
      <c r="IN385" s="1"/>
      <c r="IO385" s="1"/>
      <c r="IP385" s="1"/>
      <c r="IQ385" s="1"/>
      <c r="IR385" s="1"/>
      <c r="IS385" s="1"/>
      <c r="IT385" s="1"/>
      <c r="IU385" s="1"/>
      <c r="IV385" s="1"/>
      <c r="IW385" s="1"/>
      <c r="IX385" s="1"/>
      <c r="IY385" s="1"/>
      <c r="IZ385" s="1"/>
      <c r="JA385" s="1"/>
      <c r="JB385" s="1"/>
      <c r="JC385" s="1"/>
      <c r="JD385" s="1"/>
    </row>
    <row r="386" spans="1:264" s="347" customFormat="1" x14ac:dyDescent="0.2">
      <c r="A386" s="512" t="s">
        <v>351</v>
      </c>
      <c r="B386" s="348"/>
      <c r="BH386" s="351">
        <f>+BH387-BH385-BH384-BH383-BH382</f>
        <v>167006</v>
      </c>
      <c r="BI386" s="351">
        <f>+BI387-BI385-BI384-BI383-BI382</f>
        <v>178473</v>
      </c>
      <c r="BJ386" s="351">
        <f>BI386</f>
        <v>178473</v>
      </c>
      <c r="BK386" s="348"/>
      <c r="BL386" s="351">
        <f>+BL387-BL385-BL384-BL383-BL382</f>
        <v>184186</v>
      </c>
      <c r="BM386" s="351">
        <f>+BM387-BM385-BM384-BM383-BM382</f>
        <v>177047</v>
      </c>
      <c r="BN386" s="351">
        <f>BM386</f>
        <v>177047</v>
      </c>
      <c r="BO386" s="348"/>
      <c r="BP386" s="351">
        <f>+BP387-BP385-BP384-BP383-BP382</f>
        <v>216396</v>
      </c>
      <c r="BQ386" s="351">
        <f>+BQ387-BQ385-BQ384-BQ383-BQ382</f>
        <v>219664</v>
      </c>
      <c r="BR386" s="351">
        <f>BQ386</f>
        <v>219664</v>
      </c>
      <c r="BS386" s="513">
        <f t="shared" si="361"/>
        <v>0.24071009392986054</v>
      </c>
      <c r="BT386" s="351">
        <f>+BT387-BT385-BT384-BT383-BT382</f>
        <v>219628</v>
      </c>
      <c r="BU386" s="351">
        <f>+BU387-BU385-BU384-BU383-BU382</f>
        <v>223133</v>
      </c>
      <c r="BV386" s="351">
        <f>BU386</f>
        <v>223133</v>
      </c>
      <c r="BW386" s="513">
        <f t="shared" si="362"/>
        <v>1.5792300968752171E-2</v>
      </c>
      <c r="BX386" s="351">
        <f>+BX387-BX385-BX384-BX383-BX382</f>
        <v>245944</v>
      </c>
      <c r="BY386" s="351">
        <f>+BY387-BY385-BY384-BY383-BY382</f>
        <v>232761</v>
      </c>
      <c r="BZ386" s="351">
        <f>BY386</f>
        <v>232761</v>
      </c>
      <c r="CA386" s="513">
        <f t="shared" si="363"/>
        <v>4.3149153195627621E-2</v>
      </c>
      <c r="CB386" s="351">
        <f>+CB387-CB385-CB384-CB383-CB382</f>
        <v>213529</v>
      </c>
      <c r="CC386" s="351">
        <f>+CC387-CC385-CC384-CC383-CC382</f>
        <v>219517</v>
      </c>
      <c r="CD386" s="351">
        <f>CC386</f>
        <v>219517</v>
      </c>
      <c r="CE386" s="513">
        <f t="shared" si="364"/>
        <v>-5.6899566508134991E-2</v>
      </c>
      <c r="CF386" s="351">
        <f>+CF387-CF385-CF384-CF383-CF382</f>
        <v>215928</v>
      </c>
      <c r="CG386" s="351">
        <f>+CG387-CG385-CG384-CG383-CG382</f>
        <v>210447</v>
      </c>
      <c r="CH386" s="351">
        <f>CG386</f>
        <v>210447</v>
      </c>
      <c r="CI386" s="513">
        <f t="shared" si="365"/>
        <v>-4.1317984484117387E-2</v>
      </c>
      <c r="CJ386" s="351">
        <f>+CJ387-CJ385-CJ384-CJ383-CJ382</f>
        <v>203708</v>
      </c>
      <c r="CK386" s="351">
        <f>+CK387-CK385-CK384-CK383-CK382</f>
        <v>232685</v>
      </c>
      <c r="CL386" s="351">
        <f>CK386</f>
        <v>232685</v>
      </c>
      <c r="CN386" s="351">
        <f>+CN387-CN385-CN384-CN383-CN382</f>
        <v>262669</v>
      </c>
      <c r="CO386" s="351">
        <f>+CO387-CO385-CO384-CO383-CO382</f>
        <v>269834</v>
      </c>
      <c r="CP386" s="351">
        <f>CO386</f>
        <v>269834</v>
      </c>
      <c r="CR386" s="351">
        <f>+CR387-CR385-CR384-CR383-CR382</f>
        <v>293739</v>
      </c>
      <c r="CS386" s="351">
        <f>+CS387-CS385-CS384-CS383-CS382</f>
        <v>326823</v>
      </c>
      <c r="CT386" s="351">
        <f>CS386</f>
        <v>326823</v>
      </c>
      <c r="CV386" s="351">
        <f>+CV387-CV385-CV384-CV383-CV382</f>
        <v>317018</v>
      </c>
      <c r="CW386" s="351">
        <f>+CW387-CW385-CW384-CW383-CW382</f>
        <v>317280</v>
      </c>
      <c r="CX386" s="351">
        <f>CW386</f>
        <v>317280</v>
      </c>
      <c r="CZ386" s="351">
        <f>+CZ387-CZ385-CZ384-CZ383-CZ382</f>
        <v>345551</v>
      </c>
      <c r="DA386" s="351">
        <f>+DA387-DA385-DA384-DA383-DA382</f>
        <v>302818</v>
      </c>
      <c r="DB386" s="351">
        <f>DA386</f>
        <v>302818</v>
      </c>
      <c r="DD386" s="351">
        <f>+DD387-DD385-DD384-DD383-DD382</f>
        <v>330806</v>
      </c>
      <c r="DE386" s="351">
        <f>+DE387-DE385-DE384-DE383-DE382</f>
        <v>337346</v>
      </c>
      <c r="DF386" s="351">
        <f>DE386</f>
        <v>337346</v>
      </c>
      <c r="DH386" s="351">
        <f>+DH387-DH385-DH384-DH383-DH382</f>
        <v>358922</v>
      </c>
      <c r="DI386" s="351">
        <f>+DI405*DI380</f>
        <v>371436.6430204839</v>
      </c>
      <c r="DJ386" s="351">
        <f>DI386</f>
        <v>371436.6430204839</v>
      </c>
      <c r="DL386" s="351">
        <f>+DL405*DL380</f>
        <v>382332.47321470134</v>
      </c>
      <c r="DM386" s="351">
        <f>+DM405*DM380</f>
        <v>394226.85475272773</v>
      </c>
      <c r="DN386" s="351">
        <f>DM386</f>
        <v>394226.85475272773</v>
      </c>
      <c r="DP386" s="351">
        <f>+DP405*DP380</f>
        <v>403448.18060009828</v>
      </c>
      <c r="DQ386" s="351">
        <f>+DQ405*DQ380</f>
        <v>413583.0808841472</v>
      </c>
      <c r="DR386" s="351">
        <f>DQ386</f>
        <v>413583.0808841472</v>
      </c>
      <c r="DT386" s="1"/>
      <c r="DU386" s="1"/>
      <c r="DV386" s="1"/>
      <c r="DW386" s="1"/>
      <c r="DX386" s="1"/>
      <c r="DY386" s="1"/>
      <c r="DZ386" s="1"/>
      <c r="EA386" s="1"/>
      <c r="EB386" s="1"/>
      <c r="EC386" s="1"/>
      <c r="ED386" s="1"/>
      <c r="EE386" s="1"/>
      <c r="EF386" s="1"/>
      <c r="EG386" s="1"/>
      <c r="EH386" s="1"/>
      <c r="EI386" s="1"/>
      <c r="EJ386" s="1"/>
      <c r="EK386" s="1"/>
      <c r="EL386" s="1"/>
      <c r="EM386" s="1"/>
      <c r="EN386" s="1"/>
      <c r="EO386" s="1"/>
      <c r="EP386" s="1"/>
      <c r="EQ386" s="1"/>
      <c r="ER386" s="1"/>
      <c r="ES386" s="1"/>
      <c r="ET386" s="1"/>
      <c r="EU386" s="1"/>
      <c r="EV386" s="1"/>
      <c r="EW386" s="1"/>
      <c r="EX386" s="1"/>
      <c r="EY386" s="1"/>
      <c r="EZ386" s="1"/>
      <c r="FA386" s="1"/>
      <c r="FB386" s="1"/>
      <c r="FC386" s="1"/>
      <c r="FD386" s="1"/>
      <c r="FE386" s="1"/>
      <c r="FF386" s="1"/>
      <c r="FG386" s="1"/>
      <c r="FH386" s="1"/>
      <c r="FI386" s="1"/>
      <c r="FJ386" s="1"/>
      <c r="FK386" s="1"/>
      <c r="FL386" s="1"/>
      <c r="FM386" s="1"/>
      <c r="FN386" s="1"/>
      <c r="FO386" s="1"/>
      <c r="FP386" s="1"/>
      <c r="FQ386" s="1"/>
      <c r="FR386" s="1"/>
      <c r="FS386" s="1"/>
      <c r="FT386" s="1"/>
      <c r="FU386" s="1"/>
      <c r="FV386" s="1"/>
      <c r="FW386" s="1"/>
      <c r="FX386" s="1"/>
      <c r="FY386" s="1"/>
      <c r="FZ386" s="1"/>
      <c r="GA386" s="1"/>
      <c r="GB386" s="1"/>
      <c r="GC386" s="1"/>
      <c r="GD386" s="1"/>
      <c r="GE386" s="1"/>
      <c r="GF386" s="1"/>
      <c r="GG386" s="1"/>
      <c r="GH386" s="1"/>
      <c r="GI386" s="1"/>
      <c r="GJ386" s="1"/>
      <c r="GK386" s="1"/>
      <c r="GL386" s="1"/>
      <c r="GM386" s="1"/>
      <c r="GN386" s="1"/>
      <c r="GO386" s="1"/>
      <c r="GP386" s="1"/>
      <c r="GQ386" s="1"/>
      <c r="GR386" s="1"/>
      <c r="GS386" s="1"/>
      <c r="GT386" s="1"/>
      <c r="GU386" s="1"/>
      <c r="GV386" s="1"/>
      <c r="GW386" s="1"/>
      <c r="GX386" s="1"/>
      <c r="GY386" s="1"/>
      <c r="GZ386" s="1"/>
      <c r="HA386" s="1"/>
      <c r="HB386" s="1"/>
      <c r="HC386" s="1"/>
      <c r="HD386" s="1"/>
      <c r="HE386" s="1"/>
      <c r="HF386" s="1"/>
      <c r="HG386" s="1"/>
      <c r="HH386" s="1"/>
      <c r="HI386" s="1"/>
      <c r="HJ386" s="1"/>
      <c r="HK386" s="1"/>
      <c r="HL386" s="1"/>
      <c r="HM386" s="1"/>
      <c r="HN386" s="1"/>
      <c r="HO386" s="1"/>
      <c r="HP386" s="1"/>
      <c r="HQ386" s="1"/>
      <c r="HR386" s="1"/>
      <c r="HS386" s="1"/>
      <c r="HT386" s="1"/>
      <c r="HU386" s="1"/>
      <c r="HV386" s="1"/>
      <c r="HW386" s="1"/>
      <c r="HX386" s="1"/>
      <c r="HY386" s="1"/>
      <c r="HZ386" s="1"/>
      <c r="IA386" s="1"/>
      <c r="IB386" s="1"/>
      <c r="IC386" s="1"/>
      <c r="ID386" s="1"/>
      <c r="IE386" s="1"/>
      <c r="IF386" s="1"/>
      <c r="IG386" s="1"/>
      <c r="IH386" s="1"/>
      <c r="II386" s="1"/>
      <c r="IJ386" s="1"/>
      <c r="IK386" s="1"/>
      <c r="IL386" s="1"/>
      <c r="IM386" s="1"/>
      <c r="IN386" s="1"/>
      <c r="IO386" s="1"/>
      <c r="IP386" s="1"/>
      <c r="IQ386" s="1"/>
      <c r="IR386" s="1"/>
      <c r="IS386" s="1"/>
      <c r="IT386" s="1"/>
      <c r="IU386" s="1"/>
      <c r="IV386" s="1"/>
      <c r="IW386" s="1"/>
      <c r="IX386" s="1"/>
      <c r="IY386" s="1"/>
      <c r="IZ386" s="1"/>
      <c r="JA386" s="1"/>
      <c r="JB386" s="1"/>
      <c r="JC386" s="1"/>
      <c r="JD386" s="1"/>
    </row>
    <row r="387" spans="1:264" s="347" customFormat="1" x14ac:dyDescent="0.2">
      <c r="A387" s="411" t="s">
        <v>87</v>
      </c>
      <c r="B387" s="348"/>
      <c r="BH387" s="396">
        <v>722183</v>
      </c>
      <c r="BI387" s="396">
        <v>753857</v>
      </c>
      <c r="BJ387" s="397">
        <f>BI387</f>
        <v>753857</v>
      </c>
      <c r="BK387" s="348"/>
      <c r="BL387" s="396">
        <v>782301</v>
      </c>
      <c r="BM387" s="396">
        <v>791451</v>
      </c>
      <c r="BN387" s="397">
        <f>BM387</f>
        <v>791451</v>
      </c>
      <c r="BO387" s="348"/>
      <c r="BP387" s="396">
        <v>850714</v>
      </c>
      <c r="BQ387" s="396">
        <v>873446</v>
      </c>
      <c r="BR387" s="397">
        <f>BQ387</f>
        <v>873446</v>
      </c>
      <c r="BS387" s="428">
        <f t="shared" si="361"/>
        <v>0.10360085463281998</v>
      </c>
      <c r="BT387" s="396">
        <v>903075</v>
      </c>
      <c r="BU387" s="396">
        <v>933078</v>
      </c>
      <c r="BV387" s="397">
        <f>BU387</f>
        <v>933078</v>
      </c>
      <c r="BW387" s="428">
        <f t="shared" si="362"/>
        <v>6.8272108407388732E-2</v>
      </c>
      <c r="BX387" s="396">
        <v>971663</v>
      </c>
      <c r="BY387" s="396">
        <v>976318</v>
      </c>
      <c r="BZ387" s="397">
        <f>BY387</f>
        <v>976318</v>
      </c>
      <c r="CA387" s="428">
        <f t="shared" si="363"/>
        <v>4.6341249070281476E-2</v>
      </c>
      <c r="CB387" s="396">
        <v>961930</v>
      </c>
      <c r="CC387" s="396">
        <v>975165</v>
      </c>
      <c r="CD387" s="397">
        <f>CC387</f>
        <v>975165</v>
      </c>
      <c r="CE387" s="428">
        <f t="shared" si="364"/>
        <v>-1.18096767651521E-3</v>
      </c>
      <c r="CF387" s="396">
        <v>980430</v>
      </c>
      <c r="CG387" s="396">
        <v>976502</v>
      </c>
      <c r="CH387" s="397">
        <f>CG387</f>
        <v>976502</v>
      </c>
      <c r="CI387" s="428">
        <f t="shared" si="365"/>
        <v>1.3710500274313198E-3</v>
      </c>
      <c r="CJ387" s="396">
        <v>979868</v>
      </c>
      <c r="CK387" s="396">
        <v>1015471</v>
      </c>
      <c r="CL387" s="397">
        <f>CK387</f>
        <v>1015471</v>
      </c>
      <c r="CN387" s="396">
        <v>1059220</v>
      </c>
      <c r="CO387" s="396">
        <v>1091962</v>
      </c>
      <c r="CP387" s="397">
        <f>CO387</f>
        <v>1091962</v>
      </c>
      <c r="CR387" s="396">
        <v>1149813</v>
      </c>
      <c r="CS387" s="396">
        <v>1215260</v>
      </c>
      <c r="CT387" s="397">
        <f>CS387</f>
        <v>1215260</v>
      </c>
      <c r="CV387" s="396">
        <v>1232181</v>
      </c>
      <c r="CW387" s="396">
        <v>1252423</v>
      </c>
      <c r="CX387" s="397">
        <f>CW387</f>
        <v>1252423</v>
      </c>
      <c r="CZ387" s="396">
        <v>1275969</v>
      </c>
      <c r="DA387" s="396">
        <v>1254076</v>
      </c>
      <c r="DB387" s="397">
        <f>DA387</f>
        <v>1254076</v>
      </c>
      <c r="DD387" s="396">
        <v>1308566</v>
      </c>
      <c r="DE387" s="396">
        <v>1353799</v>
      </c>
      <c r="DF387" s="397">
        <f>DE387</f>
        <v>1353799</v>
      </c>
      <c r="DH387" s="396">
        <v>1408728</v>
      </c>
      <c r="DI387" s="397">
        <f ca="1">SUM(DI382:DI386)</f>
        <v>1457896.423428816</v>
      </c>
      <c r="DJ387" s="397">
        <f ca="1">DI387</f>
        <v>1457896.423428816</v>
      </c>
      <c r="DL387" s="397">
        <f ca="1">SUM(DL382:DL386)</f>
        <v>1500727.9832540648</v>
      </c>
      <c r="DM387" s="397">
        <f ca="1">SUM(DM382:DM386)</f>
        <v>1547411.4956437899</v>
      </c>
      <c r="DN387" s="397">
        <f ca="1">DM387</f>
        <v>1547411.4956437899</v>
      </c>
      <c r="DP387" s="397">
        <f ca="1">SUM(DP382:DP386)</f>
        <v>1583493.8910403242</v>
      </c>
      <c r="DQ387" s="397">
        <f ca="1">SUM(DQ382:DQ386)</f>
        <v>1623106.5878329626</v>
      </c>
      <c r="DR387" s="397">
        <f ca="1">DQ387</f>
        <v>1623106.5878329626</v>
      </c>
      <c r="DT387" s="1"/>
      <c r="DU387" s="1"/>
      <c r="DV387" s="1"/>
      <c r="DW387" s="1"/>
      <c r="DX387" s="1"/>
      <c r="DY387" s="1"/>
      <c r="DZ387" s="1"/>
      <c r="EA387" s="1"/>
      <c r="EB387" s="1"/>
      <c r="EC387" s="1"/>
      <c r="ED387" s="1"/>
      <c r="EE387" s="1"/>
      <c r="EF387" s="1"/>
      <c r="EG387" s="1"/>
      <c r="EH387" s="1"/>
      <c r="EI387" s="1"/>
      <c r="EJ387" s="1"/>
      <c r="EK387" s="1"/>
      <c r="EL387" s="1"/>
      <c r="EM387" s="1"/>
      <c r="EN387" s="1"/>
      <c r="EO387" s="1"/>
      <c r="EP387" s="1"/>
      <c r="EQ387" s="1"/>
      <c r="ER387" s="1"/>
      <c r="ES387" s="1"/>
      <c r="ET387" s="1"/>
      <c r="EU387" s="1"/>
      <c r="EV387" s="1"/>
      <c r="EW387" s="1"/>
      <c r="EX387" s="1"/>
      <c r="EY387" s="1"/>
      <c r="EZ387" s="1"/>
      <c r="FA387" s="1"/>
      <c r="FB387" s="1"/>
      <c r="FC387" s="1"/>
      <c r="FD387" s="1"/>
      <c r="FE387" s="1"/>
      <c r="FF387" s="1"/>
      <c r="FG387" s="1"/>
      <c r="FH387" s="1"/>
      <c r="FI387" s="1"/>
      <c r="FJ387" s="1"/>
      <c r="FK387" s="1"/>
      <c r="FL387" s="1"/>
      <c r="FM387" s="1"/>
      <c r="FN387" s="1"/>
      <c r="FO387" s="1"/>
      <c r="FP387" s="1"/>
      <c r="FQ387" s="1"/>
      <c r="FR387" s="1"/>
      <c r="FS387" s="1"/>
      <c r="FT387" s="1"/>
      <c r="FU387" s="1"/>
      <c r="FV387" s="1"/>
      <c r="FW387" s="1"/>
      <c r="FX387" s="1"/>
      <c r="FY387" s="1"/>
      <c r="FZ387" s="1"/>
      <c r="GA387" s="1"/>
      <c r="GB387" s="1"/>
      <c r="GC387" s="1"/>
      <c r="GD387" s="1"/>
      <c r="GE387" s="1"/>
      <c r="GF387" s="1"/>
      <c r="GG387" s="1"/>
      <c r="GH387" s="1"/>
      <c r="GI387" s="1"/>
      <c r="GJ387" s="1"/>
      <c r="GK387" s="1"/>
      <c r="GL387" s="1"/>
      <c r="GM387" s="1"/>
      <c r="GN387" s="1"/>
      <c r="GO387" s="1"/>
      <c r="GP387" s="1"/>
      <c r="GQ387" s="1"/>
      <c r="GR387" s="1"/>
      <c r="GS387" s="1"/>
      <c r="GT387" s="1"/>
      <c r="GU387" s="1"/>
      <c r="GV387" s="1"/>
      <c r="GW387" s="1"/>
      <c r="GX387" s="1"/>
      <c r="GY387" s="1"/>
      <c r="GZ387" s="1"/>
      <c r="HA387" s="1"/>
      <c r="HB387" s="1"/>
      <c r="HC387" s="1"/>
      <c r="HD387" s="1"/>
      <c r="HE387" s="1"/>
      <c r="HF387" s="1"/>
      <c r="HG387" s="1"/>
      <c r="HH387" s="1"/>
      <c r="HI387" s="1"/>
      <c r="HJ387" s="1"/>
      <c r="HK387" s="1"/>
      <c r="HL387" s="1"/>
      <c r="HM387" s="1"/>
      <c r="HN387" s="1"/>
      <c r="HO387" s="1"/>
      <c r="HP387" s="1"/>
      <c r="HQ387" s="1"/>
      <c r="HR387" s="1"/>
      <c r="HS387" s="1"/>
      <c r="HT387" s="1"/>
      <c r="HU387" s="1"/>
      <c r="HV387" s="1"/>
      <c r="HW387" s="1"/>
      <c r="HX387" s="1"/>
      <c r="HY387" s="1"/>
      <c r="HZ387" s="1"/>
      <c r="IA387" s="1"/>
      <c r="IB387" s="1"/>
      <c r="IC387" s="1"/>
      <c r="ID387" s="1"/>
      <c r="IE387" s="1"/>
      <c r="IF387" s="1"/>
      <c r="IG387" s="1"/>
      <c r="IH387" s="1"/>
      <c r="II387" s="1"/>
      <c r="IJ387" s="1"/>
      <c r="IK387" s="1"/>
      <c r="IL387" s="1"/>
      <c r="IM387" s="1"/>
      <c r="IN387" s="1"/>
      <c r="IO387" s="1"/>
      <c r="IP387" s="1"/>
      <c r="IQ387" s="1"/>
      <c r="IR387" s="1"/>
      <c r="IS387" s="1"/>
      <c r="IT387" s="1"/>
      <c r="IU387" s="1"/>
      <c r="IV387" s="1"/>
      <c r="IW387" s="1"/>
      <c r="IX387" s="1"/>
      <c r="IY387" s="1"/>
      <c r="IZ387" s="1"/>
      <c r="JA387" s="1"/>
      <c r="JB387" s="1"/>
      <c r="JC387" s="1"/>
      <c r="JD387" s="1"/>
    </row>
    <row r="388" spans="1:264" s="347" customFormat="1" x14ac:dyDescent="0.2">
      <c r="B388" s="348"/>
      <c r="BH388" s="348"/>
      <c r="BI388" s="348"/>
      <c r="BJ388" s="348"/>
      <c r="BK388" s="348"/>
      <c r="BL388" s="348"/>
      <c r="BM388" s="348"/>
      <c r="BN388" s="348"/>
      <c r="BO388" s="348"/>
      <c r="BP388" s="348"/>
      <c r="BQ388" s="348"/>
      <c r="BR388" s="348"/>
      <c r="BT388" s="348"/>
      <c r="BU388" s="348"/>
      <c r="BV388" s="348"/>
      <c r="BX388" s="348"/>
      <c r="BY388" s="348"/>
      <c r="BZ388" s="348"/>
      <c r="CB388" s="348"/>
      <c r="CC388" s="348"/>
      <c r="CD388" s="348"/>
      <c r="CF388" s="348"/>
      <c r="CG388" s="348"/>
      <c r="CH388" s="348"/>
      <c r="CJ388" s="348"/>
      <c r="CK388" s="348"/>
      <c r="CL388" s="348"/>
      <c r="CN388" s="348"/>
      <c r="CO388" s="348"/>
      <c r="CP388" s="348"/>
      <c r="CR388" s="348"/>
      <c r="CS388" s="348"/>
      <c r="CT388" s="348"/>
      <c r="CV388" s="348"/>
      <c r="CW388" s="348"/>
      <c r="CX388" s="348"/>
      <c r="CZ388" s="348"/>
      <c r="DA388" s="348"/>
      <c r="DB388" s="348"/>
      <c r="DD388" s="348"/>
      <c r="DE388" s="348"/>
      <c r="DF388" s="348"/>
      <c r="DH388" s="348"/>
      <c r="DI388" s="348"/>
      <c r="DJ388" s="348"/>
      <c r="DL388" s="348"/>
      <c r="DM388" s="348"/>
      <c r="DN388" s="348"/>
      <c r="DP388" s="348"/>
      <c r="DQ388" s="348"/>
      <c r="DR388" s="348"/>
      <c r="DT388" s="1"/>
      <c r="DU388" s="1"/>
      <c r="DV388" s="1"/>
      <c r="DW388" s="1"/>
      <c r="DX388" s="1"/>
      <c r="DY388" s="1"/>
      <c r="DZ388" s="1"/>
      <c r="EA388" s="1"/>
      <c r="EB388" s="1"/>
      <c r="EC388" s="1"/>
      <c r="ED388" s="1"/>
      <c r="EE388" s="1"/>
      <c r="EF388" s="1"/>
      <c r="EG388" s="1"/>
      <c r="EH388" s="1"/>
      <c r="EI388" s="1"/>
      <c r="EJ388" s="1"/>
      <c r="EK388" s="1"/>
      <c r="EL388" s="1"/>
      <c r="EM388" s="1"/>
      <c r="EN388" s="1"/>
      <c r="EO388" s="1"/>
      <c r="EP388" s="1"/>
      <c r="EQ388" s="1"/>
      <c r="ER388" s="1"/>
      <c r="ES388" s="1"/>
      <c r="ET388" s="1"/>
      <c r="EU388" s="1"/>
      <c r="EV388" s="1"/>
      <c r="EW388" s="1"/>
      <c r="EX388" s="1"/>
      <c r="EY388" s="1"/>
      <c r="EZ388" s="1"/>
      <c r="FA388" s="1"/>
      <c r="FB388" s="1"/>
      <c r="FC388" s="1"/>
      <c r="FD388" s="1"/>
      <c r="FE388" s="1"/>
      <c r="FF388" s="1"/>
      <c r="FG388" s="1"/>
      <c r="FH388" s="1"/>
      <c r="FI388" s="1"/>
      <c r="FJ388" s="1"/>
      <c r="FK388" s="1"/>
      <c r="FL388" s="1"/>
      <c r="FM388" s="1"/>
      <c r="FN388" s="1"/>
      <c r="FO388" s="1"/>
      <c r="FP388" s="1"/>
      <c r="FQ388" s="1"/>
      <c r="FR388" s="1"/>
      <c r="FS388" s="1"/>
      <c r="FT388" s="1"/>
      <c r="FU388" s="1"/>
      <c r="FV388" s="1"/>
      <c r="FW388" s="1"/>
      <c r="FX388" s="1"/>
      <c r="FY388" s="1"/>
      <c r="FZ388" s="1"/>
      <c r="GA388" s="1"/>
      <c r="GB388" s="1"/>
      <c r="GC388" s="1"/>
      <c r="GD388" s="1"/>
      <c r="GE388" s="1"/>
      <c r="GF388" s="1"/>
      <c r="GG388" s="1"/>
      <c r="GH388" s="1"/>
      <c r="GI388" s="1"/>
      <c r="GJ388" s="1"/>
      <c r="GK388" s="1"/>
      <c r="GL388" s="1"/>
      <c r="GM388" s="1"/>
      <c r="GN388" s="1"/>
      <c r="GO388" s="1"/>
      <c r="GP388" s="1"/>
      <c r="GQ388" s="1"/>
      <c r="GR388" s="1"/>
      <c r="GS388" s="1"/>
      <c r="GT388" s="1"/>
      <c r="GU388" s="1"/>
      <c r="GV388" s="1"/>
      <c r="GW388" s="1"/>
      <c r="GX388" s="1"/>
      <c r="GY388" s="1"/>
      <c r="GZ388" s="1"/>
      <c r="HA388" s="1"/>
      <c r="HB388" s="1"/>
      <c r="HC388" s="1"/>
      <c r="HD388" s="1"/>
      <c r="HE388" s="1"/>
      <c r="HF388" s="1"/>
      <c r="HG388" s="1"/>
      <c r="HH388" s="1"/>
      <c r="HI388" s="1"/>
      <c r="HJ388" s="1"/>
      <c r="HK388" s="1"/>
      <c r="HL388" s="1"/>
      <c r="HM388" s="1"/>
      <c r="HN388" s="1"/>
      <c r="HO388" s="1"/>
      <c r="HP388" s="1"/>
      <c r="HQ388" s="1"/>
      <c r="HR388" s="1"/>
      <c r="HS388" s="1"/>
      <c r="HT388" s="1"/>
      <c r="HU388" s="1"/>
      <c r="HV388" s="1"/>
      <c r="HW388" s="1"/>
      <c r="HX388" s="1"/>
      <c r="HY388" s="1"/>
      <c r="HZ388" s="1"/>
      <c r="IA388" s="1"/>
      <c r="IB388" s="1"/>
      <c r="IC388" s="1"/>
      <c r="ID388" s="1"/>
      <c r="IE388" s="1"/>
      <c r="IF388" s="1"/>
      <c r="IG388" s="1"/>
      <c r="IH388" s="1"/>
      <c r="II388" s="1"/>
      <c r="IJ388" s="1"/>
      <c r="IK388" s="1"/>
      <c r="IL388" s="1"/>
      <c r="IM388" s="1"/>
      <c r="IN388" s="1"/>
      <c r="IO388" s="1"/>
      <c r="IP388" s="1"/>
      <c r="IQ388" s="1"/>
      <c r="IR388" s="1"/>
      <c r="IS388" s="1"/>
      <c r="IT388" s="1"/>
      <c r="IU388" s="1"/>
      <c r="IV388" s="1"/>
      <c r="IW388" s="1"/>
      <c r="IX388" s="1"/>
      <c r="IY388" s="1"/>
      <c r="IZ388" s="1"/>
      <c r="JA388" s="1"/>
      <c r="JB388" s="1"/>
      <c r="JC388" s="1"/>
      <c r="JD388" s="1"/>
    </row>
    <row r="389" spans="1:264" s="347" customFormat="1" x14ac:dyDescent="0.2">
      <c r="A389" s="347" t="s">
        <v>343</v>
      </c>
      <c r="B389" s="348"/>
      <c r="BH389" s="351">
        <f>BH367</f>
        <v>448410</v>
      </c>
      <c r="BI389" s="351">
        <f>BI367</f>
        <v>459429</v>
      </c>
      <c r="BJ389" s="351">
        <f>BI389</f>
        <v>459429</v>
      </c>
      <c r="BK389" s="348"/>
      <c r="BL389" s="351">
        <f>BL367</f>
        <v>485486</v>
      </c>
      <c r="BM389" s="351">
        <f>BM367</f>
        <v>498352</v>
      </c>
      <c r="BN389" s="351">
        <f>BM389</f>
        <v>498352</v>
      </c>
      <c r="BO389" s="348"/>
      <c r="BP389" s="351">
        <f>BP367</f>
        <v>522563</v>
      </c>
      <c r="BQ389" s="351">
        <f>BQ367</f>
        <v>543231</v>
      </c>
      <c r="BR389" s="351">
        <f>BQ389</f>
        <v>543231</v>
      </c>
      <c r="BT389" s="351">
        <f>BT367</f>
        <v>560498</v>
      </c>
      <c r="BU389" s="351">
        <f>BU367</f>
        <v>588045</v>
      </c>
      <c r="BV389" s="351">
        <f>BU389</f>
        <v>588045</v>
      </c>
      <c r="BX389" s="351">
        <f>BX367</f>
        <v>606091</v>
      </c>
      <c r="BY389" s="351">
        <f>BY367</f>
        <v>626655</v>
      </c>
      <c r="BZ389" s="351">
        <f>BY389</f>
        <v>626655</v>
      </c>
      <c r="CB389" s="351">
        <f>CB367</f>
        <v>624897</v>
      </c>
      <c r="CC389" s="351">
        <f>CC367</f>
        <v>622234</v>
      </c>
      <c r="CD389" s="351">
        <f>CC389</f>
        <v>622234</v>
      </c>
      <c r="CF389" s="351">
        <f>CF367</f>
        <v>637010</v>
      </c>
      <c r="CG389" s="351">
        <f>CG367</f>
        <v>636040</v>
      </c>
      <c r="CH389" s="351">
        <f>CG389</f>
        <v>636040</v>
      </c>
      <c r="CJ389" s="351">
        <f>CJ367</f>
        <v>662824</v>
      </c>
      <c r="CK389" s="351">
        <f>CK367</f>
        <v>701999</v>
      </c>
      <c r="CL389" s="351">
        <f>CK389</f>
        <v>701999</v>
      </c>
      <c r="CN389" s="351">
        <f>CN367</f>
        <v>746466</v>
      </c>
      <c r="CO389" s="351">
        <f>CO367</f>
        <v>766381</v>
      </c>
      <c r="CP389" s="351">
        <f>CO389</f>
        <v>766381</v>
      </c>
      <c r="CR389" s="351">
        <f>CR367</f>
        <v>815124</v>
      </c>
      <c r="CS389" s="351">
        <f>CS367</f>
        <v>857586</v>
      </c>
      <c r="CT389" s="351">
        <f>CS389</f>
        <v>857586</v>
      </c>
      <c r="CV389" s="351">
        <f>CV367</f>
        <v>879152</v>
      </c>
      <c r="CW389" s="351">
        <f>CW367</f>
        <v>864995</v>
      </c>
      <c r="CX389" s="351">
        <f>CW389</f>
        <v>864995</v>
      </c>
      <c r="CZ389" s="351">
        <f>CZ367</f>
        <v>873299</v>
      </c>
      <c r="DA389" s="351">
        <f>DA367</f>
        <v>882922</v>
      </c>
      <c r="DB389" s="351">
        <f>DA389</f>
        <v>882922</v>
      </c>
      <c r="DD389" s="351">
        <f>DD367</f>
        <v>902502</v>
      </c>
      <c r="DE389" s="351">
        <f>DE367</f>
        <v>937857</v>
      </c>
      <c r="DF389" s="351">
        <f>DE389</f>
        <v>937857</v>
      </c>
      <c r="DH389" s="351">
        <f>DH367</f>
        <v>982534</v>
      </c>
      <c r="DI389" s="351">
        <f>DI367</f>
        <v>1004962.0753333333</v>
      </c>
      <c r="DJ389" s="351">
        <f t="shared" ref="DJ389:DJ395" si="366">DI389</f>
        <v>1004962.0753333333</v>
      </c>
      <c r="DL389" s="351">
        <f>DL367</f>
        <v>1028984.0659547437</v>
      </c>
      <c r="DM389" s="351">
        <f>DM367</f>
        <v>1053801.8979280083</v>
      </c>
      <c r="DN389" s="351">
        <f t="shared" ref="DN389:DN395" si="367">DM389</f>
        <v>1053801.8979280083</v>
      </c>
      <c r="DP389" s="351">
        <f>DP367</f>
        <v>1078921.489488625</v>
      </c>
      <c r="DQ389" s="351">
        <f>DQ367</f>
        <v>1105045.5975692456</v>
      </c>
      <c r="DR389" s="351">
        <f t="shared" ref="DR389:DR395" si="368">DQ389</f>
        <v>1105045.5975692456</v>
      </c>
      <c r="DT389" s="1"/>
      <c r="DU389" s="1"/>
      <c r="DV389" s="1"/>
      <c r="DW389" s="1"/>
      <c r="DX389" s="1"/>
      <c r="DY389" s="1"/>
      <c r="DZ389" s="1"/>
      <c r="EA389" s="1"/>
      <c r="EB389" s="1"/>
      <c r="EC389" s="1"/>
      <c r="ED389" s="1"/>
      <c r="EE389" s="1"/>
      <c r="EF389" s="1"/>
      <c r="EG389" s="1"/>
      <c r="EH389" s="1"/>
      <c r="EI389" s="1"/>
      <c r="EJ389" s="1"/>
      <c r="EK389" s="1"/>
      <c r="EL389" s="1"/>
      <c r="EM389" s="1"/>
      <c r="EN389" s="1"/>
      <c r="EO389" s="1"/>
      <c r="EP389" s="1"/>
      <c r="EQ389" s="1"/>
      <c r="ER389" s="1"/>
      <c r="ES389" s="1"/>
      <c r="ET389" s="1"/>
      <c r="EU389" s="1"/>
      <c r="EV389" s="1"/>
      <c r="EW389" s="1"/>
      <c r="EX389" s="1"/>
      <c r="EY389" s="1"/>
      <c r="EZ389" s="1"/>
      <c r="FA389" s="1"/>
      <c r="FB389" s="1"/>
      <c r="FC389" s="1"/>
      <c r="FD389" s="1"/>
      <c r="FE389" s="1"/>
      <c r="FF389" s="1"/>
      <c r="FG389" s="1"/>
      <c r="FH389" s="1"/>
      <c r="FI389" s="1"/>
      <c r="FJ389" s="1"/>
      <c r="FK389" s="1"/>
      <c r="FL389" s="1"/>
      <c r="FM389" s="1"/>
      <c r="FN389" s="1"/>
      <c r="FO389" s="1"/>
      <c r="FP389" s="1"/>
      <c r="FQ389" s="1"/>
      <c r="FR389" s="1"/>
      <c r="FS389" s="1"/>
      <c r="FT389" s="1"/>
      <c r="FU389" s="1"/>
      <c r="FV389" s="1"/>
      <c r="FW389" s="1"/>
      <c r="FX389" s="1"/>
      <c r="FY389" s="1"/>
      <c r="FZ389" s="1"/>
      <c r="GA389" s="1"/>
      <c r="GB389" s="1"/>
      <c r="GC389" s="1"/>
      <c r="GD389" s="1"/>
      <c r="GE389" s="1"/>
      <c r="GF389" s="1"/>
      <c r="GG389" s="1"/>
      <c r="GH389" s="1"/>
      <c r="GI389" s="1"/>
      <c r="GJ389" s="1"/>
      <c r="GK389" s="1"/>
      <c r="GL389" s="1"/>
      <c r="GM389" s="1"/>
      <c r="GN389" s="1"/>
      <c r="GO389" s="1"/>
      <c r="GP389" s="1"/>
      <c r="GQ389" s="1"/>
      <c r="GR389" s="1"/>
      <c r="GS389" s="1"/>
      <c r="GT389" s="1"/>
      <c r="GU389" s="1"/>
      <c r="GV389" s="1"/>
      <c r="GW389" s="1"/>
      <c r="GX389" s="1"/>
      <c r="GY389" s="1"/>
      <c r="GZ389" s="1"/>
      <c r="HA389" s="1"/>
      <c r="HB389" s="1"/>
      <c r="HC389" s="1"/>
      <c r="HD389" s="1"/>
      <c r="HE389" s="1"/>
      <c r="HF389" s="1"/>
      <c r="HG389" s="1"/>
      <c r="HH389" s="1"/>
      <c r="HI389" s="1"/>
      <c r="HJ389" s="1"/>
      <c r="HK389" s="1"/>
      <c r="HL389" s="1"/>
      <c r="HM389" s="1"/>
      <c r="HN389" s="1"/>
      <c r="HO389" s="1"/>
      <c r="HP389" s="1"/>
      <c r="HQ389" s="1"/>
      <c r="HR389" s="1"/>
      <c r="HS389" s="1"/>
      <c r="HT389" s="1"/>
      <c r="HU389" s="1"/>
      <c r="HV389" s="1"/>
      <c r="HW389" s="1"/>
      <c r="HX389" s="1"/>
      <c r="HY389" s="1"/>
      <c r="HZ389" s="1"/>
      <c r="IA389" s="1"/>
      <c r="IB389" s="1"/>
      <c r="IC389" s="1"/>
      <c r="ID389" s="1"/>
      <c r="IE389" s="1"/>
      <c r="IF389" s="1"/>
      <c r="IG389" s="1"/>
      <c r="IH389" s="1"/>
      <c r="II389" s="1"/>
      <c r="IJ389" s="1"/>
      <c r="IK389" s="1"/>
      <c r="IL389" s="1"/>
      <c r="IM389" s="1"/>
      <c r="IN389" s="1"/>
      <c r="IO389" s="1"/>
      <c r="IP389" s="1"/>
      <c r="IQ389" s="1"/>
      <c r="IR389" s="1"/>
      <c r="IS389" s="1"/>
      <c r="IT389" s="1"/>
      <c r="IU389" s="1"/>
      <c r="IV389" s="1"/>
      <c r="IW389" s="1"/>
      <c r="IX389" s="1"/>
      <c r="IY389" s="1"/>
      <c r="IZ389" s="1"/>
      <c r="JA389" s="1"/>
      <c r="JB389" s="1"/>
      <c r="JC389" s="1"/>
      <c r="JD389" s="1"/>
    </row>
    <row r="390" spans="1:264" s="347" customFormat="1" x14ac:dyDescent="0.2">
      <c r="A390" s="347" t="s">
        <v>352</v>
      </c>
      <c r="B390" s="348"/>
      <c r="BH390" s="398">
        <v>23479</v>
      </c>
      <c r="BI390" s="398">
        <v>25922</v>
      </c>
      <c r="BJ390" s="351">
        <f t="shared" ref="BJ390:BJ395" si="369">BI390</f>
        <v>25922</v>
      </c>
      <c r="BK390" s="348"/>
      <c r="BL390" s="398">
        <v>29585</v>
      </c>
      <c r="BM390" s="398">
        <v>24978</v>
      </c>
      <c r="BN390" s="351">
        <f t="shared" ref="BN390:BN395" si="370">BM390</f>
        <v>24978</v>
      </c>
      <c r="BO390" s="348"/>
      <c r="BP390" s="398">
        <v>33957</v>
      </c>
      <c r="BQ390" s="398">
        <v>36416</v>
      </c>
      <c r="BR390" s="351">
        <f t="shared" ref="BR390:BR395" si="371">BQ390</f>
        <v>36416</v>
      </c>
      <c r="BT390" s="398">
        <v>35053</v>
      </c>
      <c r="BU390" s="398">
        <v>28771</v>
      </c>
      <c r="BV390" s="351">
        <f t="shared" ref="BV390:BV395" si="372">BU390</f>
        <v>28771</v>
      </c>
      <c r="BX390" s="398">
        <v>34031</v>
      </c>
      <c r="BY390" s="398">
        <v>28432</v>
      </c>
      <c r="BZ390" s="351">
        <f t="shared" ref="BZ390:BZ395" si="373">BY390</f>
        <v>28432</v>
      </c>
      <c r="CB390" s="398">
        <v>24466</v>
      </c>
      <c r="CC390" s="398">
        <v>20899</v>
      </c>
      <c r="CD390" s="351">
        <f t="shared" ref="CD390:CD395" si="374">CC390</f>
        <v>20899</v>
      </c>
      <c r="CF390" s="398">
        <v>22545</v>
      </c>
      <c r="CG390" s="398">
        <v>23370</v>
      </c>
      <c r="CH390" s="351">
        <f t="shared" ref="CH390:CH395" si="375">CG390</f>
        <v>23370</v>
      </c>
      <c r="CJ390" s="398">
        <v>23822</v>
      </c>
      <c r="CK390" s="398">
        <v>14292</v>
      </c>
      <c r="CL390" s="351">
        <f t="shared" ref="CL390:CL395" si="376">CK390</f>
        <v>14292</v>
      </c>
      <c r="CN390" s="398">
        <v>11847</v>
      </c>
      <c r="CO390" s="398">
        <v>19059</v>
      </c>
      <c r="CP390" s="351">
        <f t="shared" ref="CP390:CP395" si="377">CO390</f>
        <v>19059</v>
      </c>
      <c r="CR390" s="398">
        <v>21487</v>
      </c>
      <c r="CS390" s="398">
        <v>26052</v>
      </c>
      <c r="CT390" s="351">
        <f t="shared" ref="CT390:CT395" si="378">CS390</f>
        <v>26052</v>
      </c>
      <c r="CV390" s="398">
        <v>19863</v>
      </c>
      <c r="CW390" s="398">
        <v>21910</v>
      </c>
      <c r="CX390" s="351">
        <f t="shared" ref="CX390:CX395" si="379">CW390</f>
        <v>21910</v>
      </c>
      <c r="CZ390" s="398">
        <v>20544</v>
      </c>
      <c r="DA390" s="398">
        <v>24633</v>
      </c>
      <c r="DB390" s="351">
        <f t="shared" ref="DB390:DB395" si="380">DA390</f>
        <v>24633</v>
      </c>
      <c r="DD390" s="398">
        <v>27599</v>
      </c>
      <c r="DE390" s="398">
        <v>27956</v>
      </c>
      <c r="DF390" s="351">
        <f t="shared" ref="DF390:DF395" si="381">DE390</f>
        <v>27956</v>
      </c>
      <c r="DH390" s="398">
        <v>32982</v>
      </c>
      <c r="DI390" s="351">
        <f>DI443*DI445</f>
        <v>34131.993469616238</v>
      </c>
      <c r="DJ390" s="351">
        <f t="shared" si="366"/>
        <v>34131.993469616238</v>
      </c>
      <c r="DL390" s="351">
        <f>DL443*DL445</f>
        <v>35133.231263525995</v>
      </c>
      <c r="DM390" s="351">
        <f>DM443*DM445</f>
        <v>36226.227769416379</v>
      </c>
      <c r="DN390" s="351">
        <f t="shared" si="367"/>
        <v>36226.227769416379</v>
      </c>
      <c r="DP390" s="351">
        <f>DP443*DP445</f>
        <v>37073.592291786073</v>
      </c>
      <c r="DQ390" s="351">
        <f>DQ443*DQ445</f>
        <v>38004.906842492077</v>
      </c>
      <c r="DR390" s="351">
        <f t="shared" si="368"/>
        <v>38004.906842492077</v>
      </c>
      <c r="DT390" s="1"/>
      <c r="DU390" s="1"/>
      <c r="DV390" s="1"/>
      <c r="DW390" s="1"/>
      <c r="DX390" s="1"/>
      <c r="DY390" s="1"/>
      <c r="DZ390" s="1"/>
      <c r="EA390" s="1"/>
      <c r="EB390" s="1"/>
      <c r="EC390" s="1"/>
      <c r="ED390" s="1"/>
      <c r="EE390" s="1"/>
      <c r="EF390" s="1"/>
      <c r="EG390" s="1"/>
      <c r="EH390" s="1"/>
      <c r="EI390" s="1"/>
      <c r="EJ390" s="1"/>
      <c r="EK390" s="1"/>
      <c r="EL390" s="1"/>
      <c r="EM390" s="1"/>
      <c r="EN390" s="1"/>
      <c r="EO390" s="1"/>
      <c r="EP390" s="1"/>
      <c r="EQ390" s="1"/>
      <c r="ER390" s="1"/>
      <c r="ES390" s="1"/>
      <c r="ET390" s="1"/>
      <c r="EU390" s="1"/>
      <c r="EV390" s="1"/>
      <c r="EW390" s="1"/>
      <c r="EX390" s="1"/>
      <c r="EY390" s="1"/>
      <c r="EZ390" s="1"/>
      <c r="FA390" s="1"/>
      <c r="FB390" s="1"/>
      <c r="FC390" s="1"/>
      <c r="FD390" s="1"/>
      <c r="FE390" s="1"/>
      <c r="FF390" s="1"/>
      <c r="FG390" s="1"/>
      <c r="FH390" s="1"/>
      <c r="FI390" s="1"/>
      <c r="FJ390" s="1"/>
      <c r="FK390" s="1"/>
      <c r="FL390" s="1"/>
      <c r="FM390" s="1"/>
      <c r="FN390" s="1"/>
      <c r="FO390" s="1"/>
      <c r="FP390" s="1"/>
      <c r="FQ390" s="1"/>
      <c r="FR390" s="1"/>
      <c r="FS390" s="1"/>
      <c r="FT390" s="1"/>
      <c r="FU390" s="1"/>
      <c r="FV390" s="1"/>
      <c r="FW390" s="1"/>
      <c r="FX390" s="1"/>
      <c r="FY390" s="1"/>
      <c r="FZ390" s="1"/>
      <c r="GA390" s="1"/>
      <c r="GB390" s="1"/>
      <c r="GC390" s="1"/>
      <c r="GD390" s="1"/>
      <c r="GE390" s="1"/>
      <c r="GF390" s="1"/>
      <c r="GG390" s="1"/>
      <c r="GH390" s="1"/>
      <c r="GI390" s="1"/>
      <c r="GJ390" s="1"/>
      <c r="GK390" s="1"/>
      <c r="GL390" s="1"/>
      <c r="GM390" s="1"/>
      <c r="GN390" s="1"/>
      <c r="GO390" s="1"/>
      <c r="GP390" s="1"/>
      <c r="GQ390" s="1"/>
      <c r="GR390" s="1"/>
      <c r="GS390" s="1"/>
      <c r="GT390" s="1"/>
      <c r="GU390" s="1"/>
      <c r="GV390" s="1"/>
      <c r="GW390" s="1"/>
      <c r="GX390" s="1"/>
      <c r="GY390" s="1"/>
      <c r="GZ390" s="1"/>
      <c r="HA390" s="1"/>
      <c r="HB390" s="1"/>
      <c r="HC390" s="1"/>
      <c r="HD390" s="1"/>
      <c r="HE390" s="1"/>
      <c r="HF390" s="1"/>
      <c r="HG390" s="1"/>
      <c r="HH390" s="1"/>
      <c r="HI390" s="1"/>
      <c r="HJ390" s="1"/>
      <c r="HK390" s="1"/>
      <c r="HL390" s="1"/>
      <c r="HM390" s="1"/>
      <c r="HN390" s="1"/>
      <c r="HO390" s="1"/>
      <c r="HP390" s="1"/>
      <c r="HQ390" s="1"/>
      <c r="HR390" s="1"/>
      <c r="HS390" s="1"/>
      <c r="HT390" s="1"/>
      <c r="HU390" s="1"/>
      <c r="HV390" s="1"/>
      <c r="HW390" s="1"/>
      <c r="HX390" s="1"/>
      <c r="HY390" s="1"/>
      <c r="HZ390" s="1"/>
      <c r="IA390" s="1"/>
      <c r="IB390" s="1"/>
      <c r="IC390" s="1"/>
      <c r="ID390" s="1"/>
      <c r="IE390" s="1"/>
      <c r="IF390" s="1"/>
      <c r="IG390" s="1"/>
      <c r="IH390" s="1"/>
      <c r="II390" s="1"/>
      <c r="IJ390" s="1"/>
      <c r="IK390" s="1"/>
      <c r="IL390" s="1"/>
      <c r="IM390" s="1"/>
      <c r="IN390" s="1"/>
      <c r="IO390" s="1"/>
      <c r="IP390" s="1"/>
      <c r="IQ390" s="1"/>
      <c r="IR390" s="1"/>
      <c r="IS390" s="1"/>
      <c r="IT390" s="1"/>
      <c r="IU390" s="1"/>
      <c r="IV390" s="1"/>
      <c r="IW390" s="1"/>
      <c r="IX390" s="1"/>
      <c r="IY390" s="1"/>
      <c r="IZ390" s="1"/>
      <c r="JA390" s="1"/>
      <c r="JB390" s="1"/>
      <c r="JC390" s="1"/>
      <c r="JD390" s="1"/>
    </row>
    <row r="391" spans="1:264" s="347" customFormat="1" x14ac:dyDescent="0.2">
      <c r="A391" s="347" t="s">
        <v>287</v>
      </c>
      <c r="B391" s="348"/>
      <c r="BH391" s="351">
        <f>BH383</f>
        <v>8155</v>
      </c>
      <c r="BI391" s="351">
        <f>BI383</f>
        <v>6063</v>
      </c>
      <c r="BJ391" s="351">
        <f t="shared" si="369"/>
        <v>6063</v>
      </c>
      <c r="BK391" s="348"/>
      <c r="BL391" s="351">
        <f>BL383</f>
        <v>4807</v>
      </c>
      <c r="BM391" s="351">
        <f>BM383</f>
        <v>5027</v>
      </c>
      <c r="BN391" s="351">
        <f t="shared" si="370"/>
        <v>5027</v>
      </c>
      <c r="BO391" s="348"/>
      <c r="BP391" s="351">
        <f>BP383</f>
        <v>2026</v>
      </c>
      <c r="BQ391" s="351">
        <f>BQ383</f>
        <v>1944</v>
      </c>
      <c r="BR391" s="351">
        <f t="shared" si="371"/>
        <v>1944</v>
      </c>
      <c r="BT391" s="351">
        <f>BT383</f>
        <v>1640</v>
      </c>
      <c r="BU391" s="351">
        <f>BU383</f>
        <v>1431</v>
      </c>
      <c r="BV391" s="351">
        <f t="shared" si="372"/>
        <v>1431</v>
      </c>
      <c r="BX391" s="351">
        <f>BX383</f>
        <v>1440</v>
      </c>
      <c r="BY391" s="351">
        <f>BY383</f>
        <v>463</v>
      </c>
      <c r="BZ391" s="351">
        <f t="shared" si="373"/>
        <v>463</v>
      </c>
      <c r="CB391" s="351">
        <f>CB383</f>
        <v>222</v>
      </c>
      <c r="CC391" s="351">
        <f>CC383</f>
        <v>379</v>
      </c>
      <c r="CD391" s="351">
        <f t="shared" si="374"/>
        <v>379</v>
      </c>
      <c r="CF391" s="351">
        <f>CF383</f>
        <v>53</v>
      </c>
      <c r="CG391" s="351">
        <f>CG383</f>
        <v>0</v>
      </c>
      <c r="CH391" s="351">
        <f t="shared" si="375"/>
        <v>0</v>
      </c>
      <c r="CJ391" s="351">
        <f>CJ383</f>
        <v>0</v>
      </c>
      <c r="CK391" s="351">
        <f>CK383</f>
        <v>0</v>
      </c>
      <c r="CL391" s="351">
        <f t="shared" si="376"/>
        <v>0</v>
      </c>
      <c r="CN391" s="351">
        <f>CN383</f>
        <v>0</v>
      </c>
      <c r="CO391" s="351">
        <f>CO383</f>
        <v>0</v>
      </c>
      <c r="CP391" s="351">
        <f t="shared" si="377"/>
        <v>0</v>
      </c>
      <c r="CR391" s="351">
        <f>CR383</f>
        <v>0</v>
      </c>
      <c r="CS391" s="351">
        <f>CS383</f>
        <v>0</v>
      </c>
      <c r="CT391" s="351">
        <f t="shared" si="378"/>
        <v>0</v>
      </c>
      <c r="CV391" s="351">
        <f>CV383</f>
        <v>0</v>
      </c>
      <c r="CW391" s="351">
        <f>CW383</f>
        <v>0</v>
      </c>
      <c r="CX391" s="351">
        <f t="shared" si="379"/>
        <v>0</v>
      </c>
      <c r="CZ391" s="351">
        <f>CZ383</f>
        <v>0</v>
      </c>
      <c r="DA391" s="351">
        <f>DA383</f>
        <v>0</v>
      </c>
      <c r="DB391" s="351">
        <f t="shared" si="380"/>
        <v>0</v>
      </c>
      <c r="DD391" s="351">
        <f>DD383</f>
        <v>0</v>
      </c>
      <c r="DE391" s="351">
        <f>DE383</f>
        <v>0</v>
      </c>
      <c r="DF391" s="351">
        <f t="shared" si="381"/>
        <v>0</v>
      </c>
      <c r="DH391" s="351">
        <f>DH383</f>
        <v>0</v>
      </c>
      <c r="DI391" s="351">
        <f>DI383</f>
        <v>0</v>
      </c>
      <c r="DJ391" s="351">
        <f t="shared" si="366"/>
        <v>0</v>
      </c>
      <c r="DL391" s="351">
        <f>DL383</f>
        <v>0</v>
      </c>
      <c r="DM391" s="351">
        <f>DM383</f>
        <v>0</v>
      </c>
      <c r="DN391" s="351">
        <f t="shared" si="367"/>
        <v>0</v>
      </c>
      <c r="DP391" s="351">
        <f>DP383</f>
        <v>0</v>
      </c>
      <c r="DQ391" s="351">
        <f>DQ383</f>
        <v>0</v>
      </c>
      <c r="DR391" s="351">
        <f t="shared" si="368"/>
        <v>0</v>
      </c>
      <c r="DT391" s="1"/>
      <c r="DU391" s="1"/>
      <c r="DV391" s="1"/>
      <c r="DW391" s="1"/>
      <c r="DX391" s="1"/>
      <c r="DY391" s="1"/>
      <c r="DZ391" s="1"/>
      <c r="EA391" s="1"/>
      <c r="EB391" s="1"/>
      <c r="EC391" s="1"/>
      <c r="ED391" s="1"/>
      <c r="EE391" s="1"/>
      <c r="EF391" s="1"/>
      <c r="EG391" s="1"/>
      <c r="EH391" s="1"/>
      <c r="EI391" s="1"/>
      <c r="EJ391" s="1"/>
      <c r="EK391" s="1"/>
      <c r="EL391" s="1"/>
      <c r="EM391" s="1"/>
      <c r="EN391" s="1"/>
      <c r="EO391" s="1"/>
      <c r="EP391" s="1"/>
      <c r="EQ391" s="1"/>
      <c r="ER391" s="1"/>
      <c r="ES391" s="1"/>
      <c r="ET391" s="1"/>
      <c r="EU391" s="1"/>
      <c r="EV391" s="1"/>
      <c r="EW391" s="1"/>
      <c r="EX391" s="1"/>
      <c r="EY391" s="1"/>
      <c r="EZ391" s="1"/>
      <c r="FA391" s="1"/>
      <c r="FB391" s="1"/>
      <c r="FC391" s="1"/>
      <c r="FD391" s="1"/>
      <c r="FE391" s="1"/>
      <c r="FF391" s="1"/>
      <c r="FG391" s="1"/>
      <c r="FH391" s="1"/>
      <c r="FI391" s="1"/>
      <c r="FJ391" s="1"/>
      <c r="FK391" s="1"/>
      <c r="FL391" s="1"/>
      <c r="FM391" s="1"/>
      <c r="FN391" s="1"/>
      <c r="FO391" s="1"/>
      <c r="FP391" s="1"/>
      <c r="FQ391" s="1"/>
      <c r="FR391" s="1"/>
      <c r="FS391" s="1"/>
      <c r="FT391" s="1"/>
      <c r="FU391" s="1"/>
      <c r="FV391" s="1"/>
      <c r="FW391" s="1"/>
      <c r="FX391" s="1"/>
      <c r="FY391" s="1"/>
      <c r="FZ391" s="1"/>
      <c r="GA391" s="1"/>
      <c r="GB391" s="1"/>
      <c r="GC391" s="1"/>
      <c r="GD391" s="1"/>
      <c r="GE391" s="1"/>
      <c r="GF391" s="1"/>
      <c r="GG391" s="1"/>
      <c r="GH391" s="1"/>
      <c r="GI391" s="1"/>
      <c r="GJ391" s="1"/>
      <c r="GK391" s="1"/>
      <c r="GL391" s="1"/>
      <c r="GM391" s="1"/>
      <c r="GN391" s="1"/>
      <c r="GO391" s="1"/>
      <c r="GP391" s="1"/>
      <c r="GQ391" s="1"/>
      <c r="GR391" s="1"/>
      <c r="GS391" s="1"/>
      <c r="GT391" s="1"/>
      <c r="GU391" s="1"/>
      <c r="GV391" s="1"/>
      <c r="GW391" s="1"/>
      <c r="GX391" s="1"/>
      <c r="GY391" s="1"/>
      <c r="GZ391" s="1"/>
      <c r="HA391" s="1"/>
      <c r="HB391" s="1"/>
      <c r="HC391" s="1"/>
      <c r="HD391" s="1"/>
      <c r="HE391" s="1"/>
      <c r="HF391" s="1"/>
      <c r="HG391" s="1"/>
      <c r="HH391" s="1"/>
      <c r="HI391" s="1"/>
      <c r="HJ391" s="1"/>
      <c r="HK391" s="1"/>
      <c r="HL391" s="1"/>
      <c r="HM391" s="1"/>
      <c r="HN391" s="1"/>
      <c r="HO391" s="1"/>
      <c r="HP391" s="1"/>
      <c r="HQ391" s="1"/>
      <c r="HR391" s="1"/>
      <c r="HS391" s="1"/>
      <c r="HT391" s="1"/>
      <c r="HU391" s="1"/>
      <c r="HV391" s="1"/>
      <c r="HW391" s="1"/>
      <c r="HX391" s="1"/>
      <c r="HY391" s="1"/>
      <c r="HZ391" s="1"/>
      <c r="IA391" s="1"/>
      <c r="IB391" s="1"/>
      <c r="IC391" s="1"/>
      <c r="ID391" s="1"/>
      <c r="IE391" s="1"/>
      <c r="IF391" s="1"/>
      <c r="IG391" s="1"/>
      <c r="IH391" s="1"/>
      <c r="II391" s="1"/>
      <c r="IJ391" s="1"/>
      <c r="IK391" s="1"/>
      <c r="IL391" s="1"/>
      <c r="IM391" s="1"/>
      <c r="IN391" s="1"/>
      <c r="IO391" s="1"/>
      <c r="IP391" s="1"/>
      <c r="IQ391" s="1"/>
      <c r="IR391" s="1"/>
      <c r="IS391" s="1"/>
      <c r="IT391" s="1"/>
      <c r="IU391" s="1"/>
      <c r="IV391" s="1"/>
      <c r="IW391" s="1"/>
      <c r="IX391" s="1"/>
      <c r="IY391" s="1"/>
      <c r="IZ391" s="1"/>
      <c r="JA391" s="1"/>
      <c r="JB391" s="1"/>
      <c r="JC391" s="1"/>
      <c r="JD391" s="1"/>
    </row>
    <row r="392" spans="1:264" s="347" customFormat="1" x14ac:dyDescent="0.2">
      <c r="A392" s="347" t="s">
        <v>353</v>
      </c>
      <c r="B392" s="408" t="s">
        <v>354</v>
      </c>
      <c r="BH392" s="398">
        <v>119284</v>
      </c>
      <c r="BI392" s="398">
        <v>132808</v>
      </c>
      <c r="BJ392" s="351">
        <f t="shared" si="369"/>
        <v>132808</v>
      </c>
      <c r="BK392" s="348"/>
      <c r="BL392" s="398">
        <v>142675</v>
      </c>
      <c r="BM392" s="398">
        <v>142219</v>
      </c>
      <c r="BN392" s="351">
        <f t="shared" si="370"/>
        <v>142219</v>
      </c>
      <c r="BO392" s="348"/>
      <c r="BP392" s="398">
        <v>153249</v>
      </c>
      <c r="BQ392" s="398">
        <v>154429</v>
      </c>
      <c r="BR392" s="351">
        <f t="shared" si="371"/>
        <v>154429</v>
      </c>
      <c r="BT392" s="398">
        <v>160798</v>
      </c>
      <c r="BU392" s="398">
        <v>161284</v>
      </c>
      <c r="BV392" s="351">
        <f t="shared" si="372"/>
        <v>161284</v>
      </c>
      <c r="BX392" s="398">
        <v>175583</v>
      </c>
      <c r="BY392" s="398">
        <v>167571</v>
      </c>
      <c r="BZ392" s="351">
        <f t="shared" si="373"/>
        <v>167571</v>
      </c>
      <c r="CB392" s="398">
        <v>166510</v>
      </c>
      <c r="CC392" s="398">
        <v>172294</v>
      </c>
      <c r="CD392" s="351">
        <f t="shared" si="374"/>
        <v>172294</v>
      </c>
      <c r="CF392" s="398">
        <v>168904</v>
      </c>
      <c r="CG392" s="398">
        <v>164022</v>
      </c>
      <c r="CH392" s="351">
        <f t="shared" si="375"/>
        <v>164022</v>
      </c>
      <c r="CJ392" s="398">
        <v>153327</v>
      </c>
      <c r="CK392" s="398">
        <v>142503</v>
      </c>
      <c r="CL392" s="351">
        <f t="shared" si="376"/>
        <v>142503</v>
      </c>
      <c r="CN392" s="398">
        <v>122548</v>
      </c>
      <c r="CO392" s="398">
        <v>103003</v>
      </c>
      <c r="CP392" s="351">
        <f t="shared" si="377"/>
        <v>103003</v>
      </c>
      <c r="CR392" s="398">
        <v>117466</v>
      </c>
      <c r="CS392" s="398">
        <v>116902</v>
      </c>
      <c r="CT392" s="351">
        <f t="shared" si="378"/>
        <v>116902</v>
      </c>
      <c r="CV392" s="398">
        <v>118843</v>
      </c>
      <c r="CW392" s="398">
        <v>122267</v>
      </c>
      <c r="CX392" s="351">
        <f t="shared" si="379"/>
        <v>122267</v>
      </c>
      <c r="CZ392" s="398">
        <v>139275</v>
      </c>
      <c r="DA392" s="398">
        <v>144530</v>
      </c>
      <c r="DB392" s="351">
        <f t="shared" si="380"/>
        <v>144530</v>
      </c>
      <c r="DD392" s="398">
        <v>167125</v>
      </c>
      <c r="DE392" s="398">
        <v>170509</v>
      </c>
      <c r="DF392" s="351">
        <f t="shared" si="381"/>
        <v>170509</v>
      </c>
      <c r="DH392" s="398">
        <v>169499</v>
      </c>
      <c r="DI392" s="351">
        <f ca="1">DI396-DI389-DI390-DI391-DI393-DI394-DI395</f>
        <v>188289.94000105123</v>
      </c>
      <c r="DJ392" s="351">
        <f t="shared" ca="1" si="366"/>
        <v>188289.94000105123</v>
      </c>
      <c r="DL392" s="351">
        <f ca="1">DL396-DL389-DL390-DL391-DL393-DL394-DL395</f>
        <v>200405.49281213537</v>
      </c>
      <c r="DM392" s="351">
        <f ca="1">DM396-DM389-DM390-DM391-DM393-DM394-DM395</f>
        <v>214797.86231507274</v>
      </c>
      <c r="DN392" s="351">
        <f t="shared" ca="1" si="367"/>
        <v>214797.86231507274</v>
      </c>
      <c r="DP392" s="351">
        <f ca="1">DP396-DP389-DP390-DP391-DP393-DP394-DP395</f>
        <v>220029.67208531225</v>
      </c>
      <c r="DQ392" s="351">
        <f ca="1">DQ396-DQ389-DQ390-DQ391-DQ393-DQ394-DQ395</f>
        <v>226841.48530978838</v>
      </c>
      <c r="DR392" s="351">
        <f t="shared" ca="1" si="368"/>
        <v>226841.48530978838</v>
      </c>
      <c r="DT392" s="1"/>
      <c r="DU392" s="1"/>
      <c r="DV392" s="1"/>
      <c r="DW392" s="1"/>
      <c r="DX392" s="1"/>
      <c r="DY392" s="1"/>
      <c r="DZ392" s="1"/>
      <c r="EA392" s="1"/>
      <c r="EB392" s="1"/>
      <c r="EC392" s="1"/>
      <c r="ED392" s="1"/>
      <c r="EE392" s="1"/>
      <c r="EF392" s="1"/>
      <c r="EG392" s="1"/>
      <c r="EH392" s="1"/>
      <c r="EI392" s="1"/>
      <c r="EJ392" s="1"/>
      <c r="EK392" s="1"/>
      <c r="EL392" s="1"/>
      <c r="EM392" s="1"/>
      <c r="EN392" s="1"/>
      <c r="EO392" s="1"/>
      <c r="EP392" s="1"/>
      <c r="EQ392" s="1"/>
      <c r="ER392" s="1"/>
      <c r="ES392" s="1"/>
      <c r="ET392" s="1"/>
      <c r="EU392" s="1"/>
      <c r="EV392" s="1"/>
      <c r="EW392" s="1"/>
      <c r="EX392" s="1"/>
      <c r="EY392" s="1"/>
      <c r="EZ392" s="1"/>
      <c r="FA392" s="1"/>
      <c r="FB392" s="1"/>
      <c r="FC392" s="1"/>
      <c r="FD392" s="1"/>
      <c r="FE392" s="1"/>
      <c r="FF392" s="1"/>
      <c r="FG392" s="1"/>
      <c r="FH392" s="1"/>
      <c r="FI392" s="1"/>
      <c r="FJ392" s="1"/>
      <c r="FK392" s="1"/>
      <c r="FL392" s="1"/>
      <c r="FM392" s="1"/>
      <c r="FN392" s="1"/>
      <c r="FO392" s="1"/>
      <c r="FP392" s="1"/>
      <c r="FQ392" s="1"/>
      <c r="FR392" s="1"/>
      <c r="FS392" s="1"/>
      <c r="FT392" s="1"/>
      <c r="FU392" s="1"/>
      <c r="FV392" s="1"/>
      <c r="FW392" s="1"/>
      <c r="FX392" s="1"/>
      <c r="FY392" s="1"/>
      <c r="FZ392" s="1"/>
      <c r="GA392" s="1"/>
      <c r="GB392" s="1"/>
      <c r="GC392" s="1"/>
      <c r="GD392" s="1"/>
      <c r="GE392" s="1"/>
      <c r="GF392" s="1"/>
      <c r="GG392" s="1"/>
      <c r="GH392" s="1"/>
      <c r="GI392" s="1"/>
      <c r="GJ392" s="1"/>
      <c r="GK392" s="1"/>
      <c r="GL392" s="1"/>
      <c r="GM392" s="1"/>
      <c r="GN392" s="1"/>
      <c r="GO392" s="1"/>
      <c r="GP392" s="1"/>
      <c r="GQ392" s="1"/>
      <c r="GR392" s="1"/>
      <c r="GS392" s="1"/>
      <c r="GT392" s="1"/>
      <c r="GU392" s="1"/>
      <c r="GV392" s="1"/>
      <c r="GW392" s="1"/>
      <c r="GX392" s="1"/>
      <c r="GY392" s="1"/>
      <c r="GZ392" s="1"/>
      <c r="HA392" s="1"/>
      <c r="HB392" s="1"/>
      <c r="HC392" s="1"/>
      <c r="HD392" s="1"/>
      <c r="HE392" s="1"/>
      <c r="HF392" s="1"/>
      <c r="HG392" s="1"/>
      <c r="HH392" s="1"/>
      <c r="HI392" s="1"/>
      <c r="HJ392" s="1"/>
      <c r="HK392" s="1"/>
      <c r="HL392" s="1"/>
      <c r="HM392" s="1"/>
      <c r="HN392" s="1"/>
      <c r="HO392" s="1"/>
      <c r="HP392" s="1"/>
      <c r="HQ392" s="1"/>
      <c r="HR392" s="1"/>
      <c r="HS392" s="1"/>
      <c r="HT392" s="1"/>
      <c r="HU392" s="1"/>
      <c r="HV392" s="1"/>
      <c r="HW392" s="1"/>
      <c r="HX392" s="1"/>
      <c r="HY392" s="1"/>
      <c r="HZ392" s="1"/>
      <c r="IA392" s="1"/>
      <c r="IB392" s="1"/>
      <c r="IC392" s="1"/>
      <c r="ID392" s="1"/>
      <c r="IE392" s="1"/>
      <c r="IF392" s="1"/>
      <c r="IG392" s="1"/>
      <c r="IH392" s="1"/>
      <c r="II392" s="1"/>
      <c r="IJ392" s="1"/>
      <c r="IK392" s="1"/>
      <c r="IL392" s="1"/>
      <c r="IM392" s="1"/>
      <c r="IN392" s="1"/>
      <c r="IO392" s="1"/>
      <c r="IP392" s="1"/>
      <c r="IQ392" s="1"/>
      <c r="IR392" s="1"/>
      <c r="IS392" s="1"/>
      <c r="IT392" s="1"/>
      <c r="IU392" s="1"/>
      <c r="IV392" s="1"/>
      <c r="IW392" s="1"/>
      <c r="IX392" s="1"/>
      <c r="IY392" s="1"/>
      <c r="IZ392" s="1"/>
      <c r="JA392" s="1"/>
      <c r="JB392" s="1"/>
      <c r="JC392" s="1"/>
      <c r="JD392" s="1"/>
    </row>
    <row r="393" spans="1:264" s="347" customFormat="1" x14ac:dyDescent="0.2">
      <c r="A393" s="347" t="s">
        <v>355</v>
      </c>
      <c r="B393" s="348"/>
      <c r="BH393" s="398">
        <v>7770</v>
      </c>
      <c r="BI393" s="398">
        <v>9986</v>
      </c>
      <c r="BJ393" s="351">
        <f t="shared" si="369"/>
        <v>9986</v>
      </c>
      <c r="BK393" s="348"/>
      <c r="BL393" s="398">
        <v>8321</v>
      </c>
      <c r="BM393" s="398">
        <v>10369</v>
      </c>
      <c r="BN393" s="351">
        <f t="shared" si="370"/>
        <v>10369</v>
      </c>
      <c r="BO393" s="348"/>
      <c r="BP393" s="398">
        <v>9293</v>
      </c>
      <c r="BQ393" s="398">
        <v>11105</v>
      </c>
      <c r="BR393" s="351">
        <f t="shared" si="371"/>
        <v>11105</v>
      </c>
      <c r="BT393" s="398">
        <v>7959</v>
      </c>
      <c r="BU393" s="398">
        <v>9774</v>
      </c>
      <c r="BV393" s="351">
        <f t="shared" si="372"/>
        <v>9774</v>
      </c>
      <c r="BX393" s="398">
        <v>11600</v>
      </c>
      <c r="BY393" s="398">
        <v>11932</v>
      </c>
      <c r="BZ393" s="351">
        <f t="shared" si="373"/>
        <v>11932</v>
      </c>
      <c r="CB393" s="398">
        <v>8861</v>
      </c>
      <c r="CC393" s="398">
        <v>11625</v>
      </c>
      <c r="CD393" s="351">
        <f t="shared" si="374"/>
        <v>11625</v>
      </c>
      <c r="CF393" s="398">
        <v>8280</v>
      </c>
      <c r="CG393" s="398">
        <v>10068</v>
      </c>
      <c r="CH393" s="351">
        <f t="shared" si="375"/>
        <v>10068</v>
      </c>
      <c r="CJ393" s="398">
        <v>9854</v>
      </c>
      <c r="CK393" s="398">
        <v>13188</v>
      </c>
      <c r="CL393" s="351">
        <f t="shared" si="376"/>
        <v>13188</v>
      </c>
      <c r="CN393" s="398">
        <v>9843</v>
      </c>
      <c r="CO393" s="398">
        <v>12217</v>
      </c>
      <c r="CP393" s="351">
        <f t="shared" si="377"/>
        <v>12217</v>
      </c>
      <c r="CR393" s="398">
        <v>8647</v>
      </c>
      <c r="CS393" s="398">
        <v>12656</v>
      </c>
      <c r="CT393" s="351">
        <f t="shared" si="378"/>
        <v>12656</v>
      </c>
      <c r="CV393" s="398">
        <v>13314</v>
      </c>
      <c r="CW393" s="398">
        <v>15578</v>
      </c>
      <c r="CX393" s="351">
        <f t="shared" si="379"/>
        <v>15578</v>
      </c>
      <c r="CZ393" s="398">
        <v>16686</v>
      </c>
      <c r="DA393" s="398">
        <v>19024</v>
      </c>
      <c r="DB393" s="351">
        <f t="shared" si="380"/>
        <v>19024</v>
      </c>
      <c r="DD393" s="398">
        <v>16950</v>
      </c>
      <c r="DE393" s="398">
        <v>19934</v>
      </c>
      <c r="DF393" s="351">
        <f t="shared" si="381"/>
        <v>19934</v>
      </c>
      <c r="DH393" s="398">
        <v>15888</v>
      </c>
      <c r="DI393" s="351">
        <f>DI443*DI447</f>
        <v>16441.971749598652</v>
      </c>
      <c r="DJ393" s="351">
        <f t="shared" si="366"/>
        <v>16441.971749598652</v>
      </c>
      <c r="DL393" s="351">
        <f>DL443*DL447</f>
        <v>16924.285316684891</v>
      </c>
      <c r="DM393" s="351">
        <f>DM443*DM447</f>
        <v>17450.800642789625</v>
      </c>
      <c r="DN393" s="351">
        <f t="shared" si="367"/>
        <v>17450.800642789625</v>
      </c>
      <c r="DP393" s="351">
        <f>DP443*DP447</f>
        <v>17858.990792914232</v>
      </c>
      <c r="DQ393" s="351">
        <f>DQ443*DQ447</f>
        <v>18307.621124052945</v>
      </c>
      <c r="DR393" s="351">
        <f t="shared" si="368"/>
        <v>18307.621124052945</v>
      </c>
      <c r="DT393" s="1"/>
      <c r="DU393" s="1"/>
      <c r="DV393" s="1"/>
      <c r="DW393" s="1"/>
      <c r="DX393" s="1"/>
      <c r="DY393" s="1"/>
      <c r="DZ393" s="1"/>
      <c r="EA393" s="1"/>
      <c r="EB393" s="1"/>
      <c r="EC393" s="1"/>
      <c r="ED393" s="1"/>
      <c r="EE393" s="1"/>
      <c r="EF393" s="1"/>
      <c r="EG393" s="1"/>
      <c r="EH393" s="1"/>
      <c r="EI393" s="1"/>
      <c r="EJ393" s="1"/>
      <c r="EK393" s="1"/>
      <c r="EL393" s="1"/>
      <c r="EM393" s="1"/>
      <c r="EN393" s="1"/>
      <c r="EO393" s="1"/>
      <c r="EP393" s="1"/>
      <c r="EQ393" s="1"/>
      <c r="ER393" s="1"/>
      <c r="ES393" s="1"/>
      <c r="ET393" s="1"/>
      <c r="EU393" s="1"/>
      <c r="EV393" s="1"/>
      <c r="EW393" s="1"/>
      <c r="EX393" s="1"/>
      <c r="EY393" s="1"/>
      <c r="EZ393" s="1"/>
      <c r="FA393" s="1"/>
      <c r="FB393" s="1"/>
      <c r="FC393" s="1"/>
      <c r="FD393" s="1"/>
      <c r="FE393" s="1"/>
      <c r="FF393" s="1"/>
      <c r="FG393" s="1"/>
      <c r="FH393" s="1"/>
      <c r="FI393" s="1"/>
      <c r="FJ393" s="1"/>
      <c r="FK393" s="1"/>
      <c r="FL393" s="1"/>
      <c r="FM393" s="1"/>
      <c r="FN393" s="1"/>
      <c r="FO393" s="1"/>
      <c r="FP393" s="1"/>
      <c r="FQ393" s="1"/>
      <c r="FR393" s="1"/>
      <c r="FS393" s="1"/>
      <c r="FT393" s="1"/>
      <c r="FU393" s="1"/>
      <c r="FV393" s="1"/>
      <c r="FW393" s="1"/>
      <c r="FX393" s="1"/>
      <c r="FY393" s="1"/>
      <c r="FZ393" s="1"/>
      <c r="GA393" s="1"/>
      <c r="GB393" s="1"/>
      <c r="GC393" s="1"/>
      <c r="GD393" s="1"/>
      <c r="GE393" s="1"/>
      <c r="GF393" s="1"/>
      <c r="GG393" s="1"/>
      <c r="GH393" s="1"/>
      <c r="GI393" s="1"/>
      <c r="GJ393" s="1"/>
      <c r="GK393" s="1"/>
      <c r="GL393" s="1"/>
      <c r="GM393" s="1"/>
      <c r="GN393" s="1"/>
      <c r="GO393" s="1"/>
      <c r="GP393" s="1"/>
      <c r="GQ393" s="1"/>
      <c r="GR393" s="1"/>
      <c r="GS393" s="1"/>
      <c r="GT393" s="1"/>
      <c r="GU393" s="1"/>
      <c r="GV393" s="1"/>
      <c r="GW393" s="1"/>
      <c r="GX393" s="1"/>
      <c r="GY393" s="1"/>
      <c r="GZ393" s="1"/>
      <c r="HA393" s="1"/>
      <c r="HB393" s="1"/>
      <c r="HC393" s="1"/>
      <c r="HD393" s="1"/>
      <c r="HE393" s="1"/>
      <c r="HF393" s="1"/>
      <c r="HG393" s="1"/>
      <c r="HH393" s="1"/>
      <c r="HI393" s="1"/>
      <c r="HJ393" s="1"/>
      <c r="HK393" s="1"/>
      <c r="HL393" s="1"/>
      <c r="HM393" s="1"/>
      <c r="HN393" s="1"/>
      <c r="HO393" s="1"/>
      <c r="HP393" s="1"/>
      <c r="HQ393" s="1"/>
      <c r="HR393" s="1"/>
      <c r="HS393" s="1"/>
      <c r="HT393" s="1"/>
      <c r="HU393" s="1"/>
      <c r="HV393" s="1"/>
      <c r="HW393" s="1"/>
      <c r="HX393" s="1"/>
      <c r="HY393" s="1"/>
      <c r="HZ393" s="1"/>
      <c r="IA393" s="1"/>
      <c r="IB393" s="1"/>
      <c r="IC393" s="1"/>
      <c r="ID393" s="1"/>
      <c r="IE393" s="1"/>
      <c r="IF393" s="1"/>
      <c r="IG393" s="1"/>
      <c r="IH393" s="1"/>
      <c r="II393" s="1"/>
      <c r="IJ393" s="1"/>
      <c r="IK393" s="1"/>
      <c r="IL393" s="1"/>
      <c r="IM393" s="1"/>
      <c r="IN393" s="1"/>
      <c r="IO393" s="1"/>
      <c r="IP393" s="1"/>
      <c r="IQ393" s="1"/>
      <c r="IR393" s="1"/>
      <c r="IS393" s="1"/>
      <c r="IT393" s="1"/>
      <c r="IU393" s="1"/>
      <c r="IV393" s="1"/>
      <c r="IW393" s="1"/>
      <c r="IX393" s="1"/>
      <c r="IY393" s="1"/>
      <c r="IZ393" s="1"/>
      <c r="JA393" s="1"/>
      <c r="JB393" s="1"/>
      <c r="JC393" s="1"/>
      <c r="JD393" s="1"/>
    </row>
    <row r="394" spans="1:264" s="347" customFormat="1" x14ac:dyDescent="0.2">
      <c r="A394" s="347" t="s">
        <v>356</v>
      </c>
      <c r="B394" s="348"/>
      <c r="BH394" s="398">
        <v>9827</v>
      </c>
      <c r="BI394" s="398">
        <v>9687</v>
      </c>
      <c r="BJ394" s="351">
        <f t="shared" si="369"/>
        <v>9687</v>
      </c>
      <c r="BK394" s="348"/>
      <c r="BL394" s="398">
        <v>9383</v>
      </c>
      <c r="BM394" s="398">
        <v>9594</v>
      </c>
      <c r="BN394" s="351">
        <f t="shared" si="370"/>
        <v>9594</v>
      </c>
      <c r="BO394" s="348"/>
      <c r="BP394" s="398">
        <v>11570</v>
      </c>
      <c r="BQ394" s="398">
        <v>12824</v>
      </c>
      <c r="BR394" s="351">
        <f t="shared" si="371"/>
        <v>12824</v>
      </c>
      <c r="BT394" s="398">
        <v>14399</v>
      </c>
      <c r="BU394" s="398">
        <v>15544</v>
      </c>
      <c r="BV394" s="351">
        <f t="shared" si="372"/>
        <v>15544</v>
      </c>
      <c r="BX394" s="398">
        <v>16997</v>
      </c>
      <c r="BY394" s="398">
        <v>18726</v>
      </c>
      <c r="BZ394" s="351">
        <f t="shared" si="373"/>
        <v>18726</v>
      </c>
      <c r="CB394" s="398">
        <v>20184</v>
      </c>
      <c r="CC394" s="398">
        <v>22992</v>
      </c>
      <c r="CD394" s="351">
        <f t="shared" si="374"/>
        <v>22992</v>
      </c>
      <c r="CF394" s="398">
        <v>22831</v>
      </c>
      <c r="CG394" s="398">
        <v>22966</v>
      </c>
      <c r="CH394" s="351">
        <f t="shared" si="375"/>
        <v>22966</v>
      </c>
      <c r="CJ394" s="398">
        <v>25425</v>
      </c>
      <c r="CK394" s="398">
        <v>27357</v>
      </c>
      <c r="CL394" s="351">
        <f t="shared" si="376"/>
        <v>27357</v>
      </c>
      <c r="CN394" s="398">
        <v>27608</v>
      </c>
      <c r="CO394" s="398">
        <v>29360</v>
      </c>
      <c r="CP394" s="351">
        <f t="shared" si="377"/>
        <v>29360</v>
      </c>
      <c r="CR394" s="398">
        <v>28158</v>
      </c>
      <c r="CS394" s="398">
        <v>28017</v>
      </c>
      <c r="CT394" s="351">
        <f t="shared" si="378"/>
        <v>28017</v>
      </c>
      <c r="CV394" s="398">
        <v>28896</v>
      </c>
      <c r="CW394" s="398">
        <v>32598</v>
      </c>
      <c r="CX394" s="351">
        <f t="shared" si="379"/>
        <v>32598</v>
      </c>
      <c r="CZ394" s="398">
        <v>34111</v>
      </c>
      <c r="DA394" s="398">
        <v>35938</v>
      </c>
      <c r="DB394" s="351">
        <f t="shared" si="380"/>
        <v>35938</v>
      </c>
      <c r="DD394" s="398">
        <v>36722</v>
      </c>
      <c r="DE394" s="398">
        <v>38973</v>
      </c>
      <c r="DF394" s="351">
        <f t="shared" si="381"/>
        <v>38973</v>
      </c>
      <c r="DH394" s="398">
        <v>37939</v>
      </c>
      <c r="DI394" s="351">
        <f>+DI443*DI448</f>
        <v>39261.830702921914</v>
      </c>
      <c r="DJ394" s="351">
        <f t="shared" si="366"/>
        <v>39261.830702921914</v>
      </c>
      <c r="DL394" s="351">
        <f>+DL443*DL448</f>
        <v>40413.548629765115</v>
      </c>
      <c r="DM394" s="351">
        <f>+DM443*DM448</f>
        <v>41670.816061605969</v>
      </c>
      <c r="DN394" s="351">
        <f t="shared" si="367"/>
        <v>41670.816061605969</v>
      </c>
      <c r="DP394" s="351">
        <f>+DP443*DP448</f>
        <v>42645.534472077859</v>
      </c>
      <c r="DQ394" s="351">
        <f>+DQ443*DQ448</f>
        <v>43716.820104824059</v>
      </c>
      <c r="DR394" s="351">
        <f t="shared" si="368"/>
        <v>43716.820104824059</v>
      </c>
      <c r="DT394" s="1"/>
      <c r="DU394" s="1"/>
      <c r="DV394" s="1"/>
      <c r="DW394" s="1"/>
      <c r="DX394" s="1"/>
      <c r="DY394" s="1"/>
      <c r="DZ394" s="1"/>
      <c r="EA394" s="1"/>
      <c r="EB394" s="1"/>
      <c r="EC394" s="1"/>
      <c r="ED394" s="1"/>
      <c r="EE394" s="1"/>
      <c r="EF394" s="1"/>
      <c r="EG394" s="1"/>
      <c r="EH394" s="1"/>
      <c r="EI394" s="1"/>
      <c r="EJ394" s="1"/>
      <c r="EK394" s="1"/>
      <c r="EL394" s="1"/>
      <c r="EM394" s="1"/>
      <c r="EN394" s="1"/>
      <c r="EO394" s="1"/>
      <c r="EP394" s="1"/>
      <c r="EQ394" s="1"/>
      <c r="ER394" s="1"/>
      <c r="ES394" s="1"/>
      <c r="ET394" s="1"/>
      <c r="EU394" s="1"/>
      <c r="EV394" s="1"/>
      <c r="EW394" s="1"/>
      <c r="EX394" s="1"/>
      <c r="EY394" s="1"/>
      <c r="EZ394" s="1"/>
      <c r="FA394" s="1"/>
      <c r="FB394" s="1"/>
      <c r="FC394" s="1"/>
      <c r="FD394" s="1"/>
      <c r="FE394" s="1"/>
      <c r="FF394" s="1"/>
      <c r="FG394" s="1"/>
      <c r="FH394" s="1"/>
      <c r="FI394" s="1"/>
      <c r="FJ394" s="1"/>
      <c r="FK394" s="1"/>
      <c r="FL394" s="1"/>
      <c r="FM394" s="1"/>
      <c r="FN394" s="1"/>
      <c r="FO394" s="1"/>
      <c r="FP394" s="1"/>
      <c r="FQ394" s="1"/>
      <c r="FR394" s="1"/>
      <c r="FS394" s="1"/>
      <c r="FT394" s="1"/>
      <c r="FU394" s="1"/>
      <c r="FV394" s="1"/>
      <c r="FW394" s="1"/>
      <c r="FX394" s="1"/>
      <c r="FY394" s="1"/>
      <c r="FZ394" s="1"/>
      <c r="GA394" s="1"/>
      <c r="GB394" s="1"/>
      <c r="GC394" s="1"/>
      <c r="GD394" s="1"/>
      <c r="GE394" s="1"/>
      <c r="GF394" s="1"/>
      <c r="GG394" s="1"/>
      <c r="GH394" s="1"/>
      <c r="GI394" s="1"/>
      <c r="GJ394" s="1"/>
      <c r="GK394" s="1"/>
      <c r="GL394" s="1"/>
      <c r="GM394" s="1"/>
      <c r="GN394" s="1"/>
      <c r="GO394" s="1"/>
      <c r="GP394" s="1"/>
      <c r="GQ394" s="1"/>
      <c r="GR394" s="1"/>
      <c r="GS394" s="1"/>
      <c r="GT394" s="1"/>
      <c r="GU394" s="1"/>
      <c r="GV394" s="1"/>
      <c r="GW394" s="1"/>
      <c r="GX394" s="1"/>
      <c r="GY394" s="1"/>
      <c r="GZ394" s="1"/>
      <c r="HA394" s="1"/>
      <c r="HB394" s="1"/>
      <c r="HC394" s="1"/>
      <c r="HD394" s="1"/>
      <c r="HE394" s="1"/>
      <c r="HF394" s="1"/>
      <c r="HG394" s="1"/>
      <c r="HH394" s="1"/>
      <c r="HI394" s="1"/>
      <c r="HJ394" s="1"/>
      <c r="HK394" s="1"/>
      <c r="HL394" s="1"/>
      <c r="HM394" s="1"/>
      <c r="HN394" s="1"/>
      <c r="HO394" s="1"/>
      <c r="HP394" s="1"/>
      <c r="HQ394" s="1"/>
      <c r="HR394" s="1"/>
      <c r="HS394" s="1"/>
      <c r="HT394" s="1"/>
      <c r="HU394" s="1"/>
      <c r="HV394" s="1"/>
      <c r="HW394" s="1"/>
      <c r="HX394" s="1"/>
      <c r="HY394" s="1"/>
      <c r="HZ394" s="1"/>
      <c r="IA394" s="1"/>
      <c r="IB394" s="1"/>
      <c r="IC394" s="1"/>
      <c r="ID394" s="1"/>
      <c r="IE394" s="1"/>
      <c r="IF394" s="1"/>
      <c r="IG394" s="1"/>
      <c r="IH394" s="1"/>
      <c r="II394" s="1"/>
      <c r="IJ394" s="1"/>
      <c r="IK394" s="1"/>
      <c r="IL394" s="1"/>
      <c r="IM394" s="1"/>
      <c r="IN394" s="1"/>
      <c r="IO394" s="1"/>
      <c r="IP394" s="1"/>
      <c r="IQ394" s="1"/>
      <c r="IR394" s="1"/>
      <c r="IS394" s="1"/>
      <c r="IT394" s="1"/>
      <c r="IU394" s="1"/>
      <c r="IV394" s="1"/>
      <c r="IW394" s="1"/>
      <c r="IX394" s="1"/>
      <c r="IY394" s="1"/>
      <c r="IZ394" s="1"/>
      <c r="JA394" s="1"/>
      <c r="JB394" s="1"/>
      <c r="JC394" s="1"/>
      <c r="JD394" s="1"/>
    </row>
    <row r="395" spans="1:264" s="347" customFormat="1" x14ac:dyDescent="0.2">
      <c r="A395" s="347" t="s">
        <v>357</v>
      </c>
      <c r="BH395" s="351">
        <f>+BH396-BH389-BH390-BH391-BH392-BH393-BH394</f>
        <v>61910</v>
      </c>
      <c r="BI395" s="351">
        <f>+BI396-BI389-BI390-BI391-BI392-BI393-BI394</f>
        <v>64425</v>
      </c>
      <c r="BJ395" s="351">
        <f t="shared" si="369"/>
        <v>64425</v>
      </c>
      <c r="BK395" s="348"/>
      <c r="BL395" s="351">
        <f>+BL396-BL389-BL390-BL391-BL392-BL393-BL394</f>
        <v>55007</v>
      </c>
      <c r="BM395" s="351">
        <f>+BM396-BM389-BM390-BM391-BM392-BM393-BM394</f>
        <v>51564</v>
      </c>
      <c r="BN395" s="351">
        <f t="shared" si="370"/>
        <v>51564</v>
      </c>
      <c r="BO395" s="348"/>
      <c r="BP395" s="351">
        <f>+BP396-BP389-BP390-BP391-BP392-BP393-BP394</f>
        <v>67025</v>
      </c>
      <c r="BQ395" s="351">
        <f>+BQ396-BQ389-BQ390-BQ391-BQ392-BQ393-BQ394</f>
        <v>60504</v>
      </c>
      <c r="BR395" s="351">
        <f t="shared" si="371"/>
        <v>60504</v>
      </c>
      <c r="BT395" s="351">
        <f>+BT396-BT389-BT390-BT391-BT392-BT393-BT394</f>
        <v>62881</v>
      </c>
      <c r="BU395" s="351">
        <f>+BU396-BU389-BU390-BU391-BU392-BU393-BU394</f>
        <v>67473</v>
      </c>
      <c r="BV395" s="351">
        <f t="shared" si="372"/>
        <v>67473</v>
      </c>
      <c r="BX395" s="351">
        <f>+BX396-BX389-BX390-BX391-BX392-BX393-BX394</f>
        <v>64165</v>
      </c>
      <c r="BY395" s="351">
        <f>+BY396-BY389-BY390-BY391-BY392-BY393-BY394</f>
        <v>58879</v>
      </c>
      <c r="BZ395" s="351">
        <f t="shared" si="373"/>
        <v>58879</v>
      </c>
      <c r="CB395" s="351">
        <f>+CB396-CB389-CB390-CB391-CB392-CB393-CB394</f>
        <v>50699</v>
      </c>
      <c r="CC395" s="351">
        <f>+CC396-CC389-CC390-CC391-CC392-CC393-CC394</f>
        <v>56882</v>
      </c>
      <c r="CD395" s="351">
        <f t="shared" si="374"/>
        <v>56882</v>
      </c>
      <c r="CF395" s="351">
        <f>+CF396-CF389-CF390-CF391-CF392-CF393-CF394</f>
        <v>52229</v>
      </c>
      <c r="CG395" s="351">
        <f>+CG396-CG389-CG390-CG391-CG392-CG393-CG394</f>
        <v>50387</v>
      </c>
      <c r="CH395" s="351">
        <f t="shared" si="375"/>
        <v>50387</v>
      </c>
      <c r="CJ395" s="351">
        <f>+CJ396-CJ389-CJ390-CJ391-CJ392-CJ393-CJ394</f>
        <v>33463</v>
      </c>
      <c r="CK395" s="351">
        <f>+CK396-CK389-CK390-CK391-CK392-CK393-CK394</f>
        <v>44194</v>
      </c>
      <c r="CL395" s="351">
        <f t="shared" si="376"/>
        <v>44194</v>
      </c>
      <c r="CN395" s="351">
        <f>+CN396-CN389-CN390-CN391-CN392-CN393-CN394</f>
        <v>65988</v>
      </c>
      <c r="CO395" s="351">
        <f>+CO396-CO389-CO390-CO391-CO392-CO393-CO394</f>
        <v>83224</v>
      </c>
      <c r="CP395" s="351">
        <f t="shared" si="377"/>
        <v>83224</v>
      </c>
      <c r="CR395" s="351">
        <f>+CR396-CR389-CR390-CR391-CR392-CR393-CR394</f>
        <v>84268</v>
      </c>
      <c r="CS395" s="351">
        <f>+CS396-CS389-CS390-CS391-CS392-CS393-CS394</f>
        <v>101209</v>
      </c>
      <c r="CT395" s="351">
        <f t="shared" si="378"/>
        <v>101209</v>
      </c>
      <c r="CV395" s="351">
        <f>+CV396-CV389-CV390-CV391-CV392-CV393-CV394</f>
        <v>99792</v>
      </c>
      <c r="CW395" s="351">
        <f>+CW396-CW389-CW390-CW391-CW392-CW393-CW394</f>
        <v>123442</v>
      </c>
      <c r="CX395" s="351">
        <f t="shared" si="379"/>
        <v>123442</v>
      </c>
      <c r="CZ395" s="351">
        <f>+CZ396-CZ389-CZ390-CZ391-CZ392-CZ393-CZ394</f>
        <v>119215</v>
      </c>
      <c r="DA395" s="351">
        <f>+DA396-DA389-DA390-DA391-DA392-DA393-DA394</f>
        <v>73941</v>
      </c>
      <c r="DB395" s="351">
        <f t="shared" si="380"/>
        <v>73941</v>
      </c>
      <c r="DD395" s="351">
        <f>+DD396-DD389-DD390-DD391-DD392-DD393-DD394</f>
        <v>82404</v>
      </c>
      <c r="DE395" s="351">
        <f>+DE396-DE389-DE390-DE391-DE392-DE393-DE394</f>
        <v>79794</v>
      </c>
      <c r="DF395" s="351">
        <f t="shared" si="381"/>
        <v>79794</v>
      </c>
      <c r="DH395" s="351">
        <f>+DH396-DH389-DH390-DH391-DH392-DH393-DH394</f>
        <v>92654</v>
      </c>
      <c r="DI395" s="351">
        <f>+DI443*DI449</f>
        <v>95884.595322716123</v>
      </c>
      <c r="DJ395" s="351">
        <f t="shared" si="366"/>
        <v>95884.595322716123</v>
      </c>
      <c r="DL395" s="351">
        <f>+DL443*DL449</f>
        <v>98697.301846180882</v>
      </c>
      <c r="DM395" s="351">
        <f>+DM443*DM449</f>
        <v>101767.77962972243</v>
      </c>
      <c r="DN395" s="351">
        <f t="shared" si="367"/>
        <v>101767.77962972243</v>
      </c>
      <c r="DP395" s="351">
        <f>+DP443*DP449</f>
        <v>104148.22085389447</v>
      </c>
      <c r="DQ395" s="351">
        <f>+DQ443*DQ449</f>
        <v>106764.49695543815</v>
      </c>
      <c r="DR395" s="351">
        <f t="shared" si="368"/>
        <v>106764.49695543815</v>
      </c>
      <c r="DT395" s="1"/>
      <c r="DU395" s="1"/>
      <c r="DV395" s="1"/>
      <c r="DW395" s="1"/>
      <c r="DX395" s="1"/>
      <c r="DY395" s="1"/>
      <c r="DZ395" s="1"/>
      <c r="EA395" s="1"/>
      <c r="EB395" s="1"/>
      <c r="EC395" s="1"/>
      <c r="ED395" s="1"/>
      <c r="EE395" s="1"/>
      <c r="EF395" s="1"/>
      <c r="EG395" s="1"/>
      <c r="EH395" s="1"/>
      <c r="EI395" s="1"/>
      <c r="EJ395" s="1"/>
      <c r="EK395" s="1"/>
      <c r="EL395" s="1"/>
      <c r="EM395" s="1"/>
      <c r="EN395" s="1"/>
      <c r="EO395" s="1"/>
      <c r="EP395" s="1"/>
      <c r="EQ395" s="1"/>
      <c r="ER395" s="1"/>
      <c r="ES395" s="1"/>
      <c r="ET395" s="1"/>
      <c r="EU395" s="1"/>
      <c r="EV395" s="1"/>
      <c r="EW395" s="1"/>
      <c r="EX395" s="1"/>
      <c r="EY395" s="1"/>
      <c r="EZ395" s="1"/>
      <c r="FA395" s="1"/>
      <c r="FB395" s="1"/>
      <c r="FC395" s="1"/>
      <c r="FD395" s="1"/>
      <c r="FE395" s="1"/>
      <c r="FF395" s="1"/>
      <c r="FG395" s="1"/>
      <c r="FH395" s="1"/>
      <c r="FI395" s="1"/>
      <c r="FJ395" s="1"/>
      <c r="FK395" s="1"/>
      <c r="FL395" s="1"/>
      <c r="FM395" s="1"/>
      <c r="FN395" s="1"/>
      <c r="FO395" s="1"/>
      <c r="FP395" s="1"/>
      <c r="FQ395" s="1"/>
      <c r="FR395" s="1"/>
      <c r="FS395" s="1"/>
      <c r="FT395" s="1"/>
      <c r="FU395" s="1"/>
      <c r="FV395" s="1"/>
      <c r="FW395" s="1"/>
      <c r="FX395" s="1"/>
      <c r="FY395" s="1"/>
      <c r="FZ395" s="1"/>
      <c r="GA395" s="1"/>
      <c r="GB395" s="1"/>
      <c r="GC395" s="1"/>
      <c r="GD395" s="1"/>
      <c r="GE395" s="1"/>
      <c r="GF395" s="1"/>
      <c r="GG395" s="1"/>
      <c r="GH395" s="1"/>
      <c r="GI395" s="1"/>
      <c r="GJ395" s="1"/>
      <c r="GK395" s="1"/>
      <c r="GL395" s="1"/>
      <c r="GM395" s="1"/>
      <c r="GN395" s="1"/>
      <c r="GO395" s="1"/>
      <c r="GP395" s="1"/>
      <c r="GQ395" s="1"/>
      <c r="GR395" s="1"/>
      <c r="GS395" s="1"/>
      <c r="GT395" s="1"/>
      <c r="GU395" s="1"/>
      <c r="GV395" s="1"/>
      <c r="GW395" s="1"/>
      <c r="GX395" s="1"/>
      <c r="GY395" s="1"/>
      <c r="GZ395" s="1"/>
      <c r="HA395" s="1"/>
      <c r="HB395" s="1"/>
      <c r="HC395" s="1"/>
      <c r="HD395" s="1"/>
      <c r="HE395" s="1"/>
      <c r="HF395" s="1"/>
      <c r="HG395" s="1"/>
      <c r="HH395" s="1"/>
      <c r="HI395" s="1"/>
      <c r="HJ395" s="1"/>
      <c r="HK395" s="1"/>
      <c r="HL395" s="1"/>
      <c r="HM395" s="1"/>
      <c r="HN395" s="1"/>
      <c r="HO395" s="1"/>
      <c r="HP395" s="1"/>
      <c r="HQ395" s="1"/>
      <c r="HR395" s="1"/>
      <c r="HS395" s="1"/>
      <c r="HT395" s="1"/>
      <c r="HU395" s="1"/>
      <c r="HV395" s="1"/>
      <c r="HW395" s="1"/>
      <c r="HX395" s="1"/>
      <c r="HY395" s="1"/>
      <c r="HZ395" s="1"/>
      <c r="IA395" s="1"/>
      <c r="IB395" s="1"/>
      <c r="IC395" s="1"/>
      <c r="ID395" s="1"/>
      <c r="IE395" s="1"/>
      <c r="IF395" s="1"/>
      <c r="IG395" s="1"/>
      <c r="IH395" s="1"/>
      <c r="II395" s="1"/>
      <c r="IJ395" s="1"/>
      <c r="IK395" s="1"/>
      <c r="IL395" s="1"/>
      <c r="IM395" s="1"/>
      <c r="IN395" s="1"/>
      <c r="IO395" s="1"/>
      <c r="IP395" s="1"/>
      <c r="IQ395" s="1"/>
      <c r="IR395" s="1"/>
      <c r="IS395" s="1"/>
      <c r="IT395" s="1"/>
      <c r="IU395" s="1"/>
      <c r="IV395" s="1"/>
      <c r="IW395" s="1"/>
      <c r="IX395" s="1"/>
      <c r="IY395" s="1"/>
      <c r="IZ395" s="1"/>
      <c r="JA395" s="1"/>
      <c r="JB395" s="1"/>
      <c r="JC395" s="1"/>
      <c r="JD395" s="1"/>
    </row>
    <row r="396" spans="1:264" s="347" customFormat="1" x14ac:dyDescent="0.2">
      <c r="A396" s="411" t="s">
        <v>358</v>
      </c>
      <c r="B396" s="348"/>
      <c r="BH396" s="396">
        <v>678835</v>
      </c>
      <c r="BI396" s="396">
        <v>708320</v>
      </c>
      <c r="BJ396" s="397">
        <f>BI396</f>
        <v>708320</v>
      </c>
      <c r="BK396" s="348"/>
      <c r="BL396" s="396">
        <v>735264</v>
      </c>
      <c r="BM396" s="396">
        <v>742103</v>
      </c>
      <c r="BN396" s="397">
        <f>BM396</f>
        <v>742103</v>
      </c>
      <c r="BO396" s="348"/>
      <c r="BP396" s="396">
        <v>799683</v>
      </c>
      <c r="BQ396" s="396">
        <v>820453</v>
      </c>
      <c r="BR396" s="397">
        <f>BQ396</f>
        <v>820453</v>
      </c>
      <c r="BT396" s="396">
        <v>843228</v>
      </c>
      <c r="BU396" s="396">
        <v>872322</v>
      </c>
      <c r="BV396" s="397">
        <f>BU396</f>
        <v>872322</v>
      </c>
      <c r="BX396" s="396">
        <v>909907</v>
      </c>
      <c r="BY396" s="396">
        <v>912658</v>
      </c>
      <c r="BZ396" s="397">
        <f>BY396</f>
        <v>912658</v>
      </c>
      <c r="CB396" s="396">
        <v>895839</v>
      </c>
      <c r="CC396" s="396">
        <v>907305</v>
      </c>
      <c r="CD396" s="397">
        <f>CC396</f>
        <v>907305</v>
      </c>
      <c r="CF396" s="396">
        <v>911852</v>
      </c>
      <c r="CG396" s="396">
        <v>906853</v>
      </c>
      <c r="CH396" s="397">
        <f>CG396</f>
        <v>906853</v>
      </c>
      <c r="CJ396" s="396">
        <v>908715</v>
      </c>
      <c r="CK396" s="396">
        <v>943533</v>
      </c>
      <c r="CL396" s="397">
        <f>CK396</f>
        <v>943533</v>
      </c>
      <c r="CN396" s="396">
        <v>984300</v>
      </c>
      <c r="CO396" s="396">
        <v>1013244</v>
      </c>
      <c r="CP396" s="397">
        <f>CO396</f>
        <v>1013244</v>
      </c>
      <c r="CR396" s="396">
        <v>1075150</v>
      </c>
      <c r="CS396" s="396">
        <v>1142422</v>
      </c>
      <c r="CT396" s="397">
        <f>CS396</f>
        <v>1142422</v>
      </c>
      <c r="CV396" s="396">
        <v>1159860</v>
      </c>
      <c r="CW396" s="396">
        <v>1180790</v>
      </c>
      <c r="CX396" s="397">
        <f>CW396</f>
        <v>1180790</v>
      </c>
      <c r="CZ396" s="396">
        <v>1203130</v>
      </c>
      <c r="DA396" s="396">
        <v>1180988</v>
      </c>
      <c r="DB396" s="397">
        <f>DA396</f>
        <v>1180988</v>
      </c>
      <c r="DD396" s="396">
        <v>1233302</v>
      </c>
      <c r="DE396" s="396">
        <v>1275023</v>
      </c>
      <c r="DF396" s="397">
        <f>DE396</f>
        <v>1275023</v>
      </c>
      <c r="DH396" s="396">
        <v>1331496</v>
      </c>
      <c r="DI396" s="397">
        <f ca="1">DI387-DI398</f>
        <v>1378972.4065792374</v>
      </c>
      <c r="DJ396" s="397">
        <f ca="1">SUM(DJ389:DJ395)</f>
        <v>1378972.4065792374</v>
      </c>
      <c r="DL396" s="397">
        <f ca="1">DL387-DL398</f>
        <v>1420557.9258230359</v>
      </c>
      <c r="DM396" s="397">
        <f ca="1">DM387-DM398</f>
        <v>1465715.3843466155</v>
      </c>
      <c r="DN396" s="397">
        <f ca="1">SUM(DN389:DN395)</f>
        <v>1465715.3843466153</v>
      </c>
      <c r="DP396" s="397">
        <f ca="1">DP387-DP398</f>
        <v>1500677.4999846099</v>
      </c>
      <c r="DQ396" s="397">
        <f ca="1">DQ387-DQ398</f>
        <v>1538680.9279058413</v>
      </c>
      <c r="DR396" s="397">
        <f ca="1">SUM(DR389:DR395)</f>
        <v>1538680.927905841</v>
      </c>
      <c r="DT396" s="1"/>
      <c r="DU396" s="1"/>
      <c r="DV396" s="1"/>
      <c r="DW396" s="1"/>
      <c r="DX396" s="1"/>
      <c r="DY396" s="1"/>
      <c r="DZ396" s="1"/>
      <c r="EA396" s="1"/>
      <c r="EB396" s="1"/>
      <c r="EC396" s="1"/>
      <c r="ED396" s="1"/>
      <c r="EE396" s="1"/>
      <c r="EF396" s="1"/>
      <c r="EG396" s="1"/>
      <c r="EH396" s="1"/>
      <c r="EI396" s="1"/>
      <c r="EJ396" s="1"/>
      <c r="EK396" s="1"/>
      <c r="EL396" s="1"/>
      <c r="EM396" s="1"/>
      <c r="EN396" s="1"/>
      <c r="EO396" s="1"/>
      <c r="EP396" s="1"/>
      <c r="EQ396" s="1"/>
      <c r="ER396" s="1"/>
      <c r="ES396" s="1"/>
      <c r="ET396" s="1"/>
      <c r="EU396" s="1"/>
      <c r="EV396" s="1"/>
      <c r="EW396" s="1"/>
      <c r="EX396" s="1"/>
      <c r="EY396" s="1"/>
      <c r="EZ396" s="1"/>
      <c r="FA396" s="1"/>
      <c r="FB396" s="1"/>
      <c r="FC396" s="1"/>
      <c r="FD396" s="1"/>
      <c r="FE396" s="1"/>
      <c r="FF396" s="1"/>
      <c r="FG396" s="1"/>
      <c r="FH396" s="1"/>
      <c r="FI396" s="1"/>
      <c r="FJ396" s="1"/>
      <c r="FK396" s="1"/>
      <c r="FL396" s="1"/>
      <c r="FM396" s="1"/>
      <c r="FN396" s="1"/>
      <c r="FO396" s="1"/>
      <c r="FP396" s="1"/>
      <c r="FQ396" s="1"/>
      <c r="FR396" s="1"/>
      <c r="FS396" s="1"/>
      <c r="FT396" s="1"/>
      <c r="FU396" s="1"/>
      <c r="FV396" s="1"/>
      <c r="FW396" s="1"/>
      <c r="FX396" s="1"/>
      <c r="FY396" s="1"/>
      <c r="FZ396" s="1"/>
      <c r="GA396" s="1"/>
      <c r="GB396" s="1"/>
      <c r="GC396" s="1"/>
      <c r="GD396" s="1"/>
      <c r="GE396" s="1"/>
      <c r="GF396" s="1"/>
      <c r="GG396" s="1"/>
      <c r="GH396" s="1"/>
      <c r="GI396" s="1"/>
      <c r="GJ396" s="1"/>
      <c r="GK396" s="1"/>
      <c r="GL396" s="1"/>
      <c r="GM396" s="1"/>
      <c r="GN396" s="1"/>
      <c r="GO396" s="1"/>
      <c r="GP396" s="1"/>
      <c r="GQ396" s="1"/>
      <c r="GR396" s="1"/>
      <c r="GS396" s="1"/>
      <c r="GT396" s="1"/>
      <c r="GU396" s="1"/>
      <c r="GV396" s="1"/>
      <c r="GW396" s="1"/>
      <c r="GX396" s="1"/>
      <c r="GY396" s="1"/>
      <c r="GZ396" s="1"/>
      <c r="HA396" s="1"/>
      <c r="HB396" s="1"/>
      <c r="HC396" s="1"/>
      <c r="HD396" s="1"/>
      <c r="HE396" s="1"/>
      <c r="HF396" s="1"/>
      <c r="HG396" s="1"/>
      <c r="HH396" s="1"/>
      <c r="HI396" s="1"/>
      <c r="HJ396" s="1"/>
      <c r="HK396" s="1"/>
      <c r="HL396" s="1"/>
      <c r="HM396" s="1"/>
      <c r="HN396" s="1"/>
      <c r="HO396" s="1"/>
      <c r="HP396" s="1"/>
      <c r="HQ396" s="1"/>
      <c r="HR396" s="1"/>
      <c r="HS396" s="1"/>
      <c r="HT396" s="1"/>
      <c r="HU396" s="1"/>
      <c r="HV396" s="1"/>
      <c r="HW396" s="1"/>
      <c r="HX396" s="1"/>
      <c r="HY396" s="1"/>
      <c r="HZ396" s="1"/>
      <c r="IA396" s="1"/>
      <c r="IB396" s="1"/>
      <c r="IC396" s="1"/>
      <c r="ID396" s="1"/>
      <c r="IE396" s="1"/>
      <c r="IF396" s="1"/>
      <c r="IG396" s="1"/>
      <c r="IH396" s="1"/>
      <c r="II396" s="1"/>
      <c r="IJ396" s="1"/>
      <c r="IK396" s="1"/>
      <c r="IL396" s="1"/>
      <c r="IM396" s="1"/>
      <c r="IN396" s="1"/>
      <c r="IO396" s="1"/>
      <c r="IP396" s="1"/>
      <c r="IQ396" s="1"/>
      <c r="IR396" s="1"/>
      <c r="IS396" s="1"/>
      <c r="IT396" s="1"/>
      <c r="IU396" s="1"/>
      <c r="IV396" s="1"/>
      <c r="IW396" s="1"/>
      <c r="IX396" s="1"/>
      <c r="IY396" s="1"/>
      <c r="IZ396" s="1"/>
      <c r="JA396" s="1"/>
      <c r="JB396" s="1"/>
      <c r="JC396" s="1"/>
      <c r="JD396" s="1"/>
    </row>
    <row r="397" spans="1:264" s="347" customFormat="1" x14ac:dyDescent="0.2">
      <c r="A397" s="411"/>
      <c r="B397" s="348"/>
      <c r="BH397" s="396"/>
      <c r="BI397" s="396"/>
      <c r="BJ397" s="397"/>
      <c r="BK397" s="348"/>
      <c r="BL397" s="396"/>
      <c r="BM397" s="396"/>
      <c r="BN397" s="397"/>
      <c r="BO397" s="348"/>
      <c r="BP397" s="396"/>
      <c r="BQ397" s="396"/>
      <c r="BR397" s="397"/>
      <c r="BT397" s="396"/>
      <c r="BU397" s="396"/>
      <c r="BV397" s="397"/>
      <c r="BX397" s="396"/>
      <c r="BY397" s="351"/>
      <c r="BZ397" s="351"/>
      <c r="CB397" s="351"/>
      <c r="CC397" s="351"/>
      <c r="CD397" s="351"/>
      <c r="CF397" s="351"/>
      <c r="CG397" s="351"/>
      <c r="CH397" s="351"/>
      <c r="CJ397" s="351"/>
      <c r="CK397" s="351"/>
      <c r="CL397" s="351"/>
      <c r="CN397" s="351"/>
      <c r="CO397" s="351"/>
      <c r="CP397" s="351"/>
      <c r="CR397" s="351"/>
      <c r="CS397" s="351"/>
      <c r="CT397" s="351"/>
      <c r="CV397" s="351"/>
      <c r="CW397" s="351"/>
      <c r="CX397" s="351"/>
      <c r="CZ397" s="351"/>
      <c r="DA397" s="351"/>
      <c r="DB397" s="351"/>
      <c r="DD397" s="351"/>
      <c r="DE397" s="351"/>
      <c r="DF397" s="351"/>
      <c r="DH397" s="351"/>
      <c r="DI397" s="351"/>
      <c r="DJ397" s="351"/>
      <c r="DL397" s="351"/>
      <c r="DM397" s="351"/>
      <c r="DN397" s="351"/>
      <c r="DP397" s="351"/>
      <c r="DQ397" s="351"/>
      <c r="DR397" s="351"/>
      <c r="DT397" s="1"/>
      <c r="DU397" s="1"/>
      <c r="DV397" s="1"/>
      <c r="DW397" s="1"/>
      <c r="DX397" s="1"/>
      <c r="DY397" s="1"/>
      <c r="DZ397" s="1"/>
      <c r="EA397" s="1"/>
      <c r="EB397" s="1"/>
      <c r="EC397" s="1"/>
      <c r="ED397" s="1"/>
      <c r="EE397" s="1"/>
      <c r="EF397" s="1"/>
      <c r="EG397" s="1"/>
      <c r="EH397" s="1"/>
      <c r="EI397" s="1"/>
      <c r="EJ397" s="1"/>
      <c r="EK397" s="1"/>
      <c r="EL397" s="1"/>
      <c r="EM397" s="1"/>
      <c r="EN397" s="1"/>
      <c r="EO397" s="1"/>
      <c r="EP397" s="1"/>
      <c r="EQ397" s="1"/>
      <c r="ER397" s="1"/>
      <c r="ES397" s="1"/>
      <c r="ET397" s="1"/>
      <c r="EU397" s="1"/>
      <c r="EV397" s="1"/>
      <c r="EW397" s="1"/>
      <c r="EX397" s="1"/>
      <c r="EY397" s="1"/>
      <c r="EZ397" s="1"/>
      <c r="FA397" s="1"/>
      <c r="FB397" s="1"/>
      <c r="FC397" s="1"/>
      <c r="FD397" s="1"/>
      <c r="FE397" s="1"/>
      <c r="FF397" s="1"/>
      <c r="FG397" s="1"/>
      <c r="FH397" s="1"/>
      <c r="FI397" s="1"/>
      <c r="FJ397" s="1"/>
      <c r="FK397" s="1"/>
      <c r="FL397" s="1"/>
      <c r="FM397" s="1"/>
      <c r="FN397" s="1"/>
      <c r="FO397" s="1"/>
      <c r="FP397" s="1"/>
      <c r="FQ397" s="1"/>
      <c r="FR397" s="1"/>
      <c r="FS397" s="1"/>
      <c r="FT397" s="1"/>
      <c r="FU397" s="1"/>
      <c r="FV397" s="1"/>
      <c r="FW397" s="1"/>
      <c r="FX397" s="1"/>
      <c r="FY397" s="1"/>
      <c r="FZ397" s="1"/>
      <c r="GA397" s="1"/>
      <c r="GB397" s="1"/>
      <c r="GC397" s="1"/>
      <c r="GD397" s="1"/>
      <c r="GE397" s="1"/>
      <c r="GF397" s="1"/>
      <c r="GG397" s="1"/>
      <c r="GH397" s="1"/>
      <c r="GI397" s="1"/>
      <c r="GJ397" s="1"/>
      <c r="GK397" s="1"/>
      <c r="GL397" s="1"/>
      <c r="GM397" s="1"/>
      <c r="GN397" s="1"/>
      <c r="GO397" s="1"/>
      <c r="GP397" s="1"/>
      <c r="GQ397" s="1"/>
      <c r="GR397" s="1"/>
      <c r="GS397" s="1"/>
      <c r="GT397" s="1"/>
      <c r="GU397" s="1"/>
      <c r="GV397" s="1"/>
      <c r="GW397" s="1"/>
      <c r="GX397" s="1"/>
      <c r="GY397" s="1"/>
      <c r="GZ397" s="1"/>
      <c r="HA397" s="1"/>
      <c r="HB397" s="1"/>
      <c r="HC397" s="1"/>
      <c r="HD397" s="1"/>
      <c r="HE397" s="1"/>
      <c r="HF397" s="1"/>
      <c r="HG397" s="1"/>
      <c r="HH397" s="1"/>
      <c r="HI397" s="1"/>
      <c r="HJ397" s="1"/>
      <c r="HK397" s="1"/>
      <c r="HL397" s="1"/>
      <c r="HM397" s="1"/>
      <c r="HN397" s="1"/>
      <c r="HO397" s="1"/>
      <c r="HP397" s="1"/>
      <c r="HQ397" s="1"/>
      <c r="HR397" s="1"/>
      <c r="HS397" s="1"/>
      <c r="HT397" s="1"/>
      <c r="HU397" s="1"/>
      <c r="HV397" s="1"/>
      <c r="HW397" s="1"/>
      <c r="HX397" s="1"/>
      <c r="HY397" s="1"/>
      <c r="HZ397" s="1"/>
      <c r="IA397" s="1"/>
      <c r="IB397" s="1"/>
      <c r="IC397" s="1"/>
      <c r="ID397" s="1"/>
      <c r="IE397" s="1"/>
      <c r="IF397" s="1"/>
      <c r="IG397" s="1"/>
      <c r="IH397" s="1"/>
      <c r="II397" s="1"/>
      <c r="IJ397" s="1"/>
      <c r="IK397" s="1"/>
      <c r="IL397" s="1"/>
      <c r="IM397" s="1"/>
      <c r="IN397" s="1"/>
      <c r="IO397" s="1"/>
      <c r="IP397" s="1"/>
      <c r="IQ397" s="1"/>
      <c r="IR397" s="1"/>
      <c r="IS397" s="1"/>
      <c r="IT397" s="1"/>
      <c r="IU397" s="1"/>
      <c r="IV397" s="1"/>
      <c r="IW397" s="1"/>
      <c r="IX397" s="1"/>
      <c r="IY397" s="1"/>
      <c r="IZ397" s="1"/>
      <c r="JA397" s="1"/>
      <c r="JB397" s="1"/>
      <c r="JC397" s="1"/>
      <c r="JD397" s="1"/>
    </row>
    <row r="398" spans="1:264" s="347" customFormat="1" x14ac:dyDescent="0.2">
      <c r="A398" s="411" t="s">
        <v>359</v>
      </c>
      <c r="B398" s="348"/>
      <c r="BH398" s="397">
        <f>+BH387-BH396</f>
        <v>43348</v>
      </c>
      <c r="BI398" s="397">
        <f>+BI387-BI396</f>
        <v>45537</v>
      </c>
      <c r="BJ398" s="397">
        <f>+BJ387-BJ396</f>
        <v>45537</v>
      </c>
      <c r="BK398" s="348"/>
      <c r="BL398" s="397">
        <f>+BL387-BL396</f>
        <v>47037</v>
      </c>
      <c r="BM398" s="397">
        <f>+BM387-BM396</f>
        <v>49348</v>
      </c>
      <c r="BN398" s="397">
        <f>+BN387-BN396</f>
        <v>49348</v>
      </c>
      <c r="BO398" s="348"/>
      <c r="BP398" s="397">
        <f>+BP387-BP396</f>
        <v>51031</v>
      </c>
      <c r="BQ398" s="397">
        <f>+BQ387-BQ396</f>
        <v>52993</v>
      </c>
      <c r="BR398" s="397">
        <f>+BR387-BR396</f>
        <v>52993</v>
      </c>
      <c r="BT398" s="397">
        <f>+BT387-BT396</f>
        <v>59847</v>
      </c>
      <c r="BU398" s="397">
        <f>+BU387-BU396</f>
        <v>60756</v>
      </c>
      <c r="BV398" s="397">
        <f>+BV387-BV396</f>
        <v>60756</v>
      </c>
      <c r="BX398" s="397">
        <f>+BX387-BX396</f>
        <v>61756</v>
      </c>
      <c r="BY398" s="397">
        <f>BY399</f>
        <v>63660</v>
      </c>
      <c r="BZ398" s="397">
        <f>+BZ387-BZ396</f>
        <v>63660</v>
      </c>
      <c r="CB398" s="397">
        <f>+CB387-CB396</f>
        <v>66091</v>
      </c>
      <c r="CC398" s="397">
        <f>CC399</f>
        <v>67860</v>
      </c>
      <c r="CD398" s="397">
        <f>+CD387-CD396</f>
        <v>67860</v>
      </c>
      <c r="CF398" s="397">
        <f>+CF387-CF396</f>
        <v>68578</v>
      </c>
      <c r="CG398" s="397">
        <f>CG399</f>
        <v>69649</v>
      </c>
      <c r="CH398" s="397">
        <f>+CH387-CH396</f>
        <v>69649</v>
      </c>
      <c r="CJ398" s="397">
        <f>+CJ387-CJ396</f>
        <v>71153</v>
      </c>
      <c r="CK398" s="397">
        <f>CK399</f>
        <v>71938</v>
      </c>
      <c r="CL398" s="397">
        <f>+CL387-CL396</f>
        <v>71938</v>
      </c>
      <c r="CN398" s="397">
        <f>+CN387-CN396</f>
        <v>74920</v>
      </c>
      <c r="CO398" s="397">
        <f>+CO387-CO396</f>
        <v>78718</v>
      </c>
      <c r="CP398" s="397">
        <f>+CP387-CP396</f>
        <v>78718</v>
      </c>
      <c r="CR398" s="397">
        <f>+CR387-CR396</f>
        <v>74663</v>
      </c>
      <c r="CS398" s="397">
        <f>+CS387-CS396</f>
        <v>72838</v>
      </c>
      <c r="CT398" s="397">
        <f>+CT387-CT396</f>
        <v>72838</v>
      </c>
      <c r="CV398" s="397">
        <f>+CV387-CV396</f>
        <v>72321</v>
      </c>
      <c r="CW398" s="397">
        <f>+CW387-CW396</f>
        <v>71633</v>
      </c>
      <c r="CX398" s="397">
        <f>+CX387-CX396</f>
        <v>71633</v>
      </c>
      <c r="CZ398" s="397">
        <f>+CZ387-CZ396</f>
        <v>72839</v>
      </c>
      <c r="DA398" s="397">
        <f>+DA387-DA396</f>
        <v>73088</v>
      </c>
      <c r="DB398" s="397">
        <f>+DB387-DB396</f>
        <v>73088</v>
      </c>
      <c r="DD398" s="397">
        <f>+DD387-DD396</f>
        <v>75264</v>
      </c>
      <c r="DE398" s="397">
        <f>+DE387-DE396</f>
        <v>78776</v>
      </c>
      <c r="DF398" s="397">
        <f>+DF387-DF396</f>
        <v>78776</v>
      </c>
      <c r="DH398" s="397">
        <f>+DH387-DH396</f>
        <v>77232</v>
      </c>
      <c r="DI398" s="397">
        <f>DI399</f>
        <v>78924.016849578707</v>
      </c>
      <c r="DJ398" s="397">
        <f ca="1">+DJ387-DJ396</f>
        <v>78924.016849578591</v>
      </c>
      <c r="DL398" s="397">
        <f ca="1">DL399</f>
        <v>80170.057431028938</v>
      </c>
      <c r="DM398" s="397">
        <f ca="1">DM399</f>
        <v>81696.111297174299</v>
      </c>
      <c r="DN398" s="397">
        <f ca="1">+DN387-DN396</f>
        <v>81696.11129717459</v>
      </c>
      <c r="DP398" s="397">
        <f ca="1">DP399</f>
        <v>82816.391055714426</v>
      </c>
      <c r="DQ398" s="397">
        <f ca="1">DQ399</f>
        <v>84425.659927121276</v>
      </c>
      <c r="DR398" s="397">
        <f ca="1">+DR387-DR396</f>
        <v>84425.659927121596</v>
      </c>
      <c r="DT398" s="1"/>
      <c r="DU398" s="1"/>
      <c r="DV398" s="1"/>
      <c r="DW398" s="1"/>
      <c r="DX398" s="1"/>
      <c r="DY398" s="1"/>
      <c r="DZ398" s="1"/>
      <c r="EA398" s="1"/>
      <c r="EB398" s="1"/>
      <c r="EC398" s="1"/>
      <c r="ED398" s="1"/>
      <c r="EE398" s="1"/>
      <c r="EF398" s="1"/>
      <c r="EG398" s="1"/>
      <c r="EH398" s="1"/>
      <c r="EI398" s="1"/>
      <c r="EJ398" s="1"/>
      <c r="EK398" s="1"/>
      <c r="EL398" s="1"/>
      <c r="EM398" s="1"/>
      <c r="EN398" s="1"/>
      <c r="EO398" s="1"/>
      <c r="EP398" s="1"/>
      <c r="EQ398" s="1"/>
      <c r="ER398" s="1"/>
      <c r="ES398" s="1"/>
      <c r="ET398" s="1"/>
      <c r="EU398" s="1"/>
      <c r="EV398" s="1"/>
      <c r="EW398" s="1"/>
      <c r="EX398" s="1"/>
      <c r="EY398" s="1"/>
      <c r="EZ398" s="1"/>
      <c r="FA398" s="1"/>
      <c r="FB398" s="1"/>
      <c r="FC398" s="1"/>
      <c r="FD398" s="1"/>
      <c r="FE398" s="1"/>
      <c r="FF398" s="1"/>
      <c r="FG398" s="1"/>
      <c r="FH398" s="1"/>
      <c r="FI398" s="1"/>
      <c r="FJ398" s="1"/>
      <c r="FK398" s="1"/>
      <c r="FL398" s="1"/>
      <c r="FM398" s="1"/>
      <c r="FN398" s="1"/>
      <c r="FO398" s="1"/>
      <c r="FP398" s="1"/>
      <c r="FQ398" s="1"/>
      <c r="FR398" s="1"/>
      <c r="FS398" s="1"/>
      <c r="FT398" s="1"/>
      <c r="FU398" s="1"/>
      <c r="FV398" s="1"/>
      <c r="FW398" s="1"/>
      <c r="FX398" s="1"/>
      <c r="FY398" s="1"/>
      <c r="FZ398" s="1"/>
      <c r="GA398" s="1"/>
      <c r="GB398" s="1"/>
      <c r="GC398" s="1"/>
      <c r="GD398" s="1"/>
      <c r="GE398" s="1"/>
      <c r="GF398" s="1"/>
      <c r="GG398" s="1"/>
      <c r="GH398" s="1"/>
      <c r="GI398" s="1"/>
      <c r="GJ398" s="1"/>
      <c r="GK398" s="1"/>
      <c r="GL398" s="1"/>
      <c r="GM398" s="1"/>
      <c r="GN398" s="1"/>
      <c r="GO398" s="1"/>
      <c r="GP398" s="1"/>
      <c r="GQ398" s="1"/>
      <c r="GR398" s="1"/>
      <c r="GS398" s="1"/>
      <c r="GT398" s="1"/>
      <c r="GU398" s="1"/>
      <c r="GV398" s="1"/>
      <c r="GW398" s="1"/>
      <c r="GX398" s="1"/>
      <c r="GY398" s="1"/>
      <c r="GZ398" s="1"/>
      <c r="HA398" s="1"/>
      <c r="HB398" s="1"/>
      <c r="HC398" s="1"/>
      <c r="HD398" s="1"/>
      <c r="HE398" s="1"/>
      <c r="HF398" s="1"/>
      <c r="HG398" s="1"/>
      <c r="HH398" s="1"/>
      <c r="HI398" s="1"/>
      <c r="HJ398" s="1"/>
      <c r="HK398" s="1"/>
      <c r="HL398" s="1"/>
      <c r="HM398" s="1"/>
      <c r="HN398" s="1"/>
      <c r="HO398" s="1"/>
      <c r="HP398" s="1"/>
      <c r="HQ398" s="1"/>
      <c r="HR398" s="1"/>
      <c r="HS398" s="1"/>
      <c r="HT398" s="1"/>
      <c r="HU398" s="1"/>
      <c r="HV398" s="1"/>
      <c r="HW398" s="1"/>
      <c r="HX398" s="1"/>
      <c r="HY398" s="1"/>
      <c r="HZ398" s="1"/>
      <c r="IA398" s="1"/>
      <c r="IB398" s="1"/>
      <c r="IC398" s="1"/>
      <c r="ID398" s="1"/>
      <c r="IE398" s="1"/>
      <c r="IF398" s="1"/>
      <c r="IG398" s="1"/>
      <c r="IH398" s="1"/>
      <c r="II398" s="1"/>
      <c r="IJ398" s="1"/>
      <c r="IK398" s="1"/>
      <c r="IL398" s="1"/>
      <c r="IM398" s="1"/>
      <c r="IN398" s="1"/>
      <c r="IO398" s="1"/>
      <c r="IP398" s="1"/>
      <c r="IQ398" s="1"/>
      <c r="IR398" s="1"/>
      <c r="IS398" s="1"/>
      <c r="IT398" s="1"/>
      <c r="IU398" s="1"/>
      <c r="IV398" s="1"/>
      <c r="IW398" s="1"/>
      <c r="IX398" s="1"/>
      <c r="IY398" s="1"/>
      <c r="IZ398" s="1"/>
      <c r="JA398" s="1"/>
      <c r="JB398" s="1"/>
      <c r="JC398" s="1"/>
      <c r="JD398" s="1"/>
    </row>
    <row r="399" spans="1:264" s="347" customFormat="1" x14ac:dyDescent="0.2">
      <c r="A399" s="411" t="s">
        <v>360</v>
      </c>
      <c r="B399" s="348"/>
      <c r="BH399" s="397">
        <f>BH947</f>
        <v>43348</v>
      </c>
      <c r="BI399" s="397">
        <f>BI947</f>
        <v>45537</v>
      </c>
      <c r="BJ399" s="397">
        <f>BJ947</f>
        <v>45537</v>
      </c>
      <c r="BK399" s="348"/>
      <c r="BL399" s="397">
        <f>BL947</f>
        <v>47037</v>
      </c>
      <c r="BM399" s="397">
        <f>BM947</f>
        <v>49348</v>
      </c>
      <c r="BN399" s="397">
        <f>BN947</f>
        <v>49348</v>
      </c>
      <c r="BO399" s="348"/>
      <c r="BP399" s="397">
        <f>BP947</f>
        <v>51031</v>
      </c>
      <c r="BQ399" s="397">
        <f>BQ947</f>
        <v>52993</v>
      </c>
      <c r="BR399" s="397">
        <f>BR947</f>
        <v>52993</v>
      </c>
      <c r="BT399" s="397">
        <f>BT947</f>
        <v>59664</v>
      </c>
      <c r="BU399" s="397">
        <f>BU947</f>
        <v>60564</v>
      </c>
      <c r="BV399" s="397">
        <f>BV947</f>
        <v>60564</v>
      </c>
      <c r="BX399" s="397">
        <f>BX947</f>
        <v>61756</v>
      </c>
      <c r="BY399" s="397">
        <f>BY947</f>
        <v>63660</v>
      </c>
      <c r="BZ399" s="397">
        <f>BZ947</f>
        <v>63660</v>
      </c>
      <c r="CB399" s="397">
        <f>CB947</f>
        <v>66091</v>
      </c>
      <c r="CC399" s="397">
        <f>CC947</f>
        <v>67860</v>
      </c>
      <c r="CD399" s="397">
        <f>CD947</f>
        <v>67860</v>
      </c>
      <c r="CF399" s="397">
        <f>CF947</f>
        <v>68578</v>
      </c>
      <c r="CG399" s="397">
        <f>CG947</f>
        <v>69649</v>
      </c>
      <c r="CH399" s="397">
        <f>CH947</f>
        <v>69649</v>
      </c>
      <c r="CJ399" s="397">
        <f>CJ947</f>
        <v>71153</v>
      </c>
      <c r="CK399" s="397">
        <f>CK947</f>
        <v>71938</v>
      </c>
      <c r="CL399" s="397">
        <f>CL947</f>
        <v>71938</v>
      </c>
      <c r="CN399" s="397">
        <f>CN947</f>
        <v>74920</v>
      </c>
      <c r="CO399" s="397">
        <f>CO947</f>
        <v>78718</v>
      </c>
      <c r="CP399" s="397">
        <f>CP947</f>
        <v>78718</v>
      </c>
      <c r="CR399" s="397">
        <f>CR947</f>
        <v>74663</v>
      </c>
      <c r="CS399" s="397">
        <f>CS947</f>
        <v>72838</v>
      </c>
      <c r="CT399" s="397">
        <f>CT947</f>
        <v>72838</v>
      </c>
      <c r="CV399" s="397">
        <f>CV947</f>
        <v>72321</v>
      </c>
      <c r="CW399" s="397">
        <f>CW947</f>
        <v>71633</v>
      </c>
      <c r="CX399" s="397">
        <f>CX947</f>
        <v>71633</v>
      </c>
      <c r="CZ399" s="397">
        <f>CZ947</f>
        <v>72839</v>
      </c>
      <c r="DA399" s="397">
        <f>DA947</f>
        <v>73088</v>
      </c>
      <c r="DB399" s="397">
        <f>DB947</f>
        <v>73088</v>
      </c>
      <c r="DD399" s="397">
        <f>DD947</f>
        <v>75264</v>
      </c>
      <c r="DE399" s="397">
        <f>DE947</f>
        <v>78776</v>
      </c>
      <c r="DF399" s="397">
        <f>DF947</f>
        <v>78776</v>
      </c>
      <c r="DH399" s="397">
        <f>DH947</f>
        <v>77232</v>
      </c>
      <c r="DI399" s="397">
        <f>DI947</f>
        <v>78924.016849578707</v>
      </c>
      <c r="DJ399" s="397">
        <f>DJ947</f>
        <v>78924.016849578707</v>
      </c>
      <c r="DL399" s="397">
        <f ca="1">DL947</f>
        <v>80170.057431028938</v>
      </c>
      <c r="DM399" s="397">
        <f ca="1">DM947</f>
        <v>81696.111297174299</v>
      </c>
      <c r="DN399" s="397">
        <f ca="1">DN947</f>
        <v>81696.111297174299</v>
      </c>
      <c r="DP399" s="397">
        <f ca="1">DP947</f>
        <v>82816.391055714426</v>
      </c>
      <c r="DQ399" s="397">
        <f ca="1">DQ947</f>
        <v>84425.659927121276</v>
      </c>
      <c r="DR399" s="397">
        <f ca="1">DR947</f>
        <v>84425.659927121276</v>
      </c>
      <c r="DT399" s="1"/>
      <c r="DU399" s="1"/>
      <c r="DV399" s="1"/>
      <c r="DW399" s="1"/>
      <c r="DX399" s="1"/>
      <c r="DY399" s="1"/>
      <c r="DZ399" s="1"/>
      <c r="EA399" s="1"/>
      <c r="EB399" s="1"/>
      <c r="EC399" s="1"/>
      <c r="ED399" s="1"/>
      <c r="EE399" s="1"/>
      <c r="EF399" s="1"/>
      <c r="EG399" s="1"/>
      <c r="EH399" s="1"/>
      <c r="EI399" s="1"/>
      <c r="EJ399" s="1"/>
      <c r="EK399" s="1"/>
      <c r="EL399" s="1"/>
      <c r="EM399" s="1"/>
      <c r="EN399" s="1"/>
      <c r="EO399" s="1"/>
      <c r="EP399" s="1"/>
      <c r="EQ399" s="1"/>
      <c r="ER399" s="1"/>
      <c r="ES399" s="1"/>
      <c r="ET399" s="1"/>
      <c r="EU399" s="1"/>
      <c r="EV399" s="1"/>
      <c r="EW399" s="1"/>
      <c r="EX399" s="1"/>
      <c r="EY399" s="1"/>
      <c r="EZ399" s="1"/>
      <c r="FA399" s="1"/>
      <c r="FB399" s="1"/>
      <c r="FC399" s="1"/>
      <c r="FD399" s="1"/>
      <c r="FE399" s="1"/>
      <c r="FF399" s="1"/>
      <c r="FG399" s="1"/>
      <c r="FH399" s="1"/>
      <c r="FI399" s="1"/>
      <c r="FJ399" s="1"/>
      <c r="FK399" s="1"/>
      <c r="FL399" s="1"/>
      <c r="FM399" s="1"/>
      <c r="FN399" s="1"/>
      <c r="FO399" s="1"/>
      <c r="FP399" s="1"/>
      <c r="FQ399" s="1"/>
      <c r="FR399" s="1"/>
      <c r="FS399" s="1"/>
      <c r="FT399" s="1"/>
      <c r="FU399" s="1"/>
      <c r="FV399" s="1"/>
      <c r="FW399" s="1"/>
      <c r="FX399" s="1"/>
      <c r="FY399" s="1"/>
      <c r="FZ399" s="1"/>
      <c r="GA399" s="1"/>
      <c r="GB399" s="1"/>
      <c r="GC399" s="1"/>
      <c r="GD399" s="1"/>
      <c r="GE399" s="1"/>
      <c r="GF399" s="1"/>
      <c r="GG399" s="1"/>
      <c r="GH399" s="1"/>
      <c r="GI399" s="1"/>
      <c r="GJ399" s="1"/>
      <c r="GK399" s="1"/>
      <c r="GL399" s="1"/>
      <c r="GM399" s="1"/>
      <c r="GN399" s="1"/>
      <c r="GO399" s="1"/>
      <c r="GP399" s="1"/>
      <c r="GQ399" s="1"/>
      <c r="GR399" s="1"/>
      <c r="GS399" s="1"/>
      <c r="GT399" s="1"/>
      <c r="GU399" s="1"/>
      <c r="GV399" s="1"/>
      <c r="GW399" s="1"/>
      <c r="GX399" s="1"/>
      <c r="GY399" s="1"/>
      <c r="GZ399" s="1"/>
      <c r="HA399" s="1"/>
      <c r="HB399" s="1"/>
      <c r="HC399" s="1"/>
      <c r="HD399" s="1"/>
      <c r="HE399" s="1"/>
      <c r="HF399" s="1"/>
      <c r="HG399" s="1"/>
      <c r="HH399" s="1"/>
      <c r="HI399" s="1"/>
      <c r="HJ399" s="1"/>
      <c r="HK399" s="1"/>
      <c r="HL399" s="1"/>
      <c r="HM399" s="1"/>
      <c r="HN399" s="1"/>
      <c r="HO399" s="1"/>
      <c r="HP399" s="1"/>
      <c r="HQ399" s="1"/>
      <c r="HR399" s="1"/>
      <c r="HS399" s="1"/>
      <c r="HT399" s="1"/>
      <c r="HU399" s="1"/>
      <c r="HV399" s="1"/>
      <c r="HW399" s="1"/>
      <c r="HX399" s="1"/>
      <c r="HY399" s="1"/>
      <c r="HZ399" s="1"/>
      <c r="IA399" s="1"/>
      <c r="IB399" s="1"/>
      <c r="IC399" s="1"/>
      <c r="ID399" s="1"/>
      <c r="IE399" s="1"/>
      <c r="IF399" s="1"/>
      <c r="IG399" s="1"/>
      <c r="IH399" s="1"/>
      <c r="II399" s="1"/>
      <c r="IJ399" s="1"/>
      <c r="IK399" s="1"/>
      <c r="IL399" s="1"/>
      <c r="IM399" s="1"/>
      <c r="IN399" s="1"/>
      <c r="IO399" s="1"/>
      <c r="IP399" s="1"/>
      <c r="IQ399" s="1"/>
      <c r="IR399" s="1"/>
      <c r="IS399" s="1"/>
      <c r="IT399" s="1"/>
      <c r="IU399" s="1"/>
      <c r="IV399" s="1"/>
      <c r="IW399" s="1"/>
      <c r="IX399" s="1"/>
      <c r="IY399" s="1"/>
      <c r="IZ399" s="1"/>
      <c r="JA399" s="1"/>
      <c r="JB399" s="1"/>
      <c r="JC399" s="1"/>
      <c r="JD399" s="1"/>
    </row>
    <row r="400" spans="1:264" s="347" customFormat="1" x14ac:dyDescent="0.2">
      <c r="A400" s="411" t="s">
        <v>361</v>
      </c>
      <c r="B400" s="348"/>
      <c r="BH400" s="397">
        <f>BH398-BH385</f>
        <v>32982</v>
      </c>
      <c r="BI400" s="397">
        <f>BI398-BI385</f>
        <v>35114</v>
      </c>
      <c r="BJ400" s="397">
        <f>BJ398-BJ385</f>
        <v>35114</v>
      </c>
      <c r="BK400" s="348"/>
      <c r="BL400" s="397">
        <f>BL398-BL385</f>
        <v>37095</v>
      </c>
      <c r="BM400" s="397">
        <f>BM398-BM385</f>
        <v>39556</v>
      </c>
      <c r="BN400" s="397">
        <f>BN398-BN385</f>
        <v>39556</v>
      </c>
      <c r="BO400" s="348"/>
      <c r="BP400" s="397">
        <f>BP398-BP385</f>
        <v>41150</v>
      </c>
      <c r="BQ400" s="397">
        <f>BQ398-BQ385</f>
        <v>43023</v>
      </c>
      <c r="BR400" s="397">
        <f>BR398-BR385</f>
        <v>43023</v>
      </c>
      <c r="BT400" s="397">
        <f>BT398-BT385</f>
        <v>49829</v>
      </c>
      <c r="BU400" s="397">
        <f>BU398-BU385</f>
        <v>50372</v>
      </c>
      <c r="BV400" s="397">
        <f>BV398-BV385</f>
        <v>50372</v>
      </c>
      <c r="BX400" s="397">
        <f>BX398-BX385</f>
        <v>53189</v>
      </c>
      <c r="BY400" s="397">
        <f>BY398-BY385</f>
        <v>55072</v>
      </c>
      <c r="BZ400" s="397">
        <f>BZ398-BZ385</f>
        <v>55072</v>
      </c>
      <c r="CB400" s="397">
        <f>CB398-CB385</f>
        <v>56951</v>
      </c>
      <c r="CC400" s="397">
        <f>CC398-CC385</f>
        <v>58770</v>
      </c>
      <c r="CD400" s="397">
        <f>CD398-CD385</f>
        <v>58770</v>
      </c>
      <c r="CF400" s="397">
        <f>CF398-CF385</f>
        <v>60417</v>
      </c>
      <c r="CG400" s="397">
        <f>CG398-CG385</f>
        <v>61684</v>
      </c>
      <c r="CH400" s="397">
        <f>CH398-CH385</f>
        <v>61684</v>
      </c>
      <c r="CJ400" s="397">
        <f>CJ398-CJ385</f>
        <v>63424</v>
      </c>
      <c r="CK400" s="397">
        <f>CK398-CK385</f>
        <v>65047</v>
      </c>
      <c r="CL400" s="397">
        <f>CL398-CL385</f>
        <v>65047</v>
      </c>
      <c r="CN400" s="397">
        <f>CN398-CN385</f>
        <v>68040</v>
      </c>
      <c r="CO400" s="397">
        <f>CO398-CO385</f>
        <v>71776</v>
      </c>
      <c r="CP400" s="397">
        <f>CP398-CP385</f>
        <v>71776</v>
      </c>
      <c r="CR400" s="397">
        <f>CR398-CR385</f>
        <v>67590</v>
      </c>
      <c r="CS400" s="397">
        <f>CS398-CS385</f>
        <v>65939</v>
      </c>
      <c r="CT400" s="397">
        <f>CT398-CT385</f>
        <v>65939</v>
      </c>
      <c r="CV400" s="397">
        <f>CV398-CV385</f>
        <v>65185</v>
      </c>
      <c r="CW400" s="397">
        <f>CW398-CW385</f>
        <v>64240</v>
      </c>
      <c r="CX400" s="397">
        <f>CX398-CX385</f>
        <v>64240</v>
      </c>
      <c r="CZ400" s="397">
        <f>CZ398-CZ385</f>
        <v>65329</v>
      </c>
      <c r="DA400" s="397">
        <f>DA398-DA385</f>
        <v>65488</v>
      </c>
      <c r="DB400" s="397">
        <f>DB398-DB385</f>
        <v>65488</v>
      </c>
      <c r="DD400" s="397">
        <f>DD398-DD385</f>
        <v>67481</v>
      </c>
      <c r="DE400" s="397">
        <f>DE398-DE385</f>
        <v>70694</v>
      </c>
      <c r="DF400" s="397">
        <f>DF398-DF385</f>
        <v>70694</v>
      </c>
      <c r="DH400" s="397">
        <f>DH398-DH385</f>
        <v>68936</v>
      </c>
      <c r="DI400" s="397">
        <f>DI398-DI385</f>
        <v>70425.461954841405</v>
      </c>
      <c r="DJ400" s="397">
        <f ca="1">DJ398-DJ385</f>
        <v>70425.461954841288</v>
      </c>
      <c r="DL400" s="397">
        <f ca="1">DL398-DL385</f>
        <v>71494.631033074125</v>
      </c>
      <c r="DM400" s="397">
        <f ca="1">DM398-DM385</f>
        <v>72858.075424281138</v>
      </c>
      <c r="DN400" s="397">
        <f ca="1">DN398-DN385</f>
        <v>72858.075424281429</v>
      </c>
      <c r="DP400" s="397">
        <f ca="1">DP398-DP385</f>
        <v>73875.780259574283</v>
      </c>
      <c r="DQ400" s="397">
        <f ca="1">DQ398-DQ385</f>
        <v>75388.820573716177</v>
      </c>
      <c r="DR400" s="397">
        <f ca="1">DR398-DR385</f>
        <v>75388.820573716497</v>
      </c>
      <c r="DT400" s="1"/>
      <c r="DU400" s="1"/>
      <c r="DV400" s="1"/>
      <c r="DW400" s="1"/>
      <c r="DX400" s="1"/>
      <c r="DY400" s="1"/>
      <c r="DZ400" s="1"/>
      <c r="EA400" s="1"/>
      <c r="EB400" s="1"/>
      <c r="EC400" s="1"/>
      <c r="ED400" s="1"/>
      <c r="EE400" s="1"/>
      <c r="EF400" s="1"/>
      <c r="EG400" s="1"/>
      <c r="EH400" s="1"/>
      <c r="EI400" s="1"/>
      <c r="EJ400" s="1"/>
      <c r="EK400" s="1"/>
      <c r="EL400" s="1"/>
      <c r="EM400" s="1"/>
      <c r="EN400" s="1"/>
      <c r="EO400" s="1"/>
      <c r="EP400" s="1"/>
      <c r="EQ400" s="1"/>
      <c r="ER400" s="1"/>
      <c r="ES400" s="1"/>
      <c r="ET400" s="1"/>
      <c r="EU400" s="1"/>
      <c r="EV400" s="1"/>
      <c r="EW400" s="1"/>
      <c r="EX400" s="1"/>
      <c r="EY400" s="1"/>
      <c r="EZ400" s="1"/>
      <c r="FA400" s="1"/>
      <c r="FB400" s="1"/>
      <c r="FC400" s="1"/>
      <c r="FD400" s="1"/>
      <c r="FE400" s="1"/>
      <c r="FF400" s="1"/>
      <c r="FG400" s="1"/>
      <c r="FH400" s="1"/>
      <c r="FI400" s="1"/>
      <c r="FJ400" s="1"/>
      <c r="FK400" s="1"/>
      <c r="FL400" s="1"/>
      <c r="FM400" s="1"/>
      <c r="FN400" s="1"/>
      <c r="FO400" s="1"/>
      <c r="FP400" s="1"/>
      <c r="FQ400" s="1"/>
      <c r="FR400" s="1"/>
      <c r="FS400" s="1"/>
      <c r="FT400" s="1"/>
      <c r="FU400" s="1"/>
      <c r="FV400" s="1"/>
      <c r="FW400" s="1"/>
      <c r="FX400" s="1"/>
      <c r="FY400" s="1"/>
      <c r="FZ400" s="1"/>
      <c r="GA400" s="1"/>
      <c r="GB400" s="1"/>
      <c r="GC400" s="1"/>
      <c r="GD400" s="1"/>
      <c r="GE400" s="1"/>
      <c r="GF400" s="1"/>
      <c r="GG400" s="1"/>
      <c r="GH400" s="1"/>
      <c r="GI400" s="1"/>
      <c r="GJ400" s="1"/>
      <c r="GK400" s="1"/>
      <c r="GL400" s="1"/>
      <c r="GM400" s="1"/>
      <c r="GN400" s="1"/>
      <c r="GO400" s="1"/>
      <c r="GP400" s="1"/>
      <c r="GQ400" s="1"/>
      <c r="GR400" s="1"/>
      <c r="GS400" s="1"/>
      <c r="GT400" s="1"/>
      <c r="GU400" s="1"/>
      <c r="GV400" s="1"/>
      <c r="GW400" s="1"/>
      <c r="GX400" s="1"/>
      <c r="GY400" s="1"/>
      <c r="GZ400" s="1"/>
      <c r="HA400" s="1"/>
      <c r="HB400" s="1"/>
      <c r="HC400" s="1"/>
      <c r="HD400" s="1"/>
      <c r="HE400" s="1"/>
      <c r="HF400" s="1"/>
      <c r="HG400" s="1"/>
      <c r="HH400" s="1"/>
      <c r="HI400" s="1"/>
      <c r="HJ400" s="1"/>
      <c r="HK400" s="1"/>
      <c r="HL400" s="1"/>
      <c r="HM400" s="1"/>
      <c r="HN400" s="1"/>
      <c r="HO400" s="1"/>
      <c r="HP400" s="1"/>
      <c r="HQ400" s="1"/>
      <c r="HR400" s="1"/>
      <c r="HS400" s="1"/>
      <c r="HT400" s="1"/>
      <c r="HU400" s="1"/>
      <c r="HV400" s="1"/>
      <c r="HW400" s="1"/>
      <c r="HX400" s="1"/>
      <c r="HY400" s="1"/>
      <c r="HZ400" s="1"/>
      <c r="IA400" s="1"/>
      <c r="IB400" s="1"/>
      <c r="IC400" s="1"/>
      <c r="ID400" s="1"/>
      <c r="IE400" s="1"/>
      <c r="IF400" s="1"/>
      <c r="IG400" s="1"/>
      <c r="IH400" s="1"/>
      <c r="II400" s="1"/>
      <c r="IJ400" s="1"/>
      <c r="IK400" s="1"/>
      <c r="IL400" s="1"/>
      <c r="IM400" s="1"/>
      <c r="IN400" s="1"/>
      <c r="IO400" s="1"/>
      <c r="IP400" s="1"/>
      <c r="IQ400" s="1"/>
      <c r="IR400" s="1"/>
      <c r="IS400" s="1"/>
      <c r="IT400" s="1"/>
      <c r="IU400" s="1"/>
      <c r="IV400" s="1"/>
      <c r="IW400" s="1"/>
      <c r="IX400" s="1"/>
      <c r="IY400" s="1"/>
      <c r="IZ400" s="1"/>
      <c r="JA400" s="1"/>
      <c r="JB400" s="1"/>
      <c r="JC400" s="1"/>
      <c r="JD400" s="1"/>
    </row>
    <row r="401" spans="1:264" s="347" customFormat="1" x14ac:dyDescent="0.2">
      <c r="A401" s="347" t="s">
        <v>362</v>
      </c>
      <c r="B401" s="348"/>
      <c r="BH401" s="397"/>
      <c r="BI401" s="397"/>
      <c r="BJ401" s="397"/>
      <c r="BK401" s="348"/>
      <c r="BL401" s="351">
        <f>AVERAGE(BL400,BI400)</f>
        <v>36104.5</v>
      </c>
      <c r="BM401" s="351">
        <f>AVERAGE(BL400:BM400)</f>
        <v>38325.5</v>
      </c>
      <c r="BN401" s="351">
        <f>AVERAGE(BL401:BM401)</f>
        <v>37215</v>
      </c>
      <c r="BO401" s="348"/>
      <c r="BP401" s="351">
        <f>AVERAGE(BP400,BM400)</f>
        <v>40353</v>
      </c>
      <c r="BQ401" s="351">
        <f>AVERAGE(BP400:BQ400)</f>
        <v>42086.5</v>
      </c>
      <c r="BR401" s="351">
        <f>AVERAGE(BP401:BQ401)</f>
        <v>41219.75</v>
      </c>
      <c r="BT401" s="351">
        <f>AVERAGE(BT400,BQ400)</f>
        <v>46426</v>
      </c>
      <c r="BU401" s="351">
        <f>AVERAGE(BT400:BU400)</f>
        <v>50100.5</v>
      </c>
      <c r="BV401" s="351">
        <f>AVERAGE(BT401:BU401)</f>
        <v>48263.25</v>
      </c>
      <c r="BX401" s="351">
        <f>AVERAGE(BX400,BU400)</f>
        <v>51780.5</v>
      </c>
      <c r="BY401" s="351">
        <f>AVERAGE(BX400:BY400)</f>
        <v>54130.5</v>
      </c>
      <c r="BZ401" s="351">
        <f>AVERAGE(BX401:BY401)</f>
        <v>52955.5</v>
      </c>
      <c r="CB401" s="351">
        <f>AVERAGE(CB400,BY400)</f>
        <v>56011.5</v>
      </c>
      <c r="CC401" s="351">
        <f>AVERAGE(CB400:CC400)</f>
        <v>57860.5</v>
      </c>
      <c r="CD401" s="351">
        <f>AVERAGE(CB401:CC401)</f>
        <v>56936</v>
      </c>
      <c r="CF401" s="351">
        <f>AVERAGE(CF400,CC400)</f>
        <v>59593.5</v>
      </c>
      <c r="CG401" s="351">
        <f>AVERAGE(CF400:CG400)</f>
        <v>61050.5</v>
      </c>
      <c r="CH401" s="351">
        <f>AVERAGE(CF401:CG401)</f>
        <v>60322</v>
      </c>
      <c r="CJ401" s="351">
        <f>AVERAGE(CJ400,CG400)</f>
        <v>62554</v>
      </c>
      <c r="CK401" s="351">
        <f>AVERAGE(CJ400:CK400)</f>
        <v>64235.5</v>
      </c>
      <c r="CL401" s="351">
        <f>AVERAGE(CJ401:CK401)</f>
        <v>63394.75</v>
      </c>
      <c r="CN401" s="351">
        <f>AVERAGE(CN400,CK400)</f>
        <v>66543.5</v>
      </c>
      <c r="CO401" s="351">
        <f>AVERAGE(CN400:CO400)</f>
        <v>69908</v>
      </c>
      <c r="CP401" s="351">
        <f>AVERAGE(CN401:CO401)</f>
        <v>68225.75</v>
      </c>
      <c r="CR401" s="351">
        <f>AVERAGE(CR400,CO400)</f>
        <v>69683</v>
      </c>
      <c r="CS401" s="351">
        <f>AVERAGE(CR400:CS400)</f>
        <v>66764.5</v>
      </c>
      <c r="CT401" s="351">
        <f>AVERAGE(CR401:CS401)</f>
        <v>68223.75</v>
      </c>
      <c r="CV401" s="351">
        <f>AVERAGE(CV400,CS400)</f>
        <v>65562</v>
      </c>
      <c r="CW401" s="351">
        <f>AVERAGE(CV400:CW400)</f>
        <v>64712.5</v>
      </c>
      <c r="CX401" s="351">
        <f>AVERAGE(CV401:CW401)</f>
        <v>65137.25</v>
      </c>
      <c r="CZ401" s="351">
        <f>AVERAGE(CZ400,CW400)</f>
        <v>64784.5</v>
      </c>
      <c r="DA401" s="351">
        <f>AVERAGE(CZ400:DA400)</f>
        <v>65408.5</v>
      </c>
      <c r="DB401" s="351">
        <f>AVERAGE(CZ401:DA401)</f>
        <v>65096.5</v>
      </c>
      <c r="DD401" s="351">
        <f>AVERAGE(DD400,DA400)</f>
        <v>66484.5</v>
      </c>
      <c r="DE401" s="351">
        <f>AVERAGE(DD400:DE400)</f>
        <v>69087.5</v>
      </c>
      <c r="DF401" s="351">
        <f>AVERAGE(DD401:DE401)</f>
        <v>67786</v>
      </c>
      <c r="DH401" s="351">
        <f>AVERAGE(DH400,DE400)</f>
        <v>69815</v>
      </c>
      <c r="DI401" s="351">
        <f>AVERAGE(DH400:DI400)</f>
        <v>69680.730977420695</v>
      </c>
      <c r="DJ401" s="351">
        <f>AVERAGE(DH401:DI401)</f>
        <v>69747.865488710348</v>
      </c>
      <c r="DL401" s="351">
        <f ca="1">AVERAGE(DL400,DI400)</f>
        <v>70960.046493957765</v>
      </c>
      <c r="DM401" s="351">
        <f ca="1">AVERAGE(DL400:DM400)</f>
        <v>72176.353228677632</v>
      </c>
      <c r="DN401" s="351">
        <f ca="1">AVERAGE(DL401:DM401)</f>
        <v>71568.199861317698</v>
      </c>
      <c r="DP401" s="351">
        <f ca="1">AVERAGE(DP400,DM400)</f>
        <v>73366.927841927711</v>
      </c>
      <c r="DQ401" s="351">
        <f ca="1">AVERAGE(DP400:DQ400)</f>
        <v>74632.30041664523</v>
      </c>
      <c r="DR401" s="351">
        <f ca="1">AVERAGE(DP401:DQ401)</f>
        <v>73999.614129286463</v>
      </c>
      <c r="DT401" s="1"/>
      <c r="DU401" s="1"/>
      <c r="DV401" s="1"/>
      <c r="DW401" s="1"/>
      <c r="DX401" s="1"/>
      <c r="DY401" s="1"/>
      <c r="DZ401" s="1"/>
      <c r="EA401" s="1"/>
      <c r="EB401" s="1"/>
      <c r="EC401" s="1"/>
      <c r="ED401" s="1"/>
      <c r="EE401" s="1"/>
      <c r="EF401" s="1"/>
      <c r="EG401" s="1"/>
      <c r="EH401" s="1"/>
      <c r="EI401" s="1"/>
      <c r="EJ401" s="1"/>
      <c r="EK401" s="1"/>
      <c r="EL401" s="1"/>
      <c r="EM401" s="1"/>
      <c r="EN401" s="1"/>
      <c r="EO401" s="1"/>
      <c r="EP401" s="1"/>
      <c r="EQ401" s="1"/>
      <c r="ER401" s="1"/>
      <c r="ES401" s="1"/>
      <c r="ET401" s="1"/>
      <c r="EU401" s="1"/>
      <c r="EV401" s="1"/>
      <c r="EW401" s="1"/>
      <c r="EX401" s="1"/>
      <c r="EY401" s="1"/>
      <c r="EZ401" s="1"/>
      <c r="FA401" s="1"/>
      <c r="FB401" s="1"/>
      <c r="FC401" s="1"/>
      <c r="FD401" s="1"/>
      <c r="FE401" s="1"/>
      <c r="FF401" s="1"/>
      <c r="FG401" s="1"/>
      <c r="FH401" s="1"/>
      <c r="FI401" s="1"/>
      <c r="FJ401" s="1"/>
      <c r="FK401" s="1"/>
      <c r="FL401" s="1"/>
      <c r="FM401" s="1"/>
      <c r="FN401" s="1"/>
      <c r="FO401" s="1"/>
      <c r="FP401" s="1"/>
      <c r="FQ401" s="1"/>
      <c r="FR401" s="1"/>
      <c r="FS401" s="1"/>
      <c r="FT401" s="1"/>
      <c r="FU401" s="1"/>
      <c r="FV401" s="1"/>
      <c r="FW401" s="1"/>
      <c r="FX401" s="1"/>
      <c r="FY401" s="1"/>
      <c r="FZ401" s="1"/>
      <c r="GA401" s="1"/>
      <c r="GB401" s="1"/>
      <c r="GC401" s="1"/>
      <c r="GD401" s="1"/>
      <c r="GE401" s="1"/>
      <c r="GF401" s="1"/>
      <c r="GG401" s="1"/>
      <c r="GH401" s="1"/>
      <c r="GI401" s="1"/>
      <c r="GJ401" s="1"/>
      <c r="GK401" s="1"/>
      <c r="GL401" s="1"/>
      <c r="GM401" s="1"/>
      <c r="GN401" s="1"/>
      <c r="GO401" s="1"/>
      <c r="GP401" s="1"/>
      <c r="GQ401" s="1"/>
      <c r="GR401" s="1"/>
      <c r="GS401" s="1"/>
      <c r="GT401" s="1"/>
      <c r="GU401" s="1"/>
      <c r="GV401" s="1"/>
      <c r="GW401" s="1"/>
      <c r="GX401" s="1"/>
      <c r="GY401" s="1"/>
      <c r="GZ401" s="1"/>
      <c r="HA401" s="1"/>
      <c r="HB401" s="1"/>
      <c r="HC401" s="1"/>
      <c r="HD401" s="1"/>
      <c r="HE401" s="1"/>
      <c r="HF401" s="1"/>
      <c r="HG401" s="1"/>
      <c r="HH401" s="1"/>
      <c r="HI401" s="1"/>
      <c r="HJ401" s="1"/>
      <c r="HK401" s="1"/>
      <c r="HL401" s="1"/>
      <c r="HM401" s="1"/>
      <c r="HN401" s="1"/>
      <c r="HO401" s="1"/>
      <c r="HP401" s="1"/>
      <c r="HQ401" s="1"/>
      <c r="HR401" s="1"/>
      <c r="HS401" s="1"/>
      <c r="HT401" s="1"/>
      <c r="HU401" s="1"/>
      <c r="HV401" s="1"/>
      <c r="HW401" s="1"/>
      <c r="HX401" s="1"/>
      <c r="HY401" s="1"/>
      <c r="HZ401" s="1"/>
      <c r="IA401" s="1"/>
      <c r="IB401" s="1"/>
      <c r="IC401" s="1"/>
      <c r="ID401" s="1"/>
      <c r="IE401" s="1"/>
      <c r="IF401" s="1"/>
      <c r="IG401" s="1"/>
      <c r="IH401" s="1"/>
      <c r="II401" s="1"/>
      <c r="IJ401" s="1"/>
      <c r="IK401" s="1"/>
      <c r="IL401" s="1"/>
      <c r="IM401" s="1"/>
      <c r="IN401" s="1"/>
      <c r="IO401" s="1"/>
      <c r="IP401" s="1"/>
      <c r="IQ401" s="1"/>
      <c r="IR401" s="1"/>
      <c r="IS401" s="1"/>
      <c r="IT401" s="1"/>
      <c r="IU401" s="1"/>
      <c r="IV401" s="1"/>
      <c r="IW401" s="1"/>
      <c r="IX401" s="1"/>
      <c r="IY401" s="1"/>
      <c r="IZ401" s="1"/>
      <c r="JA401" s="1"/>
      <c r="JB401" s="1"/>
      <c r="JC401" s="1"/>
      <c r="JD401" s="1"/>
    </row>
    <row r="402" spans="1:264" s="347" customFormat="1" x14ac:dyDescent="0.2">
      <c r="B402" s="348"/>
      <c r="BH402" s="348"/>
      <c r="BI402" s="348"/>
      <c r="BJ402" s="348"/>
      <c r="BK402" s="348"/>
      <c r="BL402" s="348"/>
      <c r="BM402" s="348"/>
      <c r="BN402" s="348"/>
      <c r="BO402" s="348"/>
      <c r="BP402" s="348"/>
      <c r="BQ402" s="348"/>
      <c r="BR402" s="348"/>
      <c r="BT402" s="348"/>
      <c r="BU402" s="348"/>
      <c r="BV402" s="348"/>
      <c r="BX402" s="348"/>
      <c r="BY402" s="348"/>
      <c r="BZ402" s="348"/>
      <c r="CB402" s="348"/>
      <c r="CC402" s="348"/>
      <c r="CD402" s="348"/>
      <c r="CF402" s="348"/>
      <c r="CG402" s="348"/>
      <c r="CH402" s="348"/>
      <c r="CJ402" s="348"/>
      <c r="CK402" s="348"/>
      <c r="CL402" s="348"/>
      <c r="CN402" s="348"/>
      <c r="CO402" s="348"/>
      <c r="CP402" s="348"/>
      <c r="CR402" s="348"/>
      <c r="CS402" s="348"/>
      <c r="CT402" s="348"/>
      <c r="CV402" s="348"/>
      <c r="CW402" s="348"/>
      <c r="CX402" s="348"/>
      <c r="CZ402" s="348"/>
      <c r="DA402" s="348"/>
      <c r="DB402" s="348"/>
      <c r="DD402" s="348"/>
      <c r="DE402" s="348"/>
      <c r="DF402" s="348"/>
      <c r="DH402" s="348"/>
      <c r="DI402" s="348"/>
      <c r="DJ402" s="348"/>
      <c r="DL402" s="348"/>
      <c r="DM402" s="348"/>
      <c r="DN402" s="348"/>
      <c r="DP402" s="348"/>
      <c r="DQ402" s="348"/>
      <c r="DR402" s="348"/>
      <c r="DT402" s="1"/>
      <c r="DU402" s="1"/>
      <c r="DV402" s="1"/>
      <c r="DW402" s="1"/>
      <c r="DX402" s="1"/>
      <c r="DY402" s="1"/>
      <c r="DZ402" s="1"/>
      <c r="EA402" s="1"/>
      <c r="EB402" s="1"/>
      <c r="EC402" s="1"/>
      <c r="ED402" s="1"/>
      <c r="EE402" s="1"/>
      <c r="EF402" s="1"/>
      <c r="EG402" s="1"/>
      <c r="EH402" s="1"/>
      <c r="EI402" s="1"/>
      <c r="EJ402" s="1"/>
      <c r="EK402" s="1"/>
      <c r="EL402" s="1"/>
      <c r="EM402" s="1"/>
      <c r="EN402" s="1"/>
      <c r="EO402" s="1"/>
      <c r="EP402" s="1"/>
      <c r="EQ402" s="1"/>
      <c r="ER402" s="1"/>
      <c r="ES402" s="1"/>
      <c r="ET402" s="1"/>
      <c r="EU402" s="1"/>
      <c r="EV402" s="1"/>
      <c r="EW402" s="1"/>
      <c r="EX402" s="1"/>
      <c r="EY402" s="1"/>
      <c r="EZ402" s="1"/>
      <c r="FA402" s="1"/>
      <c r="FB402" s="1"/>
      <c r="FC402" s="1"/>
      <c r="FD402" s="1"/>
      <c r="FE402" s="1"/>
      <c r="FF402" s="1"/>
      <c r="FG402" s="1"/>
      <c r="FH402" s="1"/>
      <c r="FI402" s="1"/>
      <c r="FJ402" s="1"/>
      <c r="FK402" s="1"/>
      <c r="FL402" s="1"/>
      <c r="FM402" s="1"/>
      <c r="FN402" s="1"/>
      <c r="FO402" s="1"/>
      <c r="FP402" s="1"/>
      <c r="FQ402" s="1"/>
      <c r="FR402" s="1"/>
      <c r="FS402" s="1"/>
      <c r="FT402" s="1"/>
      <c r="FU402" s="1"/>
      <c r="FV402" s="1"/>
      <c r="FW402" s="1"/>
      <c r="FX402" s="1"/>
      <c r="FY402" s="1"/>
      <c r="FZ402" s="1"/>
      <c r="GA402" s="1"/>
      <c r="GB402" s="1"/>
      <c r="GC402" s="1"/>
      <c r="GD402" s="1"/>
      <c r="GE402" s="1"/>
      <c r="GF402" s="1"/>
      <c r="GG402" s="1"/>
      <c r="GH402" s="1"/>
      <c r="GI402" s="1"/>
      <c r="GJ402" s="1"/>
      <c r="GK402" s="1"/>
      <c r="GL402" s="1"/>
      <c r="GM402" s="1"/>
      <c r="GN402" s="1"/>
      <c r="GO402" s="1"/>
      <c r="GP402" s="1"/>
      <c r="GQ402" s="1"/>
      <c r="GR402" s="1"/>
      <c r="GS402" s="1"/>
      <c r="GT402" s="1"/>
      <c r="GU402" s="1"/>
      <c r="GV402" s="1"/>
      <c r="GW402" s="1"/>
      <c r="GX402" s="1"/>
      <c r="GY402" s="1"/>
      <c r="GZ402" s="1"/>
      <c r="HA402" s="1"/>
      <c r="HB402" s="1"/>
      <c r="HC402" s="1"/>
      <c r="HD402" s="1"/>
      <c r="HE402" s="1"/>
      <c r="HF402" s="1"/>
      <c r="HG402" s="1"/>
      <c r="HH402" s="1"/>
      <c r="HI402" s="1"/>
      <c r="HJ402" s="1"/>
      <c r="HK402" s="1"/>
      <c r="HL402" s="1"/>
      <c r="HM402" s="1"/>
      <c r="HN402" s="1"/>
      <c r="HO402" s="1"/>
      <c r="HP402" s="1"/>
      <c r="HQ402" s="1"/>
      <c r="HR402" s="1"/>
      <c r="HS402" s="1"/>
      <c r="HT402" s="1"/>
      <c r="HU402" s="1"/>
      <c r="HV402" s="1"/>
      <c r="HW402" s="1"/>
      <c r="HX402" s="1"/>
      <c r="HY402" s="1"/>
      <c r="HZ402" s="1"/>
      <c r="IA402" s="1"/>
      <c r="IB402" s="1"/>
      <c r="IC402" s="1"/>
      <c r="ID402" s="1"/>
      <c r="IE402" s="1"/>
      <c r="IF402" s="1"/>
      <c r="IG402" s="1"/>
      <c r="IH402" s="1"/>
      <c r="II402" s="1"/>
      <c r="IJ402" s="1"/>
      <c r="IK402" s="1"/>
      <c r="IL402" s="1"/>
      <c r="IM402" s="1"/>
      <c r="IN402" s="1"/>
      <c r="IO402" s="1"/>
      <c r="IP402" s="1"/>
      <c r="IQ402" s="1"/>
      <c r="IR402" s="1"/>
      <c r="IS402" s="1"/>
      <c r="IT402" s="1"/>
      <c r="IU402" s="1"/>
      <c r="IV402" s="1"/>
      <c r="IW402" s="1"/>
      <c r="IX402" s="1"/>
      <c r="IY402" s="1"/>
      <c r="IZ402" s="1"/>
      <c r="JA402" s="1"/>
      <c r="JB402" s="1"/>
      <c r="JC402" s="1"/>
      <c r="JD402" s="1"/>
    </row>
    <row r="403" spans="1:264" s="429" customFormat="1" x14ac:dyDescent="0.2">
      <c r="A403" s="429" t="s">
        <v>363</v>
      </c>
      <c r="B403" s="408"/>
      <c r="BH403" s="393">
        <f>BH382/BH387</f>
        <v>0.74029297283375539</v>
      </c>
      <c r="BI403" s="393">
        <f>BI382/BI387</f>
        <v>0.73835886646937021</v>
      </c>
      <c r="BJ403" s="393">
        <f>BJ382/BJ387</f>
        <v>0.73835886646937021</v>
      </c>
      <c r="BK403" s="408"/>
      <c r="BL403" s="393">
        <f>BL382/BL387</f>
        <v>0.74286751518916627</v>
      </c>
      <c r="BM403" s="393">
        <f>BM382/BM387</f>
        <v>0.75524700834290437</v>
      </c>
      <c r="BN403" s="393">
        <f>BN382/BN387</f>
        <v>0.75524700834290437</v>
      </c>
      <c r="BO403" s="408"/>
      <c r="BP403" s="393">
        <f>BP382/BP387</f>
        <v>0.72916279736785805</v>
      </c>
      <c r="BQ403" s="393">
        <f>BQ382/BQ387</f>
        <v>0.73184947896034791</v>
      </c>
      <c r="BR403" s="393">
        <f>BR382/BR387</f>
        <v>0.73184947896034791</v>
      </c>
      <c r="BT403" s="393">
        <f>BT382/BT387</f>
        <v>0.74093070896658642</v>
      </c>
      <c r="BU403" s="393">
        <f>BU382/BU387</f>
        <v>0.74522601540278521</v>
      </c>
      <c r="BV403" s="393">
        <f>BV382/BV387</f>
        <v>0.74522601540278521</v>
      </c>
      <c r="BX403" s="393">
        <f>BX382/BX387</f>
        <v>0.73365971535398589</v>
      </c>
      <c r="BY403" s="393">
        <f>BY382/BY387</f>
        <v>0.74947711708685083</v>
      </c>
      <c r="BZ403" s="393">
        <f>BZ382/BZ387</f>
        <v>0.74947711708685083</v>
      </c>
      <c r="CB403" s="393">
        <f>CB382/CB387</f>
        <v>0.76542887736113852</v>
      </c>
      <c r="CC403" s="393">
        <f>CC382/CC387</f>
        <v>0.76226792388980324</v>
      </c>
      <c r="CD403" s="393">
        <f>CD382/CD387</f>
        <v>0.76226792388980324</v>
      </c>
      <c r="CF403" s="393">
        <f>CF382/CF387</f>
        <v>0.768496476036025</v>
      </c>
      <c r="CG403" s="393">
        <f>CG382/CG387</f>
        <v>0.77325904094410458</v>
      </c>
      <c r="CH403" s="393">
        <f>CH382/CH387</f>
        <v>0.77325904094410458</v>
      </c>
      <c r="CJ403" s="393">
        <f>CJ382/CJ387</f>
        <v>0.78110214845264869</v>
      </c>
      <c r="CK403" s="393">
        <f>CK382/CK387</f>
        <v>0.76108623486047366</v>
      </c>
      <c r="CL403" s="393">
        <f>CL382/CL387</f>
        <v>0.76108623486047366</v>
      </c>
      <c r="CN403" s="393">
        <f>CN382/CN387</f>
        <v>0.74281641207681126</v>
      </c>
      <c r="CO403" s="393">
        <f>CO382/CO387</f>
        <v>0.74292420432212847</v>
      </c>
      <c r="CP403" s="393">
        <f>CP382/CP387</f>
        <v>0.74292420432212847</v>
      </c>
      <c r="CR403" s="393">
        <f>CR382/CR387</f>
        <v>0.73390194753407723</v>
      </c>
      <c r="CS403" s="393">
        <f>CS382/CS387</f>
        <v>0.72308559485213042</v>
      </c>
      <c r="CT403" s="393">
        <f>CT382/CT387</f>
        <v>0.72308559485213042</v>
      </c>
      <c r="CV403" s="393">
        <f>CV382/CV387</f>
        <v>0.73543334948355799</v>
      </c>
      <c r="CW403" s="393">
        <f>CW382/CW387</f>
        <v>0.73930533054726721</v>
      </c>
      <c r="CX403" s="393">
        <f>CX382/CX387</f>
        <v>0.73930533054726721</v>
      </c>
      <c r="CZ403" s="393">
        <f>CZ382/CZ387</f>
        <v>0.7219093880807449</v>
      </c>
      <c r="DA403" s="393">
        <f>DA382/DA387</f>
        <v>0.751140281769207</v>
      </c>
      <c r="DB403" s="393">
        <f>DB382/DB387</f>
        <v>0.751140281769207</v>
      </c>
      <c r="DD403" s="393">
        <f>DD382/DD387</f>
        <v>0.74066267960500276</v>
      </c>
      <c r="DE403" s="393">
        <f>DE382/DE387</f>
        <v>0.74424046701172031</v>
      </c>
      <c r="DF403" s="393">
        <f>DF382/DF387</f>
        <v>0.74424046701172031</v>
      </c>
      <c r="DH403" s="393">
        <f>DH382/DH387</f>
        <v>0.7387451658517471</v>
      </c>
      <c r="DI403" s="393">
        <f ca="1">DI382/DI387</f>
        <v>0.73881911856283999</v>
      </c>
      <c r="DJ403" s="393">
        <f ca="1">DJ382/DJ387</f>
        <v>0.73881911856283999</v>
      </c>
      <c r="DL403" s="393">
        <f ca="1">DL382/DL387</f>
        <v>0.7388811524404586</v>
      </c>
      <c r="DM403" s="393">
        <f ca="1">DM382/DM387</f>
        <v>0.73895317103131863</v>
      </c>
      <c r="DN403" s="393">
        <f ca="1">DN382/DN387</f>
        <v>0.73895317103131863</v>
      </c>
      <c r="DP403" s="393">
        <f ca="1">DP382/DP387</f>
        <v>0.73899942621052039</v>
      </c>
      <c r="DQ403" s="393">
        <f ca="1">DQ382/DQ387</f>
        <v>0.73905192256696217</v>
      </c>
      <c r="DR403" s="393">
        <f ca="1">DR382/DR387</f>
        <v>0.73905192256696217</v>
      </c>
      <c r="DT403" s="1"/>
      <c r="DU403" s="1"/>
      <c r="DV403" s="1"/>
      <c r="DW403" s="1"/>
      <c r="DX403" s="1"/>
      <c r="DY403" s="1"/>
      <c r="DZ403" s="1"/>
      <c r="EA403" s="1"/>
      <c r="EB403" s="1"/>
      <c r="EC403" s="1"/>
      <c r="ED403" s="1"/>
      <c r="EE403" s="1"/>
      <c r="EF403" s="1"/>
      <c r="EG403" s="1"/>
      <c r="EH403" s="1"/>
      <c r="EI403" s="1"/>
      <c r="EJ403" s="1"/>
      <c r="EK403" s="1"/>
      <c r="EL403" s="1"/>
      <c r="EM403" s="1"/>
      <c r="EN403" s="1"/>
      <c r="EO403" s="1"/>
      <c r="EP403" s="1"/>
      <c r="EQ403" s="1"/>
      <c r="ER403" s="1"/>
      <c r="ES403" s="1"/>
      <c r="ET403" s="1"/>
      <c r="EU403" s="1"/>
      <c r="EV403" s="1"/>
      <c r="EW403" s="1"/>
      <c r="EX403" s="1"/>
      <c r="EY403" s="1"/>
      <c r="EZ403" s="1"/>
      <c r="FA403" s="1"/>
      <c r="FB403" s="1"/>
      <c r="FC403" s="1"/>
      <c r="FD403" s="1"/>
      <c r="FE403" s="1"/>
      <c r="FF403" s="1"/>
      <c r="FG403" s="1"/>
      <c r="FH403" s="1"/>
      <c r="FI403" s="1"/>
      <c r="FJ403" s="1"/>
      <c r="FK403" s="1"/>
      <c r="FL403" s="1"/>
      <c r="FM403" s="1"/>
      <c r="FN403" s="1"/>
      <c r="FO403" s="1"/>
      <c r="FP403" s="1"/>
      <c r="FQ403" s="1"/>
      <c r="FR403" s="1"/>
      <c r="FS403" s="1"/>
      <c r="FT403" s="1"/>
      <c r="FU403" s="1"/>
      <c r="FV403" s="1"/>
      <c r="FW403" s="1"/>
      <c r="FX403" s="1"/>
      <c r="FY403" s="1"/>
      <c r="FZ403" s="1"/>
      <c r="GA403" s="1"/>
      <c r="GB403" s="1"/>
      <c r="GC403" s="1"/>
      <c r="GD403" s="1"/>
      <c r="GE403" s="1"/>
      <c r="GF403" s="1"/>
      <c r="GG403" s="1"/>
      <c r="GH403" s="1"/>
      <c r="GI403" s="1"/>
      <c r="GJ403" s="1"/>
      <c r="GK403" s="1"/>
      <c r="GL403" s="1"/>
      <c r="GM403" s="1"/>
      <c r="GN403" s="1"/>
      <c r="GO403" s="1"/>
      <c r="GP403" s="1"/>
      <c r="GQ403" s="1"/>
      <c r="GR403" s="1"/>
      <c r="GS403" s="1"/>
      <c r="GT403" s="1"/>
      <c r="GU403" s="1"/>
      <c r="GV403" s="1"/>
      <c r="GW403" s="1"/>
      <c r="GX403" s="1"/>
      <c r="GY403" s="1"/>
      <c r="GZ403" s="1"/>
      <c r="HA403" s="1"/>
      <c r="HB403" s="1"/>
      <c r="HC403" s="1"/>
      <c r="HD403" s="1"/>
      <c r="HE403" s="1"/>
      <c r="HF403" s="1"/>
      <c r="HG403" s="1"/>
      <c r="HH403" s="1"/>
      <c r="HI403" s="1"/>
      <c r="HJ403" s="1"/>
      <c r="HK403" s="1"/>
      <c r="HL403" s="1"/>
      <c r="HM403" s="1"/>
      <c r="HN403" s="1"/>
      <c r="HO403" s="1"/>
      <c r="HP403" s="1"/>
      <c r="HQ403" s="1"/>
      <c r="HR403" s="1"/>
      <c r="HS403" s="1"/>
      <c r="HT403" s="1"/>
      <c r="HU403" s="1"/>
      <c r="HV403" s="1"/>
      <c r="HW403" s="1"/>
      <c r="HX403" s="1"/>
      <c r="HY403" s="1"/>
      <c r="HZ403" s="1"/>
      <c r="IA403" s="1"/>
      <c r="IB403" s="1"/>
      <c r="IC403" s="1"/>
      <c r="ID403" s="1"/>
      <c r="IE403" s="1"/>
      <c r="IF403" s="1"/>
      <c r="IG403" s="1"/>
      <c r="IH403" s="1"/>
      <c r="II403" s="1"/>
      <c r="IJ403" s="1"/>
      <c r="IK403" s="1"/>
      <c r="IL403" s="1"/>
      <c r="IM403" s="1"/>
      <c r="IN403" s="1"/>
      <c r="IO403" s="1"/>
      <c r="IP403" s="1"/>
      <c r="IQ403" s="1"/>
      <c r="IR403" s="1"/>
      <c r="IS403" s="1"/>
      <c r="IT403" s="1"/>
      <c r="IU403" s="1"/>
      <c r="IV403" s="1"/>
      <c r="IW403" s="1"/>
      <c r="IX403" s="1"/>
      <c r="IY403" s="1"/>
      <c r="IZ403" s="1"/>
      <c r="JA403" s="1"/>
      <c r="JB403" s="1"/>
      <c r="JC403" s="1"/>
      <c r="JD403" s="1"/>
    </row>
    <row r="404" spans="1:264" s="429" customFormat="1" x14ac:dyDescent="0.2">
      <c r="A404" s="429" t="s">
        <v>364</v>
      </c>
      <c r="B404" s="408"/>
      <c r="BH404" s="393">
        <f>(BH380+BH383)/BH387</f>
        <v>0.76049422376322895</v>
      </c>
      <c r="BI404" s="393">
        <f>(BI380+BI383)/BI387</f>
        <v>0.75454761314148444</v>
      </c>
      <c r="BJ404" s="393">
        <f>(BJ380+BJ383)/BJ387</f>
        <v>0.75454761314148444</v>
      </c>
      <c r="BK404" s="408"/>
      <c r="BL404" s="393">
        <f>(BL380+BL383)/BL387</f>
        <v>0.75645435708250408</v>
      </c>
      <c r="BM404" s="393">
        <f>(BM380+BM383)/BM387</f>
        <v>0.76836974114632495</v>
      </c>
      <c r="BN404" s="393">
        <f>(BN380+BN383)/BN387</f>
        <v>0.76836974114632495</v>
      </c>
      <c r="BO404" s="408"/>
      <c r="BP404" s="393">
        <f>(BP380+BP383)/BP387</f>
        <v>0.73784844260233173</v>
      </c>
      <c r="BQ404" s="393">
        <f>(BQ380+BQ383)/BQ387</f>
        <v>0.73979616370101875</v>
      </c>
      <c r="BR404" s="393">
        <f>(BR380+BR383)/BR387</f>
        <v>0.73979616370101875</v>
      </c>
      <c r="BT404" s="393">
        <f>(BT380+BT383)/BT387</f>
        <v>0.74825235999224871</v>
      </c>
      <c r="BU404" s="393">
        <f>(BU380+BU383)/BU387</f>
        <v>0.75205931336930032</v>
      </c>
      <c r="BV404" s="393">
        <f>(BV380+BV383)/BV387</f>
        <v>0.75205931336930032</v>
      </c>
      <c r="BX404" s="393">
        <f>(BX380+BX383)/BX387</f>
        <v>0.74022577786742938</v>
      </c>
      <c r="BY404" s="393">
        <f>(BY380+BY383)/BY387</f>
        <v>0.75487904555687801</v>
      </c>
      <c r="BZ404" s="393">
        <f>(BZ380+BZ383)/BZ387</f>
        <v>0.75487904555687801</v>
      </c>
      <c r="CB404" s="393">
        <f>(CB380+CB383)/CB387</f>
        <v>0.77065690850685598</v>
      </c>
      <c r="CC404" s="393">
        <f>(CC380+CC383)/CC387</f>
        <v>0.76746806950618618</v>
      </c>
      <c r="CD404" s="393">
        <f>(CD380+CD383)/CD387</f>
        <v>0.76746806950618618</v>
      </c>
      <c r="CF404" s="393">
        <f>(CF380+CF383)/CF387</f>
        <v>0.77462235957692038</v>
      </c>
      <c r="CG404" s="393">
        <f>(CG380+CG383)/CG387</f>
        <v>0.77932559277912383</v>
      </c>
      <c r="CH404" s="393">
        <f>(CH380+CH383)/CH387</f>
        <v>0.77932559277912383</v>
      </c>
      <c r="CJ404" s="393">
        <f>(CJ380+CJ383)/CJ387</f>
        <v>0.78723154547347196</v>
      </c>
      <c r="CK404" s="393">
        <f>(CK380+CK383)/CK387</f>
        <v>0.76822282467938519</v>
      </c>
      <c r="CL404" s="393">
        <f>(CL380+CL383)/CL387</f>
        <v>0.76822282467938519</v>
      </c>
      <c r="CN404" s="393">
        <f>(CN380+CN383)/CN387</f>
        <v>0.75005475727422066</v>
      </c>
      <c r="CO404" s="393">
        <f>(CO380+CO383)/CO387</f>
        <v>0.74935391524613493</v>
      </c>
      <c r="CP404" s="393">
        <f>(CP380+CP383)/CP387</f>
        <v>0.74935391524613493</v>
      </c>
      <c r="CR404" s="393">
        <f>(CR380+CR383)/CR387</f>
        <v>0.73969332404486643</v>
      </c>
      <c r="CS404" s="393">
        <f>(CS380+CS383)/CS387</f>
        <v>0.72820877836841502</v>
      </c>
      <c r="CT404" s="393">
        <f>(CT380+CT383)/CT387</f>
        <v>0.72820877836841502</v>
      </c>
      <c r="CV404" s="393">
        <f>(CV380+CV383)/CV387</f>
        <v>0.74082866072435782</v>
      </c>
      <c r="CW404" s="393">
        <f>(CW380+CW383)/CW387</f>
        <v>0.74515638885584179</v>
      </c>
      <c r="CX404" s="393">
        <f>(CX380+CX383)/CX387</f>
        <v>0.74515638885584179</v>
      </c>
      <c r="CZ404" s="393">
        <f>(CZ380+CZ383)/CZ387</f>
        <v>0.72792285706000692</v>
      </c>
      <c r="DA404" s="393">
        <f>(DA380+DA383)/DA387</f>
        <v>0.75748838188435152</v>
      </c>
      <c r="DB404" s="393">
        <f>(DB380+DB383)/DB387</f>
        <v>0.75748838188435152</v>
      </c>
      <c r="DD404" s="393">
        <f>(DD380+DD383)/DD387</f>
        <v>0.7469122688500236</v>
      </c>
      <c r="DE404" s="393">
        <f>(DE380+DE383)/DE387</f>
        <v>0.75039426089101857</v>
      </c>
      <c r="DF404" s="393">
        <f>(DF380+DF383)/DF387</f>
        <v>0.75039426089101857</v>
      </c>
      <c r="DH404" s="393">
        <f>(DH380+DH383)/DH387</f>
        <v>0.74463487628555691</v>
      </c>
      <c r="DI404" s="393">
        <f ca="1">(DI380+DI383)/DI387</f>
        <v>0.74460940270123444</v>
      </c>
      <c r="DJ404" s="393">
        <f ca="1">(DJ380+DJ383)/DJ387</f>
        <v>0.74460940270123444</v>
      </c>
      <c r="DL404" s="393">
        <f ca="1">(DL380+DL383)/DL387</f>
        <v>0.74457705103324878</v>
      </c>
      <c r="DM404" s="393">
        <f ca="1">(DM380+DM383)/DM387</f>
        <v>0.74457907533326539</v>
      </c>
      <c r="DN404" s="393">
        <f ca="1">(DN380+DN383)/DN387</f>
        <v>0.74457907533326539</v>
      </c>
      <c r="DP404" s="393">
        <f ca="1">(DP380+DP383)/DP387</f>
        <v>0.74463219594496899</v>
      </c>
      <c r="DQ404" s="393">
        <f ca="1">(DQ380+DQ383)/DQ387</f>
        <v>0.74470824919803746</v>
      </c>
      <c r="DR404" s="393">
        <f ca="1">(DR380+DR383)/DR387</f>
        <v>0.74470824919803746</v>
      </c>
      <c r="DT404" s="1"/>
      <c r="DU404" s="1"/>
      <c r="DV404" s="1"/>
      <c r="DW404" s="1"/>
      <c r="DX404" s="1"/>
      <c r="DY404" s="1"/>
      <c r="DZ404" s="1"/>
      <c r="EA404" s="1"/>
      <c r="EB404" s="1"/>
      <c r="EC404" s="1"/>
      <c r="ED404" s="1"/>
      <c r="EE404" s="1"/>
      <c r="EF404" s="1"/>
      <c r="EG404" s="1"/>
      <c r="EH404" s="1"/>
      <c r="EI404" s="1"/>
      <c r="EJ404" s="1"/>
      <c r="EK404" s="1"/>
      <c r="EL404" s="1"/>
      <c r="EM404" s="1"/>
      <c r="EN404" s="1"/>
      <c r="EO404" s="1"/>
      <c r="EP404" s="1"/>
      <c r="EQ404" s="1"/>
      <c r="ER404" s="1"/>
      <c r="ES404" s="1"/>
      <c r="ET404" s="1"/>
      <c r="EU404" s="1"/>
      <c r="EV404" s="1"/>
      <c r="EW404" s="1"/>
      <c r="EX404" s="1"/>
      <c r="EY404" s="1"/>
      <c r="EZ404" s="1"/>
      <c r="FA404" s="1"/>
      <c r="FB404" s="1"/>
      <c r="FC404" s="1"/>
      <c r="FD404" s="1"/>
      <c r="FE404" s="1"/>
      <c r="FF404" s="1"/>
      <c r="FG404" s="1"/>
      <c r="FH404" s="1"/>
      <c r="FI404" s="1"/>
      <c r="FJ404" s="1"/>
      <c r="FK404" s="1"/>
      <c r="FL404" s="1"/>
      <c r="FM404" s="1"/>
      <c r="FN404" s="1"/>
      <c r="FO404" s="1"/>
      <c r="FP404" s="1"/>
      <c r="FQ404" s="1"/>
      <c r="FR404" s="1"/>
      <c r="FS404" s="1"/>
      <c r="FT404" s="1"/>
      <c r="FU404" s="1"/>
      <c r="FV404" s="1"/>
      <c r="FW404" s="1"/>
      <c r="FX404" s="1"/>
      <c r="FY404" s="1"/>
      <c r="FZ404" s="1"/>
      <c r="GA404" s="1"/>
      <c r="GB404" s="1"/>
      <c r="GC404" s="1"/>
      <c r="GD404" s="1"/>
      <c r="GE404" s="1"/>
      <c r="GF404" s="1"/>
      <c r="GG404" s="1"/>
      <c r="GH404" s="1"/>
      <c r="GI404" s="1"/>
      <c r="GJ404" s="1"/>
      <c r="GK404" s="1"/>
      <c r="GL404" s="1"/>
      <c r="GM404" s="1"/>
      <c r="GN404" s="1"/>
      <c r="GO404" s="1"/>
      <c r="GP404" s="1"/>
      <c r="GQ404" s="1"/>
      <c r="GR404" s="1"/>
      <c r="GS404" s="1"/>
      <c r="GT404" s="1"/>
      <c r="GU404" s="1"/>
      <c r="GV404" s="1"/>
      <c r="GW404" s="1"/>
      <c r="GX404" s="1"/>
      <c r="GY404" s="1"/>
      <c r="GZ404" s="1"/>
      <c r="HA404" s="1"/>
      <c r="HB404" s="1"/>
      <c r="HC404" s="1"/>
      <c r="HD404" s="1"/>
      <c r="HE404" s="1"/>
      <c r="HF404" s="1"/>
      <c r="HG404" s="1"/>
      <c r="HH404" s="1"/>
      <c r="HI404" s="1"/>
      <c r="HJ404" s="1"/>
      <c r="HK404" s="1"/>
      <c r="HL404" s="1"/>
      <c r="HM404" s="1"/>
      <c r="HN404" s="1"/>
      <c r="HO404" s="1"/>
      <c r="HP404" s="1"/>
      <c r="HQ404" s="1"/>
      <c r="HR404" s="1"/>
      <c r="HS404" s="1"/>
      <c r="HT404" s="1"/>
      <c r="HU404" s="1"/>
      <c r="HV404" s="1"/>
      <c r="HW404" s="1"/>
      <c r="HX404" s="1"/>
      <c r="HY404" s="1"/>
      <c r="HZ404" s="1"/>
      <c r="IA404" s="1"/>
      <c r="IB404" s="1"/>
      <c r="IC404" s="1"/>
      <c r="ID404" s="1"/>
      <c r="IE404" s="1"/>
      <c r="IF404" s="1"/>
      <c r="IG404" s="1"/>
      <c r="IH404" s="1"/>
      <c r="II404" s="1"/>
      <c r="IJ404" s="1"/>
      <c r="IK404" s="1"/>
      <c r="IL404" s="1"/>
      <c r="IM404" s="1"/>
      <c r="IN404" s="1"/>
      <c r="IO404" s="1"/>
      <c r="IP404" s="1"/>
      <c r="IQ404" s="1"/>
      <c r="IR404" s="1"/>
      <c r="IS404" s="1"/>
      <c r="IT404" s="1"/>
      <c r="IU404" s="1"/>
      <c r="IV404" s="1"/>
      <c r="IW404" s="1"/>
      <c r="IX404" s="1"/>
      <c r="IY404" s="1"/>
      <c r="IZ404" s="1"/>
      <c r="JA404" s="1"/>
      <c r="JB404" s="1"/>
      <c r="JC404" s="1"/>
      <c r="JD404" s="1"/>
    </row>
    <row r="405" spans="1:264" s="429" customFormat="1" x14ac:dyDescent="0.2">
      <c r="A405" s="436" t="s">
        <v>365</v>
      </c>
      <c r="B405" s="437" t="s">
        <v>236</v>
      </c>
      <c r="C405" s="436"/>
      <c r="D405" s="436"/>
      <c r="E405" s="436"/>
      <c r="F405" s="436"/>
      <c r="G405" s="436"/>
      <c r="H405" s="436"/>
      <c r="I405" s="436"/>
      <c r="J405" s="436"/>
      <c r="K405" s="436"/>
      <c r="L405" s="436"/>
      <c r="M405" s="436"/>
      <c r="N405" s="436"/>
      <c r="O405" s="436"/>
      <c r="P405" s="436"/>
      <c r="Q405" s="436"/>
      <c r="R405" s="436"/>
      <c r="S405" s="436"/>
      <c r="T405" s="436"/>
      <c r="U405" s="436"/>
      <c r="V405" s="436"/>
      <c r="W405" s="436"/>
      <c r="X405" s="436"/>
      <c r="Y405" s="436"/>
      <c r="Z405" s="436"/>
      <c r="AA405" s="436"/>
      <c r="AB405" s="436"/>
      <c r="AC405" s="436"/>
      <c r="AD405" s="436"/>
      <c r="AE405" s="436"/>
      <c r="AF405" s="436"/>
      <c r="AG405" s="436"/>
      <c r="AH405" s="436"/>
      <c r="AI405" s="436"/>
      <c r="AJ405" s="436"/>
      <c r="AK405" s="436"/>
      <c r="AL405" s="436"/>
      <c r="AM405" s="436"/>
      <c r="AN405" s="436"/>
      <c r="AO405" s="436"/>
      <c r="AP405" s="436"/>
      <c r="AQ405" s="436"/>
      <c r="AR405" s="436"/>
      <c r="AS405" s="436"/>
      <c r="AT405" s="436"/>
      <c r="AU405" s="436"/>
      <c r="AV405" s="436"/>
      <c r="AW405" s="436"/>
      <c r="AX405" s="436"/>
      <c r="AY405" s="436"/>
      <c r="AZ405" s="436"/>
      <c r="BA405" s="436"/>
      <c r="BB405" s="436"/>
      <c r="BC405" s="436"/>
      <c r="BD405" s="436"/>
      <c r="BE405" s="436"/>
      <c r="BF405" s="436"/>
      <c r="BG405" s="436"/>
      <c r="BH405" s="465">
        <f>BH386/BH380</f>
        <v>0.30866390296103396</v>
      </c>
      <c r="BI405" s="465">
        <f>BI386/BI380</f>
        <v>0.3171398718454469</v>
      </c>
      <c r="BJ405" s="465">
        <f>BJ386/BJ380</f>
        <v>0.3171398718454469</v>
      </c>
      <c r="BK405" s="437"/>
      <c r="BL405" s="465">
        <f>BL386/BL380</f>
        <v>0.31379223398890571</v>
      </c>
      <c r="BM405" s="465">
        <f>BM386/BM380</f>
        <v>0.29356159840822416</v>
      </c>
      <c r="BN405" s="465">
        <f>BN386/BN380</f>
        <v>0.29356159840822416</v>
      </c>
      <c r="BO405" s="437"/>
      <c r="BP405" s="465">
        <f>BP386/BP380</f>
        <v>0.34586172946847549</v>
      </c>
      <c r="BQ405" s="465">
        <f>BQ386/BQ380</f>
        <v>0.34097245074725097</v>
      </c>
      <c r="BR405" s="465">
        <f>BR386/BR380</f>
        <v>0.34097245074725097</v>
      </c>
      <c r="BS405" s="436"/>
      <c r="BT405" s="465">
        <f>BT386/BT380</f>
        <v>0.3258150271181211</v>
      </c>
      <c r="BU405" s="465">
        <f>BU386/BU380</f>
        <v>0.31862533003759824</v>
      </c>
      <c r="BV405" s="465">
        <f>BV386/BV380</f>
        <v>0.31862533003759824</v>
      </c>
      <c r="BW405" s="436"/>
      <c r="BX405" s="465">
        <f>BX386/BX380</f>
        <v>0.34263105835806135</v>
      </c>
      <c r="BY405" s="465">
        <f>BY386/BY380</f>
        <v>0.31601992562511966</v>
      </c>
      <c r="BZ405" s="465">
        <f>BZ386/BZ380</f>
        <v>0.31601992562511966</v>
      </c>
      <c r="CA405" s="436"/>
      <c r="CB405" s="465">
        <f>CB386/CB380</f>
        <v>0.28812596478728802</v>
      </c>
      <c r="CC405" s="465">
        <f>CC386/CC380</f>
        <v>0.2934605476525643</v>
      </c>
      <c r="CD405" s="465">
        <f>CD386/CD380</f>
        <v>0.2934605476525643</v>
      </c>
      <c r="CE405" s="436"/>
      <c r="CF405" s="465">
        <f>CF386/CF380</f>
        <v>0.2843365244071055</v>
      </c>
      <c r="CG405" s="465">
        <f>CG386/CG380</f>
        <v>0.27653535484939151</v>
      </c>
      <c r="CH405" s="465">
        <f>CH386/CH380</f>
        <v>0.27653535484939151</v>
      </c>
      <c r="CI405" s="436"/>
      <c r="CJ405" s="465">
        <f>CJ386/CJ380</f>
        <v>0.26408152629757203</v>
      </c>
      <c r="CK405" s="465">
        <f>CK386/CK380</f>
        <v>0.29827280325288291</v>
      </c>
      <c r="CL405" s="465">
        <f>CL386/CL380</f>
        <v>0.29827280325288291</v>
      </c>
      <c r="CM405" s="436"/>
      <c r="CN405" s="465">
        <f>CN386/CN380</f>
        <v>0.33062042385329649</v>
      </c>
      <c r="CO405" s="465">
        <f>CO386/CO380</f>
        <v>0.32976318214370387</v>
      </c>
      <c r="CP405" s="465">
        <f>CP386/CP380</f>
        <v>0.32976318214370387</v>
      </c>
      <c r="CQ405" s="436"/>
      <c r="CR405" s="465">
        <f>CR386/CR380</f>
        <v>0.34536847934589759</v>
      </c>
      <c r="CS405" s="465">
        <f>CS386/CS380</f>
        <v>0.36930696537595359</v>
      </c>
      <c r="CT405" s="465">
        <f>CT386/CT380</f>
        <v>0.36930696537595359</v>
      </c>
      <c r="CU405" s="436"/>
      <c r="CV405" s="465">
        <f>CV386/CV380</f>
        <v>0.34728948824267253</v>
      </c>
      <c r="CW405" s="465">
        <f>CW386/CW380</f>
        <v>0.33997284760477087</v>
      </c>
      <c r="CX405" s="465">
        <f>CX386/CX380</f>
        <v>0.33997284760477087</v>
      </c>
      <c r="CY405" s="436"/>
      <c r="CZ405" s="465">
        <f>CZ386/CZ380</f>
        <v>0.37203746311128144</v>
      </c>
      <c r="DA405" s="465">
        <f>DA386/DA380</f>
        <v>0.31877323811408625</v>
      </c>
      <c r="DB405" s="465">
        <f>DB386/DB380</f>
        <v>0.31877323811408625</v>
      </c>
      <c r="DC405" s="436"/>
      <c r="DD405" s="465">
        <f>DD386/DD380</f>
        <v>0.33846062550645395</v>
      </c>
      <c r="DE405" s="465">
        <f>DE386/DE380</f>
        <v>0.33207170510777323</v>
      </c>
      <c r="DF405" s="465">
        <f>DF386/DF380</f>
        <v>0.33207170510777323</v>
      </c>
      <c r="DG405" s="436"/>
      <c r="DH405" s="465">
        <f>DH386/DH380</f>
        <v>0.34216025350147</v>
      </c>
      <c r="DI405" s="482">
        <f>DH405</f>
        <v>0.34216025350147</v>
      </c>
      <c r="DJ405" s="465">
        <f>DJ386/DJ380</f>
        <v>0.34216025350147</v>
      </c>
      <c r="DK405" s="436"/>
      <c r="DL405" s="482">
        <f>DI405</f>
        <v>0.34216025350147</v>
      </c>
      <c r="DM405" s="482">
        <f>DL405</f>
        <v>0.34216025350147</v>
      </c>
      <c r="DN405" s="465">
        <f>DN386/DN380</f>
        <v>0.34216025350147</v>
      </c>
      <c r="DO405" s="436"/>
      <c r="DP405" s="482">
        <f>DL405</f>
        <v>0.34216025350147</v>
      </c>
      <c r="DQ405" s="482">
        <f>DP405</f>
        <v>0.34216025350147</v>
      </c>
      <c r="DR405" s="465">
        <f>DR386/DR380</f>
        <v>0.34216025350147</v>
      </c>
      <c r="DS405" s="436"/>
      <c r="DT405" s="1"/>
      <c r="DU405" s="1"/>
      <c r="DV405" s="1"/>
      <c r="DW405" s="1"/>
      <c r="DX405" s="1"/>
      <c r="DY405" s="1"/>
      <c r="DZ405" s="1"/>
      <c r="EA405" s="1"/>
      <c r="EB405" s="1"/>
      <c r="EC405" s="1"/>
      <c r="ED405" s="1"/>
      <c r="EE405" s="1"/>
      <c r="EF405" s="1"/>
      <c r="EG405" s="1"/>
      <c r="EH405" s="1"/>
      <c r="EI405" s="1"/>
      <c r="EJ405" s="1"/>
      <c r="EK405" s="1"/>
      <c r="EL405" s="1"/>
      <c r="EM405" s="1"/>
      <c r="EN405" s="1"/>
      <c r="EO405" s="1"/>
      <c r="EP405" s="1"/>
      <c r="EQ405" s="1"/>
      <c r="ER405" s="1"/>
      <c r="ES405" s="1"/>
      <c r="ET405" s="1"/>
      <c r="EU405" s="1"/>
      <c r="EV405" s="1"/>
      <c r="EW405" s="1"/>
      <c r="EX405" s="1"/>
      <c r="EY405" s="1"/>
      <c r="EZ405" s="1"/>
      <c r="FA405" s="1"/>
      <c r="FB405" s="1"/>
      <c r="FC405" s="1"/>
      <c r="FD405" s="1"/>
      <c r="FE405" s="1"/>
      <c r="FF405" s="1"/>
      <c r="FG405" s="1"/>
      <c r="FH405" s="1"/>
      <c r="FI405" s="1"/>
      <c r="FJ405" s="1"/>
      <c r="FK405" s="1"/>
      <c r="FL405" s="1"/>
      <c r="FM405" s="1"/>
      <c r="FN405" s="1"/>
      <c r="FO405" s="1"/>
      <c r="FP405" s="1"/>
      <c r="FQ405" s="1"/>
      <c r="FR405" s="1"/>
      <c r="FS405" s="1"/>
      <c r="FT405" s="1"/>
      <c r="FU405" s="1"/>
      <c r="FV405" s="1"/>
      <c r="FW405" s="1"/>
      <c r="FX405" s="1"/>
      <c r="FY405" s="1"/>
      <c r="FZ405" s="1"/>
      <c r="GA405" s="1"/>
      <c r="GB405" s="1"/>
      <c r="GC405" s="1"/>
      <c r="GD405" s="1"/>
      <c r="GE405" s="1"/>
      <c r="GF405" s="1"/>
      <c r="GG405" s="1"/>
      <c r="GH405" s="1"/>
      <c r="GI405" s="1"/>
      <c r="GJ405" s="1"/>
      <c r="GK405" s="1"/>
      <c r="GL405" s="1"/>
      <c r="GM405" s="1"/>
      <c r="GN405" s="1"/>
      <c r="GO405" s="1"/>
      <c r="GP405" s="1"/>
      <c r="GQ405" s="1"/>
      <c r="GR405" s="1"/>
      <c r="GS405" s="1"/>
      <c r="GT405" s="1"/>
      <c r="GU405" s="1"/>
      <c r="GV405" s="1"/>
      <c r="GW405" s="1"/>
      <c r="GX405" s="1"/>
      <c r="GY405" s="1"/>
      <c r="GZ405" s="1"/>
      <c r="HA405" s="1"/>
      <c r="HB405" s="1"/>
      <c r="HC405" s="1"/>
      <c r="HD405" s="1"/>
      <c r="HE405" s="1"/>
      <c r="HF405" s="1"/>
      <c r="HG405" s="1"/>
      <c r="HH405" s="1"/>
      <c r="HI405" s="1"/>
      <c r="HJ405" s="1"/>
      <c r="HK405" s="1"/>
      <c r="HL405" s="1"/>
      <c r="HM405" s="1"/>
      <c r="HN405" s="1"/>
      <c r="HO405" s="1"/>
      <c r="HP405" s="1"/>
      <c r="HQ405" s="1"/>
      <c r="HR405" s="1"/>
      <c r="HS405" s="1"/>
      <c r="HT405" s="1"/>
      <c r="HU405" s="1"/>
      <c r="HV405" s="1"/>
      <c r="HW405" s="1"/>
      <c r="HX405" s="1"/>
      <c r="HY405" s="1"/>
      <c r="HZ405" s="1"/>
      <c r="IA405" s="1"/>
      <c r="IB405" s="1"/>
      <c r="IC405" s="1"/>
      <c r="ID405" s="1"/>
      <c r="IE405" s="1"/>
      <c r="IF405" s="1"/>
      <c r="IG405" s="1"/>
      <c r="IH405" s="1"/>
      <c r="II405" s="1"/>
      <c r="IJ405" s="1"/>
      <c r="IK405" s="1"/>
      <c r="IL405" s="1"/>
      <c r="IM405" s="1"/>
      <c r="IN405" s="1"/>
      <c r="IO405" s="1"/>
      <c r="IP405" s="1"/>
      <c r="IQ405" s="1"/>
      <c r="IR405" s="1"/>
      <c r="IS405" s="1"/>
      <c r="IT405" s="1"/>
      <c r="IU405" s="1"/>
      <c r="IV405" s="1"/>
      <c r="IW405" s="1"/>
      <c r="IX405" s="1"/>
      <c r="IY405" s="1"/>
      <c r="IZ405" s="1"/>
      <c r="JA405" s="1"/>
      <c r="JB405" s="1"/>
      <c r="JC405" s="1"/>
      <c r="JD405" s="1"/>
    </row>
    <row r="406" spans="1:264" s="429" customFormat="1" x14ac:dyDescent="0.2">
      <c r="A406" s="429" t="s">
        <v>366</v>
      </c>
      <c r="B406" s="408"/>
      <c r="BH406" s="393">
        <f>BH386/BH387</f>
        <v>0.2312516356657523</v>
      </c>
      <c r="BI406" s="393">
        <f>BI386/BI387</f>
        <v>0.23674649170863971</v>
      </c>
      <c r="BJ406" s="393">
        <f>BJ386/BJ387</f>
        <v>0.23674649170863971</v>
      </c>
      <c r="BK406" s="408"/>
      <c r="BL406" s="393">
        <f>BL386/BL387</f>
        <v>0.23544134546677045</v>
      </c>
      <c r="BM406" s="393">
        <f>BM386/BM387</f>
        <v>0.22369925617631414</v>
      </c>
      <c r="BN406" s="393">
        <f>BN386/BN387</f>
        <v>0.22369925617631414</v>
      </c>
      <c r="BO406" s="408"/>
      <c r="BP406" s="393">
        <f>BP386/BP387</f>
        <v>0.25436985873043116</v>
      </c>
      <c r="BQ406" s="393">
        <f>BQ386/BQ387</f>
        <v>0.25149121983499839</v>
      </c>
      <c r="BR406" s="393">
        <f>BR386/BR387</f>
        <v>0.25149121983499839</v>
      </c>
      <c r="BT406" s="393">
        <f>BT386/BT387</f>
        <v>0.24320017717243861</v>
      </c>
      <c r="BU406" s="393">
        <f>BU386/BU387</f>
        <v>0.23913649234040454</v>
      </c>
      <c r="BV406" s="393">
        <f>BV386/BV387</f>
        <v>0.23913649234040454</v>
      </c>
      <c r="BX406" s="393">
        <f>BX386/BX387</f>
        <v>0.25311656407622807</v>
      </c>
      <c r="BY406" s="393">
        <f>BY386/BY387</f>
        <v>0.2384069534721269</v>
      </c>
      <c r="BZ406" s="393">
        <f>BZ386/BZ387</f>
        <v>0.2384069534721269</v>
      </c>
      <c r="CB406" s="393">
        <f>CB386/CB387</f>
        <v>0.22197976983772208</v>
      </c>
      <c r="CC406" s="393">
        <f>CC386/CC387</f>
        <v>0.2251075459024883</v>
      </c>
      <c r="CD406" s="393">
        <f>CD386/CD387</f>
        <v>0.2251075459024883</v>
      </c>
      <c r="CF406" s="393">
        <f>CF386/CF387</f>
        <v>0.22023805881092989</v>
      </c>
      <c r="CG406" s="393">
        <f>CG386/CG387</f>
        <v>0.21551107934238742</v>
      </c>
      <c r="CH406" s="393">
        <f>CH386/CH387</f>
        <v>0.21551107934238742</v>
      </c>
      <c r="CJ406" s="393">
        <f>CJ386/CJ387</f>
        <v>0.20789330807823095</v>
      </c>
      <c r="CK406" s="393">
        <f>CK386/CK387</f>
        <v>0.22913997543996825</v>
      </c>
      <c r="CL406" s="393">
        <f>CL386/CL387</f>
        <v>0.22913997543996825</v>
      </c>
      <c r="CN406" s="393">
        <f>CN386/CN387</f>
        <v>0.24798342176318422</v>
      </c>
      <c r="CO406" s="393">
        <f>CO386/CO387</f>
        <v>0.24710933164340884</v>
      </c>
      <c r="CP406" s="393">
        <f>CP386/CP387</f>
        <v>0.24710933164340884</v>
      </c>
      <c r="CR406" s="393">
        <f>CR386/CR387</f>
        <v>0.2554667585076878</v>
      </c>
      <c r="CS406" s="393">
        <f>CS386/CS387</f>
        <v>0.26893257409936966</v>
      </c>
      <c r="CT406" s="393">
        <f>CT386/CT387</f>
        <v>0.26893257409936966</v>
      </c>
      <c r="CV406" s="393">
        <f>CV386/CV387</f>
        <v>0.25728200645846672</v>
      </c>
      <c r="CW406" s="393">
        <f>CW386/CW387</f>
        <v>0.25333293943020846</v>
      </c>
      <c r="CX406" s="393">
        <f>CX386/CX387</f>
        <v>0.25333293943020846</v>
      </c>
      <c r="CZ406" s="393">
        <f>CZ386/CZ387</f>
        <v>0.27081457308132095</v>
      </c>
      <c r="DA406" s="393">
        <f>DA386/DA387</f>
        <v>0.24146702432707429</v>
      </c>
      <c r="DB406" s="393">
        <f>DB386/DB387</f>
        <v>0.24146702432707429</v>
      </c>
      <c r="DD406" s="393">
        <f>DD386/DD387</f>
        <v>0.25280039371342372</v>
      </c>
      <c r="DE406" s="393">
        <f>DE386/DE387</f>
        <v>0.24918470171716775</v>
      </c>
      <c r="DF406" s="393">
        <f>DF386/DF387</f>
        <v>0.24918470171716775</v>
      </c>
      <c r="DH406" s="393">
        <f>DH386/DH387</f>
        <v>0.25478445803590188</v>
      </c>
      <c r="DI406" s="393">
        <f ca="1">DI386/DI387</f>
        <v>0.25477574198783254</v>
      </c>
      <c r="DJ406" s="393">
        <f ca="1">DJ386/DJ387</f>
        <v>0.25477574198783254</v>
      </c>
      <c r="DL406" s="393">
        <f ca="1">DL386/DL387</f>
        <v>0.25476467253291341</v>
      </c>
      <c r="DM406" s="393">
        <f ca="1">DM386/DM387</f>
        <v>0.2547653651679202</v>
      </c>
      <c r="DN406" s="393">
        <f ca="1">DN386/DN387</f>
        <v>0.2547653651679202</v>
      </c>
      <c r="DP406" s="393">
        <f ca="1">DP386/DP387</f>
        <v>0.25478354092988686</v>
      </c>
      <c r="DQ406" s="393">
        <f ca="1">DQ386/DQ387</f>
        <v>0.25480956333023641</v>
      </c>
      <c r="DR406" s="393">
        <f ca="1">DR386/DR387</f>
        <v>0.25480956333023641</v>
      </c>
      <c r="DT406" s="1"/>
      <c r="DU406" s="1"/>
      <c r="DV406" s="1"/>
      <c r="DW406" s="1"/>
      <c r="DX406" s="1"/>
      <c r="DY406" s="1"/>
      <c r="DZ406" s="1"/>
      <c r="EA406" s="1"/>
      <c r="EB406" s="1"/>
      <c r="EC406" s="1"/>
      <c r="ED406" s="1"/>
      <c r="EE406" s="1"/>
      <c r="EF406" s="1"/>
      <c r="EG406" s="1"/>
      <c r="EH406" s="1"/>
      <c r="EI406" s="1"/>
      <c r="EJ406" s="1"/>
      <c r="EK406" s="1"/>
      <c r="EL406" s="1"/>
      <c r="EM406" s="1"/>
      <c r="EN406" s="1"/>
      <c r="EO406" s="1"/>
      <c r="EP406" s="1"/>
      <c r="EQ406" s="1"/>
      <c r="ER406" s="1"/>
      <c r="ES406" s="1"/>
      <c r="ET406" s="1"/>
      <c r="EU406" s="1"/>
      <c r="EV406" s="1"/>
      <c r="EW406" s="1"/>
      <c r="EX406" s="1"/>
      <c r="EY406" s="1"/>
      <c r="EZ406" s="1"/>
      <c r="FA406" s="1"/>
      <c r="FB406" s="1"/>
      <c r="FC406" s="1"/>
      <c r="FD406" s="1"/>
      <c r="FE406" s="1"/>
      <c r="FF406" s="1"/>
      <c r="FG406" s="1"/>
      <c r="FH406" s="1"/>
      <c r="FI406" s="1"/>
      <c r="FJ406" s="1"/>
      <c r="FK406" s="1"/>
      <c r="FL406" s="1"/>
      <c r="FM406" s="1"/>
      <c r="FN406" s="1"/>
      <c r="FO406" s="1"/>
      <c r="FP406" s="1"/>
      <c r="FQ406" s="1"/>
      <c r="FR406" s="1"/>
      <c r="FS406" s="1"/>
      <c r="FT406" s="1"/>
      <c r="FU406" s="1"/>
      <c r="FV406" s="1"/>
      <c r="FW406" s="1"/>
      <c r="FX406" s="1"/>
      <c r="FY406" s="1"/>
      <c r="FZ406" s="1"/>
      <c r="GA406" s="1"/>
      <c r="GB406" s="1"/>
      <c r="GC406" s="1"/>
      <c r="GD406" s="1"/>
      <c r="GE406" s="1"/>
      <c r="GF406" s="1"/>
      <c r="GG406" s="1"/>
      <c r="GH406" s="1"/>
      <c r="GI406" s="1"/>
      <c r="GJ406" s="1"/>
      <c r="GK406" s="1"/>
      <c r="GL406" s="1"/>
      <c r="GM406" s="1"/>
      <c r="GN406" s="1"/>
      <c r="GO406" s="1"/>
      <c r="GP406" s="1"/>
      <c r="GQ406" s="1"/>
      <c r="GR406" s="1"/>
      <c r="GS406" s="1"/>
      <c r="GT406" s="1"/>
      <c r="GU406" s="1"/>
      <c r="GV406" s="1"/>
      <c r="GW406" s="1"/>
      <c r="GX406" s="1"/>
      <c r="GY406" s="1"/>
      <c r="GZ406" s="1"/>
      <c r="HA406" s="1"/>
      <c r="HB406" s="1"/>
      <c r="HC406" s="1"/>
      <c r="HD406" s="1"/>
      <c r="HE406" s="1"/>
      <c r="HF406" s="1"/>
      <c r="HG406" s="1"/>
      <c r="HH406" s="1"/>
      <c r="HI406" s="1"/>
      <c r="HJ406" s="1"/>
      <c r="HK406" s="1"/>
      <c r="HL406" s="1"/>
      <c r="HM406" s="1"/>
      <c r="HN406" s="1"/>
      <c r="HO406" s="1"/>
      <c r="HP406" s="1"/>
      <c r="HQ406" s="1"/>
      <c r="HR406" s="1"/>
      <c r="HS406" s="1"/>
      <c r="HT406" s="1"/>
      <c r="HU406" s="1"/>
      <c r="HV406" s="1"/>
      <c r="HW406" s="1"/>
      <c r="HX406" s="1"/>
      <c r="HY406" s="1"/>
      <c r="HZ406" s="1"/>
      <c r="IA406" s="1"/>
      <c r="IB406" s="1"/>
      <c r="IC406" s="1"/>
      <c r="ID406" s="1"/>
      <c r="IE406" s="1"/>
      <c r="IF406" s="1"/>
      <c r="IG406" s="1"/>
      <c r="IH406" s="1"/>
      <c r="II406" s="1"/>
      <c r="IJ406" s="1"/>
      <c r="IK406" s="1"/>
      <c r="IL406" s="1"/>
      <c r="IM406" s="1"/>
      <c r="IN406" s="1"/>
      <c r="IO406" s="1"/>
      <c r="IP406" s="1"/>
      <c r="IQ406" s="1"/>
      <c r="IR406" s="1"/>
      <c r="IS406" s="1"/>
      <c r="IT406" s="1"/>
      <c r="IU406" s="1"/>
      <c r="IV406" s="1"/>
      <c r="IW406" s="1"/>
      <c r="IX406" s="1"/>
      <c r="IY406" s="1"/>
      <c r="IZ406" s="1"/>
      <c r="JA406" s="1"/>
      <c r="JB406" s="1"/>
      <c r="JC406" s="1"/>
      <c r="JD406" s="1"/>
    </row>
    <row r="407" spans="1:264" s="429" customFormat="1" x14ac:dyDescent="0.2">
      <c r="A407" s="429" t="s">
        <v>367</v>
      </c>
      <c r="B407" s="408"/>
      <c r="BH407" s="393">
        <f>BH389/BH396</f>
        <v>0.66055816214544039</v>
      </c>
      <c r="BI407" s="393">
        <f>BI389/BI396</f>
        <v>0.64861785633611924</v>
      </c>
      <c r="BJ407" s="393">
        <f>BJ389/BJ396</f>
        <v>0.64861785633611924</v>
      </c>
      <c r="BK407" s="408"/>
      <c r="BL407" s="393">
        <f>BL389/BL396</f>
        <v>0.66028800539670107</v>
      </c>
      <c r="BM407" s="393">
        <f>BM389/BM396</f>
        <v>0.67154020398785619</v>
      </c>
      <c r="BN407" s="393">
        <f>BN389/BN396</f>
        <v>0.67154020398785619</v>
      </c>
      <c r="BO407" s="408"/>
      <c r="BP407" s="393">
        <f>BP389/BP396</f>
        <v>0.65346268458876833</v>
      </c>
      <c r="BQ407" s="393">
        <f>BQ389/BQ396</f>
        <v>0.66211105328397846</v>
      </c>
      <c r="BR407" s="393">
        <f>BR389/BR396</f>
        <v>0.66211105328397846</v>
      </c>
      <c r="BT407" s="393">
        <f>BT389/BT396</f>
        <v>0.66470515684963027</v>
      </c>
      <c r="BU407" s="393">
        <f>BU389/BU396</f>
        <v>0.67411460446945048</v>
      </c>
      <c r="BV407" s="393">
        <f>BV389/BV396</f>
        <v>0.67411460446945048</v>
      </c>
      <c r="BX407" s="393">
        <f>BX389/BX396</f>
        <v>0.66610214010882429</v>
      </c>
      <c r="BY407" s="393">
        <f>BY389/BY396</f>
        <v>0.68662631566260313</v>
      </c>
      <c r="BZ407" s="393">
        <f>BZ389/BZ396</f>
        <v>0.68662631566260313</v>
      </c>
      <c r="CB407" s="393">
        <f>CB389/CB396</f>
        <v>0.69755502941934877</v>
      </c>
      <c r="CC407" s="393">
        <f>CC389/CC396</f>
        <v>0.68580466326097622</v>
      </c>
      <c r="CD407" s="393">
        <f>CD389/CD396</f>
        <v>0.68580466326097622</v>
      </c>
      <c r="CF407" s="393">
        <f>CF389/CF396</f>
        <v>0.69858924474585793</v>
      </c>
      <c r="CG407" s="393">
        <f>CG389/CG396</f>
        <v>0.70137056391719499</v>
      </c>
      <c r="CH407" s="393">
        <f>CH389/CH396</f>
        <v>0.70137056391719499</v>
      </c>
      <c r="CJ407" s="393">
        <f>CJ389/CJ396</f>
        <v>0.72940801021222279</v>
      </c>
      <c r="CK407" s="393">
        <f>CK389/CK396</f>
        <v>0.7440110732745967</v>
      </c>
      <c r="CL407" s="393">
        <f>CL389/CL396</f>
        <v>0.7440110732745967</v>
      </c>
      <c r="CN407" s="393">
        <f>CN389/CN396</f>
        <v>0.75837244742456567</v>
      </c>
      <c r="CO407" s="393">
        <f>CO389/CO396</f>
        <v>0.75636371890679832</v>
      </c>
      <c r="CP407" s="393">
        <f>CP389/CP396</f>
        <v>0.75636371890679832</v>
      </c>
      <c r="CR407" s="393">
        <f>CR389/CR396</f>
        <v>0.75814909547504994</v>
      </c>
      <c r="CS407" s="393">
        <f>CS389/CS396</f>
        <v>0.75067356896138204</v>
      </c>
      <c r="CT407" s="393">
        <f>CT389/CT396</f>
        <v>0.75067356896138204</v>
      </c>
      <c r="CV407" s="393">
        <f>CV389/CV396</f>
        <v>0.75798113565430314</v>
      </c>
      <c r="CW407" s="393">
        <f>CW389/CW396</f>
        <v>0.7325561700217651</v>
      </c>
      <c r="CX407" s="393">
        <f>CX389/CX396</f>
        <v>0.7325561700217651</v>
      </c>
      <c r="CZ407" s="393">
        <f>CZ389/CZ396</f>
        <v>0.72585589254694005</v>
      </c>
      <c r="DA407" s="393">
        <f>DA389/DA396</f>
        <v>0.74761301554291826</v>
      </c>
      <c r="DB407" s="393">
        <f>DB389/DB396</f>
        <v>0.74761301554291826</v>
      </c>
      <c r="DD407" s="393">
        <f>DD389/DD396</f>
        <v>0.7317769694689541</v>
      </c>
      <c r="DE407" s="393">
        <f>DE389/DE396</f>
        <v>0.7355608487062586</v>
      </c>
      <c r="DF407" s="393">
        <f>DF389/DF396</f>
        <v>0.7355608487062586</v>
      </c>
      <c r="DH407" s="393">
        <f>DH389/DH396</f>
        <v>0.73791735010844939</v>
      </c>
      <c r="DI407" s="393">
        <f ca="1">DI389/DI396</f>
        <v>0.72877605856255179</v>
      </c>
      <c r="DJ407" s="393">
        <f ca="1">DJ389/DJ396</f>
        <v>0.72877605856255179</v>
      </c>
      <c r="DL407" s="393">
        <f ca="1">DL389/DL396</f>
        <v>0.72435206424868304</v>
      </c>
      <c r="DM407" s="393">
        <f ca="1">DM389/DM396</f>
        <v>0.71896761757588468</v>
      </c>
      <c r="DN407" s="393">
        <f ca="1">DN389/DN396</f>
        <v>0.71896761757588479</v>
      </c>
      <c r="DP407" s="393">
        <f ca="1">DP389/DP396</f>
        <v>0.71895626442036331</v>
      </c>
      <c r="DQ407" s="393">
        <f ca="1">DQ389/DQ396</f>
        <v>0.71817722409364149</v>
      </c>
      <c r="DR407" s="393">
        <f ca="1">DR389/DR396</f>
        <v>0.7181772240936416</v>
      </c>
      <c r="DT407" s="1"/>
      <c r="DU407" s="1"/>
      <c r="DV407" s="1"/>
      <c r="DW407" s="1"/>
      <c r="DX407" s="1"/>
      <c r="DY407" s="1"/>
      <c r="DZ407" s="1"/>
      <c r="EA407" s="1"/>
      <c r="EB407" s="1"/>
      <c r="EC407" s="1"/>
      <c r="ED407" s="1"/>
      <c r="EE407" s="1"/>
      <c r="EF407" s="1"/>
      <c r="EG407" s="1"/>
      <c r="EH407" s="1"/>
      <c r="EI407" s="1"/>
      <c r="EJ407" s="1"/>
      <c r="EK407" s="1"/>
      <c r="EL407" s="1"/>
      <c r="EM407" s="1"/>
      <c r="EN407" s="1"/>
      <c r="EO407" s="1"/>
      <c r="EP407" s="1"/>
      <c r="EQ407" s="1"/>
      <c r="ER407" s="1"/>
      <c r="ES407" s="1"/>
      <c r="ET407" s="1"/>
      <c r="EU407" s="1"/>
      <c r="EV407" s="1"/>
      <c r="EW407" s="1"/>
      <c r="EX407" s="1"/>
      <c r="EY407" s="1"/>
      <c r="EZ407" s="1"/>
      <c r="FA407" s="1"/>
      <c r="FB407" s="1"/>
      <c r="FC407" s="1"/>
      <c r="FD407" s="1"/>
      <c r="FE407" s="1"/>
      <c r="FF407" s="1"/>
      <c r="FG407" s="1"/>
      <c r="FH407" s="1"/>
      <c r="FI407" s="1"/>
      <c r="FJ407" s="1"/>
      <c r="FK407" s="1"/>
      <c r="FL407" s="1"/>
      <c r="FM407" s="1"/>
      <c r="FN407" s="1"/>
      <c r="FO407" s="1"/>
      <c r="FP407" s="1"/>
      <c r="FQ407" s="1"/>
      <c r="FR407" s="1"/>
      <c r="FS407" s="1"/>
      <c r="FT407" s="1"/>
      <c r="FU407" s="1"/>
      <c r="FV407" s="1"/>
      <c r="FW407" s="1"/>
      <c r="FX407" s="1"/>
      <c r="FY407" s="1"/>
      <c r="FZ407" s="1"/>
      <c r="GA407" s="1"/>
      <c r="GB407" s="1"/>
      <c r="GC407" s="1"/>
      <c r="GD407" s="1"/>
      <c r="GE407" s="1"/>
      <c r="GF407" s="1"/>
      <c r="GG407" s="1"/>
      <c r="GH407" s="1"/>
      <c r="GI407" s="1"/>
      <c r="GJ407" s="1"/>
      <c r="GK407" s="1"/>
      <c r="GL407" s="1"/>
      <c r="GM407" s="1"/>
      <c r="GN407" s="1"/>
      <c r="GO407" s="1"/>
      <c r="GP407" s="1"/>
      <c r="GQ407" s="1"/>
      <c r="GR407" s="1"/>
      <c r="GS407" s="1"/>
      <c r="GT407" s="1"/>
      <c r="GU407" s="1"/>
      <c r="GV407" s="1"/>
      <c r="GW407" s="1"/>
      <c r="GX407" s="1"/>
      <c r="GY407" s="1"/>
      <c r="GZ407" s="1"/>
      <c r="HA407" s="1"/>
      <c r="HB407" s="1"/>
      <c r="HC407" s="1"/>
      <c r="HD407" s="1"/>
      <c r="HE407" s="1"/>
      <c r="HF407" s="1"/>
      <c r="HG407" s="1"/>
      <c r="HH407" s="1"/>
      <c r="HI407" s="1"/>
      <c r="HJ407" s="1"/>
      <c r="HK407" s="1"/>
      <c r="HL407" s="1"/>
      <c r="HM407" s="1"/>
      <c r="HN407" s="1"/>
      <c r="HO407" s="1"/>
      <c r="HP407" s="1"/>
      <c r="HQ407" s="1"/>
      <c r="HR407" s="1"/>
      <c r="HS407" s="1"/>
      <c r="HT407" s="1"/>
      <c r="HU407" s="1"/>
      <c r="HV407" s="1"/>
      <c r="HW407" s="1"/>
      <c r="HX407" s="1"/>
      <c r="HY407" s="1"/>
      <c r="HZ407" s="1"/>
      <c r="IA407" s="1"/>
      <c r="IB407" s="1"/>
      <c r="IC407" s="1"/>
      <c r="ID407" s="1"/>
      <c r="IE407" s="1"/>
      <c r="IF407" s="1"/>
      <c r="IG407" s="1"/>
      <c r="IH407" s="1"/>
      <c r="II407" s="1"/>
      <c r="IJ407" s="1"/>
      <c r="IK407" s="1"/>
      <c r="IL407" s="1"/>
      <c r="IM407" s="1"/>
      <c r="IN407" s="1"/>
      <c r="IO407" s="1"/>
      <c r="IP407" s="1"/>
      <c r="IQ407" s="1"/>
      <c r="IR407" s="1"/>
      <c r="IS407" s="1"/>
      <c r="IT407" s="1"/>
      <c r="IU407" s="1"/>
      <c r="IV407" s="1"/>
      <c r="IW407" s="1"/>
      <c r="IX407" s="1"/>
      <c r="IY407" s="1"/>
      <c r="IZ407" s="1"/>
      <c r="JA407" s="1"/>
      <c r="JB407" s="1"/>
      <c r="JC407" s="1"/>
      <c r="JD407" s="1"/>
    </row>
    <row r="408" spans="1:264" s="429" customFormat="1" x14ac:dyDescent="0.2">
      <c r="A408" s="429" t="s">
        <v>368</v>
      </c>
      <c r="B408" s="408"/>
      <c r="BH408" s="393">
        <f>(BH380+BH383)/BH389</f>
        <v>1.2248076537097745</v>
      </c>
      <c r="BI408" s="393">
        <f>(BI380+BI383)/BI389</f>
        <v>1.2381042554997617</v>
      </c>
      <c r="BJ408" s="393">
        <f>(BJ380+BJ383)/BJ389</f>
        <v>1.2381042554997617</v>
      </c>
      <c r="BK408" s="408"/>
      <c r="BL408" s="393">
        <f>(BL380+BL383)/BL389</f>
        <v>1.2189331927182245</v>
      </c>
      <c r="BM408" s="393">
        <f>(BM380+BM383)/BM389</f>
        <v>1.2202760297942017</v>
      </c>
      <c r="BN408" s="393">
        <f>(BN380+BN383)/BN389</f>
        <v>1.2202760297942017</v>
      </c>
      <c r="BO408" s="408"/>
      <c r="BP408" s="393">
        <f>(BP380+BP383)/BP389</f>
        <v>1.2011910525620835</v>
      </c>
      <c r="BQ408" s="393">
        <f>(BQ380+BQ383)/BQ389</f>
        <v>1.1894976538525968</v>
      </c>
      <c r="BR408" s="393">
        <f>(BR380+BR383)/BR389</f>
        <v>1.1894976538525968</v>
      </c>
      <c r="BT408" s="393">
        <f>(BT380+BT383)/BT389</f>
        <v>1.2055850333096638</v>
      </c>
      <c r="BU408" s="393">
        <f>(BU380+BU383)/BU389</f>
        <v>1.1933270412978598</v>
      </c>
      <c r="BV408" s="393">
        <f>(BV380+BV383)/BV389</f>
        <v>1.1933270412978598</v>
      </c>
      <c r="BX408" s="393">
        <f>(BX380+BX383)/BX389</f>
        <v>1.1867029868452097</v>
      </c>
      <c r="BY408" s="393">
        <f>(BY380+BY383)/BY389</f>
        <v>1.1760889165489783</v>
      </c>
      <c r="BZ408" s="393">
        <f>(BZ380+BZ383)/BZ389</f>
        <v>1.1760889165489783</v>
      </c>
      <c r="CB408" s="393">
        <f>(CB380+CB383)/CB389</f>
        <v>1.186304302949126</v>
      </c>
      <c r="CC408" s="393">
        <f>(CC380+CC383)/CC389</f>
        <v>1.2027758046008414</v>
      </c>
      <c r="CD408" s="393">
        <f>(CD380+CD383)/CD389</f>
        <v>1.2027758046008414</v>
      </c>
      <c r="CF408" s="393">
        <f>(CF380+CF383)/CF389</f>
        <v>1.1922308911948007</v>
      </c>
      <c r="CG408" s="393">
        <f>(CG380+CG383)/CG389</f>
        <v>1.196486070058487</v>
      </c>
      <c r="CH408" s="393">
        <f>(CH380+CH383)/CH389</f>
        <v>1.196486070058487</v>
      </c>
      <c r="CJ408" s="393">
        <f>(CJ380+CJ383)/CJ389</f>
        <v>1.1637825425754047</v>
      </c>
      <c r="CK408" s="393">
        <f>(CK380+CK383)/CK389</f>
        <v>1.1112665402657269</v>
      </c>
      <c r="CL408" s="393">
        <f>(CL380+CL383)/CL389</f>
        <v>1.1112665402657269</v>
      </c>
      <c r="CN408" s="393">
        <f>(CN380+CN383)/CN389</f>
        <v>1.0643123732360216</v>
      </c>
      <c r="CO408" s="393">
        <f>(CO380+CO383)/CO389</f>
        <v>1.0677013130544728</v>
      </c>
      <c r="CP408" s="393">
        <f>(CP380+CP383)/CP389</f>
        <v>1.0677013130544728</v>
      </c>
      <c r="CR408" s="393">
        <f>(CR380+CR383)/CR389</f>
        <v>1.0434105731152561</v>
      </c>
      <c r="CS408" s="393">
        <f>(CS380+CS383)/CS389</f>
        <v>1.0319233289722547</v>
      </c>
      <c r="CT408" s="393">
        <f>(CT380+CT383)/CT389</f>
        <v>1.0319233289722547</v>
      </c>
      <c r="CV408" s="393">
        <f>(CV380+CV383)/CV389</f>
        <v>1.0383130562178098</v>
      </c>
      <c r="CW408" s="393">
        <f>(CW380+CW383)/CW389</f>
        <v>1.0789091266423505</v>
      </c>
      <c r="CX408" s="393">
        <f>(CX380+CX383)/CX389</f>
        <v>1.0789091266423505</v>
      </c>
      <c r="CZ408" s="393">
        <f>(CZ380+CZ383)/CZ389</f>
        <v>1.0635612774089973</v>
      </c>
      <c r="DA408" s="393">
        <f>(DA380+DA383)/DA389</f>
        <v>1.0759138406337139</v>
      </c>
      <c r="DB408" s="393">
        <f>(DB380+DB383)/DB389</f>
        <v>1.0759138406337139</v>
      </c>
      <c r="DD408" s="393">
        <f>(DD380+DD383)/DD389</f>
        <v>1.0829715612818587</v>
      </c>
      <c r="DE408" s="393">
        <f>(DE380+DE383)/DE389</f>
        <v>1.0831960522766264</v>
      </c>
      <c r="DF408" s="393">
        <f>(DF380+DF383)/DF389</f>
        <v>1.0831960522766264</v>
      </c>
      <c r="DH408" s="393">
        <f>(DH380+DH383)/DH389</f>
        <v>1.0676353184724396</v>
      </c>
      <c r="DI408" s="393">
        <f>(DI380+DI383)/DI389</f>
        <v>1.0802033347273616</v>
      </c>
      <c r="DJ408" s="393">
        <f>(DJ380+DJ383)/DJ389</f>
        <v>1.0802033347273616</v>
      </c>
      <c r="DL408" s="393">
        <f>(DL380+DL383)/DL389</f>
        <v>1.0859328663535706</v>
      </c>
      <c r="DM408" s="393">
        <f>(DM380+DM383)/DM389</f>
        <v>1.093346124021908</v>
      </c>
      <c r="DN408" s="393">
        <f>(DN380+DN383)/DN389</f>
        <v>1.093346124021908</v>
      </c>
      <c r="DP408" s="393">
        <f>(DP380+DP383)/DP389</f>
        <v>1.0928696340172688</v>
      </c>
      <c r="DQ408" s="393">
        <f>(DQ380+DQ383)/DQ389</f>
        <v>1.0938379990343727</v>
      </c>
      <c r="DR408" s="393">
        <f>(DR380+DR383)/DR389</f>
        <v>1.0938379990343727</v>
      </c>
      <c r="DT408" s="1"/>
      <c r="DU408" s="1"/>
      <c r="DV408" s="1"/>
      <c r="DW408" s="1"/>
      <c r="DX408" s="1"/>
      <c r="DY408" s="1"/>
      <c r="DZ408" s="1"/>
      <c r="EA408" s="1"/>
      <c r="EB408" s="1"/>
      <c r="EC408" s="1"/>
      <c r="ED408" s="1"/>
      <c r="EE408" s="1"/>
      <c r="EF408" s="1"/>
      <c r="EG408" s="1"/>
      <c r="EH408" s="1"/>
      <c r="EI408" s="1"/>
      <c r="EJ408" s="1"/>
      <c r="EK408" s="1"/>
      <c r="EL408" s="1"/>
      <c r="EM408" s="1"/>
      <c r="EN408" s="1"/>
      <c r="EO408" s="1"/>
      <c r="EP408" s="1"/>
      <c r="EQ408" s="1"/>
      <c r="ER408" s="1"/>
      <c r="ES408" s="1"/>
      <c r="ET408" s="1"/>
      <c r="EU408" s="1"/>
      <c r="EV408" s="1"/>
      <c r="EW408" s="1"/>
      <c r="EX408" s="1"/>
      <c r="EY408" s="1"/>
      <c r="EZ408" s="1"/>
      <c r="FA408" s="1"/>
      <c r="FB408" s="1"/>
      <c r="FC408" s="1"/>
      <c r="FD408" s="1"/>
      <c r="FE408" s="1"/>
      <c r="FF408" s="1"/>
      <c r="FG408" s="1"/>
      <c r="FH408" s="1"/>
      <c r="FI408" s="1"/>
      <c r="FJ408" s="1"/>
      <c r="FK408" s="1"/>
      <c r="FL408" s="1"/>
      <c r="FM408" s="1"/>
      <c r="FN408" s="1"/>
      <c r="FO408" s="1"/>
      <c r="FP408" s="1"/>
      <c r="FQ408" s="1"/>
      <c r="FR408" s="1"/>
      <c r="FS408" s="1"/>
      <c r="FT408" s="1"/>
      <c r="FU408" s="1"/>
      <c r="FV408" s="1"/>
      <c r="FW408" s="1"/>
      <c r="FX408" s="1"/>
      <c r="FY408" s="1"/>
      <c r="FZ408" s="1"/>
      <c r="GA408" s="1"/>
      <c r="GB408" s="1"/>
      <c r="GC408" s="1"/>
      <c r="GD408" s="1"/>
      <c r="GE408" s="1"/>
      <c r="GF408" s="1"/>
      <c r="GG408" s="1"/>
      <c r="GH408" s="1"/>
      <c r="GI408" s="1"/>
      <c r="GJ408" s="1"/>
      <c r="GK408" s="1"/>
      <c r="GL408" s="1"/>
      <c r="GM408" s="1"/>
      <c r="GN408" s="1"/>
      <c r="GO408" s="1"/>
      <c r="GP408" s="1"/>
      <c r="GQ408" s="1"/>
      <c r="GR408" s="1"/>
      <c r="GS408" s="1"/>
      <c r="GT408" s="1"/>
      <c r="GU408" s="1"/>
      <c r="GV408" s="1"/>
      <c r="GW408" s="1"/>
      <c r="GX408" s="1"/>
      <c r="GY408" s="1"/>
      <c r="GZ408" s="1"/>
      <c r="HA408" s="1"/>
      <c r="HB408" s="1"/>
      <c r="HC408" s="1"/>
      <c r="HD408" s="1"/>
      <c r="HE408" s="1"/>
      <c r="HF408" s="1"/>
      <c r="HG408" s="1"/>
      <c r="HH408" s="1"/>
      <c r="HI408" s="1"/>
      <c r="HJ408" s="1"/>
      <c r="HK408" s="1"/>
      <c r="HL408" s="1"/>
      <c r="HM408" s="1"/>
      <c r="HN408" s="1"/>
      <c r="HO408" s="1"/>
      <c r="HP408" s="1"/>
      <c r="HQ408" s="1"/>
      <c r="HR408" s="1"/>
      <c r="HS408" s="1"/>
      <c r="HT408" s="1"/>
      <c r="HU408" s="1"/>
      <c r="HV408" s="1"/>
      <c r="HW408" s="1"/>
      <c r="HX408" s="1"/>
      <c r="HY408" s="1"/>
      <c r="HZ408" s="1"/>
      <c r="IA408" s="1"/>
      <c r="IB408" s="1"/>
      <c r="IC408" s="1"/>
      <c r="ID408" s="1"/>
      <c r="IE408" s="1"/>
      <c r="IF408" s="1"/>
      <c r="IG408" s="1"/>
      <c r="IH408" s="1"/>
      <c r="II408" s="1"/>
      <c r="IJ408" s="1"/>
      <c r="IK408" s="1"/>
      <c r="IL408" s="1"/>
      <c r="IM408" s="1"/>
      <c r="IN408" s="1"/>
      <c r="IO408" s="1"/>
      <c r="IP408" s="1"/>
      <c r="IQ408" s="1"/>
      <c r="IR408" s="1"/>
      <c r="IS408" s="1"/>
      <c r="IT408" s="1"/>
      <c r="IU408" s="1"/>
      <c r="IV408" s="1"/>
      <c r="IW408" s="1"/>
      <c r="IX408" s="1"/>
      <c r="IY408" s="1"/>
      <c r="IZ408" s="1"/>
      <c r="JA408" s="1"/>
      <c r="JB408" s="1"/>
      <c r="JC408" s="1"/>
      <c r="JD408" s="1"/>
    </row>
    <row r="409" spans="1:264" s="429" customFormat="1" x14ac:dyDescent="0.2">
      <c r="A409" s="429" t="s">
        <v>369</v>
      </c>
      <c r="B409" s="408"/>
      <c r="BH409" s="393">
        <f>BH389/(BH380+BH383)</f>
        <v>0.81645472819437159</v>
      </c>
      <c r="BI409" s="393">
        <f>BI389/(BI380+BI383)</f>
        <v>0.80768642507924282</v>
      </c>
      <c r="BJ409" s="393">
        <f>BJ389/(BJ380+BJ383)</f>
        <v>0.80768642507924282</v>
      </c>
      <c r="BK409" s="408"/>
      <c r="BL409" s="393">
        <f>BL389/(BL380+BL383)</f>
        <v>0.82038950614676187</v>
      </c>
      <c r="BM409" s="393">
        <f>BM389/(BM380+BM383)</f>
        <v>0.81948671905703907</v>
      </c>
      <c r="BN409" s="393">
        <f>BN389/(BN380+BN383)</f>
        <v>0.81948671905703907</v>
      </c>
      <c r="BO409" s="408"/>
      <c r="BP409" s="393">
        <f>BP389/(BP380+BP383)</f>
        <v>0.83250703363719492</v>
      </c>
      <c r="BQ409" s="393">
        <f>BQ389/(BQ380+BQ383)</f>
        <v>0.84069102344267466</v>
      </c>
      <c r="BR409" s="393">
        <f>BR389/(BR380+BR383)</f>
        <v>0.84069102344267466</v>
      </c>
      <c r="BT409" s="393">
        <f>BT389/(BT380+BT383)</f>
        <v>0.82947280562593229</v>
      </c>
      <c r="BU409" s="393">
        <f>BU389/(BU380+BU383)</f>
        <v>0.83799324526527297</v>
      </c>
      <c r="BV409" s="393">
        <f>BV389/(BV380+BV383)</f>
        <v>0.83799324526527297</v>
      </c>
      <c r="BX409" s="393">
        <f>BX389/(BX380+BX383)</f>
        <v>0.842670837678137</v>
      </c>
      <c r="BY409" s="393">
        <f>BY389/(BY380+BY383)</f>
        <v>0.85027584728399652</v>
      </c>
      <c r="BZ409" s="393">
        <f>BZ389/(BZ380+BZ383)</f>
        <v>0.85027584728399652</v>
      </c>
      <c r="CB409" s="393">
        <f>CB389/(CB380+CB383)</f>
        <v>0.84295403591980766</v>
      </c>
      <c r="CC409" s="393">
        <f>CC389/(CC380+CC383)</f>
        <v>0.83141013992367796</v>
      </c>
      <c r="CD409" s="393">
        <f>CD389/(CD380+CD383)</f>
        <v>0.83141013992367796</v>
      </c>
      <c r="CF409" s="393">
        <f>CF389/(CF380+CF383)</f>
        <v>0.83876370540763667</v>
      </c>
      <c r="CG409" s="393">
        <f>CG389/(CG380+CG383)</f>
        <v>0.83578072910712431</v>
      </c>
      <c r="CH409" s="393">
        <f>CH389/(CH380+CH383)</f>
        <v>0.83578072910712431</v>
      </c>
      <c r="CJ409" s="393">
        <f>CJ389/(CJ380+CJ383)</f>
        <v>0.85926705670205328</v>
      </c>
      <c r="CK409" s="393">
        <f>CK389/(CK380+CK383)</f>
        <v>0.89987411999364186</v>
      </c>
      <c r="CL409" s="393">
        <f>CL389/(CL380+CL383)</f>
        <v>0.89987411999364186</v>
      </c>
      <c r="CN409" s="393">
        <f>CN389/(CN380+CN383)</f>
        <v>0.93957378035502781</v>
      </c>
      <c r="CO409" s="393">
        <f>CO389/(CO380+CO383)</f>
        <v>0.9365915240276389</v>
      </c>
      <c r="CP409" s="393">
        <f>CP389/(CP380+CP383)</f>
        <v>0.9365915240276389</v>
      </c>
      <c r="CR409" s="393">
        <f>CR389/(CR380+CR383)</f>
        <v>0.95839550198763324</v>
      </c>
      <c r="CS409" s="393">
        <f>CS389/(CS380+CS383)</f>
        <v>0.96906424336384689</v>
      </c>
      <c r="CT409" s="393">
        <f>CT389/(CT380+CT383)</f>
        <v>0.96906424336384689</v>
      </c>
      <c r="CV409" s="393">
        <f>CV389/(CV380+CV383)</f>
        <v>0.9631006698910537</v>
      </c>
      <c r="CW409" s="393">
        <f>CW389/(CW380+CW383)</f>
        <v>0.92686211962269527</v>
      </c>
      <c r="CX409" s="393">
        <f>CX389/(CX380+CX383)</f>
        <v>0.92686211962269527</v>
      </c>
      <c r="CZ409" s="393">
        <f>CZ389/(CZ380+CZ383)</f>
        <v>0.94023731517957987</v>
      </c>
      <c r="DA409" s="393">
        <f>DA389/(DA380+DA383)</f>
        <v>0.92944245369220213</v>
      </c>
      <c r="DB409" s="393">
        <f>DB389/(DB380+DB383)</f>
        <v>0.92944245369220213</v>
      </c>
      <c r="DD409" s="393">
        <f>DD389/(DD380+DD383)</f>
        <v>0.92338528152701493</v>
      </c>
      <c r="DE409" s="393">
        <f>DE389/(DE380+DE383)</f>
        <v>0.92319391110984239</v>
      </c>
      <c r="DF409" s="393">
        <f>DF389/(DF380+DF383)</f>
        <v>0.92319391110984239</v>
      </c>
      <c r="DH409" s="393">
        <f>DH389/(DH380+DH383)</f>
        <v>0.93664941829649151</v>
      </c>
      <c r="DI409" s="393">
        <f>DI389/(DI380+DI383)</f>
        <v>0.92575163198546817</v>
      </c>
      <c r="DJ409" s="393">
        <f>DJ389/(DJ380+DJ383)</f>
        <v>0.92575163198546817</v>
      </c>
      <c r="DL409" s="393">
        <f>DL389/(DL380+DL383)</f>
        <v>0.92086723865157272</v>
      </c>
      <c r="DM409" s="393">
        <f>DM389/(DM380+DM383)</f>
        <v>0.91462344634420856</v>
      </c>
      <c r="DN409" s="393">
        <f>DN389/(DN380+DN383)</f>
        <v>0.91462344634420856</v>
      </c>
      <c r="DP409" s="393">
        <f>DP389/(DP380+DP383)</f>
        <v>0.91502222119953114</v>
      </c>
      <c r="DQ409" s="393">
        <f>DQ389/(DQ380+DQ383)</f>
        <v>0.9142121601944605</v>
      </c>
      <c r="DR409" s="393">
        <f>DR389/(DR380+DR383)</f>
        <v>0.9142121601944605</v>
      </c>
      <c r="DT409" s="1"/>
      <c r="DU409" s="1"/>
      <c r="DV409" s="1"/>
      <c r="DW409" s="1"/>
      <c r="DX409" s="1"/>
      <c r="DY409" s="1"/>
      <c r="DZ409" s="1"/>
      <c r="EA409" s="1"/>
      <c r="EB409" s="1"/>
      <c r="EC409" s="1"/>
      <c r="ED409" s="1"/>
      <c r="EE409" s="1"/>
      <c r="EF409" s="1"/>
      <c r="EG409" s="1"/>
      <c r="EH409" s="1"/>
      <c r="EI409" s="1"/>
      <c r="EJ409" s="1"/>
      <c r="EK409" s="1"/>
      <c r="EL409" s="1"/>
      <c r="EM409" s="1"/>
      <c r="EN409" s="1"/>
      <c r="EO409" s="1"/>
      <c r="EP409" s="1"/>
      <c r="EQ409" s="1"/>
      <c r="ER409" s="1"/>
      <c r="ES409" s="1"/>
      <c r="ET409" s="1"/>
      <c r="EU409" s="1"/>
      <c r="EV409" s="1"/>
      <c r="EW409" s="1"/>
      <c r="EX409" s="1"/>
      <c r="EY409" s="1"/>
      <c r="EZ409" s="1"/>
      <c r="FA409" s="1"/>
      <c r="FB409" s="1"/>
      <c r="FC409" s="1"/>
      <c r="FD409" s="1"/>
      <c r="FE409" s="1"/>
      <c r="FF409" s="1"/>
      <c r="FG409" s="1"/>
      <c r="FH409" s="1"/>
      <c r="FI409" s="1"/>
      <c r="FJ409" s="1"/>
      <c r="FK409" s="1"/>
      <c r="FL409" s="1"/>
      <c r="FM409" s="1"/>
      <c r="FN409" s="1"/>
      <c r="FO409" s="1"/>
      <c r="FP409" s="1"/>
      <c r="FQ409" s="1"/>
      <c r="FR409" s="1"/>
      <c r="FS409" s="1"/>
      <c r="FT409" s="1"/>
      <c r="FU409" s="1"/>
      <c r="FV409" s="1"/>
      <c r="FW409" s="1"/>
      <c r="FX409" s="1"/>
      <c r="FY409" s="1"/>
      <c r="FZ409" s="1"/>
      <c r="GA409" s="1"/>
      <c r="GB409" s="1"/>
      <c r="GC409" s="1"/>
      <c r="GD409" s="1"/>
      <c r="GE409" s="1"/>
      <c r="GF409" s="1"/>
      <c r="GG409" s="1"/>
      <c r="GH409" s="1"/>
      <c r="GI409" s="1"/>
      <c r="GJ409" s="1"/>
      <c r="GK409" s="1"/>
      <c r="GL409" s="1"/>
      <c r="GM409" s="1"/>
      <c r="GN409" s="1"/>
      <c r="GO409" s="1"/>
      <c r="GP409" s="1"/>
      <c r="GQ409" s="1"/>
      <c r="GR409" s="1"/>
      <c r="GS409" s="1"/>
      <c r="GT409" s="1"/>
      <c r="GU409" s="1"/>
      <c r="GV409" s="1"/>
      <c r="GW409" s="1"/>
      <c r="GX409" s="1"/>
      <c r="GY409" s="1"/>
      <c r="GZ409" s="1"/>
      <c r="HA409" s="1"/>
      <c r="HB409" s="1"/>
      <c r="HC409" s="1"/>
      <c r="HD409" s="1"/>
      <c r="HE409" s="1"/>
      <c r="HF409" s="1"/>
      <c r="HG409" s="1"/>
      <c r="HH409" s="1"/>
      <c r="HI409" s="1"/>
      <c r="HJ409" s="1"/>
      <c r="HK409" s="1"/>
      <c r="HL409" s="1"/>
      <c r="HM409" s="1"/>
      <c r="HN409" s="1"/>
      <c r="HO409" s="1"/>
      <c r="HP409" s="1"/>
      <c r="HQ409" s="1"/>
      <c r="HR409" s="1"/>
      <c r="HS409" s="1"/>
      <c r="HT409" s="1"/>
      <c r="HU409" s="1"/>
      <c r="HV409" s="1"/>
      <c r="HW409" s="1"/>
      <c r="HX409" s="1"/>
      <c r="HY409" s="1"/>
      <c r="HZ409" s="1"/>
      <c r="IA409" s="1"/>
      <c r="IB409" s="1"/>
      <c r="IC409" s="1"/>
      <c r="ID409" s="1"/>
      <c r="IE409" s="1"/>
      <c r="IF409" s="1"/>
      <c r="IG409" s="1"/>
      <c r="IH409" s="1"/>
      <c r="II409" s="1"/>
      <c r="IJ409" s="1"/>
      <c r="IK409" s="1"/>
      <c r="IL409" s="1"/>
      <c r="IM409" s="1"/>
      <c r="IN409" s="1"/>
      <c r="IO409" s="1"/>
      <c r="IP409" s="1"/>
      <c r="IQ409" s="1"/>
      <c r="IR409" s="1"/>
      <c r="IS409" s="1"/>
      <c r="IT409" s="1"/>
      <c r="IU409" s="1"/>
      <c r="IV409" s="1"/>
      <c r="IW409" s="1"/>
      <c r="IX409" s="1"/>
      <c r="IY409" s="1"/>
      <c r="IZ409" s="1"/>
      <c r="JA409" s="1"/>
      <c r="JB409" s="1"/>
      <c r="JC409" s="1"/>
      <c r="JD409" s="1"/>
    </row>
    <row r="410" spans="1:264" s="347" customFormat="1" x14ac:dyDescent="0.2">
      <c r="B410" s="348"/>
      <c r="BH410" s="348"/>
      <c r="BI410" s="348"/>
      <c r="BJ410" s="348"/>
      <c r="BK410" s="348"/>
      <c r="BL410" s="348"/>
      <c r="BM410" s="348"/>
      <c r="BN410" s="348"/>
      <c r="BO410" s="348"/>
      <c r="BP410" s="348"/>
      <c r="BQ410" s="348"/>
      <c r="BR410" s="348"/>
      <c r="BT410" s="348"/>
      <c r="BU410" s="348"/>
      <c r="BV410" s="348"/>
      <c r="BX410" s="348"/>
      <c r="BY410" s="348"/>
      <c r="BZ410" s="348"/>
      <c r="CB410" s="348"/>
      <c r="CC410" s="348"/>
      <c r="CD410" s="348"/>
      <c r="CF410" s="348"/>
      <c r="CG410" s="348"/>
      <c r="CH410" s="348"/>
      <c r="CJ410" s="348"/>
      <c r="CK410" s="348"/>
      <c r="CL410" s="348"/>
      <c r="CN410" s="348"/>
      <c r="CO410" s="348"/>
      <c r="CP410" s="348"/>
      <c r="CR410" s="348"/>
      <c r="CS410" s="348"/>
      <c r="CT410" s="348"/>
      <c r="CV410" s="348"/>
      <c r="CW410" s="348"/>
      <c r="CX410" s="348"/>
      <c r="CZ410" s="348"/>
      <c r="DA410" s="348"/>
      <c r="DB410" s="348"/>
      <c r="DD410" s="348"/>
      <c r="DE410" s="348"/>
      <c r="DF410" s="348"/>
      <c r="DH410" s="348"/>
      <c r="DI410" s="348"/>
      <c r="DJ410" s="348"/>
      <c r="DL410" s="348"/>
      <c r="DM410" s="348"/>
      <c r="DN410" s="348"/>
      <c r="DP410" s="348"/>
      <c r="DQ410" s="348"/>
      <c r="DR410" s="348"/>
      <c r="DT410" s="1"/>
      <c r="DU410" s="1"/>
      <c r="DV410" s="1"/>
      <c r="DW410" s="1"/>
      <c r="DX410" s="1"/>
      <c r="DY410" s="1"/>
      <c r="DZ410" s="1"/>
      <c r="EA410" s="1"/>
      <c r="EB410" s="1"/>
      <c r="EC410" s="1"/>
      <c r="ED410" s="1"/>
      <c r="EE410" s="1"/>
      <c r="EF410" s="1"/>
      <c r="EG410" s="1"/>
      <c r="EH410" s="1"/>
      <c r="EI410" s="1"/>
      <c r="EJ410" s="1"/>
      <c r="EK410" s="1"/>
      <c r="EL410" s="1"/>
      <c r="EM410" s="1"/>
      <c r="EN410" s="1"/>
      <c r="EO410" s="1"/>
      <c r="EP410" s="1"/>
      <c r="EQ410" s="1"/>
      <c r="ER410" s="1"/>
      <c r="ES410" s="1"/>
      <c r="ET410" s="1"/>
      <c r="EU410" s="1"/>
      <c r="EV410" s="1"/>
      <c r="EW410" s="1"/>
      <c r="EX410" s="1"/>
      <c r="EY410" s="1"/>
      <c r="EZ410" s="1"/>
      <c r="FA410" s="1"/>
      <c r="FB410" s="1"/>
      <c r="FC410" s="1"/>
      <c r="FD410" s="1"/>
      <c r="FE410" s="1"/>
      <c r="FF410" s="1"/>
      <c r="FG410" s="1"/>
      <c r="FH410" s="1"/>
      <c r="FI410" s="1"/>
      <c r="FJ410" s="1"/>
      <c r="FK410" s="1"/>
      <c r="FL410" s="1"/>
      <c r="FM410" s="1"/>
      <c r="FN410" s="1"/>
      <c r="FO410" s="1"/>
      <c r="FP410" s="1"/>
      <c r="FQ410" s="1"/>
      <c r="FR410" s="1"/>
      <c r="FS410" s="1"/>
      <c r="FT410" s="1"/>
      <c r="FU410" s="1"/>
      <c r="FV410" s="1"/>
      <c r="FW410" s="1"/>
      <c r="FX410" s="1"/>
      <c r="FY410" s="1"/>
      <c r="FZ410" s="1"/>
      <c r="GA410" s="1"/>
      <c r="GB410" s="1"/>
      <c r="GC410" s="1"/>
      <c r="GD410" s="1"/>
      <c r="GE410" s="1"/>
      <c r="GF410" s="1"/>
      <c r="GG410" s="1"/>
      <c r="GH410" s="1"/>
      <c r="GI410" s="1"/>
      <c r="GJ410" s="1"/>
      <c r="GK410" s="1"/>
      <c r="GL410" s="1"/>
      <c r="GM410" s="1"/>
      <c r="GN410" s="1"/>
      <c r="GO410" s="1"/>
      <c r="GP410" s="1"/>
      <c r="GQ410" s="1"/>
      <c r="GR410" s="1"/>
      <c r="GS410" s="1"/>
      <c r="GT410" s="1"/>
      <c r="GU410" s="1"/>
      <c r="GV410" s="1"/>
      <c r="GW410" s="1"/>
      <c r="GX410" s="1"/>
      <c r="GY410" s="1"/>
      <c r="GZ410" s="1"/>
      <c r="HA410" s="1"/>
      <c r="HB410" s="1"/>
      <c r="HC410" s="1"/>
      <c r="HD410" s="1"/>
      <c r="HE410" s="1"/>
      <c r="HF410" s="1"/>
      <c r="HG410" s="1"/>
      <c r="HH410" s="1"/>
      <c r="HI410" s="1"/>
      <c r="HJ410" s="1"/>
      <c r="HK410" s="1"/>
      <c r="HL410" s="1"/>
      <c r="HM410" s="1"/>
      <c r="HN410" s="1"/>
      <c r="HO410" s="1"/>
      <c r="HP410" s="1"/>
      <c r="HQ410" s="1"/>
      <c r="HR410" s="1"/>
      <c r="HS410" s="1"/>
      <c r="HT410" s="1"/>
      <c r="HU410" s="1"/>
      <c r="HV410" s="1"/>
      <c r="HW410" s="1"/>
      <c r="HX410" s="1"/>
      <c r="HY410" s="1"/>
      <c r="HZ410" s="1"/>
      <c r="IA410" s="1"/>
      <c r="IB410" s="1"/>
      <c r="IC410" s="1"/>
      <c r="ID410" s="1"/>
      <c r="IE410" s="1"/>
      <c r="IF410" s="1"/>
      <c r="IG410" s="1"/>
      <c r="IH410" s="1"/>
      <c r="II410" s="1"/>
      <c r="IJ410" s="1"/>
      <c r="IK410" s="1"/>
      <c r="IL410" s="1"/>
      <c r="IM410" s="1"/>
      <c r="IN410" s="1"/>
      <c r="IO410" s="1"/>
      <c r="IP410" s="1"/>
      <c r="IQ410" s="1"/>
      <c r="IR410" s="1"/>
      <c r="IS410" s="1"/>
      <c r="IT410" s="1"/>
      <c r="IU410" s="1"/>
      <c r="IV410" s="1"/>
      <c r="IW410" s="1"/>
      <c r="IX410" s="1"/>
      <c r="IY410" s="1"/>
      <c r="IZ410" s="1"/>
      <c r="JA410" s="1"/>
      <c r="JB410" s="1"/>
      <c r="JC410" s="1"/>
      <c r="JD410" s="1"/>
    </row>
    <row r="411" spans="1:264" s="347" customFormat="1" x14ac:dyDescent="0.2">
      <c r="A411" s="347" t="s">
        <v>370</v>
      </c>
      <c r="B411" s="348"/>
      <c r="BH411" s="351">
        <f>BH384</f>
        <v>2029</v>
      </c>
      <c r="BI411" s="351">
        <f>BI384</f>
        <v>2281</v>
      </c>
      <c r="BJ411" s="351">
        <f>BJ384</f>
        <v>2281</v>
      </c>
      <c r="BK411" s="348"/>
      <c r="BL411" s="351">
        <f>BL384</f>
        <v>2220</v>
      </c>
      <c r="BM411" s="351">
        <f>BM384</f>
        <v>1844</v>
      </c>
      <c r="BN411" s="351">
        <f>BN384</f>
        <v>1844</v>
      </c>
      <c r="BO411" s="348"/>
      <c r="BP411" s="351">
        <f>BP384</f>
        <v>2102</v>
      </c>
      <c r="BQ411" s="351">
        <f>BQ384</f>
        <v>2637</v>
      </c>
      <c r="BR411" s="351">
        <f>BR384</f>
        <v>2637</v>
      </c>
      <c r="BT411" s="351">
        <f>BT384</f>
        <v>2673</v>
      </c>
      <c r="BU411" s="351">
        <f>BU384</f>
        <v>2776</v>
      </c>
      <c r="BV411" s="351">
        <f>BV384</f>
        <v>2776</v>
      </c>
      <c r="BX411" s="351">
        <f>BX384</f>
        <v>2842</v>
      </c>
      <c r="BY411" s="351">
        <f>BY384</f>
        <v>2778</v>
      </c>
      <c r="BZ411" s="351">
        <f>BZ384</f>
        <v>2778</v>
      </c>
      <c r="CB411" s="351">
        <f>CB384</f>
        <v>2750</v>
      </c>
      <c r="CC411" s="351">
        <f>CC384</f>
        <v>2842</v>
      </c>
      <c r="CD411" s="351">
        <f>CD384</f>
        <v>2842</v>
      </c>
      <c r="CF411" s="351">
        <f>CF384</f>
        <v>2831</v>
      </c>
      <c r="CG411" s="351">
        <f>CG384</f>
        <v>3001</v>
      </c>
      <c r="CH411" s="351">
        <f>CH384</f>
        <v>3001</v>
      </c>
      <c r="CJ411" s="351">
        <f>CJ384</f>
        <v>3054</v>
      </c>
      <c r="CK411" s="351">
        <f>CK384</f>
        <v>3034</v>
      </c>
      <c r="CL411" s="351">
        <f>CL384</f>
        <v>3034</v>
      </c>
      <c r="CN411" s="351">
        <f>CN384</f>
        <v>2865</v>
      </c>
      <c r="CO411" s="351">
        <f>CO384</f>
        <v>3941</v>
      </c>
      <c r="CP411" s="351">
        <f>CP384</f>
        <v>3941</v>
      </c>
      <c r="CR411" s="351">
        <f>CR384</f>
        <v>5151</v>
      </c>
      <c r="CS411" s="351">
        <f>CS384</f>
        <v>2801</v>
      </c>
      <c r="CT411" s="351">
        <f>CT384</f>
        <v>2801</v>
      </c>
      <c r="CV411" s="351">
        <f>CV384</f>
        <v>1840</v>
      </c>
      <c r="CW411" s="351">
        <f>CW384</f>
        <v>1827</v>
      </c>
      <c r="CX411" s="351">
        <f>CX384</f>
        <v>1827</v>
      </c>
      <c r="CZ411" s="351">
        <f>CZ384</f>
        <v>1774</v>
      </c>
      <c r="DA411" s="351">
        <f>DA384</f>
        <v>1671</v>
      </c>
      <c r="DB411" s="351">
        <f>DB384</f>
        <v>1671</v>
      </c>
      <c r="DD411" s="351">
        <f>DD384</f>
        <v>771</v>
      </c>
      <c r="DE411" s="351">
        <f>DE384</f>
        <v>819</v>
      </c>
      <c r="DF411" s="351">
        <f>DF384</f>
        <v>819</v>
      </c>
      <c r="DH411" s="351">
        <f>DH384</f>
        <v>819</v>
      </c>
      <c r="DI411" s="351">
        <f>+DH411*(1+DI412)</f>
        <v>839.47499999999991</v>
      </c>
      <c r="DJ411" s="351">
        <f>DI411</f>
        <v>839.47499999999991</v>
      </c>
      <c r="DL411" s="351">
        <f>+DI411*(1+DL412)</f>
        <v>860.46187499999985</v>
      </c>
      <c r="DM411" s="351">
        <f>+DL411*(1+DM412)</f>
        <v>881.97342187499976</v>
      </c>
      <c r="DN411" s="351">
        <f>DM411</f>
        <v>881.97342187499976</v>
      </c>
      <c r="DP411" s="351">
        <f>+DM411*(1+DP412)</f>
        <v>904.02275742187464</v>
      </c>
      <c r="DQ411" s="351">
        <f>+DP411*(1+DQ412)</f>
        <v>926.62332635742143</v>
      </c>
      <c r="DR411" s="351">
        <f>DQ411</f>
        <v>926.62332635742143</v>
      </c>
      <c r="DT411" s="1"/>
      <c r="DU411" s="1"/>
      <c r="DV411" s="1"/>
      <c r="DW411" s="1"/>
      <c r="DX411" s="1"/>
      <c r="DY411" s="1"/>
      <c r="DZ411" s="1"/>
      <c r="EA411" s="1"/>
      <c r="EB411" s="1"/>
      <c r="EC411" s="1"/>
      <c r="ED411" s="1"/>
      <c r="EE411" s="1"/>
      <c r="EF411" s="1"/>
      <c r="EG411" s="1"/>
      <c r="EH411" s="1"/>
      <c r="EI411" s="1"/>
      <c r="EJ411" s="1"/>
      <c r="EK411" s="1"/>
      <c r="EL411" s="1"/>
      <c r="EM411" s="1"/>
      <c r="EN411" s="1"/>
      <c r="EO411" s="1"/>
      <c r="EP411" s="1"/>
      <c r="EQ411" s="1"/>
      <c r="ER411" s="1"/>
      <c r="ES411" s="1"/>
      <c r="ET411" s="1"/>
      <c r="EU411" s="1"/>
      <c r="EV411" s="1"/>
      <c r="EW411" s="1"/>
      <c r="EX411" s="1"/>
      <c r="EY411" s="1"/>
      <c r="EZ411" s="1"/>
      <c r="FA411" s="1"/>
      <c r="FB411" s="1"/>
      <c r="FC411" s="1"/>
      <c r="FD411" s="1"/>
      <c r="FE411" s="1"/>
      <c r="FF411" s="1"/>
      <c r="FG411" s="1"/>
      <c r="FH411" s="1"/>
      <c r="FI411" s="1"/>
      <c r="FJ411" s="1"/>
      <c r="FK411" s="1"/>
      <c r="FL411" s="1"/>
      <c r="FM411" s="1"/>
      <c r="FN411" s="1"/>
      <c r="FO411" s="1"/>
      <c r="FP411" s="1"/>
      <c r="FQ411" s="1"/>
      <c r="FR411" s="1"/>
      <c r="FS411" s="1"/>
      <c r="FT411" s="1"/>
      <c r="FU411" s="1"/>
      <c r="FV411" s="1"/>
      <c r="FW411" s="1"/>
      <c r="FX411" s="1"/>
      <c r="FY411" s="1"/>
      <c r="FZ411" s="1"/>
      <c r="GA411" s="1"/>
      <c r="GB411" s="1"/>
      <c r="GC411" s="1"/>
      <c r="GD411" s="1"/>
      <c r="GE411" s="1"/>
      <c r="GF411" s="1"/>
      <c r="GG411" s="1"/>
      <c r="GH411" s="1"/>
      <c r="GI411" s="1"/>
      <c r="GJ411" s="1"/>
      <c r="GK411" s="1"/>
      <c r="GL411" s="1"/>
      <c r="GM411" s="1"/>
      <c r="GN411" s="1"/>
      <c r="GO411" s="1"/>
      <c r="GP411" s="1"/>
      <c r="GQ411" s="1"/>
      <c r="GR411" s="1"/>
      <c r="GS411" s="1"/>
      <c r="GT411" s="1"/>
      <c r="GU411" s="1"/>
      <c r="GV411" s="1"/>
      <c r="GW411" s="1"/>
      <c r="GX411" s="1"/>
      <c r="GY411" s="1"/>
      <c r="GZ411" s="1"/>
      <c r="HA411" s="1"/>
      <c r="HB411" s="1"/>
      <c r="HC411" s="1"/>
      <c r="HD411" s="1"/>
      <c r="HE411" s="1"/>
      <c r="HF411" s="1"/>
      <c r="HG411" s="1"/>
      <c r="HH411" s="1"/>
      <c r="HI411" s="1"/>
      <c r="HJ411" s="1"/>
      <c r="HK411" s="1"/>
      <c r="HL411" s="1"/>
      <c r="HM411" s="1"/>
      <c r="HN411" s="1"/>
      <c r="HO411" s="1"/>
      <c r="HP411" s="1"/>
      <c r="HQ411" s="1"/>
      <c r="HR411" s="1"/>
      <c r="HS411" s="1"/>
      <c r="HT411" s="1"/>
      <c r="HU411" s="1"/>
      <c r="HV411" s="1"/>
      <c r="HW411" s="1"/>
      <c r="HX411" s="1"/>
      <c r="HY411" s="1"/>
      <c r="HZ411" s="1"/>
      <c r="IA411" s="1"/>
      <c r="IB411" s="1"/>
      <c r="IC411" s="1"/>
      <c r="ID411" s="1"/>
      <c r="IE411" s="1"/>
      <c r="IF411" s="1"/>
      <c r="IG411" s="1"/>
      <c r="IH411" s="1"/>
      <c r="II411" s="1"/>
      <c r="IJ411" s="1"/>
      <c r="IK411" s="1"/>
      <c r="IL411" s="1"/>
      <c r="IM411" s="1"/>
      <c r="IN411" s="1"/>
      <c r="IO411" s="1"/>
      <c r="IP411" s="1"/>
      <c r="IQ411" s="1"/>
      <c r="IR411" s="1"/>
      <c r="IS411" s="1"/>
      <c r="IT411" s="1"/>
      <c r="IU411" s="1"/>
      <c r="IV411" s="1"/>
      <c r="IW411" s="1"/>
      <c r="IX411" s="1"/>
      <c r="IY411" s="1"/>
      <c r="IZ411" s="1"/>
      <c r="JA411" s="1"/>
      <c r="JB411" s="1"/>
      <c r="JC411" s="1"/>
      <c r="JD411" s="1"/>
    </row>
    <row r="412" spans="1:264" s="347" customFormat="1" x14ac:dyDescent="0.2">
      <c r="A412" s="436" t="s">
        <v>273</v>
      </c>
      <c r="B412" s="437" t="s">
        <v>236</v>
      </c>
      <c r="C412" s="463"/>
      <c r="D412" s="463"/>
      <c r="E412" s="463"/>
      <c r="F412" s="463"/>
      <c r="G412" s="463"/>
      <c r="H412" s="463"/>
      <c r="I412" s="463"/>
      <c r="J412" s="463"/>
      <c r="K412" s="463"/>
      <c r="L412" s="463"/>
      <c r="M412" s="463"/>
      <c r="N412" s="463"/>
      <c r="O412" s="463"/>
      <c r="P412" s="463"/>
      <c r="Q412" s="463"/>
      <c r="R412" s="463"/>
      <c r="S412" s="463"/>
      <c r="T412" s="463"/>
      <c r="U412" s="463"/>
      <c r="V412" s="463"/>
      <c r="W412" s="463"/>
      <c r="X412" s="463"/>
      <c r="Y412" s="463"/>
      <c r="Z412" s="463"/>
      <c r="AA412" s="463"/>
      <c r="AB412" s="463"/>
      <c r="AC412" s="463"/>
      <c r="AD412" s="463"/>
      <c r="AE412" s="463"/>
      <c r="AF412" s="463"/>
      <c r="AG412" s="463"/>
      <c r="AH412" s="463"/>
      <c r="AI412" s="463"/>
      <c r="AJ412" s="463"/>
      <c r="AK412" s="463"/>
      <c r="AL412" s="463"/>
      <c r="AM412" s="463"/>
      <c r="AN412" s="463"/>
      <c r="AO412" s="463"/>
      <c r="AP412" s="463"/>
      <c r="AQ412" s="463"/>
      <c r="AR412" s="463"/>
      <c r="AS412" s="463"/>
      <c r="AT412" s="463"/>
      <c r="AU412" s="463"/>
      <c r="AV412" s="463"/>
      <c r="AW412" s="463"/>
      <c r="AX412" s="463"/>
      <c r="AY412" s="463"/>
      <c r="AZ412" s="463"/>
      <c r="BA412" s="463"/>
      <c r="BB412" s="463"/>
      <c r="BC412" s="463"/>
      <c r="BD412" s="463"/>
      <c r="BE412" s="463"/>
      <c r="BF412" s="463"/>
      <c r="BG412" s="463"/>
      <c r="BH412" s="466"/>
      <c r="BI412" s="465">
        <f>+BI411/BH411-1</f>
        <v>0.12419911286347962</v>
      </c>
      <c r="BJ412" s="466"/>
      <c r="BK412" s="466"/>
      <c r="BL412" s="465">
        <f>+BL411/BI411-1</f>
        <v>-2.6742656729504599E-2</v>
      </c>
      <c r="BM412" s="465">
        <f>+BM411/BL411-1</f>
        <v>-0.16936936936936942</v>
      </c>
      <c r="BN412" s="466"/>
      <c r="BO412" s="466"/>
      <c r="BP412" s="465">
        <f>+BP411/BM411-1</f>
        <v>0.13991323210412143</v>
      </c>
      <c r="BQ412" s="465">
        <f>+BQ411/BP411-1</f>
        <v>0.25451950523311129</v>
      </c>
      <c r="BR412" s="466"/>
      <c r="BS412" s="463"/>
      <c r="BT412" s="465">
        <f>+BT411/BQ411-1</f>
        <v>1.3651877133105783E-2</v>
      </c>
      <c r="BU412" s="465">
        <f>+BU411/BT411-1</f>
        <v>3.8533482977927358E-2</v>
      </c>
      <c r="BV412" s="466"/>
      <c r="BW412" s="463"/>
      <c r="BX412" s="465">
        <f>+BX411/BU411-1</f>
        <v>2.3775216138328448E-2</v>
      </c>
      <c r="BY412" s="465">
        <f>+BY411/BX411-1</f>
        <v>-2.2519352568613704E-2</v>
      </c>
      <c r="BZ412" s="466"/>
      <c r="CA412" s="463"/>
      <c r="CB412" s="465">
        <f>+CB411/BY411-1</f>
        <v>-1.0079193664506825E-2</v>
      </c>
      <c r="CC412" s="465">
        <f>+CC411/CB411-1</f>
        <v>3.3454545454545404E-2</v>
      </c>
      <c r="CD412" s="466"/>
      <c r="CE412" s="463"/>
      <c r="CF412" s="465">
        <f>+CF411/CC411-1</f>
        <v>-3.8705137227305064E-3</v>
      </c>
      <c r="CG412" s="465">
        <f>+CG411/CF411-1</f>
        <v>6.0049452490286148E-2</v>
      </c>
      <c r="CH412" s="466"/>
      <c r="CI412" s="463"/>
      <c r="CJ412" s="465">
        <f>+CJ411/CG411-1</f>
        <v>1.7660779740086729E-2</v>
      </c>
      <c r="CK412" s="465">
        <f>+CK411/CJ411-1</f>
        <v>-6.5487884741323166E-3</v>
      </c>
      <c r="CL412" s="466"/>
      <c r="CM412" s="463"/>
      <c r="CN412" s="465">
        <f>+CN411/CK411-1</f>
        <v>-5.5702043506921539E-2</v>
      </c>
      <c r="CO412" s="465">
        <f>+CO411/CN411-1</f>
        <v>0.37556719022687601</v>
      </c>
      <c r="CP412" s="466"/>
      <c r="CQ412" s="463"/>
      <c r="CR412" s="465">
        <f>+CR411/CO411-1</f>
        <v>0.30702867292565328</v>
      </c>
      <c r="CS412" s="465">
        <f>+CS411/CR411-1</f>
        <v>-0.45622209279751502</v>
      </c>
      <c r="CT412" s="466"/>
      <c r="CU412" s="463"/>
      <c r="CV412" s="465">
        <f>+CV411/CS411-1</f>
        <v>-0.34309175294537664</v>
      </c>
      <c r="CW412" s="465">
        <f>+CW411/CV411-1</f>
        <v>-7.0652173913043903E-3</v>
      </c>
      <c r="CX412" s="466"/>
      <c r="CY412" s="463"/>
      <c r="CZ412" s="465">
        <f>+CZ411/CW411-1</f>
        <v>-2.9009304871373875E-2</v>
      </c>
      <c r="DA412" s="465">
        <f>+DA411/CZ411-1</f>
        <v>-5.8060879368658447E-2</v>
      </c>
      <c r="DB412" s="466"/>
      <c r="DC412" s="463"/>
      <c r="DD412" s="465">
        <f>+DD411/DA411-1</f>
        <v>-0.53859964093357271</v>
      </c>
      <c r="DE412" s="465">
        <f>+DE411/DD411-1</f>
        <v>6.2256809338521402E-2</v>
      </c>
      <c r="DF412" s="466"/>
      <c r="DG412" s="463"/>
      <c r="DH412" s="465">
        <f>+DH411/DE411-1</f>
        <v>0</v>
      </c>
      <c r="DI412" s="482">
        <v>2.5000000000000001E-2</v>
      </c>
      <c r="DJ412" s="466"/>
      <c r="DK412" s="463"/>
      <c r="DL412" s="482">
        <v>2.5000000000000001E-2</v>
      </c>
      <c r="DM412" s="482">
        <v>2.5000000000000001E-2</v>
      </c>
      <c r="DN412" s="466"/>
      <c r="DO412" s="463"/>
      <c r="DP412" s="482">
        <v>2.5000000000000001E-2</v>
      </c>
      <c r="DQ412" s="482">
        <v>2.5000000000000001E-2</v>
      </c>
      <c r="DR412" s="466"/>
      <c r="DS412" s="463"/>
      <c r="DT412" s="1"/>
      <c r="DU412" s="1"/>
      <c r="DV412" s="1"/>
      <c r="DW412" s="1"/>
      <c r="DX412" s="1"/>
      <c r="DY412" s="1"/>
      <c r="DZ412" s="1"/>
      <c r="EA412" s="1"/>
      <c r="EB412" s="1"/>
      <c r="EC412" s="1"/>
      <c r="ED412" s="1"/>
      <c r="EE412" s="1"/>
      <c r="EF412" s="1"/>
      <c r="EG412" s="1"/>
      <c r="EH412" s="1"/>
      <c r="EI412" s="1"/>
      <c r="EJ412" s="1"/>
      <c r="EK412" s="1"/>
      <c r="EL412" s="1"/>
      <c r="EM412" s="1"/>
      <c r="EN412" s="1"/>
      <c r="EO412" s="1"/>
      <c r="EP412" s="1"/>
      <c r="EQ412" s="1"/>
      <c r="ER412" s="1"/>
      <c r="ES412" s="1"/>
      <c r="ET412" s="1"/>
      <c r="EU412" s="1"/>
      <c r="EV412" s="1"/>
      <c r="EW412" s="1"/>
      <c r="EX412" s="1"/>
      <c r="EY412" s="1"/>
      <c r="EZ412" s="1"/>
      <c r="FA412" s="1"/>
      <c r="FB412" s="1"/>
      <c r="FC412" s="1"/>
      <c r="FD412" s="1"/>
      <c r="FE412" s="1"/>
      <c r="FF412" s="1"/>
      <c r="FG412" s="1"/>
      <c r="FH412" s="1"/>
      <c r="FI412" s="1"/>
      <c r="FJ412" s="1"/>
      <c r="FK412" s="1"/>
      <c r="FL412" s="1"/>
      <c r="FM412" s="1"/>
      <c r="FN412" s="1"/>
      <c r="FO412" s="1"/>
      <c r="FP412" s="1"/>
      <c r="FQ412" s="1"/>
      <c r="FR412" s="1"/>
      <c r="FS412" s="1"/>
      <c r="FT412" s="1"/>
      <c r="FU412" s="1"/>
      <c r="FV412" s="1"/>
      <c r="FW412" s="1"/>
      <c r="FX412" s="1"/>
      <c r="FY412" s="1"/>
      <c r="FZ412" s="1"/>
      <c r="GA412" s="1"/>
      <c r="GB412" s="1"/>
      <c r="GC412" s="1"/>
      <c r="GD412" s="1"/>
      <c r="GE412" s="1"/>
      <c r="GF412" s="1"/>
      <c r="GG412" s="1"/>
      <c r="GH412" s="1"/>
      <c r="GI412" s="1"/>
      <c r="GJ412" s="1"/>
      <c r="GK412" s="1"/>
      <c r="GL412" s="1"/>
      <c r="GM412" s="1"/>
      <c r="GN412" s="1"/>
      <c r="GO412" s="1"/>
      <c r="GP412" s="1"/>
      <c r="GQ412" s="1"/>
      <c r="GR412" s="1"/>
      <c r="GS412" s="1"/>
      <c r="GT412" s="1"/>
      <c r="GU412" s="1"/>
      <c r="GV412" s="1"/>
      <c r="GW412" s="1"/>
      <c r="GX412" s="1"/>
      <c r="GY412" s="1"/>
      <c r="GZ412" s="1"/>
      <c r="HA412" s="1"/>
      <c r="HB412" s="1"/>
      <c r="HC412" s="1"/>
      <c r="HD412" s="1"/>
      <c r="HE412" s="1"/>
      <c r="HF412" s="1"/>
      <c r="HG412" s="1"/>
      <c r="HH412" s="1"/>
      <c r="HI412" s="1"/>
      <c r="HJ412" s="1"/>
      <c r="HK412" s="1"/>
      <c r="HL412" s="1"/>
      <c r="HM412" s="1"/>
      <c r="HN412" s="1"/>
      <c r="HO412" s="1"/>
      <c r="HP412" s="1"/>
      <c r="HQ412" s="1"/>
      <c r="HR412" s="1"/>
      <c r="HS412" s="1"/>
      <c r="HT412" s="1"/>
      <c r="HU412" s="1"/>
      <c r="HV412" s="1"/>
      <c r="HW412" s="1"/>
      <c r="HX412" s="1"/>
      <c r="HY412" s="1"/>
      <c r="HZ412" s="1"/>
      <c r="IA412" s="1"/>
      <c r="IB412" s="1"/>
      <c r="IC412" s="1"/>
      <c r="ID412" s="1"/>
      <c r="IE412" s="1"/>
      <c r="IF412" s="1"/>
      <c r="IG412" s="1"/>
      <c r="IH412" s="1"/>
      <c r="II412" s="1"/>
      <c r="IJ412" s="1"/>
      <c r="IK412" s="1"/>
      <c r="IL412" s="1"/>
      <c r="IM412" s="1"/>
      <c r="IN412" s="1"/>
      <c r="IO412" s="1"/>
      <c r="IP412" s="1"/>
      <c r="IQ412" s="1"/>
      <c r="IR412" s="1"/>
      <c r="IS412" s="1"/>
      <c r="IT412" s="1"/>
      <c r="IU412" s="1"/>
      <c r="IV412" s="1"/>
      <c r="IW412" s="1"/>
      <c r="IX412" s="1"/>
      <c r="IY412" s="1"/>
      <c r="IZ412" s="1"/>
      <c r="JA412" s="1"/>
      <c r="JB412" s="1"/>
      <c r="JC412" s="1"/>
      <c r="JD412" s="1"/>
    </row>
    <row r="413" spans="1:264" s="347" customFormat="1" x14ac:dyDescent="0.2">
      <c r="B413" s="348"/>
      <c r="BH413" s="348"/>
      <c r="BI413" s="348"/>
      <c r="BJ413" s="348"/>
      <c r="BK413" s="348"/>
      <c r="BL413" s="348"/>
      <c r="BM413" s="348"/>
      <c r="BN413" s="348"/>
      <c r="BO413" s="348"/>
      <c r="BP413" s="348"/>
      <c r="BQ413" s="348"/>
      <c r="BR413" s="348"/>
      <c r="BT413" s="348"/>
      <c r="BU413" s="348"/>
      <c r="BV413" s="348"/>
      <c r="BX413" s="348"/>
      <c r="BY413" s="348"/>
      <c r="BZ413" s="348"/>
      <c r="CB413" s="348"/>
      <c r="CC413" s="348"/>
      <c r="CD413" s="348"/>
      <c r="CF413" s="348"/>
      <c r="CG413" s="348"/>
      <c r="CH413" s="348"/>
      <c r="CJ413" s="348"/>
      <c r="CK413" s="348"/>
      <c r="CL413" s="348"/>
      <c r="CN413" s="348"/>
      <c r="CO413" s="348"/>
      <c r="CP413" s="348"/>
      <c r="CR413" s="348"/>
      <c r="CS413" s="348"/>
      <c r="CT413" s="348"/>
      <c r="CV413" s="348"/>
      <c r="CW413" s="348"/>
      <c r="CX413" s="348"/>
      <c r="CZ413" s="348"/>
      <c r="DA413" s="348"/>
      <c r="DB413" s="348"/>
      <c r="DD413" s="348"/>
      <c r="DE413" s="348"/>
      <c r="DF413" s="348"/>
      <c r="DH413" s="348"/>
      <c r="DI413" s="348"/>
      <c r="DJ413" s="348"/>
      <c r="DL413" s="348"/>
      <c r="DM413" s="348"/>
      <c r="DN413" s="348"/>
      <c r="DP413" s="348"/>
      <c r="DQ413" s="348"/>
      <c r="DR413" s="348"/>
      <c r="DT413" s="1"/>
      <c r="DU413" s="1"/>
      <c r="DV413" s="1"/>
      <c r="DW413" s="1"/>
      <c r="DX413" s="1"/>
      <c r="DY413" s="1"/>
      <c r="DZ413" s="1"/>
      <c r="EA413" s="1"/>
      <c r="EB413" s="1"/>
      <c r="EC413" s="1"/>
      <c r="ED413" s="1"/>
      <c r="EE413" s="1"/>
      <c r="EF413" s="1"/>
      <c r="EG413" s="1"/>
      <c r="EH413" s="1"/>
      <c r="EI413" s="1"/>
      <c r="EJ413" s="1"/>
      <c r="EK413" s="1"/>
      <c r="EL413" s="1"/>
      <c r="EM413" s="1"/>
      <c r="EN413" s="1"/>
      <c r="EO413" s="1"/>
      <c r="EP413" s="1"/>
      <c r="EQ413" s="1"/>
      <c r="ER413" s="1"/>
      <c r="ES413" s="1"/>
      <c r="ET413" s="1"/>
      <c r="EU413" s="1"/>
      <c r="EV413" s="1"/>
      <c r="EW413" s="1"/>
      <c r="EX413" s="1"/>
      <c r="EY413" s="1"/>
      <c r="EZ413" s="1"/>
      <c r="FA413" s="1"/>
      <c r="FB413" s="1"/>
      <c r="FC413" s="1"/>
      <c r="FD413" s="1"/>
      <c r="FE413" s="1"/>
      <c r="FF413" s="1"/>
      <c r="FG413" s="1"/>
      <c r="FH413" s="1"/>
      <c r="FI413" s="1"/>
      <c r="FJ413" s="1"/>
      <c r="FK413" s="1"/>
      <c r="FL413" s="1"/>
      <c r="FM413" s="1"/>
      <c r="FN413" s="1"/>
      <c r="FO413" s="1"/>
      <c r="FP413" s="1"/>
      <c r="FQ413" s="1"/>
      <c r="FR413" s="1"/>
      <c r="FS413" s="1"/>
      <c r="FT413" s="1"/>
      <c r="FU413" s="1"/>
      <c r="FV413" s="1"/>
      <c r="FW413" s="1"/>
      <c r="FX413" s="1"/>
      <c r="FY413" s="1"/>
      <c r="FZ413" s="1"/>
      <c r="GA413" s="1"/>
      <c r="GB413" s="1"/>
      <c r="GC413" s="1"/>
      <c r="GD413" s="1"/>
      <c r="GE413" s="1"/>
      <c r="GF413" s="1"/>
      <c r="GG413" s="1"/>
      <c r="GH413" s="1"/>
      <c r="GI413" s="1"/>
      <c r="GJ413" s="1"/>
      <c r="GK413" s="1"/>
      <c r="GL413" s="1"/>
      <c r="GM413" s="1"/>
      <c r="GN413" s="1"/>
      <c r="GO413" s="1"/>
      <c r="GP413" s="1"/>
      <c r="GQ413" s="1"/>
      <c r="GR413" s="1"/>
      <c r="GS413" s="1"/>
      <c r="GT413" s="1"/>
      <c r="GU413" s="1"/>
      <c r="GV413" s="1"/>
      <c r="GW413" s="1"/>
      <c r="GX413" s="1"/>
      <c r="GY413" s="1"/>
      <c r="GZ413" s="1"/>
      <c r="HA413" s="1"/>
      <c r="HB413" s="1"/>
      <c r="HC413" s="1"/>
      <c r="HD413" s="1"/>
      <c r="HE413" s="1"/>
      <c r="HF413" s="1"/>
      <c r="HG413" s="1"/>
      <c r="HH413" s="1"/>
      <c r="HI413" s="1"/>
      <c r="HJ413" s="1"/>
      <c r="HK413" s="1"/>
      <c r="HL413" s="1"/>
      <c r="HM413" s="1"/>
      <c r="HN413" s="1"/>
      <c r="HO413" s="1"/>
      <c r="HP413" s="1"/>
      <c r="HQ413" s="1"/>
      <c r="HR413" s="1"/>
      <c r="HS413" s="1"/>
      <c r="HT413" s="1"/>
      <c r="HU413" s="1"/>
      <c r="HV413" s="1"/>
      <c r="HW413" s="1"/>
      <c r="HX413" s="1"/>
      <c r="HY413" s="1"/>
      <c r="HZ413" s="1"/>
      <c r="IA413" s="1"/>
      <c r="IB413" s="1"/>
      <c r="IC413" s="1"/>
      <c r="ID413" s="1"/>
      <c r="IE413" s="1"/>
      <c r="IF413" s="1"/>
      <c r="IG413" s="1"/>
      <c r="IH413" s="1"/>
      <c r="II413" s="1"/>
      <c r="IJ413" s="1"/>
      <c r="IK413" s="1"/>
      <c r="IL413" s="1"/>
      <c r="IM413" s="1"/>
      <c r="IN413" s="1"/>
      <c r="IO413" s="1"/>
      <c r="IP413" s="1"/>
      <c r="IQ413" s="1"/>
      <c r="IR413" s="1"/>
      <c r="IS413" s="1"/>
      <c r="IT413" s="1"/>
      <c r="IU413" s="1"/>
      <c r="IV413" s="1"/>
      <c r="IW413" s="1"/>
      <c r="IX413" s="1"/>
      <c r="IY413" s="1"/>
      <c r="IZ413" s="1"/>
      <c r="JA413" s="1"/>
      <c r="JB413" s="1"/>
      <c r="JC413" s="1"/>
      <c r="JD413" s="1"/>
    </row>
    <row r="414" spans="1:264" s="347" customFormat="1" x14ac:dyDescent="0.2">
      <c r="A414" s="411" t="s">
        <v>371</v>
      </c>
      <c r="B414" s="348"/>
      <c r="BH414" s="348"/>
      <c r="BI414" s="348"/>
      <c r="BJ414" s="348"/>
      <c r="BK414" s="348"/>
      <c r="BL414" s="348"/>
      <c r="BM414" s="348"/>
      <c r="BN414" s="348"/>
      <c r="BO414" s="348"/>
      <c r="BP414" s="348"/>
      <c r="BQ414" s="348"/>
      <c r="BR414" s="348"/>
      <c r="BT414" s="348"/>
      <c r="BU414" s="348"/>
      <c r="BV414" s="348"/>
      <c r="BX414" s="348"/>
      <c r="BY414" s="348"/>
      <c r="BZ414" s="348"/>
      <c r="CB414" s="348"/>
      <c r="CC414" s="348"/>
      <c r="CD414" s="348"/>
      <c r="CF414" s="348"/>
      <c r="CG414" s="348"/>
      <c r="CH414" s="348"/>
      <c r="CJ414" s="348"/>
      <c r="CK414" s="348"/>
      <c r="CL414" s="348"/>
      <c r="CN414" s="348"/>
      <c r="CO414" s="348"/>
      <c r="CP414" s="348"/>
      <c r="CR414" s="348"/>
      <c r="CS414" s="348"/>
      <c r="CT414" s="348"/>
      <c r="CV414" s="348"/>
      <c r="CW414" s="348"/>
      <c r="CX414" s="348"/>
      <c r="CZ414" s="348"/>
      <c r="DA414" s="348"/>
      <c r="DB414" s="348"/>
      <c r="DD414" s="348"/>
      <c r="DE414" s="348"/>
      <c r="DF414" s="348"/>
      <c r="DH414" s="348"/>
      <c r="DI414" s="348"/>
      <c r="DJ414" s="348"/>
      <c r="DL414" s="348"/>
      <c r="DM414" s="348"/>
      <c r="DN414" s="348"/>
      <c r="DP414" s="348"/>
      <c r="DQ414" s="348"/>
      <c r="DR414" s="348"/>
      <c r="DT414" s="1"/>
      <c r="DU414" s="1"/>
      <c r="DV414" s="1"/>
      <c r="DW414" s="1"/>
      <c r="DX414" s="1"/>
      <c r="DY414" s="1"/>
      <c r="DZ414" s="1"/>
      <c r="EA414" s="1"/>
      <c r="EB414" s="1"/>
      <c r="EC414" s="1"/>
      <c r="ED414" s="1"/>
      <c r="EE414" s="1"/>
      <c r="EF414" s="1"/>
      <c r="EG414" s="1"/>
      <c r="EH414" s="1"/>
      <c r="EI414" s="1"/>
      <c r="EJ414" s="1"/>
      <c r="EK414" s="1"/>
      <c r="EL414" s="1"/>
      <c r="EM414" s="1"/>
      <c r="EN414" s="1"/>
      <c r="EO414" s="1"/>
      <c r="EP414" s="1"/>
      <c r="EQ414" s="1"/>
      <c r="ER414" s="1"/>
      <c r="ES414" s="1"/>
      <c r="ET414" s="1"/>
      <c r="EU414" s="1"/>
      <c r="EV414" s="1"/>
      <c r="EW414" s="1"/>
      <c r="EX414" s="1"/>
      <c r="EY414" s="1"/>
      <c r="EZ414" s="1"/>
      <c r="FA414" s="1"/>
      <c r="FB414" s="1"/>
      <c r="FC414" s="1"/>
      <c r="FD414" s="1"/>
      <c r="FE414" s="1"/>
      <c r="FF414" s="1"/>
      <c r="FG414" s="1"/>
      <c r="FH414" s="1"/>
      <c r="FI414" s="1"/>
      <c r="FJ414" s="1"/>
      <c r="FK414" s="1"/>
      <c r="FL414" s="1"/>
      <c r="FM414" s="1"/>
      <c r="FN414" s="1"/>
      <c r="FO414" s="1"/>
      <c r="FP414" s="1"/>
      <c r="FQ414" s="1"/>
      <c r="FR414" s="1"/>
      <c r="FS414" s="1"/>
      <c r="FT414" s="1"/>
      <c r="FU414" s="1"/>
      <c r="FV414" s="1"/>
      <c r="FW414" s="1"/>
      <c r="FX414" s="1"/>
      <c r="FY414" s="1"/>
      <c r="FZ414" s="1"/>
      <c r="GA414" s="1"/>
      <c r="GB414" s="1"/>
      <c r="GC414" s="1"/>
      <c r="GD414" s="1"/>
      <c r="GE414" s="1"/>
      <c r="GF414" s="1"/>
      <c r="GG414" s="1"/>
      <c r="GH414" s="1"/>
      <c r="GI414" s="1"/>
      <c r="GJ414" s="1"/>
      <c r="GK414" s="1"/>
      <c r="GL414" s="1"/>
      <c r="GM414" s="1"/>
      <c r="GN414" s="1"/>
      <c r="GO414" s="1"/>
      <c r="GP414" s="1"/>
      <c r="GQ414" s="1"/>
      <c r="GR414" s="1"/>
      <c r="GS414" s="1"/>
      <c r="GT414" s="1"/>
      <c r="GU414" s="1"/>
      <c r="GV414" s="1"/>
      <c r="GW414" s="1"/>
      <c r="GX414" s="1"/>
      <c r="GY414" s="1"/>
      <c r="GZ414" s="1"/>
      <c r="HA414" s="1"/>
      <c r="HB414" s="1"/>
      <c r="HC414" s="1"/>
      <c r="HD414" s="1"/>
      <c r="HE414" s="1"/>
      <c r="HF414" s="1"/>
      <c r="HG414" s="1"/>
      <c r="HH414" s="1"/>
      <c r="HI414" s="1"/>
      <c r="HJ414" s="1"/>
      <c r="HK414" s="1"/>
      <c r="HL414" s="1"/>
      <c r="HM414" s="1"/>
      <c r="HN414" s="1"/>
      <c r="HO414" s="1"/>
      <c r="HP414" s="1"/>
      <c r="HQ414" s="1"/>
      <c r="HR414" s="1"/>
      <c r="HS414" s="1"/>
      <c r="HT414" s="1"/>
      <c r="HU414" s="1"/>
      <c r="HV414" s="1"/>
      <c r="HW414" s="1"/>
      <c r="HX414" s="1"/>
      <c r="HY414" s="1"/>
      <c r="HZ414" s="1"/>
      <c r="IA414" s="1"/>
      <c r="IB414" s="1"/>
      <c r="IC414" s="1"/>
      <c r="ID414" s="1"/>
      <c r="IE414" s="1"/>
      <c r="IF414" s="1"/>
      <c r="IG414" s="1"/>
      <c r="IH414" s="1"/>
      <c r="II414" s="1"/>
      <c r="IJ414" s="1"/>
      <c r="IK414" s="1"/>
      <c r="IL414" s="1"/>
      <c r="IM414" s="1"/>
      <c r="IN414" s="1"/>
      <c r="IO414" s="1"/>
      <c r="IP414" s="1"/>
      <c r="IQ414" s="1"/>
      <c r="IR414" s="1"/>
      <c r="IS414" s="1"/>
      <c r="IT414" s="1"/>
      <c r="IU414" s="1"/>
      <c r="IV414" s="1"/>
      <c r="IW414" s="1"/>
      <c r="IX414" s="1"/>
      <c r="IY414" s="1"/>
      <c r="IZ414" s="1"/>
      <c r="JA414" s="1"/>
      <c r="JB414" s="1"/>
      <c r="JC414" s="1"/>
      <c r="JD414" s="1"/>
    </row>
    <row r="415" spans="1:264" s="347" customFormat="1" x14ac:dyDescent="0.2">
      <c r="A415" s="347" t="s">
        <v>372</v>
      </c>
      <c r="B415" s="348"/>
      <c r="BH415" s="398">
        <v>7707</v>
      </c>
      <c r="BI415" s="398">
        <v>7723</v>
      </c>
      <c r="BJ415" s="351">
        <f t="shared" ref="BJ415:BJ420" si="382">BI415</f>
        <v>7723</v>
      </c>
      <c r="BK415" s="348"/>
      <c r="BL415" s="398">
        <v>7567</v>
      </c>
      <c r="BM415" s="398">
        <v>7566</v>
      </c>
      <c r="BN415" s="351">
        <f t="shared" ref="BN415:BN420" si="383">BM415</f>
        <v>7566</v>
      </c>
      <c r="BO415" s="348"/>
      <c r="BP415" s="398">
        <v>7576</v>
      </c>
      <c r="BQ415" s="398">
        <v>7599</v>
      </c>
      <c r="BR415" s="351">
        <f t="shared" ref="BR415:BR420" si="384">BQ415</f>
        <v>7599</v>
      </c>
      <c r="BT415" s="398">
        <v>7597</v>
      </c>
      <c r="BU415" s="398">
        <v>7925</v>
      </c>
      <c r="BV415" s="351">
        <f t="shared" ref="BV415:BV420" si="385">BU415</f>
        <v>7925</v>
      </c>
      <c r="BX415" s="398">
        <v>7880</v>
      </c>
      <c r="BY415" s="398">
        <v>7872</v>
      </c>
      <c r="BZ415" s="351">
        <f t="shared" ref="BZ415:BZ420" si="386">BY415</f>
        <v>7872</v>
      </c>
      <c r="CB415" s="398">
        <v>6868</v>
      </c>
      <c r="CC415" s="398">
        <v>6941</v>
      </c>
      <c r="CD415" s="351">
        <f t="shared" ref="CD415:CD420" si="387">CC415</f>
        <v>6941</v>
      </c>
      <c r="CF415" s="398">
        <v>6022</v>
      </c>
      <c r="CG415" s="398">
        <v>5974</v>
      </c>
      <c r="CH415" s="351">
        <f t="shared" ref="CH415:CH420" si="388">CG415</f>
        <v>5974</v>
      </c>
      <c r="CJ415" s="398">
        <v>5997</v>
      </c>
      <c r="CK415" s="398">
        <v>5284</v>
      </c>
      <c r="CL415" s="351">
        <f t="shared" ref="CL415:CL420" si="389">CK415</f>
        <v>5284</v>
      </c>
      <c r="CN415" s="398">
        <v>5269</v>
      </c>
      <c r="CO415" s="398">
        <v>5317</v>
      </c>
      <c r="CP415" s="351">
        <f t="shared" ref="CP415:CP420" si="390">CO415</f>
        <v>5317</v>
      </c>
      <c r="CR415" s="398">
        <v>5295</v>
      </c>
      <c r="CS415" s="398">
        <v>5295</v>
      </c>
      <c r="CT415" s="351">
        <f t="shared" ref="CT415:CT420" si="391">CS415</f>
        <v>5295</v>
      </c>
      <c r="CV415" s="398">
        <v>5299</v>
      </c>
      <c r="CW415" s="398">
        <v>5295</v>
      </c>
      <c r="CX415" s="351">
        <f t="shared" ref="CX415:CX420" si="392">CW415</f>
        <v>5295</v>
      </c>
      <c r="CZ415" s="398">
        <v>5289</v>
      </c>
      <c r="DA415" s="398">
        <v>5285</v>
      </c>
      <c r="DB415" s="351">
        <f t="shared" ref="DB415:DB420" si="393">DA415</f>
        <v>5285</v>
      </c>
      <c r="DD415" s="398">
        <v>5282</v>
      </c>
      <c r="DE415" s="398">
        <v>5289</v>
      </c>
      <c r="DF415" s="351">
        <f t="shared" ref="DF415:DF420" si="394">DE415</f>
        <v>5289</v>
      </c>
      <c r="DH415" s="398">
        <v>5270</v>
      </c>
      <c r="DI415" s="351">
        <f>DH415</f>
        <v>5270</v>
      </c>
      <c r="DJ415" s="351">
        <f>DI415</f>
        <v>5270</v>
      </c>
      <c r="DL415" s="351">
        <f>DI415</f>
        <v>5270</v>
      </c>
      <c r="DM415" s="351">
        <f>DL415</f>
        <v>5270</v>
      </c>
      <c r="DN415" s="351">
        <f>DM415</f>
        <v>5270</v>
      </c>
      <c r="DP415" s="351">
        <f>DM415</f>
        <v>5270</v>
      </c>
      <c r="DQ415" s="351">
        <f>DP415</f>
        <v>5270</v>
      </c>
      <c r="DR415" s="351">
        <f>DQ415</f>
        <v>5270</v>
      </c>
      <c r="DT415" s="1"/>
      <c r="DU415" s="1"/>
      <c r="DV415" s="1"/>
      <c r="DW415" s="1"/>
      <c r="DX415" s="1"/>
      <c r="DY415" s="1"/>
      <c r="DZ415" s="1"/>
      <c r="EA415" s="1"/>
      <c r="EB415" s="1"/>
      <c r="EC415" s="1"/>
      <c r="ED415" s="1"/>
      <c r="EE415" s="1"/>
      <c r="EF415" s="1"/>
      <c r="EG415" s="1"/>
      <c r="EH415" s="1"/>
      <c r="EI415" s="1"/>
      <c r="EJ415" s="1"/>
      <c r="EK415" s="1"/>
      <c r="EL415" s="1"/>
      <c r="EM415" s="1"/>
      <c r="EN415" s="1"/>
      <c r="EO415" s="1"/>
      <c r="EP415" s="1"/>
      <c r="EQ415" s="1"/>
      <c r="ER415" s="1"/>
      <c r="ES415" s="1"/>
      <c r="ET415" s="1"/>
      <c r="EU415" s="1"/>
      <c r="EV415" s="1"/>
      <c r="EW415" s="1"/>
      <c r="EX415" s="1"/>
      <c r="EY415" s="1"/>
      <c r="EZ415" s="1"/>
      <c r="FA415" s="1"/>
      <c r="FB415" s="1"/>
      <c r="FC415" s="1"/>
      <c r="FD415" s="1"/>
      <c r="FE415" s="1"/>
      <c r="FF415" s="1"/>
      <c r="FG415" s="1"/>
      <c r="FH415" s="1"/>
      <c r="FI415" s="1"/>
      <c r="FJ415" s="1"/>
      <c r="FK415" s="1"/>
      <c r="FL415" s="1"/>
      <c r="FM415" s="1"/>
      <c r="FN415" s="1"/>
      <c r="FO415" s="1"/>
      <c r="FP415" s="1"/>
      <c r="FQ415" s="1"/>
      <c r="FR415" s="1"/>
      <c r="FS415" s="1"/>
      <c r="FT415" s="1"/>
      <c r="FU415" s="1"/>
      <c r="FV415" s="1"/>
      <c r="FW415" s="1"/>
      <c r="FX415" s="1"/>
      <c r="FY415" s="1"/>
      <c r="FZ415" s="1"/>
      <c r="GA415" s="1"/>
      <c r="GB415" s="1"/>
      <c r="GC415" s="1"/>
      <c r="GD415" s="1"/>
      <c r="GE415" s="1"/>
      <c r="GF415" s="1"/>
      <c r="GG415" s="1"/>
      <c r="GH415" s="1"/>
      <c r="GI415" s="1"/>
      <c r="GJ415" s="1"/>
      <c r="GK415" s="1"/>
      <c r="GL415" s="1"/>
      <c r="GM415" s="1"/>
      <c r="GN415" s="1"/>
      <c r="GO415" s="1"/>
      <c r="GP415" s="1"/>
      <c r="GQ415" s="1"/>
      <c r="GR415" s="1"/>
      <c r="GS415" s="1"/>
      <c r="GT415" s="1"/>
      <c r="GU415" s="1"/>
      <c r="GV415" s="1"/>
      <c r="GW415" s="1"/>
      <c r="GX415" s="1"/>
      <c r="GY415" s="1"/>
      <c r="GZ415" s="1"/>
      <c r="HA415" s="1"/>
      <c r="HB415" s="1"/>
      <c r="HC415" s="1"/>
      <c r="HD415" s="1"/>
      <c r="HE415" s="1"/>
      <c r="HF415" s="1"/>
      <c r="HG415" s="1"/>
      <c r="HH415" s="1"/>
      <c r="HI415" s="1"/>
      <c r="HJ415" s="1"/>
      <c r="HK415" s="1"/>
      <c r="HL415" s="1"/>
      <c r="HM415" s="1"/>
      <c r="HN415" s="1"/>
      <c r="HO415" s="1"/>
      <c r="HP415" s="1"/>
      <c r="HQ415" s="1"/>
      <c r="HR415" s="1"/>
      <c r="HS415" s="1"/>
      <c r="HT415" s="1"/>
      <c r="HU415" s="1"/>
      <c r="HV415" s="1"/>
      <c r="HW415" s="1"/>
      <c r="HX415" s="1"/>
      <c r="HY415" s="1"/>
      <c r="HZ415" s="1"/>
      <c r="IA415" s="1"/>
      <c r="IB415" s="1"/>
      <c r="IC415" s="1"/>
      <c r="ID415" s="1"/>
      <c r="IE415" s="1"/>
      <c r="IF415" s="1"/>
      <c r="IG415" s="1"/>
      <c r="IH415" s="1"/>
      <c r="II415" s="1"/>
      <c r="IJ415" s="1"/>
      <c r="IK415" s="1"/>
      <c r="IL415" s="1"/>
      <c r="IM415" s="1"/>
      <c r="IN415" s="1"/>
      <c r="IO415" s="1"/>
      <c r="IP415" s="1"/>
      <c r="IQ415" s="1"/>
      <c r="IR415" s="1"/>
      <c r="IS415" s="1"/>
      <c r="IT415" s="1"/>
      <c r="IU415" s="1"/>
      <c r="IV415" s="1"/>
      <c r="IW415" s="1"/>
      <c r="IX415" s="1"/>
      <c r="IY415" s="1"/>
      <c r="IZ415" s="1"/>
      <c r="JA415" s="1"/>
      <c r="JB415" s="1"/>
      <c r="JC415" s="1"/>
      <c r="JD415" s="1"/>
    </row>
    <row r="416" spans="1:264" s="347" customFormat="1" x14ac:dyDescent="0.2">
      <c r="A416" s="347" t="s">
        <v>373</v>
      </c>
      <c r="B416" s="348"/>
      <c r="BH416" s="398">
        <v>1831</v>
      </c>
      <c r="BI416" s="398">
        <v>1923</v>
      </c>
      <c r="BJ416" s="351">
        <f t="shared" si="382"/>
        <v>1923</v>
      </c>
      <c r="BK416" s="348"/>
      <c r="BL416" s="398">
        <v>1950</v>
      </c>
      <c r="BM416" s="398">
        <v>1854</v>
      </c>
      <c r="BN416" s="351">
        <f t="shared" si="383"/>
        <v>1854</v>
      </c>
      <c r="BO416" s="348"/>
      <c r="BP416" s="398">
        <v>1979</v>
      </c>
      <c r="BQ416" s="398">
        <v>2089</v>
      </c>
      <c r="BR416" s="351">
        <f t="shared" si="384"/>
        <v>2089</v>
      </c>
      <c r="BT416" s="398">
        <v>2183</v>
      </c>
      <c r="BU416" s="398">
        <v>2228</v>
      </c>
      <c r="BV416" s="351">
        <f t="shared" si="385"/>
        <v>2228</v>
      </c>
      <c r="BX416" s="398">
        <v>1897</v>
      </c>
      <c r="BY416" s="398">
        <v>1934</v>
      </c>
      <c r="BZ416" s="351">
        <f t="shared" si="386"/>
        <v>1934</v>
      </c>
      <c r="CB416" s="398">
        <v>1896</v>
      </c>
      <c r="CC416" s="398">
        <v>1819</v>
      </c>
      <c r="CD416" s="351">
        <f t="shared" si="387"/>
        <v>1819</v>
      </c>
      <c r="CF416" s="398">
        <v>1782</v>
      </c>
      <c r="CG416" s="398">
        <v>1712</v>
      </c>
      <c r="CH416" s="351">
        <f t="shared" si="388"/>
        <v>1712</v>
      </c>
      <c r="CJ416" s="398">
        <v>1418</v>
      </c>
      <c r="CK416" s="398">
        <v>1296</v>
      </c>
      <c r="CL416" s="351">
        <f t="shared" si="389"/>
        <v>1296</v>
      </c>
      <c r="CN416" s="398">
        <v>1334</v>
      </c>
      <c r="CO416" s="398">
        <v>1427</v>
      </c>
      <c r="CP416" s="351">
        <f t="shared" si="390"/>
        <v>1427</v>
      </c>
      <c r="CR416" s="398">
        <v>1585</v>
      </c>
      <c r="CS416" s="398">
        <v>1409</v>
      </c>
      <c r="CT416" s="351">
        <f t="shared" si="391"/>
        <v>1409</v>
      </c>
      <c r="CV416" s="398">
        <v>1643</v>
      </c>
      <c r="CW416" s="398">
        <v>1912</v>
      </c>
      <c r="CX416" s="351">
        <f t="shared" si="392"/>
        <v>1912</v>
      </c>
      <c r="CZ416" s="398">
        <v>2035</v>
      </c>
      <c r="DA416" s="398">
        <v>2129</v>
      </c>
      <c r="DB416" s="351">
        <f t="shared" si="393"/>
        <v>2129</v>
      </c>
      <c r="DD416" s="398">
        <v>2315</v>
      </c>
      <c r="DE416" s="398">
        <v>2607</v>
      </c>
      <c r="DF416" s="351">
        <f t="shared" si="394"/>
        <v>2607</v>
      </c>
      <c r="DH416" s="398">
        <v>2840</v>
      </c>
      <c r="DI416" s="479">
        <f>DI429</f>
        <v>3042.5548947372981</v>
      </c>
      <c r="DJ416" s="479">
        <f>DJ429</f>
        <v>3042.5548947372981</v>
      </c>
      <c r="DL416" s="479">
        <f>DL429</f>
        <v>3219.4263979548159</v>
      </c>
      <c r="DM416" s="479">
        <f>DM429</f>
        <v>3382.0358728931587</v>
      </c>
      <c r="DN416" s="479">
        <f>DN429</f>
        <v>3382.0358728931587</v>
      </c>
      <c r="DP416" s="479">
        <f>DP429</f>
        <v>3484.6107961401372</v>
      </c>
      <c r="DQ416" s="479">
        <f>DQ429</f>
        <v>3580.8393534051011</v>
      </c>
      <c r="DR416" s="479">
        <f>DR429</f>
        <v>3580.8393534051015</v>
      </c>
      <c r="DT416" s="1"/>
      <c r="DU416" s="1"/>
      <c r="DV416" s="1"/>
      <c r="DW416" s="1"/>
      <c r="DX416" s="1"/>
      <c r="DY416" s="1"/>
      <c r="DZ416" s="1"/>
      <c r="EA416" s="1"/>
      <c r="EB416" s="1"/>
      <c r="EC416" s="1"/>
      <c r="ED416" s="1"/>
      <c r="EE416" s="1"/>
      <c r="EF416" s="1"/>
      <c r="EG416" s="1"/>
      <c r="EH416" s="1"/>
      <c r="EI416" s="1"/>
      <c r="EJ416" s="1"/>
      <c r="EK416" s="1"/>
      <c r="EL416" s="1"/>
      <c r="EM416" s="1"/>
      <c r="EN416" s="1"/>
      <c r="EO416" s="1"/>
      <c r="EP416" s="1"/>
      <c r="EQ416" s="1"/>
      <c r="ER416" s="1"/>
      <c r="ES416" s="1"/>
      <c r="ET416" s="1"/>
      <c r="EU416" s="1"/>
      <c r="EV416" s="1"/>
      <c r="EW416" s="1"/>
      <c r="EX416" s="1"/>
      <c r="EY416" s="1"/>
      <c r="EZ416" s="1"/>
      <c r="FA416" s="1"/>
      <c r="FB416" s="1"/>
      <c r="FC416" s="1"/>
      <c r="FD416" s="1"/>
      <c r="FE416" s="1"/>
      <c r="FF416" s="1"/>
      <c r="FG416" s="1"/>
      <c r="FH416" s="1"/>
      <c r="FI416" s="1"/>
      <c r="FJ416" s="1"/>
      <c r="FK416" s="1"/>
      <c r="FL416" s="1"/>
      <c r="FM416" s="1"/>
      <c r="FN416" s="1"/>
      <c r="FO416" s="1"/>
      <c r="FP416" s="1"/>
      <c r="FQ416" s="1"/>
      <c r="FR416" s="1"/>
      <c r="FS416" s="1"/>
      <c r="FT416" s="1"/>
      <c r="FU416" s="1"/>
      <c r="FV416" s="1"/>
      <c r="FW416" s="1"/>
      <c r="FX416" s="1"/>
      <c r="FY416" s="1"/>
      <c r="FZ416" s="1"/>
      <c r="GA416" s="1"/>
      <c r="GB416" s="1"/>
      <c r="GC416" s="1"/>
      <c r="GD416" s="1"/>
      <c r="GE416" s="1"/>
      <c r="GF416" s="1"/>
      <c r="GG416" s="1"/>
      <c r="GH416" s="1"/>
      <c r="GI416" s="1"/>
      <c r="GJ416" s="1"/>
      <c r="GK416" s="1"/>
      <c r="GL416" s="1"/>
      <c r="GM416" s="1"/>
      <c r="GN416" s="1"/>
      <c r="GO416" s="1"/>
      <c r="GP416" s="1"/>
      <c r="GQ416" s="1"/>
      <c r="GR416" s="1"/>
      <c r="GS416" s="1"/>
      <c r="GT416" s="1"/>
      <c r="GU416" s="1"/>
      <c r="GV416" s="1"/>
      <c r="GW416" s="1"/>
      <c r="GX416" s="1"/>
      <c r="GY416" s="1"/>
      <c r="GZ416" s="1"/>
      <c r="HA416" s="1"/>
      <c r="HB416" s="1"/>
      <c r="HC416" s="1"/>
      <c r="HD416" s="1"/>
      <c r="HE416" s="1"/>
      <c r="HF416" s="1"/>
      <c r="HG416" s="1"/>
      <c r="HH416" s="1"/>
      <c r="HI416" s="1"/>
      <c r="HJ416" s="1"/>
      <c r="HK416" s="1"/>
      <c r="HL416" s="1"/>
      <c r="HM416" s="1"/>
      <c r="HN416" s="1"/>
      <c r="HO416" s="1"/>
      <c r="HP416" s="1"/>
      <c r="HQ416" s="1"/>
      <c r="HR416" s="1"/>
      <c r="HS416" s="1"/>
      <c r="HT416" s="1"/>
      <c r="HU416" s="1"/>
      <c r="HV416" s="1"/>
      <c r="HW416" s="1"/>
      <c r="HX416" s="1"/>
      <c r="HY416" s="1"/>
      <c r="HZ416" s="1"/>
      <c r="IA416" s="1"/>
      <c r="IB416" s="1"/>
      <c r="IC416" s="1"/>
      <c r="ID416" s="1"/>
      <c r="IE416" s="1"/>
      <c r="IF416" s="1"/>
      <c r="IG416" s="1"/>
      <c r="IH416" s="1"/>
      <c r="II416" s="1"/>
      <c r="IJ416" s="1"/>
      <c r="IK416" s="1"/>
      <c r="IL416" s="1"/>
      <c r="IM416" s="1"/>
      <c r="IN416" s="1"/>
      <c r="IO416" s="1"/>
      <c r="IP416" s="1"/>
      <c r="IQ416" s="1"/>
      <c r="IR416" s="1"/>
      <c r="IS416" s="1"/>
      <c r="IT416" s="1"/>
      <c r="IU416" s="1"/>
      <c r="IV416" s="1"/>
      <c r="IW416" s="1"/>
      <c r="IX416" s="1"/>
      <c r="IY416" s="1"/>
      <c r="IZ416" s="1"/>
      <c r="JA416" s="1"/>
      <c r="JB416" s="1"/>
      <c r="JC416" s="1"/>
      <c r="JD416" s="1"/>
    </row>
    <row r="417" spans="1:264" s="347" customFormat="1" x14ac:dyDescent="0.2">
      <c r="A417" s="463" t="s">
        <v>374</v>
      </c>
      <c r="B417" s="437" t="s">
        <v>236</v>
      </c>
      <c r="C417" s="463"/>
      <c r="D417" s="463"/>
      <c r="E417" s="463"/>
      <c r="F417" s="463"/>
      <c r="G417" s="463"/>
      <c r="H417" s="463"/>
      <c r="I417" s="463"/>
      <c r="J417" s="463"/>
      <c r="K417" s="463"/>
      <c r="L417" s="463"/>
      <c r="M417" s="463"/>
      <c r="N417" s="463"/>
      <c r="O417" s="463"/>
      <c r="P417" s="463"/>
      <c r="Q417" s="463"/>
      <c r="R417" s="463"/>
      <c r="S417" s="463"/>
      <c r="T417" s="463"/>
      <c r="U417" s="463"/>
      <c r="V417" s="463"/>
      <c r="W417" s="463"/>
      <c r="X417" s="463"/>
      <c r="Y417" s="463"/>
      <c r="Z417" s="463"/>
      <c r="AA417" s="463"/>
      <c r="AB417" s="463"/>
      <c r="AC417" s="463"/>
      <c r="AD417" s="463"/>
      <c r="AE417" s="463"/>
      <c r="AF417" s="463"/>
      <c r="AG417" s="463"/>
      <c r="AH417" s="463"/>
      <c r="AI417" s="463"/>
      <c r="AJ417" s="463"/>
      <c r="AK417" s="463"/>
      <c r="AL417" s="463"/>
      <c r="AM417" s="463"/>
      <c r="AN417" s="463"/>
      <c r="AO417" s="463"/>
      <c r="AP417" s="463"/>
      <c r="AQ417" s="463"/>
      <c r="AR417" s="463"/>
      <c r="AS417" s="463"/>
      <c r="AT417" s="463"/>
      <c r="AU417" s="463"/>
      <c r="AV417" s="463"/>
      <c r="AW417" s="463"/>
      <c r="AX417" s="463"/>
      <c r="AY417" s="463"/>
      <c r="AZ417" s="463"/>
      <c r="BA417" s="463"/>
      <c r="BB417" s="463"/>
      <c r="BC417" s="463"/>
      <c r="BD417" s="463"/>
      <c r="BE417" s="463"/>
      <c r="BF417" s="463"/>
      <c r="BG417" s="463"/>
      <c r="BH417" s="464">
        <v>211</v>
      </c>
      <c r="BI417" s="464">
        <v>177</v>
      </c>
      <c r="BJ417" s="485">
        <f t="shared" si="382"/>
        <v>177</v>
      </c>
      <c r="BK417" s="466"/>
      <c r="BL417" s="464">
        <v>140</v>
      </c>
      <c r="BM417" s="464">
        <v>105</v>
      </c>
      <c r="BN417" s="485">
        <f t="shared" si="383"/>
        <v>105</v>
      </c>
      <c r="BO417" s="485"/>
      <c r="BP417" s="464">
        <v>70</v>
      </c>
      <c r="BQ417" s="464">
        <v>34</v>
      </c>
      <c r="BR417" s="485">
        <f t="shared" si="384"/>
        <v>34</v>
      </c>
      <c r="BS417" s="463"/>
      <c r="BT417" s="464">
        <v>0</v>
      </c>
      <c r="BU417" s="464">
        <v>0</v>
      </c>
      <c r="BV417" s="485">
        <f t="shared" si="385"/>
        <v>0</v>
      </c>
      <c r="BW417" s="463"/>
      <c r="BX417" s="464">
        <v>0</v>
      </c>
      <c r="BY417" s="464">
        <v>0</v>
      </c>
      <c r="BZ417" s="485">
        <f t="shared" si="386"/>
        <v>0</v>
      </c>
      <c r="CA417" s="463"/>
      <c r="CB417" s="464">
        <v>0</v>
      </c>
      <c r="CC417" s="464">
        <v>0</v>
      </c>
      <c r="CD417" s="485">
        <f t="shared" si="387"/>
        <v>0</v>
      </c>
      <c r="CE417" s="463"/>
      <c r="CF417" s="464">
        <v>0</v>
      </c>
      <c r="CG417" s="464">
        <v>0</v>
      </c>
      <c r="CH417" s="485">
        <f t="shared" si="388"/>
        <v>0</v>
      </c>
      <c r="CI417" s="463"/>
      <c r="CJ417" s="464">
        <v>0</v>
      </c>
      <c r="CK417" s="464">
        <v>0</v>
      </c>
      <c r="CL417" s="485">
        <f t="shared" si="389"/>
        <v>0</v>
      </c>
      <c r="CM417" s="463"/>
      <c r="CN417" s="464">
        <v>0</v>
      </c>
      <c r="CO417" s="464">
        <v>0</v>
      </c>
      <c r="CP417" s="485">
        <f t="shared" si="390"/>
        <v>0</v>
      </c>
      <c r="CQ417" s="463"/>
      <c r="CR417" s="464">
        <v>0</v>
      </c>
      <c r="CS417" s="464">
        <v>0</v>
      </c>
      <c r="CT417" s="485">
        <f t="shared" si="391"/>
        <v>0</v>
      </c>
      <c r="CU417" s="463"/>
      <c r="CV417" s="464">
        <v>0</v>
      </c>
      <c r="CW417" s="464">
        <v>0</v>
      </c>
      <c r="CX417" s="485">
        <f t="shared" si="392"/>
        <v>0</v>
      </c>
      <c r="CY417" s="463"/>
      <c r="CZ417" s="464">
        <v>0</v>
      </c>
      <c r="DA417" s="464">
        <v>0</v>
      </c>
      <c r="DB417" s="485">
        <f t="shared" si="393"/>
        <v>0</v>
      </c>
      <c r="DC417" s="463"/>
      <c r="DD417" s="464">
        <v>0</v>
      </c>
      <c r="DE417" s="464">
        <v>0</v>
      </c>
      <c r="DF417" s="485">
        <f t="shared" si="394"/>
        <v>0</v>
      </c>
      <c r="DG417" s="463"/>
      <c r="DH417" s="464">
        <v>0</v>
      </c>
      <c r="DI417" s="514">
        <v>0</v>
      </c>
      <c r="DJ417" s="485">
        <f>DI417</f>
        <v>0</v>
      </c>
      <c r="DK417" s="463"/>
      <c r="DL417" s="514">
        <v>0</v>
      </c>
      <c r="DM417" s="514">
        <v>0</v>
      </c>
      <c r="DN417" s="485">
        <f>DM417</f>
        <v>0</v>
      </c>
      <c r="DO417" s="463"/>
      <c r="DP417" s="514">
        <v>0</v>
      </c>
      <c r="DQ417" s="514">
        <v>0</v>
      </c>
      <c r="DR417" s="485">
        <f>DQ417</f>
        <v>0</v>
      </c>
      <c r="DS417" s="463"/>
      <c r="DT417" s="1"/>
      <c r="DU417" s="1"/>
      <c r="DV417" s="1"/>
      <c r="DW417" s="1"/>
      <c r="DX417" s="1"/>
      <c r="DY417" s="1"/>
      <c r="DZ417" s="1"/>
      <c r="EA417" s="1"/>
      <c r="EB417" s="1"/>
      <c r="EC417" s="1"/>
      <c r="ED417" s="1"/>
      <c r="EE417" s="1"/>
      <c r="EF417" s="1"/>
      <c r="EG417" s="1"/>
      <c r="EH417" s="1"/>
      <c r="EI417" s="1"/>
      <c r="EJ417" s="1"/>
      <c r="EK417" s="1"/>
      <c r="EL417" s="1"/>
      <c r="EM417" s="1"/>
      <c r="EN417" s="1"/>
      <c r="EO417" s="1"/>
      <c r="EP417" s="1"/>
      <c r="EQ417" s="1"/>
      <c r="ER417" s="1"/>
      <c r="ES417" s="1"/>
      <c r="ET417" s="1"/>
      <c r="EU417" s="1"/>
      <c r="EV417" s="1"/>
      <c r="EW417" s="1"/>
      <c r="EX417" s="1"/>
      <c r="EY417" s="1"/>
      <c r="EZ417" s="1"/>
      <c r="FA417" s="1"/>
      <c r="FB417" s="1"/>
      <c r="FC417" s="1"/>
      <c r="FD417" s="1"/>
      <c r="FE417" s="1"/>
      <c r="FF417" s="1"/>
      <c r="FG417" s="1"/>
      <c r="FH417" s="1"/>
      <c r="FI417" s="1"/>
      <c r="FJ417" s="1"/>
      <c r="FK417" s="1"/>
      <c r="FL417" s="1"/>
      <c r="FM417" s="1"/>
      <c r="FN417" s="1"/>
      <c r="FO417" s="1"/>
      <c r="FP417" s="1"/>
      <c r="FQ417" s="1"/>
      <c r="FR417" s="1"/>
      <c r="FS417" s="1"/>
      <c r="FT417" s="1"/>
      <c r="FU417" s="1"/>
      <c r="FV417" s="1"/>
      <c r="FW417" s="1"/>
      <c r="FX417" s="1"/>
      <c r="FY417" s="1"/>
      <c r="FZ417" s="1"/>
      <c r="GA417" s="1"/>
      <c r="GB417" s="1"/>
      <c r="GC417" s="1"/>
      <c r="GD417" s="1"/>
      <c r="GE417" s="1"/>
      <c r="GF417" s="1"/>
      <c r="GG417" s="1"/>
      <c r="GH417" s="1"/>
      <c r="GI417" s="1"/>
      <c r="GJ417" s="1"/>
      <c r="GK417" s="1"/>
      <c r="GL417" s="1"/>
      <c r="GM417" s="1"/>
      <c r="GN417" s="1"/>
      <c r="GO417" s="1"/>
      <c r="GP417" s="1"/>
      <c r="GQ417" s="1"/>
      <c r="GR417" s="1"/>
      <c r="GS417" s="1"/>
      <c r="GT417" s="1"/>
      <c r="GU417" s="1"/>
      <c r="GV417" s="1"/>
      <c r="GW417" s="1"/>
      <c r="GX417" s="1"/>
      <c r="GY417" s="1"/>
      <c r="GZ417" s="1"/>
      <c r="HA417" s="1"/>
      <c r="HB417" s="1"/>
      <c r="HC417" s="1"/>
      <c r="HD417" s="1"/>
      <c r="HE417" s="1"/>
      <c r="HF417" s="1"/>
      <c r="HG417" s="1"/>
      <c r="HH417" s="1"/>
      <c r="HI417" s="1"/>
      <c r="HJ417" s="1"/>
      <c r="HK417" s="1"/>
      <c r="HL417" s="1"/>
      <c r="HM417" s="1"/>
      <c r="HN417" s="1"/>
      <c r="HO417" s="1"/>
      <c r="HP417" s="1"/>
      <c r="HQ417" s="1"/>
      <c r="HR417" s="1"/>
      <c r="HS417" s="1"/>
      <c r="HT417" s="1"/>
      <c r="HU417" s="1"/>
      <c r="HV417" s="1"/>
      <c r="HW417" s="1"/>
      <c r="HX417" s="1"/>
      <c r="HY417" s="1"/>
      <c r="HZ417" s="1"/>
      <c r="IA417" s="1"/>
      <c r="IB417" s="1"/>
      <c r="IC417" s="1"/>
      <c r="ID417" s="1"/>
      <c r="IE417" s="1"/>
      <c r="IF417" s="1"/>
      <c r="IG417" s="1"/>
      <c r="IH417" s="1"/>
      <c r="II417" s="1"/>
      <c r="IJ417" s="1"/>
      <c r="IK417" s="1"/>
      <c r="IL417" s="1"/>
      <c r="IM417" s="1"/>
      <c r="IN417" s="1"/>
      <c r="IO417" s="1"/>
      <c r="IP417" s="1"/>
      <c r="IQ417" s="1"/>
      <c r="IR417" s="1"/>
      <c r="IS417" s="1"/>
      <c r="IT417" s="1"/>
      <c r="IU417" s="1"/>
      <c r="IV417" s="1"/>
      <c r="IW417" s="1"/>
      <c r="IX417" s="1"/>
      <c r="IY417" s="1"/>
      <c r="IZ417" s="1"/>
      <c r="JA417" s="1"/>
      <c r="JB417" s="1"/>
      <c r="JC417" s="1"/>
      <c r="JD417" s="1"/>
    </row>
    <row r="418" spans="1:264" s="347" customFormat="1" x14ac:dyDescent="0.2">
      <c r="A418" s="347" t="s">
        <v>375</v>
      </c>
      <c r="B418" s="348"/>
      <c r="BH418" s="398">
        <v>316</v>
      </c>
      <c r="BI418" s="398">
        <v>316</v>
      </c>
      <c r="BJ418" s="351">
        <f t="shared" si="382"/>
        <v>316</v>
      </c>
      <c r="BK418" s="348"/>
      <c r="BL418" s="398">
        <v>6</v>
      </c>
      <c r="BM418" s="398">
        <v>0</v>
      </c>
      <c r="BN418" s="351">
        <f t="shared" si="383"/>
        <v>0</v>
      </c>
      <c r="BO418" s="348"/>
      <c r="BP418" s="398">
        <v>0</v>
      </c>
      <c r="BQ418" s="398">
        <v>0</v>
      </c>
      <c r="BR418" s="351">
        <f t="shared" si="384"/>
        <v>0</v>
      </c>
      <c r="BT418" s="398">
        <v>0</v>
      </c>
      <c r="BU418" s="398">
        <v>0</v>
      </c>
      <c r="BV418" s="351">
        <f t="shared" si="385"/>
        <v>0</v>
      </c>
      <c r="BX418" s="398">
        <v>0</v>
      </c>
      <c r="BY418" s="398">
        <v>0</v>
      </c>
      <c r="BZ418" s="351">
        <f t="shared" si="386"/>
        <v>0</v>
      </c>
      <c r="CB418" s="398">
        <v>0</v>
      </c>
      <c r="CC418" s="398">
        <v>0</v>
      </c>
      <c r="CD418" s="351">
        <f t="shared" si="387"/>
        <v>0</v>
      </c>
      <c r="CF418" s="398">
        <v>0</v>
      </c>
      <c r="CG418" s="398">
        <v>0</v>
      </c>
      <c r="CH418" s="351">
        <f t="shared" si="388"/>
        <v>0</v>
      </c>
      <c r="CJ418" s="398">
        <v>0</v>
      </c>
      <c r="CK418" s="398">
        <v>0</v>
      </c>
      <c r="CL418" s="351">
        <f t="shared" si="389"/>
        <v>0</v>
      </c>
      <c r="CN418" s="398">
        <v>0</v>
      </c>
      <c r="CO418" s="398">
        <v>0</v>
      </c>
      <c r="CP418" s="351">
        <f t="shared" si="390"/>
        <v>0</v>
      </c>
      <c r="CR418" s="398">
        <v>0</v>
      </c>
      <c r="CS418" s="398">
        <v>0</v>
      </c>
      <c r="CT418" s="351">
        <f t="shared" si="391"/>
        <v>0</v>
      </c>
      <c r="CV418" s="398">
        <v>0</v>
      </c>
      <c r="CW418" s="398">
        <v>0</v>
      </c>
      <c r="CX418" s="351">
        <f t="shared" si="392"/>
        <v>0</v>
      </c>
      <c r="CZ418" s="398">
        <v>0</v>
      </c>
      <c r="DA418" s="398">
        <v>0</v>
      </c>
      <c r="DB418" s="351">
        <f t="shared" si="393"/>
        <v>0</v>
      </c>
      <c r="DD418" s="398">
        <v>0</v>
      </c>
      <c r="DE418" s="398">
        <v>0</v>
      </c>
      <c r="DF418" s="351">
        <f t="shared" si="394"/>
        <v>0</v>
      </c>
      <c r="DH418" s="398">
        <v>0</v>
      </c>
      <c r="DI418" s="351">
        <f>DH418</f>
        <v>0</v>
      </c>
      <c r="DJ418" s="351">
        <f>DI418</f>
        <v>0</v>
      </c>
      <c r="DL418" s="351">
        <f>DI418</f>
        <v>0</v>
      </c>
      <c r="DM418" s="351">
        <f>DL418</f>
        <v>0</v>
      </c>
      <c r="DN418" s="351">
        <f>DM418</f>
        <v>0</v>
      </c>
      <c r="DP418" s="351">
        <f>DM418</f>
        <v>0</v>
      </c>
      <c r="DQ418" s="351">
        <f>DP418</f>
        <v>0</v>
      </c>
      <c r="DR418" s="351">
        <f>DQ418</f>
        <v>0</v>
      </c>
      <c r="DT418" s="1"/>
      <c r="DU418" s="1"/>
      <c r="DV418" s="1"/>
      <c r="DW418" s="1"/>
      <c r="DX418" s="1"/>
      <c r="DY418" s="1"/>
      <c r="DZ418" s="1"/>
      <c r="EA418" s="1"/>
      <c r="EB418" s="1"/>
      <c r="EC418" s="1"/>
      <c r="ED418" s="1"/>
      <c r="EE418" s="1"/>
      <c r="EF418" s="1"/>
      <c r="EG418" s="1"/>
      <c r="EH418" s="1"/>
      <c r="EI418" s="1"/>
      <c r="EJ418" s="1"/>
      <c r="EK418" s="1"/>
      <c r="EL418" s="1"/>
      <c r="EM418" s="1"/>
      <c r="EN418" s="1"/>
      <c r="EO418" s="1"/>
      <c r="EP418" s="1"/>
      <c r="EQ418" s="1"/>
      <c r="ER418" s="1"/>
      <c r="ES418" s="1"/>
      <c r="ET418" s="1"/>
      <c r="EU418" s="1"/>
      <c r="EV418" s="1"/>
      <c r="EW418" s="1"/>
      <c r="EX418" s="1"/>
      <c r="EY418" s="1"/>
      <c r="EZ418" s="1"/>
      <c r="FA418" s="1"/>
      <c r="FB418" s="1"/>
      <c r="FC418" s="1"/>
      <c r="FD418" s="1"/>
      <c r="FE418" s="1"/>
      <c r="FF418" s="1"/>
      <c r="FG418" s="1"/>
      <c r="FH418" s="1"/>
      <c r="FI418" s="1"/>
      <c r="FJ418" s="1"/>
      <c r="FK418" s="1"/>
      <c r="FL418" s="1"/>
      <c r="FM418" s="1"/>
      <c r="FN418" s="1"/>
      <c r="FO418" s="1"/>
      <c r="FP418" s="1"/>
      <c r="FQ418" s="1"/>
      <c r="FR418" s="1"/>
      <c r="FS418" s="1"/>
      <c r="FT418" s="1"/>
      <c r="FU418" s="1"/>
      <c r="FV418" s="1"/>
      <c r="FW418" s="1"/>
      <c r="FX418" s="1"/>
      <c r="FY418" s="1"/>
      <c r="FZ418" s="1"/>
      <c r="GA418" s="1"/>
      <c r="GB418" s="1"/>
      <c r="GC418" s="1"/>
      <c r="GD418" s="1"/>
      <c r="GE418" s="1"/>
      <c r="GF418" s="1"/>
      <c r="GG418" s="1"/>
      <c r="GH418" s="1"/>
      <c r="GI418" s="1"/>
      <c r="GJ418" s="1"/>
      <c r="GK418" s="1"/>
      <c r="GL418" s="1"/>
      <c r="GM418" s="1"/>
      <c r="GN418" s="1"/>
      <c r="GO418" s="1"/>
      <c r="GP418" s="1"/>
      <c r="GQ418" s="1"/>
      <c r="GR418" s="1"/>
      <c r="GS418" s="1"/>
      <c r="GT418" s="1"/>
      <c r="GU418" s="1"/>
      <c r="GV418" s="1"/>
      <c r="GW418" s="1"/>
      <c r="GX418" s="1"/>
      <c r="GY418" s="1"/>
      <c r="GZ418" s="1"/>
      <c r="HA418" s="1"/>
      <c r="HB418" s="1"/>
      <c r="HC418" s="1"/>
      <c r="HD418" s="1"/>
      <c r="HE418" s="1"/>
      <c r="HF418" s="1"/>
      <c r="HG418" s="1"/>
      <c r="HH418" s="1"/>
      <c r="HI418" s="1"/>
      <c r="HJ418" s="1"/>
      <c r="HK418" s="1"/>
      <c r="HL418" s="1"/>
      <c r="HM418" s="1"/>
      <c r="HN418" s="1"/>
      <c r="HO418" s="1"/>
      <c r="HP418" s="1"/>
      <c r="HQ418" s="1"/>
      <c r="HR418" s="1"/>
      <c r="HS418" s="1"/>
      <c r="HT418" s="1"/>
      <c r="HU418" s="1"/>
      <c r="HV418" s="1"/>
      <c r="HW418" s="1"/>
      <c r="HX418" s="1"/>
      <c r="HY418" s="1"/>
      <c r="HZ418" s="1"/>
      <c r="IA418" s="1"/>
      <c r="IB418" s="1"/>
      <c r="IC418" s="1"/>
      <c r="ID418" s="1"/>
      <c r="IE418" s="1"/>
      <c r="IF418" s="1"/>
      <c r="IG418" s="1"/>
      <c r="IH418" s="1"/>
      <c r="II418" s="1"/>
      <c r="IJ418" s="1"/>
      <c r="IK418" s="1"/>
      <c r="IL418" s="1"/>
      <c r="IM418" s="1"/>
      <c r="IN418" s="1"/>
      <c r="IO418" s="1"/>
      <c r="IP418" s="1"/>
      <c r="IQ418" s="1"/>
      <c r="IR418" s="1"/>
      <c r="IS418" s="1"/>
      <c r="IT418" s="1"/>
      <c r="IU418" s="1"/>
      <c r="IV418" s="1"/>
      <c r="IW418" s="1"/>
      <c r="IX418" s="1"/>
      <c r="IY418" s="1"/>
      <c r="IZ418" s="1"/>
      <c r="JA418" s="1"/>
      <c r="JB418" s="1"/>
      <c r="JC418" s="1"/>
      <c r="JD418" s="1"/>
    </row>
    <row r="419" spans="1:264" s="347" customFormat="1" x14ac:dyDescent="0.2">
      <c r="A419" s="347" t="s">
        <v>376</v>
      </c>
      <c r="B419" s="348"/>
      <c r="BH419" s="398">
        <v>190</v>
      </c>
      <c r="BI419" s="398">
        <v>190</v>
      </c>
      <c r="BJ419" s="351">
        <f t="shared" si="382"/>
        <v>190</v>
      </c>
      <c r="BK419" s="348"/>
      <c r="BL419" s="398">
        <v>190</v>
      </c>
      <c r="BM419" s="398">
        <v>189</v>
      </c>
      <c r="BN419" s="351">
        <f t="shared" si="383"/>
        <v>189</v>
      </c>
      <c r="BO419" s="348"/>
      <c r="BP419" s="398">
        <v>189</v>
      </c>
      <c r="BQ419" s="398">
        <v>189</v>
      </c>
      <c r="BR419" s="351">
        <f t="shared" si="384"/>
        <v>189</v>
      </c>
      <c r="BT419" s="398">
        <v>189</v>
      </c>
      <c r="BU419" s="398">
        <v>189</v>
      </c>
      <c r="BV419" s="351">
        <f t="shared" si="385"/>
        <v>189</v>
      </c>
      <c r="BX419" s="398">
        <v>189</v>
      </c>
      <c r="BY419" s="398">
        <v>189</v>
      </c>
      <c r="BZ419" s="351">
        <f t="shared" si="386"/>
        <v>189</v>
      </c>
      <c r="CB419" s="398">
        <v>205</v>
      </c>
      <c r="CC419" s="398">
        <v>205</v>
      </c>
      <c r="CD419" s="351">
        <f t="shared" si="387"/>
        <v>205</v>
      </c>
      <c r="CF419" s="398">
        <v>204</v>
      </c>
      <c r="CG419" s="398">
        <v>201</v>
      </c>
      <c r="CH419" s="351">
        <f t="shared" si="388"/>
        <v>201</v>
      </c>
      <c r="CJ419" s="398">
        <v>201</v>
      </c>
      <c r="CK419" s="398">
        <v>201</v>
      </c>
      <c r="CL419" s="351">
        <f t="shared" si="389"/>
        <v>201</v>
      </c>
      <c r="CN419" s="398">
        <v>186</v>
      </c>
      <c r="CO419" s="398">
        <v>186</v>
      </c>
      <c r="CP419" s="351">
        <f t="shared" si="390"/>
        <v>186</v>
      </c>
      <c r="CR419" s="398">
        <v>186</v>
      </c>
      <c r="CS419" s="398">
        <v>186</v>
      </c>
      <c r="CT419" s="351">
        <f t="shared" si="391"/>
        <v>186</v>
      </c>
      <c r="CV419" s="398">
        <v>186</v>
      </c>
      <c r="CW419" s="398">
        <v>186</v>
      </c>
      <c r="CX419" s="351">
        <f t="shared" si="392"/>
        <v>186</v>
      </c>
      <c r="CZ419" s="398">
        <v>186</v>
      </c>
      <c r="DA419" s="398">
        <v>186</v>
      </c>
      <c r="DB419" s="351">
        <f t="shared" si="393"/>
        <v>186</v>
      </c>
      <c r="DD419" s="398">
        <v>186</v>
      </c>
      <c r="DE419" s="398">
        <v>186</v>
      </c>
      <c r="DF419" s="351">
        <f t="shared" si="394"/>
        <v>186</v>
      </c>
      <c r="DH419" s="398">
        <v>186</v>
      </c>
      <c r="DI419" s="351">
        <f>DH419</f>
        <v>186</v>
      </c>
      <c r="DJ419" s="351">
        <f>DI419</f>
        <v>186</v>
      </c>
      <c r="DL419" s="351">
        <f>DI419</f>
        <v>186</v>
      </c>
      <c r="DM419" s="351">
        <f>DL419</f>
        <v>186</v>
      </c>
      <c r="DN419" s="351">
        <f>DM419</f>
        <v>186</v>
      </c>
      <c r="DP419" s="351">
        <f>DM419</f>
        <v>186</v>
      </c>
      <c r="DQ419" s="351">
        <f>DP419</f>
        <v>186</v>
      </c>
      <c r="DR419" s="351">
        <f>DQ419</f>
        <v>186</v>
      </c>
      <c r="DT419" s="1"/>
      <c r="DU419" s="1"/>
      <c r="DV419" s="1"/>
      <c r="DW419" s="1"/>
      <c r="DX419" s="1"/>
      <c r="DY419" s="1"/>
      <c r="DZ419" s="1"/>
      <c r="EA419" s="1"/>
      <c r="EB419" s="1"/>
      <c r="EC419" s="1"/>
      <c r="ED419" s="1"/>
      <c r="EE419" s="1"/>
      <c r="EF419" s="1"/>
      <c r="EG419" s="1"/>
      <c r="EH419" s="1"/>
      <c r="EI419" s="1"/>
      <c r="EJ419" s="1"/>
      <c r="EK419" s="1"/>
      <c r="EL419" s="1"/>
      <c r="EM419" s="1"/>
      <c r="EN419" s="1"/>
      <c r="EO419" s="1"/>
      <c r="EP419" s="1"/>
      <c r="EQ419" s="1"/>
      <c r="ER419" s="1"/>
      <c r="ES419" s="1"/>
      <c r="ET419" s="1"/>
      <c r="EU419" s="1"/>
      <c r="EV419" s="1"/>
      <c r="EW419" s="1"/>
      <c r="EX419" s="1"/>
      <c r="EY419" s="1"/>
      <c r="EZ419" s="1"/>
      <c r="FA419" s="1"/>
      <c r="FB419" s="1"/>
      <c r="FC419" s="1"/>
      <c r="FD419" s="1"/>
      <c r="FE419" s="1"/>
      <c r="FF419" s="1"/>
      <c r="FG419" s="1"/>
      <c r="FH419" s="1"/>
      <c r="FI419" s="1"/>
      <c r="FJ419" s="1"/>
      <c r="FK419" s="1"/>
      <c r="FL419" s="1"/>
      <c r="FM419" s="1"/>
      <c r="FN419" s="1"/>
      <c r="FO419" s="1"/>
      <c r="FP419" s="1"/>
      <c r="FQ419" s="1"/>
      <c r="FR419" s="1"/>
      <c r="FS419" s="1"/>
      <c r="FT419" s="1"/>
      <c r="FU419" s="1"/>
      <c r="FV419" s="1"/>
      <c r="FW419" s="1"/>
      <c r="FX419" s="1"/>
      <c r="FY419" s="1"/>
      <c r="FZ419" s="1"/>
      <c r="GA419" s="1"/>
      <c r="GB419" s="1"/>
      <c r="GC419" s="1"/>
      <c r="GD419" s="1"/>
      <c r="GE419" s="1"/>
      <c r="GF419" s="1"/>
      <c r="GG419" s="1"/>
      <c r="GH419" s="1"/>
      <c r="GI419" s="1"/>
      <c r="GJ419" s="1"/>
      <c r="GK419" s="1"/>
      <c r="GL419" s="1"/>
      <c r="GM419" s="1"/>
      <c r="GN419" s="1"/>
      <c r="GO419" s="1"/>
      <c r="GP419" s="1"/>
      <c r="GQ419" s="1"/>
      <c r="GR419" s="1"/>
      <c r="GS419" s="1"/>
      <c r="GT419" s="1"/>
      <c r="GU419" s="1"/>
      <c r="GV419" s="1"/>
      <c r="GW419" s="1"/>
      <c r="GX419" s="1"/>
      <c r="GY419" s="1"/>
      <c r="GZ419" s="1"/>
      <c r="HA419" s="1"/>
      <c r="HB419" s="1"/>
      <c r="HC419" s="1"/>
      <c r="HD419" s="1"/>
      <c r="HE419" s="1"/>
      <c r="HF419" s="1"/>
      <c r="HG419" s="1"/>
      <c r="HH419" s="1"/>
      <c r="HI419" s="1"/>
      <c r="HJ419" s="1"/>
      <c r="HK419" s="1"/>
      <c r="HL419" s="1"/>
      <c r="HM419" s="1"/>
      <c r="HN419" s="1"/>
      <c r="HO419" s="1"/>
      <c r="HP419" s="1"/>
      <c r="HQ419" s="1"/>
      <c r="HR419" s="1"/>
      <c r="HS419" s="1"/>
      <c r="HT419" s="1"/>
      <c r="HU419" s="1"/>
      <c r="HV419" s="1"/>
      <c r="HW419" s="1"/>
      <c r="HX419" s="1"/>
      <c r="HY419" s="1"/>
      <c r="HZ419" s="1"/>
      <c r="IA419" s="1"/>
      <c r="IB419" s="1"/>
      <c r="IC419" s="1"/>
      <c r="ID419" s="1"/>
      <c r="IE419" s="1"/>
      <c r="IF419" s="1"/>
      <c r="IG419" s="1"/>
      <c r="IH419" s="1"/>
      <c r="II419" s="1"/>
      <c r="IJ419" s="1"/>
      <c r="IK419" s="1"/>
      <c r="IL419" s="1"/>
      <c r="IM419" s="1"/>
      <c r="IN419" s="1"/>
      <c r="IO419" s="1"/>
      <c r="IP419" s="1"/>
      <c r="IQ419" s="1"/>
      <c r="IR419" s="1"/>
      <c r="IS419" s="1"/>
      <c r="IT419" s="1"/>
      <c r="IU419" s="1"/>
      <c r="IV419" s="1"/>
      <c r="IW419" s="1"/>
      <c r="IX419" s="1"/>
      <c r="IY419" s="1"/>
      <c r="IZ419" s="1"/>
      <c r="JA419" s="1"/>
      <c r="JB419" s="1"/>
      <c r="JC419" s="1"/>
      <c r="JD419" s="1"/>
    </row>
    <row r="420" spans="1:264" s="347" customFormat="1" x14ac:dyDescent="0.2">
      <c r="A420" s="463" t="s">
        <v>377</v>
      </c>
      <c r="B420" s="437" t="s">
        <v>236</v>
      </c>
      <c r="C420" s="463"/>
      <c r="D420" s="463"/>
      <c r="E420" s="463"/>
      <c r="F420" s="463"/>
      <c r="G420" s="463"/>
      <c r="H420" s="463"/>
      <c r="I420" s="463"/>
      <c r="J420" s="463"/>
      <c r="K420" s="463"/>
      <c r="L420" s="463"/>
      <c r="M420" s="463"/>
      <c r="N420" s="463"/>
      <c r="O420" s="463"/>
      <c r="P420" s="463"/>
      <c r="Q420" s="463"/>
      <c r="R420" s="463"/>
      <c r="S420" s="463"/>
      <c r="T420" s="463"/>
      <c r="U420" s="463"/>
      <c r="V420" s="463"/>
      <c r="W420" s="463"/>
      <c r="X420" s="463"/>
      <c r="Y420" s="463"/>
      <c r="Z420" s="463"/>
      <c r="AA420" s="463"/>
      <c r="AB420" s="463"/>
      <c r="AC420" s="463"/>
      <c r="AD420" s="463"/>
      <c r="AE420" s="463"/>
      <c r="AF420" s="463"/>
      <c r="AG420" s="463"/>
      <c r="AH420" s="463"/>
      <c r="AI420" s="463"/>
      <c r="AJ420" s="463"/>
      <c r="AK420" s="463"/>
      <c r="AL420" s="463"/>
      <c r="AM420" s="463"/>
      <c r="AN420" s="463"/>
      <c r="AO420" s="463"/>
      <c r="AP420" s="463"/>
      <c r="AQ420" s="463"/>
      <c r="AR420" s="463"/>
      <c r="AS420" s="463"/>
      <c r="AT420" s="463"/>
      <c r="AU420" s="463"/>
      <c r="AV420" s="463"/>
      <c r="AW420" s="463"/>
      <c r="AX420" s="463"/>
      <c r="AY420" s="463"/>
      <c r="AZ420" s="463"/>
      <c r="BA420" s="463"/>
      <c r="BB420" s="463"/>
      <c r="BC420" s="463"/>
      <c r="BD420" s="463"/>
      <c r="BE420" s="463"/>
      <c r="BF420" s="463"/>
      <c r="BG420" s="463"/>
      <c r="BH420" s="464">
        <v>111</v>
      </c>
      <c r="BI420" s="464">
        <v>94</v>
      </c>
      <c r="BJ420" s="485">
        <f t="shared" si="382"/>
        <v>94</v>
      </c>
      <c r="BK420" s="466"/>
      <c r="BL420" s="464">
        <v>89</v>
      </c>
      <c r="BM420" s="464">
        <v>78</v>
      </c>
      <c r="BN420" s="485">
        <f t="shared" si="383"/>
        <v>78</v>
      </c>
      <c r="BO420" s="466"/>
      <c r="BP420" s="464">
        <v>67</v>
      </c>
      <c r="BQ420" s="464">
        <v>59</v>
      </c>
      <c r="BR420" s="485">
        <f t="shared" si="384"/>
        <v>59</v>
      </c>
      <c r="BS420" s="463"/>
      <c r="BT420" s="464">
        <v>49</v>
      </c>
      <c r="BU420" s="464">
        <v>42</v>
      </c>
      <c r="BV420" s="485">
        <f t="shared" si="385"/>
        <v>42</v>
      </c>
      <c r="BW420" s="463"/>
      <c r="BX420" s="464">
        <v>34</v>
      </c>
      <c r="BY420" s="464">
        <v>29</v>
      </c>
      <c r="BZ420" s="485">
        <f t="shared" si="386"/>
        <v>29</v>
      </c>
      <c r="CA420" s="463"/>
      <c r="CB420" s="464">
        <v>171</v>
      </c>
      <c r="CC420" s="464">
        <v>125</v>
      </c>
      <c r="CD420" s="485">
        <f t="shared" si="387"/>
        <v>125</v>
      </c>
      <c r="CE420" s="463"/>
      <c r="CF420" s="464">
        <v>153</v>
      </c>
      <c r="CG420" s="464">
        <v>78</v>
      </c>
      <c r="CH420" s="485">
        <f t="shared" si="388"/>
        <v>78</v>
      </c>
      <c r="CI420" s="463"/>
      <c r="CJ420" s="464">
        <v>113</v>
      </c>
      <c r="CK420" s="464">
        <v>110</v>
      </c>
      <c r="CL420" s="485">
        <f t="shared" si="389"/>
        <v>110</v>
      </c>
      <c r="CM420" s="463"/>
      <c r="CN420" s="464">
        <v>91</v>
      </c>
      <c r="CO420" s="464">
        <v>12</v>
      </c>
      <c r="CP420" s="485">
        <f t="shared" si="390"/>
        <v>12</v>
      </c>
      <c r="CQ420" s="463"/>
      <c r="CR420" s="464">
        <v>7</v>
      </c>
      <c r="CS420" s="464">
        <v>9</v>
      </c>
      <c r="CT420" s="485">
        <f t="shared" si="391"/>
        <v>9</v>
      </c>
      <c r="CU420" s="463"/>
      <c r="CV420" s="464">
        <v>8</v>
      </c>
      <c r="CW420" s="464">
        <v>0</v>
      </c>
      <c r="CX420" s="485">
        <f t="shared" si="392"/>
        <v>0</v>
      </c>
      <c r="CY420" s="463"/>
      <c r="CZ420" s="464">
        <v>0</v>
      </c>
      <c r="DA420" s="464">
        <v>0</v>
      </c>
      <c r="DB420" s="485">
        <f t="shared" si="393"/>
        <v>0</v>
      </c>
      <c r="DC420" s="463"/>
      <c r="DD420" s="464">
        <v>0</v>
      </c>
      <c r="DE420" s="464">
        <v>0</v>
      </c>
      <c r="DF420" s="485">
        <f t="shared" si="394"/>
        <v>0</v>
      </c>
      <c r="DG420" s="463"/>
      <c r="DH420" s="464">
        <v>0</v>
      </c>
      <c r="DI420" s="514">
        <v>0</v>
      </c>
      <c r="DJ420" s="485">
        <f>DI420</f>
        <v>0</v>
      </c>
      <c r="DK420" s="463"/>
      <c r="DL420" s="514">
        <v>0</v>
      </c>
      <c r="DM420" s="514">
        <v>0</v>
      </c>
      <c r="DN420" s="485">
        <f>DM420</f>
        <v>0</v>
      </c>
      <c r="DO420" s="463"/>
      <c r="DP420" s="514">
        <v>0</v>
      </c>
      <c r="DQ420" s="514">
        <v>0</v>
      </c>
      <c r="DR420" s="485">
        <f>DQ420</f>
        <v>0</v>
      </c>
      <c r="DS420" s="463"/>
      <c r="DT420" s="1"/>
      <c r="DU420" s="1"/>
      <c r="DV420" s="1"/>
      <c r="DW420" s="1"/>
      <c r="DX420" s="1"/>
      <c r="DY420" s="1"/>
      <c r="DZ420" s="1"/>
      <c r="EA420" s="1"/>
      <c r="EB420" s="1"/>
      <c r="EC420" s="1"/>
      <c r="ED420" s="1"/>
      <c r="EE420" s="1"/>
      <c r="EF420" s="1"/>
      <c r="EG420" s="1"/>
      <c r="EH420" s="1"/>
      <c r="EI420" s="1"/>
      <c r="EJ420" s="1"/>
      <c r="EK420" s="1"/>
      <c r="EL420" s="1"/>
      <c r="EM420" s="1"/>
      <c r="EN420" s="1"/>
      <c r="EO420" s="1"/>
      <c r="EP420" s="1"/>
      <c r="EQ420" s="1"/>
      <c r="ER420" s="1"/>
      <c r="ES420" s="1"/>
      <c r="ET420" s="1"/>
      <c r="EU420" s="1"/>
      <c r="EV420" s="1"/>
      <c r="EW420" s="1"/>
      <c r="EX420" s="1"/>
      <c r="EY420" s="1"/>
      <c r="EZ420" s="1"/>
      <c r="FA420" s="1"/>
      <c r="FB420" s="1"/>
      <c r="FC420" s="1"/>
      <c r="FD420" s="1"/>
      <c r="FE420" s="1"/>
      <c r="FF420" s="1"/>
      <c r="FG420" s="1"/>
      <c r="FH420" s="1"/>
      <c r="FI420" s="1"/>
      <c r="FJ420" s="1"/>
      <c r="FK420" s="1"/>
      <c r="FL420" s="1"/>
      <c r="FM420" s="1"/>
      <c r="FN420" s="1"/>
      <c r="FO420" s="1"/>
      <c r="FP420" s="1"/>
      <c r="FQ420" s="1"/>
      <c r="FR420" s="1"/>
      <c r="FS420" s="1"/>
      <c r="FT420" s="1"/>
      <c r="FU420" s="1"/>
      <c r="FV420" s="1"/>
      <c r="FW420" s="1"/>
      <c r="FX420" s="1"/>
      <c r="FY420" s="1"/>
      <c r="FZ420" s="1"/>
      <c r="GA420" s="1"/>
      <c r="GB420" s="1"/>
      <c r="GC420" s="1"/>
      <c r="GD420" s="1"/>
      <c r="GE420" s="1"/>
      <c r="GF420" s="1"/>
      <c r="GG420" s="1"/>
      <c r="GH420" s="1"/>
      <c r="GI420" s="1"/>
      <c r="GJ420" s="1"/>
      <c r="GK420" s="1"/>
      <c r="GL420" s="1"/>
      <c r="GM420" s="1"/>
      <c r="GN420" s="1"/>
      <c r="GO420" s="1"/>
      <c r="GP420" s="1"/>
      <c r="GQ420" s="1"/>
      <c r="GR420" s="1"/>
      <c r="GS420" s="1"/>
      <c r="GT420" s="1"/>
      <c r="GU420" s="1"/>
      <c r="GV420" s="1"/>
      <c r="GW420" s="1"/>
      <c r="GX420" s="1"/>
      <c r="GY420" s="1"/>
      <c r="GZ420" s="1"/>
      <c r="HA420" s="1"/>
      <c r="HB420" s="1"/>
      <c r="HC420" s="1"/>
      <c r="HD420" s="1"/>
      <c r="HE420" s="1"/>
      <c r="HF420" s="1"/>
      <c r="HG420" s="1"/>
      <c r="HH420" s="1"/>
      <c r="HI420" s="1"/>
      <c r="HJ420" s="1"/>
      <c r="HK420" s="1"/>
      <c r="HL420" s="1"/>
      <c r="HM420" s="1"/>
      <c r="HN420" s="1"/>
      <c r="HO420" s="1"/>
      <c r="HP420" s="1"/>
      <c r="HQ420" s="1"/>
      <c r="HR420" s="1"/>
      <c r="HS420" s="1"/>
      <c r="HT420" s="1"/>
      <c r="HU420" s="1"/>
      <c r="HV420" s="1"/>
      <c r="HW420" s="1"/>
      <c r="HX420" s="1"/>
      <c r="HY420" s="1"/>
      <c r="HZ420" s="1"/>
      <c r="IA420" s="1"/>
      <c r="IB420" s="1"/>
      <c r="IC420" s="1"/>
      <c r="ID420" s="1"/>
      <c r="IE420" s="1"/>
      <c r="IF420" s="1"/>
      <c r="IG420" s="1"/>
      <c r="IH420" s="1"/>
      <c r="II420" s="1"/>
      <c r="IJ420" s="1"/>
      <c r="IK420" s="1"/>
      <c r="IL420" s="1"/>
      <c r="IM420" s="1"/>
      <c r="IN420" s="1"/>
      <c r="IO420" s="1"/>
      <c r="IP420" s="1"/>
      <c r="IQ420" s="1"/>
      <c r="IR420" s="1"/>
      <c r="IS420" s="1"/>
      <c r="IT420" s="1"/>
      <c r="IU420" s="1"/>
      <c r="IV420" s="1"/>
      <c r="IW420" s="1"/>
      <c r="IX420" s="1"/>
      <c r="IY420" s="1"/>
      <c r="IZ420" s="1"/>
      <c r="JA420" s="1"/>
      <c r="JB420" s="1"/>
      <c r="JC420" s="1"/>
      <c r="JD420" s="1"/>
    </row>
    <row r="421" spans="1:264" s="411" customFormat="1" x14ac:dyDescent="0.2">
      <c r="A421" s="411" t="s">
        <v>378</v>
      </c>
      <c r="B421" s="423"/>
      <c r="BH421" s="397">
        <f>SUM(BH415:BH420)</f>
        <v>10366</v>
      </c>
      <c r="BI421" s="397">
        <f>SUM(BI415:BI420)</f>
        <v>10423</v>
      </c>
      <c r="BJ421" s="397">
        <f>SUM(BJ415:BJ420)</f>
        <v>10423</v>
      </c>
      <c r="BK421" s="348"/>
      <c r="BL421" s="397">
        <f>SUM(BL415:BL420)</f>
        <v>9942</v>
      </c>
      <c r="BM421" s="397">
        <f>SUM(BM415:BM420)</f>
        <v>9792</v>
      </c>
      <c r="BN421" s="397">
        <f>SUM(BN415:BN420)</f>
        <v>9792</v>
      </c>
      <c r="BO421" s="423"/>
      <c r="BP421" s="397">
        <f>SUM(BP415:BP420)</f>
        <v>9881</v>
      </c>
      <c r="BQ421" s="397">
        <f>SUM(BQ415:BQ420)</f>
        <v>9970</v>
      </c>
      <c r="BR421" s="397">
        <f>SUM(BR415:BR420)</f>
        <v>9970</v>
      </c>
      <c r="BT421" s="397">
        <f>SUM(BT415:BT420)</f>
        <v>10018</v>
      </c>
      <c r="BU421" s="397">
        <f>SUM(BU415:BU420)</f>
        <v>10384</v>
      </c>
      <c r="BV421" s="397">
        <f>SUM(BV415:BV420)</f>
        <v>10384</v>
      </c>
      <c r="BX421" s="397">
        <f>SUM(BX415:BX420)</f>
        <v>10000</v>
      </c>
      <c r="BY421" s="397">
        <f>SUM(BY415:BY420)</f>
        <v>10024</v>
      </c>
      <c r="BZ421" s="397">
        <f>SUM(BZ415:BZ420)</f>
        <v>10024</v>
      </c>
      <c r="CB421" s="397">
        <f>SUM(CB415:CB420)</f>
        <v>9140</v>
      </c>
      <c r="CC421" s="397">
        <f>SUM(CC415:CC420)</f>
        <v>9090</v>
      </c>
      <c r="CD421" s="397">
        <f>SUM(CD415:CD420)</f>
        <v>9090</v>
      </c>
      <c r="CF421" s="397">
        <f>SUM(CF415:CF420)</f>
        <v>8161</v>
      </c>
      <c r="CG421" s="397">
        <f>SUM(CG415:CG420)</f>
        <v>7965</v>
      </c>
      <c r="CH421" s="397">
        <f>SUM(CH415:CH420)</f>
        <v>7965</v>
      </c>
      <c r="CJ421" s="397">
        <f>SUM(CJ415:CJ420)</f>
        <v>7729</v>
      </c>
      <c r="CK421" s="397">
        <f>SUM(CK415:CK420)</f>
        <v>6891</v>
      </c>
      <c r="CL421" s="397">
        <f>SUM(CL415:CL420)</f>
        <v>6891</v>
      </c>
      <c r="CN421" s="397">
        <f>SUM(CN415:CN420)</f>
        <v>6880</v>
      </c>
      <c r="CO421" s="397">
        <f>SUM(CO415:CO420)</f>
        <v>6942</v>
      </c>
      <c r="CP421" s="397">
        <f>SUM(CP415:CP420)</f>
        <v>6942</v>
      </c>
      <c r="CR421" s="397">
        <f>SUM(CR415:CR420)</f>
        <v>7073</v>
      </c>
      <c r="CS421" s="397">
        <f>SUM(CS415:CS420)</f>
        <v>6899</v>
      </c>
      <c r="CT421" s="397">
        <f>SUM(CT415:CT420)</f>
        <v>6899</v>
      </c>
      <c r="CV421" s="397">
        <f>SUM(CV415:CV420)</f>
        <v>7136</v>
      </c>
      <c r="CW421" s="397">
        <f>SUM(CW415:CW420)</f>
        <v>7393</v>
      </c>
      <c r="CX421" s="397">
        <f>SUM(CX415:CX420)</f>
        <v>7393</v>
      </c>
      <c r="CZ421" s="397">
        <f>SUM(CZ415:CZ420)</f>
        <v>7510</v>
      </c>
      <c r="DA421" s="397">
        <f>SUM(DA415:DA420)</f>
        <v>7600</v>
      </c>
      <c r="DB421" s="397">
        <f>SUM(DB415:DB420)</f>
        <v>7600</v>
      </c>
      <c r="DD421" s="397">
        <f>SUM(DD415:DD420)</f>
        <v>7783</v>
      </c>
      <c r="DE421" s="397">
        <f>SUM(DE415:DE420)</f>
        <v>8082</v>
      </c>
      <c r="DF421" s="397">
        <f>SUM(DF415:DF420)</f>
        <v>8082</v>
      </c>
      <c r="DH421" s="397">
        <f>SUM(DH415:DH420)</f>
        <v>8296</v>
      </c>
      <c r="DI421" s="397">
        <f>SUM(DI415:DI420)</f>
        <v>8498.554894737299</v>
      </c>
      <c r="DJ421" s="397">
        <f>SUM(DJ415:DJ420)</f>
        <v>8498.554894737299</v>
      </c>
      <c r="DL421" s="397">
        <f>SUM(DL415:DL420)</f>
        <v>8675.4263979548159</v>
      </c>
      <c r="DM421" s="397">
        <f>SUM(DM415:DM420)</f>
        <v>8838.0358728931587</v>
      </c>
      <c r="DN421" s="397">
        <f>SUM(DN415:DN420)</f>
        <v>8838.0358728931587</v>
      </c>
      <c r="DP421" s="397">
        <f>SUM(DP415:DP420)</f>
        <v>8940.6107961401376</v>
      </c>
      <c r="DQ421" s="397">
        <f>SUM(DQ415:DQ420)</f>
        <v>9036.8393534051011</v>
      </c>
      <c r="DR421" s="397">
        <f>SUM(DR415:DR420)</f>
        <v>9036.8393534051011</v>
      </c>
      <c r="DT421" s="1"/>
      <c r="DU421" s="1"/>
      <c r="DV421" s="1"/>
      <c r="DW421" s="1"/>
      <c r="DX421" s="1"/>
      <c r="DY421" s="1"/>
      <c r="DZ421" s="1"/>
      <c r="EA421" s="1"/>
      <c r="EB421" s="1"/>
      <c r="EC421" s="1"/>
      <c r="ED421" s="1"/>
      <c r="EE421" s="1"/>
      <c r="EF421" s="1"/>
      <c r="EG421" s="1"/>
      <c r="EH421" s="1"/>
      <c r="EI421" s="1"/>
      <c r="EJ421" s="1"/>
      <c r="EK421" s="1"/>
      <c r="EL421" s="1"/>
      <c r="EM421" s="1"/>
      <c r="EN421" s="1"/>
      <c r="EO421" s="1"/>
      <c r="EP421" s="1"/>
      <c r="EQ421" s="1"/>
      <c r="ER421" s="1"/>
      <c r="ES421" s="1"/>
      <c r="ET421" s="1"/>
      <c r="EU421" s="1"/>
      <c r="EV421" s="1"/>
      <c r="EW421" s="1"/>
      <c r="EX421" s="1"/>
      <c r="EY421" s="1"/>
      <c r="EZ421" s="1"/>
      <c r="FA421" s="1"/>
      <c r="FB421" s="1"/>
      <c r="FC421" s="1"/>
      <c r="FD421" s="1"/>
      <c r="FE421" s="1"/>
      <c r="FF421" s="1"/>
      <c r="FG421" s="1"/>
      <c r="FH421" s="1"/>
      <c r="FI421" s="1"/>
      <c r="FJ421" s="1"/>
      <c r="FK421" s="1"/>
      <c r="FL421" s="1"/>
      <c r="FM421" s="1"/>
      <c r="FN421" s="1"/>
      <c r="FO421" s="1"/>
      <c r="FP421" s="1"/>
      <c r="FQ421" s="1"/>
      <c r="FR421" s="1"/>
      <c r="FS421" s="1"/>
      <c r="FT421" s="1"/>
      <c r="FU421" s="1"/>
      <c r="FV421" s="1"/>
      <c r="FW421" s="1"/>
      <c r="FX421" s="1"/>
      <c r="FY421" s="1"/>
      <c r="FZ421" s="1"/>
      <c r="GA421" s="1"/>
      <c r="GB421" s="1"/>
      <c r="GC421" s="1"/>
      <c r="GD421" s="1"/>
      <c r="GE421" s="1"/>
      <c r="GF421" s="1"/>
      <c r="GG421" s="1"/>
      <c r="GH421" s="1"/>
      <c r="GI421" s="1"/>
      <c r="GJ421" s="1"/>
      <c r="GK421" s="1"/>
      <c r="GL421" s="1"/>
      <c r="GM421" s="1"/>
      <c r="GN421" s="1"/>
      <c r="GO421" s="1"/>
      <c r="GP421" s="1"/>
      <c r="GQ421" s="1"/>
      <c r="GR421" s="1"/>
      <c r="GS421" s="1"/>
      <c r="GT421" s="1"/>
      <c r="GU421" s="1"/>
      <c r="GV421" s="1"/>
      <c r="GW421" s="1"/>
      <c r="GX421" s="1"/>
      <c r="GY421" s="1"/>
      <c r="GZ421" s="1"/>
      <c r="HA421" s="1"/>
      <c r="HB421" s="1"/>
      <c r="HC421" s="1"/>
      <c r="HD421" s="1"/>
      <c r="HE421" s="1"/>
      <c r="HF421" s="1"/>
      <c r="HG421" s="1"/>
      <c r="HH421" s="1"/>
      <c r="HI421" s="1"/>
      <c r="HJ421" s="1"/>
      <c r="HK421" s="1"/>
      <c r="HL421" s="1"/>
      <c r="HM421" s="1"/>
      <c r="HN421" s="1"/>
      <c r="HO421" s="1"/>
      <c r="HP421" s="1"/>
      <c r="HQ421" s="1"/>
      <c r="HR421" s="1"/>
      <c r="HS421" s="1"/>
      <c r="HT421" s="1"/>
      <c r="HU421" s="1"/>
      <c r="HV421" s="1"/>
      <c r="HW421" s="1"/>
      <c r="HX421" s="1"/>
      <c r="HY421" s="1"/>
      <c r="HZ421" s="1"/>
      <c r="IA421" s="1"/>
      <c r="IB421" s="1"/>
      <c r="IC421" s="1"/>
      <c r="ID421" s="1"/>
      <c r="IE421" s="1"/>
      <c r="IF421" s="1"/>
      <c r="IG421" s="1"/>
      <c r="IH421" s="1"/>
      <c r="II421" s="1"/>
      <c r="IJ421" s="1"/>
      <c r="IK421" s="1"/>
      <c r="IL421" s="1"/>
      <c r="IM421" s="1"/>
      <c r="IN421" s="1"/>
      <c r="IO421" s="1"/>
      <c r="IP421" s="1"/>
      <c r="IQ421" s="1"/>
      <c r="IR421" s="1"/>
      <c r="IS421" s="1"/>
      <c r="IT421" s="1"/>
      <c r="IU421" s="1"/>
      <c r="IV421" s="1"/>
      <c r="IW421" s="1"/>
      <c r="IX421" s="1"/>
      <c r="IY421" s="1"/>
      <c r="IZ421" s="1"/>
      <c r="JA421" s="1"/>
      <c r="JB421" s="1"/>
      <c r="JC421" s="1"/>
      <c r="JD421" s="1"/>
    </row>
    <row r="422" spans="1:264" s="411" customFormat="1" x14ac:dyDescent="0.2">
      <c r="A422" s="515" t="s">
        <v>379</v>
      </c>
      <c r="B422" s="423"/>
      <c r="BH422" s="397"/>
      <c r="BI422" s="397"/>
      <c r="BJ422" s="397"/>
      <c r="BK422" s="348"/>
      <c r="BL422" s="397"/>
      <c r="BM422" s="397"/>
      <c r="BN422" s="397"/>
      <c r="BO422" s="423"/>
      <c r="BP422" s="397"/>
      <c r="BQ422" s="397"/>
      <c r="BR422" s="397"/>
      <c r="BT422" s="397"/>
      <c r="BU422" s="397"/>
      <c r="BV422" s="397"/>
      <c r="BX422" s="397"/>
      <c r="BY422" s="397"/>
      <c r="BZ422" s="397"/>
      <c r="CB422" s="397"/>
      <c r="CC422" s="397"/>
      <c r="CD422" s="397"/>
      <c r="CF422" s="516">
        <f>CF421-CF385</f>
        <v>0</v>
      </c>
      <c r="CG422" s="516">
        <f>CG421-CG385</f>
        <v>0</v>
      </c>
      <c r="CH422" s="397"/>
      <c r="CJ422" s="516">
        <f>CJ421-CJ385</f>
        <v>0</v>
      </c>
      <c r="CK422" s="516">
        <f>CK421-CK385</f>
        <v>0</v>
      </c>
      <c r="CL422" s="397"/>
      <c r="CN422" s="516">
        <f>CN421-CN385</f>
        <v>0</v>
      </c>
      <c r="CO422" s="516">
        <f>CO421-CO385</f>
        <v>0</v>
      </c>
      <c r="CP422" s="397"/>
      <c r="CR422" s="516">
        <f>CR421-CR385</f>
        <v>0</v>
      </c>
      <c r="CS422" s="516">
        <f>CS421-CS385</f>
        <v>0</v>
      </c>
      <c r="CT422" s="397"/>
      <c r="CV422" s="516">
        <f>CV421-CV385</f>
        <v>0</v>
      </c>
      <c r="CW422" s="516">
        <f>CW421-CW385</f>
        <v>0</v>
      </c>
      <c r="CX422" s="397"/>
      <c r="CZ422" s="516">
        <f>CZ421-CZ385</f>
        <v>0</v>
      </c>
      <c r="DA422" s="516">
        <f>DA421-DA385</f>
        <v>0</v>
      </c>
      <c r="DB422" s="397"/>
      <c r="DD422" s="516">
        <f>DD421-DD385</f>
        <v>0</v>
      </c>
      <c r="DE422" s="516">
        <f>DE421-DE385</f>
        <v>0</v>
      </c>
      <c r="DF422" s="397"/>
      <c r="DH422" s="516">
        <f>DH421-DH385</f>
        <v>0</v>
      </c>
      <c r="DI422" s="397"/>
      <c r="DJ422" s="397"/>
      <c r="DL422" s="397"/>
      <c r="DM422" s="397"/>
      <c r="DN422" s="397"/>
      <c r="DP422" s="397"/>
      <c r="DQ422" s="397"/>
      <c r="DR422" s="397"/>
      <c r="DT422" s="1"/>
      <c r="DU422" s="1"/>
      <c r="DV422" s="1"/>
      <c r="DW422" s="1"/>
      <c r="DX422" s="1"/>
      <c r="DY422" s="1"/>
      <c r="DZ422" s="1"/>
      <c r="EA422" s="1"/>
      <c r="EB422" s="1"/>
      <c r="EC422" s="1"/>
      <c r="ED422" s="1"/>
      <c r="EE422" s="1"/>
      <c r="EF422" s="1"/>
      <c r="EG422" s="1"/>
      <c r="EH422" s="1"/>
      <c r="EI422" s="1"/>
      <c r="EJ422" s="1"/>
      <c r="EK422" s="1"/>
      <c r="EL422" s="1"/>
      <c r="EM422" s="1"/>
      <c r="EN422" s="1"/>
      <c r="EO422" s="1"/>
      <c r="EP422" s="1"/>
      <c r="EQ422" s="1"/>
      <c r="ER422" s="1"/>
      <c r="ES422" s="1"/>
      <c r="ET422" s="1"/>
      <c r="EU422" s="1"/>
      <c r="EV422" s="1"/>
      <c r="EW422" s="1"/>
      <c r="EX422" s="1"/>
      <c r="EY422" s="1"/>
      <c r="EZ422" s="1"/>
      <c r="FA422" s="1"/>
      <c r="FB422" s="1"/>
      <c r="FC422" s="1"/>
      <c r="FD422" s="1"/>
      <c r="FE422" s="1"/>
      <c r="FF422" s="1"/>
      <c r="FG422" s="1"/>
      <c r="FH422" s="1"/>
      <c r="FI422" s="1"/>
      <c r="FJ422" s="1"/>
      <c r="FK422" s="1"/>
      <c r="FL422" s="1"/>
      <c r="FM422" s="1"/>
      <c r="FN422" s="1"/>
      <c r="FO422" s="1"/>
      <c r="FP422" s="1"/>
      <c r="FQ422" s="1"/>
      <c r="FR422" s="1"/>
      <c r="FS422" s="1"/>
      <c r="FT422" s="1"/>
      <c r="FU422" s="1"/>
      <c r="FV422" s="1"/>
      <c r="FW422" s="1"/>
      <c r="FX422" s="1"/>
      <c r="FY422" s="1"/>
      <c r="FZ422" s="1"/>
      <c r="GA422" s="1"/>
      <c r="GB422" s="1"/>
      <c r="GC422" s="1"/>
      <c r="GD422" s="1"/>
      <c r="GE422" s="1"/>
      <c r="GF422" s="1"/>
      <c r="GG422" s="1"/>
      <c r="GH422" s="1"/>
      <c r="GI422" s="1"/>
      <c r="GJ422" s="1"/>
      <c r="GK422" s="1"/>
      <c r="GL422" s="1"/>
      <c r="GM422" s="1"/>
      <c r="GN422" s="1"/>
      <c r="GO422" s="1"/>
      <c r="GP422" s="1"/>
      <c r="GQ422" s="1"/>
      <c r="GR422" s="1"/>
      <c r="GS422" s="1"/>
      <c r="GT422" s="1"/>
      <c r="GU422" s="1"/>
      <c r="GV422" s="1"/>
      <c r="GW422" s="1"/>
      <c r="GX422" s="1"/>
      <c r="GY422" s="1"/>
      <c r="GZ422" s="1"/>
      <c r="HA422" s="1"/>
      <c r="HB422" s="1"/>
      <c r="HC422" s="1"/>
      <c r="HD422" s="1"/>
      <c r="HE422" s="1"/>
      <c r="HF422" s="1"/>
      <c r="HG422" s="1"/>
      <c r="HH422" s="1"/>
      <c r="HI422" s="1"/>
      <c r="HJ422" s="1"/>
      <c r="HK422" s="1"/>
      <c r="HL422" s="1"/>
      <c r="HM422" s="1"/>
      <c r="HN422" s="1"/>
      <c r="HO422" s="1"/>
      <c r="HP422" s="1"/>
      <c r="HQ422" s="1"/>
      <c r="HR422" s="1"/>
      <c r="HS422" s="1"/>
      <c r="HT422" s="1"/>
      <c r="HU422" s="1"/>
      <c r="HV422" s="1"/>
      <c r="HW422" s="1"/>
      <c r="HX422" s="1"/>
      <c r="HY422" s="1"/>
      <c r="HZ422" s="1"/>
      <c r="IA422" s="1"/>
      <c r="IB422" s="1"/>
      <c r="IC422" s="1"/>
      <c r="ID422" s="1"/>
      <c r="IE422" s="1"/>
      <c r="IF422" s="1"/>
      <c r="IG422" s="1"/>
      <c r="IH422" s="1"/>
      <c r="II422" s="1"/>
      <c r="IJ422" s="1"/>
      <c r="IK422" s="1"/>
      <c r="IL422" s="1"/>
      <c r="IM422" s="1"/>
      <c r="IN422" s="1"/>
      <c r="IO422" s="1"/>
      <c r="IP422" s="1"/>
      <c r="IQ422" s="1"/>
      <c r="IR422" s="1"/>
      <c r="IS422" s="1"/>
      <c r="IT422" s="1"/>
      <c r="IU422" s="1"/>
      <c r="IV422" s="1"/>
      <c r="IW422" s="1"/>
      <c r="IX422" s="1"/>
      <c r="IY422" s="1"/>
      <c r="IZ422" s="1"/>
      <c r="JA422" s="1"/>
      <c r="JB422" s="1"/>
      <c r="JC422" s="1"/>
      <c r="JD422" s="1"/>
    </row>
    <row r="423" spans="1:264" s="411" customFormat="1" x14ac:dyDescent="0.2">
      <c r="A423" s="515"/>
      <c r="B423" s="423"/>
      <c r="BH423" s="397"/>
      <c r="BI423" s="397"/>
      <c r="BJ423" s="397"/>
      <c r="BK423" s="348"/>
      <c r="BL423" s="397"/>
      <c r="BM423" s="397"/>
      <c r="BN423" s="397"/>
      <c r="BO423" s="423"/>
      <c r="BP423" s="397"/>
      <c r="BQ423" s="397"/>
      <c r="BR423" s="397"/>
      <c r="BT423" s="397"/>
      <c r="BU423" s="397"/>
      <c r="BV423" s="397"/>
      <c r="BX423" s="397"/>
      <c r="BY423" s="397"/>
      <c r="BZ423" s="397"/>
      <c r="CB423" s="397"/>
      <c r="CC423" s="397"/>
      <c r="CD423" s="397"/>
      <c r="CF423" s="516"/>
      <c r="CG423" s="397"/>
      <c r="CH423" s="397"/>
      <c r="CJ423" s="516"/>
      <c r="CK423" s="397"/>
      <c r="CL423" s="397"/>
      <c r="CN423" s="397"/>
      <c r="CO423" s="397"/>
      <c r="CP423" s="397"/>
      <c r="CR423" s="397"/>
      <c r="CS423" s="397"/>
      <c r="CT423" s="397"/>
      <c r="CV423" s="397"/>
      <c r="CW423" s="397"/>
      <c r="CX423" s="397"/>
      <c r="CZ423" s="397"/>
      <c r="DA423" s="397"/>
      <c r="DB423" s="397"/>
      <c r="DD423" s="397"/>
      <c r="DE423" s="397"/>
      <c r="DF423" s="397"/>
      <c r="DH423" s="397"/>
      <c r="DI423" s="397"/>
      <c r="DJ423" s="397"/>
      <c r="DL423" s="397"/>
      <c r="DM423" s="397"/>
      <c r="DN423" s="397"/>
      <c r="DP423" s="397"/>
      <c r="DQ423" s="397"/>
      <c r="DR423" s="397"/>
      <c r="DT423" s="1"/>
      <c r="DU423" s="1"/>
      <c r="DV423" s="1"/>
      <c r="DW423" s="1"/>
      <c r="DX423" s="1"/>
      <c r="DY423" s="1"/>
      <c r="DZ423" s="1"/>
      <c r="EA423" s="1"/>
      <c r="EB423" s="1"/>
      <c r="EC423" s="1"/>
      <c r="ED423" s="1"/>
      <c r="EE423" s="1"/>
      <c r="EF423" s="1"/>
      <c r="EG423" s="1"/>
      <c r="EH423" s="1"/>
      <c r="EI423" s="1"/>
      <c r="EJ423" s="1"/>
      <c r="EK423" s="1"/>
      <c r="EL423" s="1"/>
      <c r="EM423" s="1"/>
      <c r="EN423" s="1"/>
      <c r="EO423" s="1"/>
      <c r="EP423" s="1"/>
      <c r="EQ423" s="1"/>
      <c r="ER423" s="1"/>
      <c r="ES423" s="1"/>
      <c r="ET423" s="1"/>
      <c r="EU423" s="1"/>
      <c r="EV423" s="1"/>
      <c r="EW423" s="1"/>
      <c r="EX423" s="1"/>
      <c r="EY423" s="1"/>
      <c r="EZ423" s="1"/>
      <c r="FA423" s="1"/>
      <c r="FB423" s="1"/>
      <c r="FC423" s="1"/>
      <c r="FD423" s="1"/>
      <c r="FE423" s="1"/>
      <c r="FF423" s="1"/>
      <c r="FG423" s="1"/>
      <c r="FH423" s="1"/>
      <c r="FI423" s="1"/>
      <c r="FJ423" s="1"/>
      <c r="FK423" s="1"/>
      <c r="FL423" s="1"/>
      <c r="FM423" s="1"/>
      <c r="FN423" s="1"/>
      <c r="FO423" s="1"/>
      <c r="FP423" s="1"/>
      <c r="FQ423" s="1"/>
      <c r="FR423" s="1"/>
      <c r="FS423" s="1"/>
      <c r="FT423" s="1"/>
      <c r="FU423" s="1"/>
      <c r="FV423" s="1"/>
      <c r="FW423" s="1"/>
      <c r="FX423" s="1"/>
      <c r="FY423" s="1"/>
      <c r="FZ423" s="1"/>
      <c r="GA423" s="1"/>
      <c r="GB423" s="1"/>
      <c r="GC423" s="1"/>
      <c r="GD423" s="1"/>
      <c r="GE423" s="1"/>
      <c r="GF423" s="1"/>
      <c r="GG423" s="1"/>
      <c r="GH423" s="1"/>
      <c r="GI423" s="1"/>
      <c r="GJ423" s="1"/>
      <c r="GK423" s="1"/>
      <c r="GL423" s="1"/>
      <c r="GM423" s="1"/>
      <c r="GN423" s="1"/>
      <c r="GO423" s="1"/>
      <c r="GP423" s="1"/>
      <c r="GQ423" s="1"/>
      <c r="GR423" s="1"/>
      <c r="GS423" s="1"/>
      <c r="GT423" s="1"/>
      <c r="GU423" s="1"/>
      <c r="GV423" s="1"/>
      <c r="GW423" s="1"/>
      <c r="GX423" s="1"/>
      <c r="GY423" s="1"/>
      <c r="GZ423" s="1"/>
      <c r="HA423" s="1"/>
      <c r="HB423" s="1"/>
      <c r="HC423" s="1"/>
      <c r="HD423" s="1"/>
      <c r="HE423" s="1"/>
      <c r="HF423" s="1"/>
      <c r="HG423" s="1"/>
      <c r="HH423" s="1"/>
      <c r="HI423" s="1"/>
      <c r="HJ423" s="1"/>
      <c r="HK423" s="1"/>
      <c r="HL423" s="1"/>
      <c r="HM423" s="1"/>
      <c r="HN423" s="1"/>
      <c r="HO423" s="1"/>
      <c r="HP423" s="1"/>
      <c r="HQ423" s="1"/>
      <c r="HR423" s="1"/>
      <c r="HS423" s="1"/>
      <c r="HT423" s="1"/>
      <c r="HU423" s="1"/>
      <c r="HV423" s="1"/>
      <c r="HW423" s="1"/>
      <c r="HX423" s="1"/>
      <c r="HY423" s="1"/>
      <c r="HZ423" s="1"/>
      <c r="IA423" s="1"/>
      <c r="IB423" s="1"/>
      <c r="IC423" s="1"/>
      <c r="ID423" s="1"/>
      <c r="IE423" s="1"/>
      <c r="IF423" s="1"/>
      <c r="IG423" s="1"/>
      <c r="IH423" s="1"/>
      <c r="II423" s="1"/>
      <c r="IJ423" s="1"/>
      <c r="IK423" s="1"/>
      <c r="IL423" s="1"/>
      <c r="IM423" s="1"/>
      <c r="IN423" s="1"/>
      <c r="IO423" s="1"/>
      <c r="IP423" s="1"/>
      <c r="IQ423" s="1"/>
      <c r="IR423" s="1"/>
      <c r="IS423" s="1"/>
      <c r="IT423" s="1"/>
      <c r="IU423" s="1"/>
      <c r="IV423" s="1"/>
      <c r="IW423" s="1"/>
      <c r="IX423" s="1"/>
      <c r="IY423" s="1"/>
      <c r="IZ423" s="1"/>
      <c r="JA423" s="1"/>
      <c r="JB423" s="1"/>
      <c r="JC423" s="1"/>
      <c r="JD423" s="1"/>
    </row>
    <row r="424" spans="1:264" s="411" customFormat="1" x14ac:dyDescent="0.2">
      <c r="A424" s="411" t="s">
        <v>380</v>
      </c>
      <c r="B424" s="423"/>
      <c r="BH424" s="423"/>
      <c r="BI424" s="423"/>
      <c r="BJ424" s="423"/>
      <c r="BK424" s="423"/>
      <c r="BL424" s="423"/>
      <c r="BM424" s="423"/>
      <c r="BN424" s="423"/>
      <c r="BO424" s="423"/>
      <c r="BP424" s="423"/>
      <c r="BQ424" s="423"/>
      <c r="BR424" s="423"/>
      <c r="BT424" s="423"/>
      <c r="BU424" s="423"/>
      <c r="BV424" s="423"/>
      <c r="BX424" s="423"/>
      <c r="CA424" s="517"/>
      <c r="CB424" s="518"/>
      <c r="CC424" s="518"/>
      <c r="CD424" s="518"/>
      <c r="CE424" s="519"/>
      <c r="CF424" s="518"/>
      <c r="CG424" s="518"/>
      <c r="CH424" s="518"/>
      <c r="CI424" s="519"/>
      <c r="CJ424" s="518"/>
      <c r="CK424" s="518"/>
      <c r="CL424" s="518"/>
      <c r="CN424" s="423"/>
      <c r="CO424" s="518"/>
      <c r="CP424" s="518"/>
      <c r="CR424" s="423"/>
      <c r="CS424" s="518"/>
      <c r="CT424" s="518"/>
      <c r="CV424" s="423"/>
      <c r="CW424" s="518"/>
      <c r="CX424" s="518"/>
      <c r="CZ424" s="423"/>
      <c r="DA424" s="518"/>
      <c r="DB424" s="518"/>
      <c r="DD424" s="423"/>
      <c r="DE424" s="518"/>
      <c r="DF424" s="518"/>
      <c r="DH424" s="423"/>
      <c r="DL424" s="423"/>
      <c r="DP424" s="423"/>
      <c r="DT424" s="1"/>
      <c r="DU424" s="1"/>
      <c r="DV424" s="1"/>
      <c r="DW424" s="1"/>
      <c r="DX424" s="1"/>
      <c r="DY424" s="1"/>
      <c r="DZ424" s="1"/>
      <c r="EA424" s="1"/>
      <c r="EB424" s="1"/>
      <c r="EC424" s="1"/>
      <c r="ED424" s="1"/>
      <c r="EE424" s="1"/>
      <c r="EF424" s="1"/>
      <c r="EG424" s="1"/>
      <c r="EH424" s="1"/>
      <c r="EI424" s="1"/>
      <c r="EJ424" s="1"/>
      <c r="EK424" s="1"/>
      <c r="EL424" s="1"/>
      <c r="EM424" s="1"/>
      <c r="EN424" s="1"/>
      <c r="EO424" s="1"/>
      <c r="EP424" s="1"/>
      <c r="EQ424" s="1"/>
      <c r="ER424" s="1"/>
      <c r="ES424" s="1"/>
      <c r="ET424" s="1"/>
      <c r="EU424" s="1"/>
      <c r="EV424" s="1"/>
      <c r="EW424" s="1"/>
      <c r="EX424" s="1"/>
      <c r="EY424" s="1"/>
      <c r="EZ424" s="1"/>
      <c r="FA424" s="1"/>
      <c r="FB424" s="1"/>
      <c r="FC424" s="1"/>
      <c r="FD424" s="1"/>
      <c r="FE424" s="1"/>
      <c r="FF424" s="1"/>
      <c r="FG424" s="1"/>
      <c r="FH424" s="1"/>
      <c r="FI424" s="1"/>
      <c r="FJ424" s="1"/>
      <c r="FK424" s="1"/>
      <c r="FL424" s="1"/>
      <c r="FM424" s="1"/>
      <c r="FN424" s="1"/>
      <c r="FO424" s="1"/>
      <c r="FP424" s="1"/>
      <c r="FQ424" s="1"/>
      <c r="FR424" s="1"/>
      <c r="FS424" s="1"/>
      <c r="FT424" s="1"/>
      <c r="FU424" s="1"/>
      <c r="FV424" s="1"/>
      <c r="FW424" s="1"/>
      <c r="FX424" s="1"/>
      <c r="FY424" s="1"/>
      <c r="FZ424" s="1"/>
      <c r="GA424" s="1"/>
      <c r="GB424" s="1"/>
      <c r="GC424" s="1"/>
      <c r="GD424" s="1"/>
      <c r="GE424" s="1"/>
      <c r="GF424" s="1"/>
      <c r="GG424" s="1"/>
      <c r="GH424" s="1"/>
      <c r="GI424" s="1"/>
      <c r="GJ424" s="1"/>
      <c r="GK424" s="1"/>
      <c r="GL424" s="1"/>
      <c r="GM424" s="1"/>
      <c r="GN424" s="1"/>
      <c r="GO424" s="1"/>
      <c r="GP424" s="1"/>
      <c r="GQ424" s="1"/>
      <c r="GR424" s="1"/>
      <c r="GS424" s="1"/>
      <c r="GT424" s="1"/>
      <c r="GU424" s="1"/>
      <c r="GV424" s="1"/>
      <c r="GW424" s="1"/>
      <c r="GX424" s="1"/>
      <c r="GY424" s="1"/>
      <c r="GZ424" s="1"/>
      <c r="HA424" s="1"/>
      <c r="HB424" s="1"/>
      <c r="HC424" s="1"/>
      <c r="HD424" s="1"/>
      <c r="HE424" s="1"/>
      <c r="HF424" s="1"/>
      <c r="HG424" s="1"/>
      <c r="HH424" s="1"/>
      <c r="HI424" s="1"/>
      <c r="HJ424" s="1"/>
      <c r="HK424" s="1"/>
      <c r="HL424" s="1"/>
      <c r="HM424" s="1"/>
      <c r="HN424" s="1"/>
      <c r="HO424" s="1"/>
      <c r="HP424" s="1"/>
      <c r="HQ424" s="1"/>
      <c r="HR424" s="1"/>
      <c r="HS424" s="1"/>
      <c r="HT424" s="1"/>
      <c r="HU424" s="1"/>
      <c r="HV424" s="1"/>
      <c r="HW424" s="1"/>
      <c r="HX424" s="1"/>
      <c r="HY424" s="1"/>
      <c r="HZ424" s="1"/>
      <c r="IA424" s="1"/>
      <c r="IB424" s="1"/>
      <c r="IC424" s="1"/>
      <c r="ID424" s="1"/>
      <c r="IE424" s="1"/>
      <c r="IF424" s="1"/>
      <c r="IG424" s="1"/>
      <c r="IH424" s="1"/>
      <c r="II424" s="1"/>
      <c r="IJ424" s="1"/>
      <c r="IK424" s="1"/>
      <c r="IL424" s="1"/>
      <c r="IM424" s="1"/>
      <c r="IN424" s="1"/>
      <c r="IO424" s="1"/>
      <c r="IP424" s="1"/>
      <c r="IQ424" s="1"/>
      <c r="IR424" s="1"/>
      <c r="IS424" s="1"/>
      <c r="IT424" s="1"/>
      <c r="IU424" s="1"/>
      <c r="IV424" s="1"/>
      <c r="IW424" s="1"/>
      <c r="IX424" s="1"/>
      <c r="IY424" s="1"/>
      <c r="IZ424" s="1"/>
      <c r="JA424" s="1"/>
      <c r="JB424" s="1"/>
      <c r="JC424" s="1"/>
      <c r="JD424" s="1"/>
    </row>
    <row r="425" spans="1:264" s="347" customFormat="1" x14ac:dyDescent="0.2">
      <c r="A425" s="347" t="s">
        <v>313</v>
      </c>
      <c r="B425" s="348"/>
      <c r="BH425" s="398">
        <v>1700</v>
      </c>
      <c r="BI425" s="351">
        <f>BH429</f>
        <v>1831</v>
      </c>
      <c r="BJ425" s="351">
        <f>BH425</f>
        <v>1700</v>
      </c>
      <c r="BK425" s="348"/>
      <c r="BL425" s="351">
        <f>BJ429</f>
        <v>1923</v>
      </c>
      <c r="BM425" s="351">
        <f>BL429</f>
        <v>1950</v>
      </c>
      <c r="BN425" s="351">
        <f>BL425</f>
        <v>1923</v>
      </c>
      <c r="BO425" s="348"/>
      <c r="BP425" s="351">
        <f>BN429</f>
        <v>1854</v>
      </c>
      <c r="BQ425" s="351">
        <f>BP429</f>
        <v>1979</v>
      </c>
      <c r="BR425" s="351">
        <f>BP425</f>
        <v>1854</v>
      </c>
      <c r="BT425" s="351">
        <f>BR429</f>
        <v>2089</v>
      </c>
      <c r="BU425" s="351">
        <f>BT429</f>
        <v>2183</v>
      </c>
      <c r="BV425" s="351">
        <f>BT425</f>
        <v>2089</v>
      </c>
      <c r="BX425" s="351">
        <f>BV429</f>
        <v>2228</v>
      </c>
      <c r="BY425" s="351">
        <f>BX429</f>
        <v>1897</v>
      </c>
      <c r="BZ425" s="351">
        <f>BX425</f>
        <v>2228</v>
      </c>
      <c r="CB425" s="351">
        <f>BZ429</f>
        <v>1934</v>
      </c>
      <c r="CC425" s="351">
        <f>CB429</f>
        <v>1896</v>
      </c>
      <c r="CD425" s="351">
        <f>CB425</f>
        <v>1934</v>
      </c>
      <c r="CF425" s="351">
        <f>CD429</f>
        <v>1819</v>
      </c>
      <c r="CG425" s="351">
        <f>CF429</f>
        <v>1782</v>
      </c>
      <c r="CH425" s="351">
        <f>CF425</f>
        <v>1819</v>
      </c>
      <c r="CJ425" s="351">
        <f>CH429</f>
        <v>1712</v>
      </c>
      <c r="CK425" s="351">
        <f>CJ429</f>
        <v>1418</v>
      </c>
      <c r="CL425" s="351">
        <f>CJ425</f>
        <v>1712</v>
      </c>
      <c r="CN425" s="351">
        <f>CL429</f>
        <v>1296</v>
      </c>
      <c r="CO425" s="351">
        <f>CN429</f>
        <v>1334</v>
      </c>
      <c r="CP425" s="351">
        <f>CN425</f>
        <v>1296</v>
      </c>
      <c r="CR425" s="351">
        <f>CP429</f>
        <v>1427</v>
      </c>
      <c r="CS425" s="351">
        <f>CR429</f>
        <v>1585</v>
      </c>
      <c r="CT425" s="351">
        <f>CR425</f>
        <v>1427</v>
      </c>
      <c r="CV425" s="351">
        <f>CT429</f>
        <v>1409</v>
      </c>
      <c r="CW425" s="351">
        <f>CV429</f>
        <v>1643</v>
      </c>
      <c r="CX425" s="351">
        <f>CV425</f>
        <v>1409</v>
      </c>
      <c r="CZ425" s="351">
        <f>CX429</f>
        <v>1912</v>
      </c>
      <c r="DA425" s="351">
        <f>CZ429</f>
        <v>2035</v>
      </c>
      <c r="DB425" s="351">
        <f>CZ425</f>
        <v>1912</v>
      </c>
      <c r="DD425" s="351">
        <f>DB429</f>
        <v>2129</v>
      </c>
      <c r="DE425" s="351">
        <f>DD429</f>
        <v>2315</v>
      </c>
      <c r="DF425" s="351">
        <f>DD425</f>
        <v>2129</v>
      </c>
      <c r="DH425" s="351">
        <f>DF429</f>
        <v>2607</v>
      </c>
      <c r="DI425" s="351">
        <f>DH429</f>
        <v>2840</v>
      </c>
      <c r="DJ425" s="351">
        <f>DH425</f>
        <v>2607</v>
      </c>
      <c r="DL425" s="351">
        <f>DJ429</f>
        <v>3042.5548947372981</v>
      </c>
      <c r="DM425" s="351">
        <f>DL429</f>
        <v>3219.4263979548159</v>
      </c>
      <c r="DN425" s="351">
        <f>DL425</f>
        <v>3042.5548947372981</v>
      </c>
      <c r="DP425" s="351">
        <f>DN429</f>
        <v>3382.0358728931587</v>
      </c>
      <c r="DQ425" s="351">
        <f>DP429</f>
        <v>3484.6107961401372</v>
      </c>
      <c r="DR425" s="351">
        <f>DP425</f>
        <v>3382.0358728931587</v>
      </c>
      <c r="DT425" s="1"/>
      <c r="DU425" s="1"/>
      <c r="DV425" s="1"/>
      <c r="DW425" s="1"/>
      <c r="DX425" s="1"/>
      <c r="DY425" s="1"/>
      <c r="DZ425" s="1"/>
      <c r="EA425" s="1"/>
      <c r="EB425" s="1"/>
      <c r="EC425" s="1"/>
      <c r="ED425" s="1"/>
      <c r="EE425" s="1"/>
      <c r="EF425" s="1"/>
      <c r="EG425" s="1"/>
      <c r="EH425" s="1"/>
      <c r="EI425" s="1"/>
      <c r="EJ425" s="1"/>
      <c r="EK425" s="1"/>
      <c r="EL425" s="1"/>
      <c r="EM425" s="1"/>
      <c r="EN425" s="1"/>
      <c r="EO425" s="1"/>
      <c r="EP425" s="1"/>
      <c r="EQ425" s="1"/>
      <c r="ER425" s="1"/>
      <c r="ES425" s="1"/>
      <c r="ET425" s="1"/>
      <c r="EU425" s="1"/>
      <c r="EV425" s="1"/>
      <c r="EW425" s="1"/>
      <c r="EX425" s="1"/>
      <c r="EY425" s="1"/>
      <c r="EZ425" s="1"/>
      <c r="FA425" s="1"/>
      <c r="FB425" s="1"/>
      <c r="FC425" s="1"/>
      <c r="FD425" s="1"/>
      <c r="FE425" s="1"/>
      <c r="FF425" s="1"/>
      <c r="FG425" s="1"/>
      <c r="FH425" s="1"/>
      <c r="FI425" s="1"/>
      <c r="FJ425" s="1"/>
      <c r="FK425" s="1"/>
      <c r="FL425" s="1"/>
      <c r="FM425" s="1"/>
      <c r="FN425" s="1"/>
      <c r="FO425" s="1"/>
      <c r="FP425" s="1"/>
      <c r="FQ425" s="1"/>
      <c r="FR425" s="1"/>
      <c r="FS425" s="1"/>
      <c r="FT425" s="1"/>
      <c r="FU425" s="1"/>
      <c r="FV425" s="1"/>
      <c r="FW425" s="1"/>
      <c r="FX425" s="1"/>
      <c r="FY425" s="1"/>
      <c r="FZ425" s="1"/>
      <c r="GA425" s="1"/>
      <c r="GB425" s="1"/>
      <c r="GC425" s="1"/>
      <c r="GD425" s="1"/>
      <c r="GE425" s="1"/>
      <c r="GF425" s="1"/>
      <c r="GG425" s="1"/>
      <c r="GH425" s="1"/>
      <c r="GI425" s="1"/>
      <c r="GJ425" s="1"/>
      <c r="GK425" s="1"/>
      <c r="GL425" s="1"/>
      <c r="GM425" s="1"/>
      <c r="GN425" s="1"/>
      <c r="GO425" s="1"/>
      <c r="GP425" s="1"/>
      <c r="GQ425" s="1"/>
      <c r="GR425" s="1"/>
      <c r="GS425" s="1"/>
      <c r="GT425" s="1"/>
      <c r="GU425" s="1"/>
      <c r="GV425" s="1"/>
      <c r="GW425" s="1"/>
      <c r="GX425" s="1"/>
      <c r="GY425" s="1"/>
      <c r="GZ425" s="1"/>
      <c r="HA425" s="1"/>
      <c r="HB425" s="1"/>
      <c r="HC425" s="1"/>
      <c r="HD425" s="1"/>
      <c r="HE425" s="1"/>
      <c r="HF425" s="1"/>
      <c r="HG425" s="1"/>
      <c r="HH425" s="1"/>
      <c r="HI425" s="1"/>
      <c r="HJ425" s="1"/>
      <c r="HK425" s="1"/>
      <c r="HL425" s="1"/>
      <c r="HM425" s="1"/>
      <c r="HN425" s="1"/>
      <c r="HO425" s="1"/>
      <c r="HP425" s="1"/>
      <c r="HQ425" s="1"/>
      <c r="HR425" s="1"/>
      <c r="HS425" s="1"/>
      <c r="HT425" s="1"/>
      <c r="HU425" s="1"/>
      <c r="HV425" s="1"/>
      <c r="HW425" s="1"/>
      <c r="HX425" s="1"/>
      <c r="HY425" s="1"/>
      <c r="HZ425" s="1"/>
      <c r="IA425" s="1"/>
      <c r="IB425" s="1"/>
      <c r="IC425" s="1"/>
      <c r="ID425" s="1"/>
      <c r="IE425" s="1"/>
      <c r="IF425" s="1"/>
      <c r="IG425" s="1"/>
      <c r="IH425" s="1"/>
      <c r="II425" s="1"/>
      <c r="IJ425" s="1"/>
      <c r="IK425" s="1"/>
      <c r="IL425" s="1"/>
      <c r="IM425" s="1"/>
      <c r="IN425" s="1"/>
      <c r="IO425" s="1"/>
      <c r="IP425" s="1"/>
      <c r="IQ425" s="1"/>
      <c r="IR425" s="1"/>
      <c r="IS425" s="1"/>
      <c r="IT425" s="1"/>
      <c r="IU425" s="1"/>
      <c r="IV425" s="1"/>
      <c r="IW425" s="1"/>
      <c r="IX425" s="1"/>
      <c r="IY425" s="1"/>
      <c r="IZ425" s="1"/>
      <c r="JA425" s="1"/>
      <c r="JB425" s="1"/>
      <c r="JC425" s="1"/>
      <c r="JD425" s="1"/>
    </row>
    <row r="426" spans="1:264" s="347" customFormat="1" x14ac:dyDescent="0.2">
      <c r="A426" s="347" t="s">
        <v>381</v>
      </c>
      <c r="B426" s="348"/>
      <c r="BH426" s="351">
        <f>+BH429-BH428-BH427-BH425</f>
        <v>243</v>
      </c>
      <c r="BI426" s="351">
        <f>+BI429-BI428-BI427-BI425</f>
        <v>225</v>
      </c>
      <c r="BJ426" s="351">
        <f>+BI426+BH426</f>
        <v>468</v>
      </c>
      <c r="BK426" s="348"/>
      <c r="BL426" s="351">
        <f>+BL429-BL428-BL427-BL425</f>
        <v>225</v>
      </c>
      <c r="BM426" s="351">
        <f>+BM429-BM428-BM427-BM425</f>
        <v>104</v>
      </c>
      <c r="BN426" s="351">
        <f>+BM426+BL426</f>
        <v>329</v>
      </c>
      <c r="BO426" s="348"/>
      <c r="BP426" s="351">
        <f>+BP429-BP428-BP427-BP425</f>
        <v>278</v>
      </c>
      <c r="BQ426" s="351">
        <f>+BQ429-BQ428-BQ427-BQ425</f>
        <v>276</v>
      </c>
      <c r="BR426" s="351">
        <f>+BQ426+BP426</f>
        <v>554</v>
      </c>
      <c r="BT426" s="351">
        <f>+BT429-BT428-BT427-BT425</f>
        <v>272</v>
      </c>
      <c r="BU426" s="351">
        <f>+BU429-BU428-BU427-BU425</f>
        <v>247</v>
      </c>
      <c r="BV426" s="351">
        <f>+BU426+BT426</f>
        <v>519</v>
      </c>
      <c r="BX426" s="351">
        <f>+BX429-BX428-BX427-BX425</f>
        <v>282</v>
      </c>
      <c r="BY426" s="351">
        <f>+BY429-BY428-BY427-BY425</f>
        <v>209</v>
      </c>
      <c r="BZ426" s="351">
        <f>+BY426+BX426</f>
        <v>491</v>
      </c>
      <c r="CB426" s="351">
        <f>+CB429-CB428-CB427-CB425</f>
        <v>213</v>
      </c>
      <c r="CC426" s="351">
        <f>+CC429-CC428-CC427-CC425</f>
        <v>273</v>
      </c>
      <c r="CD426" s="351">
        <f>+CC426+CB426</f>
        <v>486</v>
      </c>
      <c r="CF426" s="351">
        <f>+CF429-CF428-CF427-CF425</f>
        <v>194</v>
      </c>
      <c r="CG426" s="351">
        <f>+CG429-CG428-CG427-CG425</f>
        <v>149</v>
      </c>
      <c r="CH426" s="351">
        <f>+CG426+CF426</f>
        <v>343</v>
      </c>
      <c r="CJ426" s="351">
        <f>+CJ429-CJ428-CJ427-CJ425</f>
        <v>201</v>
      </c>
      <c r="CK426" s="351">
        <f>+CK429-CK428-CK427-CK425</f>
        <v>152</v>
      </c>
      <c r="CL426" s="351">
        <f>+CK426+CJ426</f>
        <v>353</v>
      </c>
      <c r="CN426" s="351">
        <f>+CN429-CN428-CN427-CN425</f>
        <v>276</v>
      </c>
      <c r="CO426" s="351">
        <f>+CO429-CO428-CO427-CO425</f>
        <v>277</v>
      </c>
      <c r="CP426" s="351">
        <f>+CO426+CN426</f>
        <v>553</v>
      </c>
      <c r="CR426" s="351">
        <f>+CR429-CR428-CR427-CR425</f>
        <v>318</v>
      </c>
      <c r="CS426" s="351">
        <f>+CS429-CS428-CS427-CS425</f>
        <v>425</v>
      </c>
      <c r="CT426" s="351">
        <f>+CS426+CR426</f>
        <v>743</v>
      </c>
      <c r="CV426" s="351">
        <f>+CV429-CV428-CV427-CV425</f>
        <v>417</v>
      </c>
      <c r="CW426" s="351">
        <f>+CW429-CW428-CW427-CW425</f>
        <v>481</v>
      </c>
      <c r="CX426" s="351">
        <f>+CW426+CV426</f>
        <v>898</v>
      </c>
      <c r="CZ426" s="351">
        <f>+CZ429-CZ428-CZ427-CZ425</f>
        <v>437</v>
      </c>
      <c r="DA426" s="351">
        <f>+DA429-DA428-DA427-DA425</f>
        <v>465</v>
      </c>
      <c r="DB426" s="351">
        <f>+DA426+CZ426</f>
        <v>902</v>
      </c>
      <c r="DD426" s="351">
        <f>+DD429-DD428-DD427-DD425</f>
        <v>515</v>
      </c>
      <c r="DE426" s="351">
        <f>+DE429-DE428-DE427-DE425</f>
        <v>646</v>
      </c>
      <c r="DF426" s="351">
        <f>+DE426+DD426</f>
        <v>1161</v>
      </c>
      <c r="DH426" s="351">
        <f>+DH429-DH428-DH427-DH425</f>
        <v>591</v>
      </c>
      <c r="DI426" s="351">
        <f>+DI436*DI440</f>
        <v>589.84530569620256</v>
      </c>
      <c r="DJ426" s="351">
        <f>+DH426+DI426</f>
        <v>1180.8453056962026</v>
      </c>
      <c r="DL426" s="351">
        <f>+DL436*DL440</f>
        <v>598.66130506329114</v>
      </c>
      <c r="DM426" s="351">
        <f>+DM436*DM440</f>
        <v>601.64221181012658</v>
      </c>
      <c r="DN426" s="351">
        <f>+DL426+DM426</f>
        <v>1200.3035168734177</v>
      </c>
      <c r="DP426" s="351">
        <f>+DP436*DP440</f>
        <v>587.14858765822794</v>
      </c>
      <c r="DQ426" s="351">
        <f>+DQ436*DQ440</f>
        <v>590.07216927531647</v>
      </c>
      <c r="DR426" s="351">
        <f>+DP426+DQ426</f>
        <v>1177.2207569335444</v>
      </c>
      <c r="DT426" s="1"/>
      <c r="DU426" s="1"/>
      <c r="DV426" s="1"/>
      <c r="DW426" s="1"/>
      <c r="DX426" s="1"/>
      <c r="DY426" s="1"/>
      <c r="DZ426" s="1"/>
      <c r="EA426" s="1"/>
      <c r="EB426" s="1"/>
      <c r="EC426" s="1"/>
      <c r="ED426" s="1"/>
      <c r="EE426" s="1"/>
      <c r="EF426" s="1"/>
      <c r="EG426" s="1"/>
      <c r="EH426" s="1"/>
      <c r="EI426" s="1"/>
      <c r="EJ426" s="1"/>
      <c r="EK426" s="1"/>
      <c r="EL426" s="1"/>
      <c r="EM426" s="1"/>
      <c r="EN426" s="1"/>
      <c r="EO426" s="1"/>
      <c r="EP426" s="1"/>
      <c r="EQ426" s="1"/>
      <c r="ER426" s="1"/>
      <c r="ES426" s="1"/>
      <c r="ET426" s="1"/>
      <c r="EU426" s="1"/>
      <c r="EV426" s="1"/>
      <c r="EW426" s="1"/>
      <c r="EX426" s="1"/>
      <c r="EY426" s="1"/>
      <c r="EZ426" s="1"/>
      <c r="FA426" s="1"/>
      <c r="FB426" s="1"/>
      <c r="FC426" s="1"/>
      <c r="FD426" s="1"/>
      <c r="FE426" s="1"/>
      <c r="FF426" s="1"/>
      <c r="FG426" s="1"/>
      <c r="FH426" s="1"/>
      <c r="FI426" s="1"/>
      <c r="FJ426" s="1"/>
      <c r="FK426" s="1"/>
      <c r="FL426" s="1"/>
      <c r="FM426" s="1"/>
      <c r="FN426" s="1"/>
      <c r="FO426" s="1"/>
      <c r="FP426" s="1"/>
      <c r="FQ426" s="1"/>
      <c r="FR426" s="1"/>
      <c r="FS426" s="1"/>
      <c r="FT426" s="1"/>
      <c r="FU426" s="1"/>
      <c r="FV426" s="1"/>
      <c r="FW426" s="1"/>
      <c r="FX426" s="1"/>
      <c r="FY426" s="1"/>
      <c r="FZ426" s="1"/>
      <c r="GA426" s="1"/>
      <c r="GB426" s="1"/>
      <c r="GC426" s="1"/>
      <c r="GD426" s="1"/>
      <c r="GE426" s="1"/>
      <c r="GF426" s="1"/>
      <c r="GG426" s="1"/>
      <c r="GH426" s="1"/>
      <c r="GI426" s="1"/>
      <c r="GJ426" s="1"/>
      <c r="GK426" s="1"/>
      <c r="GL426" s="1"/>
      <c r="GM426" s="1"/>
      <c r="GN426" s="1"/>
      <c r="GO426" s="1"/>
      <c r="GP426" s="1"/>
      <c r="GQ426" s="1"/>
      <c r="GR426" s="1"/>
      <c r="GS426" s="1"/>
      <c r="GT426" s="1"/>
      <c r="GU426" s="1"/>
      <c r="GV426" s="1"/>
      <c r="GW426" s="1"/>
      <c r="GX426" s="1"/>
      <c r="GY426" s="1"/>
      <c r="GZ426" s="1"/>
      <c r="HA426" s="1"/>
      <c r="HB426" s="1"/>
      <c r="HC426" s="1"/>
      <c r="HD426" s="1"/>
      <c r="HE426" s="1"/>
      <c r="HF426" s="1"/>
      <c r="HG426" s="1"/>
      <c r="HH426" s="1"/>
      <c r="HI426" s="1"/>
      <c r="HJ426" s="1"/>
      <c r="HK426" s="1"/>
      <c r="HL426" s="1"/>
      <c r="HM426" s="1"/>
      <c r="HN426" s="1"/>
      <c r="HO426" s="1"/>
      <c r="HP426" s="1"/>
      <c r="HQ426" s="1"/>
      <c r="HR426" s="1"/>
      <c r="HS426" s="1"/>
      <c r="HT426" s="1"/>
      <c r="HU426" s="1"/>
      <c r="HV426" s="1"/>
      <c r="HW426" s="1"/>
      <c r="HX426" s="1"/>
      <c r="HY426" s="1"/>
      <c r="HZ426" s="1"/>
      <c r="IA426" s="1"/>
      <c r="IB426" s="1"/>
      <c r="IC426" s="1"/>
      <c r="ID426" s="1"/>
      <c r="IE426" s="1"/>
      <c r="IF426" s="1"/>
      <c r="IG426" s="1"/>
      <c r="IH426" s="1"/>
      <c r="II426" s="1"/>
      <c r="IJ426" s="1"/>
      <c r="IK426" s="1"/>
      <c r="IL426" s="1"/>
      <c r="IM426" s="1"/>
      <c r="IN426" s="1"/>
      <c r="IO426" s="1"/>
      <c r="IP426" s="1"/>
      <c r="IQ426" s="1"/>
      <c r="IR426" s="1"/>
      <c r="IS426" s="1"/>
      <c r="IT426" s="1"/>
      <c r="IU426" s="1"/>
      <c r="IV426" s="1"/>
      <c r="IW426" s="1"/>
      <c r="IX426" s="1"/>
      <c r="IY426" s="1"/>
      <c r="IZ426" s="1"/>
      <c r="JA426" s="1"/>
      <c r="JB426" s="1"/>
      <c r="JC426" s="1"/>
      <c r="JD426" s="1"/>
    </row>
    <row r="427" spans="1:264" s="347" customFormat="1" x14ac:dyDescent="0.2">
      <c r="A427" s="347" t="s">
        <v>382</v>
      </c>
      <c r="B427" s="348"/>
      <c r="BH427" s="520">
        <v>-112</v>
      </c>
      <c r="BI427" s="520">
        <v>-133</v>
      </c>
      <c r="BJ427" s="351">
        <f>+BI427+BH427</f>
        <v>-245</v>
      </c>
      <c r="BK427" s="348"/>
      <c r="BL427" s="520">
        <v>-130</v>
      </c>
      <c r="BM427" s="520">
        <v>-198</v>
      </c>
      <c r="BN427" s="351">
        <f>+BM427+BL427</f>
        <v>-328</v>
      </c>
      <c r="BO427" s="348"/>
      <c r="BP427" s="520">
        <v>-143</v>
      </c>
      <c r="BQ427" s="520">
        <v>-165</v>
      </c>
      <c r="BR427" s="351">
        <f>+BQ427+BP427</f>
        <v>-308</v>
      </c>
      <c r="BT427" s="520">
        <v>-177</v>
      </c>
      <c r="BU427" s="520">
        <v>-202</v>
      </c>
      <c r="BV427" s="351">
        <f>+BU427+BT427</f>
        <v>-379</v>
      </c>
      <c r="BX427" s="520">
        <f>-613-BX428</f>
        <v>-220</v>
      </c>
      <c r="BY427" s="398">
        <v>-172</v>
      </c>
      <c r="BZ427" s="351">
        <f>+BY427+BX427</f>
        <v>-392</v>
      </c>
      <c r="CB427" s="398">
        <v>-202</v>
      </c>
      <c r="CC427" s="398">
        <v>-351</v>
      </c>
      <c r="CD427" s="351">
        <f>+CC427+CB427</f>
        <v>-553</v>
      </c>
      <c r="CF427" s="398">
        <v>-231</v>
      </c>
      <c r="CG427" s="398">
        <v>-219</v>
      </c>
      <c r="CH427" s="351">
        <f>+CG427+CF427</f>
        <v>-450</v>
      </c>
      <c r="CI427" s="400"/>
      <c r="CJ427" s="398">
        <f>-495-CJ428</f>
        <v>-275</v>
      </c>
      <c r="CK427" s="398">
        <v>-274</v>
      </c>
      <c r="CL427" s="351">
        <f>+CK427+CJ427</f>
        <v>-549</v>
      </c>
      <c r="CN427" s="398">
        <v>-238</v>
      </c>
      <c r="CO427" s="398">
        <v>-184</v>
      </c>
      <c r="CP427" s="351">
        <f>+CO427+CN427</f>
        <v>-422</v>
      </c>
      <c r="CR427" s="398">
        <v>-160</v>
      </c>
      <c r="CS427" s="398">
        <f>-601-CS428</f>
        <v>-156</v>
      </c>
      <c r="CT427" s="351">
        <f>+CS427+CR427</f>
        <v>-316</v>
      </c>
      <c r="CU427" s="400"/>
      <c r="CV427" s="398">
        <v>-183</v>
      </c>
      <c r="CW427" s="398">
        <v>-212</v>
      </c>
      <c r="CX427" s="351">
        <f>+CW427+CV427</f>
        <v>-395</v>
      </c>
      <c r="CZ427" s="398">
        <v>-314</v>
      </c>
      <c r="DA427" s="398">
        <v>-371</v>
      </c>
      <c r="DB427" s="351">
        <f>+DA427+CZ427</f>
        <v>-685</v>
      </c>
      <c r="DD427" s="398">
        <v>-329</v>
      </c>
      <c r="DE427" s="398">
        <v>-354</v>
      </c>
      <c r="DF427" s="351">
        <f>+DE427+DD427</f>
        <v>-683</v>
      </c>
      <c r="DH427" s="398">
        <v>-358</v>
      </c>
      <c r="DI427" s="351">
        <f>+DI$425*DI431*(DI$3/DI$4)</f>
        <v>-387.2904109589042</v>
      </c>
      <c r="DJ427" s="351">
        <f>+DH427+DI427</f>
        <v>-745.2904109589042</v>
      </c>
      <c r="DL427" s="351">
        <f>+DL$425*DL431*(DL$3/DL$4)</f>
        <v>-421.78980184577347</v>
      </c>
      <c r="DM427" s="351">
        <f>+DM$425*DM431*(DM$3/DM$4)</f>
        <v>-439.03273687178347</v>
      </c>
      <c r="DN427" s="351">
        <f>+DL427+DM427</f>
        <v>-860.82253871755688</v>
      </c>
      <c r="DP427" s="351">
        <f>+DP$425*DP431*(DP$3/DP$4)</f>
        <v>-484.57366441124924</v>
      </c>
      <c r="DQ427" s="351">
        <f>+DQ$425*DQ431*(DQ$3/DQ$4)</f>
        <v>-493.84361201035222</v>
      </c>
      <c r="DR427" s="351">
        <f>+DP427+DQ427</f>
        <v>-978.4172764216014</v>
      </c>
      <c r="DT427" s="1"/>
      <c r="DU427" s="1"/>
      <c r="DV427" s="1"/>
      <c r="DW427" s="1"/>
      <c r="DX427" s="1"/>
      <c r="DY427" s="1"/>
      <c r="DZ427" s="1"/>
      <c r="EA427" s="1"/>
      <c r="EB427" s="1"/>
      <c r="EC427" s="1"/>
      <c r="ED427" s="1"/>
      <c r="EE427" s="1"/>
      <c r="EF427" s="1"/>
      <c r="EG427" s="1"/>
      <c r="EH427" s="1"/>
      <c r="EI427" s="1"/>
      <c r="EJ427" s="1"/>
      <c r="EK427" s="1"/>
      <c r="EL427" s="1"/>
      <c r="EM427" s="1"/>
      <c r="EN427" s="1"/>
      <c r="EO427" s="1"/>
      <c r="EP427" s="1"/>
      <c r="EQ427" s="1"/>
      <c r="ER427" s="1"/>
      <c r="ES427" s="1"/>
      <c r="ET427" s="1"/>
      <c r="EU427" s="1"/>
      <c r="EV427" s="1"/>
      <c r="EW427" s="1"/>
      <c r="EX427" s="1"/>
      <c r="EY427" s="1"/>
      <c r="EZ427" s="1"/>
      <c r="FA427" s="1"/>
      <c r="FB427" s="1"/>
      <c r="FC427" s="1"/>
      <c r="FD427" s="1"/>
      <c r="FE427" s="1"/>
      <c r="FF427" s="1"/>
      <c r="FG427" s="1"/>
      <c r="FH427" s="1"/>
      <c r="FI427" s="1"/>
      <c r="FJ427" s="1"/>
      <c r="FK427" s="1"/>
      <c r="FL427" s="1"/>
      <c r="FM427" s="1"/>
      <c r="FN427" s="1"/>
      <c r="FO427" s="1"/>
      <c r="FP427" s="1"/>
      <c r="FQ427" s="1"/>
      <c r="FR427" s="1"/>
      <c r="FS427" s="1"/>
      <c r="FT427" s="1"/>
      <c r="FU427" s="1"/>
      <c r="FV427" s="1"/>
      <c r="FW427" s="1"/>
      <c r="FX427" s="1"/>
      <c r="FY427" s="1"/>
      <c r="FZ427" s="1"/>
      <c r="GA427" s="1"/>
      <c r="GB427" s="1"/>
      <c r="GC427" s="1"/>
      <c r="GD427" s="1"/>
      <c r="GE427" s="1"/>
      <c r="GF427" s="1"/>
      <c r="GG427" s="1"/>
      <c r="GH427" s="1"/>
      <c r="GI427" s="1"/>
      <c r="GJ427" s="1"/>
      <c r="GK427" s="1"/>
      <c r="GL427" s="1"/>
      <c r="GM427" s="1"/>
      <c r="GN427" s="1"/>
      <c r="GO427" s="1"/>
      <c r="GP427" s="1"/>
      <c r="GQ427" s="1"/>
      <c r="GR427" s="1"/>
      <c r="GS427" s="1"/>
      <c r="GT427" s="1"/>
      <c r="GU427" s="1"/>
      <c r="GV427" s="1"/>
      <c r="GW427" s="1"/>
      <c r="GX427" s="1"/>
      <c r="GY427" s="1"/>
      <c r="GZ427" s="1"/>
      <c r="HA427" s="1"/>
      <c r="HB427" s="1"/>
      <c r="HC427" s="1"/>
      <c r="HD427" s="1"/>
      <c r="HE427" s="1"/>
      <c r="HF427" s="1"/>
      <c r="HG427" s="1"/>
      <c r="HH427" s="1"/>
      <c r="HI427" s="1"/>
      <c r="HJ427" s="1"/>
      <c r="HK427" s="1"/>
      <c r="HL427" s="1"/>
      <c r="HM427" s="1"/>
      <c r="HN427" s="1"/>
      <c r="HO427" s="1"/>
      <c r="HP427" s="1"/>
      <c r="HQ427" s="1"/>
      <c r="HR427" s="1"/>
      <c r="HS427" s="1"/>
      <c r="HT427" s="1"/>
      <c r="HU427" s="1"/>
      <c r="HV427" s="1"/>
      <c r="HW427" s="1"/>
      <c r="HX427" s="1"/>
      <c r="HY427" s="1"/>
      <c r="HZ427" s="1"/>
      <c r="IA427" s="1"/>
      <c r="IB427" s="1"/>
      <c r="IC427" s="1"/>
      <c r="ID427" s="1"/>
      <c r="IE427" s="1"/>
      <c r="IF427" s="1"/>
      <c r="IG427" s="1"/>
      <c r="IH427" s="1"/>
      <c r="II427" s="1"/>
      <c r="IJ427" s="1"/>
      <c r="IK427" s="1"/>
      <c r="IL427" s="1"/>
      <c r="IM427" s="1"/>
      <c r="IN427" s="1"/>
      <c r="IO427" s="1"/>
      <c r="IP427" s="1"/>
      <c r="IQ427" s="1"/>
      <c r="IR427" s="1"/>
      <c r="IS427" s="1"/>
      <c r="IT427" s="1"/>
      <c r="IU427" s="1"/>
      <c r="IV427" s="1"/>
      <c r="IW427" s="1"/>
      <c r="IX427" s="1"/>
      <c r="IY427" s="1"/>
      <c r="IZ427" s="1"/>
      <c r="JA427" s="1"/>
      <c r="JB427" s="1"/>
      <c r="JC427" s="1"/>
      <c r="JD427" s="1"/>
    </row>
    <row r="428" spans="1:264" s="347" customFormat="1" x14ac:dyDescent="0.2">
      <c r="A428" s="347" t="s">
        <v>383</v>
      </c>
      <c r="B428" s="408" t="s">
        <v>236</v>
      </c>
      <c r="BH428" s="520">
        <v>0</v>
      </c>
      <c r="BI428" s="520">
        <v>0</v>
      </c>
      <c r="BJ428" s="351">
        <f>+BI428+BH428</f>
        <v>0</v>
      </c>
      <c r="BK428" s="348"/>
      <c r="BL428" s="520">
        <v>-68</v>
      </c>
      <c r="BM428" s="520">
        <v>-2</v>
      </c>
      <c r="BN428" s="351">
        <f>+BM428+BL428</f>
        <v>-70</v>
      </c>
      <c r="BO428" s="348"/>
      <c r="BP428" s="520">
        <v>-10</v>
      </c>
      <c r="BQ428" s="520">
        <v>-1</v>
      </c>
      <c r="BR428" s="351">
        <f>+BQ428+BP428</f>
        <v>-11</v>
      </c>
      <c r="BT428" s="520">
        <v>-1</v>
      </c>
      <c r="BU428" s="520">
        <v>0</v>
      </c>
      <c r="BV428" s="351">
        <f>+BU428+BT428</f>
        <v>-1</v>
      </c>
      <c r="BX428" s="520">
        <v>-393</v>
      </c>
      <c r="BY428" s="520">
        <v>0</v>
      </c>
      <c r="BZ428" s="351">
        <f>+BY428+BX428</f>
        <v>-393</v>
      </c>
      <c r="CB428" s="520">
        <v>-49</v>
      </c>
      <c r="CC428" s="520">
        <v>1</v>
      </c>
      <c r="CD428" s="351">
        <f>+CC428+CB428</f>
        <v>-48</v>
      </c>
      <c r="CF428" s="520">
        <v>0</v>
      </c>
      <c r="CG428" s="520">
        <v>0</v>
      </c>
      <c r="CH428" s="351">
        <f>+CG428+CF428</f>
        <v>0</v>
      </c>
      <c r="CJ428" s="399">
        <v>-220</v>
      </c>
      <c r="CK428" s="520">
        <v>0</v>
      </c>
      <c r="CL428" s="351">
        <f>+CK428+CJ428</f>
        <v>-220</v>
      </c>
      <c r="CN428" s="399">
        <v>0</v>
      </c>
      <c r="CO428" s="520">
        <v>0</v>
      </c>
      <c r="CP428" s="351">
        <f>+CO428+CN428</f>
        <v>0</v>
      </c>
      <c r="CR428" s="399">
        <v>0</v>
      </c>
      <c r="CS428" s="520">
        <v>-445</v>
      </c>
      <c r="CT428" s="351">
        <f>+CS428+CR428</f>
        <v>-445</v>
      </c>
      <c r="CV428" s="399">
        <v>0</v>
      </c>
      <c r="CW428" s="520">
        <v>0</v>
      </c>
      <c r="CX428" s="351">
        <f>+CW428+CV428</f>
        <v>0</v>
      </c>
      <c r="CZ428" s="399">
        <v>0</v>
      </c>
      <c r="DA428" s="520">
        <v>0</v>
      </c>
      <c r="DB428" s="351">
        <f>+DA428+CZ428</f>
        <v>0</v>
      </c>
      <c r="DD428" s="399">
        <v>0</v>
      </c>
      <c r="DE428" s="520">
        <v>0</v>
      </c>
      <c r="DF428" s="351">
        <f>+DE428+DD428</f>
        <v>0</v>
      </c>
      <c r="DH428" s="399">
        <v>0</v>
      </c>
      <c r="DI428" s="351">
        <f>DI808</f>
        <v>0</v>
      </c>
      <c r="DJ428" s="351">
        <f>+DI428+DH428</f>
        <v>0</v>
      </c>
      <c r="DL428" s="351">
        <f>DL808</f>
        <v>0</v>
      </c>
      <c r="DM428" s="351">
        <f>DM808</f>
        <v>0</v>
      </c>
      <c r="DN428" s="351">
        <f>+DM428+DL428</f>
        <v>0</v>
      </c>
      <c r="DP428" s="351">
        <f>DP808</f>
        <v>0</v>
      </c>
      <c r="DQ428" s="351">
        <f>DQ808</f>
        <v>0</v>
      </c>
      <c r="DR428" s="351">
        <f>+DQ428+DP428</f>
        <v>0</v>
      </c>
      <c r="DT428" s="1"/>
      <c r="DU428" s="1"/>
      <c r="DV428" s="1"/>
      <c r="DW428" s="1"/>
      <c r="DX428" s="1"/>
      <c r="DY428" s="1"/>
      <c r="DZ428" s="1"/>
      <c r="EA428" s="1"/>
      <c r="EB428" s="1"/>
      <c r="EC428" s="1"/>
      <c r="ED428" s="1"/>
      <c r="EE428" s="1"/>
      <c r="EF428" s="1"/>
      <c r="EG428" s="1"/>
      <c r="EH428" s="1"/>
      <c r="EI428" s="1"/>
      <c r="EJ428" s="1"/>
      <c r="EK428" s="1"/>
      <c r="EL428" s="1"/>
      <c r="EM428" s="1"/>
      <c r="EN428" s="1"/>
      <c r="EO428" s="1"/>
      <c r="EP428" s="1"/>
      <c r="EQ428" s="1"/>
      <c r="ER428" s="1"/>
      <c r="ES428" s="1"/>
      <c r="ET428" s="1"/>
      <c r="EU428" s="1"/>
      <c r="EV428" s="1"/>
      <c r="EW428" s="1"/>
      <c r="EX428" s="1"/>
      <c r="EY428" s="1"/>
      <c r="EZ428" s="1"/>
      <c r="FA428" s="1"/>
      <c r="FB428" s="1"/>
      <c r="FC428" s="1"/>
      <c r="FD428" s="1"/>
      <c r="FE428" s="1"/>
      <c r="FF428" s="1"/>
      <c r="FG428" s="1"/>
      <c r="FH428" s="1"/>
      <c r="FI428" s="1"/>
      <c r="FJ428" s="1"/>
      <c r="FK428" s="1"/>
      <c r="FL428" s="1"/>
      <c r="FM428" s="1"/>
      <c r="FN428" s="1"/>
      <c r="FO428" s="1"/>
      <c r="FP428" s="1"/>
      <c r="FQ428" s="1"/>
      <c r="FR428" s="1"/>
      <c r="FS428" s="1"/>
      <c r="FT428" s="1"/>
      <c r="FU428" s="1"/>
      <c r="FV428" s="1"/>
      <c r="FW428" s="1"/>
      <c r="FX428" s="1"/>
      <c r="FY428" s="1"/>
      <c r="FZ428" s="1"/>
      <c r="GA428" s="1"/>
      <c r="GB428" s="1"/>
      <c r="GC428" s="1"/>
      <c r="GD428" s="1"/>
      <c r="GE428" s="1"/>
      <c r="GF428" s="1"/>
      <c r="GG428" s="1"/>
      <c r="GH428" s="1"/>
      <c r="GI428" s="1"/>
      <c r="GJ428" s="1"/>
      <c r="GK428" s="1"/>
      <c r="GL428" s="1"/>
      <c r="GM428" s="1"/>
      <c r="GN428" s="1"/>
      <c r="GO428" s="1"/>
      <c r="GP428" s="1"/>
      <c r="GQ428" s="1"/>
      <c r="GR428" s="1"/>
      <c r="GS428" s="1"/>
      <c r="GT428" s="1"/>
      <c r="GU428" s="1"/>
      <c r="GV428" s="1"/>
      <c r="GW428" s="1"/>
      <c r="GX428" s="1"/>
      <c r="GY428" s="1"/>
      <c r="GZ428" s="1"/>
      <c r="HA428" s="1"/>
      <c r="HB428" s="1"/>
      <c r="HC428" s="1"/>
      <c r="HD428" s="1"/>
      <c r="HE428" s="1"/>
      <c r="HF428" s="1"/>
      <c r="HG428" s="1"/>
      <c r="HH428" s="1"/>
      <c r="HI428" s="1"/>
      <c r="HJ428" s="1"/>
      <c r="HK428" s="1"/>
      <c r="HL428" s="1"/>
      <c r="HM428" s="1"/>
      <c r="HN428" s="1"/>
      <c r="HO428" s="1"/>
      <c r="HP428" s="1"/>
      <c r="HQ428" s="1"/>
      <c r="HR428" s="1"/>
      <c r="HS428" s="1"/>
      <c r="HT428" s="1"/>
      <c r="HU428" s="1"/>
      <c r="HV428" s="1"/>
      <c r="HW428" s="1"/>
      <c r="HX428" s="1"/>
      <c r="HY428" s="1"/>
      <c r="HZ428" s="1"/>
      <c r="IA428" s="1"/>
      <c r="IB428" s="1"/>
      <c r="IC428" s="1"/>
      <c r="ID428" s="1"/>
      <c r="IE428" s="1"/>
      <c r="IF428" s="1"/>
      <c r="IG428" s="1"/>
      <c r="IH428" s="1"/>
      <c r="II428" s="1"/>
      <c r="IJ428" s="1"/>
      <c r="IK428" s="1"/>
      <c r="IL428" s="1"/>
      <c r="IM428" s="1"/>
      <c r="IN428" s="1"/>
      <c r="IO428" s="1"/>
      <c r="IP428" s="1"/>
      <c r="IQ428" s="1"/>
      <c r="IR428" s="1"/>
      <c r="IS428" s="1"/>
      <c r="IT428" s="1"/>
      <c r="IU428" s="1"/>
      <c r="IV428" s="1"/>
      <c r="IW428" s="1"/>
      <c r="IX428" s="1"/>
      <c r="IY428" s="1"/>
      <c r="IZ428" s="1"/>
      <c r="JA428" s="1"/>
      <c r="JB428" s="1"/>
      <c r="JC428" s="1"/>
      <c r="JD428" s="1"/>
    </row>
    <row r="429" spans="1:264" s="347" customFormat="1" x14ac:dyDescent="0.2">
      <c r="A429" s="411" t="s">
        <v>319</v>
      </c>
      <c r="B429" s="348"/>
      <c r="BH429" s="397">
        <f>BH416</f>
        <v>1831</v>
      </c>
      <c r="BI429" s="397">
        <f>BI416</f>
        <v>1923</v>
      </c>
      <c r="BJ429" s="397">
        <f>BJ416</f>
        <v>1923</v>
      </c>
      <c r="BK429" s="423"/>
      <c r="BL429" s="397">
        <f>BL416</f>
        <v>1950</v>
      </c>
      <c r="BM429" s="397">
        <f>BM416</f>
        <v>1854</v>
      </c>
      <c r="BN429" s="397">
        <f>BN416</f>
        <v>1854</v>
      </c>
      <c r="BO429" s="423"/>
      <c r="BP429" s="397">
        <f>BP416</f>
        <v>1979</v>
      </c>
      <c r="BQ429" s="397">
        <f>BQ416</f>
        <v>2089</v>
      </c>
      <c r="BR429" s="397">
        <f>BR416</f>
        <v>2089</v>
      </c>
      <c r="BT429" s="397">
        <f>BT416</f>
        <v>2183</v>
      </c>
      <c r="BU429" s="397">
        <f>BU416</f>
        <v>2228</v>
      </c>
      <c r="BV429" s="397">
        <f>BV416</f>
        <v>2228</v>
      </c>
      <c r="BX429" s="397">
        <f>BX416</f>
        <v>1897</v>
      </c>
      <c r="BY429" s="397">
        <f>BY416</f>
        <v>1934</v>
      </c>
      <c r="BZ429" s="397">
        <f>BZ416</f>
        <v>1934</v>
      </c>
      <c r="CB429" s="397">
        <f>CB416</f>
        <v>1896</v>
      </c>
      <c r="CC429" s="397">
        <f>CC416</f>
        <v>1819</v>
      </c>
      <c r="CD429" s="397">
        <f>CD416</f>
        <v>1819</v>
      </c>
      <c r="CF429" s="397">
        <f>CF416</f>
        <v>1782</v>
      </c>
      <c r="CG429" s="397">
        <f>CG416</f>
        <v>1712</v>
      </c>
      <c r="CH429" s="397">
        <f>CH416</f>
        <v>1712</v>
      </c>
      <c r="CJ429" s="397">
        <f>CJ416</f>
        <v>1418</v>
      </c>
      <c r="CK429" s="397">
        <f>CK416</f>
        <v>1296</v>
      </c>
      <c r="CL429" s="397">
        <f>CL416</f>
        <v>1296</v>
      </c>
      <c r="CN429" s="397">
        <f>CN416</f>
        <v>1334</v>
      </c>
      <c r="CO429" s="397">
        <f>CO416</f>
        <v>1427</v>
      </c>
      <c r="CP429" s="397">
        <f>CP416</f>
        <v>1427</v>
      </c>
      <c r="CR429" s="397">
        <f>CR416</f>
        <v>1585</v>
      </c>
      <c r="CS429" s="397">
        <f>CS416</f>
        <v>1409</v>
      </c>
      <c r="CT429" s="397">
        <f>CT416</f>
        <v>1409</v>
      </c>
      <c r="CV429" s="397">
        <f>CV416</f>
        <v>1643</v>
      </c>
      <c r="CW429" s="397">
        <f>CW416</f>
        <v>1912</v>
      </c>
      <c r="CX429" s="397">
        <f>CX416</f>
        <v>1912</v>
      </c>
      <c r="CZ429" s="397">
        <f>CZ416</f>
        <v>2035</v>
      </c>
      <c r="DA429" s="397">
        <f>DA416</f>
        <v>2129</v>
      </c>
      <c r="DB429" s="397">
        <f>DB416</f>
        <v>2129</v>
      </c>
      <c r="DD429" s="397">
        <f>DD416</f>
        <v>2315</v>
      </c>
      <c r="DE429" s="397">
        <f>DE416</f>
        <v>2607</v>
      </c>
      <c r="DF429" s="397">
        <f>DF416</f>
        <v>2607</v>
      </c>
      <c r="DH429" s="397">
        <f>DH416</f>
        <v>2840</v>
      </c>
      <c r="DI429" s="397">
        <f>SUM(DI425:DI428)</f>
        <v>3042.5548947372981</v>
      </c>
      <c r="DJ429" s="397">
        <f>SUM(DJ425:DJ428)</f>
        <v>3042.5548947372981</v>
      </c>
      <c r="DL429" s="397">
        <f>SUM(DL425:DL428)</f>
        <v>3219.4263979548159</v>
      </c>
      <c r="DM429" s="397">
        <f>SUM(DM425:DM428)</f>
        <v>3382.0358728931587</v>
      </c>
      <c r="DN429" s="397">
        <f>SUM(DN425:DN428)</f>
        <v>3382.0358728931587</v>
      </c>
      <c r="DP429" s="397">
        <f>SUM(DP425:DP428)</f>
        <v>3484.6107961401372</v>
      </c>
      <c r="DQ429" s="397">
        <f>SUM(DQ425:DQ428)</f>
        <v>3580.8393534051011</v>
      </c>
      <c r="DR429" s="397">
        <f>SUM(DR425:DR428)</f>
        <v>3580.8393534051015</v>
      </c>
      <c r="DT429" s="1"/>
      <c r="DU429" s="1"/>
      <c r="DV429" s="1"/>
      <c r="DW429" s="1"/>
      <c r="DX429" s="1"/>
      <c r="DY429" s="1"/>
      <c r="DZ429" s="1"/>
      <c r="EA429" s="1"/>
      <c r="EB429" s="1"/>
      <c r="EC429" s="1"/>
      <c r="ED429" s="1"/>
      <c r="EE429" s="1"/>
      <c r="EF429" s="1"/>
      <c r="EG429" s="1"/>
      <c r="EH429" s="1"/>
      <c r="EI429" s="1"/>
      <c r="EJ429" s="1"/>
      <c r="EK429" s="1"/>
      <c r="EL429" s="1"/>
      <c r="EM429" s="1"/>
      <c r="EN429" s="1"/>
      <c r="EO429" s="1"/>
      <c r="EP429" s="1"/>
      <c r="EQ429" s="1"/>
      <c r="ER429" s="1"/>
      <c r="ES429" s="1"/>
      <c r="ET429" s="1"/>
      <c r="EU429" s="1"/>
      <c r="EV429" s="1"/>
      <c r="EW429" s="1"/>
      <c r="EX429" s="1"/>
      <c r="EY429" s="1"/>
      <c r="EZ429" s="1"/>
      <c r="FA429" s="1"/>
      <c r="FB429" s="1"/>
      <c r="FC429" s="1"/>
      <c r="FD429" s="1"/>
      <c r="FE429" s="1"/>
      <c r="FF429" s="1"/>
      <c r="FG429" s="1"/>
      <c r="FH429" s="1"/>
      <c r="FI429" s="1"/>
      <c r="FJ429" s="1"/>
      <c r="FK429" s="1"/>
      <c r="FL429" s="1"/>
      <c r="FM429" s="1"/>
      <c r="FN429" s="1"/>
      <c r="FO429" s="1"/>
      <c r="FP429" s="1"/>
      <c r="FQ429" s="1"/>
      <c r="FR429" s="1"/>
      <c r="FS429" s="1"/>
      <c r="FT429" s="1"/>
      <c r="FU429" s="1"/>
      <c r="FV429" s="1"/>
      <c r="FW429" s="1"/>
      <c r="FX429" s="1"/>
      <c r="FY429" s="1"/>
      <c r="FZ429" s="1"/>
      <c r="GA429" s="1"/>
      <c r="GB429" s="1"/>
      <c r="GC429" s="1"/>
      <c r="GD429" s="1"/>
      <c r="GE429" s="1"/>
      <c r="GF429" s="1"/>
      <c r="GG429" s="1"/>
      <c r="GH429" s="1"/>
      <c r="GI429" s="1"/>
      <c r="GJ429" s="1"/>
      <c r="GK429" s="1"/>
      <c r="GL429" s="1"/>
      <c r="GM429" s="1"/>
      <c r="GN429" s="1"/>
      <c r="GO429" s="1"/>
      <c r="GP429" s="1"/>
      <c r="GQ429" s="1"/>
      <c r="GR429" s="1"/>
      <c r="GS429" s="1"/>
      <c r="GT429" s="1"/>
      <c r="GU429" s="1"/>
      <c r="GV429" s="1"/>
      <c r="GW429" s="1"/>
      <c r="GX429" s="1"/>
      <c r="GY429" s="1"/>
      <c r="GZ429" s="1"/>
      <c r="HA429" s="1"/>
      <c r="HB429" s="1"/>
      <c r="HC429" s="1"/>
      <c r="HD429" s="1"/>
      <c r="HE429" s="1"/>
      <c r="HF429" s="1"/>
      <c r="HG429" s="1"/>
      <c r="HH429" s="1"/>
      <c r="HI429" s="1"/>
      <c r="HJ429" s="1"/>
      <c r="HK429" s="1"/>
      <c r="HL429" s="1"/>
      <c r="HM429" s="1"/>
      <c r="HN429" s="1"/>
      <c r="HO429" s="1"/>
      <c r="HP429" s="1"/>
      <c r="HQ429" s="1"/>
      <c r="HR429" s="1"/>
      <c r="HS429" s="1"/>
      <c r="HT429" s="1"/>
      <c r="HU429" s="1"/>
      <c r="HV429" s="1"/>
      <c r="HW429" s="1"/>
      <c r="HX429" s="1"/>
      <c r="HY429" s="1"/>
      <c r="HZ429" s="1"/>
      <c r="IA429" s="1"/>
      <c r="IB429" s="1"/>
      <c r="IC429" s="1"/>
      <c r="ID429" s="1"/>
      <c r="IE429" s="1"/>
      <c r="IF429" s="1"/>
      <c r="IG429" s="1"/>
      <c r="IH429" s="1"/>
      <c r="II429" s="1"/>
      <c r="IJ429" s="1"/>
      <c r="IK429" s="1"/>
      <c r="IL429" s="1"/>
      <c r="IM429" s="1"/>
      <c r="IN429" s="1"/>
      <c r="IO429" s="1"/>
      <c r="IP429" s="1"/>
      <c r="IQ429" s="1"/>
      <c r="IR429" s="1"/>
      <c r="IS429" s="1"/>
      <c r="IT429" s="1"/>
      <c r="IU429" s="1"/>
      <c r="IV429" s="1"/>
      <c r="IW429" s="1"/>
      <c r="IX429" s="1"/>
      <c r="IY429" s="1"/>
      <c r="IZ429" s="1"/>
      <c r="JA429" s="1"/>
      <c r="JB429" s="1"/>
      <c r="JC429" s="1"/>
      <c r="JD429" s="1"/>
    </row>
    <row r="430" spans="1:264" s="411" customFormat="1" x14ac:dyDescent="0.2">
      <c r="A430" s="429" t="s">
        <v>384</v>
      </c>
      <c r="B430" s="408" t="s">
        <v>236</v>
      </c>
      <c r="BH430" s="394">
        <f>BH426*(BH$4/BH$3)/BH425</f>
        <v>0.28355179028132993</v>
      </c>
      <c r="BI430" s="394">
        <f>BI426*(BI$4/BI$3)/BI425</f>
        <v>0.24780408616491306</v>
      </c>
      <c r="BJ430" s="394">
        <f>BJ426*(BJ$4/BJ$3)/BJ425</f>
        <v>0.2752941176470588</v>
      </c>
      <c r="BK430" s="348"/>
      <c r="BL430" s="394">
        <f>BL426*(BL$4/BL$3)/BL425</f>
        <v>0.23210167537136267</v>
      </c>
      <c r="BM430" s="394">
        <f>BM426*(BM$4/BM$3)/BM425</f>
        <v>0.10755064456721916</v>
      </c>
      <c r="BN430" s="394">
        <f>BN426*(BN$4/BN$3)/BN425</f>
        <v>0.17108684347373895</v>
      </c>
      <c r="BO430" s="423"/>
      <c r="BP430" s="394">
        <f>BP426*(BP$4/BP$3)/BP425</f>
        <v>0.29744735237559217</v>
      </c>
      <c r="BQ430" s="394">
        <f>BQ426*(BQ$4/BQ$3)/BQ425</f>
        <v>0.28124031613711931</v>
      </c>
      <c r="BR430" s="394">
        <f>BR426*(BR$4/BR$3)/BR425</f>
        <v>0.29881337648327938</v>
      </c>
      <c r="BT430" s="394">
        <f>BT426*(BT$4/BT$3)/BT425</f>
        <v>0.25899639935896102</v>
      </c>
      <c r="BU430" s="394">
        <f>BU426*(BU$4/BU$3)/BU425</f>
        <v>0.22753746482560042</v>
      </c>
      <c r="BV430" s="394">
        <f>BV426*(BV$4/BV$3)/BV425</f>
        <v>0.24844423168980373</v>
      </c>
      <c r="BX430" s="394">
        <f>BX426*(BX$4/BX$3)/BX425</f>
        <v>0.25107817500585433</v>
      </c>
      <c r="BY430" s="394">
        <f>BY426*(BY$4/BY$3)/BY425</f>
        <v>0.22217400548117558</v>
      </c>
      <c r="BZ430" s="394">
        <f>BZ426*(BZ$4/BZ$3)/BZ425</f>
        <v>0.22037701974865351</v>
      </c>
      <c r="CB430" s="394">
        <f>CB426*(CB$4/CB$3)/CB425</f>
        <v>0.21847320264376602</v>
      </c>
      <c r="CC430" s="394">
        <f>CC426*(CC$4/CC$3)/CC425</f>
        <v>0.29036121407091409</v>
      </c>
      <c r="CD430" s="394">
        <f>CD426*(CD$4/CD$3)/CD425</f>
        <v>0.25129265770423992</v>
      </c>
      <c r="CF430" s="394">
        <f>CF426*(CF$4/CF$3)/CF425</f>
        <v>0.21156512178215456</v>
      </c>
      <c r="CG430" s="394">
        <f>CG426*(CG$4/CG$3)/CG425</f>
        <v>0.16861369992125055</v>
      </c>
      <c r="CH430" s="394">
        <f>CH426*(CH$4/CH$3)/CH425</f>
        <v>0.18856514568444199</v>
      </c>
      <c r="CJ430" s="394">
        <f>CJ426*(CJ$4/CJ$3)/CJ425</f>
        <v>0.23353692604632262</v>
      </c>
      <c r="CK430" s="394">
        <f>CK426*(CK$4/CK$3)/CK425</f>
        <v>0.21556440738387142</v>
      </c>
      <c r="CL430" s="394">
        <f>CL426*(CL$4/CL$3)/CL425</f>
        <v>0.20619158878504673</v>
      </c>
      <c r="CN430" s="394">
        <f>CN426*(CN$4/CN$3)/CN425</f>
        <v>0.42245370370370372</v>
      </c>
      <c r="CO430" s="394">
        <f>CO426*(CO$4/CO$3)/CO425</f>
        <v>0.41873400316416381</v>
      </c>
      <c r="CP430" s="394">
        <f>CP426*(CP$4/CP$3)/CP425</f>
        <v>0.42669753086419754</v>
      </c>
      <c r="CR430" s="394">
        <f>CR426*(CR$4/CR$3)/CR425</f>
        <v>0.44205691478017123</v>
      </c>
      <c r="CS430" s="394">
        <f>CS426*(CS$4/CS$3)/CS425</f>
        <v>0.54072189204733601</v>
      </c>
      <c r="CT430" s="394">
        <f>CT426*(CT$4/CT$3)/CT425</f>
        <v>0.52067274001401542</v>
      </c>
      <c r="CV430" s="394">
        <f>CV426*(CV$4/CV$3)/CV425</f>
        <v>0.58708380905359958</v>
      </c>
      <c r="CW430" s="394">
        <f>CW426*(CW$4/CW$3)/CW425</f>
        <v>0.59036663158284097</v>
      </c>
      <c r="CX430" s="394">
        <f>CX426*(CX$4/CX$3)/CX425</f>
        <v>0.6373314407381121</v>
      </c>
      <c r="CZ430" s="394">
        <f>CZ426*(CZ$4/CZ$3)/CZ425</f>
        <v>0.45462866108786609</v>
      </c>
      <c r="DA430" s="394">
        <f>DA426*(DA$4/DA$3)/DA425</f>
        <v>0.45951345951345951</v>
      </c>
      <c r="DB430" s="394">
        <f>DB426*(DB$4/DB$3)/DB425</f>
        <v>0.47175732217573224</v>
      </c>
      <c r="DD430" s="394">
        <f>DD426*(DD$4/DD$3)/DD425</f>
        <v>0.47985122633610394</v>
      </c>
      <c r="DE430" s="394">
        <f>DE426*(DE$4/DE$3)/DE425</f>
        <v>0.56272448480364667</v>
      </c>
      <c r="DF430" s="394">
        <f>DF426*(DF$4/DF$3)/DF425</f>
        <v>0.54532644434006572</v>
      </c>
      <c r="DH430" s="394">
        <f>DH426*(DH$4/DH$3)/DH425</f>
        <v>0.44969855406013914</v>
      </c>
      <c r="DI430" s="394">
        <f>DI426*(DI$4/DI$3)/DI425</f>
        <v>0.41882642708566248</v>
      </c>
      <c r="DJ430" s="394">
        <f>DJ426*(DJ$4/DJ$3)/DJ425</f>
        <v>0.45295178584434315</v>
      </c>
      <c r="DL430" s="394">
        <f>DL426*(DL$4/DL$3)/DL425</f>
        <v>0.39031730537810011</v>
      </c>
      <c r="DM430" s="394">
        <f>DM426*(DM$4/DM$3)/DM425</f>
        <v>0.37685483188945851</v>
      </c>
      <c r="DN430" s="394">
        <f>DN426*(DN$4/DN$3)/DN425</f>
        <v>0.39450513085222572</v>
      </c>
      <c r="DP430" s="394">
        <f>DP426*(DP$4/DP$3)/DP425</f>
        <v>0.34532901759303747</v>
      </c>
      <c r="DQ430" s="394">
        <f>DQ426*(DQ$4/DQ$3)/DQ425</f>
        <v>0.3405340560321754</v>
      </c>
      <c r="DR430" s="394">
        <f>DR426*(DR$4/DR$3)/DR425</f>
        <v>0.3480805057004</v>
      </c>
      <c r="DT430" s="1"/>
      <c r="DU430" s="1"/>
      <c r="DV430" s="1"/>
      <c r="DW430" s="1"/>
      <c r="DX430" s="1"/>
      <c r="DY430" s="1"/>
      <c r="DZ430" s="1"/>
      <c r="EA430" s="1"/>
      <c r="EB430" s="1"/>
      <c r="EC430" s="1"/>
      <c r="ED430" s="1"/>
      <c r="EE430" s="1"/>
      <c r="EF430" s="1"/>
      <c r="EG430" s="1"/>
      <c r="EH430" s="1"/>
      <c r="EI430" s="1"/>
      <c r="EJ430" s="1"/>
      <c r="EK430" s="1"/>
      <c r="EL430" s="1"/>
      <c r="EM430" s="1"/>
      <c r="EN430" s="1"/>
      <c r="EO430" s="1"/>
      <c r="EP430" s="1"/>
      <c r="EQ430" s="1"/>
      <c r="ER430" s="1"/>
      <c r="ES430" s="1"/>
      <c r="ET430" s="1"/>
      <c r="EU430" s="1"/>
      <c r="EV430" s="1"/>
      <c r="EW430" s="1"/>
      <c r="EX430" s="1"/>
      <c r="EY430" s="1"/>
      <c r="EZ430" s="1"/>
      <c r="FA430" s="1"/>
      <c r="FB430" s="1"/>
      <c r="FC430" s="1"/>
      <c r="FD430" s="1"/>
      <c r="FE430" s="1"/>
      <c r="FF430" s="1"/>
      <c r="FG430" s="1"/>
      <c r="FH430" s="1"/>
      <c r="FI430" s="1"/>
      <c r="FJ430" s="1"/>
      <c r="FK430" s="1"/>
      <c r="FL430" s="1"/>
      <c r="FM430" s="1"/>
      <c r="FN430" s="1"/>
      <c r="FO430" s="1"/>
      <c r="FP430" s="1"/>
      <c r="FQ430" s="1"/>
      <c r="FR430" s="1"/>
      <c r="FS430" s="1"/>
      <c r="FT430" s="1"/>
      <c r="FU430" s="1"/>
      <c r="FV430" s="1"/>
      <c r="FW430" s="1"/>
      <c r="FX430" s="1"/>
      <c r="FY430" s="1"/>
      <c r="FZ430" s="1"/>
      <c r="GA430" s="1"/>
      <c r="GB430" s="1"/>
      <c r="GC430" s="1"/>
      <c r="GD430" s="1"/>
      <c r="GE430" s="1"/>
      <c r="GF430" s="1"/>
      <c r="GG430" s="1"/>
      <c r="GH430" s="1"/>
      <c r="GI430" s="1"/>
      <c r="GJ430" s="1"/>
      <c r="GK430" s="1"/>
      <c r="GL430" s="1"/>
      <c r="GM430" s="1"/>
      <c r="GN430" s="1"/>
      <c r="GO430" s="1"/>
      <c r="GP430" s="1"/>
      <c r="GQ430" s="1"/>
      <c r="GR430" s="1"/>
      <c r="GS430" s="1"/>
      <c r="GT430" s="1"/>
      <c r="GU430" s="1"/>
      <c r="GV430" s="1"/>
      <c r="GW430" s="1"/>
      <c r="GX430" s="1"/>
      <c r="GY430" s="1"/>
      <c r="GZ430" s="1"/>
      <c r="HA430" s="1"/>
      <c r="HB430" s="1"/>
      <c r="HC430" s="1"/>
      <c r="HD430" s="1"/>
      <c r="HE430" s="1"/>
      <c r="HF430" s="1"/>
      <c r="HG430" s="1"/>
      <c r="HH430" s="1"/>
      <c r="HI430" s="1"/>
      <c r="HJ430" s="1"/>
      <c r="HK430" s="1"/>
      <c r="HL430" s="1"/>
      <c r="HM430" s="1"/>
      <c r="HN430" s="1"/>
      <c r="HO430" s="1"/>
      <c r="HP430" s="1"/>
      <c r="HQ430" s="1"/>
      <c r="HR430" s="1"/>
      <c r="HS430" s="1"/>
      <c r="HT430" s="1"/>
      <c r="HU430" s="1"/>
      <c r="HV430" s="1"/>
      <c r="HW430" s="1"/>
      <c r="HX430" s="1"/>
      <c r="HY430" s="1"/>
      <c r="HZ430" s="1"/>
      <c r="IA430" s="1"/>
      <c r="IB430" s="1"/>
      <c r="IC430" s="1"/>
      <c r="ID430" s="1"/>
      <c r="IE430" s="1"/>
      <c r="IF430" s="1"/>
      <c r="IG430" s="1"/>
      <c r="IH430" s="1"/>
      <c r="II430" s="1"/>
      <c r="IJ430" s="1"/>
      <c r="IK430" s="1"/>
      <c r="IL430" s="1"/>
      <c r="IM430" s="1"/>
      <c r="IN430" s="1"/>
      <c r="IO430" s="1"/>
      <c r="IP430" s="1"/>
      <c r="IQ430" s="1"/>
      <c r="IR430" s="1"/>
      <c r="IS430" s="1"/>
      <c r="IT430" s="1"/>
      <c r="IU430" s="1"/>
      <c r="IV430" s="1"/>
      <c r="IW430" s="1"/>
      <c r="IX430" s="1"/>
      <c r="IY430" s="1"/>
      <c r="IZ430" s="1"/>
      <c r="JA430" s="1"/>
      <c r="JB430" s="1"/>
      <c r="JC430" s="1"/>
      <c r="JD430" s="1"/>
    </row>
    <row r="431" spans="1:264" s="411" customFormat="1" x14ac:dyDescent="0.2">
      <c r="A431" s="436" t="s">
        <v>385</v>
      </c>
      <c r="B431" s="437" t="s">
        <v>236</v>
      </c>
      <c r="C431" s="521"/>
      <c r="D431" s="521"/>
      <c r="E431" s="521"/>
      <c r="F431" s="521"/>
      <c r="G431" s="521"/>
      <c r="H431" s="521"/>
      <c r="I431" s="521"/>
      <c r="J431" s="521"/>
      <c r="K431" s="521"/>
      <c r="L431" s="521"/>
      <c r="M431" s="521"/>
      <c r="N431" s="521"/>
      <c r="O431" s="521"/>
      <c r="P431" s="521"/>
      <c r="Q431" s="521"/>
      <c r="R431" s="521"/>
      <c r="S431" s="521"/>
      <c r="T431" s="521"/>
      <c r="U431" s="521"/>
      <c r="V431" s="521"/>
      <c r="W431" s="521"/>
      <c r="X431" s="521"/>
      <c r="Y431" s="521"/>
      <c r="Z431" s="521"/>
      <c r="AA431" s="521"/>
      <c r="AB431" s="521"/>
      <c r="AC431" s="521"/>
      <c r="AD431" s="521"/>
      <c r="AE431" s="521"/>
      <c r="AF431" s="521"/>
      <c r="AG431" s="521"/>
      <c r="AH431" s="521"/>
      <c r="AI431" s="521"/>
      <c r="AJ431" s="521"/>
      <c r="AK431" s="521"/>
      <c r="AL431" s="521"/>
      <c r="AM431" s="521"/>
      <c r="AN431" s="521"/>
      <c r="AO431" s="521"/>
      <c r="AP431" s="521"/>
      <c r="AQ431" s="521"/>
      <c r="AR431" s="521"/>
      <c r="AS431" s="521"/>
      <c r="AT431" s="521"/>
      <c r="AU431" s="521"/>
      <c r="AV431" s="521"/>
      <c r="AW431" s="521"/>
      <c r="AX431" s="521"/>
      <c r="AY431" s="521"/>
      <c r="AZ431" s="521"/>
      <c r="BA431" s="521"/>
      <c r="BB431" s="521"/>
      <c r="BC431" s="521"/>
      <c r="BD431" s="521"/>
      <c r="BE431" s="521"/>
      <c r="BF431" s="521"/>
      <c r="BG431" s="521"/>
      <c r="BH431" s="465">
        <f>BH427*(BH$4/BH$3)/BH425</f>
        <v>-0.13069053708439898</v>
      </c>
      <c r="BI431" s="465">
        <f>BI427*(BI$4/BI$3)/BI425</f>
        <v>-0.14647974871081529</v>
      </c>
      <c r="BJ431" s="465">
        <f>BJ427*(BJ$4/BJ$3)/BJ425</f>
        <v>-0.14411764705882352</v>
      </c>
      <c r="BK431" s="466"/>
      <c r="BL431" s="465">
        <f>BL427*(BL$4/BL$3)/BL425</f>
        <v>-0.1341031902145651</v>
      </c>
      <c r="BM431" s="465">
        <f>BM427*(BM$4/BM$3)/BM425</f>
        <v>-0.20475988100297493</v>
      </c>
      <c r="BN431" s="465">
        <f>BN427*(BN$4/BN$3)/BN425</f>
        <v>-0.1705668226729069</v>
      </c>
      <c r="BO431" s="522"/>
      <c r="BP431" s="465">
        <f>BP427*(BP$4/BP$3)/BP425</f>
        <v>-0.15300349420758877</v>
      </c>
      <c r="BQ431" s="465">
        <f>BQ427*(BQ$4/BQ$3)/BQ425</f>
        <v>-0.16813279769066916</v>
      </c>
      <c r="BR431" s="465">
        <f>BR427*(BR$4/BR$3)/BR425</f>
        <v>-0.16612729234088458</v>
      </c>
      <c r="BS431" s="521"/>
      <c r="BT431" s="465">
        <f>BT427*(BT$4/BT$3)/BT425</f>
        <v>-0.16853809811226508</v>
      </c>
      <c r="BU431" s="465">
        <f>BU427*(BU$4/BU$3)/BU425</f>
        <v>-0.18608327082903353</v>
      </c>
      <c r="BV431" s="465">
        <f>BV427*(BV$4/BV$3)/BV425</f>
        <v>-0.18142651986596459</v>
      </c>
      <c r="BW431" s="521"/>
      <c r="BX431" s="465">
        <f>BX427*(BX$4/BX$3)/BX425</f>
        <v>-0.19587659043009914</v>
      </c>
      <c r="BY431" s="465">
        <f>BY427*(BY$4/BY$3)/BY425</f>
        <v>-0.18284176527637416</v>
      </c>
      <c r="BZ431" s="465">
        <f>BZ427*(BZ$4/BZ$3)/BZ425</f>
        <v>-0.17594254937163376</v>
      </c>
      <c r="CA431" s="521"/>
      <c r="CB431" s="465">
        <f>CB427*(CB$4/CB$3)/CB425</f>
        <v>-0.20719054898610675</v>
      </c>
      <c r="CC431" s="465">
        <f>CC427*(CC$4/CC$3)/CC425</f>
        <v>-0.37332156094831803</v>
      </c>
      <c r="CD431" s="465">
        <f>CD427*(CD$4/CD$3)/CD425</f>
        <v>-0.28593588417786969</v>
      </c>
      <c r="CE431" s="521"/>
      <c r="CF431" s="465">
        <f>CF427*(CF$4/CF$3)/CF425</f>
        <v>-0.25191517078184383</v>
      </c>
      <c r="CG431" s="465">
        <f>CG427*(CG$4/CG$3)/CG425</f>
        <v>-0.24782818981714008</v>
      </c>
      <c r="CH431" s="465">
        <f>CH427*(CH$4/CH$3)/CH425</f>
        <v>-0.24738867509620671</v>
      </c>
      <c r="CI431" s="521"/>
      <c r="CJ431" s="465">
        <f>CJ427*(CJ$4/CJ$3)/CJ425</f>
        <v>-0.31951569483949616</v>
      </c>
      <c r="CK431" s="465">
        <f>CK427*(CK$4/CK$3)/CK425</f>
        <v>-0.38858320804724189</v>
      </c>
      <c r="CL431" s="465">
        <f>CL427*(CL$4/CL$3)/CL425</f>
        <v>-0.32067757009345793</v>
      </c>
      <c r="CM431" s="521"/>
      <c r="CN431" s="465">
        <f>CN427*(CN$4/CN$3)/CN425</f>
        <v>-0.36428978797638217</v>
      </c>
      <c r="CO431" s="465">
        <f>CO427*(CO$4/CO$3)/CO425</f>
        <v>-0.2781482187083254</v>
      </c>
      <c r="CP431" s="465">
        <f>CP427*(CP$4/CP$3)/CP425</f>
        <v>-0.32561728395061729</v>
      </c>
      <c r="CQ431" s="521"/>
      <c r="CR431" s="465">
        <f>CR427*(CR$4/CR$3)/CR425</f>
        <v>-0.22241857347430002</v>
      </c>
      <c r="CS431" s="465">
        <f>CS427*(CS$4/CS$3)/CS425</f>
        <v>-0.19847674155149278</v>
      </c>
      <c r="CT431" s="465">
        <f>CT427*(CT$4/CT$3)/CT425</f>
        <v>-0.2214435879467414</v>
      </c>
      <c r="CU431" s="521"/>
      <c r="CV431" s="465">
        <f>CV427*(CV$4/CV$3)/CV425</f>
        <v>-0.25764109605949337</v>
      </c>
      <c r="CW431" s="465">
        <f>CW427*(CW$4/CW$3)/CW425</f>
        <v>-0.26020317234004636</v>
      </c>
      <c r="CX431" s="465">
        <f>CX427*(CX$4/CX$3)/CX425</f>
        <v>-0.28034066713981548</v>
      </c>
      <c r="CY431" s="521"/>
      <c r="CZ431" s="465">
        <f>CZ427*(CZ$4/CZ$3)/CZ425</f>
        <v>-0.32666681826450789</v>
      </c>
      <c r="DA431" s="465">
        <f>DA427*(DA$4/DA$3)/DA425</f>
        <v>-0.36662256662256665</v>
      </c>
      <c r="DB431" s="465">
        <f>DB427*(DB$4/DB$3)/DB425</f>
        <v>-0.35826359832635984</v>
      </c>
      <c r="DC431" s="521"/>
      <c r="DD431" s="465">
        <f>DD427*(DD$4/DD$3)/DD425</f>
        <v>-0.30654573488267606</v>
      </c>
      <c r="DE431" s="465">
        <f>DE427*(DE$4/DE$3)/DE425</f>
        <v>-0.30836604894812836</v>
      </c>
      <c r="DF431" s="465">
        <f>DF427*(DF$4/DF$3)/DF425</f>
        <v>-0.32080789102865193</v>
      </c>
      <c r="DG431" s="521"/>
      <c r="DH431" s="465">
        <f>DH427*(DH$4/DH$3)/DH425</f>
        <v>-0.2724062307166325</v>
      </c>
      <c r="DI431" s="474">
        <v>-0.27500000000000002</v>
      </c>
      <c r="DJ431" s="478">
        <f>DJ427*(DJ$4/DJ$3)/DJ425</f>
        <v>-0.28588047984614662</v>
      </c>
      <c r="DK431" s="526"/>
      <c r="DL431" s="474">
        <v>-0.27500000000000002</v>
      </c>
      <c r="DM431" s="474">
        <v>-0.27500000000000002</v>
      </c>
      <c r="DN431" s="478">
        <f>DN427*(DN$4/DN$3)/DN425</f>
        <v>-0.28292752916521574</v>
      </c>
      <c r="DO431" s="526"/>
      <c r="DP431" s="474">
        <v>-0.28499999999999998</v>
      </c>
      <c r="DQ431" s="474">
        <v>-0.28499999999999998</v>
      </c>
      <c r="DR431" s="478">
        <f>DR427*(DR$4/DR$3)/DR425</f>
        <v>-0.2892983141496413</v>
      </c>
      <c r="DS431" s="526"/>
      <c r="DT431" s="1"/>
      <c r="DU431" s="1"/>
      <c r="DV431" s="1"/>
      <c r="DW431" s="1"/>
      <c r="DX431" s="1"/>
      <c r="DY431" s="1"/>
      <c r="DZ431" s="1"/>
      <c r="EA431" s="1"/>
      <c r="EB431" s="1"/>
      <c r="EC431" s="1"/>
      <c r="ED431" s="1"/>
      <c r="EE431" s="1"/>
      <c r="EF431" s="1"/>
      <c r="EG431" s="1"/>
      <c r="EH431" s="1"/>
      <c r="EI431" s="1"/>
      <c r="EJ431" s="1"/>
      <c r="EK431" s="1"/>
      <c r="EL431" s="1"/>
      <c r="EM431" s="1"/>
      <c r="EN431" s="1"/>
      <c r="EO431" s="1"/>
      <c r="EP431" s="1"/>
      <c r="EQ431" s="1"/>
      <c r="ER431" s="1"/>
      <c r="ES431" s="1"/>
      <c r="ET431" s="1"/>
      <c r="EU431" s="1"/>
      <c r="EV431" s="1"/>
      <c r="EW431" s="1"/>
      <c r="EX431" s="1"/>
      <c r="EY431" s="1"/>
      <c r="EZ431" s="1"/>
      <c r="FA431" s="1"/>
      <c r="FB431" s="1"/>
      <c r="FC431" s="1"/>
      <c r="FD431" s="1"/>
      <c r="FE431" s="1"/>
      <c r="FF431" s="1"/>
      <c r="FG431" s="1"/>
      <c r="FH431" s="1"/>
      <c r="FI431" s="1"/>
      <c r="FJ431" s="1"/>
      <c r="FK431" s="1"/>
      <c r="FL431" s="1"/>
      <c r="FM431" s="1"/>
      <c r="FN431" s="1"/>
      <c r="FO431" s="1"/>
      <c r="FP431" s="1"/>
      <c r="FQ431" s="1"/>
      <c r="FR431" s="1"/>
      <c r="FS431" s="1"/>
      <c r="FT431" s="1"/>
      <c r="FU431" s="1"/>
      <c r="FV431" s="1"/>
      <c r="FW431" s="1"/>
      <c r="FX431" s="1"/>
      <c r="FY431" s="1"/>
      <c r="FZ431" s="1"/>
      <c r="GA431" s="1"/>
      <c r="GB431" s="1"/>
      <c r="GC431" s="1"/>
      <c r="GD431" s="1"/>
      <c r="GE431" s="1"/>
      <c r="GF431" s="1"/>
      <c r="GG431" s="1"/>
      <c r="GH431" s="1"/>
      <c r="GI431" s="1"/>
      <c r="GJ431" s="1"/>
      <c r="GK431" s="1"/>
      <c r="GL431" s="1"/>
      <c r="GM431" s="1"/>
      <c r="GN431" s="1"/>
      <c r="GO431" s="1"/>
      <c r="GP431" s="1"/>
      <c r="GQ431" s="1"/>
      <c r="GR431" s="1"/>
      <c r="GS431" s="1"/>
      <c r="GT431" s="1"/>
      <c r="GU431" s="1"/>
      <c r="GV431" s="1"/>
      <c r="GW431" s="1"/>
      <c r="GX431" s="1"/>
      <c r="GY431" s="1"/>
      <c r="GZ431" s="1"/>
      <c r="HA431" s="1"/>
      <c r="HB431" s="1"/>
      <c r="HC431" s="1"/>
      <c r="HD431" s="1"/>
      <c r="HE431" s="1"/>
      <c r="HF431" s="1"/>
      <c r="HG431" s="1"/>
      <c r="HH431" s="1"/>
      <c r="HI431" s="1"/>
      <c r="HJ431" s="1"/>
      <c r="HK431" s="1"/>
      <c r="HL431" s="1"/>
      <c r="HM431" s="1"/>
      <c r="HN431" s="1"/>
      <c r="HO431" s="1"/>
      <c r="HP431" s="1"/>
      <c r="HQ431" s="1"/>
      <c r="HR431" s="1"/>
      <c r="HS431" s="1"/>
      <c r="HT431" s="1"/>
      <c r="HU431" s="1"/>
      <c r="HV431" s="1"/>
      <c r="HW431" s="1"/>
      <c r="HX431" s="1"/>
      <c r="HY431" s="1"/>
      <c r="HZ431" s="1"/>
      <c r="IA431" s="1"/>
      <c r="IB431" s="1"/>
      <c r="IC431" s="1"/>
      <c r="ID431" s="1"/>
      <c r="IE431" s="1"/>
      <c r="IF431" s="1"/>
      <c r="IG431" s="1"/>
      <c r="IH431" s="1"/>
      <c r="II431" s="1"/>
      <c r="IJ431" s="1"/>
      <c r="IK431" s="1"/>
      <c r="IL431" s="1"/>
      <c r="IM431" s="1"/>
      <c r="IN431" s="1"/>
      <c r="IO431" s="1"/>
      <c r="IP431" s="1"/>
      <c r="IQ431" s="1"/>
      <c r="IR431" s="1"/>
      <c r="IS431" s="1"/>
      <c r="IT431" s="1"/>
      <c r="IU431" s="1"/>
      <c r="IV431" s="1"/>
      <c r="IW431" s="1"/>
      <c r="IX431" s="1"/>
      <c r="IY431" s="1"/>
      <c r="IZ431" s="1"/>
      <c r="JA431" s="1"/>
      <c r="JB431" s="1"/>
      <c r="JC431" s="1"/>
      <c r="JD431" s="1"/>
    </row>
    <row r="432" spans="1:264" s="411" customFormat="1" x14ac:dyDescent="0.2">
      <c r="A432" s="429" t="s">
        <v>386</v>
      </c>
      <c r="B432" s="423"/>
      <c r="BH432" s="397"/>
      <c r="BI432" s="394">
        <f>+BI416/BH416-1</f>
        <v>5.0245767340251213E-2</v>
      </c>
      <c r="BJ432" s="397"/>
      <c r="BK432" s="348"/>
      <c r="BL432" s="394">
        <f>+BL416/BI416-1</f>
        <v>1.4040561622464809E-2</v>
      </c>
      <c r="BM432" s="394">
        <f>+BM416/BL416-1</f>
        <v>-4.9230769230769189E-2</v>
      </c>
      <c r="BN432" s="397"/>
      <c r="BO432" s="423"/>
      <c r="BP432" s="394">
        <f>+BP416/BM416-1</f>
        <v>6.7421790722761665E-2</v>
      </c>
      <c r="BQ432" s="394">
        <f>+BQ416/BP416-1</f>
        <v>5.5583628094997506E-2</v>
      </c>
      <c r="BR432" s="397"/>
      <c r="BT432" s="394">
        <f>+BT416/BQ416-1</f>
        <v>4.4997606510291943E-2</v>
      </c>
      <c r="BU432" s="394">
        <f>+BU416/BT416-1</f>
        <v>2.0613834173156098E-2</v>
      </c>
      <c r="BV432" s="397"/>
      <c r="BX432" s="394">
        <f>+BX416/BU416-1</f>
        <v>-0.1485637342908438</v>
      </c>
      <c r="BY432" s="394">
        <f>+BY416/BX416-1</f>
        <v>1.950448075909339E-2</v>
      </c>
      <c r="BZ432" s="397"/>
      <c r="CB432" s="394">
        <f>+CB416/BY416-1</f>
        <v>-1.9648397104446769E-2</v>
      </c>
      <c r="CC432" s="394">
        <f>+CC416/CB416-1</f>
        <v>-4.0611814345991593E-2</v>
      </c>
      <c r="CD432" s="397"/>
      <c r="CF432" s="394">
        <f>+CF416/CC416-1</f>
        <v>-2.0340846619021469E-2</v>
      </c>
      <c r="CG432" s="394">
        <f>+CG416/CF416-1</f>
        <v>-3.9281705948372658E-2</v>
      </c>
      <c r="CH432" s="397"/>
      <c r="CJ432" s="394">
        <f>+CJ416/CG416-1</f>
        <v>-0.17172897196261683</v>
      </c>
      <c r="CK432" s="394">
        <f>+CK416/CJ416-1</f>
        <v>-8.6036671368124096E-2</v>
      </c>
      <c r="CL432" s="397"/>
      <c r="CN432" s="394">
        <f>+CN416/CK416-1</f>
        <v>2.9320987654321007E-2</v>
      </c>
      <c r="CO432" s="394">
        <f>+CO416/CN416-1</f>
        <v>6.9715142428785626E-2</v>
      </c>
      <c r="CP432" s="397"/>
      <c r="CR432" s="394">
        <f>+CR416/CO416-1</f>
        <v>0.11072179397337067</v>
      </c>
      <c r="CS432" s="394">
        <f>+CS416/CR416-1</f>
        <v>-0.11104100946372242</v>
      </c>
      <c r="CT432" s="397"/>
      <c r="CV432" s="394">
        <f>+CV416/CS416-1</f>
        <v>0.16607523066004259</v>
      </c>
      <c r="CW432" s="394">
        <f>+CW416/CV416-1</f>
        <v>0.16372489348752284</v>
      </c>
      <c r="CX432" s="397"/>
      <c r="CZ432" s="394">
        <f>+CZ416/CW416-1</f>
        <v>6.4330543933054374E-2</v>
      </c>
      <c r="DA432" s="394">
        <f>+DA416/CZ416-1</f>
        <v>4.6191646191646285E-2</v>
      </c>
      <c r="DB432" s="397"/>
      <c r="DD432" s="394">
        <f>+DD416/DA416-1</f>
        <v>8.7364960075152709E-2</v>
      </c>
      <c r="DE432" s="394">
        <f>+DE416/DD416-1</f>
        <v>0.1261339092872571</v>
      </c>
      <c r="DF432" s="397"/>
      <c r="DH432" s="394">
        <f>+DH416/DE416-1</f>
        <v>8.9374760260836128E-2</v>
      </c>
      <c r="DI432" s="394">
        <f>+DI416/DH416-1</f>
        <v>7.1322146034259903E-2</v>
      </c>
      <c r="DJ432" s="397"/>
      <c r="DL432" s="394">
        <f>+DL416/DI416-1</f>
        <v>5.8132559423480723E-2</v>
      </c>
      <c r="DM432" s="394">
        <f>+DM416/DL416-1</f>
        <v>5.0508834443813599E-2</v>
      </c>
      <c r="DN432" s="397"/>
      <c r="DP432" s="394">
        <f>+DP416/DM416-1</f>
        <v>3.0329342177920493E-2</v>
      </c>
      <c r="DQ432" s="394">
        <f>+DQ416/DP416-1</f>
        <v>2.7615295622557046E-2</v>
      </c>
      <c r="DR432" s="397"/>
      <c r="DT432" s="1"/>
      <c r="DU432" s="1"/>
      <c r="DV432" s="1"/>
      <c r="DW432" s="1"/>
      <c r="DX432" s="1"/>
      <c r="DY432" s="1"/>
      <c r="DZ432" s="1"/>
      <c r="EA432" s="1"/>
      <c r="EB432" s="1"/>
      <c r="EC432" s="1"/>
      <c r="ED432" s="1"/>
      <c r="EE432" s="1"/>
      <c r="EF432" s="1"/>
      <c r="EG432" s="1"/>
      <c r="EH432" s="1"/>
      <c r="EI432" s="1"/>
      <c r="EJ432" s="1"/>
      <c r="EK432" s="1"/>
      <c r="EL432" s="1"/>
      <c r="EM432" s="1"/>
      <c r="EN432" s="1"/>
      <c r="EO432" s="1"/>
      <c r="EP432" s="1"/>
      <c r="EQ432" s="1"/>
      <c r="ER432" s="1"/>
      <c r="ES432" s="1"/>
      <c r="ET432" s="1"/>
      <c r="EU432" s="1"/>
      <c r="EV432" s="1"/>
      <c r="EW432" s="1"/>
      <c r="EX432" s="1"/>
      <c r="EY432" s="1"/>
      <c r="EZ432" s="1"/>
      <c r="FA432" s="1"/>
      <c r="FB432" s="1"/>
      <c r="FC432" s="1"/>
      <c r="FD432" s="1"/>
      <c r="FE432" s="1"/>
      <c r="FF432" s="1"/>
      <c r="FG432" s="1"/>
      <c r="FH432" s="1"/>
      <c r="FI432" s="1"/>
      <c r="FJ432" s="1"/>
      <c r="FK432" s="1"/>
      <c r="FL432" s="1"/>
      <c r="FM432" s="1"/>
      <c r="FN432" s="1"/>
      <c r="FO432" s="1"/>
      <c r="FP432" s="1"/>
      <c r="FQ432" s="1"/>
      <c r="FR432" s="1"/>
      <c r="FS432" s="1"/>
      <c r="FT432" s="1"/>
      <c r="FU432" s="1"/>
      <c r="FV432" s="1"/>
      <c r="FW432" s="1"/>
      <c r="FX432" s="1"/>
      <c r="FY432" s="1"/>
      <c r="FZ432" s="1"/>
      <c r="GA432" s="1"/>
      <c r="GB432" s="1"/>
      <c r="GC432" s="1"/>
      <c r="GD432" s="1"/>
      <c r="GE432" s="1"/>
      <c r="GF432" s="1"/>
      <c r="GG432" s="1"/>
      <c r="GH432" s="1"/>
      <c r="GI432" s="1"/>
      <c r="GJ432" s="1"/>
      <c r="GK432" s="1"/>
      <c r="GL432" s="1"/>
      <c r="GM432" s="1"/>
      <c r="GN432" s="1"/>
      <c r="GO432" s="1"/>
      <c r="GP432" s="1"/>
      <c r="GQ432" s="1"/>
      <c r="GR432" s="1"/>
      <c r="GS432" s="1"/>
      <c r="GT432" s="1"/>
      <c r="GU432" s="1"/>
      <c r="GV432" s="1"/>
      <c r="GW432" s="1"/>
      <c r="GX432" s="1"/>
      <c r="GY432" s="1"/>
      <c r="GZ432" s="1"/>
      <c r="HA432" s="1"/>
      <c r="HB432" s="1"/>
      <c r="HC432" s="1"/>
      <c r="HD432" s="1"/>
      <c r="HE432" s="1"/>
      <c r="HF432" s="1"/>
      <c r="HG432" s="1"/>
      <c r="HH432" s="1"/>
      <c r="HI432" s="1"/>
      <c r="HJ432" s="1"/>
      <c r="HK432" s="1"/>
      <c r="HL432" s="1"/>
      <c r="HM432" s="1"/>
      <c r="HN432" s="1"/>
      <c r="HO432" s="1"/>
      <c r="HP432" s="1"/>
      <c r="HQ432" s="1"/>
      <c r="HR432" s="1"/>
      <c r="HS432" s="1"/>
      <c r="HT432" s="1"/>
      <c r="HU432" s="1"/>
      <c r="HV432" s="1"/>
      <c r="HW432" s="1"/>
      <c r="HX432" s="1"/>
      <c r="HY432" s="1"/>
      <c r="HZ432" s="1"/>
      <c r="IA432" s="1"/>
      <c r="IB432" s="1"/>
      <c r="IC432" s="1"/>
      <c r="ID432" s="1"/>
      <c r="IE432" s="1"/>
      <c r="IF432" s="1"/>
      <c r="IG432" s="1"/>
      <c r="IH432" s="1"/>
      <c r="II432" s="1"/>
      <c r="IJ432" s="1"/>
      <c r="IK432" s="1"/>
      <c r="IL432" s="1"/>
      <c r="IM432" s="1"/>
      <c r="IN432" s="1"/>
      <c r="IO432" s="1"/>
      <c r="IP432" s="1"/>
      <c r="IQ432" s="1"/>
      <c r="IR432" s="1"/>
      <c r="IS432" s="1"/>
      <c r="IT432" s="1"/>
      <c r="IU432" s="1"/>
      <c r="IV432" s="1"/>
      <c r="IW432" s="1"/>
      <c r="IX432" s="1"/>
      <c r="IY432" s="1"/>
      <c r="IZ432" s="1"/>
      <c r="JA432" s="1"/>
      <c r="JB432" s="1"/>
      <c r="JC432" s="1"/>
      <c r="JD432" s="1"/>
    </row>
    <row r="433" spans="1:264" s="411" customFormat="1" x14ac:dyDescent="0.2">
      <c r="B433" s="423"/>
      <c r="BH433" s="397"/>
      <c r="BI433" s="397"/>
      <c r="BJ433" s="397"/>
      <c r="BK433" s="348"/>
      <c r="BL433" s="397"/>
      <c r="BM433" s="397"/>
      <c r="BN433" s="397"/>
      <c r="BO433" s="423"/>
      <c r="BP433" s="397"/>
      <c r="BQ433" s="397"/>
      <c r="BR433" s="397"/>
      <c r="BT433" s="397"/>
      <c r="BU433" s="397"/>
      <c r="BV433" s="397"/>
      <c r="BW433" s="498"/>
      <c r="BX433" s="397"/>
      <c r="CA433" s="498"/>
      <c r="CB433" s="397"/>
      <c r="CE433" s="498"/>
      <c r="CF433" s="397"/>
      <c r="CJ433" s="397"/>
      <c r="CN433" s="397"/>
      <c r="CR433" s="397"/>
      <c r="CV433" s="397"/>
      <c r="CZ433" s="397"/>
      <c r="DD433" s="397"/>
      <c r="DH433" s="397"/>
      <c r="DL433" s="423"/>
      <c r="DP433" s="423"/>
      <c r="DT433" s="1"/>
      <c r="DU433" s="1"/>
      <c r="DV433" s="1"/>
      <c r="DW433" s="1"/>
      <c r="DX433" s="1"/>
      <c r="DY433" s="1"/>
      <c r="DZ433" s="1"/>
      <c r="EA433" s="1"/>
      <c r="EB433" s="1"/>
      <c r="EC433" s="1"/>
      <c r="ED433" s="1"/>
      <c r="EE433" s="1"/>
      <c r="EF433" s="1"/>
      <c r="EG433" s="1"/>
      <c r="EH433" s="1"/>
      <c r="EI433" s="1"/>
      <c r="EJ433" s="1"/>
      <c r="EK433" s="1"/>
      <c r="EL433" s="1"/>
      <c r="EM433" s="1"/>
      <c r="EN433" s="1"/>
      <c r="EO433" s="1"/>
      <c r="EP433" s="1"/>
      <c r="EQ433" s="1"/>
      <c r="ER433" s="1"/>
      <c r="ES433" s="1"/>
      <c r="ET433" s="1"/>
      <c r="EU433" s="1"/>
      <c r="EV433" s="1"/>
      <c r="EW433" s="1"/>
      <c r="EX433" s="1"/>
      <c r="EY433" s="1"/>
      <c r="EZ433" s="1"/>
      <c r="FA433" s="1"/>
      <c r="FB433" s="1"/>
      <c r="FC433" s="1"/>
      <c r="FD433" s="1"/>
      <c r="FE433" s="1"/>
      <c r="FF433" s="1"/>
      <c r="FG433" s="1"/>
      <c r="FH433" s="1"/>
      <c r="FI433" s="1"/>
      <c r="FJ433" s="1"/>
      <c r="FK433" s="1"/>
      <c r="FL433" s="1"/>
      <c r="FM433" s="1"/>
      <c r="FN433" s="1"/>
      <c r="FO433" s="1"/>
      <c r="FP433" s="1"/>
      <c r="FQ433" s="1"/>
      <c r="FR433" s="1"/>
      <c r="FS433" s="1"/>
      <c r="FT433" s="1"/>
      <c r="FU433" s="1"/>
      <c r="FV433" s="1"/>
      <c r="FW433" s="1"/>
      <c r="FX433" s="1"/>
      <c r="FY433" s="1"/>
      <c r="FZ433" s="1"/>
      <c r="GA433" s="1"/>
      <c r="GB433" s="1"/>
      <c r="GC433" s="1"/>
      <c r="GD433" s="1"/>
      <c r="GE433" s="1"/>
      <c r="GF433" s="1"/>
      <c r="GG433" s="1"/>
      <c r="GH433" s="1"/>
      <c r="GI433" s="1"/>
      <c r="GJ433" s="1"/>
      <c r="GK433" s="1"/>
      <c r="GL433" s="1"/>
      <c r="GM433" s="1"/>
      <c r="GN433" s="1"/>
      <c r="GO433" s="1"/>
      <c r="GP433" s="1"/>
      <c r="GQ433" s="1"/>
      <c r="GR433" s="1"/>
      <c r="GS433" s="1"/>
      <c r="GT433" s="1"/>
      <c r="GU433" s="1"/>
      <c r="GV433" s="1"/>
      <c r="GW433" s="1"/>
      <c r="GX433" s="1"/>
      <c r="GY433" s="1"/>
      <c r="GZ433" s="1"/>
      <c r="HA433" s="1"/>
      <c r="HB433" s="1"/>
      <c r="HC433" s="1"/>
      <c r="HD433" s="1"/>
      <c r="HE433" s="1"/>
      <c r="HF433" s="1"/>
      <c r="HG433" s="1"/>
      <c r="HH433" s="1"/>
      <c r="HI433" s="1"/>
      <c r="HJ433" s="1"/>
      <c r="HK433" s="1"/>
      <c r="HL433" s="1"/>
      <c r="HM433" s="1"/>
      <c r="HN433" s="1"/>
      <c r="HO433" s="1"/>
      <c r="HP433" s="1"/>
      <c r="HQ433" s="1"/>
      <c r="HR433" s="1"/>
      <c r="HS433" s="1"/>
      <c r="HT433" s="1"/>
      <c r="HU433" s="1"/>
      <c r="HV433" s="1"/>
      <c r="HW433" s="1"/>
      <c r="HX433" s="1"/>
      <c r="HY433" s="1"/>
      <c r="HZ433" s="1"/>
      <c r="IA433" s="1"/>
      <c r="IB433" s="1"/>
      <c r="IC433" s="1"/>
      <c r="ID433" s="1"/>
      <c r="IE433" s="1"/>
      <c r="IF433" s="1"/>
      <c r="IG433" s="1"/>
      <c r="IH433" s="1"/>
      <c r="II433" s="1"/>
      <c r="IJ433" s="1"/>
      <c r="IK433" s="1"/>
      <c r="IL433" s="1"/>
      <c r="IM433" s="1"/>
      <c r="IN433" s="1"/>
      <c r="IO433" s="1"/>
      <c r="IP433" s="1"/>
      <c r="IQ433" s="1"/>
      <c r="IR433" s="1"/>
      <c r="IS433" s="1"/>
      <c r="IT433" s="1"/>
      <c r="IU433" s="1"/>
      <c r="IV433" s="1"/>
      <c r="IW433" s="1"/>
      <c r="IX433" s="1"/>
      <c r="IY433" s="1"/>
      <c r="IZ433" s="1"/>
      <c r="JA433" s="1"/>
      <c r="JB433" s="1"/>
      <c r="JC433" s="1"/>
      <c r="JD433" s="1"/>
    </row>
    <row r="434" spans="1:264" s="411" customFormat="1" x14ac:dyDescent="0.2">
      <c r="A434" s="411" t="s">
        <v>387</v>
      </c>
      <c r="B434" s="423"/>
      <c r="BH434" s="397"/>
      <c r="BI434" s="397"/>
      <c r="BJ434" s="397"/>
      <c r="BK434" s="348"/>
      <c r="BL434" s="397"/>
      <c r="BM434" s="397"/>
      <c r="BN434" s="397"/>
      <c r="BO434" s="423"/>
      <c r="BP434" s="397"/>
      <c r="BQ434" s="397"/>
      <c r="BR434" s="397"/>
      <c r="BT434" s="397"/>
      <c r="BU434" s="397"/>
      <c r="BV434" s="397"/>
      <c r="BW434" s="498"/>
      <c r="BX434" s="397"/>
      <c r="CA434" s="498"/>
      <c r="CB434" s="397"/>
      <c r="CD434" s="524">
        <v>1282</v>
      </c>
      <c r="CE434" s="498"/>
      <c r="CF434" s="524">
        <v>676</v>
      </c>
      <c r="CG434" s="397">
        <f>+CH434-CF434</f>
        <v>723</v>
      </c>
      <c r="CH434" s="524">
        <v>1399</v>
      </c>
      <c r="CJ434" s="524">
        <v>639</v>
      </c>
      <c r="CK434" s="397">
        <f>+CL434-CJ434</f>
        <v>798</v>
      </c>
      <c r="CL434" s="524">
        <v>1437</v>
      </c>
      <c r="CN434" s="524">
        <v>856</v>
      </c>
      <c r="CO434" s="397">
        <f>+CP434-CN434</f>
        <v>953</v>
      </c>
      <c r="CP434" s="524">
        <v>1809</v>
      </c>
      <c r="CR434" s="524">
        <v>945</v>
      </c>
      <c r="CS434" s="397">
        <f>+CT434-CR434</f>
        <v>933</v>
      </c>
      <c r="CT434" s="524">
        <v>1878</v>
      </c>
      <c r="CV434" s="524">
        <v>963</v>
      </c>
      <c r="CW434" s="397">
        <f>+CX434-CV434</f>
        <v>1035</v>
      </c>
      <c r="CX434" s="524">
        <v>1998</v>
      </c>
      <c r="CZ434" s="524">
        <v>988</v>
      </c>
      <c r="DA434" s="397">
        <f>+DB434-CZ434</f>
        <v>1022</v>
      </c>
      <c r="DB434" s="524">
        <v>2010</v>
      </c>
      <c r="DD434" s="524">
        <v>1096</v>
      </c>
      <c r="DE434" s="397">
        <f>+DF434-DD434</f>
        <v>1201</v>
      </c>
      <c r="DF434" s="524">
        <v>2297</v>
      </c>
      <c r="DH434" s="524">
        <v>1207</v>
      </c>
      <c r="DI434" s="397">
        <f>+DE434*(1+DI435)</f>
        <v>1213.01</v>
      </c>
      <c r="DJ434" s="397">
        <f>+DH434+DI434</f>
        <v>2420.0100000000002</v>
      </c>
      <c r="DL434" s="397">
        <f>+DH434*(1+DL435)</f>
        <v>1231.1400000000001</v>
      </c>
      <c r="DM434" s="397">
        <f>+DI434*(1+DM435)</f>
        <v>1237.2701999999999</v>
      </c>
      <c r="DN434" s="397">
        <f>+DL434+DM434</f>
        <v>2468.4102000000003</v>
      </c>
      <c r="DP434" s="397">
        <f>+DL434*(1+DP435)</f>
        <v>1255.7628000000002</v>
      </c>
      <c r="DQ434" s="397">
        <f>+DM434*(1+DQ435)</f>
        <v>1262.0156039999999</v>
      </c>
      <c r="DR434" s="397">
        <f>+DP434+DQ434</f>
        <v>2517.7784040000001</v>
      </c>
      <c r="DT434" s="1"/>
      <c r="DU434" s="1"/>
      <c r="DV434" s="1"/>
      <c r="DW434" s="1"/>
      <c r="DX434" s="1"/>
      <c r="DY434" s="1"/>
      <c r="DZ434" s="1"/>
      <c r="EA434" s="1"/>
      <c r="EB434" s="1"/>
      <c r="EC434" s="1"/>
      <c r="ED434" s="1"/>
      <c r="EE434" s="1"/>
      <c r="EF434" s="1"/>
      <c r="EG434" s="1"/>
      <c r="EH434" s="1"/>
      <c r="EI434" s="1"/>
      <c r="EJ434" s="1"/>
      <c r="EK434" s="1"/>
      <c r="EL434" s="1"/>
      <c r="EM434" s="1"/>
      <c r="EN434" s="1"/>
      <c r="EO434" s="1"/>
      <c r="EP434" s="1"/>
      <c r="EQ434" s="1"/>
      <c r="ER434" s="1"/>
      <c r="ES434" s="1"/>
      <c r="ET434" s="1"/>
      <c r="EU434" s="1"/>
      <c r="EV434" s="1"/>
      <c r="EW434" s="1"/>
      <c r="EX434" s="1"/>
      <c r="EY434" s="1"/>
      <c r="EZ434" s="1"/>
      <c r="FA434" s="1"/>
      <c r="FB434" s="1"/>
      <c r="FC434" s="1"/>
      <c r="FD434" s="1"/>
      <c r="FE434" s="1"/>
      <c r="FF434" s="1"/>
      <c r="FG434" s="1"/>
      <c r="FH434" s="1"/>
      <c r="FI434" s="1"/>
      <c r="FJ434" s="1"/>
      <c r="FK434" s="1"/>
      <c r="FL434" s="1"/>
      <c r="FM434" s="1"/>
      <c r="FN434" s="1"/>
      <c r="FO434" s="1"/>
      <c r="FP434" s="1"/>
      <c r="FQ434" s="1"/>
      <c r="FR434" s="1"/>
      <c r="FS434" s="1"/>
      <c r="FT434" s="1"/>
      <c r="FU434" s="1"/>
      <c r="FV434" s="1"/>
      <c r="FW434" s="1"/>
      <c r="FX434" s="1"/>
      <c r="FY434" s="1"/>
      <c r="FZ434" s="1"/>
      <c r="GA434" s="1"/>
      <c r="GB434" s="1"/>
      <c r="GC434" s="1"/>
      <c r="GD434" s="1"/>
      <c r="GE434" s="1"/>
      <c r="GF434" s="1"/>
      <c r="GG434" s="1"/>
      <c r="GH434" s="1"/>
      <c r="GI434" s="1"/>
      <c r="GJ434" s="1"/>
      <c r="GK434" s="1"/>
      <c r="GL434" s="1"/>
      <c r="GM434" s="1"/>
      <c r="GN434" s="1"/>
      <c r="GO434" s="1"/>
      <c r="GP434" s="1"/>
      <c r="GQ434" s="1"/>
      <c r="GR434" s="1"/>
      <c r="GS434" s="1"/>
      <c r="GT434" s="1"/>
      <c r="GU434" s="1"/>
      <c r="GV434" s="1"/>
      <c r="GW434" s="1"/>
      <c r="GX434" s="1"/>
      <c r="GY434" s="1"/>
      <c r="GZ434" s="1"/>
      <c r="HA434" s="1"/>
      <c r="HB434" s="1"/>
      <c r="HC434" s="1"/>
      <c r="HD434" s="1"/>
      <c r="HE434" s="1"/>
      <c r="HF434" s="1"/>
      <c r="HG434" s="1"/>
      <c r="HH434" s="1"/>
      <c r="HI434" s="1"/>
      <c r="HJ434" s="1"/>
      <c r="HK434" s="1"/>
      <c r="HL434" s="1"/>
      <c r="HM434" s="1"/>
      <c r="HN434" s="1"/>
      <c r="HO434" s="1"/>
      <c r="HP434" s="1"/>
      <c r="HQ434" s="1"/>
      <c r="HR434" s="1"/>
      <c r="HS434" s="1"/>
      <c r="HT434" s="1"/>
      <c r="HU434" s="1"/>
      <c r="HV434" s="1"/>
      <c r="HW434" s="1"/>
      <c r="HX434" s="1"/>
      <c r="HY434" s="1"/>
      <c r="HZ434" s="1"/>
      <c r="IA434" s="1"/>
      <c r="IB434" s="1"/>
      <c r="IC434" s="1"/>
      <c r="ID434" s="1"/>
      <c r="IE434" s="1"/>
      <c r="IF434" s="1"/>
      <c r="IG434" s="1"/>
      <c r="IH434" s="1"/>
      <c r="II434" s="1"/>
      <c r="IJ434" s="1"/>
      <c r="IK434" s="1"/>
      <c r="IL434" s="1"/>
      <c r="IM434" s="1"/>
      <c r="IN434" s="1"/>
      <c r="IO434" s="1"/>
      <c r="IP434" s="1"/>
      <c r="IQ434" s="1"/>
      <c r="IR434" s="1"/>
      <c r="IS434" s="1"/>
      <c r="IT434" s="1"/>
      <c r="IU434" s="1"/>
      <c r="IV434" s="1"/>
      <c r="IW434" s="1"/>
      <c r="IX434" s="1"/>
      <c r="IY434" s="1"/>
      <c r="IZ434" s="1"/>
      <c r="JA434" s="1"/>
      <c r="JB434" s="1"/>
      <c r="JC434" s="1"/>
      <c r="JD434" s="1"/>
    </row>
    <row r="435" spans="1:264" s="411" customFormat="1" x14ac:dyDescent="0.2">
      <c r="A435" s="477" t="s">
        <v>28</v>
      </c>
      <c r="B435" s="525"/>
      <c r="C435" s="526"/>
      <c r="D435" s="526"/>
      <c r="E435" s="526"/>
      <c r="F435" s="526"/>
      <c r="G435" s="526"/>
      <c r="H435" s="526"/>
      <c r="I435" s="526"/>
      <c r="J435" s="526"/>
      <c r="K435" s="526"/>
      <c r="L435" s="526"/>
      <c r="M435" s="526"/>
      <c r="N435" s="526"/>
      <c r="O435" s="526"/>
      <c r="P435" s="526"/>
      <c r="Q435" s="526"/>
      <c r="R435" s="526"/>
      <c r="S435" s="526"/>
      <c r="T435" s="526"/>
      <c r="U435" s="526"/>
      <c r="V435" s="526"/>
      <c r="W435" s="526"/>
      <c r="X435" s="526"/>
      <c r="Y435" s="526"/>
      <c r="Z435" s="526"/>
      <c r="AA435" s="526"/>
      <c r="AB435" s="526"/>
      <c r="AC435" s="526"/>
      <c r="AD435" s="526"/>
      <c r="AE435" s="526"/>
      <c r="AF435" s="526"/>
      <c r="AG435" s="526"/>
      <c r="AH435" s="526"/>
      <c r="AI435" s="526"/>
      <c r="AJ435" s="526"/>
      <c r="AK435" s="526"/>
      <c r="AL435" s="526"/>
      <c r="AM435" s="526"/>
      <c r="AN435" s="526"/>
      <c r="AO435" s="526"/>
      <c r="AP435" s="526"/>
      <c r="AQ435" s="526"/>
      <c r="AR435" s="526"/>
      <c r="AS435" s="526"/>
      <c r="AT435" s="526"/>
      <c r="AU435" s="526"/>
      <c r="AV435" s="526"/>
      <c r="AW435" s="526"/>
      <c r="AX435" s="526"/>
      <c r="AY435" s="526"/>
      <c r="AZ435" s="526"/>
      <c r="BA435" s="526"/>
      <c r="BB435" s="526"/>
      <c r="BC435" s="526"/>
      <c r="BD435" s="526"/>
      <c r="BE435" s="526"/>
      <c r="BF435" s="526"/>
      <c r="BG435" s="526"/>
      <c r="BH435" s="527"/>
      <c r="BI435" s="527"/>
      <c r="BJ435" s="527"/>
      <c r="BK435" s="446"/>
      <c r="BL435" s="527"/>
      <c r="BM435" s="527"/>
      <c r="BN435" s="527"/>
      <c r="BO435" s="525"/>
      <c r="BP435" s="527"/>
      <c r="BQ435" s="527"/>
      <c r="BR435" s="527"/>
      <c r="BS435" s="526"/>
      <c r="BT435" s="527"/>
      <c r="BU435" s="527"/>
      <c r="BV435" s="527"/>
      <c r="BW435" s="528"/>
      <c r="BX435" s="527"/>
      <c r="BY435" s="526"/>
      <c r="BZ435" s="526"/>
      <c r="CA435" s="528"/>
      <c r="CB435" s="527"/>
      <c r="CC435" s="526"/>
      <c r="CD435" s="529"/>
      <c r="CE435" s="528"/>
      <c r="CF435" s="529"/>
      <c r="CG435" s="527"/>
      <c r="CH435" s="529"/>
      <c r="CI435" s="526"/>
      <c r="CJ435" s="529"/>
      <c r="CK435" s="527"/>
      <c r="CL435" s="529"/>
      <c r="CM435" s="526"/>
      <c r="CN435" s="478">
        <f>+CN434/CJ434-1</f>
        <v>0.33959311424100158</v>
      </c>
      <c r="CO435" s="478">
        <f t="shared" ref="CO435:CP435" si="395">+CO434/CK434-1</f>
        <v>0.19423558897243098</v>
      </c>
      <c r="CP435" s="478">
        <f t="shared" si="395"/>
        <v>0.25887265135699367</v>
      </c>
      <c r="CQ435" s="526"/>
      <c r="CR435" s="478">
        <f>+CR434/CN434-1</f>
        <v>0.10397196261682251</v>
      </c>
      <c r="CS435" s="478">
        <f t="shared" ref="CS435:CT435" si="396">+CS434/CO434-1</f>
        <v>-2.098635886673661E-2</v>
      </c>
      <c r="CT435" s="478">
        <f t="shared" si="396"/>
        <v>3.8142620232172408E-2</v>
      </c>
      <c r="CU435" s="526"/>
      <c r="CV435" s="478">
        <f>+CV434/CR434-1</f>
        <v>1.904761904761898E-2</v>
      </c>
      <c r="CW435" s="478">
        <f t="shared" ref="CW435:CX435" si="397">+CW434/CS434-1</f>
        <v>0.10932475884244375</v>
      </c>
      <c r="CX435" s="478">
        <f t="shared" si="397"/>
        <v>6.3897763578274702E-2</v>
      </c>
      <c r="CY435" s="526"/>
      <c r="CZ435" s="478">
        <f>+CZ434/CV434-1</f>
        <v>2.5960539979231534E-2</v>
      </c>
      <c r="DA435" s="478">
        <f t="shared" ref="DA435:DB435" si="398">+DA434/CW434-1</f>
        <v>-1.2560386473429941E-2</v>
      </c>
      <c r="DB435" s="478">
        <f t="shared" si="398"/>
        <v>6.0060060060060927E-3</v>
      </c>
      <c r="DC435" s="526"/>
      <c r="DD435" s="478">
        <f>+DD434/CZ434-1</f>
        <v>0.10931174089068829</v>
      </c>
      <c r="DE435" s="478">
        <f t="shared" ref="DE435" si="399">+DE434/DA434-1</f>
        <v>0.1751467710371819</v>
      </c>
      <c r="DF435" s="478">
        <f t="shared" ref="DF435" si="400">+DF434/DB434-1</f>
        <v>0.14278606965174134</v>
      </c>
      <c r="DG435" s="526"/>
      <c r="DH435" s="478">
        <f>+DH434/DD434-1</f>
        <v>0.10127737226277378</v>
      </c>
      <c r="DI435" s="474">
        <v>0.01</v>
      </c>
      <c r="DJ435" s="478">
        <f t="shared" ref="DJ435" si="401">+DJ434/DF434-1</f>
        <v>5.3552459730082713E-2</v>
      </c>
      <c r="DK435" s="526"/>
      <c r="DL435" s="474">
        <v>0.02</v>
      </c>
      <c r="DM435" s="474">
        <v>0.02</v>
      </c>
      <c r="DN435" s="478">
        <f t="shared" ref="DN435" si="402">+DN434/DJ434-1</f>
        <v>2.0000000000000018E-2</v>
      </c>
      <c r="DO435" s="526"/>
      <c r="DP435" s="474">
        <v>0.02</v>
      </c>
      <c r="DQ435" s="474">
        <v>0.02</v>
      </c>
      <c r="DR435" s="478">
        <f t="shared" ref="DR435" si="403">+DR434/DN434-1</f>
        <v>2.0000000000000018E-2</v>
      </c>
      <c r="DS435" s="526"/>
      <c r="DT435" s="1"/>
      <c r="DU435" s="1"/>
      <c r="DV435" s="1"/>
      <c r="DW435" s="1"/>
      <c r="DX435" s="1"/>
      <c r="DY435" s="1"/>
      <c r="DZ435" s="1"/>
      <c r="EA435" s="1"/>
      <c r="EB435" s="1"/>
      <c r="EC435" s="1"/>
      <c r="ED435" s="1"/>
      <c r="EE435" s="1"/>
      <c r="EF435" s="1"/>
      <c r="EG435" s="1"/>
      <c r="EH435" s="1"/>
      <c r="EI435" s="1"/>
      <c r="EJ435" s="1"/>
      <c r="EK435" s="1"/>
      <c r="EL435" s="1"/>
      <c r="EM435" s="1"/>
      <c r="EN435" s="1"/>
      <c r="EO435" s="1"/>
      <c r="EP435" s="1"/>
      <c r="EQ435" s="1"/>
      <c r="ER435" s="1"/>
      <c r="ES435" s="1"/>
      <c r="ET435" s="1"/>
      <c r="EU435" s="1"/>
      <c r="EV435" s="1"/>
      <c r="EW435" s="1"/>
      <c r="EX435" s="1"/>
      <c r="EY435" s="1"/>
      <c r="EZ435" s="1"/>
      <c r="FA435" s="1"/>
      <c r="FB435" s="1"/>
      <c r="FC435" s="1"/>
      <c r="FD435" s="1"/>
      <c r="FE435" s="1"/>
      <c r="FF435" s="1"/>
      <c r="FG435" s="1"/>
      <c r="FH435" s="1"/>
      <c r="FI435" s="1"/>
      <c r="FJ435" s="1"/>
      <c r="FK435" s="1"/>
      <c r="FL435" s="1"/>
      <c r="FM435" s="1"/>
      <c r="FN435" s="1"/>
      <c r="FO435" s="1"/>
      <c r="FP435" s="1"/>
      <c r="FQ435" s="1"/>
      <c r="FR435" s="1"/>
      <c r="FS435" s="1"/>
      <c r="FT435" s="1"/>
      <c r="FU435" s="1"/>
      <c r="FV435" s="1"/>
      <c r="FW435" s="1"/>
      <c r="FX435" s="1"/>
      <c r="FY435" s="1"/>
      <c r="FZ435" s="1"/>
      <c r="GA435" s="1"/>
      <c r="GB435" s="1"/>
      <c r="GC435" s="1"/>
      <c r="GD435" s="1"/>
      <c r="GE435" s="1"/>
      <c r="GF435" s="1"/>
      <c r="GG435" s="1"/>
      <c r="GH435" s="1"/>
      <c r="GI435" s="1"/>
      <c r="GJ435" s="1"/>
      <c r="GK435" s="1"/>
      <c r="GL435" s="1"/>
      <c r="GM435" s="1"/>
      <c r="GN435" s="1"/>
      <c r="GO435" s="1"/>
      <c r="GP435" s="1"/>
      <c r="GQ435" s="1"/>
      <c r="GR435" s="1"/>
      <c r="GS435" s="1"/>
      <c r="GT435" s="1"/>
      <c r="GU435" s="1"/>
      <c r="GV435" s="1"/>
      <c r="GW435" s="1"/>
      <c r="GX435" s="1"/>
      <c r="GY435" s="1"/>
      <c r="GZ435" s="1"/>
      <c r="HA435" s="1"/>
      <c r="HB435" s="1"/>
      <c r="HC435" s="1"/>
      <c r="HD435" s="1"/>
      <c r="HE435" s="1"/>
      <c r="HF435" s="1"/>
      <c r="HG435" s="1"/>
      <c r="HH435" s="1"/>
      <c r="HI435" s="1"/>
      <c r="HJ435" s="1"/>
      <c r="HK435" s="1"/>
      <c r="HL435" s="1"/>
      <c r="HM435" s="1"/>
      <c r="HN435" s="1"/>
      <c r="HO435" s="1"/>
      <c r="HP435" s="1"/>
      <c r="HQ435" s="1"/>
      <c r="HR435" s="1"/>
      <c r="HS435" s="1"/>
      <c r="HT435" s="1"/>
      <c r="HU435" s="1"/>
      <c r="HV435" s="1"/>
      <c r="HW435" s="1"/>
      <c r="HX435" s="1"/>
      <c r="HY435" s="1"/>
      <c r="HZ435" s="1"/>
      <c r="IA435" s="1"/>
      <c r="IB435" s="1"/>
      <c r="IC435" s="1"/>
      <c r="ID435" s="1"/>
      <c r="IE435" s="1"/>
      <c r="IF435" s="1"/>
      <c r="IG435" s="1"/>
      <c r="IH435" s="1"/>
      <c r="II435" s="1"/>
      <c r="IJ435" s="1"/>
      <c r="IK435" s="1"/>
      <c r="IL435" s="1"/>
      <c r="IM435" s="1"/>
      <c r="IN435" s="1"/>
      <c r="IO435" s="1"/>
      <c r="IP435" s="1"/>
      <c r="IQ435" s="1"/>
      <c r="IR435" s="1"/>
      <c r="IS435" s="1"/>
      <c r="IT435" s="1"/>
      <c r="IU435" s="1"/>
      <c r="IV435" s="1"/>
      <c r="IW435" s="1"/>
      <c r="IX435" s="1"/>
      <c r="IY435" s="1"/>
      <c r="IZ435" s="1"/>
      <c r="JA435" s="1"/>
      <c r="JB435" s="1"/>
      <c r="JC435" s="1"/>
      <c r="JD435" s="1"/>
    </row>
    <row r="436" spans="1:264" s="411" customFormat="1" x14ac:dyDescent="0.2">
      <c r="A436" s="347" t="s">
        <v>388</v>
      </c>
      <c r="B436" s="423"/>
      <c r="BH436" s="397"/>
      <c r="BI436" s="397"/>
      <c r="BJ436" s="397"/>
      <c r="BK436" s="348"/>
      <c r="BL436" s="397"/>
      <c r="BM436" s="397"/>
      <c r="BN436" s="397"/>
      <c r="BO436" s="423"/>
      <c r="BP436" s="397"/>
      <c r="BQ436" s="397"/>
      <c r="BR436" s="397"/>
      <c r="BT436" s="397"/>
      <c r="BU436" s="397"/>
      <c r="BV436" s="397"/>
      <c r="BW436" s="498"/>
      <c r="BX436" s="397"/>
      <c r="CA436" s="498"/>
      <c r="CB436" s="397"/>
      <c r="CD436" s="399">
        <v>611</v>
      </c>
      <c r="CE436" s="498"/>
      <c r="CF436" s="399">
        <v>292</v>
      </c>
      <c r="CG436" s="351">
        <f t="shared" ref="CG436:CG437" si="404">+CH436-CF436</f>
        <v>311</v>
      </c>
      <c r="CH436" s="399">
        <v>603</v>
      </c>
      <c r="CJ436" s="399">
        <v>289</v>
      </c>
      <c r="CK436" s="351">
        <f t="shared" ref="CK436:CK437" si="405">+CL436-CJ436</f>
        <v>317</v>
      </c>
      <c r="CL436" s="399">
        <v>606</v>
      </c>
      <c r="CN436" s="399">
        <v>383</v>
      </c>
      <c r="CO436" s="351">
        <f t="shared" ref="CO436:CO437" si="406">+CP436-CN436</f>
        <v>400</v>
      </c>
      <c r="CP436" s="399">
        <v>783</v>
      </c>
      <c r="CR436" s="399">
        <v>432</v>
      </c>
      <c r="CS436" s="351">
        <f t="shared" ref="CS436:CS437" si="407">+CT436-CR436</f>
        <v>459</v>
      </c>
      <c r="CT436" s="399">
        <v>891</v>
      </c>
      <c r="CV436" s="399">
        <v>479</v>
      </c>
      <c r="CW436" s="351">
        <f t="shared" ref="CW436:CW437" si="408">+CX436-CV436</f>
        <v>529</v>
      </c>
      <c r="CX436" s="399">
        <v>1008</v>
      </c>
      <c r="CZ436" s="399">
        <v>496</v>
      </c>
      <c r="DA436" s="351">
        <f t="shared" ref="DA436:DA437" si="409">+DB436-CZ436</f>
        <v>519</v>
      </c>
      <c r="DB436" s="399">
        <v>1015</v>
      </c>
      <c r="DD436" s="399">
        <v>550</v>
      </c>
      <c r="DE436" s="351">
        <f t="shared" ref="DE436:DE437" si="410">+DF436-DD436</f>
        <v>660</v>
      </c>
      <c r="DF436" s="399">
        <v>1210</v>
      </c>
      <c r="DH436" s="399">
        <v>632</v>
      </c>
      <c r="DI436" s="351">
        <f>+DI434*DI438</f>
        <v>630.76520000000005</v>
      </c>
      <c r="DJ436" s="351">
        <f>+DH436+DI436</f>
        <v>1262.7652</v>
      </c>
      <c r="DL436" s="351">
        <f>+DL434*DL438</f>
        <v>640.19280000000003</v>
      </c>
      <c r="DM436" s="351">
        <f>+DM434*DM438</f>
        <v>643.38050399999997</v>
      </c>
      <c r="DN436" s="351">
        <f>+DL436+DM436</f>
        <v>1283.573304</v>
      </c>
      <c r="DP436" s="351">
        <f>+DP434*DP438</f>
        <v>627.8814000000001</v>
      </c>
      <c r="DQ436" s="351">
        <f>+DQ434*DQ438</f>
        <v>631.00780199999997</v>
      </c>
      <c r="DR436" s="351">
        <f>+DP436+DQ436</f>
        <v>1258.8892020000001</v>
      </c>
      <c r="DT436" s="1"/>
      <c r="DU436" s="1"/>
      <c r="DV436" s="1"/>
      <c r="DW436" s="1"/>
      <c r="DX436" s="1"/>
      <c r="DY436" s="1"/>
      <c r="DZ436" s="1"/>
      <c r="EA436" s="1"/>
      <c r="EB436" s="1"/>
      <c r="EC436" s="1"/>
      <c r="ED436" s="1"/>
      <c r="EE436" s="1"/>
      <c r="EF436" s="1"/>
      <c r="EG436" s="1"/>
      <c r="EH436" s="1"/>
      <c r="EI436" s="1"/>
      <c r="EJ436" s="1"/>
      <c r="EK436" s="1"/>
      <c r="EL436" s="1"/>
      <c r="EM436" s="1"/>
      <c r="EN436" s="1"/>
      <c r="EO436" s="1"/>
      <c r="EP436" s="1"/>
      <c r="EQ436" s="1"/>
      <c r="ER436" s="1"/>
      <c r="ES436" s="1"/>
      <c r="ET436" s="1"/>
      <c r="EU436" s="1"/>
      <c r="EV436" s="1"/>
      <c r="EW436" s="1"/>
      <c r="EX436" s="1"/>
      <c r="EY436" s="1"/>
      <c r="EZ436" s="1"/>
      <c r="FA436" s="1"/>
      <c r="FB436" s="1"/>
      <c r="FC436" s="1"/>
      <c r="FD436" s="1"/>
      <c r="FE436" s="1"/>
      <c r="FF436" s="1"/>
      <c r="FG436" s="1"/>
      <c r="FH436" s="1"/>
      <c r="FI436" s="1"/>
      <c r="FJ436" s="1"/>
      <c r="FK436" s="1"/>
      <c r="FL436" s="1"/>
      <c r="FM436" s="1"/>
      <c r="FN436" s="1"/>
      <c r="FO436" s="1"/>
      <c r="FP436" s="1"/>
      <c r="FQ436" s="1"/>
      <c r="FR436" s="1"/>
      <c r="FS436" s="1"/>
      <c r="FT436" s="1"/>
      <c r="FU436" s="1"/>
      <c r="FV436" s="1"/>
      <c r="FW436" s="1"/>
      <c r="FX436" s="1"/>
      <c r="FY436" s="1"/>
      <c r="FZ436" s="1"/>
      <c r="GA436" s="1"/>
      <c r="GB436" s="1"/>
      <c r="GC436" s="1"/>
      <c r="GD436" s="1"/>
      <c r="GE436" s="1"/>
      <c r="GF436" s="1"/>
      <c r="GG436" s="1"/>
      <c r="GH436" s="1"/>
      <c r="GI436" s="1"/>
      <c r="GJ436" s="1"/>
      <c r="GK436" s="1"/>
      <c r="GL436" s="1"/>
      <c r="GM436" s="1"/>
      <c r="GN436" s="1"/>
      <c r="GO436" s="1"/>
      <c r="GP436" s="1"/>
      <c r="GQ436" s="1"/>
      <c r="GR436" s="1"/>
      <c r="GS436" s="1"/>
      <c r="GT436" s="1"/>
      <c r="GU436" s="1"/>
      <c r="GV436" s="1"/>
      <c r="GW436" s="1"/>
      <c r="GX436" s="1"/>
      <c r="GY436" s="1"/>
      <c r="GZ436" s="1"/>
      <c r="HA436" s="1"/>
      <c r="HB436" s="1"/>
      <c r="HC436" s="1"/>
      <c r="HD436" s="1"/>
      <c r="HE436" s="1"/>
      <c r="HF436" s="1"/>
      <c r="HG436" s="1"/>
      <c r="HH436" s="1"/>
      <c r="HI436" s="1"/>
      <c r="HJ436" s="1"/>
      <c r="HK436" s="1"/>
      <c r="HL436" s="1"/>
      <c r="HM436" s="1"/>
      <c r="HN436" s="1"/>
      <c r="HO436" s="1"/>
      <c r="HP436" s="1"/>
      <c r="HQ436" s="1"/>
      <c r="HR436" s="1"/>
      <c r="HS436" s="1"/>
      <c r="HT436" s="1"/>
      <c r="HU436" s="1"/>
      <c r="HV436" s="1"/>
      <c r="HW436" s="1"/>
      <c r="HX436" s="1"/>
      <c r="HY436" s="1"/>
      <c r="HZ436" s="1"/>
      <c r="IA436" s="1"/>
      <c r="IB436" s="1"/>
      <c r="IC436" s="1"/>
      <c r="ID436" s="1"/>
      <c r="IE436" s="1"/>
      <c r="IF436" s="1"/>
      <c r="IG436" s="1"/>
      <c r="IH436" s="1"/>
      <c r="II436" s="1"/>
      <c r="IJ436" s="1"/>
      <c r="IK436" s="1"/>
      <c r="IL436" s="1"/>
      <c r="IM436" s="1"/>
      <c r="IN436" s="1"/>
      <c r="IO436" s="1"/>
      <c r="IP436" s="1"/>
      <c r="IQ436" s="1"/>
      <c r="IR436" s="1"/>
      <c r="IS436" s="1"/>
      <c r="IT436" s="1"/>
      <c r="IU436" s="1"/>
      <c r="IV436" s="1"/>
      <c r="IW436" s="1"/>
      <c r="IX436" s="1"/>
      <c r="IY436" s="1"/>
      <c r="IZ436" s="1"/>
      <c r="JA436" s="1"/>
      <c r="JB436" s="1"/>
      <c r="JC436" s="1"/>
      <c r="JD436" s="1"/>
    </row>
    <row r="437" spans="1:264" s="411" customFormat="1" x14ac:dyDescent="0.2">
      <c r="A437" s="347" t="s">
        <v>389</v>
      </c>
      <c r="B437" s="423"/>
      <c r="BH437" s="397"/>
      <c r="BI437" s="397"/>
      <c r="BJ437" s="397"/>
      <c r="BK437" s="348"/>
      <c r="BL437" s="397"/>
      <c r="BM437" s="397"/>
      <c r="BN437" s="397"/>
      <c r="BO437" s="423"/>
      <c r="BP437" s="397"/>
      <c r="BQ437" s="397"/>
      <c r="BR437" s="397"/>
      <c r="BT437" s="397"/>
      <c r="BU437" s="397"/>
      <c r="BV437" s="397"/>
      <c r="BW437" s="498"/>
      <c r="BX437" s="397"/>
      <c r="CA437" s="498"/>
      <c r="CB437" s="397"/>
      <c r="CD437" s="351">
        <f>+CD434-CD436</f>
        <v>671</v>
      </c>
      <c r="CE437" s="498"/>
      <c r="CF437" s="351">
        <f>+CF434-CF436</f>
        <v>384</v>
      </c>
      <c r="CG437" s="351">
        <f t="shared" si="404"/>
        <v>412</v>
      </c>
      <c r="CH437" s="351">
        <f>+CH434-CH436</f>
        <v>796</v>
      </c>
      <c r="CJ437" s="351">
        <f>+CJ434-CJ436</f>
        <v>350</v>
      </c>
      <c r="CK437" s="351">
        <f t="shared" si="405"/>
        <v>481</v>
      </c>
      <c r="CL437" s="351">
        <f>+CL434-CL436</f>
        <v>831</v>
      </c>
      <c r="CN437" s="351">
        <f>+CN434-CN436</f>
        <v>473</v>
      </c>
      <c r="CO437" s="351">
        <f t="shared" si="406"/>
        <v>553</v>
      </c>
      <c r="CP437" s="351">
        <f>+CP434-CP436</f>
        <v>1026</v>
      </c>
      <c r="CR437" s="351">
        <f>+CR434-CR436</f>
        <v>513</v>
      </c>
      <c r="CS437" s="351">
        <f t="shared" si="407"/>
        <v>474</v>
      </c>
      <c r="CT437" s="351">
        <f>+CT434-CT436</f>
        <v>987</v>
      </c>
      <c r="CV437" s="351">
        <f>+CV434-CV436</f>
        <v>484</v>
      </c>
      <c r="CW437" s="351">
        <f t="shared" si="408"/>
        <v>506</v>
      </c>
      <c r="CX437" s="351">
        <f>+CX434-CX436</f>
        <v>990</v>
      </c>
      <c r="CZ437" s="351">
        <f>+CZ434-CZ436</f>
        <v>492</v>
      </c>
      <c r="DA437" s="351">
        <f t="shared" si="409"/>
        <v>503</v>
      </c>
      <c r="DB437" s="351">
        <f>+DB434-DB436</f>
        <v>995</v>
      </c>
      <c r="DD437" s="351">
        <f>+DD434-DD436</f>
        <v>546</v>
      </c>
      <c r="DE437" s="351">
        <f t="shared" si="410"/>
        <v>541</v>
      </c>
      <c r="DF437" s="351">
        <f>+DF434-DF436</f>
        <v>1087</v>
      </c>
      <c r="DH437" s="351">
        <f>+DH434-DH436</f>
        <v>575</v>
      </c>
      <c r="DI437" s="351">
        <f t="shared" ref="DI437" si="411">+DJ437-DH437</f>
        <v>582.24480000000017</v>
      </c>
      <c r="DJ437" s="351">
        <f>+DJ434-DJ436</f>
        <v>1157.2448000000002</v>
      </c>
      <c r="DL437" s="351">
        <f>+DL434-DL436</f>
        <v>590.94720000000007</v>
      </c>
      <c r="DM437" s="351">
        <f t="shared" ref="DM437" si="412">+DN437-DL437</f>
        <v>593.88969600000019</v>
      </c>
      <c r="DN437" s="351">
        <f>+DN434-DN436</f>
        <v>1184.8368960000003</v>
      </c>
      <c r="DP437" s="351">
        <f>+DP434-DP436</f>
        <v>627.8814000000001</v>
      </c>
      <c r="DQ437" s="351">
        <f t="shared" ref="DQ437" si="413">+DR437-DP437</f>
        <v>631.00780199999997</v>
      </c>
      <c r="DR437" s="351">
        <f>+DR434-DR436</f>
        <v>1258.8892020000001</v>
      </c>
      <c r="DT437" s="1"/>
      <c r="DU437" s="1"/>
      <c r="DV437" s="1"/>
      <c r="DW437" s="1"/>
      <c r="DX437" s="1"/>
      <c r="DY437" s="1"/>
      <c r="DZ437" s="1"/>
      <c r="EA437" s="1"/>
      <c r="EB437" s="1"/>
      <c r="EC437" s="1"/>
      <c r="ED437" s="1"/>
      <c r="EE437" s="1"/>
      <c r="EF437" s="1"/>
      <c r="EG437" s="1"/>
      <c r="EH437" s="1"/>
      <c r="EI437" s="1"/>
      <c r="EJ437" s="1"/>
      <c r="EK437" s="1"/>
      <c r="EL437" s="1"/>
      <c r="EM437" s="1"/>
      <c r="EN437" s="1"/>
      <c r="EO437" s="1"/>
      <c r="EP437" s="1"/>
      <c r="EQ437" s="1"/>
      <c r="ER437" s="1"/>
      <c r="ES437" s="1"/>
      <c r="ET437" s="1"/>
      <c r="EU437" s="1"/>
      <c r="EV437" s="1"/>
      <c r="EW437" s="1"/>
      <c r="EX437" s="1"/>
      <c r="EY437" s="1"/>
      <c r="EZ437" s="1"/>
      <c r="FA437" s="1"/>
      <c r="FB437" s="1"/>
      <c r="FC437" s="1"/>
      <c r="FD437" s="1"/>
      <c r="FE437" s="1"/>
      <c r="FF437" s="1"/>
      <c r="FG437" s="1"/>
      <c r="FH437" s="1"/>
      <c r="FI437" s="1"/>
      <c r="FJ437" s="1"/>
      <c r="FK437" s="1"/>
      <c r="FL437" s="1"/>
      <c r="FM437" s="1"/>
      <c r="FN437" s="1"/>
      <c r="FO437" s="1"/>
      <c r="FP437" s="1"/>
      <c r="FQ437" s="1"/>
      <c r="FR437" s="1"/>
      <c r="FS437" s="1"/>
      <c r="FT437" s="1"/>
      <c r="FU437" s="1"/>
      <c r="FV437" s="1"/>
      <c r="FW437" s="1"/>
      <c r="FX437" s="1"/>
      <c r="FY437" s="1"/>
      <c r="FZ437" s="1"/>
      <c r="GA437" s="1"/>
      <c r="GB437" s="1"/>
      <c r="GC437" s="1"/>
      <c r="GD437" s="1"/>
      <c r="GE437" s="1"/>
      <c r="GF437" s="1"/>
      <c r="GG437" s="1"/>
      <c r="GH437" s="1"/>
      <c r="GI437" s="1"/>
      <c r="GJ437" s="1"/>
      <c r="GK437" s="1"/>
      <c r="GL437" s="1"/>
      <c r="GM437" s="1"/>
      <c r="GN437" s="1"/>
      <c r="GO437" s="1"/>
      <c r="GP437" s="1"/>
      <c r="GQ437" s="1"/>
      <c r="GR437" s="1"/>
      <c r="GS437" s="1"/>
      <c r="GT437" s="1"/>
      <c r="GU437" s="1"/>
      <c r="GV437" s="1"/>
      <c r="GW437" s="1"/>
      <c r="GX437" s="1"/>
      <c r="GY437" s="1"/>
      <c r="GZ437" s="1"/>
      <c r="HA437" s="1"/>
      <c r="HB437" s="1"/>
      <c r="HC437" s="1"/>
      <c r="HD437" s="1"/>
      <c r="HE437" s="1"/>
      <c r="HF437" s="1"/>
      <c r="HG437" s="1"/>
      <c r="HH437" s="1"/>
      <c r="HI437" s="1"/>
      <c r="HJ437" s="1"/>
      <c r="HK437" s="1"/>
      <c r="HL437" s="1"/>
      <c r="HM437" s="1"/>
      <c r="HN437" s="1"/>
      <c r="HO437" s="1"/>
      <c r="HP437" s="1"/>
      <c r="HQ437" s="1"/>
      <c r="HR437" s="1"/>
      <c r="HS437" s="1"/>
      <c r="HT437" s="1"/>
      <c r="HU437" s="1"/>
      <c r="HV437" s="1"/>
      <c r="HW437" s="1"/>
      <c r="HX437" s="1"/>
      <c r="HY437" s="1"/>
      <c r="HZ437" s="1"/>
      <c r="IA437" s="1"/>
      <c r="IB437" s="1"/>
      <c r="IC437" s="1"/>
      <c r="ID437" s="1"/>
      <c r="IE437" s="1"/>
      <c r="IF437" s="1"/>
      <c r="IG437" s="1"/>
      <c r="IH437" s="1"/>
      <c r="II437" s="1"/>
      <c r="IJ437" s="1"/>
      <c r="IK437" s="1"/>
      <c r="IL437" s="1"/>
      <c r="IM437" s="1"/>
      <c r="IN437" s="1"/>
      <c r="IO437" s="1"/>
      <c r="IP437" s="1"/>
      <c r="IQ437" s="1"/>
      <c r="IR437" s="1"/>
      <c r="IS437" s="1"/>
      <c r="IT437" s="1"/>
      <c r="IU437" s="1"/>
      <c r="IV437" s="1"/>
      <c r="IW437" s="1"/>
      <c r="IX437" s="1"/>
      <c r="IY437" s="1"/>
      <c r="IZ437" s="1"/>
      <c r="JA437" s="1"/>
      <c r="JB437" s="1"/>
      <c r="JC437" s="1"/>
      <c r="JD437" s="1"/>
    </row>
    <row r="438" spans="1:264" s="411" customFormat="1" x14ac:dyDescent="0.2">
      <c r="A438" s="477" t="s">
        <v>388</v>
      </c>
      <c r="B438" s="525"/>
      <c r="C438" s="526"/>
      <c r="D438" s="526"/>
      <c r="E438" s="526"/>
      <c r="F438" s="526"/>
      <c r="G438" s="526"/>
      <c r="H438" s="526"/>
      <c r="I438" s="526"/>
      <c r="J438" s="526"/>
      <c r="K438" s="526"/>
      <c r="L438" s="526"/>
      <c r="M438" s="526"/>
      <c r="N438" s="526"/>
      <c r="O438" s="526"/>
      <c r="P438" s="526"/>
      <c r="Q438" s="526"/>
      <c r="R438" s="526"/>
      <c r="S438" s="526"/>
      <c r="T438" s="526"/>
      <c r="U438" s="526"/>
      <c r="V438" s="526"/>
      <c r="W438" s="526"/>
      <c r="X438" s="526"/>
      <c r="Y438" s="526"/>
      <c r="Z438" s="526"/>
      <c r="AA438" s="526"/>
      <c r="AB438" s="526"/>
      <c r="AC438" s="526"/>
      <c r="AD438" s="526"/>
      <c r="AE438" s="526"/>
      <c r="AF438" s="526"/>
      <c r="AG438" s="526"/>
      <c r="AH438" s="526"/>
      <c r="AI438" s="526"/>
      <c r="AJ438" s="526"/>
      <c r="AK438" s="526"/>
      <c r="AL438" s="526"/>
      <c r="AM438" s="526"/>
      <c r="AN438" s="526"/>
      <c r="AO438" s="526"/>
      <c r="AP438" s="526"/>
      <c r="AQ438" s="526"/>
      <c r="AR438" s="526"/>
      <c r="AS438" s="526"/>
      <c r="AT438" s="526"/>
      <c r="AU438" s="526"/>
      <c r="AV438" s="526"/>
      <c r="AW438" s="526"/>
      <c r="AX438" s="526"/>
      <c r="AY438" s="526"/>
      <c r="AZ438" s="526"/>
      <c r="BA438" s="526"/>
      <c r="BB438" s="526"/>
      <c r="BC438" s="526"/>
      <c r="BD438" s="526"/>
      <c r="BE438" s="526"/>
      <c r="BF438" s="526"/>
      <c r="BG438" s="526"/>
      <c r="BH438" s="527"/>
      <c r="BI438" s="527"/>
      <c r="BJ438" s="527"/>
      <c r="BK438" s="446"/>
      <c r="BL438" s="527"/>
      <c r="BM438" s="527"/>
      <c r="BN438" s="527"/>
      <c r="BO438" s="525"/>
      <c r="BP438" s="527"/>
      <c r="BQ438" s="527"/>
      <c r="BR438" s="527"/>
      <c r="BS438" s="526"/>
      <c r="BT438" s="527"/>
      <c r="BU438" s="527"/>
      <c r="BV438" s="527"/>
      <c r="BW438" s="528"/>
      <c r="BX438" s="527"/>
      <c r="BY438" s="526"/>
      <c r="BZ438" s="526"/>
      <c r="CA438" s="528"/>
      <c r="CB438" s="527"/>
      <c r="CC438" s="526"/>
      <c r="CD438" s="478">
        <f>+CD436/CD434</f>
        <v>0.47659906396255852</v>
      </c>
      <c r="CE438" s="528"/>
      <c r="CF438" s="478">
        <f>+CF436/CF434</f>
        <v>0.43195266272189348</v>
      </c>
      <c r="CG438" s="478">
        <f>+CG436/CG434</f>
        <v>0.43015214384508993</v>
      </c>
      <c r="CH438" s="478">
        <f>+CH436/CH434</f>
        <v>0.43102215868477484</v>
      </c>
      <c r="CI438" s="526"/>
      <c r="CJ438" s="478">
        <f>+CJ436/CJ434</f>
        <v>0.45226917057902971</v>
      </c>
      <c r="CK438" s="478">
        <f>+CK436/CK434</f>
        <v>0.39724310776942356</v>
      </c>
      <c r="CL438" s="478">
        <f>+CL436/CL434</f>
        <v>0.42171189979123175</v>
      </c>
      <c r="CM438" s="526"/>
      <c r="CN438" s="478">
        <f>+CN436/CN434</f>
        <v>0.44742990654205606</v>
      </c>
      <c r="CO438" s="478">
        <f>+CO436/CO434</f>
        <v>0.41972717733473242</v>
      </c>
      <c r="CP438" s="478">
        <f>+CP436/CP434</f>
        <v>0.43283582089552236</v>
      </c>
      <c r="CQ438" s="526"/>
      <c r="CR438" s="478">
        <f>+CR436/CR434</f>
        <v>0.45714285714285713</v>
      </c>
      <c r="CS438" s="478">
        <f>+CS436/CS434</f>
        <v>0.49196141479099681</v>
      </c>
      <c r="CT438" s="478">
        <f>+CT436/CT434</f>
        <v>0.4744408945686901</v>
      </c>
      <c r="CU438" s="526"/>
      <c r="CV438" s="478">
        <f>+CV436/CV434</f>
        <v>0.49740394600207682</v>
      </c>
      <c r="CW438" s="478">
        <f>+CW436/CW434</f>
        <v>0.51111111111111107</v>
      </c>
      <c r="CX438" s="478">
        <f>+CX436/CX434</f>
        <v>0.50450450450450446</v>
      </c>
      <c r="CY438" s="526"/>
      <c r="CZ438" s="478">
        <f>+CZ436/CZ434</f>
        <v>0.50202429149797567</v>
      </c>
      <c r="DA438" s="478">
        <f>+DA436/DA434</f>
        <v>0.50782778864970646</v>
      </c>
      <c r="DB438" s="478">
        <f>+DB436/DB434</f>
        <v>0.50497512437810943</v>
      </c>
      <c r="DC438" s="526"/>
      <c r="DD438" s="478">
        <f>+DD436/DD434</f>
        <v>0.50182481751824815</v>
      </c>
      <c r="DE438" s="478">
        <f>+DE436/DE434</f>
        <v>0.54954204829308906</v>
      </c>
      <c r="DF438" s="478">
        <f>+DF436/DF434</f>
        <v>0.52677405311275571</v>
      </c>
      <c r="DG438" s="526"/>
      <c r="DH438" s="478">
        <f>+DH436/DH434</f>
        <v>0.52361226180613085</v>
      </c>
      <c r="DI438" s="474">
        <v>0.52</v>
      </c>
      <c r="DJ438" s="478">
        <f>+DJ436/DJ434</f>
        <v>0.5218016454477461</v>
      </c>
      <c r="DK438" s="526"/>
      <c r="DL438" s="474">
        <v>0.52</v>
      </c>
      <c r="DM438" s="474">
        <v>0.52</v>
      </c>
      <c r="DN438" s="478">
        <f>+DN436/DN434</f>
        <v>0.51999999999999991</v>
      </c>
      <c r="DO438" s="526"/>
      <c r="DP438" s="474">
        <v>0.5</v>
      </c>
      <c r="DQ438" s="474">
        <v>0.5</v>
      </c>
      <c r="DR438" s="478">
        <f>+DR436/DR434</f>
        <v>0.5</v>
      </c>
      <c r="DS438" s="526"/>
      <c r="DT438" s="1"/>
      <c r="DU438" s="1"/>
      <c r="DV438" s="1"/>
      <c r="DW438" s="1"/>
      <c r="DX438" s="1"/>
      <c r="DY438" s="1"/>
      <c r="DZ438" s="1"/>
      <c r="EA438" s="1"/>
      <c r="EB438" s="1"/>
      <c r="EC438" s="1"/>
      <c r="ED438" s="1"/>
      <c r="EE438" s="1"/>
      <c r="EF438" s="1"/>
      <c r="EG438" s="1"/>
      <c r="EH438" s="1"/>
      <c r="EI438" s="1"/>
      <c r="EJ438" s="1"/>
      <c r="EK438" s="1"/>
      <c r="EL438" s="1"/>
      <c r="EM438" s="1"/>
      <c r="EN438" s="1"/>
      <c r="EO438" s="1"/>
      <c r="EP438" s="1"/>
      <c r="EQ438" s="1"/>
      <c r="ER438" s="1"/>
      <c r="ES438" s="1"/>
      <c r="ET438" s="1"/>
      <c r="EU438" s="1"/>
      <c r="EV438" s="1"/>
      <c r="EW438" s="1"/>
      <c r="EX438" s="1"/>
      <c r="EY438" s="1"/>
      <c r="EZ438" s="1"/>
      <c r="FA438" s="1"/>
      <c r="FB438" s="1"/>
      <c r="FC438" s="1"/>
      <c r="FD438" s="1"/>
      <c r="FE438" s="1"/>
      <c r="FF438" s="1"/>
      <c r="FG438" s="1"/>
      <c r="FH438" s="1"/>
      <c r="FI438" s="1"/>
      <c r="FJ438" s="1"/>
      <c r="FK438" s="1"/>
      <c r="FL438" s="1"/>
      <c r="FM438" s="1"/>
      <c r="FN438" s="1"/>
      <c r="FO438" s="1"/>
      <c r="FP438" s="1"/>
      <c r="FQ438" s="1"/>
      <c r="FR438" s="1"/>
      <c r="FS438" s="1"/>
      <c r="FT438" s="1"/>
      <c r="FU438" s="1"/>
      <c r="FV438" s="1"/>
      <c r="FW438" s="1"/>
      <c r="FX438" s="1"/>
      <c r="FY438" s="1"/>
      <c r="FZ438" s="1"/>
      <c r="GA438" s="1"/>
      <c r="GB438" s="1"/>
      <c r="GC438" s="1"/>
      <c r="GD438" s="1"/>
      <c r="GE438" s="1"/>
      <c r="GF438" s="1"/>
      <c r="GG438" s="1"/>
      <c r="GH438" s="1"/>
      <c r="GI438" s="1"/>
      <c r="GJ438" s="1"/>
      <c r="GK438" s="1"/>
      <c r="GL438" s="1"/>
      <c r="GM438" s="1"/>
      <c r="GN438" s="1"/>
      <c r="GO438" s="1"/>
      <c r="GP438" s="1"/>
      <c r="GQ438" s="1"/>
      <c r="GR438" s="1"/>
      <c r="GS438" s="1"/>
      <c r="GT438" s="1"/>
      <c r="GU438" s="1"/>
      <c r="GV438" s="1"/>
      <c r="GW438" s="1"/>
      <c r="GX438" s="1"/>
      <c r="GY438" s="1"/>
      <c r="GZ438" s="1"/>
      <c r="HA438" s="1"/>
      <c r="HB438" s="1"/>
      <c r="HC438" s="1"/>
      <c r="HD438" s="1"/>
      <c r="HE438" s="1"/>
      <c r="HF438" s="1"/>
      <c r="HG438" s="1"/>
      <c r="HH438" s="1"/>
      <c r="HI438" s="1"/>
      <c r="HJ438" s="1"/>
      <c r="HK438" s="1"/>
      <c r="HL438" s="1"/>
      <c r="HM438" s="1"/>
      <c r="HN438" s="1"/>
      <c r="HO438" s="1"/>
      <c r="HP438" s="1"/>
      <c r="HQ438" s="1"/>
      <c r="HR438" s="1"/>
      <c r="HS438" s="1"/>
      <c r="HT438" s="1"/>
      <c r="HU438" s="1"/>
      <c r="HV438" s="1"/>
      <c r="HW438" s="1"/>
      <c r="HX438" s="1"/>
      <c r="HY438" s="1"/>
      <c r="HZ438" s="1"/>
      <c r="IA438" s="1"/>
      <c r="IB438" s="1"/>
      <c r="IC438" s="1"/>
      <c r="ID438" s="1"/>
      <c r="IE438" s="1"/>
      <c r="IF438" s="1"/>
      <c r="IG438" s="1"/>
      <c r="IH438" s="1"/>
      <c r="II438" s="1"/>
      <c r="IJ438" s="1"/>
      <c r="IK438" s="1"/>
      <c r="IL438" s="1"/>
      <c r="IM438" s="1"/>
      <c r="IN438" s="1"/>
      <c r="IO438" s="1"/>
      <c r="IP438" s="1"/>
      <c r="IQ438" s="1"/>
      <c r="IR438" s="1"/>
      <c r="IS438" s="1"/>
      <c r="IT438" s="1"/>
      <c r="IU438" s="1"/>
      <c r="IV438" s="1"/>
      <c r="IW438" s="1"/>
      <c r="IX438" s="1"/>
      <c r="IY438" s="1"/>
      <c r="IZ438" s="1"/>
      <c r="JA438" s="1"/>
      <c r="JB438" s="1"/>
      <c r="JC438" s="1"/>
      <c r="JD438" s="1"/>
    </row>
    <row r="439" spans="1:264" s="411" customFormat="1" x14ac:dyDescent="0.2">
      <c r="A439" s="429" t="s">
        <v>389</v>
      </c>
      <c r="B439" s="423"/>
      <c r="BH439" s="397"/>
      <c r="BI439" s="397"/>
      <c r="BJ439" s="397"/>
      <c r="BK439" s="348"/>
      <c r="BL439" s="397"/>
      <c r="BM439" s="397"/>
      <c r="BN439" s="397"/>
      <c r="BO439" s="423"/>
      <c r="BP439" s="397"/>
      <c r="BQ439" s="397"/>
      <c r="BR439" s="397"/>
      <c r="BT439" s="397"/>
      <c r="BU439" s="397"/>
      <c r="BV439" s="397"/>
      <c r="BW439" s="498"/>
      <c r="BX439" s="397"/>
      <c r="CA439" s="498"/>
      <c r="CB439" s="397"/>
      <c r="CD439" s="393">
        <f>+CD437/CD434</f>
        <v>0.52340093603744153</v>
      </c>
      <c r="CE439" s="498"/>
      <c r="CF439" s="393">
        <f>+CF437/CF434</f>
        <v>0.56804733727810652</v>
      </c>
      <c r="CG439" s="393">
        <f>+CG437/CG434</f>
        <v>0.56984785615491007</v>
      </c>
      <c r="CH439" s="393">
        <f>+CH437/CH434</f>
        <v>0.56897784131522511</v>
      </c>
      <c r="CJ439" s="393">
        <f>+CJ437/CJ434</f>
        <v>0.54773082942097029</v>
      </c>
      <c r="CK439" s="393">
        <f>+CK437/CK434</f>
        <v>0.60275689223057649</v>
      </c>
      <c r="CL439" s="393">
        <f>+CL437/CL434</f>
        <v>0.57828810020876831</v>
      </c>
      <c r="CN439" s="393">
        <f>+CN437/CN434</f>
        <v>0.55257009345794394</v>
      </c>
      <c r="CO439" s="393">
        <f>+CO437/CO434</f>
        <v>0.58027282266526758</v>
      </c>
      <c r="CP439" s="393">
        <f>+CP437/CP434</f>
        <v>0.56716417910447758</v>
      </c>
      <c r="CR439" s="393">
        <f>+CR437/CR434</f>
        <v>0.54285714285714282</v>
      </c>
      <c r="CS439" s="393">
        <f>+CS437/CS434</f>
        <v>0.50803858520900325</v>
      </c>
      <c r="CT439" s="393">
        <f>+CT437/CT434</f>
        <v>0.5255591054313099</v>
      </c>
      <c r="CV439" s="393">
        <f>+CV437/CV434</f>
        <v>0.50259605399792318</v>
      </c>
      <c r="CW439" s="393">
        <f>+CW437/CW434</f>
        <v>0.48888888888888887</v>
      </c>
      <c r="CX439" s="393">
        <f>+CX437/CX434</f>
        <v>0.49549549549549549</v>
      </c>
      <c r="CZ439" s="393">
        <f>+CZ437/CZ434</f>
        <v>0.49797570850202427</v>
      </c>
      <c r="DA439" s="393">
        <f>+DA437/DA434</f>
        <v>0.49217221135029354</v>
      </c>
      <c r="DB439" s="393">
        <f>+DB437/DB434</f>
        <v>0.49502487562189057</v>
      </c>
      <c r="DD439" s="393">
        <f>+DD437/DD434</f>
        <v>0.4981751824817518</v>
      </c>
      <c r="DE439" s="393">
        <f>+DE437/DE434</f>
        <v>0.45045795170691089</v>
      </c>
      <c r="DF439" s="393">
        <f>+DF437/DF434</f>
        <v>0.47322594688724423</v>
      </c>
      <c r="DH439" s="393">
        <f>+DH437/DH434</f>
        <v>0.47638773819386909</v>
      </c>
      <c r="DI439" s="393">
        <f>+DI437/DI434</f>
        <v>0.48000000000000015</v>
      </c>
      <c r="DJ439" s="393">
        <f>+DJ437/DJ434</f>
        <v>0.47819835455225396</v>
      </c>
      <c r="DL439" s="393">
        <f>+DL437/DL434</f>
        <v>0.48000000000000004</v>
      </c>
      <c r="DM439" s="393">
        <f>+DM437/DM434</f>
        <v>0.48000000000000015</v>
      </c>
      <c r="DN439" s="393">
        <f>+DN437/DN434</f>
        <v>0.48000000000000004</v>
      </c>
      <c r="DP439" s="393">
        <f>+DP437/DP434</f>
        <v>0.5</v>
      </c>
      <c r="DQ439" s="393">
        <f>+DQ437/DQ434</f>
        <v>0.5</v>
      </c>
      <c r="DR439" s="393">
        <f>+DR437/DR434</f>
        <v>0.5</v>
      </c>
      <c r="DT439" s="1"/>
      <c r="DU439" s="1"/>
      <c r="DV439" s="1"/>
      <c r="DW439" s="1"/>
      <c r="DX439" s="1"/>
      <c r="DY439" s="1"/>
      <c r="DZ439" s="1"/>
      <c r="EA439" s="1"/>
      <c r="EB439" s="1"/>
      <c r="EC439" s="1"/>
      <c r="ED439" s="1"/>
      <c r="EE439" s="1"/>
      <c r="EF439" s="1"/>
      <c r="EG439" s="1"/>
      <c r="EH439" s="1"/>
      <c r="EI439" s="1"/>
      <c r="EJ439" s="1"/>
      <c r="EK439" s="1"/>
      <c r="EL439" s="1"/>
      <c r="EM439" s="1"/>
      <c r="EN439" s="1"/>
      <c r="EO439" s="1"/>
      <c r="EP439" s="1"/>
      <c r="EQ439" s="1"/>
      <c r="ER439" s="1"/>
      <c r="ES439" s="1"/>
      <c r="ET439" s="1"/>
      <c r="EU439" s="1"/>
      <c r="EV439" s="1"/>
      <c r="EW439" s="1"/>
      <c r="EX439" s="1"/>
      <c r="EY439" s="1"/>
      <c r="EZ439" s="1"/>
      <c r="FA439" s="1"/>
      <c r="FB439" s="1"/>
      <c r="FC439" s="1"/>
      <c r="FD439" s="1"/>
      <c r="FE439" s="1"/>
      <c r="FF439" s="1"/>
      <c r="FG439" s="1"/>
      <c r="FH439" s="1"/>
      <c r="FI439" s="1"/>
      <c r="FJ439" s="1"/>
      <c r="FK439" s="1"/>
      <c r="FL439" s="1"/>
      <c r="FM439" s="1"/>
      <c r="FN439" s="1"/>
      <c r="FO439" s="1"/>
      <c r="FP439" s="1"/>
      <c r="FQ439" s="1"/>
      <c r="FR439" s="1"/>
      <c r="FS439" s="1"/>
      <c r="FT439" s="1"/>
      <c r="FU439" s="1"/>
      <c r="FV439" s="1"/>
      <c r="FW439" s="1"/>
      <c r="FX439" s="1"/>
      <c r="FY439" s="1"/>
      <c r="FZ439" s="1"/>
      <c r="GA439" s="1"/>
      <c r="GB439" s="1"/>
      <c r="GC439" s="1"/>
      <c r="GD439" s="1"/>
      <c r="GE439" s="1"/>
      <c r="GF439" s="1"/>
      <c r="GG439" s="1"/>
      <c r="GH439" s="1"/>
      <c r="GI439" s="1"/>
      <c r="GJ439" s="1"/>
      <c r="GK439" s="1"/>
      <c r="GL439" s="1"/>
      <c r="GM439" s="1"/>
      <c r="GN439" s="1"/>
      <c r="GO439" s="1"/>
      <c r="GP439" s="1"/>
      <c r="GQ439" s="1"/>
      <c r="GR439" s="1"/>
      <c r="GS439" s="1"/>
      <c r="GT439" s="1"/>
      <c r="GU439" s="1"/>
      <c r="GV439" s="1"/>
      <c r="GW439" s="1"/>
      <c r="GX439" s="1"/>
      <c r="GY439" s="1"/>
      <c r="GZ439" s="1"/>
      <c r="HA439" s="1"/>
      <c r="HB439" s="1"/>
      <c r="HC439" s="1"/>
      <c r="HD439" s="1"/>
      <c r="HE439" s="1"/>
      <c r="HF439" s="1"/>
      <c r="HG439" s="1"/>
      <c r="HH439" s="1"/>
      <c r="HI439" s="1"/>
      <c r="HJ439" s="1"/>
      <c r="HK439" s="1"/>
      <c r="HL439" s="1"/>
      <c r="HM439" s="1"/>
      <c r="HN439" s="1"/>
      <c r="HO439" s="1"/>
      <c r="HP439" s="1"/>
      <c r="HQ439" s="1"/>
      <c r="HR439" s="1"/>
      <c r="HS439" s="1"/>
      <c r="HT439" s="1"/>
      <c r="HU439" s="1"/>
      <c r="HV439" s="1"/>
      <c r="HW439" s="1"/>
      <c r="HX439" s="1"/>
      <c r="HY439" s="1"/>
      <c r="HZ439" s="1"/>
      <c r="IA439" s="1"/>
      <c r="IB439" s="1"/>
      <c r="IC439" s="1"/>
      <c r="ID439" s="1"/>
      <c r="IE439" s="1"/>
      <c r="IF439" s="1"/>
      <c r="IG439" s="1"/>
      <c r="IH439" s="1"/>
      <c r="II439" s="1"/>
      <c r="IJ439" s="1"/>
      <c r="IK439" s="1"/>
      <c r="IL439" s="1"/>
      <c r="IM439" s="1"/>
      <c r="IN439" s="1"/>
      <c r="IO439" s="1"/>
      <c r="IP439" s="1"/>
      <c r="IQ439" s="1"/>
      <c r="IR439" s="1"/>
      <c r="IS439" s="1"/>
      <c r="IT439" s="1"/>
      <c r="IU439" s="1"/>
      <c r="IV439" s="1"/>
      <c r="IW439" s="1"/>
      <c r="IX439" s="1"/>
      <c r="IY439" s="1"/>
      <c r="IZ439" s="1"/>
      <c r="JA439" s="1"/>
      <c r="JB439" s="1"/>
      <c r="JC439" s="1"/>
      <c r="JD439" s="1"/>
    </row>
    <row r="440" spans="1:264" s="411" customFormat="1" x14ac:dyDescent="0.2">
      <c r="A440" s="530" t="s">
        <v>390</v>
      </c>
      <c r="B440" s="525"/>
      <c r="C440" s="526"/>
      <c r="D440" s="526"/>
      <c r="E440" s="526"/>
      <c r="F440" s="526"/>
      <c r="G440" s="526"/>
      <c r="H440" s="526"/>
      <c r="I440" s="526"/>
      <c r="J440" s="526"/>
      <c r="K440" s="526"/>
      <c r="L440" s="526"/>
      <c r="M440" s="526"/>
      <c r="N440" s="526"/>
      <c r="O440" s="526"/>
      <c r="P440" s="526"/>
      <c r="Q440" s="526"/>
      <c r="R440" s="526"/>
      <c r="S440" s="526"/>
      <c r="T440" s="526"/>
      <c r="U440" s="526"/>
      <c r="V440" s="526"/>
      <c r="W440" s="526"/>
      <c r="X440" s="526"/>
      <c r="Y440" s="526"/>
      <c r="Z440" s="526"/>
      <c r="AA440" s="526"/>
      <c r="AB440" s="526"/>
      <c r="AC440" s="526"/>
      <c r="AD440" s="526"/>
      <c r="AE440" s="526"/>
      <c r="AF440" s="526"/>
      <c r="AG440" s="526"/>
      <c r="AH440" s="526"/>
      <c r="AI440" s="526"/>
      <c r="AJ440" s="526"/>
      <c r="AK440" s="526"/>
      <c r="AL440" s="526"/>
      <c r="AM440" s="526"/>
      <c r="AN440" s="526"/>
      <c r="AO440" s="526"/>
      <c r="AP440" s="526"/>
      <c r="AQ440" s="526"/>
      <c r="AR440" s="526"/>
      <c r="AS440" s="526"/>
      <c r="AT440" s="526"/>
      <c r="AU440" s="526"/>
      <c r="AV440" s="526"/>
      <c r="AW440" s="526"/>
      <c r="AX440" s="526"/>
      <c r="AY440" s="526"/>
      <c r="AZ440" s="526"/>
      <c r="BA440" s="526"/>
      <c r="BB440" s="526"/>
      <c r="BC440" s="526"/>
      <c r="BD440" s="526"/>
      <c r="BE440" s="526"/>
      <c r="BF440" s="526"/>
      <c r="BG440" s="526"/>
      <c r="BH440" s="527"/>
      <c r="BI440" s="527"/>
      <c r="BJ440" s="527"/>
      <c r="BK440" s="446"/>
      <c r="BL440" s="527"/>
      <c r="BM440" s="527"/>
      <c r="BN440" s="527"/>
      <c r="BO440" s="525"/>
      <c r="BP440" s="527"/>
      <c r="BQ440" s="527"/>
      <c r="BR440" s="527"/>
      <c r="BS440" s="526"/>
      <c r="BT440" s="527"/>
      <c r="BU440" s="527"/>
      <c r="BV440" s="527"/>
      <c r="BW440" s="528"/>
      <c r="BX440" s="527"/>
      <c r="BY440" s="526"/>
      <c r="BZ440" s="526"/>
      <c r="CA440" s="528"/>
      <c r="CB440" s="527"/>
      <c r="CC440" s="526"/>
      <c r="CD440" s="531">
        <f>+CD426/CD436</f>
        <v>0.79541734860883795</v>
      </c>
      <c r="CE440" s="528"/>
      <c r="CF440" s="531">
        <f>+CF426/CF436</f>
        <v>0.66438356164383561</v>
      </c>
      <c r="CG440" s="531">
        <f>+CG426/CG436</f>
        <v>0.47909967845659163</v>
      </c>
      <c r="CH440" s="531">
        <f>+CH426/CH436</f>
        <v>0.56882255389718073</v>
      </c>
      <c r="CI440" s="526"/>
      <c r="CJ440" s="531">
        <f>+CJ426/CJ436</f>
        <v>0.69550173010380623</v>
      </c>
      <c r="CK440" s="531">
        <f>+CK426/CK436</f>
        <v>0.47949526813880128</v>
      </c>
      <c r="CL440" s="531">
        <f>+CL426/CL436</f>
        <v>0.58250825082508251</v>
      </c>
      <c r="CM440" s="526"/>
      <c r="CN440" s="531">
        <f>+CN426/CN436</f>
        <v>0.72062663185378595</v>
      </c>
      <c r="CO440" s="531">
        <f>+CO426/CO436</f>
        <v>0.6925</v>
      </c>
      <c r="CP440" s="531">
        <f>+CP426/CP436</f>
        <v>0.70625798212005109</v>
      </c>
      <c r="CQ440" s="526"/>
      <c r="CR440" s="531">
        <f>+CR426/CR436</f>
        <v>0.73611111111111116</v>
      </c>
      <c r="CS440" s="531">
        <f>+CS426/CS436</f>
        <v>0.92592592592592593</v>
      </c>
      <c r="CT440" s="531">
        <f>+CT426/CT436</f>
        <v>0.83389450056116721</v>
      </c>
      <c r="CU440" s="526"/>
      <c r="CV440" s="531">
        <f>+CV426/CV436</f>
        <v>0.87056367432150317</v>
      </c>
      <c r="CW440" s="531">
        <f>+CW426/CW436</f>
        <v>0.90926275992438566</v>
      </c>
      <c r="CX440" s="531">
        <f>+CX426/CX436</f>
        <v>0.89087301587301593</v>
      </c>
      <c r="CY440" s="526"/>
      <c r="CZ440" s="531">
        <f>+CZ426/CZ436</f>
        <v>0.88104838709677424</v>
      </c>
      <c r="DA440" s="531">
        <f>+DA426/DA436</f>
        <v>0.89595375722543358</v>
      </c>
      <c r="DB440" s="531">
        <f>+DB426/DB436</f>
        <v>0.8886699507389163</v>
      </c>
      <c r="DC440" s="526"/>
      <c r="DD440" s="531">
        <f>+DD426/DD436</f>
        <v>0.9363636363636364</v>
      </c>
      <c r="DE440" s="531">
        <f>+DE426/DE436</f>
        <v>0.97878787878787876</v>
      </c>
      <c r="DF440" s="531">
        <f>+DF426/DF436</f>
        <v>0.95950413223140496</v>
      </c>
      <c r="DG440" s="526"/>
      <c r="DH440" s="531">
        <f>+DH426/DH436</f>
        <v>0.935126582278481</v>
      </c>
      <c r="DI440" s="474">
        <f>DH440</f>
        <v>0.935126582278481</v>
      </c>
      <c r="DJ440" s="531">
        <f>+DJ426/DJ436</f>
        <v>0.935126582278481</v>
      </c>
      <c r="DK440" s="526"/>
      <c r="DL440" s="474">
        <f>DH440</f>
        <v>0.935126582278481</v>
      </c>
      <c r="DM440" s="474">
        <f>DL440</f>
        <v>0.935126582278481</v>
      </c>
      <c r="DN440" s="531">
        <f>+DN426/DN436</f>
        <v>0.935126582278481</v>
      </c>
      <c r="DO440" s="526"/>
      <c r="DP440" s="474">
        <f>DL440</f>
        <v>0.935126582278481</v>
      </c>
      <c r="DQ440" s="474">
        <f>DP440</f>
        <v>0.935126582278481</v>
      </c>
      <c r="DR440" s="531">
        <f>+DR426/DR436</f>
        <v>0.935126582278481</v>
      </c>
      <c r="DS440" s="526"/>
      <c r="DT440" s="1"/>
      <c r="DU440" s="1"/>
      <c r="DV440" s="1"/>
      <c r="DW440" s="1"/>
      <c r="DX440" s="1"/>
      <c r="DY440" s="1"/>
      <c r="DZ440" s="1"/>
      <c r="EA440" s="1"/>
      <c r="EB440" s="1"/>
      <c r="EC440" s="1"/>
      <c r="ED440" s="1"/>
      <c r="EE440" s="1"/>
      <c r="EF440" s="1"/>
      <c r="EG440" s="1"/>
      <c r="EH440" s="1"/>
      <c r="EI440" s="1"/>
      <c r="EJ440" s="1"/>
      <c r="EK440" s="1"/>
      <c r="EL440" s="1"/>
      <c r="EM440" s="1"/>
      <c r="EN440" s="1"/>
      <c r="EO440" s="1"/>
      <c r="EP440" s="1"/>
      <c r="EQ440" s="1"/>
      <c r="ER440" s="1"/>
      <c r="ES440" s="1"/>
      <c r="ET440" s="1"/>
      <c r="EU440" s="1"/>
      <c r="EV440" s="1"/>
      <c r="EW440" s="1"/>
      <c r="EX440" s="1"/>
      <c r="EY440" s="1"/>
      <c r="EZ440" s="1"/>
      <c r="FA440" s="1"/>
      <c r="FB440" s="1"/>
      <c r="FC440" s="1"/>
      <c r="FD440" s="1"/>
      <c r="FE440" s="1"/>
      <c r="FF440" s="1"/>
      <c r="FG440" s="1"/>
      <c r="FH440" s="1"/>
      <c r="FI440" s="1"/>
      <c r="FJ440" s="1"/>
      <c r="FK440" s="1"/>
      <c r="FL440" s="1"/>
      <c r="FM440" s="1"/>
      <c r="FN440" s="1"/>
      <c r="FO440" s="1"/>
      <c r="FP440" s="1"/>
      <c r="FQ440" s="1"/>
      <c r="FR440" s="1"/>
      <c r="FS440" s="1"/>
      <c r="FT440" s="1"/>
      <c r="FU440" s="1"/>
      <c r="FV440" s="1"/>
      <c r="FW440" s="1"/>
      <c r="FX440" s="1"/>
      <c r="FY440" s="1"/>
      <c r="FZ440" s="1"/>
      <c r="GA440" s="1"/>
      <c r="GB440" s="1"/>
      <c r="GC440" s="1"/>
      <c r="GD440" s="1"/>
      <c r="GE440" s="1"/>
      <c r="GF440" s="1"/>
      <c r="GG440" s="1"/>
      <c r="GH440" s="1"/>
      <c r="GI440" s="1"/>
      <c r="GJ440" s="1"/>
      <c r="GK440" s="1"/>
      <c r="GL440" s="1"/>
      <c r="GM440" s="1"/>
      <c r="GN440" s="1"/>
      <c r="GO440" s="1"/>
      <c r="GP440" s="1"/>
      <c r="GQ440" s="1"/>
      <c r="GR440" s="1"/>
      <c r="GS440" s="1"/>
      <c r="GT440" s="1"/>
      <c r="GU440" s="1"/>
      <c r="GV440" s="1"/>
      <c r="GW440" s="1"/>
      <c r="GX440" s="1"/>
      <c r="GY440" s="1"/>
      <c r="GZ440" s="1"/>
      <c r="HA440" s="1"/>
      <c r="HB440" s="1"/>
      <c r="HC440" s="1"/>
      <c r="HD440" s="1"/>
      <c r="HE440" s="1"/>
      <c r="HF440" s="1"/>
      <c r="HG440" s="1"/>
      <c r="HH440" s="1"/>
      <c r="HI440" s="1"/>
      <c r="HJ440" s="1"/>
      <c r="HK440" s="1"/>
      <c r="HL440" s="1"/>
      <c r="HM440" s="1"/>
      <c r="HN440" s="1"/>
      <c r="HO440" s="1"/>
      <c r="HP440" s="1"/>
      <c r="HQ440" s="1"/>
      <c r="HR440" s="1"/>
      <c r="HS440" s="1"/>
      <c r="HT440" s="1"/>
      <c r="HU440" s="1"/>
      <c r="HV440" s="1"/>
      <c r="HW440" s="1"/>
      <c r="HX440" s="1"/>
      <c r="HY440" s="1"/>
      <c r="HZ440" s="1"/>
      <c r="IA440" s="1"/>
      <c r="IB440" s="1"/>
      <c r="IC440" s="1"/>
      <c r="ID440" s="1"/>
      <c r="IE440" s="1"/>
      <c r="IF440" s="1"/>
      <c r="IG440" s="1"/>
      <c r="IH440" s="1"/>
      <c r="II440" s="1"/>
      <c r="IJ440" s="1"/>
      <c r="IK440" s="1"/>
      <c r="IL440" s="1"/>
      <c r="IM440" s="1"/>
      <c r="IN440" s="1"/>
      <c r="IO440" s="1"/>
      <c r="IP440" s="1"/>
      <c r="IQ440" s="1"/>
      <c r="IR440" s="1"/>
      <c r="IS440" s="1"/>
      <c r="IT440" s="1"/>
      <c r="IU440" s="1"/>
      <c r="IV440" s="1"/>
      <c r="IW440" s="1"/>
      <c r="IX440" s="1"/>
      <c r="IY440" s="1"/>
      <c r="IZ440" s="1"/>
      <c r="JA440" s="1"/>
      <c r="JB440" s="1"/>
      <c r="JC440" s="1"/>
      <c r="JD440" s="1"/>
    </row>
    <row r="441" spans="1:264" s="411" customFormat="1" x14ac:dyDescent="0.2">
      <c r="B441" s="423"/>
      <c r="BH441" s="397"/>
      <c r="BI441" s="397"/>
      <c r="BJ441" s="397"/>
      <c r="BK441" s="348"/>
      <c r="BL441" s="397"/>
      <c r="BM441" s="397"/>
      <c r="BN441" s="397"/>
      <c r="BO441" s="423"/>
      <c r="BP441" s="397"/>
      <c r="BQ441" s="397"/>
      <c r="BR441" s="397"/>
      <c r="BT441" s="397"/>
      <c r="BU441" s="397"/>
      <c r="BV441" s="397"/>
      <c r="BW441" s="498"/>
      <c r="BX441" s="397"/>
      <c r="CA441" s="498"/>
      <c r="CB441" s="397"/>
      <c r="CE441" s="498"/>
      <c r="CF441" s="397"/>
      <c r="CJ441" s="397"/>
      <c r="CN441" s="397"/>
      <c r="CR441" s="397"/>
      <c r="CV441" s="397"/>
      <c r="CZ441" s="397"/>
      <c r="DD441" s="397"/>
      <c r="DH441" s="397"/>
      <c r="DL441" s="423"/>
      <c r="DP441" s="423"/>
      <c r="DT441" s="1"/>
      <c r="DU441" s="1"/>
      <c r="DV441" s="1"/>
      <c r="DW441" s="1"/>
      <c r="DX441" s="1"/>
      <c r="DY441" s="1"/>
      <c r="DZ441" s="1"/>
      <c r="EA441" s="1"/>
      <c r="EB441" s="1"/>
      <c r="EC441" s="1"/>
      <c r="ED441" s="1"/>
      <c r="EE441" s="1"/>
      <c r="EF441" s="1"/>
      <c r="EG441" s="1"/>
      <c r="EH441" s="1"/>
      <c r="EI441" s="1"/>
      <c r="EJ441" s="1"/>
      <c r="EK441" s="1"/>
      <c r="EL441" s="1"/>
      <c r="EM441" s="1"/>
      <c r="EN441" s="1"/>
      <c r="EO441" s="1"/>
      <c r="EP441" s="1"/>
      <c r="EQ441" s="1"/>
      <c r="ER441" s="1"/>
      <c r="ES441" s="1"/>
      <c r="ET441" s="1"/>
      <c r="EU441" s="1"/>
      <c r="EV441" s="1"/>
      <c r="EW441" s="1"/>
      <c r="EX441" s="1"/>
      <c r="EY441" s="1"/>
      <c r="EZ441" s="1"/>
      <c r="FA441" s="1"/>
      <c r="FB441" s="1"/>
      <c r="FC441" s="1"/>
      <c r="FD441" s="1"/>
      <c r="FE441" s="1"/>
      <c r="FF441" s="1"/>
      <c r="FG441" s="1"/>
      <c r="FH441" s="1"/>
      <c r="FI441" s="1"/>
      <c r="FJ441" s="1"/>
      <c r="FK441" s="1"/>
      <c r="FL441" s="1"/>
      <c r="FM441" s="1"/>
      <c r="FN441" s="1"/>
      <c r="FO441" s="1"/>
      <c r="FP441" s="1"/>
      <c r="FQ441" s="1"/>
      <c r="FR441" s="1"/>
      <c r="FS441" s="1"/>
      <c r="FT441" s="1"/>
      <c r="FU441" s="1"/>
      <c r="FV441" s="1"/>
      <c r="FW441" s="1"/>
      <c r="FX441" s="1"/>
      <c r="FY441" s="1"/>
      <c r="FZ441" s="1"/>
      <c r="GA441" s="1"/>
      <c r="GB441" s="1"/>
      <c r="GC441" s="1"/>
      <c r="GD441" s="1"/>
      <c r="GE441" s="1"/>
      <c r="GF441" s="1"/>
      <c r="GG441" s="1"/>
      <c r="GH441" s="1"/>
      <c r="GI441" s="1"/>
      <c r="GJ441" s="1"/>
      <c r="GK441" s="1"/>
      <c r="GL441" s="1"/>
      <c r="GM441" s="1"/>
      <c r="GN441" s="1"/>
      <c r="GO441" s="1"/>
      <c r="GP441" s="1"/>
      <c r="GQ441" s="1"/>
      <c r="GR441" s="1"/>
      <c r="GS441" s="1"/>
      <c r="GT441" s="1"/>
      <c r="GU441" s="1"/>
      <c r="GV441" s="1"/>
      <c r="GW441" s="1"/>
      <c r="GX441" s="1"/>
      <c r="GY441" s="1"/>
      <c r="GZ441" s="1"/>
      <c r="HA441" s="1"/>
      <c r="HB441" s="1"/>
      <c r="HC441" s="1"/>
      <c r="HD441" s="1"/>
      <c r="HE441" s="1"/>
      <c r="HF441" s="1"/>
      <c r="HG441" s="1"/>
      <c r="HH441" s="1"/>
      <c r="HI441" s="1"/>
      <c r="HJ441" s="1"/>
      <c r="HK441" s="1"/>
      <c r="HL441" s="1"/>
      <c r="HM441" s="1"/>
      <c r="HN441" s="1"/>
      <c r="HO441" s="1"/>
      <c r="HP441" s="1"/>
      <c r="HQ441" s="1"/>
      <c r="HR441" s="1"/>
      <c r="HS441" s="1"/>
      <c r="HT441" s="1"/>
      <c r="HU441" s="1"/>
      <c r="HV441" s="1"/>
      <c r="HW441" s="1"/>
      <c r="HX441" s="1"/>
      <c r="HY441" s="1"/>
      <c r="HZ441" s="1"/>
      <c r="IA441" s="1"/>
      <c r="IB441" s="1"/>
      <c r="IC441" s="1"/>
      <c r="ID441" s="1"/>
      <c r="IE441" s="1"/>
      <c r="IF441" s="1"/>
      <c r="IG441" s="1"/>
      <c r="IH441" s="1"/>
      <c r="II441" s="1"/>
      <c r="IJ441" s="1"/>
      <c r="IK441" s="1"/>
      <c r="IL441" s="1"/>
      <c r="IM441" s="1"/>
      <c r="IN441" s="1"/>
      <c r="IO441" s="1"/>
      <c r="IP441" s="1"/>
      <c r="IQ441" s="1"/>
      <c r="IR441" s="1"/>
      <c r="IS441" s="1"/>
      <c r="IT441" s="1"/>
      <c r="IU441" s="1"/>
      <c r="IV441" s="1"/>
      <c r="IW441" s="1"/>
      <c r="IX441" s="1"/>
      <c r="IY441" s="1"/>
      <c r="IZ441" s="1"/>
      <c r="JA441" s="1"/>
      <c r="JB441" s="1"/>
      <c r="JC441" s="1"/>
      <c r="JD441" s="1"/>
    </row>
    <row r="442" spans="1:264" s="411" customFormat="1" x14ac:dyDescent="0.2">
      <c r="A442" s="411" t="s">
        <v>391</v>
      </c>
      <c r="B442" s="423"/>
      <c r="BH442" s="397"/>
      <c r="BI442" s="397"/>
      <c r="BJ442" s="397"/>
      <c r="BK442" s="348"/>
      <c r="BL442" s="397"/>
      <c r="BM442" s="397"/>
      <c r="BN442" s="397"/>
      <c r="BO442" s="423"/>
      <c r="BP442" s="397"/>
      <c r="BQ442" s="397"/>
      <c r="BR442" s="397"/>
      <c r="BT442" s="397"/>
      <c r="BU442" s="397"/>
      <c r="BV442" s="397"/>
      <c r="BX442" s="397"/>
      <c r="CB442" s="397"/>
      <c r="CF442" s="397"/>
      <c r="CJ442" s="397"/>
      <c r="CN442" s="397"/>
      <c r="CR442" s="397"/>
      <c r="CV442" s="397"/>
      <c r="CZ442" s="397"/>
      <c r="DD442" s="397"/>
      <c r="DH442" s="397"/>
      <c r="DL442" s="423"/>
      <c r="DP442" s="423"/>
      <c r="DT442" s="1"/>
      <c r="DU442" s="1"/>
      <c r="DV442" s="1"/>
      <c r="DW442" s="1"/>
      <c r="DX442" s="1"/>
      <c r="DY442" s="1"/>
      <c r="DZ442" s="1"/>
      <c r="EA442" s="1"/>
      <c r="EB442" s="1"/>
      <c r="EC442" s="1"/>
      <c r="ED442" s="1"/>
      <c r="EE442" s="1"/>
      <c r="EF442" s="1"/>
      <c r="EG442" s="1"/>
      <c r="EH442" s="1"/>
      <c r="EI442" s="1"/>
      <c r="EJ442" s="1"/>
      <c r="EK442" s="1"/>
      <c r="EL442" s="1"/>
      <c r="EM442" s="1"/>
      <c r="EN442" s="1"/>
      <c r="EO442" s="1"/>
      <c r="EP442" s="1"/>
      <c r="EQ442" s="1"/>
      <c r="ER442" s="1"/>
      <c r="ES442" s="1"/>
      <c r="ET442" s="1"/>
      <c r="EU442" s="1"/>
      <c r="EV442" s="1"/>
      <c r="EW442" s="1"/>
      <c r="EX442" s="1"/>
      <c r="EY442" s="1"/>
      <c r="EZ442" s="1"/>
      <c r="FA442" s="1"/>
      <c r="FB442" s="1"/>
      <c r="FC442" s="1"/>
      <c r="FD442" s="1"/>
      <c r="FE442" s="1"/>
      <c r="FF442" s="1"/>
      <c r="FG442" s="1"/>
      <c r="FH442" s="1"/>
      <c r="FI442" s="1"/>
      <c r="FJ442" s="1"/>
      <c r="FK442" s="1"/>
      <c r="FL442" s="1"/>
      <c r="FM442" s="1"/>
      <c r="FN442" s="1"/>
      <c r="FO442" s="1"/>
      <c r="FP442" s="1"/>
      <c r="FQ442" s="1"/>
      <c r="FR442" s="1"/>
      <c r="FS442" s="1"/>
      <c r="FT442" s="1"/>
      <c r="FU442" s="1"/>
      <c r="FV442" s="1"/>
      <c r="FW442" s="1"/>
      <c r="FX442" s="1"/>
      <c r="FY442" s="1"/>
      <c r="FZ442" s="1"/>
      <c r="GA442" s="1"/>
      <c r="GB442" s="1"/>
      <c r="GC442" s="1"/>
      <c r="GD442" s="1"/>
      <c r="GE442" s="1"/>
      <c r="GF442" s="1"/>
      <c r="GG442" s="1"/>
      <c r="GH442" s="1"/>
      <c r="GI442" s="1"/>
      <c r="GJ442" s="1"/>
      <c r="GK442" s="1"/>
      <c r="GL442" s="1"/>
      <c r="GM442" s="1"/>
      <c r="GN442" s="1"/>
      <c r="GO442" s="1"/>
      <c r="GP442" s="1"/>
      <c r="GQ442" s="1"/>
      <c r="GR442" s="1"/>
      <c r="GS442" s="1"/>
      <c r="GT442" s="1"/>
      <c r="GU442" s="1"/>
      <c r="GV442" s="1"/>
      <c r="GW442" s="1"/>
      <c r="GX442" s="1"/>
      <c r="GY442" s="1"/>
      <c r="GZ442" s="1"/>
      <c r="HA442" s="1"/>
      <c r="HB442" s="1"/>
      <c r="HC442" s="1"/>
      <c r="HD442" s="1"/>
      <c r="HE442" s="1"/>
      <c r="HF442" s="1"/>
      <c r="HG442" s="1"/>
      <c r="HH442" s="1"/>
      <c r="HI442" s="1"/>
      <c r="HJ442" s="1"/>
      <c r="HK442" s="1"/>
      <c r="HL442" s="1"/>
      <c r="HM442" s="1"/>
      <c r="HN442" s="1"/>
      <c r="HO442" s="1"/>
      <c r="HP442" s="1"/>
      <c r="HQ442" s="1"/>
      <c r="HR442" s="1"/>
      <c r="HS442" s="1"/>
      <c r="HT442" s="1"/>
      <c r="HU442" s="1"/>
      <c r="HV442" s="1"/>
      <c r="HW442" s="1"/>
      <c r="HX442" s="1"/>
      <c r="HY442" s="1"/>
      <c r="HZ442" s="1"/>
      <c r="IA442" s="1"/>
      <c r="IB442" s="1"/>
      <c r="IC442" s="1"/>
      <c r="ID442" s="1"/>
      <c r="IE442" s="1"/>
      <c r="IF442" s="1"/>
      <c r="IG442" s="1"/>
      <c r="IH442" s="1"/>
      <c r="II442" s="1"/>
      <c r="IJ442" s="1"/>
      <c r="IK442" s="1"/>
      <c r="IL442" s="1"/>
      <c r="IM442" s="1"/>
      <c r="IN442" s="1"/>
      <c r="IO442" s="1"/>
      <c r="IP442" s="1"/>
      <c r="IQ442" s="1"/>
      <c r="IR442" s="1"/>
      <c r="IS442" s="1"/>
      <c r="IT442" s="1"/>
      <c r="IU442" s="1"/>
      <c r="IV442" s="1"/>
      <c r="IW442" s="1"/>
      <c r="IX442" s="1"/>
      <c r="IY442" s="1"/>
      <c r="IZ442" s="1"/>
      <c r="JA442" s="1"/>
      <c r="JB442" s="1"/>
      <c r="JC442" s="1"/>
      <c r="JD442" s="1"/>
    </row>
    <row r="443" spans="1:264" s="411" customFormat="1" x14ac:dyDescent="0.2">
      <c r="A443" s="411" t="s">
        <v>93</v>
      </c>
      <c r="B443" s="423"/>
      <c r="BH443" s="397">
        <f>BH380+BH383</f>
        <v>549216</v>
      </c>
      <c r="BI443" s="397">
        <f>BI380+BI383</f>
        <v>568821</v>
      </c>
      <c r="BJ443" s="397">
        <f>BJ380+BJ383</f>
        <v>568821</v>
      </c>
      <c r="BK443" s="348"/>
      <c r="BL443" s="397">
        <f>BL380+BL383</f>
        <v>591775</v>
      </c>
      <c r="BM443" s="397">
        <f>BM380+BM383</f>
        <v>608127</v>
      </c>
      <c r="BN443" s="397">
        <f>BN380+BN383</f>
        <v>608127</v>
      </c>
      <c r="BO443" s="423"/>
      <c r="BP443" s="397">
        <f>BP380+BP383</f>
        <v>627698</v>
      </c>
      <c r="BQ443" s="397">
        <f>BQ380+BQ383</f>
        <v>646172</v>
      </c>
      <c r="BR443" s="397">
        <f>BR380+BR383</f>
        <v>646172</v>
      </c>
      <c r="BT443" s="397">
        <f>BT380+BT383</f>
        <v>675728</v>
      </c>
      <c r="BU443" s="397">
        <f>BU380+BU383</f>
        <v>701730</v>
      </c>
      <c r="BV443" s="397">
        <f>BV380+BV383</f>
        <v>701730</v>
      </c>
      <c r="BX443" s="397">
        <f>BX380+BX383</f>
        <v>719250</v>
      </c>
      <c r="BY443" s="397">
        <f>BY380+BY383</f>
        <v>737002</v>
      </c>
      <c r="BZ443" s="397">
        <f>BZ380+BZ383</f>
        <v>737002</v>
      </c>
      <c r="CA443" s="455"/>
      <c r="CB443" s="397">
        <f>CB380+CB383</f>
        <v>741318</v>
      </c>
      <c r="CC443" s="397">
        <f>CC380+CC383</f>
        <v>748408</v>
      </c>
      <c r="CD443" s="397">
        <f>CD380+CD383</f>
        <v>748408</v>
      </c>
      <c r="CE443" s="455"/>
      <c r="CF443" s="397">
        <f>CF380+CF383</f>
        <v>759463</v>
      </c>
      <c r="CG443" s="397">
        <f>CG380+CG383</f>
        <v>761013</v>
      </c>
      <c r="CH443" s="397">
        <f>CH380+CH383</f>
        <v>761013</v>
      </c>
      <c r="CJ443" s="397">
        <f>CJ380+CJ383</f>
        <v>771383</v>
      </c>
      <c r="CK443" s="397">
        <f>CK380+CK383</f>
        <v>780108</v>
      </c>
      <c r="CL443" s="397">
        <f>CL380+CL383</f>
        <v>780108</v>
      </c>
      <c r="CN443" s="397">
        <f>CN380+CN383</f>
        <v>794473</v>
      </c>
      <c r="CO443" s="397">
        <f>CO380+CO383</f>
        <v>818266</v>
      </c>
      <c r="CP443" s="397">
        <f>CP380+CP383</f>
        <v>818266</v>
      </c>
      <c r="CR443" s="397">
        <f>CR380+CR383</f>
        <v>850509</v>
      </c>
      <c r="CS443" s="397">
        <f>CS380+CS383</f>
        <v>884963</v>
      </c>
      <c r="CT443" s="397">
        <f>CT380+CT383</f>
        <v>884963</v>
      </c>
      <c r="CV443" s="397">
        <f>CV380+CV383</f>
        <v>912835</v>
      </c>
      <c r="CW443" s="397">
        <f>CW380+CW383</f>
        <v>933251</v>
      </c>
      <c r="CX443" s="397">
        <f>CX380+CX383</f>
        <v>933251</v>
      </c>
      <c r="CZ443" s="397">
        <f>CZ380+CZ383</f>
        <v>928807</v>
      </c>
      <c r="DA443" s="397">
        <f>DA380+DA383</f>
        <v>949948</v>
      </c>
      <c r="DB443" s="397">
        <f>DB380+DB383</f>
        <v>949948</v>
      </c>
      <c r="DD443" s="397">
        <f>DD380+DD383</f>
        <v>977384</v>
      </c>
      <c r="DE443" s="397">
        <f>DE380+DE383</f>
        <v>1015883</v>
      </c>
      <c r="DF443" s="397">
        <f>DF380+DF383</f>
        <v>1015883</v>
      </c>
      <c r="DH443" s="397">
        <f>DH380+DH383</f>
        <v>1048988</v>
      </c>
      <c r="DI443" s="397">
        <f>DI380+DI383</f>
        <v>1085563.3850495967</v>
      </c>
      <c r="DJ443" s="397">
        <f>DJ380+DJ383</f>
        <v>1085563.3850495967</v>
      </c>
      <c r="DL443" s="397">
        <f>DL380+DL383</f>
        <v>1117407.6161743863</v>
      </c>
      <c r="DM443" s="397">
        <f>DM380+DM383</f>
        <v>1152170.2205865183</v>
      </c>
      <c r="DN443" s="397">
        <f>DN380+DN383</f>
        <v>1152170.2205865183</v>
      </c>
      <c r="DP443" s="397">
        <f>DP380+DP383</f>
        <v>1179120.5333508002</v>
      </c>
      <c r="DQ443" s="397">
        <f>DQ380+DQ383</f>
        <v>1208740.8652868862</v>
      </c>
      <c r="DR443" s="397">
        <f>DR380+DR383</f>
        <v>1208740.8652868862</v>
      </c>
      <c r="DT443" s="1"/>
      <c r="DU443" s="1"/>
      <c r="DV443" s="1"/>
      <c r="DW443" s="1"/>
      <c r="DX443" s="1"/>
      <c r="DY443" s="1"/>
      <c r="DZ443" s="1"/>
      <c r="EA443" s="1"/>
      <c r="EB443" s="1"/>
      <c r="EC443" s="1"/>
      <c r="ED443" s="1"/>
      <c r="EE443" s="1"/>
      <c r="EF443" s="1"/>
      <c r="EG443" s="1"/>
      <c r="EH443" s="1"/>
      <c r="EI443" s="1"/>
      <c r="EJ443" s="1"/>
      <c r="EK443" s="1"/>
      <c r="EL443" s="1"/>
      <c r="EM443" s="1"/>
      <c r="EN443" s="1"/>
      <c r="EO443" s="1"/>
      <c r="EP443" s="1"/>
      <c r="EQ443" s="1"/>
      <c r="ER443" s="1"/>
      <c r="ES443" s="1"/>
      <c r="ET443" s="1"/>
      <c r="EU443" s="1"/>
      <c r="EV443" s="1"/>
      <c r="EW443" s="1"/>
      <c r="EX443" s="1"/>
      <c r="EY443" s="1"/>
      <c r="EZ443" s="1"/>
      <c r="FA443" s="1"/>
      <c r="FB443" s="1"/>
      <c r="FC443" s="1"/>
      <c r="FD443" s="1"/>
      <c r="FE443" s="1"/>
      <c r="FF443" s="1"/>
      <c r="FG443" s="1"/>
      <c r="FH443" s="1"/>
      <c r="FI443" s="1"/>
      <c r="FJ443" s="1"/>
      <c r="FK443" s="1"/>
      <c r="FL443" s="1"/>
      <c r="FM443" s="1"/>
      <c r="FN443" s="1"/>
      <c r="FO443" s="1"/>
      <c r="FP443" s="1"/>
      <c r="FQ443" s="1"/>
      <c r="FR443" s="1"/>
      <c r="FS443" s="1"/>
      <c r="FT443" s="1"/>
      <c r="FU443" s="1"/>
      <c r="FV443" s="1"/>
      <c r="FW443" s="1"/>
      <c r="FX443" s="1"/>
      <c r="FY443" s="1"/>
      <c r="FZ443" s="1"/>
      <c r="GA443" s="1"/>
      <c r="GB443" s="1"/>
      <c r="GC443" s="1"/>
      <c r="GD443" s="1"/>
      <c r="GE443" s="1"/>
      <c r="GF443" s="1"/>
      <c r="GG443" s="1"/>
      <c r="GH443" s="1"/>
      <c r="GI443" s="1"/>
      <c r="GJ443" s="1"/>
      <c r="GK443" s="1"/>
      <c r="GL443" s="1"/>
      <c r="GM443" s="1"/>
      <c r="GN443" s="1"/>
      <c r="GO443" s="1"/>
      <c r="GP443" s="1"/>
      <c r="GQ443" s="1"/>
      <c r="GR443" s="1"/>
      <c r="GS443" s="1"/>
      <c r="GT443" s="1"/>
      <c r="GU443" s="1"/>
      <c r="GV443" s="1"/>
      <c r="GW443" s="1"/>
      <c r="GX443" s="1"/>
      <c r="GY443" s="1"/>
      <c r="GZ443" s="1"/>
      <c r="HA443" s="1"/>
      <c r="HB443" s="1"/>
      <c r="HC443" s="1"/>
      <c r="HD443" s="1"/>
      <c r="HE443" s="1"/>
      <c r="HF443" s="1"/>
      <c r="HG443" s="1"/>
      <c r="HH443" s="1"/>
      <c r="HI443" s="1"/>
      <c r="HJ443" s="1"/>
      <c r="HK443" s="1"/>
      <c r="HL443" s="1"/>
      <c r="HM443" s="1"/>
      <c r="HN443" s="1"/>
      <c r="HO443" s="1"/>
      <c r="HP443" s="1"/>
      <c r="HQ443" s="1"/>
      <c r="HR443" s="1"/>
      <c r="HS443" s="1"/>
      <c r="HT443" s="1"/>
      <c r="HU443" s="1"/>
      <c r="HV443" s="1"/>
      <c r="HW443" s="1"/>
      <c r="HX443" s="1"/>
      <c r="HY443" s="1"/>
      <c r="HZ443" s="1"/>
      <c r="IA443" s="1"/>
      <c r="IB443" s="1"/>
      <c r="IC443" s="1"/>
      <c r="ID443" s="1"/>
      <c r="IE443" s="1"/>
      <c r="IF443" s="1"/>
      <c r="IG443" s="1"/>
      <c r="IH443" s="1"/>
      <c r="II443" s="1"/>
      <c r="IJ443" s="1"/>
      <c r="IK443" s="1"/>
      <c r="IL443" s="1"/>
      <c r="IM443" s="1"/>
      <c r="IN443" s="1"/>
      <c r="IO443" s="1"/>
      <c r="IP443" s="1"/>
      <c r="IQ443" s="1"/>
      <c r="IR443" s="1"/>
      <c r="IS443" s="1"/>
      <c r="IT443" s="1"/>
      <c r="IU443" s="1"/>
      <c r="IV443" s="1"/>
      <c r="IW443" s="1"/>
      <c r="IX443" s="1"/>
      <c r="IY443" s="1"/>
      <c r="IZ443" s="1"/>
      <c r="JA443" s="1"/>
      <c r="JB443" s="1"/>
      <c r="JC443" s="1"/>
      <c r="JD443" s="1"/>
    </row>
    <row r="444" spans="1:264" s="411" customFormat="1" x14ac:dyDescent="0.2">
      <c r="A444" s="347" t="s">
        <v>392</v>
      </c>
      <c r="B444" s="423"/>
      <c r="BH444" s="483">
        <f t="shared" ref="BH444:BJ445" si="414">BH389/BH$443</f>
        <v>0.81645472819437159</v>
      </c>
      <c r="BI444" s="483">
        <f t="shared" si="414"/>
        <v>0.80768642507924282</v>
      </c>
      <c r="BJ444" s="483">
        <f t="shared" si="414"/>
        <v>0.80768642507924282</v>
      </c>
      <c r="BK444" s="348"/>
      <c r="BL444" s="483">
        <f t="shared" ref="BL444:BN445" si="415">BL389/BL$443</f>
        <v>0.82038950614676187</v>
      </c>
      <c r="BM444" s="483">
        <f t="shared" si="415"/>
        <v>0.81948671905703907</v>
      </c>
      <c r="BN444" s="483">
        <f t="shared" si="415"/>
        <v>0.81948671905703907</v>
      </c>
      <c r="BO444" s="423"/>
      <c r="BP444" s="483">
        <f t="shared" ref="BP444:BR445" si="416">BP389/BP$443</f>
        <v>0.83250703363719492</v>
      </c>
      <c r="BQ444" s="483">
        <f t="shared" si="416"/>
        <v>0.84069102344267466</v>
      </c>
      <c r="BR444" s="483">
        <f t="shared" si="416"/>
        <v>0.84069102344267466</v>
      </c>
      <c r="BT444" s="483">
        <f t="shared" ref="BT444:BV445" si="417">BT389/BT$443</f>
        <v>0.82947280562593229</v>
      </c>
      <c r="BU444" s="483">
        <f t="shared" si="417"/>
        <v>0.83799324526527297</v>
      </c>
      <c r="BV444" s="483">
        <f t="shared" si="417"/>
        <v>0.83799324526527297</v>
      </c>
      <c r="BX444" s="483">
        <f t="shared" ref="BX444:BZ445" si="418">BX389/BX$443</f>
        <v>0.842670837678137</v>
      </c>
      <c r="BY444" s="483">
        <f t="shared" si="418"/>
        <v>0.85027584728399652</v>
      </c>
      <c r="BZ444" s="483">
        <f t="shared" si="418"/>
        <v>0.85027584728399652</v>
      </c>
      <c r="CB444" s="483">
        <f t="shared" ref="CB444:CD445" si="419">CB389/CB$443</f>
        <v>0.84295403591980766</v>
      </c>
      <c r="CC444" s="483">
        <f t="shared" si="419"/>
        <v>0.83141013992367796</v>
      </c>
      <c r="CD444" s="483">
        <f t="shared" si="419"/>
        <v>0.83141013992367796</v>
      </c>
      <c r="CF444" s="483">
        <f t="shared" ref="CF444:CH445" si="420">CF389/CF$443</f>
        <v>0.83876370540763667</v>
      </c>
      <c r="CG444" s="483">
        <f t="shared" si="420"/>
        <v>0.83578072910712431</v>
      </c>
      <c r="CH444" s="483">
        <f t="shared" si="420"/>
        <v>0.83578072910712431</v>
      </c>
      <c r="CJ444" s="483">
        <f t="shared" ref="CJ444:CL445" si="421">CJ389/CJ$443</f>
        <v>0.85926705670205328</v>
      </c>
      <c r="CK444" s="483">
        <f t="shared" si="421"/>
        <v>0.89987411999364186</v>
      </c>
      <c r="CL444" s="483">
        <f t="shared" si="421"/>
        <v>0.89987411999364186</v>
      </c>
      <c r="CN444" s="483">
        <f>CN389/CN$443</f>
        <v>0.93957378035502781</v>
      </c>
      <c r="CO444" s="483">
        <f t="shared" ref="CO444:CP445" si="422">CO389/CO$443</f>
        <v>0.9365915240276389</v>
      </c>
      <c r="CP444" s="483">
        <f t="shared" si="422"/>
        <v>0.9365915240276389</v>
      </c>
      <c r="CR444" s="483">
        <f>CR389/CR$443</f>
        <v>0.95839550198763324</v>
      </c>
      <c r="CS444" s="483">
        <f t="shared" ref="CS444:CT445" si="423">CS389/CS$443</f>
        <v>0.96906424336384689</v>
      </c>
      <c r="CT444" s="483">
        <f t="shared" si="423"/>
        <v>0.96906424336384689</v>
      </c>
      <c r="CV444" s="483">
        <f>CV389/CV$443</f>
        <v>0.9631006698910537</v>
      </c>
      <c r="CW444" s="483">
        <f t="shared" ref="CW444:CX445" si="424">CW389/CW$443</f>
        <v>0.92686211962269527</v>
      </c>
      <c r="CX444" s="483">
        <f t="shared" si="424"/>
        <v>0.92686211962269527</v>
      </c>
      <c r="CZ444" s="483">
        <f>CZ389/CZ$443</f>
        <v>0.94023731517957987</v>
      </c>
      <c r="DA444" s="483">
        <f t="shared" ref="DA444:DB445" si="425">DA389/DA$443</f>
        <v>0.92944245369220213</v>
      </c>
      <c r="DB444" s="483">
        <f t="shared" si="425"/>
        <v>0.92944245369220213</v>
      </c>
      <c r="DD444" s="483">
        <f>DD389/DD$443</f>
        <v>0.92338528152701493</v>
      </c>
      <c r="DE444" s="483">
        <f t="shared" ref="DE444:DF444" si="426">DE389/DE$443</f>
        <v>0.92319391110984239</v>
      </c>
      <c r="DF444" s="483">
        <f t="shared" si="426"/>
        <v>0.92319391110984239</v>
      </c>
      <c r="DH444" s="483">
        <f>DH389/DH$443</f>
        <v>0.93664941829649151</v>
      </c>
      <c r="DI444" s="483">
        <f>DI389/DI$443</f>
        <v>0.92575163198546817</v>
      </c>
      <c r="DJ444" s="483">
        <f>DJ389/DJ$443</f>
        <v>0.92575163198546817</v>
      </c>
      <c r="DL444" s="483">
        <f>DL389/DL$443</f>
        <v>0.92086723865157272</v>
      </c>
      <c r="DM444" s="483">
        <f>DM389/DM$443</f>
        <v>0.91462344634420856</v>
      </c>
      <c r="DN444" s="483">
        <f>DN389/DN$443</f>
        <v>0.91462344634420856</v>
      </c>
      <c r="DP444" s="483">
        <f>DP389/DP$443</f>
        <v>0.91502222119953114</v>
      </c>
      <c r="DQ444" s="483">
        <f>DQ389/DQ$443</f>
        <v>0.9142121601944605</v>
      </c>
      <c r="DR444" s="483">
        <f>DR389/DR$443</f>
        <v>0.9142121601944605</v>
      </c>
      <c r="DT444" s="1"/>
      <c r="DU444" s="1"/>
      <c r="DV444" s="1"/>
      <c r="DW444" s="1"/>
      <c r="DX444" s="1"/>
      <c r="DY444" s="1"/>
      <c r="DZ444" s="1"/>
      <c r="EA444" s="1"/>
      <c r="EB444" s="1"/>
      <c r="EC444" s="1"/>
      <c r="ED444" s="1"/>
      <c r="EE444" s="1"/>
      <c r="EF444" s="1"/>
      <c r="EG444" s="1"/>
      <c r="EH444" s="1"/>
      <c r="EI444" s="1"/>
      <c r="EJ444" s="1"/>
      <c r="EK444" s="1"/>
      <c r="EL444" s="1"/>
      <c r="EM444" s="1"/>
      <c r="EN444" s="1"/>
      <c r="EO444" s="1"/>
      <c r="EP444" s="1"/>
      <c r="EQ444" s="1"/>
      <c r="ER444" s="1"/>
      <c r="ES444" s="1"/>
      <c r="ET444" s="1"/>
      <c r="EU444" s="1"/>
      <c r="EV444" s="1"/>
      <c r="EW444" s="1"/>
      <c r="EX444" s="1"/>
      <c r="EY444" s="1"/>
      <c r="EZ444" s="1"/>
      <c r="FA444" s="1"/>
      <c r="FB444" s="1"/>
      <c r="FC444" s="1"/>
      <c r="FD444" s="1"/>
      <c r="FE444" s="1"/>
      <c r="FF444" s="1"/>
      <c r="FG444" s="1"/>
      <c r="FH444" s="1"/>
      <c r="FI444" s="1"/>
      <c r="FJ444" s="1"/>
      <c r="FK444" s="1"/>
      <c r="FL444" s="1"/>
      <c r="FM444" s="1"/>
      <c r="FN444" s="1"/>
      <c r="FO444" s="1"/>
      <c r="FP444" s="1"/>
      <c r="FQ444" s="1"/>
      <c r="FR444" s="1"/>
      <c r="FS444" s="1"/>
      <c r="FT444" s="1"/>
      <c r="FU444" s="1"/>
      <c r="FV444" s="1"/>
      <c r="FW444" s="1"/>
      <c r="FX444" s="1"/>
      <c r="FY444" s="1"/>
      <c r="FZ444" s="1"/>
      <c r="GA444" s="1"/>
      <c r="GB444" s="1"/>
      <c r="GC444" s="1"/>
      <c r="GD444" s="1"/>
      <c r="GE444" s="1"/>
      <c r="GF444" s="1"/>
      <c r="GG444" s="1"/>
      <c r="GH444" s="1"/>
      <c r="GI444" s="1"/>
      <c r="GJ444" s="1"/>
      <c r="GK444" s="1"/>
      <c r="GL444" s="1"/>
      <c r="GM444" s="1"/>
      <c r="GN444" s="1"/>
      <c r="GO444" s="1"/>
      <c r="GP444" s="1"/>
      <c r="GQ444" s="1"/>
      <c r="GR444" s="1"/>
      <c r="GS444" s="1"/>
      <c r="GT444" s="1"/>
      <c r="GU444" s="1"/>
      <c r="GV444" s="1"/>
      <c r="GW444" s="1"/>
      <c r="GX444" s="1"/>
      <c r="GY444" s="1"/>
      <c r="GZ444" s="1"/>
      <c r="HA444" s="1"/>
      <c r="HB444" s="1"/>
      <c r="HC444" s="1"/>
      <c r="HD444" s="1"/>
      <c r="HE444" s="1"/>
      <c r="HF444" s="1"/>
      <c r="HG444" s="1"/>
      <c r="HH444" s="1"/>
      <c r="HI444" s="1"/>
      <c r="HJ444" s="1"/>
      <c r="HK444" s="1"/>
      <c r="HL444" s="1"/>
      <c r="HM444" s="1"/>
      <c r="HN444" s="1"/>
      <c r="HO444" s="1"/>
      <c r="HP444" s="1"/>
      <c r="HQ444" s="1"/>
      <c r="HR444" s="1"/>
      <c r="HS444" s="1"/>
      <c r="HT444" s="1"/>
      <c r="HU444" s="1"/>
      <c r="HV444" s="1"/>
      <c r="HW444" s="1"/>
      <c r="HX444" s="1"/>
      <c r="HY444" s="1"/>
      <c r="HZ444" s="1"/>
      <c r="IA444" s="1"/>
      <c r="IB444" s="1"/>
      <c r="IC444" s="1"/>
      <c r="ID444" s="1"/>
      <c r="IE444" s="1"/>
      <c r="IF444" s="1"/>
      <c r="IG444" s="1"/>
      <c r="IH444" s="1"/>
      <c r="II444" s="1"/>
      <c r="IJ444" s="1"/>
      <c r="IK444" s="1"/>
      <c r="IL444" s="1"/>
      <c r="IM444" s="1"/>
      <c r="IN444" s="1"/>
      <c r="IO444" s="1"/>
      <c r="IP444" s="1"/>
      <c r="IQ444" s="1"/>
      <c r="IR444" s="1"/>
      <c r="IS444" s="1"/>
      <c r="IT444" s="1"/>
      <c r="IU444" s="1"/>
      <c r="IV444" s="1"/>
      <c r="IW444" s="1"/>
      <c r="IX444" s="1"/>
      <c r="IY444" s="1"/>
      <c r="IZ444" s="1"/>
      <c r="JA444" s="1"/>
      <c r="JB444" s="1"/>
      <c r="JC444" s="1"/>
      <c r="JD444" s="1"/>
    </row>
    <row r="445" spans="1:264" s="411" customFormat="1" x14ac:dyDescent="0.2">
      <c r="A445" s="463" t="s">
        <v>393</v>
      </c>
      <c r="B445" s="522"/>
      <c r="C445" s="521"/>
      <c r="D445" s="521"/>
      <c r="E445" s="521"/>
      <c r="F445" s="521"/>
      <c r="G445" s="521"/>
      <c r="H445" s="521"/>
      <c r="I445" s="521"/>
      <c r="J445" s="521"/>
      <c r="K445" s="521"/>
      <c r="L445" s="521"/>
      <c r="M445" s="521"/>
      <c r="N445" s="521"/>
      <c r="O445" s="521"/>
      <c r="P445" s="521"/>
      <c r="Q445" s="521"/>
      <c r="R445" s="521"/>
      <c r="S445" s="521"/>
      <c r="T445" s="521"/>
      <c r="U445" s="521"/>
      <c r="V445" s="521"/>
      <c r="W445" s="521"/>
      <c r="X445" s="521"/>
      <c r="Y445" s="521"/>
      <c r="Z445" s="521"/>
      <c r="AA445" s="521"/>
      <c r="AB445" s="521"/>
      <c r="AC445" s="521"/>
      <c r="AD445" s="521"/>
      <c r="AE445" s="521"/>
      <c r="AF445" s="521"/>
      <c r="AG445" s="521"/>
      <c r="AH445" s="521"/>
      <c r="AI445" s="521"/>
      <c r="AJ445" s="521"/>
      <c r="AK445" s="521"/>
      <c r="AL445" s="521"/>
      <c r="AM445" s="521"/>
      <c r="AN445" s="521"/>
      <c r="AO445" s="521"/>
      <c r="AP445" s="521"/>
      <c r="AQ445" s="521"/>
      <c r="AR445" s="521"/>
      <c r="AS445" s="521"/>
      <c r="AT445" s="521"/>
      <c r="AU445" s="521"/>
      <c r="AV445" s="521"/>
      <c r="AW445" s="521"/>
      <c r="AX445" s="521"/>
      <c r="AY445" s="521"/>
      <c r="AZ445" s="521"/>
      <c r="BA445" s="521"/>
      <c r="BB445" s="521"/>
      <c r="BC445" s="521"/>
      <c r="BD445" s="521"/>
      <c r="BE445" s="521"/>
      <c r="BF445" s="521"/>
      <c r="BG445" s="521"/>
      <c r="BH445" s="467">
        <f t="shared" si="414"/>
        <v>4.2750029132436057E-2</v>
      </c>
      <c r="BI445" s="467">
        <f t="shared" si="414"/>
        <v>4.5571453937178832E-2</v>
      </c>
      <c r="BJ445" s="467">
        <f t="shared" si="414"/>
        <v>4.5571453937178832E-2</v>
      </c>
      <c r="BK445" s="466"/>
      <c r="BL445" s="467">
        <f t="shared" si="415"/>
        <v>4.9993663132102573E-2</v>
      </c>
      <c r="BM445" s="467">
        <f t="shared" si="415"/>
        <v>4.107365731171285E-2</v>
      </c>
      <c r="BN445" s="467">
        <f t="shared" si="415"/>
        <v>4.107365731171285E-2</v>
      </c>
      <c r="BO445" s="522"/>
      <c r="BP445" s="467">
        <f t="shared" si="416"/>
        <v>5.409767117308005E-2</v>
      </c>
      <c r="BQ445" s="467">
        <f t="shared" si="416"/>
        <v>5.6356511888475513E-2</v>
      </c>
      <c r="BR445" s="467">
        <f t="shared" si="416"/>
        <v>5.6356511888475513E-2</v>
      </c>
      <c r="BS445" s="521"/>
      <c r="BT445" s="467">
        <f t="shared" si="417"/>
        <v>5.1874422844694908E-2</v>
      </c>
      <c r="BU445" s="467">
        <f t="shared" si="417"/>
        <v>4.1000099753466433E-2</v>
      </c>
      <c r="BV445" s="467">
        <f t="shared" si="417"/>
        <v>4.1000099753466433E-2</v>
      </c>
      <c r="BW445" s="521"/>
      <c r="BX445" s="467">
        <f t="shared" si="418"/>
        <v>4.7314563781717063E-2</v>
      </c>
      <c r="BY445" s="467">
        <f t="shared" si="418"/>
        <v>3.8577914306881123E-2</v>
      </c>
      <c r="BZ445" s="467">
        <f t="shared" si="418"/>
        <v>3.8577914306881123E-2</v>
      </c>
      <c r="CA445" s="521"/>
      <c r="CB445" s="467">
        <f t="shared" si="419"/>
        <v>3.3003380465603152E-2</v>
      </c>
      <c r="CC445" s="467">
        <f t="shared" si="419"/>
        <v>2.7924607967846415E-2</v>
      </c>
      <c r="CD445" s="467">
        <f t="shared" si="419"/>
        <v>2.7924607967846415E-2</v>
      </c>
      <c r="CE445" s="521"/>
      <c r="CF445" s="467">
        <f t="shared" si="420"/>
        <v>2.9685448797373934E-2</v>
      </c>
      <c r="CG445" s="467">
        <f t="shared" si="420"/>
        <v>3.0709068044829719E-2</v>
      </c>
      <c r="CH445" s="467">
        <f t="shared" si="420"/>
        <v>3.0709068044829719E-2</v>
      </c>
      <c r="CI445" s="521"/>
      <c r="CJ445" s="467">
        <f t="shared" si="421"/>
        <v>3.0882194707428087E-2</v>
      </c>
      <c r="CK445" s="467">
        <f t="shared" si="421"/>
        <v>1.8320540232890831E-2</v>
      </c>
      <c r="CL445" s="467">
        <f t="shared" si="421"/>
        <v>1.8320540232890831E-2</v>
      </c>
      <c r="CM445" s="521"/>
      <c r="CN445" s="467">
        <f>CN390/CN$443</f>
        <v>1.4911771702751384E-2</v>
      </c>
      <c r="CO445" s="467">
        <f t="shared" si="422"/>
        <v>2.3291936851830577E-2</v>
      </c>
      <c r="CP445" s="467">
        <f t="shared" si="422"/>
        <v>2.3291936851830577E-2</v>
      </c>
      <c r="CQ445" s="521"/>
      <c r="CR445" s="467">
        <f>CR390/CR$443</f>
        <v>2.5263695034385292E-2</v>
      </c>
      <c r="CS445" s="467">
        <f t="shared" si="423"/>
        <v>2.9438518898530219E-2</v>
      </c>
      <c r="CT445" s="467">
        <f t="shared" si="423"/>
        <v>2.9438518898530219E-2</v>
      </c>
      <c r="CU445" s="521"/>
      <c r="CV445" s="467">
        <f>CV390/CV$443</f>
        <v>2.1759682746608094E-2</v>
      </c>
      <c r="CW445" s="467">
        <f t="shared" si="424"/>
        <v>2.3477071013050081E-2</v>
      </c>
      <c r="CX445" s="467">
        <f t="shared" si="424"/>
        <v>2.3477071013050081E-2</v>
      </c>
      <c r="CY445" s="521"/>
      <c r="CZ445" s="467">
        <f>CZ390/CZ$443</f>
        <v>2.2118696349187721E-2</v>
      </c>
      <c r="DA445" s="467">
        <f t="shared" si="425"/>
        <v>2.5930893059409568E-2</v>
      </c>
      <c r="DB445" s="467">
        <f t="shared" si="425"/>
        <v>2.5930893059409568E-2</v>
      </c>
      <c r="DC445" s="521"/>
      <c r="DD445" s="467">
        <f>DD390/DD$443</f>
        <v>2.8237622060520738E-2</v>
      </c>
      <c r="DE445" s="467">
        <f t="shared" ref="DE445:DF445" si="427">DE390/DE$443</f>
        <v>2.7518917040643461E-2</v>
      </c>
      <c r="DF445" s="467">
        <f t="shared" si="427"/>
        <v>2.7518917040643461E-2</v>
      </c>
      <c r="DG445" s="521"/>
      <c r="DH445" s="467">
        <f>DH390/DH$443</f>
        <v>3.1441732412572879E-2</v>
      </c>
      <c r="DI445" s="523">
        <f>DH445</f>
        <v>3.1441732412572879E-2</v>
      </c>
      <c r="DJ445" s="467">
        <f>DJ390/DJ$443</f>
        <v>3.1441732412572879E-2</v>
      </c>
      <c r="DK445" s="521"/>
      <c r="DL445" s="523">
        <f>DI445</f>
        <v>3.1441732412572879E-2</v>
      </c>
      <c r="DM445" s="523">
        <f>DL445</f>
        <v>3.1441732412572879E-2</v>
      </c>
      <c r="DN445" s="467">
        <f>DN390/DN$443</f>
        <v>3.1441732412572879E-2</v>
      </c>
      <c r="DO445" s="521"/>
      <c r="DP445" s="523">
        <f>DM445</f>
        <v>3.1441732412572879E-2</v>
      </c>
      <c r="DQ445" s="523">
        <f>DP445</f>
        <v>3.1441732412572879E-2</v>
      </c>
      <c r="DR445" s="467">
        <f>DR390/DR$443</f>
        <v>3.1441732412572879E-2</v>
      </c>
      <c r="DS445" s="521"/>
      <c r="DT445" s="1"/>
      <c r="DU445" s="1"/>
      <c r="DV445" s="1"/>
      <c r="DW445" s="1"/>
      <c r="DX445" s="1"/>
      <c r="DY445" s="1"/>
      <c r="DZ445" s="1"/>
      <c r="EA445" s="1"/>
      <c r="EB445" s="1"/>
      <c r="EC445" s="1"/>
      <c r="ED445" s="1"/>
      <c r="EE445" s="1"/>
      <c r="EF445" s="1"/>
      <c r="EG445" s="1"/>
      <c r="EH445" s="1"/>
      <c r="EI445" s="1"/>
      <c r="EJ445" s="1"/>
      <c r="EK445" s="1"/>
      <c r="EL445" s="1"/>
      <c r="EM445" s="1"/>
      <c r="EN445" s="1"/>
      <c r="EO445" s="1"/>
      <c r="EP445" s="1"/>
      <c r="EQ445" s="1"/>
      <c r="ER445" s="1"/>
      <c r="ES445" s="1"/>
      <c r="ET445" s="1"/>
      <c r="EU445" s="1"/>
      <c r="EV445" s="1"/>
      <c r="EW445" s="1"/>
      <c r="EX445" s="1"/>
      <c r="EY445" s="1"/>
      <c r="EZ445" s="1"/>
      <c r="FA445" s="1"/>
      <c r="FB445" s="1"/>
      <c r="FC445" s="1"/>
      <c r="FD445" s="1"/>
      <c r="FE445" s="1"/>
      <c r="FF445" s="1"/>
      <c r="FG445" s="1"/>
      <c r="FH445" s="1"/>
      <c r="FI445" s="1"/>
      <c r="FJ445" s="1"/>
      <c r="FK445" s="1"/>
      <c r="FL445" s="1"/>
      <c r="FM445" s="1"/>
      <c r="FN445" s="1"/>
      <c r="FO445" s="1"/>
      <c r="FP445" s="1"/>
      <c r="FQ445" s="1"/>
      <c r="FR445" s="1"/>
      <c r="FS445" s="1"/>
      <c r="FT445" s="1"/>
      <c r="FU445" s="1"/>
      <c r="FV445" s="1"/>
      <c r="FW445" s="1"/>
      <c r="FX445" s="1"/>
      <c r="FY445" s="1"/>
      <c r="FZ445" s="1"/>
      <c r="GA445" s="1"/>
      <c r="GB445" s="1"/>
      <c r="GC445" s="1"/>
      <c r="GD445" s="1"/>
      <c r="GE445" s="1"/>
      <c r="GF445" s="1"/>
      <c r="GG445" s="1"/>
      <c r="GH445" s="1"/>
      <c r="GI445" s="1"/>
      <c r="GJ445" s="1"/>
      <c r="GK445" s="1"/>
      <c r="GL445" s="1"/>
      <c r="GM445" s="1"/>
      <c r="GN445" s="1"/>
      <c r="GO445" s="1"/>
      <c r="GP445" s="1"/>
      <c r="GQ445" s="1"/>
      <c r="GR445" s="1"/>
      <c r="GS445" s="1"/>
      <c r="GT445" s="1"/>
      <c r="GU445" s="1"/>
      <c r="GV445" s="1"/>
      <c r="GW445" s="1"/>
      <c r="GX445" s="1"/>
      <c r="GY445" s="1"/>
      <c r="GZ445" s="1"/>
      <c r="HA445" s="1"/>
      <c r="HB445" s="1"/>
      <c r="HC445" s="1"/>
      <c r="HD445" s="1"/>
      <c r="HE445" s="1"/>
      <c r="HF445" s="1"/>
      <c r="HG445" s="1"/>
      <c r="HH445" s="1"/>
      <c r="HI445" s="1"/>
      <c r="HJ445" s="1"/>
      <c r="HK445" s="1"/>
      <c r="HL445" s="1"/>
      <c r="HM445" s="1"/>
      <c r="HN445" s="1"/>
      <c r="HO445" s="1"/>
      <c r="HP445" s="1"/>
      <c r="HQ445" s="1"/>
      <c r="HR445" s="1"/>
      <c r="HS445" s="1"/>
      <c r="HT445" s="1"/>
      <c r="HU445" s="1"/>
      <c r="HV445" s="1"/>
      <c r="HW445" s="1"/>
      <c r="HX445" s="1"/>
      <c r="HY445" s="1"/>
      <c r="HZ445" s="1"/>
      <c r="IA445" s="1"/>
      <c r="IB445" s="1"/>
      <c r="IC445" s="1"/>
      <c r="ID445" s="1"/>
      <c r="IE445" s="1"/>
      <c r="IF445" s="1"/>
      <c r="IG445" s="1"/>
      <c r="IH445" s="1"/>
      <c r="II445" s="1"/>
      <c r="IJ445" s="1"/>
      <c r="IK445" s="1"/>
      <c r="IL445" s="1"/>
      <c r="IM445" s="1"/>
      <c r="IN445" s="1"/>
      <c r="IO445" s="1"/>
      <c r="IP445" s="1"/>
      <c r="IQ445" s="1"/>
      <c r="IR445" s="1"/>
      <c r="IS445" s="1"/>
      <c r="IT445" s="1"/>
      <c r="IU445" s="1"/>
      <c r="IV445" s="1"/>
      <c r="IW445" s="1"/>
      <c r="IX445" s="1"/>
      <c r="IY445" s="1"/>
      <c r="IZ445" s="1"/>
      <c r="JA445" s="1"/>
      <c r="JB445" s="1"/>
      <c r="JC445" s="1"/>
      <c r="JD445" s="1"/>
    </row>
    <row r="446" spans="1:264" s="411" customFormat="1" x14ac:dyDescent="0.2">
      <c r="A446" s="347" t="s">
        <v>394</v>
      </c>
      <c r="B446" s="423"/>
      <c r="BH446" s="483">
        <f t="shared" ref="BH446:BJ449" si="428">BH392/BH$443</f>
        <v>0.2171895938938414</v>
      </c>
      <c r="BI446" s="483">
        <f t="shared" si="428"/>
        <v>0.23347942498606766</v>
      </c>
      <c r="BJ446" s="483">
        <f t="shared" si="428"/>
        <v>0.23347942498606766</v>
      </c>
      <c r="BK446" s="348"/>
      <c r="BL446" s="483">
        <f t="shared" ref="BL446:BN449" si="429">BL392/BL$443</f>
        <v>0.24109670060411473</v>
      </c>
      <c r="BM446" s="483">
        <f t="shared" si="429"/>
        <v>0.23386397907016132</v>
      </c>
      <c r="BN446" s="483">
        <f t="shared" si="429"/>
        <v>0.23386397907016132</v>
      </c>
      <c r="BO446" s="423"/>
      <c r="BP446" s="483">
        <f t="shared" ref="BP446:BR449" si="430">BP392/BP$443</f>
        <v>0.24414447712116336</v>
      </c>
      <c r="BQ446" s="483">
        <f t="shared" si="430"/>
        <v>0.23899054740842995</v>
      </c>
      <c r="BR446" s="483">
        <f t="shared" si="430"/>
        <v>0.23899054740842995</v>
      </c>
      <c r="BT446" s="483">
        <f t="shared" ref="BT446:BV449" si="431">BT392/BT$443</f>
        <v>0.23796261217531314</v>
      </c>
      <c r="BU446" s="483">
        <f t="shared" si="431"/>
        <v>0.22983768685961836</v>
      </c>
      <c r="BV446" s="483">
        <f t="shared" si="431"/>
        <v>0.22983768685961836</v>
      </c>
      <c r="BX446" s="483">
        <f t="shared" ref="BX446:BZ449" si="432">BX392/BX$443</f>
        <v>0.2441195689954814</v>
      </c>
      <c r="BY446" s="483">
        <f t="shared" si="432"/>
        <v>0.22736844676133849</v>
      </c>
      <c r="BZ446" s="483">
        <f t="shared" si="432"/>
        <v>0.22736844676133849</v>
      </c>
      <c r="CB446" s="483">
        <f t="shared" ref="CB446:CD449" si="433">CB392/CB$443</f>
        <v>0.22461345873161045</v>
      </c>
      <c r="CC446" s="483">
        <f t="shared" si="433"/>
        <v>0.23021400091928468</v>
      </c>
      <c r="CD446" s="483">
        <f t="shared" si="433"/>
        <v>0.23021400091928468</v>
      </c>
      <c r="CF446" s="483">
        <f t="shared" ref="CF446:CH449" si="434">CF392/CF$443</f>
        <v>0.22239924788962728</v>
      </c>
      <c r="CG446" s="483">
        <f t="shared" si="434"/>
        <v>0.21553114072952761</v>
      </c>
      <c r="CH446" s="483">
        <f t="shared" si="434"/>
        <v>0.21553114072952761</v>
      </c>
      <c r="CJ446" s="483">
        <f t="shared" ref="CJ446:CL449" si="435">CJ392/CJ$443</f>
        <v>0.19876896431474378</v>
      </c>
      <c r="CK446" s="483">
        <f t="shared" si="435"/>
        <v>0.18267086095771354</v>
      </c>
      <c r="CL446" s="483">
        <f t="shared" si="435"/>
        <v>0.18267086095771354</v>
      </c>
      <c r="CN446" s="483">
        <f>CN392/CN$443</f>
        <v>0.15425067938117468</v>
      </c>
      <c r="CO446" s="483">
        <f t="shared" ref="CO446:CP449" si="436">CO392/CO$443</f>
        <v>0.1258796039429721</v>
      </c>
      <c r="CP446" s="483">
        <f t="shared" si="436"/>
        <v>0.1258796039429721</v>
      </c>
      <c r="CR446" s="483">
        <f>CR392/CR$443</f>
        <v>0.13811258904961618</v>
      </c>
      <c r="CS446" s="483">
        <f t="shared" ref="CS446:CT449" si="437">CS392/CS$443</f>
        <v>0.13209817811592123</v>
      </c>
      <c r="CT446" s="483">
        <f t="shared" si="437"/>
        <v>0.13209817811592123</v>
      </c>
      <c r="CV446" s="483">
        <f>CV392/CV$443</f>
        <v>0.13019110792202315</v>
      </c>
      <c r="CW446" s="483">
        <f t="shared" ref="CW446:CX449" si="438">CW392/CW$443</f>
        <v>0.13101191426529413</v>
      </c>
      <c r="CX446" s="483">
        <f t="shared" si="438"/>
        <v>0.13101191426529413</v>
      </c>
      <c r="CZ446" s="483">
        <f>CZ392/CZ$443</f>
        <v>0.14995042027030372</v>
      </c>
      <c r="DA446" s="483">
        <f t="shared" ref="DA446:DB449" si="439">DA392/DA$443</f>
        <v>0.15214517005141334</v>
      </c>
      <c r="DB446" s="483">
        <f t="shared" si="439"/>
        <v>0.15214517005141334</v>
      </c>
      <c r="DD446" s="483">
        <f>DD392/DD$443</f>
        <v>0.17099215866026046</v>
      </c>
      <c r="DE446" s="483">
        <f t="shared" ref="DE446:DF446" si="440">DE392/DE$443</f>
        <v>0.16784314729156802</v>
      </c>
      <c r="DF446" s="483">
        <f t="shared" si="440"/>
        <v>0.16784314729156802</v>
      </c>
      <c r="DH446" s="483">
        <f>DH392/DH$443</f>
        <v>0.16158335462369447</v>
      </c>
      <c r="DI446" s="483">
        <f ca="1">DI392/DI$443</f>
        <v>0.17344905197999907</v>
      </c>
      <c r="DJ446" s="483">
        <f ca="1">DJ392/DJ$443</f>
        <v>0.17344905197999907</v>
      </c>
      <c r="DL446" s="483">
        <f ca="1">DL392/DL$443</f>
        <v>0.17934860109353276</v>
      </c>
      <c r="DM446" s="483">
        <f ca="1">DM392/DM$443</f>
        <v>0.18642893079264691</v>
      </c>
      <c r="DN446" s="483">
        <f ca="1">DN392/DN$443</f>
        <v>0.18642893079264691</v>
      </c>
      <c r="DP446" s="483">
        <f ca="1">DP392/DP$443</f>
        <v>0.18660490243523833</v>
      </c>
      <c r="DQ446" s="483">
        <f ca="1">DQ392/DQ$443</f>
        <v>0.18766759015461029</v>
      </c>
      <c r="DR446" s="483">
        <f ca="1">DR392/DR$443</f>
        <v>0.18766759015461029</v>
      </c>
      <c r="DT446" s="1"/>
      <c r="DU446" s="1"/>
      <c r="DV446" s="1"/>
      <c r="DW446" s="1"/>
      <c r="DX446" s="1"/>
      <c r="DY446" s="1"/>
      <c r="DZ446" s="1"/>
      <c r="EA446" s="1"/>
      <c r="EB446" s="1"/>
      <c r="EC446" s="1"/>
      <c r="ED446" s="1"/>
      <c r="EE446" s="1"/>
      <c r="EF446" s="1"/>
      <c r="EG446" s="1"/>
      <c r="EH446" s="1"/>
      <c r="EI446" s="1"/>
      <c r="EJ446" s="1"/>
      <c r="EK446" s="1"/>
      <c r="EL446" s="1"/>
      <c r="EM446" s="1"/>
      <c r="EN446" s="1"/>
      <c r="EO446" s="1"/>
      <c r="EP446" s="1"/>
      <c r="EQ446" s="1"/>
      <c r="ER446" s="1"/>
      <c r="ES446" s="1"/>
      <c r="ET446" s="1"/>
      <c r="EU446" s="1"/>
      <c r="EV446" s="1"/>
      <c r="EW446" s="1"/>
      <c r="EX446" s="1"/>
      <c r="EY446" s="1"/>
      <c r="EZ446" s="1"/>
      <c r="FA446" s="1"/>
      <c r="FB446" s="1"/>
      <c r="FC446" s="1"/>
      <c r="FD446" s="1"/>
      <c r="FE446" s="1"/>
      <c r="FF446" s="1"/>
      <c r="FG446" s="1"/>
      <c r="FH446" s="1"/>
      <c r="FI446" s="1"/>
      <c r="FJ446" s="1"/>
      <c r="FK446" s="1"/>
      <c r="FL446" s="1"/>
      <c r="FM446" s="1"/>
      <c r="FN446" s="1"/>
      <c r="FO446" s="1"/>
      <c r="FP446" s="1"/>
      <c r="FQ446" s="1"/>
      <c r="FR446" s="1"/>
      <c r="FS446" s="1"/>
      <c r="FT446" s="1"/>
      <c r="FU446" s="1"/>
      <c r="FV446" s="1"/>
      <c r="FW446" s="1"/>
      <c r="FX446" s="1"/>
      <c r="FY446" s="1"/>
      <c r="FZ446" s="1"/>
      <c r="GA446" s="1"/>
      <c r="GB446" s="1"/>
      <c r="GC446" s="1"/>
      <c r="GD446" s="1"/>
      <c r="GE446" s="1"/>
      <c r="GF446" s="1"/>
      <c r="GG446" s="1"/>
      <c r="GH446" s="1"/>
      <c r="GI446" s="1"/>
      <c r="GJ446" s="1"/>
      <c r="GK446" s="1"/>
      <c r="GL446" s="1"/>
      <c r="GM446" s="1"/>
      <c r="GN446" s="1"/>
      <c r="GO446" s="1"/>
      <c r="GP446" s="1"/>
      <c r="GQ446" s="1"/>
      <c r="GR446" s="1"/>
      <c r="GS446" s="1"/>
      <c r="GT446" s="1"/>
      <c r="GU446" s="1"/>
      <c r="GV446" s="1"/>
      <c r="GW446" s="1"/>
      <c r="GX446" s="1"/>
      <c r="GY446" s="1"/>
      <c r="GZ446" s="1"/>
      <c r="HA446" s="1"/>
      <c r="HB446" s="1"/>
      <c r="HC446" s="1"/>
      <c r="HD446" s="1"/>
      <c r="HE446" s="1"/>
      <c r="HF446" s="1"/>
      <c r="HG446" s="1"/>
      <c r="HH446" s="1"/>
      <c r="HI446" s="1"/>
      <c r="HJ446" s="1"/>
      <c r="HK446" s="1"/>
      <c r="HL446" s="1"/>
      <c r="HM446" s="1"/>
      <c r="HN446" s="1"/>
      <c r="HO446" s="1"/>
      <c r="HP446" s="1"/>
      <c r="HQ446" s="1"/>
      <c r="HR446" s="1"/>
      <c r="HS446" s="1"/>
      <c r="HT446" s="1"/>
      <c r="HU446" s="1"/>
      <c r="HV446" s="1"/>
      <c r="HW446" s="1"/>
      <c r="HX446" s="1"/>
      <c r="HY446" s="1"/>
      <c r="HZ446" s="1"/>
      <c r="IA446" s="1"/>
      <c r="IB446" s="1"/>
      <c r="IC446" s="1"/>
      <c r="ID446" s="1"/>
      <c r="IE446" s="1"/>
      <c r="IF446" s="1"/>
      <c r="IG446" s="1"/>
      <c r="IH446" s="1"/>
      <c r="II446" s="1"/>
      <c r="IJ446" s="1"/>
      <c r="IK446" s="1"/>
      <c r="IL446" s="1"/>
      <c r="IM446" s="1"/>
      <c r="IN446" s="1"/>
      <c r="IO446" s="1"/>
      <c r="IP446" s="1"/>
      <c r="IQ446" s="1"/>
      <c r="IR446" s="1"/>
      <c r="IS446" s="1"/>
      <c r="IT446" s="1"/>
      <c r="IU446" s="1"/>
      <c r="IV446" s="1"/>
      <c r="IW446" s="1"/>
      <c r="IX446" s="1"/>
      <c r="IY446" s="1"/>
      <c r="IZ446" s="1"/>
      <c r="JA446" s="1"/>
      <c r="JB446" s="1"/>
      <c r="JC446" s="1"/>
      <c r="JD446" s="1"/>
    </row>
    <row r="447" spans="1:264" s="411" customFormat="1" x14ac:dyDescent="0.2">
      <c r="A447" s="463" t="s">
        <v>395</v>
      </c>
      <c r="B447" s="522"/>
      <c r="C447" s="521"/>
      <c r="D447" s="521"/>
      <c r="E447" s="521"/>
      <c r="F447" s="521"/>
      <c r="G447" s="521"/>
      <c r="H447" s="521"/>
      <c r="I447" s="521"/>
      <c r="J447" s="521"/>
      <c r="K447" s="521"/>
      <c r="L447" s="521"/>
      <c r="M447" s="521"/>
      <c r="N447" s="521"/>
      <c r="O447" s="521"/>
      <c r="P447" s="521"/>
      <c r="Q447" s="521"/>
      <c r="R447" s="521"/>
      <c r="S447" s="521"/>
      <c r="T447" s="521"/>
      <c r="U447" s="521"/>
      <c r="V447" s="521"/>
      <c r="W447" s="521"/>
      <c r="X447" s="521"/>
      <c r="Y447" s="521"/>
      <c r="Z447" s="521"/>
      <c r="AA447" s="521"/>
      <c r="AB447" s="521"/>
      <c r="AC447" s="521"/>
      <c r="AD447" s="521"/>
      <c r="AE447" s="521"/>
      <c r="AF447" s="521"/>
      <c r="AG447" s="521"/>
      <c r="AH447" s="521"/>
      <c r="AI447" s="521"/>
      <c r="AJ447" s="521"/>
      <c r="AK447" s="521"/>
      <c r="AL447" s="521"/>
      <c r="AM447" s="521"/>
      <c r="AN447" s="521"/>
      <c r="AO447" s="521"/>
      <c r="AP447" s="521"/>
      <c r="AQ447" s="521"/>
      <c r="AR447" s="521"/>
      <c r="AS447" s="521"/>
      <c r="AT447" s="521"/>
      <c r="AU447" s="521"/>
      <c r="AV447" s="521"/>
      <c r="AW447" s="521"/>
      <c r="AX447" s="521"/>
      <c r="AY447" s="521"/>
      <c r="AZ447" s="521"/>
      <c r="BA447" s="521"/>
      <c r="BB447" s="521"/>
      <c r="BC447" s="521"/>
      <c r="BD447" s="521"/>
      <c r="BE447" s="521"/>
      <c r="BF447" s="521"/>
      <c r="BG447" s="521"/>
      <c r="BH447" s="467">
        <f t="shared" si="428"/>
        <v>1.4147439258870827E-2</v>
      </c>
      <c r="BI447" s="467">
        <f t="shared" si="428"/>
        <v>1.7555610640254141E-2</v>
      </c>
      <c r="BJ447" s="467">
        <f t="shared" si="428"/>
        <v>1.7555610640254141E-2</v>
      </c>
      <c r="BK447" s="466"/>
      <c r="BL447" s="467">
        <f t="shared" si="429"/>
        <v>1.4061087406531199E-2</v>
      </c>
      <c r="BM447" s="467">
        <f t="shared" si="429"/>
        <v>1.7050714735573326E-2</v>
      </c>
      <c r="BN447" s="467">
        <f t="shared" si="429"/>
        <v>1.7050714735573326E-2</v>
      </c>
      <c r="BO447" s="522"/>
      <c r="BP447" s="467">
        <f t="shared" si="430"/>
        <v>1.4804890249769794E-2</v>
      </c>
      <c r="BQ447" s="467">
        <f t="shared" si="430"/>
        <v>1.7185826683916976E-2</v>
      </c>
      <c r="BR447" s="467">
        <f t="shared" si="430"/>
        <v>1.7185826683916976E-2</v>
      </c>
      <c r="BS447" s="521"/>
      <c r="BT447" s="467">
        <f t="shared" si="431"/>
        <v>1.1778407880093766E-2</v>
      </c>
      <c r="BU447" s="467">
        <f t="shared" si="431"/>
        <v>1.3928434013081954E-2</v>
      </c>
      <c r="BV447" s="467">
        <f t="shared" si="431"/>
        <v>1.3928434013081954E-2</v>
      </c>
      <c r="BW447" s="521"/>
      <c r="BX447" s="467">
        <f t="shared" si="432"/>
        <v>1.6127911018421967E-2</v>
      </c>
      <c r="BY447" s="467">
        <f t="shared" si="432"/>
        <v>1.6189915359795495E-2</v>
      </c>
      <c r="BZ447" s="467">
        <f t="shared" si="432"/>
        <v>1.6189915359795495E-2</v>
      </c>
      <c r="CA447" s="521"/>
      <c r="CB447" s="467">
        <f t="shared" si="433"/>
        <v>1.1953034999824636E-2</v>
      </c>
      <c r="CC447" s="467">
        <f t="shared" si="433"/>
        <v>1.5532971320456222E-2</v>
      </c>
      <c r="CD447" s="467">
        <f t="shared" si="433"/>
        <v>1.5532971320456222E-2</v>
      </c>
      <c r="CE447" s="521"/>
      <c r="CF447" s="467">
        <f t="shared" si="434"/>
        <v>1.0902440276879848E-2</v>
      </c>
      <c r="CG447" s="467">
        <f t="shared" si="434"/>
        <v>1.3229734577464512E-2</v>
      </c>
      <c r="CH447" s="467">
        <f t="shared" si="434"/>
        <v>1.3229734577464512E-2</v>
      </c>
      <c r="CI447" s="521"/>
      <c r="CJ447" s="467">
        <f t="shared" si="435"/>
        <v>1.2774458343002115E-2</v>
      </c>
      <c r="CK447" s="467">
        <f t="shared" si="435"/>
        <v>1.690535156670615E-2</v>
      </c>
      <c r="CL447" s="467">
        <f t="shared" si="435"/>
        <v>1.690535156670615E-2</v>
      </c>
      <c r="CM447" s="521"/>
      <c r="CN447" s="467">
        <f>CN393/CN$443</f>
        <v>1.23893448864845E-2</v>
      </c>
      <c r="CO447" s="467">
        <f t="shared" si="436"/>
        <v>1.4930352721486656E-2</v>
      </c>
      <c r="CP447" s="467">
        <f t="shared" si="436"/>
        <v>1.4930352721486656E-2</v>
      </c>
      <c r="CQ447" s="521"/>
      <c r="CR447" s="467">
        <f>CR393/CR$443</f>
        <v>1.0166853025658753E-2</v>
      </c>
      <c r="CS447" s="467">
        <f t="shared" si="437"/>
        <v>1.4301162873476067E-2</v>
      </c>
      <c r="CT447" s="467">
        <f t="shared" si="437"/>
        <v>1.4301162873476067E-2</v>
      </c>
      <c r="CU447" s="521"/>
      <c r="CV447" s="467">
        <f>CV393/CV$443</f>
        <v>1.4585330317089069E-2</v>
      </c>
      <c r="CW447" s="467">
        <f t="shared" si="438"/>
        <v>1.6692186775047656E-2</v>
      </c>
      <c r="CX447" s="467">
        <f t="shared" si="438"/>
        <v>1.6692186775047656E-2</v>
      </c>
      <c r="CY447" s="521"/>
      <c r="CZ447" s="467">
        <f>CZ393/CZ$443</f>
        <v>1.7964980884080332E-2</v>
      </c>
      <c r="DA447" s="467">
        <f t="shared" si="439"/>
        <v>2.0026359337563741E-2</v>
      </c>
      <c r="DB447" s="467">
        <f t="shared" si="439"/>
        <v>2.0026359337563741E-2</v>
      </c>
      <c r="DC447" s="521"/>
      <c r="DD447" s="467">
        <f>DD393/DD$443</f>
        <v>1.7342211454249301E-2</v>
      </c>
      <c r="DE447" s="467">
        <f t="shared" ref="DE447:DF447" si="441">DE393/DE$443</f>
        <v>1.9622338399205422E-2</v>
      </c>
      <c r="DF447" s="467">
        <f t="shared" si="441"/>
        <v>1.9622338399205422E-2</v>
      </c>
      <c r="DG447" s="521"/>
      <c r="DH447" s="467">
        <f>DH393/DH$443</f>
        <v>1.5146026455974711E-2</v>
      </c>
      <c r="DI447" s="523">
        <f>DH447</f>
        <v>1.5146026455974711E-2</v>
      </c>
      <c r="DJ447" s="467">
        <f>DJ393/DJ$443</f>
        <v>1.5146026455974709E-2</v>
      </c>
      <c r="DK447" s="521"/>
      <c r="DL447" s="523">
        <f>DI447</f>
        <v>1.5146026455974711E-2</v>
      </c>
      <c r="DM447" s="523">
        <f>DL447</f>
        <v>1.5146026455974711E-2</v>
      </c>
      <c r="DN447" s="467">
        <f>DN393/DN$443</f>
        <v>1.5146026455974711E-2</v>
      </c>
      <c r="DO447" s="521"/>
      <c r="DP447" s="523">
        <f>DM447</f>
        <v>1.5146026455974711E-2</v>
      </c>
      <c r="DQ447" s="523">
        <f>DP447</f>
        <v>1.5146026455974711E-2</v>
      </c>
      <c r="DR447" s="467">
        <f>DR393/DR$443</f>
        <v>1.5146026455974713E-2</v>
      </c>
      <c r="DS447" s="521"/>
      <c r="DT447" s="1"/>
      <c r="DU447" s="1"/>
      <c r="DV447" s="1"/>
      <c r="DW447" s="1"/>
      <c r="DX447" s="1"/>
      <c r="DY447" s="1"/>
      <c r="DZ447" s="1"/>
      <c r="EA447" s="1"/>
      <c r="EB447" s="1"/>
      <c r="EC447" s="1"/>
      <c r="ED447" s="1"/>
      <c r="EE447" s="1"/>
      <c r="EF447" s="1"/>
      <c r="EG447" s="1"/>
      <c r="EH447" s="1"/>
      <c r="EI447" s="1"/>
      <c r="EJ447" s="1"/>
      <c r="EK447" s="1"/>
      <c r="EL447" s="1"/>
      <c r="EM447" s="1"/>
      <c r="EN447" s="1"/>
      <c r="EO447" s="1"/>
      <c r="EP447" s="1"/>
      <c r="EQ447" s="1"/>
      <c r="ER447" s="1"/>
      <c r="ES447" s="1"/>
      <c r="ET447" s="1"/>
      <c r="EU447" s="1"/>
      <c r="EV447" s="1"/>
      <c r="EW447" s="1"/>
      <c r="EX447" s="1"/>
      <c r="EY447" s="1"/>
      <c r="EZ447" s="1"/>
      <c r="FA447" s="1"/>
      <c r="FB447" s="1"/>
      <c r="FC447" s="1"/>
      <c r="FD447" s="1"/>
      <c r="FE447" s="1"/>
      <c r="FF447" s="1"/>
      <c r="FG447" s="1"/>
      <c r="FH447" s="1"/>
      <c r="FI447" s="1"/>
      <c r="FJ447" s="1"/>
      <c r="FK447" s="1"/>
      <c r="FL447" s="1"/>
      <c r="FM447" s="1"/>
      <c r="FN447" s="1"/>
      <c r="FO447" s="1"/>
      <c r="FP447" s="1"/>
      <c r="FQ447" s="1"/>
      <c r="FR447" s="1"/>
      <c r="FS447" s="1"/>
      <c r="FT447" s="1"/>
      <c r="FU447" s="1"/>
      <c r="FV447" s="1"/>
      <c r="FW447" s="1"/>
      <c r="FX447" s="1"/>
      <c r="FY447" s="1"/>
      <c r="FZ447" s="1"/>
      <c r="GA447" s="1"/>
      <c r="GB447" s="1"/>
      <c r="GC447" s="1"/>
      <c r="GD447" s="1"/>
      <c r="GE447" s="1"/>
      <c r="GF447" s="1"/>
      <c r="GG447" s="1"/>
      <c r="GH447" s="1"/>
      <c r="GI447" s="1"/>
      <c r="GJ447" s="1"/>
      <c r="GK447" s="1"/>
      <c r="GL447" s="1"/>
      <c r="GM447" s="1"/>
      <c r="GN447" s="1"/>
      <c r="GO447" s="1"/>
      <c r="GP447" s="1"/>
      <c r="GQ447" s="1"/>
      <c r="GR447" s="1"/>
      <c r="GS447" s="1"/>
      <c r="GT447" s="1"/>
      <c r="GU447" s="1"/>
      <c r="GV447" s="1"/>
      <c r="GW447" s="1"/>
      <c r="GX447" s="1"/>
      <c r="GY447" s="1"/>
      <c r="GZ447" s="1"/>
      <c r="HA447" s="1"/>
      <c r="HB447" s="1"/>
      <c r="HC447" s="1"/>
      <c r="HD447" s="1"/>
      <c r="HE447" s="1"/>
      <c r="HF447" s="1"/>
      <c r="HG447" s="1"/>
      <c r="HH447" s="1"/>
      <c r="HI447" s="1"/>
      <c r="HJ447" s="1"/>
      <c r="HK447" s="1"/>
      <c r="HL447" s="1"/>
      <c r="HM447" s="1"/>
      <c r="HN447" s="1"/>
      <c r="HO447" s="1"/>
      <c r="HP447" s="1"/>
      <c r="HQ447" s="1"/>
      <c r="HR447" s="1"/>
      <c r="HS447" s="1"/>
      <c r="HT447" s="1"/>
      <c r="HU447" s="1"/>
      <c r="HV447" s="1"/>
      <c r="HW447" s="1"/>
      <c r="HX447" s="1"/>
      <c r="HY447" s="1"/>
      <c r="HZ447" s="1"/>
      <c r="IA447" s="1"/>
      <c r="IB447" s="1"/>
      <c r="IC447" s="1"/>
      <c r="ID447" s="1"/>
      <c r="IE447" s="1"/>
      <c r="IF447" s="1"/>
      <c r="IG447" s="1"/>
      <c r="IH447" s="1"/>
      <c r="II447" s="1"/>
      <c r="IJ447" s="1"/>
      <c r="IK447" s="1"/>
      <c r="IL447" s="1"/>
      <c r="IM447" s="1"/>
      <c r="IN447" s="1"/>
      <c r="IO447" s="1"/>
      <c r="IP447" s="1"/>
      <c r="IQ447" s="1"/>
      <c r="IR447" s="1"/>
      <c r="IS447" s="1"/>
      <c r="IT447" s="1"/>
      <c r="IU447" s="1"/>
      <c r="IV447" s="1"/>
      <c r="IW447" s="1"/>
      <c r="IX447" s="1"/>
      <c r="IY447" s="1"/>
      <c r="IZ447" s="1"/>
      <c r="JA447" s="1"/>
      <c r="JB447" s="1"/>
      <c r="JC447" s="1"/>
      <c r="JD447" s="1"/>
    </row>
    <row r="448" spans="1:264" s="411" customFormat="1" x14ac:dyDescent="0.2">
      <c r="A448" s="463" t="s">
        <v>396</v>
      </c>
      <c r="B448" s="522"/>
      <c r="C448" s="521"/>
      <c r="D448" s="521"/>
      <c r="E448" s="521"/>
      <c r="F448" s="521"/>
      <c r="G448" s="521"/>
      <c r="H448" s="521"/>
      <c r="I448" s="521"/>
      <c r="J448" s="521"/>
      <c r="K448" s="521"/>
      <c r="L448" s="521"/>
      <c r="M448" s="521"/>
      <c r="N448" s="521"/>
      <c r="O448" s="521"/>
      <c r="P448" s="521"/>
      <c r="Q448" s="521"/>
      <c r="R448" s="521"/>
      <c r="S448" s="521"/>
      <c r="T448" s="521"/>
      <c r="U448" s="521"/>
      <c r="V448" s="521"/>
      <c r="W448" s="521"/>
      <c r="X448" s="521"/>
      <c r="Y448" s="521"/>
      <c r="Z448" s="521"/>
      <c r="AA448" s="521"/>
      <c r="AB448" s="521"/>
      <c r="AC448" s="521"/>
      <c r="AD448" s="521"/>
      <c r="AE448" s="521"/>
      <c r="AF448" s="521"/>
      <c r="AG448" s="521"/>
      <c r="AH448" s="521"/>
      <c r="AI448" s="521"/>
      <c r="AJ448" s="521"/>
      <c r="AK448" s="521"/>
      <c r="AL448" s="521"/>
      <c r="AM448" s="521"/>
      <c r="AN448" s="521"/>
      <c r="AO448" s="521"/>
      <c r="AP448" s="521"/>
      <c r="AQ448" s="521"/>
      <c r="AR448" s="521"/>
      <c r="AS448" s="521"/>
      <c r="AT448" s="521"/>
      <c r="AU448" s="521"/>
      <c r="AV448" s="521"/>
      <c r="AW448" s="521"/>
      <c r="AX448" s="521"/>
      <c r="AY448" s="521"/>
      <c r="AZ448" s="521"/>
      <c r="BA448" s="521"/>
      <c r="BB448" s="521"/>
      <c r="BC448" s="521"/>
      <c r="BD448" s="521"/>
      <c r="BE448" s="521"/>
      <c r="BF448" s="521"/>
      <c r="BG448" s="521"/>
      <c r="BH448" s="467">
        <f t="shared" si="428"/>
        <v>1.7892778069102139E-2</v>
      </c>
      <c r="BI448" s="467">
        <f t="shared" si="428"/>
        <v>1.7029961973977752E-2</v>
      </c>
      <c r="BJ448" s="467">
        <f t="shared" si="428"/>
        <v>1.7029961973977752E-2</v>
      </c>
      <c r="BK448" s="466"/>
      <c r="BL448" s="467">
        <f t="shared" si="429"/>
        <v>1.5855688395082591E-2</v>
      </c>
      <c r="BM448" s="467">
        <f t="shared" si="429"/>
        <v>1.5776309882639648E-2</v>
      </c>
      <c r="BN448" s="467">
        <f t="shared" si="429"/>
        <v>1.5776309882639648E-2</v>
      </c>
      <c r="BO448" s="522"/>
      <c r="BP448" s="467">
        <f t="shared" si="430"/>
        <v>1.8432430882366999E-2</v>
      </c>
      <c r="BQ448" s="467">
        <f t="shared" si="430"/>
        <v>1.9846109085506644E-2</v>
      </c>
      <c r="BR448" s="467">
        <f t="shared" si="430"/>
        <v>1.9846109085506644E-2</v>
      </c>
      <c r="BS448" s="521"/>
      <c r="BT448" s="467">
        <f t="shared" si="431"/>
        <v>2.1308869841119505E-2</v>
      </c>
      <c r="BU448" s="467">
        <f t="shared" si="431"/>
        <v>2.2150969746198679E-2</v>
      </c>
      <c r="BV448" s="467">
        <f t="shared" si="431"/>
        <v>2.2150969746198679E-2</v>
      </c>
      <c r="BW448" s="521"/>
      <c r="BX448" s="467">
        <f t="shared" si="432"/>
        <v>2.3631560653458464E-2</v>
      </c>
      <c r="BY448" s="467">
        <f t="shared" si="432"/>
        <v>2.5408343532310633E-2</v>
      </c>
      <c r="BZ448" s="467">
        <f t="shared" si="432"/>
        <v>2.5408343532310633E-2</v>
      </c>
      <c r="CA448" s="521"/>
      <c r="CB448" s="467">
        <f t="shared" si="433"/>
        <v>2.7227181857178699E-2</v>
      </c>
      <c r="CC448" s="467">
        <f t="shared" si="433"/>
        <v>3.072121089031651E-2</v>
      </c>
      <c r="CD448" s="467">
        <f t="shared" si="433"/>
        <v>3.072121089031651E-2</v>
      </c>
      <c r="CE448" s="521"/>
      <c r="CF448" s="467">
        <f t="shared" si="434"/>
        <v>3.0062030671671958E-2</v>
      </c>
      <c r="CG448" s="467">
        <f t="shared" si="434"/>
        <v>3.017819669309197E-2</v>
      </c>
      <c r="CH448" s="467">
        <f t="shared" si="434"/>
        <v>3.017819669309197E-2</v>
      </c>
      <c r="CI448" s="521"/>
      <c r="CJ448" s="467">
        <f t="shared" si="435"/>
        <v>3.2960280431381037E-2</v>
      </c>
      <c r="CK448" s="467">
        <f t="shared" si="435"/>
        <v>3.50682213232014E-2</v>
      </c>
      <c r="CL448" s="467">
        <f t="shared" si="435"/>
        <v>3.50682213232014E-2</v>
      </c>
      <c r="CM448" s="521"/>
      <c r="CN448" s="467">
        <f>CN394/CN$443</f>
        <v>3.4750079612523022E-2</v>
      </c>
      <c r="CO448" s="467">
        <f t="shared" si="436"/>
        <v>3.588075271366524E-2</v>
      </c>
      <c r="CP448" s="467">
        <f t="shared" si="436"/>
        <v>3.588075271366524E-2</v>
      </c>
      <c r="CQ448" s="521"/>
      <c r="CR448" s="467">
        <f>CR394/CR$443</f>
        <v>3.3107233433155907E-2</v>
      </c>
      <c r="CS448" s="467">
        <f t="shared" si="437"/>
        <v>3.1658950713193662E-2</v>
      </c>
      <c r="CT448" s="467">
        <f t="shared" si="437"/>
        <v>3.1658950713193662E-2</v>
      </c>
      <c r="CU448" s="521"/>
      <c r="CV448" s="467">
        <f>CV394/CV$443</f>
        <v>3.1655227943713816E-2</v>
      </c>
      <c r="CW448" s="467">
        <f t="shared" si="438"/>
        <v>3.492950985319062E-2</v>
      </c>
      <c r="CX448" s="467">
        <f t="shared" si="438"/>
        <v>3.492950985319062E-2</v>
      </c>
      <c r="CY448" s="521"/>
      <c r="CZ448" s="467">
        <f>CZ394/CZ$443</f>
        <v>3.6725606073166973E-2</v>
      </c>
      <c r="DA448" s="467">
        <f t="shared" si="439"/>
        <v>3.7831544463486425E-2</v>
      </c>
      <c r="DB448" s="467">
        <f t="shared" si="439"/>
        <v>3.7831544463486425E-2</v>
      </c>
      <c r="DC448" s="521"/>
      <c r="DD448" s="467">
        <f>DD394/DD$443</f>
        <v>3.757172206625032E-2</v>
      </c>
      <c r="DE448" s="467">
        <f t="shared" ref="DE448:DF448" si="442">DE394/DE$443</f>
        <v>3.8363669832057433E-2</v>
      </c>
      <c r="DF448" s="467">
        <f t="shared" si="442"/>
        <v>3.8363669832057433E-2</v>
      </c>
      <c r="DG448" s="521"/>
      <c r="DH448" s="467">
        <f>DH394/DH$443</f>
        <v>3.6167239282050893E-2</v>
      </c>
      <c r="DI448" s="523">
        <f>DH448</f>
        <v>3.6167239282050893E-2</v>
      </c>
      <c r="DJ448" s="467">
        <f>DJ394/DJ$443</f>
        <v>3.6167239282050893E-2</v>
      </c>
      <c r="DK448" s="521"/>
      <c r="DL448" s="523">
        <f>DI448</f>
        <v>3.6167239282050893E-2</v>
      </c>
      <c r="DM448" s="523">
        <f>DL448</f>
        <v>3.6167239282050893E-2</v>
      </c>
      <c r="DN448" s="467">
        <f>DN394/DN$443</f>
        <v>3.6167239282050893E-2</v>
      </c>
      <c r="DO448" s="521"/>
      <c r="DP448" s="523">
        <f>DM448</f>
        <v>3.6167239282050893E-2</v>
      </c>
      <c r="DQ448" s="523">
        <f>DP448</f>
        <v>3.6167239282050893E-2</v>
      </c>
      <c r="DR448" s="467">
        <f>DR394/DR$443</f>
        <v>3.6167239282050893E-2</v>
      </c>
      <c r="DS448" s="521"/>
      <c r="DT448" s="1"/>
      <c r="DU448" s="1"/>
      <c r="DV448" s="1"/>
      <c r="DW448" s="1"/>
      <c r="DX448" s="1"/>
      <c r="DY448" s="1"/>
      <c r="DZ448" s="1"/>
      <c r="EA448" s="1"/>
      <c r="EB448" s="1"/>
      <c r="EC448" s="1"/>
      <c r="ED448" s="1"/>
      <c r="EE448" s="1"/>
      <c r="EF448" s="1"/>
      <c r="EG448" s="1"/>
      <c r="EH448" s="1"/>
      <c r="EI448" s="1"/>
      <c r="EJ448" s="1"/>
      <c r="EK448" s="1"/>
      <c r="EL448" s="1"/>
      <c r="EM448" s="1"/>
      <c r="EN448" s="1"/>
      <c r="EO448" s="1"/>
      <c r="EP448" s="1"/>
      <c r="EQ448" s="1"/>
      <c r="ER448" s="1"/>
      <c r="ES448" s="1"/>
      <c r="ET448" s="1"/>
      <c r="EU448" s="1"/>
      <c r="EV448" s="1"/>
      <c r="EW448" s="1"/>
      <c r="EX448" s="1"/>
      <c r="EY448" s="1"/>
      <c r="EZ448" s="1"/>
      <c r="FA448" s="1"/>
      <c r="FB448" s="1"/>
      <c r="FC448" s="1"/>
      <c r="FD448" s="1"/>
      <c r="FE448" s="1"/>
      <c r="FF448" s="1"/>
      <c r="FG448" s="1"/>
      <c r="FH448" s="1"/>
      <c r="FI448" s="1"/>
      <c r="FJ448" s="1"/>
      <c r="FK448" s="1"/>
      <c r="FL448" s="1"/>
      <c r="FM448" s="1"/>
      <c r="FN448" s="1"/>
      <c r="FO448" s="1"/>
      <c r="FP448" s="1"/>
      <c r="FQ448" s="1"/>
      <c r="FR448" s="1"/>
      <c r="FS448" s="1"/>
      <c r="FT448" s="1"/>
      <c r="FU448" s="1"/>
      <c r="FV448" s="1"/>
      <c r="FW448" s="1"/>
      <c r="FX448" s="1"/>
      <c r="FY448" s="1"/>
      <c r="FZ448" s="1"/>
      <c r="GA448" s="1"/>
      <c r="GB448" s="1"/>
      <c r="GC448" s="1"/>
      <c r="GD448" s="1"/>
      <c r="GE448" s="1"/>
      <c r="GF448" s="1"/>
      <c r="GG448" s="1"/>
      <c r="GH448" s="1"/>
      <c r="GI448" s="1"/>
      <c r="GJ448" s="1"/>
      <c r="GK448" s="1"/>
      <c r="GL448" s="1"/>
      <c r="GM448" s="1"/>
      <c r="GN448" s="1"/>
      <c r="GO448" s="1"/>
      <c r="GP448" s="1"/>
      <c r="GQ448" s="1"/>
      <c r="GR448" s="1"/>
      <c r="GS448" s="1"/>
      <c r="GT448" s="1"/>
      <c r="GU448" s="1"/>
      <c r="GV448" s="1"/>
      <c r="GW448" s="1"/>
      <c r="GX448" s="1"/>
      <c r="GY448" s="1"/>
      <c r="GZ448" s="1"/>
      <c r="HA448" s="1"/>
      <c r="HB448" s="1"/>
      <c r="HC448" s="1"/>
      <c r="HD448" s="1"/>
      <c r="HE448" s="1"/>
      <c r="HF448" s="1"/>
      <c r="HG448" s="1"/>
      <c r="HH448" s="1"/>
      <c r="HI448" s="1"/>
      <c r="HJ448" s="1"/>
      <c r="HK448" s="1"/>
      <c r="HL448" s="1"/>
      <c r="HM448" s="1"/>
      <c r="HN448" s="1"/>
      <c r="HO448" s="1"/>
      <c r="HP448" s="1"/>
      <c r="HQ448" s="1"/>
      <c r="HR448" s="1"/>
      <c r="HS448" s="1"/>
      <c r="HT448" s="1"/>
      <c r="HU448" s="1"/>
      <c r="HV448" s="1"/>
      <c r="HW448" s="1"/>
      <c r="HX448" s="1"/>
      <c r="HY448" s="1"/>
      <c r="HZ448" s="1"/>
      <c r="IA448" s="1"/>
      <c r="IB448" s="1"/>
      <c r="IC448" s="1"/>
      <c r="ID448" s="1"/>
      <c r="IE448" s="1"/>
      <c r="IF448" s="1"/>
      <c r="IG448" s="1"/>
      <c r="IH448" s="1"/>
      <c r="II448" s="1"/>
      <c r="IJ448" s="1"/>
      <c r="IK448" s="1"/>
      <c r="IL448" s="1"/>
      <c r="IM448" s="1"/>
      <c r="IN448" s="1"/>
      <c r="IO448" s="1"/>
      <c r="IP448" s="1"/>
      <c r="IQ448" s="1"/>
      <c r="IR448" s="1"/>
      <c r="IS448" s="1"/>
      <c r="IT448" s="1"/>
      <c r="IU448" s="1"/>
      <c r="IV448" s="1"/>
      <c r="IW448" s="1"/>
      <c r="IX448" s="1"/>
      <c r="IY448" s="1"/>
      <c r="IZ448" s="1"/>
      <c r="JA448" s="1"/>
      <c r="JB448" s="1"/>
      <c r="JC448" s="1"/>
      <c r="JD448" s="1"/>
    </row>
    <row r="449" spans="1:264" s="411" customFormat="1" x14ac:dyDescent="0.2">
      <c r="A449" s="463" t="s">
        <v>397</v>
      </c>
      <c r="B449" s="522"/>
      <c r="C449" s="521"/>
      <c r="D449" s="521"/>
      <c r="E449" s="521"/>
      <c r="F449" s="521"/>
      <c r="G449" s="521"/>
      <c r="H449" s="521"/>
      <c r="I449" s="521"/>
      <c r="J449" s="521"/>
      <c r="K449" s="521"/>
      <c r="L449" s="521"/>
      <c r="M449" s="521"/>
      <c r="N449" s="521"/>
      <c r="O449" s="521"/>
      <c r="P449" s="521"/>
      <c r="Q449" s="521"/>
      <c r="R449" s="521"/>
      <c r="S449" s="521"/>
      <c r="T449" s="521"/>
      <c r="U449" s="521"/>
      <c r="V449" s="521"/>
      <c r="W449" s="521"/>
      <c r="X449" s="521"/>
      <c r="Y449" s="521"/>
      <c r="Z449" s="521"/>
      <c r="AA449" s="521"/>
      <c r="AB449" s="521"/>
      <c r="AC449" s="521"/>
      <c r="AD449" s="521"/>
      <c r="AE449" s="521"/>
      <c r="AF449" s="521"/>
      <c r="AG449" s="521"/>
      <c r="AH449" s="521"/>
      <c r="AI449" s="521"/>
      <c r="AJ449" s="521"/>
      <c r="AK449" s="521"/>
      <c r="AL449" s="521"/>
      <c r="AM449" s="521"/>
      <c r="AN449" s="521"/>
      <c r="AO449" s="521"/>
      <c r="AP449" s="521"/>
      <c r="AQ449" s="521"/>
      <c r="AR449" s="521"/>
      <c r="AS449" s="521"/>
      <c r="AT449" s="521"/>
      <c r="AU449" s="521"/>
      <c r="AV449" s="521"/>
      <c r="AW449" s="521"/>
      <c r="AX449" s="521"/>
      <c r="AY449" s="521"/>
      <c r="AZ449" s="521"/>
      <c r="BA449" s="521"/>
      <c r="BB449" s="521"/>
      <c r="BC449" s="521"/>
      <c r="BD449" s="521"/>
      <c r="BE449" s="521"/>
      <c r="BF449" s="521"/>
      <c r="BG449" s="521"/>
      <c r="BH449" s="467">
        <f t="shared" si="428"/>
        <v>0.11272431975761814</v>
      </c>
      <c r="BI449" s="467">
        <f t="shared" si="428"/>
        <v>0.11326058637075635</v>
      </c>
      <c r="BJ449" s="467">
        <f t="shared" si="428"/>
        <v>0.11326058637075635</v>
      </c>
      <c r="BK449" s="466"/>
      <c r="BL449" s="467">
        <f t="shared" si="429"/>
        <v>9.2952557982341255E-2</v>
      </c>
      <c r="BM449" s="467">
        <f t="shared" si="429"/>
        <v>8.4791499144093258E-2</v>
      </c>
      <c r="BN449" s="467">
        <f t="shared" si="429"/>
        <v>8.4791499144093258E-2</v>
      </c>
      <c r="BO449" s="522"/>
      <c r="BP449" s="467">
        <f t="shared" si="430"/>
        <v>0.10677905617032395</v>
      </c>
      <c r="BQ449" s="467">
        <f t="shared" si="430"/>
        <v>9.363451217322942E-2</v>
      </c>
      <c r="BR449" s="467">
        <f t="shared" si="430"/>
        <v>9.363451217322942E-2</v>
      </c>
      <c r="BS449" s="521"/>
      <c r="BT449" s="467">
        <f t="shared" si="431"/>
        <v>9.3056673691189348E-2</v>
      </c>
      <c r="BU449" s="467">
        <f t="shared" si="431"/>
        <v>9.6152366294728744E-2</v>
      </c>
      <c r="BV449" s="467">
        <f t="shared" si="431"/>
        <v>9.6152366294728744E-2</v>
      </c>
      <c r="BW449" s="521"/>
      <c r="BX449" s="467">
        <f t="shared" si="432"/>
        <v>8.9210983663538412E-2</v>
      </c>
      <c r="BY449" s="467">
        <f t="shared" si="432"/>
        <v>7.9889878182148766E-2</v>
      </c>
      <c r="BZ449" s="467">
        <f t="shared" si="432"/>
        <v>7.9889878182148766E-2</v>
      </c>
      <c r="CA449" s="521"/>
      <c r="CB449" s="467">
        <f t="shared" si="433"/>
        <v>6.8390353397597248E-2</v>
      </c>
      <c r="CC449" s="467">
        <f t="shared" si="433"/>
        <v>7.6003997819371255E-2</v>
      </c>
      <c r="CD449" s="467">
        <f t="shared" si="433"/>
        <v>7.6003997819371255E-2</v>
      </c>
      <c r="CE449" s="521"/>
      <c r="CF449" s="467">
        <f t="shared" si="434"/>
        <v>6.8770960533956232E-2</v>
      </c>
      <c r="CG449" s="467">
        <f t="shared" si="434"/>
        <v>6.6210432673292047E-2</v>
      </c>
      <c r="CH449" s="467">
        <f t="shared" si="434"/>
        <v>6.6210432673292047E-2</v>
      </c>
      <c r="CI449" s="521"/>
      <c r="CJ449" s="467">
        <f t="shared" si="435"/>
        <v>4.3380525627347247E-2</v>
      </c>
      <c r="CK449" s="467">
        <f t="shared" si="435"/>
        <v>5.6651130356309642E-2</v>
      </c>
      <c r="CL449" s="467">
        <f t="shared" si="435"/>
        <v>5.6651130356309642E-2</v>
      </c>
      <c r="CM449" s="521"/>
      <c r="CN449" s="467">
        <f>CN395/CN$443</f>
        <v>8.3058832710488584E-2</v>
      </c>
      <c r="CO449" s="467">
        <f t="shared" si="436"/>
        <v>0.10170775762404891</v>
      </c>
      <c r="CP449" s="467">
        <f t="shared" si="436"/>
        <v>0.10170775762404891</v>
      </c>
      <c r="CQ449" s="521"/>
      <c r="CR449" s="467">
        <f>CR395/CR$443</f>
        <v>9.9079492398081614E-2</v>
      </c>
      <c r="CS449" s="467">
        <f t="shared" si="437"/>
        <v>0.11436523334873887</v>
      </c>
      <c r="CT449" s="467">
        <f t="shared" si="437"/>
        <v>0.11436523334873887</v>
      </c>
      <c r="CU449" s="521"/>
      <c r="CV449" s="467">
        <f>CV395/CV$443</f>
        <v>0.10932096161956981</v>
      </c>
      <c r="CW449" s="467">
        <f t="shared" si="438"/>
        <v>0.13227095390200494</v>
      </c>
      <c r="CX449" s="467">
        <f t="shared" si="438"/>
        <v>0.13227095390200494</v>
      </c>
      <c r="CY449" s="521"/>
      <c r="CZ449" s="467">
        <f>CZ395/CZ$443</f>
        <v>0.12835282249164789</v>
      </c>
      <c r="DA449" s="467">
        <f t="shared" si="439"/>
        <v>7.7836892124621554E-2</v>
      </c>
      <c r="DB449" s="467">
        <f t="shared" si="439"/>
        <v>7.7836892124621554E-2</v>
      </c>
      <c r="DC449" s="521"/>
      <c r="DD449" s="467">
        <f>DD395/DD$443</f>
        <v>8.4310772429260147E-2</v>
      </c>
      <c r="DE449" s="467">
        <f t="shared" ref="DE449:DF449" si="443">DE395/DE$443</f>
        <v>7.8546446785702689E-2</v>
      </c>
      <c r="DF449" s="467">
        <f t="shared" si="443"/>
        <v>7.8546446785702689E-2</v>
      </c>
      <c r="DG449" s="521"/>
      <c r="DH449" s="467">
        <f>DH395/DH$443</f>
        <v>8.8327035199640039E-2</v>
      </c>
      <c r="DI449" s="523">
        <f>DH449</f>
        <v>8.8327035199640039E-2</v>
      </c>
      <c r="DJ449" s="467">
        <f>DJ395/DJ$443</f>
        <v>8.8327035199640039E-2</v>
      </c>
      <c r="DK449" s="521"/>
      <c r="DL449" s="523">
        <f>DI449</f>
        <v>8.8327035199640039E-2</v>
      </c>
      <c r="DM449" s="523">
        <f>DL449</f>
        <v>8.8327035199640039E-2</v>
      </c>
      <c r="DN449" s="467">
        <f>DN395/DN$443</f>
        <v>8.8327035199640039E-2</v>
      </c>
      <c r="DO449" s="521"/>
      <c r="DP449" s="523">
        <f>DM449</f>
        <v>8.8327035199640039E-2</v>
      </c>
      <c r="DQ449" s="523">
        <f>DP449</f>
        <v>8.8327035199640039E-2</v>
      </c>
      <c r="DR449" s="467">
        <f>DR395/DR$443</f>
        <v>8.8327035199640039E-2</v>
      </c>
      <c r="DS449" s="521"/>
      <c r="DT449" s="1"/>
      <c r="DU449" s="1"/>
      <c r="DV449" s="1"/>
      <c r="DW449" s="1"/>
      <c r="DX449" s="1"/>
      <c r="DY449" s="1"/>
      <c r="DZ449" s="1"/>
      <c r="EA449" s="1"/>
      <c r="EB449" s="1"/>
      <c r="EC449" s="1"/>
      <c r="ED449" s="1"/>
      <c r="EE449" s="1"/>
      <c r="EF449" s="1"/>
      <c r="EG449" s="1"/>
      <c r="EH449" s="1"/>
      <c r="EI449" s="1"/>
      <c r="EJ449" s="1"/>
      <c r="EK449" s="1"/>
      <c r="EL449" s="1"/>
      <c r="EM449" s="1"/>
      <c r="EN449" s="1"/>
      <c r="EO449" s="1"/>
      <c r="EP449" s="1"/>
      <c r="EQ449" s="1"/>
      <c r="ER449" s="1"/>
      <c r="ES449" s="1"/>
      <c r="ET449" s="1"/>
      <c r="EU449" s="1"/>
      <c r="EV449" s="1"/>
      <c r="EW449" s="1"/>
      <c r="EX449" s="1"/>
      <c r="EY449" s="1"/>
      <c r="EZ449" s="1"/>
      <c r="FA449" s="1"/>
      <c r="FB449" s="1"/>
      <c r="FC449" s="1"/>
      <c r="FD449" s="1"/>
      <c r="FE449" s="1"/>
      <c r="FF449" s="1"/>
      <c r="FG449" s="1"/>
      <c r="FH449" s="1"/>
      <c r="FI449" s="1"/>
      <c r="FJ449" s="1"/>
      <c r="FK449" s="1"/>
      <c r="FL449" s="1"/>
      <c r="FM449" s="1"/>
      <c r="FN449" s="1"/>
      <c r="FO449" s="1"/>
      <c r="FP449" s="1"/>
      <c r="FQ449" s="1"/>
      <c r="FR449" s="1"/>
      <c r="FS449" s="1"/>
      <c r="FT449" s="1"/>
      <c r="FU449" s="1"/>
      <c r="FV449" s="1"/>
      <c r="FW449" s="1"/>
      <c r="FX449" s="1"/>
      <c r="FY449" s="1"/>
      <c r="FZ449" s="1"/>
      <c r="GA449" s="1"/>
      <c r="GB449" s="1"/>
      <c r="GC449" s="1"/>
      <c r="GD449" s="1"/>
      <c r="GE449" s="1"/>
      <c r="GF449" s="1"/>
      <c r="GG449" s="1"/>
      <c r="GH449" s="1"/>
      <c r="GI449" s="1"/>
      <c r="GJ449" s="1"/>
      <c r="GK449" s="1"/>
      <c r="GL449" s="1"/>
      <c r="GM449" s="1"/>
      <c r="GN449" s="1"/>
      <c r="GO449" s="1"/>
      <c r="GP449" s="1"/>
      <c r="GQ449" s="1"/>
      <c r="GR449" s="1"/>
      <c r="GS449" s="1"/>
      <c r="GT449" s="1"/>
      <c r="GU449" s="1"/>
      <c r="GV449" s="1"/>
      <c r="GW449" s="1"/>
      <c r="GX449" s="1"/>
      <c r="GY449" s="1"/>
      <c r="GZ449" s="1"/>
      <c r="HA449" s="1"/>
      <c r="HB449" s="1"/>
      <c r="HC449" s="1"/>
      <c r="HD449" s="1"/>
      <c r="HE449" s="1"/>
      <c r="HF449" s="1"/>
      <c r="HG449" s="1"/>
      <c r="HH449" s="1"/>
      <c r="HI449" s="1"/>
      <c r="HJ449" s="1"/>
      <c r="HK449" s="1"/>
      <c r="HL449" s="1"/>
      <c r="HM449" s="1"/>
      <c r="HN449" s="1"/>
      <c r="HO449" s="1"/>
      <c r="HP449" s="1"/>
      <c r="HQ449" s="1"/>
      <c r="HR449" s="1"/>
      <c r="HS449" s="1"/>
      <c r="HT449" s="1"/>
      <c r="HU449" s="1"/>
      <c r="HV449" s="1"/>
      <c r="HW449" s="1"/>
      <c r="HX449" s="1"/>
      <c r="HY449" s="1"/>
      <c r="HZ449" s="1"/>
      <c r="IA449" s="1"/>
      <c r="IB449" s="1"/>
      <c r="IC449" s="1"/>
      <c r="ID449" s="1"/>
      <c r="IE449" s="1"/>
      <c r="IF449" s="1"/>
      <c r="IG449" s="1"/>
      <c r="IH449" s="1"/>
      <c r="II449" s="1"/>
      <c r="IJ449" s="1"/>
      <c r="IK449" s="1"/>
      <c r="IL449" s="1"/>
      <c r="IM449" s="1"/>
      <c r="IN449" s="1"/>
      <c r="IO449" s="1"/>
      <c r="IP449" s="1"/>
      <c r="IQ449" s="1"/>
      <c r="IR449" s="1"/>
      <c r="IS449" s="1"/>
      <c r="IT449" s="1"/>
      <c r="IU449" s="1"/>
      <c r="IV449" s="1"/>
      <c r="IW449" s="1"/>
      <c r="IX449" s="1"/>
      <c r="IY449" s="1"/>
      <c r="IZ449" s="1"/>
      <c r="JA449" s="1"/>
      <c r="JB449" s="1"/>
      <c r="JC449" s="1"/>
      <c r="JD449" s="1"/>
    </row>
    <row r="450" spans="1:264" s="411" customFormat="1" x14ac:dyDescent="0.2">
      <c r="A450" s="347"/>
      <c r="B450" s="423"/>
      <c r="BH450" s="397"/>
      <c r="BI450" s="397"/>
      <c r="BJ450" s="397"/>
      <c r="BK450" s="348"/>
      <c r="BL450" s="397"/>
      <c r="BM450" s="397"/>
      <c r="BN450" s="397"/>
      <c r="BO450" s="423"/>
      <c r="BP450" s="397"/>
      <c r="BQ450" s="397"/>
      <c r="BR450" s="397"/>
      <c r="BT450" s="423"/>
      <c r="BX450" s="423"/>
      <c r="CB450" s="423"/>
      <c r="CF450" s="423"/>
      <c r="CJ450" s="423"/>
      <c r="CN450" s="423"/>
      <c r="CR450" s="423"/>
      <c r="CV450" s="423"/>
      <c r="CZ450" s="423"/>
      <c r="DD450" s="423"/>
      <c r="DH450" s="423"/>
      <c r="DL450" s="423"/>
      <c r="DP450" s="423"/>
      <c r="DT450" s="1"/>
      <c r="DU450" s="1"/>
      <c r="DV450" s="1"/>
      <c r="DW450" s="1"/>
      <c r="DX450" s="1"/>
      <c r="DY450" s="1"/>
      <c r="DZ450" s="1"/>
      <c r="EA450" s="1"/>
      <c r="EB450" s="1"/>
      <c r="EC450" s="1"/>
      <c r="ED450" s="1"/>
      <c r="EE450" s="1"/>
      <c r="EF450" s="1"/>
      <c r="EG450" s="1"/>
      <c r="EH450" s="1"/>
      <c r="EI450" s="1"/>
      <c r="EJ450" s="1"/>
      <c r="EK450" s="1"/>
      <c r="EL450" s="1"/>
      <c r="EM450" s="1"/>
      <c r="EN450" s="1"/>
      <c r="EO450" s="1"/>
      <c r="EP450" s="1"/>
      <c r="EQ450" s="1"/>
      <c r="ER450" s="1"/>
      <c r="ES450" s="1"/>
      <c r="ET450" s="1"/>
      <c r="EU450" s="1"/>
      <c r="EV450" s="1"/>
      <c r="EW450" s="1"/>
      <c r="EX450" s="1"/>
      <c r="EY450" s="1"/>
      <c r="EZ450" s="1"/>
      <c r="FA450" s="1"/>
      <c r="FB450" s="1"/>
      <c r="FC450" s="1"/>
      <c r="FD450" s="1"/>
      <c r="FE450" s="1"/>
      <c r="FF450" s="1"/>
      <c r="FG450" s="1"/>
      <c r="FH450" s="1"/>
      <c r="FI450" s="1"/>
      <c r="FJ450" s="1"/>
      <c r="FK450" s="1"/>
      <c r="FL450" s="1"/>
      <c r="FM450" s="1"/>
      <c r="FN450" s="1"/>
      <c r="FO450" s="1"/>
      <c r="FP450" s="1"/>
      <c r="FQ450" s="1"/>
      <c r="FR450" s="1"/>
      <c r="FS450" s="1"/>
      <c r="FT450" s="1"/>
      <c r="FU450" s="1"/>
      <c r="FV450" s="1"/>
      <c r="FW450" s="1"/>
      <c r="FX450" s="1"/>
      <c r="FY450" s="1"/>
      <c r="FZ450" s="1"/>
      <c r="GA450" s="1"/>
      <c r="GB450" s="1"/>
      <c r="GC450" s="1"/>
      <c r="GD450" s="1"/>
      <c r="GE450" s="1"/>
      <c r="GF450" s="1"/>
      <c r="GG450" s="1"/>
      <c r="GH450" s="1"/>
      <c r="GI450" s="1"/>
      <c r="GJ450" s="1"/>
      <c r="GK450" s="1"/>
      <c r="GL450" s="1"/>
      <c r="GM450" s="1"/>
      <c r="GN450" s="1"/>
      <c r="GO450" s="1"/>
      <c r="GP450" s="1"/>
      <c r="GQ450" s="1"/>
      <c r="GR450" s="1"/>
      <c r="GS450" s="1"/>
      <c r="GT450" s="1"/>
      <c r="GU450" s="1"/>
      <c r="GV450" s="1"/>
      <c r="GW450" s="1"/>
      <c r="GX450" s="1"/>
      <c r="GY450" s="1"/>
      <c r="GZ450" s="1"/>
      <c r="HA450" s="1"/>
      <c r="HB450" s="1"/>
      <c r="HC450" s="1"/>
      <c r="HD450" s="1"/>
      <c r="HE450" s="1"/>
      <c r="HF450" s="1"/>
      <c r="HG450" s="1"/>
      <c r="HH450" s="1"/>
      <c r="HI450" s="1"/>
      <c r="HJ450" s="1"/>
      <c r="HK450" s="1"/>
      <c r="HL450" s="1"/>
      <c r="HM450" s="1"/>
      <c r="HN450" s="1"/>
      <c r="HO450" s="1"/>
      <c r="HP450" s="1"/>
      <c r="HQ450" s="1"/>
      <c r="HR450" s="1"/>
      <c r="HS450" s="1"/>
      <c r="HT450" s="1"/>
      <c r="HU450" s="1"/>
      <c r="HV450" s="1"/>
      <c r="HW450" s="1"/>
      <c r="HX450" s="1"/>
      <c r="HY450" s="1"/>
      <c r="HZ450" s="1"/>
      <c r="IA450" s="1"/>
      <c r="IB450" s="1"/>
      <c r="IC450" s="1"/>
      <c r="ID450" s="1"/>
      <c r="IE450" s="1"/>
      <c r="IF450" s="1"/>
      <c r="IG450" s="1"/>
      <c r="IH450" s="1"/>
      <c r="II450" s="1"/>
      <c r="IJ450" s="1"/>
      <c r="IK450" s="1"/>
      <c r="IL450" s="1"/>
      <c r="IM450" s="1"/>
      <c r="IN450" s="1"/>
      <c r="IO450" s="1"/>
      <c r="IP450" s="1"/>
      <c r="IQ450" s="1"/>
      <c r="IR450" s="1"/>
      <c r="IS450" s="1"/>
      <c r="IT450" s="1"/>
      <c r="IU450" s="1"/>
      <c r="IV450" s="1"/>
      <c r="IW450" s="1"/>
      <c r="IX450" s="1"/>
      <c r="IY450" s="1"/>
      <c r="IZ450" s="1"/>
      <c r="JA450" s="1"/>
      <c r="JB450" s="1"/>
      <c r="JC450" s="1"/>
      <c r="JD450" s="1"/>
    </row>
    <row r="451" spans="1:264" s="460" customFormat="1" x14ac:dyDescent="0.2">
      <c r="A451" s="458" t="s">
        <v>391</v>
      </c>
      <c r="B451" s="459"/>
      <c r="C451" s="458"/>
      <c r="D451" s="458"/>
      <c r="E451" s="458"/>
      <c r="F451" s="458"/>
      <c r="G451" s="458"/>
      <c r="H451" s="458"/>
      <c r="I451" s="458"/>
      <c r="J451" s="458"/>
      <c r="K451" s="458"/>
      <c r="L451" s="458"/>
      <c r="M451" s="458"/>
      <c r="N451" s="458"/>
      <c r="O451" s="458"/>
      <c r="P451" s="458"/>
      <c r="Q451" s="458"/>
      <c r="R451" s="458"/>
      <c r="S451" s="458"/>
      <c r="T451" s="458"/>
      <c r="U451" s="458"/>
      <c r="V451" s="458"/>
      <c r="W451" s="458"/>
      <c r="X451" s="458"/>
      <c r="Y451" s="458"/>
      <c r="Z451" s="458"/>
      <c r="AA451" s="458"/>
      <c r="AB451" s="458"/>
      <c r="AC451" s="458"/>
      <c r="AD451" s="458"/>
      <c r="AE451" s="458"/>
      <c r="AF451" s="458"/>
      <c r="AG451" s="458"/>
      <c r="AH451" s="458"/>
      <c r="AI451" s="458"/>
      <c r="AJ451" s="458"/>
      <c r="AK451" s="458"/>
      <c r="AL451" s="458"/>
      <c r="AM451" s="458"/>
      <c r="AN451" s="458"/>
      <c r="AO451" s="458"/>
      <c r="AP451" s="458"/>
      <c r="AQ451" s="458"/>
      <c r="AR451" s="458"/>
      <c r="AS451" s="458"/>
      <c r="AT451" s="458"/>
      <c r="AU451" s="458"/>
      <c r="AV451" s="458"/>
      <c r="AW451" s="458"/>
      <c r="AX451" s="458"/>
      <c r="AY451" s="458"/>
      <c r="AZ451" s="458"/>
      <c r="BA451" s="458"/>
      <c r="BB451" s="458"/>
      <c r="BC451" s="458"/>
      <c r="BD451" s="458"/>
      <c r="BE451" s="458"/>
      <c r="BF451" s="458"/>
      <c r="BG451" s="458"/>
      <c r="BH451" s="459"/>
      <c r="BI451" s="459"/>
      <c r="BJ451" s="459"/>
      <c r="BK451" s="459"/>
      <c r="BL451" s="459"/>
      <c r="BM451" s="459"/>
      <c r="BN451" s="459"/>
      <c r="BO451" s="459"/>
      <c r="BP451" s="459"/>
      <c r="BQ451" s="459"/>
      <c r="BR451" s="459"/>
      <c r="BS451" s="458"/>
      <c r="BT451" s="459"/>
      <c r="BU451" s="459"/>
      <c r="BV451" s="459"/>
      <c r="BW451" s="458"/>
      <c r="BX451" s="459"/>
      <c r="BY451" s="459"/>
      <c r="BZ451" s="459"/>
      <c r="CA451" s="458"/>
      <c r="CB451" s="459"/>
      <c r="CC451" s="459"/>
      <c r="CD451" s="459"/>
      <c r="CE451" s="458"/>
      <c r="CF451" s="459"/>
      <c r="CG451" s="459"/>
      <c r="CH451" s="459"/>
      <c r="CI451" s="458"/>
      <c r="CJ451" s="459"/>
      <c r="CK451" s="459"/>
      <c r="CL451" s="459"/>
      <c r="CM451" s="458"/>
      <c r="CN451" s="459"/>
      <c r="CO451" s="459"/>
      <c r="CP451" s="459"/>
      <c r="CQ451" s="458"/>
      <c r="CR451" s="459"/>
      <c r="CS451" s="459"/>
      <c r="CT451" s="459"/>
      <c r="CU451" s="458"/>
      <c r="CV451" s="459"/>
      <c r="CW451" s="459"/>
      <c r="CX451" s="459"/>
      <c r="CY451" s="458"/>
      <c r="CZ451" s="459"/>
      <c r="DA451" s="459"/>
      <c r="DB451" s="459"/>
      <c r="DC451" s="458"/>
      <c r="DD451" s="459"/>
      <c r="DE451" s="459"/>
      <c r="DF451" s="459"/>
      <c r="DG451" s="458"/>
      <c r="DH451" s="459"/>
      <c r="DI451" s="459"/>
      <c r="DJ451" s="459"/>
      <c r="DK451" s="458"/>
      <c r="DL451" s="459"/>
      <c r="DM451" s="459"/>
      <c r="DN451" s="459"/>
      <c r="DO451" s="458"/>
      <c r="DP451" s="459"/>
      <c r="DQ451" s="459"/>
      <c r="DR451" s="459"/>
      <c r="DS451" s="458"/>
      <c r="DT451" s="1"/>
      <c r="DU451" s="1"/>
      <c r="DV451" s="1"/>
      <c r="DW451" s="1"/>
      <c r="DX451" s="1"/>
      <c r="DY451" s="1"/>
      <c r="DZ451" s="1"/>
      <c r="EA451" s="1"/>
      <c r="EB451" s="1"/>
      <c r="EC451" s="1"/>
      <c r="ED451" s="1"/>
      <c r="EE451" s="1"/>
      <c r="EF451" s="1"/>
      <c r="EG451" s="1"/>
      <c r="EH451" s="1"/>
      <c r="EI451" s="1"/>
      <c r="EJ451" s="1"/>
      <c r="EK451" s="1"/>
      <c r="EL451" s="1"/>
      <c r="EM451" s="1"/>
      <c r="EN451" s="1"/>
      <c r="EO451" s="1"/>
      <c r="EP451" s="1"/>
      <c r="EQ451" s="1"/>
      <c r="ER451" s="1"/>
      <c r="ES451" s="1"/>
      <c r="ET451" s="1"/>
      <c r="EU451" s="1"/>
      <c r="EV451" s="1"/>
      <c r="EW451" s="1"/>
      <c r="EX451" s="1"/>
      <c r="EY451" s="1"/>
      <c r="EZ451" s="1"/>
      <c r="FA451" s="1"/>
      <c r="FB451" s="1"/>
      <c r="FC451" s="1"/>
      <c r="FD451" s="1"/>
      <c r="FE451" s="1"/>
      <c r="FF451" s="1"/>
      <c r="FG451" s="1"/>
      <c r="FH451" s="1"/>
      <c r="FI451" s="1"/>
      <c r="FJ451" s="1"/>
      <c r="FK451" s="1"/>
      <c r="FL451" s="1"/>
      <c r="FM451" s="1"/>
      <c r="FN451" s="1"/>
      <c r="FO451" s="1"/>
      <c r="FP451" s="1"/>
      <c r="FQ451" s="1"/>
      <c r="FR451" s="1"/>
      <c r="FS451" s="1"/>
      <c r="FT451" s="1"/>
      <c r="FU451" s="1"/>
      <c r="FV451" s="1"/>
      <c r="FW451" s="1"/>
      <c r="FX451" s="1"/>
      <c r="FY451" s="1"/>
      <c r="FZ451" s="1"/>
      <c r="GA451" s="1"/>
      <c r="GB451" s="1"/>
      <c r="GC451" s="1"/>
      <c r="GD451" s="1"/>
      <c r="GE451" s="1"/>
      <c r="GF451" s="1"/>
      <c r="GG451" s="1"/>
      <c r="GH451" s="1"/>
      <c r="GI451" s="1"/>
      <c r="GJ451" s="1"/>
      <c r="GK451" s="1"/>
      <c r="GL451" s="1"/>
      <c r="GM451" s="1"/>
      <c r="GN451" s="1"/>
      <c r="GO451" s="1"/>
      <c r="GP451" s="1"/>
      <c r="GQ451" s="1"/>
      <c r="GR451" s="1"/>
      <c r="GS451" s="1"/>
      <c r="GT451" s="1"/>
      <c r="GU451" s="1"/>
      <c r="GV451" s="1"/>
      <c r="GW451" s="1"/>
      <c r="GX451" s="1"/>
      <c r="GY451" s="1"/>
      <c r="GZ451" s="1"/>
      <c r="HA451" s="1"/>
      <c r="HB451" s="1"/>
      <c r="HC451" s="1"/>
      <c r="HD451" s="1"/>
      <c r="HE451" s="1"/>
      <c r="HF451" s="1"/>
      <c r="HG451" s="1"/>
      <c r="HH451" s="1"/>
      <c r="HI451" s="1"/>
      <c r="HJ451" s="1"/>
      <c r="HK451" s="1"/>
      <c r="HL451" s="1"/>
      <c r="HM451" s="1"/>
      <c r="HN451" s="1"/>
      <c r="HO451" s="1"/>
      <c r="HP451" s="1"/>
      <c r="HQ451" s="1"/>
      <c r="HR451" s="1"/>
      <c r="HS451" s="1"/>
      <c r="HT451" s="1"/>
      <c r="HU451" s="1"/>
      <c r="HV451" s="1"/>
      <c r="HW451" s="1"/>
      <c r="HX451" s="1"/>
      <c r="HY451" s="1"/>
      <c r="HZ451" s="1"/>
      <c r="IA451" s="1"/>
      <c r="IB451" s="1"/>
      <c r="IC451" s="1"/>
      <c r="ID451" s="1"/>
      <c r="IE451" s="1"/>
      <c r="IF451" s="1"/>
      <c r="IG451" s="1"/>
      <c r="IH451" s="1"/>
      <c r="II451" s="1"/>
      <c r="IJ451" s="1"/>
      <c r="IK451" s="1"/>
      <c r="IL451" s="1"/>
      <c r="IM451" s="1"/>
      <c r="IN451" s="1"/>
      <c r="IO451" s="1"/>
      <c r="IP451" s="1"/>
      <c r="IQ451" s="1"/>
      <c r="IR451" s="1"/>
      <c r="IS451" s="1"/>
      <c r="IT451" s="1"/>
      <c r="IU451" s="1"/>
      <c r="IV451" s="1"/>
      <c r="IW451" s="1"/>
      <c r="IX451" s="1"/>
      <c r="IY451" s="1"/>
      <c r="IZ451" s="1"/>
      <c r="JA451" s="1"/>
      <c r="JB451" s="1"/>
      <c r="JC451" s="1"/>
      <c r="JD451" s="1"/>
    </row>
    <row r="452" spans="1:264" s="411" customFormat="1" x14ac:dyDescent="0.2">
      <c r="A452" s="347"/>
      <c r="B452" s="423"/>
      <c r="BH452" s="397"/>
      <c r="BI452" s="397"/>
      <c r="BJ452" s="397"/>
      <c r="BK452" s="348"/>
      <c r="BL452" s="397"/>
      <c r="BM452" s="397"/>
      <c r="BN452" s="397"/>
      <c r="BO452" s="423"/>
      <c r="BP452" s="397"/>
      <c r="BQ452" s="397"/>
      <c r="BR452" s="397"/>
      <c r="BT452" s="423"/>
      <c r="BX452" s="423"/>
      <c r="CB452" s="423"/>
      <c r="CF452" s="423"/>
      <c r="CJ452" s="423"/>
      <c r="CN452" s="423"/>
      <c r="CR452" s="423"/>
      <c r="CV452" s="423"/>
      <c r="CZ452" s="423"/>
      <c r="DD452" s="423"/>
      <c r="DH452" s="423"/>
      <c r="DL452" s="423"/>
      <c r="DP452" s="423"/>
      <c r="DT452" s="1"/>
      <c r="DU452" s="1"/>
      <c r="DV452" s="1"/>
      <c r="DW452" s="1"/>
      <c r="DX452" s="1"/>
      <c r="DY452" s="1"/>
      <c r="DZ452" s="1"/>
      <c r="EA452" s="1"/>
      <c r="EB452" s="1"/>
      <c r="EC452" s="1"/>
      <c r="ED452" s="1"/>
      <c r="EE452" s="1"/>
      <c r="EF452" s="1"/>
      <c r="EG452" s="1"/>
      <c r="EH452" s="1"/>
      <c r="EI452" s="1"/>
      <c r="EJ452" s="1"/>
      <c r="EK452" s="1"/>
      <c r="EL452" s="1"/>
      <c r="EM452" s="1"/>
      <c r="EN452" s="1"/>
      <c r="EO452" s="1"/>
      <c r="EP452" s="1"/>
      <c r="EQ452" s="1"/>
      <c r="ER452" s="1"/>
      <c r="ES452" s="1"/>
      <c r="ET452" s="1"/>
      <c r="EU452" s="1"/>
      <c r="EV452" s="1"/>
      <c r="EW452" s="1"/>
      <c r="EX452" s="1"/>
      <c r="EY452" s="1"/>
      <c r="EZ452" s="1"/>
      <c r="FA452" s="1"/>
      <c r="FB452" s="1"/>
      <c r="FC452" s="1"/>
      <c r="FD452" s="1"/>
      <c r="FE452" s="1"/>
      <c r="FF452" s="1"/>
      <c r="FG452" s="1"/>
      <c r="FH452" s="1"/>
      <c r="FI452" s="1"/>
      <c r="FJ452" s="1"/>
      <c r="FK452" s="1"/>
      <c r="FL452" s="1"/>
      <c r="FM452" s="1"/>
      <c r="FN452" s="1"/>
      <c r="FO452" s="1"/>
      <c r="FP452" s="1"/>
      <c r="FQ452" s="1"/>
      <c r="FR452" s="1"/>
      <c r="FS452" s="1"/>
      <c r="FT452" s="1"/>
      <c r="FU452" s="1"/>
      <c r="FV452" s="1"/>
      <c r="FW452" s="1"/>
      <c r="FX452" s="1"/>
      <c r="FY452" s="1"/>
      <c r="FZ452" s="1"/>
      <c r="GA452" s="1"/>
      <c r="GB452" s="1"/>
      <c r="GC452" s="1"/>
      <c r="GD452" s="1"/>
      <c r="GE452" s="1"/>
      <c r="GF452" s="1"/>
      <c r="GG452" s="1"/>
      <c r="GH452" s="1"/>
      <c r="GI452" s="1"/>
      <c r="GJ452" s="1"/>
      <c r="GK452" s="1"/>
      <c r="GL452" s="1"/>
      <c r="GM452" s="1"/>
      <c r="GN452" s="1"/>
      <c r="GO452" s="1"/>
      <c r="GP452" s="1"/>
      <c r="GQ452" s="1"/>
      <c r="GR452" s="1"/>
      <c r="GS452" s="1"/>
      <c r="GT452" s="1"/>
      <c r="GU452" s="1"/>
      <c r="GV452" s="1"/>
      <c r="GW452" s="1"/>
      <c r="GX452" s="1"/>
      <c r="GY452" s="1"/>
      <c r="GZ452" s="1"/>
      <c r="HA452" s="1"/>
      <c r="HB452" s="1"/>
      <c r="HC452" s="1"/>
      <c r="HD452" s="1"/>
      <c r="HE452" s="1"/>
      <c r="HF452" s="1"/>
      <c r="HG452" s="1"/>
      <c r="HH452" s="1"/>
      <c r="HI452" s="1"/>
      <c r="HJ452" s="1"/>
      <c r="HK452" s="1"/>
      <c r="HL452" s="1"/>
      <c r="HM452" s="1"/>
      <c r="HN452" s="1"/>
      <c r="HO452" s="1"/>
      <c r="HP452" s="1"/>
      <c r="HQ452" s="1"/>
      <c r="HR452" s="1"/>
      <c r="HS452" s="1"/>
      <c r="HT452" s="1"/>
      <c r="HU452" s="1"/>
      <c r="HV452" s="1"/>
      <c r="HW452" s="1"/>
      <c r="HX452" s="1"/>
      <c r="HY452" s="1"/>
      <c r="HZ452" s="1"/>
      <c r="IA452" s="1"/>
      <c r="IB452" s="1"/>
      <c r="IC452" s="1"/>
      <c r="ID452" s="1"/>
      <c r="IE452" s="1"/>
      <c r="IF452" s="1"/>
      <c r="IG452" s="1"/>
      <c r="IH452" s="1"/>
      <c r="II452" s="1"/>
      <c r="IJ452" s="1"/>
      <c r="IK452" s="1"/>
      <c r="IL452" s="1"/>
      <c r="IM452" s="1"/>
      <c r="IN452" s="1"/>
      <c r="IO452" s="1"/>
      <c r="IP452" s="1"/>
      <c r="IQ452" s="1"/>
      <c r="IR452" s="1"/>
      <c r="IS452" s="1"/>
      <c r="IT452" s="1"/>
      <c r="IU452" s="1"/>
      <c r="IV452" s="1"/>
      <c r="IW452" s="1"/>
      <c r="IX452" s="1"/>
      <c r="IY452" s="1"/>
      <c r="IZ452" s="1"/>
      <c r="JA452" s="1"/>
      <c r="JB452" s="1"/>
      <c r="JC452" s="1"/>
      <c r="JD452" s="1"/>
    </row>
    <row r="453" spans="1:264" s="411" customFormat="1" x14ac:dyDescent="0.2">
      <c r="A453" s="411" t="s">
        <v>398</v>
      </c>
      <c r="B453" s="423"/>
      <c r="BH453" s="397"/>
      <c r="BI453" s="397"/>
      <c r="BJ453" s="397"/>
      <c r="BK453" s="348"/>
      <c r="BL453" s="397"/>
      <c r="BM453" s="397"/>
      <c r="BN453" s="397"/>
      <c r="BO453" s="423"/>
      <c r="BP453" s="397"/>
      <c r="BQ453" s="397"/>
      <c r="BR453" s="397"/>
      <c r="BT453" s="423"/>
      <c r="BX453" s="423"/>
      <c r="CB453" s="423"/>
      <c r="CF453" s="423"/>
      <c r="CJ453" s="423"/>
      <c r="CN453" s="423"/>
      <c r="CR453" s="423"/>
      <c r="CV453" s="423"/>
      <c r="CZ453" s="423"/>
      <c r="DD453" s="423"/>
      <c r="DH453" s="423"/>
      <c r="DL453" s="423"/>
      <c r="DP453" s="423"/>
      <c r="DT453" s="1"/>
      <c r="DU453" s="1"/>
      <c r="DV453" s="1"/>
      <c r="DW453" s="1"/>
      <c r="DX453" s="1"/>
      <c r="DY453" s="1"/>
      <c r="DZ453" s="1"/>
      <c r="EA453" s="1"/>
      <c r="EB453" s="1"/>
      <c r="EC453" s="1"/>
      <c r="ED453" s="1"/>
      <c r="EE453" s="1"/>
      <c r="EF453" s="1"/>
      <c r="EG453" s="1"/>
      <c r="EH453" s="1"/>
      <c r="EI453" s="1"/>
      <c r="EJ453" s="1"/>
      <c r="EK453" s="1"/>
      <c r="EL453" s="1"/>
      <c r="EM453" s="1"/>
      <c r="EN453" s="1"/>
      <c r="EO453" s="1"/>
      <c r="EP453" s="1"/>
      <c r="EQ453" s="1"/>
      <c r="ER453" s="1"/>
      <c r="ES453" s="1"/>
      <c r="ET453" s="1"/>
      <c r="EU453" s="1"/>
      <c r="EV453" s="1"/>
      <c r="EW453" s="1"/>
      <c r="EX453" s="1"/>
      <c r="EY453" s="1"/>
      <c r="EZ453" s="1"/>
      <c r="FA453" s="1"/>
      <c r="FB453" s="1"/>
      <c r="FC453" s="1"/>
      <c r="FD453" s="1"/>
      <c r="FE453" s="1"/>
      <c r="FF453" s="1"/>
      <c r="FG453" s="1"/>
      <c r="FH453" s="1"/>
      <c r="FI453" s="1"/>
      <c r="FJ453" s="1"/>
      <c r="FK453" s="1"/>
      <c r="FL453" s="1"/>
      <c r="FM453" s="1"/>
      <c r="FN453" s="1"/>
      <c r="FO453" s="1"/>
      <c r="FP453" s="1"/>
      <c r="FQ453" s="1"/>
      <c r="FR453" s="1"/>
      <c r="FS453" s="1"/>
      <c r="FT453" s="1"/>
      <c r="FU453" s="1"/>
      <c r="FV453" s="1"/>
      <c r="FW453" s="1"/>
      <c r="FX453" s="1"/>
      <c r="FY453" s="1"/>
      <c r="FZ453" s="1"/>
      <c r="GA453" s="1"/>
      <c r="GB453" s="1"/>
      <c r="GC453" s="1"/>
      <c r="GD453" s="1"/>
      <c r="GE453" s="1"/>
      <c r="GF453" s="1"/>
      <c r="GG453" s="1"/>
      <c r="GH453" s="1"/>
      <c r="GI453" s="1"/>
      <c r="GJ453" s="1"/>
      <c r="GK453" s="1"/>
      <c r="GL453" s="1"/>
      <c r="GM453" s="1"/>
      <c r="GN453" s="1"/>
      <c r="GO453" s="1"/>
      <c r="GP453" s="1"/>
      <c r="GQ453" s="1"/>
      <c r="GR453" s="1"/>
      <c r="GS453" s="1"/>
      <c r="GT453" s="1"/>
      <c r="GU453" s="1"/>
      <c r="GV453" s="1"/>
      <c r="GW453" s="1"/>
      <c r="GX453" s="1"/>
      <c r="GY453" s="1"/>
      <c r="GZ453" s="1"/>
      <c r="HA453" s="1"/>
      <c r="HB453" s="1"/>
      <c r="HC453" s="1"/>
      <c r="HD453" s="1"/>
      <c r="HE453" s="1"/>
      <c r="HF453" s="1"/>
      <c r="HG453" s="1"/>
      <c r="HH453" s="1"/>
      <c r="HI453" s="1"/>
      <c r="HJ453" s="1"/>
      <c r="HK453" s="1"/>
      <c r="HL453" s="1"/>
      <c r="HM453" s="1"/>
      <c r="HN453" s="1"/>
      <c r="HO453" s="1"/>
      <c r="HP453" s="1"/>
      <c r="HQ453" s="1"/>
      <c r="HR453" s="1"/>
      <c r="HS453" s="1"/>
      <c r="HT453" s="1"/>
      <c r="HU453" s="1"/>
      <c r="HV453" s="1"/>
      <c r="HW453" s="1"/>
      <c r="HX453" s="1"/>
      <c r="HY453" s="1"/>
      <c r="HZ453" s="1"/>
      <c r="IA453" s="1"/>
      <c r="IB453" s="1"/>
      <c r="IC453" s="1"/>
      <c r="ID453" s="1"/>
      <c r="IE453" s="1"/>
      <c r="IF453" s="1"/>
      <c r="IG453" s="1"/>
      <c r="IH453" s="1"/>
      <c r="II453" s="1"/>
      <c r="IJ453" s="1"/>
      <c r="IK453" s="1"/>
      <c r="IL453" s="1"/>
      <c r="IM453" s="1"/>
      <c r="IN453" s="1"/>
      <c r="IO453" s="1"/>
      <c r="IP453" s="1"/>
      <c r="IQ453" s="1"/>
      <c r="IR453" s="1"/>
      <c r="IS453" s="1"/>
      <c r="IT453" s="1"/>
      <c r="IU453" s="1"/>
      <c r="IV453" s="1"/>
      <c r="IW453" s="1"/>
      <c r="IX453" s="1"/>
      <c r="IY453" s="1"/>
      <c r="IZ453" s="1"/>
      <c r="JA453" s="1"/>
      <c r="JB453" s="1"/>
      <c r="JC453" s="1"/>
      <c r="JD453" s="1"/>
    </row>
    <row r="454" spans="1:264" s="411" customFormat="1" x14ac:dyDescent="0.2">
      <c r="A454" s="347" t="s">
        <v>399</v>
      </c>
      <c r="B454" s="423"/>
      <c r="BH454" s="397"/>
      <c r="BI454" s="397"/>
      <c r="BJ454" s="397"/>
      <c r="BK454" s="348"/>
      <c r="BL454" s="397"/>
      <c r="BM454" s="397"/>
      <c r="BN454" s="397"/>
      <c r="BO454" s="423"/>
      <c r="BP454" s="397"/>
      <c r="BQ454" s="397"/>
      <c r="BR454" s="397"/>
      <c r="BT454" s="423"/>
      <c r="BU454" s="351">
        <f>BV454</f>
        <v>-720</v>
      </c>
      <c r="BV454" s="532">
        <v>-720</v>
      </c>
      <c r="BX454" s="532">
        <v>-520</v>
      </c>
      <c r="BY454" s="351">
        <f>BZ454</f>
        <v>-968</v>
      </c>
      <c r="BZ454" s="532">
        <v>-968</v>
      </c>
      <c r="CB454" s="532">
        <v>-1356</v>
      </c>
      <c r="CC454" s="351">
        <f>CD454</f>
        <v>-1599</v>
      </c>
      <c r="CD454" s="532">
        <v>-1599</v>
      </c>
      <c r="CF454" s="532">
        <v>-3172</v>
      </c>
      <c r="CG454" s="351">
        <f>CH454</f>
        <v>-2632</v>
      </c>
      <c r="CH454" s="532">
        <v>-2632</v>
      </c>
      <c r="CJ454" s="532">
        <v>-975</v>
      </c>
      <c r="CK454" s="351">
        <f>CL454</f>
        <v>-1155</v>
      </c>
      <c r="CL454" s="532">
        <v>-1155</v>
      </c>
      <c r="CN454" s="532">
        <v>-1848</v>
      </c>
      <c r="CO454" s="351">
        <f>CP454</f>
        <v>-1337</v>
      </c>
      <c r="CP454" s="532">
        <v>-1337</v>
      </c>
      <c r="CR454" s="532">
        <v>-905</v>
      </c>
      <c r="CS454" s="351">
        <f>CT454</f>
        <v>-870</v>
      </c>
      <c r="CT454" s="532">
        <v>-870</v>
      </c>
      <c r="CV454" s="532">
        <v>-1012</v>
      </c>
      <c r="CW454" s="351">
        <f>CX454</f>
        <v>-962</v>
      </c>
      <c r="CX454" s="532">
        <v>-962</v>
      </c>
      <c r="CZ454" s="532">
        <v>-1073</v>
      </c>
      <c r="DA454" s="351">
        <f>DB454</f>
        <v>-312</v>
      </c>
      <c r="DB454" s="532">
        <v>-312</v>
      </c>
      <c r="DD454" s="532">
        <v>-1018</v>
      </c>
      <c r="DE454" s="351">
        <f>DF454</f>
        <v>-936</v>
      </c>
      <c r="DF454" s="532">
        <v>-936</v>
      </c>
      <c r="DH454" s="532">
        <v>-866</v>
      </c>
      <c r="DI454" s="351">
        <f>DJ454</f>
        <v>-896.19508655289735</v>
      </c>
      <c r="DJ454" s="533">
        <f>+DH454/DH443*DJ443</f>
        <v>-896.19508655289735</v>
      </c>
      <c r="DL454" s="533">
        <f>+DJ454/DJ443*DL443</f>
        <v>-922.48433309725044</v>
      </c>
      <c r="DM454" s="351">
        <f>DN454</f>
        <v>-951.18286484490272</v>
      </c>
      <c r="DN454" s="533">
        <f>+DL454/DL443*DN443</f>
        <v>-951.18286484490272</v>
      </c>
      <c r="DP454" s="533">
        <f>+DN454/DN443*DP443</f>
        <v>-973.43189996624642</v>
      </c>
      <c r="DQ454" s="351">
        <f>DR454</f>
        <v>-997.88518966703475</v>
      </c>
      <c r="DR454" s="533">
        <f>+DP454/DP443*DR443</f>
        <v>-997.88518966703475</v>
      </c>
      <c r="DT454" s="1"/>
      <c r="DU454" s="1"/>
      <c r="DV454" s="1"/>
      <c r="DW454" s="1"/>
      <c r="DX454" s="1"/>
      <c r="DY454" s="1"/>
      <c r="DZ454" s="1"/>
      <c r="EA454" s="1"/>
      <c r="EB454" s="1"/>
      <c r="EC454" s="1"/>
      <c r="ED454" s="1"/>
      <c r="EE454" s="1"/>
      <c r="EF454" s="1"/>
      <c r="EG454" s="1"/>
      <c r="EH454" s="1"/>
      <c r="EI454" s="1"/>
      <c r="EJ454" s="1"/>
      <c r="EK454" s="1"/>
      <c r="EL454" s="1"/>
      <c r="EM454" s="1"/>
      <c r="EN454" s="1"/>
      <c r="EO454" s="1"/>
      <c r="EP454" s="1"/>
      <c r="EQ454" s="1"/>
      <c r="ER454" s="1"/>
      <c r="ES454" s="1"/>
      <c r="ET454" s="1"/>
      <c r="EU454" s="1"/>
      <c r="EV454" s="1"/>
      <c r="EW454" s="1"/>
      <c r="EX454" s="1"/>
      <c r="EY454" s="1"/>
      <c r="EZ454" s="1"/>
      <c r="FA454" s="1"/>
      <c r="FB454" s="1"/>
      <c r="FC454" s="1"/>
      <c r="FD454" s="1"/>
      <c r="FE454" s="1"/>
      <c r="FF454" s="1"/>
      <c r="FG454" s="1"/>
      <c r="FH454" s="1"/>
      <c r="FI454" s="1"/>
      <c r="FJ454" s="1"/>
      <c r="FK454" s="1"/>
      <c r="FL454" s="1"/>
      <c r="FM454" s="1"/>
      <c r="FN454" s="1"/>
      <c r="FO454" s="1"/>
      <c r="FP454" s="1"/>
      <c r="FQ454" s="1"/>
      <c r="FR454" s="1"/>
      <c r="FS454" s="1"/>
      <c r="FT454" s="1"/>
      <c r="FU454" s="1"/>
      <c r="FV454" s="1"/>
      <c r="FW454" s="1"/>
      <c r="FX454" s="1"/>
      <c r="FY454" s="1"/>
      <c r="FZ454" s="1"/>
      <c r="GA454" s="1"/>
      <c r="GB454" s="1"/>
      <c r="GC454" s="1"/>
      <c r="GD454" s="1"/>
      <c r="GE454" s="1"/>
      <c r="GF454" s="1"/>
      <c r="GG454" s="1"/>
      <c r="GH454" s="1"/>
      <c r="GI454" s="1"/>
      <c r="GJ454" s="1"/>
      <c r="GK454" s="1"/>
      <c r="GL454" s="1"/>
      <c r="GM454" s="1"/>
      <c r="GN454" s="1"/>
      <c r="GO454" s="1"/>
      <c r="GP454" s="1"/>
      <c r="GQ454" s="1"/>
      <c r="GR454" s="1"/>
      <c r="GS454" s="1"/>
      <c r="GT454" s="1"/>
      <c r="GU454" s="1"/>
      <c r="GV454" s="1"/>
      <c r="GW454" s="1"/>
      <c r="GX454" s="1"/>
      <c r="GY454" s="1"/>
      <c r="GZ454" s="1"/>
      <c r="HA454" s="1"/>
      <c r="HB454" s="1"/>
      <c r="HC454" s="1"/>
      <c r="HD454" s="1"/>
      <c r="HE454" s="1"/>
      <c r="HF454" s="1"/>
      <c r="HG454" s="1"/>
      <c r="HH454" s="1"/>
      <c r="HI454" s="1"/>
      <c r="HJ454" s="1"/>
      <c r="HK454" s="1"/>
      <c r="HL454" s="1"/>
      <c r="HM454" s="1"/>
      <c r="HN454" s="1"/>
      <c r="HO454" s="1"/>
      <c r="HP454" s="1"/>
      <c r="HQ454" s="1"/>
      <c r="HR454" s="1"/>
      <c r="HS454" s="1"/>
      <c r="HT454" s="1"/>
      <c r="HU454" s="1"/>
      <c r="HV454" s="1"/>
      <c r="HW454" s="1"/>
      <c r="HX454" s="1"/>
      <c r="HY454" s="1"/>
      <c r="HZ454" s="1"/>
      <c r="IA454" s="1"/>
      <c r="IB454" s="1"/>
      <c r="IC454" s="1"/>
      <c r="ID454" s="1"/>
      <c r="IE454" s="1"/>
      <c r="IF454" s="1"/>
      <c r="IG454" s="1"/>
      <c r="IH454" s="1"/>
      <c r="II454" s="1"/>
      <c r="IJ454" s="1"/>
      <c r="IK454" s="1"/>
      <c r="IL454" s="1"/>
      <c r="IM454" s="1"/>
      <c r="IN454" s="1"/>
      <c r="IO454" s="1"/>
      <c r="IP454" s="1"/>
      <c r="IQ454" s="1"/>
      <c r="IR454" s="1"/>
      <c r="IS454" s="1"/>
      <c r="IT454" s="1"/>
      <c r="IU454" s="1"/>
      <c r="IV454" s="1"/>
      <c r="IW454" s="1"/>
      <c r="IX454" s="1"/>
      <c r="IY454" s="1"/>
      <c r="IZ454" s="1"/>
      <c r="JA454" s="1"/>
      <c r="JB454" s="1"/>
      <c r="JC454" s="1"/>
      <c r="JD454" s="1"/>
    </row>
    <row r="455" spans="1:264" s="411" customFormat="1" x14ac:dyDescent="0.2">
      <c r="A455" s="347" t="s">
        <v>400</v>
      </c>
      <c r="B455" s="423"/>
      <c r="BH455" s="397"/>
      <c r="BI455" s="397"/>
      <c r="BJ455" s="397"/>
      <c r="BK455" s="348"/>
      <c r="BL455" s="397"/>
      <c r="BM455" s="397"/>
      <c r="BN455" s="397"/>
      <c r="BO455" s="423"/>
      <c r="BP455" s="397"/>
      <c r="BQ455" s="397"/>
      <c r="BR455" s="397"/>
      <c r="BT455" s="423"/>
      <c r="BU455" s="351">
        <f>BV455</f>
        <v>-7144</v>
      </c>
      <c r="BV455" s="532">
        <v>-7144</v>
      </c>
      <c r="BX455" s="532">
        <v>-6263</v>
      </c>
      <c r="BY455" s="351">
        <f>BZ455</f>
        <v>-5338</v>
      </c>
      <c r="BZ455" s="532">
        <v>-5338</v>
      </c>
      <c r="CB455" s="532">
        <v>-3293</v>
      </c>
      <c r="CC455" s="351">
        <f>CD455</f>
        <v>-4462</v>
      </c>
      <c r="CD455" s="532">
        <v>-4462</v>
      </c>
      <c r="CF455" s="532">
        <v>-4007</v>
      </c>
      <c r="CG455" s="351">
        <f>CH455</f>
        <v>-3202</v>
      </c>
      <c r="CH455" s="532">
        <v>-3202</v>
      </c>
      <c r="CJ455" s="532">
        <v>-4218</v>
      </c>
      <c r="CK455" s="351">
        <f>CL455</f>
        <v>-6057</v>
      </c>
      <c r="CL455" s="532">
        <v>-6057</v>
      </c>
      <c r="CN455" s="532">
        <v>-4800</v>
      </c>
      <c r="CO455" s="351">
        <f>CP455</f>
        <v>-2498</v>
      </c>
      <c r="CP455" s="532">
        <v>-2498</v>
      </c>
      <c r="CR455" s="532">
        <v>-2540</v>
      </c>
      <c r="CS455" s="351">
        <f>CT455</f>
        <v>-3748</v>
      </c>
      <c r="CT455" s="532">
        <v>-3748</v>
      </c>
      <c r="CV455" s="532">
        <v>-5210</v>
      </c>
      <c r="CW455" s="351">
        <f>CX455</f>
        <v>-3735</v>
      </c>
      <c r="CX455" s="532">
        <v>-3735</v>
      </c>
      <c r="CZ455" s="532">
        <v>-5959</v>
      </c>
      <c r="DA455" s="351">
        <f>DB455</f>
        <v>-3350</v>
      </c>
      <c r="DB455" s="532">
        <v>-3350</v>
      </c>
      <c r="DD455" s="532">
        <v>-3975</v>
      </c>
      <c r="DE455" s="351">
        <f>DF455</f>
        <v>-4749</v>
      </c>
      <c r="DF455" s="532">
        <v>-4749</v>
      </c>
      <c r="DH455" s="532">
        <v>-4641</v>
      </c>
      <c r="DI455" s="351">
        <f>DJ455</f>
        <v>-4802.8191647713593</v>
      </c>
      <c r="DJ455" s="533">
        <f>+DH455/DH390*DJ390</f>
        <v>-4802.8191647713593</v>
      </c>
      <c r="DL455" s="533">
        <f>+DJ455/DJ390*DL390</f>
        <v>-4943.7064548548951</v>
      </c>
      <c r="DM455" s="351">
        <f>DN455</f>
        <v>-5097.5053992438734</v>
      </c>
      <c r="DN455" s="533">
        <f>+DL455/DL390*DN390</f>
        <v>-5097.5053992438734</v>
      </c>
      <c r="DP455" s="533">
        <f>+DN455/DN390*DP390</f>
        <v>-5216.7407017821588</v>
      </c>
      <c r="DQ455" s="351">
        <f>DR455</f>
        <v>-5347.788874416522</v>
      </c>
      <c r="DR455" s="533">
        <f>+DP455/DP390*DR390</f>
        <v>-5347.788874416522</v>
      </c>
      <c r="DT455" s="1"/>
      <c r="DU455" s="1"/>
      <c r="DV455" s="1"/>
      <c r="DW455" s="1"/>
      <c r="DX455" s="1"/>
      <c r="DY455" s="1"/>
      <c r="DZ455" s="1"/>
      <c r="EA455" s="1"/>
      <c r="EB455" s="1"/>
      <c r="EC455" s="1"/>
      <c r="ED455" s="1"/>
      <c r="EE455" s="1"/>
      <c r="EF455" s="1"/>
      <c r="EG455" s="1"/>
      <c r="EH455" s="1"/>
      <c r="EI455" s="1"/>
      <c r="EJ455" s="1"/>
      <c r="EK455" s="1"/>
      <c r="EL455" s="1"/>
      <c r="EM455" s="1"/>
      <c r="EN455" s="1"/>
      <c r="EO455" s="1"/>
      <c r="EP455" s="1"/>
      <c r="EQ455" s="1"/>
      <c r="ER455" s="1"/>
      <c r="ES455" s="1"/>
      <c r="ET455" s="1"/>
      <c r="EU455" s="1"/>
      <c r="EV455" s="1"/>
      <c r="EW455" s="1"/>
      <c r="EX455" s="1"/>
      <c r="EY455" s="1"/>
      <c r="EZ455" s="1"/>
      <c r="FA455" s="1"/>
      <c r="FB455" s="1"/>
      <c r="FC455" s="1"/>
      <c r="FD455" s="1"/>
      <c r="FE455" s="1"/>
      <c r="FF455" s="1"/>
      <c r="FG455" s="1"/>
      <c r="FH455" s="1"/>
      <c r="FI455" s="1"/>
      <c r="FJ455" s="1"/>
      <c r="FK455" s="1"/>
      <c r="FL455" s="1"/>
      <c r="FM455" s="1"/>
      <c r="FN455" s="1"/>
      <c r="FO455" s="1"/>
      <c r="FP455" s="1"/>
      <c r="FQ455" s="1"/>
      <c r="FR455" s="1"/>
      <c r="FS455" s="1"/>
      <c r="FT455" s="1"/>
      <c r="FU455" s="1"/>
      <c r="FV455" s="1"/>
      <c r="FW455" s="1"/>
      <c r="FX455" s="1"/>
      <c r="FY455" s="1"/>
      <c r="FZ455" s="1"/>
      <c r="GA455" s="1"/>
      <c r="GB455" s="1"/>
      <c r="GC455" s="1"/>
      <c r="GD455" s="1"/>
      <c r="GE455" s="1"/>
      <c r="GF455" s="1"/>
      <c r="GG455" s="1"/>
      <c r="GH455" s="1"/>
      <c r="GI455" s="1"/>
      <c r="GJ455" s="1"/>
      <c r="GK455" s="1"/>
      <c r="GL455" s="1"/>
      <c r="GM455" s="1"/>
      <c r="GN455" s="1"/>
      <c r="GO455" s="1"/>
      <c r="GP455" s="1"/>
      <c r="GQ455" s="1"/>
      <c r="GR455" s="1"/>
      <c r="GS455" s="1"/>
      <c r="GT455" s="1"/>
      <c r="GU455" s="1"/>
      <c r="GV455" s="1"/>
      <c r="GW455" s="1"/>
      <c r="GX455" s="1"/>
      <c r="GY455" s="1"/>
      <c r="GZ455" s="1"/>
      <c r="HA455" s="1"/>
      <c r="HB455" s="1"/>
      <c r="HC455" s="1"/>
      <c r="HD455" s="1"/>
      <c r="HE455" s="1"/>
      <c r="HF455" s="1"/>
      <c r="HG455" s="1"/>
      <c r="HH455" s="1"/>
      <c r="HI455" s="1"/>
      <c r="HJ455" s="1"/>
      <c r="HK455" s="1"/>
      <c r="HL455" s="1"/>
      <c r="HM455" s="1"/>
      <c r="HN455" s="1"/>
      <c r="HO455" s="1"/>
      <c r="HP455" s="1"/>
      <c r="HQ455" s="1"/>
      <c r="HR455" s="1"/>
      <c r="HS455" s="1"/>
      <c r="HT455" s="1"/>
      <c r="HU455" s="1"/>
      <c r="HV455" s="1"/>
      <c r="HW455" s="1"/>
      <c r="HX455" s="1"/>
      <c r="HY455" s="1"/>
      <c r="HZ455" s="1"/>
      <c r="IA455" s="1"/>
      <c r="IB455" s="1"/>
      <c r="IC455" s="1"/>
      <c r="ID455" s="1"/>
      <c r="IE455" s="1"/>
      <c r="IF455" s="1"/>
      <c r="IG455" s="1"/>
      <c r="IH455" s="1"/>
      <c r="II455" s="1"/>
      <c r="IJ455" s="1"/>
      <c r="IK455" s="1"/>
      <c r="IL455" s="1"/>
      <c r="IM455" s="1"/>
      <c r="IN455" s="1"/>
      <c r="IO455" s="1"/>
      <c r="IP455" s="1"/>
      <c r="IQ455" s="1"/>
      <c r="IR455" s="1"/>
      <c r="IS455" s="1"/>
      <c r="IT455" s="1"/>
      <c r="IU455" s="1"/>
      <c r="IV455" s="1"/>
      <c r="IW455" s="1"/>
      <c r="IX455" s="1"/>
      <c r="IY455" s="1"/>
      <c r="IZ455" s="1"/>
      <c r="JA455" s="1"/>
      <c r="JB455" s="1"/>
      <c r="JC455" s="1"/>
      <c r="JD455" s="1"/>
    </row>
    <row r="456" spans="1:264" s="411" customFormat="1" x14ac:dyDescent="0.2">
      <c r="A456" s="347" t="s">
        <v>401</v>
      </c>
      <c r="B456" s="423"/>
      <c r="BH456" s="397"/>
      <c r="BI456" s="397"/>
      <c r="BJ456" s="397"/>
      <c r="BK456" s="348"/>
      <c r="BL456" s="397"/>
      <c r="BM456" s="397"/>
      <c r="BN456" s="397"/>
      <c r="BO456" s="423"/>
      <c r="BP456" s="397"/>
      <c r="BQ456" s="397"/>
      <c r="BR456" s="397"/>
      <c r="BT456" s="423"/>
      <c r="BU456" s="351">
        <f>BV456</f>
        <v>-8925</v>
      </c>
      <c r="BV456" s="532">
        <v>-8925</v>
      </c>
      <c r="BX456" s="532">
        <v>-11082</v>
      </c>
      <c r="BY456" s="351">
        <f>BZ456</f>
        <v>-13635</v>
      </c>
      <c r="BZ456" s="532">
        <v>-13635</v>
      </c>
      <c r="CB456" s="532">
        <v>-8685</v>
      </c>
      <c r="CC456" s="351">
        <f>CD456</f>
        <v>-11050</v>
      </c>
      <c r="CD456" s="532">
        <v>-11050</v>
      </c>
      <c r="CF456" s="532">
        <v>-14186</v>
      </c>
      <c r="CG456" s="351">
        <f>CH456</f>
        <v>-12732</v>
      </c>
      <c r="CH456" s="532">
        <v>-12732</v>
      </c>
      <c r="CJ456" s="532">
        <v>-17151</v>
      </c>
      <c r="CK456" s="351">
        <f>CL456</f>
        <v>-14744</v>
      </c>
      <c r="CL456" s="532">
        <v>-14744</v>
      </c>
      <c r="CN456" s="532">
        <v>-18740</v>
      </c>
      <c r="CO456" s="351">
        <f>CP456</f>
        <v>-12666</v>
      </c>
      <c r="CP456" s="532">
        <v>-12666</v>
      </c>
      <c r="CR456" s="532">
        <v>-26792</v>
      </c>
      <c r="CS456" s="351">
        <f>CT456</f>
        <v>-39260</v>
      </c>
      <c r="CT456" s="532">
        <v>-39260</v>
      </c>
      <c r="CV456" s="532">
        <v>-38507</v>
      </c>
      <c r="CW456" s="351">
        <f>CX456</f>
        <v>-39200</v>
      </c>
      <c r="CX456" s="532">
        <v>-39200</v>
      </c>
      <c r="CZ456" s="532">
        <v>-46920</v>
      </c>
      <c r="DA456" s="351">
        <f>DB456</f>
        <v>-49003</v>
      </c>
      <c r="DB456" s="532">
        <v>-49003</v>
      </c>
      <c r="DD456" s="532">
        <v>-44469</v>
      </c>
      <c r="DE456" s="351">
        <f>DF456</f>
        <v>-54377</v>
      </c>
      <c r="DF456" s="532">
        <v>-54377</v>
      </c>
      <c r="DH456" s="532">
        <v>-76394</v>
      </c>
      <c r="DI456" s="351">
        <f>DJ456</f>
        <v>-77921.88</v>
      </c>
      <c r="DJ456" s="533">
        <f>+DH456/DH365*DJ365</f>
        <v>-77921.88</v>
      </c>
      <c r="DL456" s="533">
        <f>+DJ456/DJ365*DL365</f>
        <v>-79480.317599999995</v>
      </c>
      <c r="DM456" s="351">
        <f>DN456</f>
        <v>-81069.923951999997</v>
      </c>
      <c r="DN456" s="533">
        <f>+DL456/DL365*DN365</f>
        <v>-81069.923951999997</v>
      </c>
      <c r="DP456" s="533">
        <f>+DN456/DN365*DP365</f>
        <v>-82691.322431039996</v>
      </c>
      <c r="DQ456" s="351">
        <f>DR456</f>
        <v>-84345.148879660788</v>
      </c>
      <c r="DR456" s="533">
        <f>+DP456/DP365*DR365</f>
        <v>-84345.148879660788</v>
      </c>
      <c r="DT456" s="1"/>
      <c r="DU456" s="1"/>
      <c r="DV456" s="1"/>
      <c r="DW456" s="1"/>
      <c r="DX456" s="1"/>
      <c r="DY456" s="1"/>
      <c r="DZ456" s="1"/>
      <c r="EA456" s="1"/>
      <c r="EB456" s="1"/>
      <c r="EC456" s="1"/>
      <c r="ED456" s="1"/>
      <c r="EE456" s="1"/>
      <c r="EF456" s="1"/>
      <c r="EG456" s="1"/>
      <c r="EH456" s="1"/>
      <c r="EI456" s="1"/>
      <c r="EJ456" s="1"/>
      <c r="EK456" s="1"/>
      <c r="EL456" s="1"/>
      <c r="EM456" s="1"/>
      <c r="EN456" s="1"/>
      <c r="EO456" s="1"/>
      <c r="EP456" s="1"/>
      <c r="EQ456" s="1"/>
      <c r="ER456" s="1"/>
      <c r="ES456" s="1"/>
      <c r="ET456" s="1"/>
      <c r="EU456" s="1"/>
      <c r="EV456" s="1"/>
      <c r="EW456" s="1"/>
      <c r="EX456" s="1"/>
      <c r="EY456" s="1"/>
      <c r="EZ456" s="1"/>
      <c r="FA456" s="1"/>
      <c r="FB456" s="1"/>
      <c r="FC456" s="1"/>
      <c r="FD456" s="1"/>
      <c r="FE456" s="1"/>
      <c r="FF456" s="1"/>
      <c r="FG456" s="1"/>
      <c r="FH456" s="1"/>
      <c r="FI456" s="1"/>
      <c r="FJ456" s="1"/>
      <c r="FK456" s="1"/>
      <c r="FL456" s="1"/>
      <c r="FM456" s="1"/>
      <c r="FN456" s="1"/>
      <c r="FO456" s="1"/>
      <c r="FP456" s="1"/>
      <c r="FQ456" s="1"/>
      <c r="FR456" s="1"/>
      <c r="FS456" s="1"/>
      <c r="FT456" s="1"/>
      <c r="FU456" s="1"/>
      <c r="FV456" s="1"/>
      <c r="FW456" s="1"/>
      <c r="FX456" s="1"/>
      <c r="FY456" s="1"/>
      <c r="FZ456" s="1"/>
      <c r="GA456" s="1"/>
      <c r="GB456" s="1"/>
      <c r="GC456" s="1"/>
      <c r="GD456" s="1"/>
      <c r="GE456" s="1"/>
      <c r="GF456" s="1"/>
      <c r="GG456" s="1"/>
      <c r="GH456" s="1"/>
      <c r="GI456" s="1"/>
      <c r="GJ456" s="1"/>
      <c r="GK456" s="1"/>
      <c r="GL456" s="1"/>
      <c r="GM456" s="1"/>
      <c r="GN456" s="1"/>
      <c r="GO456" s="1"/>
      <c r="GP456" s="1"/>
      <c r="GQ456" s="1"/>
      <c r="GR456" s="1"/>
      <c r="GS456" s="1"/>
      <c r="GT456" s="1"/>
      <c r="GU456" s="1"/>
      <c r="GV456" s="1"/>
      <c r="GW456" s="1"/>
      <c r="GX456" s="1"/>
      <c r="GY456" s="1"/>
      <c r="GZ456" s="1"/>
      <c r="HA456" s="1"/>
      <c r="HB456" s="1"/>
      <c r="HC456" s="1"/>
      <c r="HD456" s="1"/>
      <c r="HE456" s="1"/>
      <c r="HF456" s="1"/>
      <c r="HG456" s="1"/>
      <c r="HH456" s="1"/>
      <c r="HI456" s="1"/>
      <c r="HJ456" s="1"/>
      <c r="HK456" s="1"/>
      <c r="HL456" s="1"/>
      <c r="HM456" s="1"/>
      <c r="HN456" s="1"/>
      <c r="HO456" s="1"/>
      <c r="HP456" s="1"/>
      <c r="HQ456" s="1"/>
      <c r="HR456" s="1"/>
      <c r="HS456" s="1"/>
      <c r="HT456" s="1"/>
      <c r="HU456" s="1"/>
      <c r="HV456" s="1"/>
      <c r="HW456" s="1"/>
      <c r="HX456" s="1"/>
      <c r="HY456" s="1"/>
      <c r="HZ456" s="1"/>
      <c r="IA456" s="1"/>
      <c r="IB456" s="1"/>
      <c r="IC456" s="1"/>
      <c r="ID456" s="1"/>
      <c r="IE456" s="1"/>
      <c r="IF456" s="1"/>
      <c r="IG456" s="1"/>
      <c r="IH456" s="1"/>
      <c r="II456" s="1"/>
      <c r="IJ456" s="1"/>
      <c r="IK456" s="1"/>
      <c r="IL456" s="1"/>
      <c r="IM456" s="1"/>
      <c r="IN456" s="1"/>
      <c r="IO456" s="1"/>
      <c r="IP456" s="1"/>
      <c r="IQ456" s="1"/>
      <c r="IR456" s="1"/>
      <c r="IS456" s="1"/>
      <c r="IT456" s="1"/>
      <c r="IU456" s="1"/>
      <c r="IV456" s="1"/>
      <c r="IW456" s="1"/>
      <c r="IX456" s="1"/>
      <c r="IY456" s="1"/>
      <c r="IZ456" s="1"/>
      <c r="JA456" s="1"/>
      <c r="JB456" s="1"/>
      <c r="JC456" s="1"/>
      <c r="JD456" s="1"/>
    </row>
    <row r="457" spans="1:264" s="411" customFormat="1" x14ac:dyDescent="0.2">
      <c r="A457" s="347" t="s">
        <v>402</v>
      </c>
      <c r="B457" s="423"/>
      <c r="BH457" s="397"/>
      <c r="BI457" s="397"/>
      <c r="BJ457" s="397"/>
      <c r="BK457" s="348"/>
      <c r="BL457" s="397"/>
      <c r="BM457" s="397"/>
      <c r="BN457" s="397"/>
      <c r="BO457" s="423"/>
      <c r="BP457" s="397"/>
      <c r="BQ457" s="397"/>
      <c r="BR457" s="397"/>
      <c r="BT457" s="423"/>
      <c r="BU457" s="351"/>
      <c r="BV457" s="532"/>
      <c r="BX457" s="532"/>
      <c r="BY457" s="351"/>
      <c r="BZ457" s="532"/>
      <c r="CB457" s="534">
        <v>-2504</v>
      </c>
      <c r="CC457" s="351">
        <f>CD457</f>
        <v>-2222</v>
      </c>
      <c r="CD457" s="534">
        <v>-2222</v>
      </c>
      <c r="CF457" s="534">
        <v>-2764</v>
      </c>
      <c r="CG457" s="351">
        <f>CH457</f>
        <v>-4913</v>
      </c>
      <c r="CH457" s="534">
        <v>-4913</v>
      </c>
      <c r="CJ457" s="534">
        <v>0</v>
      </c>
      <c r="CK457" s="351">
        <f>CL457</f>
        <v>0</v>
      </c>
      <c r="CL457" s="534">
        <v>0</v>
      </c>
      <c r="CN457" s="534">
        <v>-1514</v>
      </c>
      <c r="CO457" s="351">
        <f>CP457</f>
        <v>0</v>
      </c>
      <c r="CP457" s="534">
        <v>0</v>
      </c>
      <c r="CR457" s="534">
        <v>0</v>
      </c>
      <c r="CS457" s="351">
        <f>CT457</f>
        <v>0</v>
      </c>
      <c r="CT457" s="534">
        <v>0</v>
      </c>
      <c r="CV457" s="534">
        <v>0</v>
      </c>
      <c r="CW457" s="351">
        <f>CX457</f>
        <v>0</v>
      </c>
      <c r="CX457" s="534">
        <v>0</v>
      </c>
      <c r="CZ457" s="534">
        <v>0</v>
      </c>
      <c r="DA457" s="351">
        <f>DB457</f>
        <v>0</v>
      </c>
      <c r="DB457" s="534">
        <v>0</v>
      </c>
      <c r="DD457" s="534">
        <v>0</v>
      </c>
      <c r="DE457" s="351">
        <f>DF457</f>
        <v>0</v>
      </c>
      <c r="DF457" s="534">
        <v>0</v>
      </c>
      <c r="DH457" s="534">
        <v>0</v>
      </c>
      <c r="DI457" s="351">
        <f>DJ457</f>
        <v>0</v>
      </c>
      <c r="DJ457" s="535">
        <f>+DH457/DH456*DI456</f>
        <v>0</v>
      </c>
      <c r="DL457" s="535">
        <f>+DJ457/DJ456*DL456</f>
        <v>0</v>
      </c>
      <c r="DM457" s="351">
        <f>DN457</f>
        <v>0</v>
      </c>
      <c r="DN457" s="535">
        <f>+DL457/DL456*DM456</f>
        <v>0</v>
      </c>
      <c r="DP457" s="535">
        <f>+DN457/DN456*DP456</f>
        <v>0</v>
      </c>
      <c r="DQ457" s="351">
        <f>DR457</f>
        <v>0</v>
      </c>
      <c r="DR457" s="535">
        <f>+DP457/DP456*DQ456</f>
        <v>0</v>
      </c>
      <c r="DT457" s="1"/>
      <c r="DU457" s="1"/>
      <c r="DV457" s="1"/>
      <c r="DW457" s="1"/>
      <c r="DX457" s="1"/>
      <c r="DY457" s="1"/>
      <c r="DZ457" s="1"/>
      <c r="EA457" s="1"/>
      <c r="EB457" s="1"/>
      <c r="EC457" s="1"/>
      <c r="ED457" s="1"/>
      <c r="EE457" s="1"/>
      <c r="EF457" s="1"/>
      <c r="EG457" s="1"/>
      <c r="EH457" s="1"/>
      <c r="EI457" s="1"/>
      <c r="EJ457" s="1"/>
      <c r="EK457" s="1"/>
      <c r="EL457" s="1"/>
      <c r="EM457" s="1"/>
      <c r="EN457" s="1"/>
      <c r="EO457" s="1"/>
      <c r="EP457" s="1"/>
      <c r="EQ457" s="1"/>
      <c r="ER457" s="1"/>
      <c r="ES457" s="1"/>
      <c r="ET457" s="1"/>
      <c r="EU457" s="1"/>
      <c r="EV457" s="1"/>
      <c r="EW457" s="1"/>
      <c r="EX457" s="1"/>
      <c r="EY457" s="1"/>
      <c r="EZ457" s="1"/>
      <c r="FA457" s="1"/>
      <c r="FB457" s="1"/>
      <c r="FC457" s="1"/>
      <c r="FD457" s="1"/>
      <c r="FE457" s="1"/>
      <c r="FF457" s="1"/>
      <c r="FG457" s="1"/>
      <c r="FH457" s="1"/>
      <c r="FI457" s="1"/>
      <c r="FJ457" s="1"/>
      <c r="FK457" s="1"/>
      <c r="FL457" s="1"/>
      <c r="FM457" s="1"/>
      <c r="FN457" s="1"/>
      <c r="FO457" s="1"/>
      <c r="FP457" s="1"/>
      <c r="FQ457" s="1"/>
      <c r="FR457" s="1"/>
      <c r="FS457" s="1"/>
      <c r="FT457" s="1"/>
      <c r="FU457" s="1"/>
      <c r="FV457" s="1"/>
      <c r="FW457" s="1"/>
      <c r="FX457" s="1"/>
      <c r="FY457" s="1"/>
      <c r="FZ457" s="1"/>
      <c r="GA457" s="1"/>
      <c r="GB457" s="1"/>
      <c r="GC457" s="1"/>
      <c r="GD457" s="1"/>
      <c r="GE457" s="1"/>
      <c r="GF457" s="1"/>
      <c r="GG457" s="1"/>
      <c r="GH457" s="1"/>
      <c r="GI457" s="1"/>
      <c r="GJ457" s="1"/>
      <c r="GK457" s="1"/>
      <c r="GL457" s="1"/>
      <c r="GM457" s="1"/>
      <c r="GN457" s="1"/>
      <c r="GO457" s="1"/>
      <c r="GP457" s="1"/>
      <c r="GQ457" s="1"/>
      <c r="GR457" s="1"/>
      <c r="GS457" s="1"/>
      <c r="GT457" s="1"/>
      <c r="GU457" s="1"/>
      <c r="GV457" s="1"/>
      <c r="GW457" s="1"/>
      <c r="GX457" s="1"/>
      <c r="GY457" s="1"/>
      <c r="GZ457" s="1"/>
      <c r="HA457" s="1"/>
      <c r="HB457" s="1"/>
      <c r="HC457" s="1"/>
      <c r="HD457" s="1"/>
      <c r="HE457" s="1"/>
      <c r="HF457" s="1"/>
      <c r="HG457" s="1"/>
      <c r="HH457" s="1"/>
      <c r="HI457" s="1"/>
      <c r="HJ457" s="1"/>
      <c r="HK457" s="1"/>
      <c r="HL457" s="1"/>
      <c r="HM457" s="1"/>
      <c r="HN457" s="1"/>
      <c r="HO457" s="1"/>
      <c r="HP457" s="1"/>
      <c r="HQ457" s="1"/>
      <c r="HR457" s="1"/>
      <c r="HS457" s="1"/>
      <c r="HT457" s="1"/>
      <c r="HU457" s="1"/>
      <c r="HV457" s="1"/>
      <c r="HW457" s="1"/>
      <c r="HX457" s="1"/>
      <c r="HY457" s="1"/>
      <c r="HZ457" s="1"/>
      <c r="IA457" s="1"/>
      <c r="IB457" s="1"/>
      <c r="IC457" s="1"/>
      <c r="ID457" s="1"/>
      <c r="IE457" s="1"/>
      <c r="IF457" s="1"/>
      <c r="IG457" s="1"/>
      <c r="IH457" s="1"/>
      <c r="II457" s="1"/>
      <c r="IJ457" s="1"/>
      <c r="IK457" s="1"/>
      <c r="IL457" s="1"/>
      <c r="IM457" s="1"/>
      <c r="IN457" s="1"/>
      <c r="IO457" s="1"/>
      <c r="IP457" s="1"/>
      <c r="IQ457" s="1"/>
      <c r="IR457" s="1"/>
      <c r="IS457" s="1"/>
      <c r="IT457" s="1"/>
      <c r="IU457" s="1"/>
      <c r="IV457" s="1"/>
      <c r="IW457" s="1"/>
      <c r="IX457" s="1"/>
      <c r="IY457" s="1"/>
      <c r="IZ457" s="1"/>
      <c r="JA457" s="1"/>
      <c r="JB457" s="1"/>
      <c r="JC457" s="1"/>
      <c r="JD457" s="1"/>
    </row>
    <row r="458" spans="1:264" s="411" customFormat="1" x14ac:dyDescent="0.2">
      <c r="A458" s="347" t="s">
        <v>403</v>
      </c>
      <c r="B458" s="423"/>
      <c r="BH458" s="397"/>
      <c r="BI458" s="397"/>
      <c r="BJ458" s="397"/>
      <c r="BK458" s="348"/>
      <c r="BL458" s="397"/>
      <c r="BM458" s="397"/>
      <c r="BN458" s="397"/>
      <c r="BO458" s="423"/>
      <c r="BP458" s="397"/>
      <c r="BQ458" s="397"/>
      <c r="BR458" s="397"/>
      <c r="BT458" s="423"/>
      <c r="BU458" s="351"/>
      <c r="BV458" s="532"/>
      <c r="BX458" s="532"/>
      <c r="BY458" s="351"/>
      <c r="BZ458" s="532"/>
      <c r="CB458" s="535">
        <f>+CB456-CB457</f>
        <v>-6181</v>
      </c>
      <c r="CC458" s="535">
        <f>+CC456-CC457</f>
        <v>-8828</v>
      </c>
      <c r="CD458" s="535">
        <f>+CD456-CD457</f>
        <v>-8828</v>
      </c>
      <c r="CF458" s="535">
        <f>+CF456-CF457</f>
        <v>-11422</v>
      </c>
      <c r="CG458" s="535">
        <f>+CG456-CG457</f>
        <v>-7819</v>
      </c>
      <c r="CH458" s="535">
        <f>+CH456-CH457</f>
        <v>-7819</v>
      </c>
      <c r="CJ458" s="535">
        <f>+CJ456-CJ457</f>
        <v>-17151</v>
      </c>
      <c r="CK458" s="535">
        <f>+CK456-CK457</f>
        <v>-14744</v>
      </c>
      <c r="CL458" s="535">
        <f>+CL456-CL457</f>
        <v>-14744</v>
      </c>
      <c r="CN458" s="535">
        <f>+CN456-CN457</f>
        <v>-17226</v>
      </c>
      <c r="CO458" s="535">
        <f>+CO456-CO457</f>
        <v>-12666</v>
      </c>
      <c r="CP458" s="535">
        <f>+CP456-CP457</f>
        <v>-12666</v>
      </c>
      <c r="CR458" s="535">
        <f>+CR456-CR457</f>
        <v>-26792</v>
      </c>
      <c r="CS458" s="535">
        <f>+CS456-CS457</f>
        <v>-39260</v>
      </c>
      <c r="CT458" s="535">
        <f>+CT456-CT457</f>
        <v>-39260</v>
      </c>
      <c r="CV458" s="535">
        <f>+CV456-CV457</f>
        <v>-38507</v>
      </c>
      <c r="CW458" s="535">
        <f>+CW456-CW457</f>
        <v>-39200</v>
      </c>
      <c r="CX458" s="535">
        <f>+CX456-CX457</f>
        <v>-39200</v>
      </c>
      <c r="CZ458" s="535">
        <f>+CZ456-CZ457</f>
        <v>-46920</v>
      </c>
      <c r="DA458" s="535">
        <f>+DA456-DA457</f>
        <v>-49003</v>
      </c>
      <c r="DB458" s="535">
        <f>+DB456-DB457</f>
        <v>-49003</v>
      </c>
      <c r="DD458" s="535">
        <f>+DD456-DD457</f>
        <v>-44469</v>
      </c>
      <c r="DE458" s="535">
        <f>+DE456-DE457</f>
        <v>-54377</v>
      </c>
      <c r="DF458" s="535">
        <f>+DF456-DF457</f>
        <v>-54377</v>
      </c>
      <c r="DH458" s="535">
        <f>+DH456-DH457</f>
        <v>-76394</v>
      </c>
      <c r="DI458" s="351">
        <f>DJ458</f>
        <v>-77921.88</v>
      </c>
      <c r="DJ458" s="535">
        <f>+DJ456-DJ457</f>
        <v>-77921.88</v>
      </c>
      <c r="DL458" s="535">
        <f>+DL456-DL457</f>
        <v>-79480.317599999995</v>
      </c>
      <c r="DM458" s="351">
        <f>DN458</f>
        <v>-81069.923951999997</v>
      </c>
      <c r="DN458" s="535">
        <f>+DN456-DN457</f>
        <v>-81069.923951999997</v>
      </c>
      <c r="DP458" s="535">
        <f>+DP456-DP457</f>
        <v>-82691.322431039996</v>
      </c>
      <c r="DQ458" s="351">
        <f>DR458</f>
        <v>-84345.148879660788</v>
      </c>
      <c r="DR458" s="535">
        <f>+DR456-DR457</f>
        <v>-84345.148879660788</v>
      </c>
      <c r="DT458" s="1"/>
      <c r="DU458" s="1"/>
      <c r="DV458" s="1"/>
      <c r="DW458" s="1"/>
      <c r="DX458" s="1"/>
      <c r="DY458" s="1"/>
      <c r="DZ458" s="1"/>
      <c r="EA458" s="1"/>
      <c r="EB458" s="1"/>
      <c r="EC458" s="1"/>
      <c r="ED458" s="1"/>
      <c r="EE458" s="1"/>
      <c r="EF458" s="1"/>
      <c r="EG458" s="1"/>
      <c r="EH458" s="1"/>
      <c r="EI458" s="1"/>
      <c r="EJ458" s="1"/>
      <c r="EK458" s="1"/>
      <c r="EL458" s="1"/>
      <c r="EM458" s="1"/>
      <c r="EN458" s="1"/>
      <c r="EO458" s="1"/>
      <c r="EP458" s="1"/>
      <c r="EQ458" s="1"/>
      <c r="ER458" s="1"/>
      <c r="ES458" s="1"/>
      <c r="ET458" s="1"/>
      <c r="EU458" s="1"/>
      <c r="EV458" s="1"/>
      <c r="EW458" s="1"/>
      <c r="EX458" s="1"/>
      <c r="EY458" s="1"/>
      <c r="EZ458" s="1"/>
      <c r="FA458" s="1"/>
      <c r="FB458" s="1"/>
      <c r="FC458" s="1"/>
      <c r="FD458" s="1"/>
      <c r="FE458" s="1"/>
      <c r="FF458" s="1"/>
      <c r="FG458" s="1"/>
      <c r="FH458" s="1"/>
      <c r="FI458" s="1"/>
      <c r="FJ458" s="1"/>
      <c r="FK458" s="1"/>
      <c r="FL458" s="1"/>
      <c r="FM458" s="1"/>
      <c r="FN458" s="1"/>
      <c r="FO458" s="1"/>
      <c r="FP458" s="1"/>
      <c r="FQ458" s="1"/>
      <c r="FR458" s="1"/>
      <c r="FS458" s="1"/>
      <c r="FT458" s="1"/>
      <c r="FU458" s="1"/>
      <c r="FV458" s="1"/>
      <c r="FW458" s="1"/>
      <c r="FX458" s="1"/>
      <c r="FY458" s="1"/>
      <c r="FZ458" s="1"/>
      <c r="GA458" s="1"/>
      <c r="GB458" s="1"/>
      <c r="GC458" s="1"/>
      <c r="GD458" s="1"/>
      <c r="GE458" s="1"/>
      <c r="GF458" s="1"/>
      <c r="GG458" s="1"/>
      <c r="GH458" s="1"/>
      <c r="GI458" s="1"/>
      <c r="GJ458" s="1"/>
      <c r="GK458" s="1"/>
      <c r="GL458" s="1"/>
      <c r="GM458" s="1"/>
      <c r="GN458" s="1"/>
      <c r="GO458" s="1"/>
      <c r="GP458" s="1"/>
      <c r="GQ458" s="1"/>
      <c r="GR458" s="1"/>
      <c r="GS458" s="1"/>
      <c r="GT458" s="1"/>
      <c r="GU458" s="1"/>
      <c r="GV458" s="1"/>
      <c r="GW458" s="1"/>
      <c r="GX458" s="1"/>
      <c r="GY458" s="1"/>
      <c r="GZ458" s="1"/>
      <c r="HA458" s="1"/>
      <c r="HB458" s="1"/>
      <c r="HC458" s="1"/>
      <c r="HD458" s="1"/>
      <c r="HE458" s="1"/>
      <c r="HF458" s="1"/>
      <c r="HG458" s="1"/>
      <c r="HH458" s="1"/>
      <c r="HI458" s="1"/>
      <c r="HJ458" s="1"/>
      <c r="HK458" s="1"/>
      <c r="HL458" s="1"/>
      <c r="HM458" s="1"/>
      <c r="HN458" s="1"/>
      <c r="HO458" s="1"/>
      <c r="HP458" s="1"/>
      <c r="HQ458" s="1"/>
      <c r="HR458" s="1"/>
      <c r="HS458" s="1"/>
      <c r="HT458" s="1"/>
      <c r="HU458" s="1"/>
      <c r="HV458" s="1"/>
      <c r="HW458" s="1"/>
      <c r="HX458" s="1"/>
      <c r="HY458" s="1"/>
      <c r="HZ458" s="1"/>
      <c r="IA458" s="1"/>
      <c r="IB458" s="1"/>
      <c r="IC458" s="1"/>
      <c r="ID458" s="1"/>
      <c r="IE458" s="1"/>
      <c r="IF458" s="1"/>
      <c r="IG458" s="1"/>
      <c r="IH458" s="1"/>
      <c r="II458" s="1"/>
      <c r="IJ458" s="1"/>
      <c r="IK458" s="1"/>
      <c r="IL458" s="1"/>
      <c r="IM458" s="1"/>
      <c r="IN458" s="1"/>
      <c r="IO458" s="1"/>
      <c r="IP458" s="1"/>
      <c r="IQ458" s="1"/>
      <c r="IR458" s="1"/>
      <c r="IS458" s="1"/>
      <c r="IT458" s="1"/>
      <c r="IU458" s="1"/>
      <c r="IV458" s="1"/>
      <c r="IW458" s="1"/>
      <c r="IX458" s="1"/>
      <c r="IY458" s="1"/>
      <c r="IZ458" s="1"/>
      <c r="JA458" s="1"/>
      <c r="JB458" s="1"/>
      <c r="JC458" s="1"/>
      <c r="JD458" s="1"/>
    </row>
    <row r="459" spans="1:264" s="411" customFormat="1" x14ac:dyDescent="0.2">
      <c r="A459" s="411" t="s">
        <v>378</v>
      </c>
      <c r="B459" s="423"/>
      <c r="BH459" s="397"/>
      <c r="BI459" s="397"/>
      <c r="BJ459" s="397"/>
      <c r="BK459" s="348"/>
      <c r="BL459" s="397"/>
      <c r="BM459" s="397"/>
      <c r="BN459" s="397"/>
      <c r="BO459" s="423"/>
      <c r="BP459" s="397"/>
      <c r="BQ459" s="397"/>
      <c r="BR459" s="397"/>
      <c r="BT459" s="423"/>
      <c r="BU459" s="397">
        <f>SUM(BU454:BU456)</f>
        <v>-16789</v>
      </c>
      <c r="BV459" s="397">
        <f>SUM(BV454:BV456)</f>
        <v>-16789</v>
      </c>
      <c r="BX459" s="397">
        <f>SUM(BX454:BX456)</f>
        <v>-17865</v>
      </c>
      <c r="BY459" s="397">
        <f>SUM(BY454:BY456)</f>
        <v>-19941</v>
      </c>
      <c r="BZ459" s="397">
        <f>SUM(BZ454:BZ456)</f>
        <v>-19941</v>
      </c>
      <c r="CB459" s="397">
        <f>SUM(CB454:CB456)</f>
        <v>-13334</v>
      </c>
      <c r="CC459" s="397">
        <f>SUM(CC454:CC456)</f>
        <v>-17111</v>
      </c>
      <c r="CD459" s="397">
        <f>SUM(CD454:CD456)</f>
        <v>-17111</v>
      </c>
      <c r="CF459" s="397">
        <f>SUM(CF454:CF456)</f>
        <v>-21365</v>
      </c>
      <c r="CG459" s="397">
        <f>SUM(CG454:CG456)</f>
        <v>-18566</v>
      </c>
      <c r="CH459" s="397">
        <f>SUM(CH454:CH456)</f>
        <v>-18566</v>
      </c>
      <c r="CJ459" s="397">
        <f>SUM(CJ454:CJ456)</f>
        <v>-22344</v>
      </c>
      <c r="CK459" s="397">
        <f>SUM(CK454:CK456)</f>
        <v>-21956</v>
      </c>
      <c r="CL459" s="397">
        <f>SUM(CL454:CL456)</f>
        <v>-21956</v>
      </c>
      <c r="CN459" s="397">
        <f>SUM(CN454:CN456)</f>
        <v>-25388</v>
      </c>
      <c r="CO459" s="397">
        <f>SUM(CO454:CO456)</f>
        <v>-16501</v>
      </c>
      <c r="CP459" s="397">
        <f>SUM(CP454:CP456)</f>
        <v>-16501</v>
      </c>
      <c r="CR459" s="397">
        <f>SUM(CR454:CR456)</f>
        <v>-30237</v>
      </c>
      <c r="CS459" s="397">
        <f>SUM(CS454:CS456)</f>
        <v>-43878</v>
      </c>
      <c r="CT459" s="397">
        <f>SUM(CT454:CT456)</f>
        <v>-43878</v>
      </c>
      <c r="CV459" s="397">
        <f>SUM(CV454:CV456)</f>
        <v>-44729</v>
      </c>
      <c r="CW459" s="397">
        <f>SUM(CW454:CW456)</f>
        <v>-43897</v>
      </c>
      <c r="CX459" s="397">
        <f>SUM(CX454:CX456)</f>
        <v>-43897</v>
      </c>
      <c r="CZ459" s="397">
        <f>SUM(CZ454:CZ456)</f>
        <v>-53952</v>
      </c>
      <c r="DA459" s="397">
        <f>SUM(DA454:DA456)</f>
        <v>-52665</v>
      </c>
      <c r="DB459" s="397">
        <f>SUM(DB454:DB456)</f>
        <v>-52665</v>
      </c>
      <c r="DD459" s="397">
        <f>SUM(DD454:DD456)</f>
        <v>-49462</v>
      </c>
      <c r="DE459" s="397">
        <f>SUM(DE454:DE456)</f>
        <v>-60062</v>
      </c>
      <c r="DF459" s="397">
        <f>SUM(DF454:DF456)</f>
        <v>-60062</v>
      </c>
      <c r="DH459" s="397">
        <f>SUM(DH454:DH456)</f>
        <v>-81901</v>
      </c>
      <c r="DI459" s="397">
        <f>SUM(DI454:DI456)</f>
        <v>-83620.894251324265</v>
      </c>
      <c r="DJ459" s="397">
        <f>SUM(DJ454:DJ456)</f>
        <v>-83620.894251324265</v>
      </c>
      <c r="DL459" s="397">
        <f>SUM(DL454:DL456)</f>
        <v>-85346.508387952141</v>
      </c>
      <c r="DM459" s="397">
        <f>SUM(DM454:DM456)</f>
        <v>-87118.612216088775</v>
      </c>
      <c r="DN459" s="397">
        <f>SUM(DN454:DN456)</f>
        <v>-87118.612216088775</v>
      </c>
      <c r="DP459" s="397">
        <f>SUM(DP454:DP456)</f>
        <v>-88881.4950327884</v>
      </c>
      <c r="DQ459" s="397">
        <f>SUM(DQ454:DQ456)</f>
        <v>-90690.822943744352</v>
      </c>
      <c r="DR459" s="397">
        <f>SUM(DR454:DR456)</f>
        <v>-90690.822943744352</v>
      </c>
      <c r="DT459" s="1"/>
      <c r="DU459" s="1"/>
      <c r="DV459" s="1"/>
      <c r="DW459" s="1"/>
      <c r="DX459" s="1"/>
      <c r="DY459" s="1"/>
      <c r="DZ459" s="1"/>
      <c r="EA459" s="1"/>
      <c r="EB459" s="1"/>
      <c r="EC459" s="1"/>
      <c r="ED459" s="1"/>
      <c r="EE459" s="1"/>
      <c r="EF459" s="1"/>
      <c r="EG459" s="1"/>
      <c r="EH459" s="1"/>
      <c r="EI459" s="1"/>
      <c r="EJ459" s="1"/>
      <c r="EK459" s="1"/>
      <c r="EL459" s="1"/>
      <c r="EM459" s="1"/>
      <c r="EN459" s="1"/>
      <c r="EO459" s="1"/>
      <c r="EP459" s="1"/>
      <c r="EQ459" s="1"/>
      <c r="ER459" s="1"/>
      <c r="ES459" s="1"/>
      <c r="ET459" s="1"/>
      <c r="EU459" s="1"/>
      <c r="EV459" s="1"/>
      <c r="EW459" s="1"/>
      <c r="EX459" s="1"/>
      <c r="EY459" s="1"/>
      <c r="EZ459" s="1"/>
      <c r="FA459" s="1"/>
      <c r="FB459" s="1"/>
      <c r="FC459" s="1"/>
      <c r="FD459" s="1"/>
      <c r="FE459" s="1"/>
      <c r="FF459" s="1"/>
      <c r="FG459" s="1"/>
      <c r="FH459" s="1"/>
      <c r="FI459" s="1"/>
      <c r="FJ459" s="1"/>
      <c r="FK459" s="1"/>
      <c r="FL459" s="1"/>
      <c r="FM459" s="1"/>
      <c r="FN459" s="1"/>
      <c r="FO459" s="1"/>
      <c r="FP459" s="1"/>
      <c r="FQ459" s="1"/>
      <c r="FR459" s="1"/>
      <c r="FS459" s="1"/>
      <c r="FT459" s="1"/>
      <c r="FU459" s="1"/>
      <c r="FV459" s="1"/>
      <c r="FW459" s="1"/>
      <c r="FX459" s="1"/>
      <c r="FY459" s="1"/>
      <c r="FZ459" s="1"/>
      <c r="GA459" s="1"/>
      <c r="GB459" s="1"/>
      <c r="GC459" s="1"/>
      <c r="GD459" s="1"/>
      <c r="GE459" s="1"/>
      <c r="GF459" s="1"/>
      <c r="GG459" s="1"/>
      <c r="GH459" s="1"/>
      <c r="GI459" s="1"/>
      <c r="GJ459" s="1"/>
      <c r="GK459" s="1"/>
      <c r="GL459" s="1"/>
      <c r="GM459" s="1"/>
      <c r="GN459" s="1"/>
      <c r="GO459" s="1"/>
      <c r="GP459" s="1"/>
      <c r="GQ459" s="1"/>
      <c r="GR459" s="1"/>
      <c r="GS459" s="1"/>
      <c r="GT459" s="1"/>
      <c r="GU459" s="1"/>
      <c r="GV459" s="1"/>
      <c r="GW459" s="1"/>
      <c r="GX459" s="1"/>
      <c r="GY459" s="1"/>
      <c r="GZ459" s="1"/>
      <c r="HA459" s="1"/>
      <c r="HB459" s="1"/>
      <c r="HC459" s="1"/>
      <c r="HD459" s="1"/>
      <c r="HE459" s="1"/>
      <c r="HF459" s="1"/>
      <c r="HG459" s="1"/>
      <c r="HH459" s="1"/>
      <c r="HI459" s="1"/>
      <c r="HJ459" s="1"/>
      <c r="HK459" s="1"/>
      <c r="HL459" s="1"/>
      <c r="HM459" s="1"/>
      <c r="HN459" s="1"/>
      <c r="HO459" s="1"/>
      <c r="HP459" s="1"/>
      <c r="HQ459" s="1"/>
      <c r="HR459" s="1"/>
      <c r="HS459" s="1"/>
      <c r="HT459" s="1"/>
      <c r="HU459" s="1"/>
      <c r="HV459" s="1"/>
      <c r="HW459" s="1"/>
      <c r="HX459" s="1"/>
      <c r="HY459" s="1"/>
      <c r="HZ459" s="1"/>
      <c r="IA459" s="1"/>
      <c r="IB459" s="1"/>
      <c r="IC459" s="1"/>
      <c r="ID459" s="1"/>
      <c r="IE459" s="1"/>
      <c r="IF459" s="1"/>
      <c r="IG459" s="1"/>
      <c r="IH459" s="1"/>
      <c r="II459" s="1"/>
      <c r="IJ459" s="1"/>
      <c r="IK459" s="1"/>
      <c r="IL459" s="1"/>
      <c r="IM459" s="1"/>
      <c r="IN459" s="1"/>
      <c r="IO459" s="1"/>
      <c r="IP459" s="1"/>
      <c r="IQ459" s="1"/>
      <c r="IR459" s="1"/>
      <c r="IS459" s="1"/>
      <c r="IT459" s="1"/>
      <c r="IU459" s="1"/>
      <c r="IV459" s="1"/>
      <c r="IW459" s="1"/>
      <c r="IX459" s="1"/>
      <c r="IY459" s="1"/>
      <c r="IZ459" s="1"/>
      <c r="JA459" s="1"/>
      <c r="JB459" s="1"/>
      <c r="JC459" s="1"/>
      <c r="JD459" s="1"/>
    </row>
    <row r="460" spans="1:264" s="411" customFormat="1" x14ac:dyDescent="0.2">
      <c r="A460" s="347"/>
      <c r="B460" s="423"/>
      <c r="BH460" s="397"/>
      <c r="BI460" s="397"/>
      <c r="BJ460" s="397"/>
      <c r="BK460" s="348"/>
      <c r="BL460" s="397"/>
      <c r="BM460" s="397"/>
      <c r="BN460" s="397"/>
      <c r="BO460" s="423"/>
      <c r="BP460" s="397"/>
      <c r="BQ460" s="397"/>
      <c r="BR460" s="397"/>
      <c r="BT460" s="423"/>
      <c r="BX460" s="423"/>
      <c r="CB460" s="423"/>
      <c r="CF460" s="423"/>
      <c r="CJ460" s="423"/>
      <c r="CN460" s="423"/>
      <c r="CR460" s="423"/>
      <c r="CV460" s="423"/>
      <c r="CZ460" s="423"/>
      <c r="DD460" s="423"/>
      <c r="DH460" s="423"/>
      <c r="DL460" s="423"/>
      <c r="DP460" s="423"/>
      <c r="DT460" s="1"/>
      <c r="DU460" s="1"/>
      <c r="DV460" s="1"/>
      <c r="DW460" s="1"/>
      <c r="DX460" s="1"/>
      <c r="DY460" s="1"/>
      <c r="DZ460" s="1"/>
      <c r="EA460" s="1"/>
      <c r="EB460" s="1"/>
      <c r="EC460" s="1"/>
      <c r="ED460" s="1"/>
      <c r="EE460" s="1"/>
      <c r="EF460" s="1"/>
      <c r="EG460" s="1"/>
      <c r="EH460" s="1"/>
      <c r="EI460" s="1"/>
      <c r="EJ460" s="1"/>
      <c r="EK460" s="1"/>
      <c r="EL460" s="1"/>
      <c r="EM460" s="1"/>
      <c r="EN460" s="1"/>
      <c r="EO460" s="1"/>
      <c r="EP460" s="1"/>
      <c r="EQ460" s="1"/>
      <c r="ER460" s="1"/>
      <c r="ES460" s="1"/>
      <c r="ET460" s="1"/>
      <c r="EU460" s="1"/>
      <c r="EV460" s="1"/>
      <c r="EW460" s="1"/>
      <c r="EX460" s="1"/>
      <c r="EY460" s="1"/>
      <c r="EZ460" s="1"/>
      <c r="FA460" s="1"/>
      <c r="FB460" s="1"/>
      <c r="FC460" s="1"/>
      <c r="FD460" s="1"/>
      <c r="FE460" s="1"/>
      <c r="FF460" s="1"/>
      <c r="FG460" s="1"/>
      <c r="FH460" s="1"/>
      <c r="FI460" s="1"/>
      <c r="FJ460" s="1"/>
      <c r="FK460" s="1"/>
      <c r="FL460" s="1"/>
      <c r="FM460" s="1"/>
      <c r="FN460" s="1"/>
      <c r="FO460" s="1"/>
      <c r="FP460" s="1"/>
      <c r="FQ460" s="1"/>
      <c r="FR460" s="1"/>
      <c r="FS460" s="1"/>
      <c r="FT460" s="1"/>
      <c r="FU460" s="1"/>
      <c r="FV460" s="1"/>
      <c r="FW460" s="1"/>
      <c r="FX460" s="1"/>
      <c r="FY460" s="1"/>
      <c r="FZ460" s="1"/>
      <c r="GA460" s="1"/>
      <c r="GB460" s="1"/>
      <c r="GC460" s="1"/>
      <c r="GD460" s="1"/>
      <c r="GE460" s="1"/>
      <c r="GF460" s="1"/>
      <c r="GG460" s="1"/>
      <c r="GH460" s="1"/>
      <c r="GI460" s="1"/>
      <c r="GJ460" s="1"/>
      <c r="GK460" s="1"/>
      <c r="GL460" s="1"/>
      <c r="GM460" s="1"/>
      <c r="GN460" s="1"/>
      <c r="GO460" s="1"/>
      <c r="GP460" s="1"/>
      <c r="GQ460" s="1"/>
      <c r="GR460" s="1"/>
      <c r="GS460" s="1"/>
      <c r="GT460" s="1"/>
      <c r="GU460" s="1"/>
      <c r="GV460" s="1"/>
      <c r="GW460" s="1"/>
      <c r="GX460" s="1"/>
      <c r="GY460" s="1"/>
      <c r="GZ460" s="1"/>
      <c r="HA460" s="1"/>
      <c r="HB460" s="1"/>
      <c r="HC460" s="1"/>
      <c r="HD460" s="1"/>
      <c r="HE460" s="1"/>
      <c r="HF460" s="1"/>
      <c r="HG460" s="1"/>
      <c r="HH460" s="1"/>
      <c r="HI460" s="1"/>
      <c r="HJ460" s="1"/>
      <c r="HK460" s="1"/>
      <c r="HL460" s="1"/>
      <c r="HM460" s="1"/>
      <c r="HN460" s="1"/>
      <c r="HO460" s="1"/>
      <c r="HP460" s="1"/>
      <c r="HQ460" s="1"/>
      <c r="HR460" s="1"/>
      <c r="HS460" s="1"/>
      <c r="HT460" s="1"/>
      <c r="HU460" s="1"/>
      <c r="HV460" s="1"/>
      <c r="HW460" s="1"/>
      <c r="HX460" s="1"/>
      <c r="HY460" s="1"/>
      <c r="HZ460" s="1"/>
      <c r="IA460" s="1"/>
      <c r="IB460" s="1"/>
      <c r="IC460" s="1"/>
      <c r="ID460" s="1"/>
      <c r="IE460" s="1"/>
      <c r="IF460" s="1"/>
      <c r="IG460" s="1"/>
      <c r="IH460" s="1"/>
      <c r="II460" s="1"/>
      <c r="IJ460" s="1"/>
      <c r="IK460" s="1"/>
      <c r="IL460" s="1"/>
      <c r="IM460" s="1"/>
      <c r="IN460" s="1"/>
      <c r="IO460" s="1"/>
      <c r="IP460" s="1"/>
      <c r="IQ460" s="1"/>
      <c r="IR460" s="1"/>
      <c r="IS460" s="1"/>
      <c r="IT460" s="1"/>
      <c r="IU460" s="1"/>
      <c r="IV460" s="1"/>
      <c r="IW460" s="1"/>
      <c r="IX460" s="1"/>
      <c r="IY460" s="1"/>
      <c r="IZ460" s="1"/>
      <c r="JA460" s="1"/>
      <c r="JB460" s="1"/>
      <c r="JC460" s="1"/>
      <c r="JD460" s="1"/>
    </row>
    <row r="461" spans="1:264" s="411" customFormat="1" x14ac:dyDescent="0.2">
      <c r="A461" s="347" t="s">
        <v>404</v>
      </c>
      <c r="B461" s="423"/>
      <c r="BH461" s="397"/>
      <c r="BI461" s="397"/>
      <c r="BJ461" s="397"/>
      <c r="BK461" s="348"/>
      <c r="BL461" s="397"/>
      <c r="BM461" s="397"/>
      <c r="BN461" s="397"/>
      <c r="BO461" s="423"/>
      <c r="BP461" s="397"/>
      <c r="BQ461" s="397"/>
      <c r="BR461" s="397"/>
      <c r="BT461" s="423"/>
      <c r="BU461" s="351">
        <f>+BU368-BU360</f>
        <v>518061</v>
      </c>
      <c r="BV461" s="351">
        <f>+BV368-BV360</f>
        <v>518061</v>
      </c>
      <c r="BX461" s="351">
        <f>+BX368-BX360</f>
        <v>540194</v>
      </c>
      <c r="BY461" s="351">
        <f>+BY368-BY360</f>
        <v>558130</v>
      </c>
      <c r="BZ461" s="351">
        <f>+BZ368-BZ360</f>
        <v>558130</v>
      </c>
      <c r="CB461" s="351">
        <f>+CB465-CB360</f>
        <v>568300</v>
      </c>
      <c r="CC461" s="351">
        <f>+CC465-CC360</f>
        <v>569846</v>
      </c>
      <c r="CD461" s="351">
        <f>+CD465-CD360</f>
        <v>569846</v>
      </c>
      <c r="CF461" s="351">
        <f>+CF465-CF360</f>
        <v>578746</v>
      </c>
      <c r="CG461" s="351">
        <f>+CG465-CG360</f>
        <v>578786</v>
      </c>
      <c r="CH461" s="351">
        <f>+CH465-CH360</f>
        <v>578786</v>
      </c>
      <c r="CI461" s="351"/>
      <c r="CJ461" s="351">
        <f>+CJ465-CJ360</f>
        <v>599281</v>
      </c>
      <c r="CK461" s="351">
        <f>+CK465-CK360</f>
        <v>641327</v>
      </c>
      <c r="CL461" s="351">
        <f>+CL465-CL360</f>
        <v>641327</v>
      </c>
      <c r="CM461" s="351"/>
      <c r="CN461" s="351">
        <f>+CN465-CN360</f>
        <v>682070</v>
      </c>
      <c r="CO461" s="351">
        <f>+CO465-CO360</f>
        <v>702641</v>
      </c>
      <c r="CP461" s="351">
        <f>+CP465-CP360</f>
        <v>702641</v>
      </c>
      <c r="CQ461" s="351"/>
      <c r="CR461" s="351">
        <f>+CR465-CR360</f>
        <v>741624</v>
      </c>
      <c r="CS461" s="351">
        <f>+CS465-CS360</f>
        <v>778805</v>
      </c>
      <c r="CT461" s="351">
        <f>+CT465-CT360</f>
        <v>778805</v>
      </c>
      <c r="CV461" s="351">
        <f>+CV465-CV360</f>
        <v>800436</v>
      </c>
      <c r="CW461" s="351">
        <f>+CW465-CW360</f>
        <v>819701</v>
      </c>
      <c r="CX461" s="351">
        <f>+CX465-CX360</f>
        <v>819701</v>
      </c>
      <c r="CZ461" s="351">
        <f>+CZ465-CZ360</f>
        <v>825712</v>
      </c>
      <c r="DA461" s="351">
        <f>+DA465-DA360</f>
        <v>833725</v>
      </c>
      <c r="DB461" s="351">
        <f>+DB465-DB360</f>
        <v>833725</v>
      </c>
      <c r="DD461" s="351">
        <f>+DD465-DD360</f>
        <v>856772</v>
      </c>
      <c r="DE461" s="351">
        <f>+DE465-DE360</f>
        <v>889317</v>
      </c>
      <c r="DF461" s="351">
        <f>+DF465-DF360</f>
        <v>889317</v>
      </c>
      <c r="DH461" s="351">
        <f>+DH465-DH360</f>
        <v>930126</v>
      </c>
      <c r="DI461" s="351">
        <f>+DI465-DI360</f>
        <v>951957.71956410259</v>
      </c>
      <c r="DJ461" s="351">
        <f>+DJ465-DJ360</f>
        <v>951957.71956410259</v>
      </c>
      <c r="DL461" s="351">
        <f>+DL465-DL360</f>
        <v>975360.26834320521</v>
      </c>
      <c r="DM461" s="351">
        <f>+DM465-DM360</f>
        <v>999549.7787565852</v>
      </c>
      <c r="DN461" s="351">
        <f>+DN465-DN360</f>
        <v>999549.7787565852</v>
      </c>
      <c r="DP461" s="351">
        <f>+DP465-DP360</f>
        <v>1024032.0355099161</v>
      </c>
      <c r="DQ461" s="351">
        <f>+DQ465-DQ360</f>
        <v>1049509.659686341</v>
      </c>
      <c r="DR461" s="351">
        <f>+DR465-DR360</f>
        <v>1049509.659686341</v>
      </c>
      <c r="DT461" s="1"/>
      <c r="DU461" s="1"/>
      <c r="DV461" s="1"/>
      <c r="DW461" s="1"/>
      <c r="DX461" s="1"/>
      <c r="DY461" s="1"/>
      <c r="DZ461" s="1"/>
      <c r="EA461" s="1"/>
      <c r="EB461" s="1"/>
      <c r="EC461" s="1"/>
      <c r="ED461" s="1"/>
      <c r="EE461" s="1"/>
      <c r="EF461" s="1"/>
      <c r="EG461" s="1"/>
      <c r="EH461" s="1"/>
      <c r="EI461" s="1"/>
      <c r="EJ461" s="1"/>
      <c r="EK461" s="1"/>
      <c r="EL461" s="1"/>
      <c r="EM461" s="1"/>
      <c r="EN461" s="1"/>
      <c r="EO461" s="1"/>
      <c r="EP461" s="1"/>
      <c r="EQ461" s="1"/>
      <c r="ER461" s="1"/>
      <c r="ES461" s="1"/>
      <c r="ET461" s="1"/>
      <c r="EU461" s="1"/>
      <c r="EV461" s="1"/>
      <c r="EW461" s="1"/>
      <c r="EX461" s="1"/>
      <c r="EY461" s="1"/>
      <c r="EZ461" s="1"/>
      <c r="FA461" s="1"/>
      <c r="FB461" s="1"/>
      <c r="FC461" s="1"/>
      <c r="FD461" s="1"/>
      <c r="FE461" s="1"/>
      <c r="FF461" s="1"/>
      <c r="FG461" s="1"/>
      <c r="FH461" s="1"/>
      <c r="FI461" s="1"/>
      <c r="FJ461" s="1"/>
      <c r="FK461" s="1"/>
      <c r="FL461" s="1"/>
      <c r="FM461" s="1"/>
      <c r="FN461" s="1"/>
      <c r="FO461" s="1"/>
      <c r="FP461" s="1"/>
      <c r="FQ461" s="1"/>
      <c r="FR461" s="1"/>
      <c r="FS461" s="1"/>
      <c r="FT461" s="1"/>
      <c r="FU461" s="1"/>
      <c r="FV461" s="1"/>
      <c r="FW461" s="1"/>
      <c r="FX461" s="1"/>
      <c r="FY461" s="1"/>
      <c r="FZ461" s="1"/>
      <c r="GA461" s="1"/>
      <c r="GB461" s="1"/>
      <c r="GC461" s="1"/>
      <c r="GD461" s="1"/>
      <c r="GE461" s="1"/>
      <c r="GF461" s="1"/>
      <c r="GG461" s="1"/>
      <c r="GH461" s="1"/>
      <c r="GI461" s="1"/>
      <c r="GJ461" s="1"/>
      <c r="GK461" s="1"/>
      <c r="GL461" s="1"/>
      <c r="GM461" s="1"/>
      <c r="GN461" s="1"/>
      <c r="GO461" s="1"/>
      <c r="GP461" s="1"/>
      <c r="GQ461" s="1"/>
      <c r="GR461" s="1"/>
      <c r="GS461" s="1"/>
      <c r="GT461" s="1"/>
      <c r="GU461" s="1"/>
      <c r="GV461" s="1"/>
      <c r="GW461" s="1"/>
      <c r="GX461" s="1"/>
      <c r="GY461" s="1"/>
      <c r="GZ461" s="1"/>
      <c r="HA461" s="1"/>
      <c r="HB461" s="1"/>
      <c r="HC461" s="1"/>
      <c r="HD461" s="1"/>
      <c r="HE461" s="1"/>
      <c r="HF461" s="1"/>
      <c r="HG461" s="1"/>
      <c r="HH461" s="1"/>
      <c r="HI461" s="1"/>
      <c r="HJ461" s="1"/>
      <c r="HK461" s="1"/>
      <c r="HL461" s="1"/>
      <c r="HM461" s="1"/>
      <c r="HN461" s="1"/>
      <c r="HO461" s="1"/>
      <c r="HP461" s="1"/>
      <c r="HQ461" s="1"/>
      <c r="HR461" s="1"/>
      <c r="HS461" s="1"/>
      <c r="HT461" s="1"/>
      <c r="HU461" s="1"/>
      <c r="HV461" s="1"/>
      <c r="HW461" s="1"/>
      <c r="HX461" s="1"/>
      <c r="HY461" s="1"/>
      <c r="HZ461" s="1"/>
      <c r="IA461" s="1"/>
      <c r="IB461" s="1"/>
      <c r="IC461" s="1"/>
      <c r="ID461" s="1"/>
      <c r="IE461" s="1"/>
      <c r="IF461" s="1"/>
      <c r="IG461" s="1"/>
      <c r="IH461" s="1"/>
      <c r="II461" s="1"/>
      <c r="IJ461" s="1"/>
      <c r="IK461" s="1"/>
      <c r="IL461" s="1"/>
      <c r="IM461" s="1"/>
      <c r="IN461" s="1"/>
      <c r="IO461" s="1"/>
      <c r="IP461" s="1"/>
      <c r="IQ461" s="1"/>
      <c r="IR461" s="1"/>
      <c r="IS461" s="1"/>
      <c r="IT461" s="1"/>
      <c r="IU461" s="1"/>
      <c r="IV461" s="1"/>
      <c r="IW461" s="1"/>
      <c r="IX461" s="1"/>
      <c r="IY461" s="1"/>
      <c r="IZ461" s="1"/>
      <c r="JA461" s="1"/>
      <c r="JB461" s="1"/>
      <c r="JC461" s="1"/>
      <c r="JD461" s="1"/>
    </row>
    <row r="462" spans="1:264" s="424" customFormat="1" x14ac:dyDescent="0.2">
      <c r="A462" s="429" t="s">
        <v>405</v>
      </c>
      <c r="B462" s="536"/>
      <c r="BH462" s="508"/>
      <c r="BI462" s="508"/>
      <c r="BJ462" s="508"/>
      <c r="BK462" s="408"/>
      <c r="BL462" s="508"/>
      <c r="BM462" s="508"/>
      <c r="BN462" s="508"/>
      <c r="BO462" s="536"/>
      <c r="BP462" s="508"/>
      <c r="BQ462" s="508"/>
      <c r="BR462" s="508"/>
      <c r="BT462" s="536"/>
      <c r="BU462" s="456"/>
      <c r="BV462" s="456"/>
      <c r="BX462" s="456"/>
      <c r="BY462" s="456"/>
      <c r="BZ462" s="456"/>
      <c r="CB462" s="537">
        <v>568300</v>
      </c>
      <c r="CC462" s="456">
        <f>CD462</f>
        <v>569846</v>
      </c>
      <c r="CD462" s="537">
        <v>569846</v>
      </c>
      <c r="CF462" s="537">
        <v>578746</v>
      </c>
      <c r="CG462" s="456">
        <f>CH462</f>
        <v>578786</v>
      </c>
      <c r="CH462" s="537">
        <v>578786</v>
      </c>
      <c r="CI462" s="456"/>
      <c r="CJ462" s="537">
        <v>600456</v>
      </c>
      <c r="CK462" s="456">
        <f>CL462</f>
        <v>642402</v>
      </c>
      <c r="CL462" s="537">
        <v>642402</v>
      </c>
      <c r="CM462" s="456"/>
      <c r="CN462" s="537">
        <v>681848</v>
      </c>
      <c r="CO462" s="456">
        <f>CP462</f>
        <v>702215</v>
      </c>
      <c r="CP462" s="537">
        <v>702215</v>
      </c>
      <c r="CQ462" s="456"/>
      <c r="CR462" s="537">
        <v>741046</v>
      </c>
      <c r="CS462" s="456">
        <f>CT462</f>
        <v>777763</v>
      </c>
      <c r="CT462" s="537">
        <v>777763</v>
      </c>
      <c r="CV462" s="537">
        <v>799608</v>
      </c>
      <c r="CW462" s="456">
        <f>CX462</f>
        <v>818974</v>
      </c>
      <c r="CX462" s="537">
        <v>818974</v>
      </c>
      <c r="CY462" s="429"/>
      <c r="CZ462" s="537">
        <v>824575</v>
      </c>
      <c r="DA462" s="456">
        <f>DB462</f>
        <v>834259</v>
      </c>
      <c r="DB462" s="537">
        <v>834259</v>
      </c>
      <c r="DC462" s="429"/>
      <c r="DD462" s="537">
        <f>873532-17700</f>
        <v>855832</v>
      </c>
      <c r="DE462" s="456">
        <f>DF462</f>
        <v>908812</v>
      </c>
      <c r="DF462" s="537">
        <v>908812</v>
      </c>
      <c r="DG462" s="429"/>
      <c r="DH462" s="537">
        <v>956302</v>
      </c>
      <c r="DI462" s="456">
        <f>DI461+DI463</f>
        <v>951957.71956410259</v>
      </c>
      <c r="DJ462" s="456">
        <f>DI462</f>
        <v>951957.71956410259</v>
      </c>
      <c r="DK462" s="429"/>
      <c r="DL462" s="456">
        <f>DL461+DL463</f>
        <v>975360.26834320521</v>
      </c>
      <c r="DM462" s="456">
        <f>DM461+DM463</f>
        <v>999549.7787565852</v>
      </c>
      <c r="DN462" s="456">
        <f>DM462</f>
        <v>999549.7787565852</v>
      </c>
      <c r="DO462" s="429"/>
      <c r="DP462" s="456">
        <f>DP461+DP463</f>
        <v>1024032.0355099161</v>
      </c>
      <c r="DQ462" s="456">
        <f>DQ461+DQ463</f>
        <v>1049509.659686341</v>
      </c>
      <c r="DR462" s="456">
        <f>DQ462</f>
        <v>1049509.659686341</v>
      </c>
      <c r="DS462" s="429"/>
      <c r="DT462" s="457"/>
      <c r="DU462" s="457"/>
      <c r="DV462" s="457"/>
      <c r="DW462" s="457"/>
      <c r="DX462" s="457"/>
      <c r="DY462" s="457"/>
      <c r="DZ462" s="457"/>
      <c r="EA462" s="457"/>
      <c r="EB462" s="457"/>
      <c r="EC462" s="457"/>
      <c r="ED462" s="457"/>
      <c r="EE462" s="457"/>
      <c r="EF462" s="457"/>
      <c r="EG462" s="457"/>
      <c r="EH462" s="457"/>
      <c r="EI462" s="457"/>
      <c r="EJ462" s="457"/>
      <c r="EK462" s="457"/>
      <c r="EL462" s="457"/>
      <c r="EM462" s="457"/>
      <c r="EN462" s="457"/>
      <c r="EO462" s="457"/>
      <c r="EP462" s="457"/>
      <c r="EQ462" s="457"/>
      <c r="ER462" s="457"/>
      <c r="ES462" s="457"/>
      <c r="ET462" s="457"/>
      <c r="EU462" s="457"/>
      <c r="EV462" s="457"/>
      <c r="EW462" s="457"/>
      <c r="EX462" s="457"/>
      <c r="EY462" s="457"/>
      <c r="EZ462" s="457"/>
      <c r="FA462" s="457"/>
      <c r="FB462" s="457"/>
      <c r="FC462" s="457"/>
      <c r="FD462" s="457"/>
      <c r="FE462" s="457"/>
      <c r="FF462" s="457"/>
      <c r="FG462" s="457"/>
      <c r="FH462" s="457"/>
      <c r="FI462" s="457"/>
      <c r="FJ462" s="457"/>
      <c r="FK462" s="457"/>
      <c r="FL462" s="457"/>
      <c r="FM462" s="457"/>
      <c r="FN462" s="457"/>
      <c r="FO462" s="457"/>
      <c r="FP462" s="457"/>
      <c r="FQ462" s="457"/>
      <c r="FR462" s="457"/>
      <c r="FS462" s="457"/>
      <c r="FT462" s="457"/>
      <c r="FU462" s="457"/>
      <c r="FV462" s="457"/>
      <c r="FW462" s="457"/>
      <c r="FX462" s="457"/>
      <c r="FY462" s="457"/>
      <c r="FZ462" s="457"/>
      <c r="GA462" s="457"/>
      <c r="GB462" s="457"/>
      <c r="GC462" s="457"/>
      <c r="GD462" s="457"/>
      <c r="GE462" s="457"/>
      <c r="GF462" s="457"/>
      <c r="GG462" s="457"/>
      <c r="GH462" s="457"/>
      <c r="GI462" s="457"/>
      <c r="GJ462" s="457"/>
      <c r="GK462" s="457"/>
      <c r="GL462" s="457"/>
      <c r="GM462" s="457"/>
      <c r="GN462" s="457"/>
      <c r="GO462" s="457"/>
      <c r="GP462" s="457"/>
      <c r="GQ462" s="457"/>
      <c r="GR462" s="457"/>
      <c r="GS462" s="457"/>
      <c r="GT462" s="457"/>
      <c r="GU462" s="457"/>
      <c r="GV462" s="457"/>
      <c r="GW462" s="457"/>
      <c r="GX462" s="457"/>
      <c r="GY462" s="457"/>
      <c r="GZ462" s="457"/>
      <c r="HA462" s="457"/>
      <c r="HB462" s="457"/>
      <c r="HC462" s="457"/>
      <c r="HD462" s="457"/>
      <c r="HE462" s="457"/>
      <c r="HF462" s="457"/>
      <c r="HG462" s="457"/>
      <c r="HH462" s="457"/>
      <c r="HI462" s="457"/>
      <c r="HJ462" s="457"/>
      <c r="HK462" s="457"/>
      <c r="HL462" s="457"/>
      <c r="HM462" s="457"/>
      <c r="HN462" s="457"/>
      <c r="HO462" s="457"/>
      <c r="HP462" s="457"/>
      <c r="HQ462" s="457"/>
      <c r="HR462" s="457"/>
      <c r="HS462" s="457"/>
      <c r="HT462" s="457"/>
      <c r="HU462" s="457"/>
      <c r="HV462" s="457"/>
      <c r="HW462" s="457"/>
      <c r="HX462" s="457"/>
      <c r="HY462" s="457"/>
      <c r="HZ462" s="457"/>
      <c r="IA462" s="457"/>
      <c r="IB462" s="457"/>
      <c r="IC462" s="457"/>
      <c r="ID462" s="457"/>
      <c r="IE462" s="457"/>
      <c r="IF462" s="457"/>
      <c r="IG462" s="457"/>
      <c r="IH462" s="457"/>
      <c r="II462" s="457"/>
      <c r="IJ462" s="457"/>
      <c r="IK462" s="457"/>
      <c r="IL462" s="457"/>
      <c r="IM462" s="457"/>
      <c r="IN462" s="457"/>
      <c r="IO462" s="457"/>
      <c r="IP462" s="457"/>
      <c r="IQ462" s="457"/>
      <c r="IR462" s="457"/>
      <c r="IS462" s="457"/>
      <c r="IT462" s="457"/>
      <c r="IU462" s="457"/>
      <c r="IV462" s="457"/>
      <c r="IW462" s="457"/>
      <c r="IX462" s="457"/>
      <c r="IY462" s="457"/>
      <c r="IZ462" s="457"/>
      <c r="JA462" s="457"/>
      <c r="JB462" s="457"/>
      <c r="JC462" s="457"/>
      <c r="JD462" s="457"/>
    </row>
    <row r="463" spans="1:264" s="424" customFormat="1" x14ac:dyDescent="0.2">
      <c r="A463" s="477" t="s">
        <v>406</v>
      </c>
      <c r="B463" s="538"/>
      <c r="C463" s="530"/>
      <c r="D463" s="530"/>
      <c r="E463" s="530"/>
      <c r="F463" s="530"/>
      <c r="G463" s="530"/>
      <c r="H463" s="530"/>
      <c r="I463" s="530"/>
      <c r="J463" s="530"/>
      <c r="K463" s="530"/>
      <c r="L463" s="530"/>
      <c r="M463" s="530"/>
      <c r="N463" s="530"/>
      <c r="O463" s="530"/>
      <c r="P463" s="530"/>
      <c r="Q463" s="530"/>
      <c r="R463" s="530"/>
      <c r="S463" s="530"/>
      <c r="T463" s="530"/>
      <c r="U463" s="530"/>
      <c r="V463" s="530"/>
      <c r="W463" s="530"/>
      <c r="X463" s="530"/>
      <c r="Y463" s="530"/>
      <c r="Z463" s="530"/>
      <c r="AA463" s="530"/>
      <c r="AB463" s="530"/>
      <c r="AC463" s="530"/>
      <c r="AD463" s="530"/>
      <c r="AE463" s="530"/>
      <c r="AF463" s="530"/>
      <c r="AG463" s="530"/>
      <c r="AH463" s="530"/>
      <c r="AI463" s="530"/>
      <c r="AJ463" s="530"/>
      <c r="AK463" s="530"/>
      <c r="AL463" s="530"/>
      <c r="AM463" s="530"/>
      <c r="AN463" s="530"/>
      <c r="AO463" s="530"/>
      <c r="AP463" s="530"/>
      <c r="AQ463" s="530"/>
      <c r="AR463" s="530"/>
      <c r="AS463" s="530"/>
      <c r="AT463" s="530"/>
      <c r="AU463" s="530"/>
      <c r="AV463" s="530"/>
      <c r="AW463" s="530"/>
      <c r="AX463" s="530"/>
      <c r="AY463" s="530"/>
      <c r="AZ463" s="530"/>
      <c r="BA463" s="530"/>
      <c r="BB463" s="530"/>
      <c r="BC463" s="530"/>
      <c r="BD463" s="530"/>
      <c r="BE463" s="530"/>
      <c r="BF463" s="530"/>
      <c r="BG463" s="530"/>
      <c r="BH463" s="539"/>
      <c r="BI463" s="539"/>
      <c r="BJ463" s="539"/>
      <c r="BK463" s="540"/>
      <c r="BL463" s="539"/>
      <c r="BM463" s="539"/>
      <c r="BN463" s="539"/>
      <c r="BO463" s="538"/>
      <c r="BP463" s="539"/>
      <c r="BQ463" s="539"/>
      <c r="BR463" s="539"/>
      <c r="BS463" s="530"/>
      <c r="BT463" s="538"/>
      <c r="BU463" s="541"/>
      <c r="BV463" s="541"/>
      <c r="BW463" s="530"/>
      <c r="BX463" s="541"/>
      <c r="BY463" s="541"/>
      <c r="BZ463" s="541"/>
      <c r="CA463" s="530"/>
      <c r="CB463" s="542"/>
      <c r="CC463" s="541"/>
      <c r="CD463" s="542"/>
      <c r="CE463" s="530"/>
      <c r="CF463" s="542"/>
      <c r="CG463" s="541"/>
      <c r="CH463" s="542"/>
      <c r="CI463" s="541"/>
      <c r="CJ463" s="542"/>
      <c r="CK463" s="541"/>
      <c r="CL463" s="542"/>
      <c r="CM463" s="541"/>
      <c r="CN463" s="542"/>
      <c r="CO463" s="541"/>
      <c r="CP463" s="542"/>
      <c r="CQ463" s="541"/>
      <c r="CR463" s="541"/>
      <c r="CS463" s="541"/>
      <c r="CT463" s="541"/>
      <c r="CU463" s="530"/>
      <c r="CV463" s="541"/>
      <c r="CW463" s="541"/>
      <c r="CX463" s="541"/>
      <c r="CY463" s="530"/>
      <c r="CZ463" s="541"/>
      <c r="DA463" s="541"/>
      <c r="DB463" s="541"/>
      <c r="DC463" s="530"/>
      <c r="DD463" s="541"/>
      <c r="DE463" s="541"/>
      <c r="DF463" s="541"/>
      <c r="DG463" s="530"/>
      <c r="DH463" s="541"/>
      <c r="DI463" s="543">
        <f>DH463</f>
        <v>0</v>
      </c>
      <c r="DJ463" s="541">
        <f>DI463</f>
        <v>0</v>
      </c>
      <c r="DK463" s="530"/>
      <c r="DL463" s="543">
        <f>DI463</f>
        <v>0</v>
      </c>
      <c r="DM463" s="543">
        <f>DL463</f>
        <v>0</v>
      </c>
      <c r="DN463" s="541">
        <f>DM463</f>
        <v>0</v>
      </c>
      <c r="DO463" s="530"/>
      <c r="DP463" s="543">
        <f>DM463</f>
        <v>0</v>
      </c>
      <c r="DQ463" s="543">
        <f>DP463</f>
        <v>0</v>
      </c>
      <c r="DR463" s="541">
        <f>DQ463</f>
        <v>0</v>
      </c>
      <c r="DS463" s="530"/>
      <c r="DT463" s="457"/>
      <c r="DU463" s="457"/>
      <c r="DV463" s="457"/>
      <c r="DW463" s="457"/>
      <c r="DX463" s="457"/>
      <c r="DY463" s="457"/>
      <c r="DZ463" s="457"/>
      <c r="EA463" s="457"/>
      <c r="EB463" s="457"/>
      <c r="EC463" s="457"/>
      <c r="ED463" s="457"/>
      <c r="EE463" s="457"/>
      <c r="EF463" s="457"/>
      <c r="EG463" s="457"/>
      <c r="EH463" s="457"/>
      <c r="EI463" s="457"/>
      <c r="EJ463" s="457"/>
      <c r="EK463" s="457"/>
      <c r="EL463" s="457"/>
      <c r="EM463" s="457"/>
      <c r="EN463" s="457"/>
      <c r="EO463" s="457"/>
      <c r="EP463" s="457"/>
      <c r="EQ463" s="457"/>
      <c r="ER463" s="457"/>
      <c r="ES463" s="457"/>
      <c r="ET463" s="457"/>
      <c r="EU463" s="457"/>
      <c r="EV463" s="457"/>
      <c r="EW463" s="457"/>
      <c r="EX463" s="457"/>
      <c r="EY463" s="457"/>
      <c r="EZ463" s="457"/>
      <c r="FA463" s="457"/>
      <c r="FB463" s="457"/>
      <c r="FC463" s="457"/>
      <c r="FD463" s="457"/>
      <c r="FE463" s="457"/>
      <c r="FF463" s="457"/>
      <c r="FG463" s="457"/>
      <c r="FH463" s="457"/>
      <c r="FI463" s="457"/>
      <c r="FJ463" s="457"/>
      <c r="FK463" s="457"/>
      <c r="FL463" s="457"/>
      <c r="FM463" s="457"/>
      <c r="FN463" s="457"/>
      <c r="FO463" s="457"/>
      <c r="FP463" s="457"/>
      <c r="FQ463" s="457"/>
      <c r="FR463" s="457"/>
      <c r="FS463" s="457"/>
      <c r="FT463" s="457"/>
      <c r="FU463" s="457"/>
      <c r="FV463" s="457"/>
      <c r="FW463" s="457"/>
      <c r="FX463" s="457"/>
      <c r="FY463" s="457"/>
      <c r="FZ463" s="457"/>
      <c r="GA463" s="457"/>
      <c r="GB463" s="457"/>
      <c r="GC463" s="457"/>
      <c r="GD463" s="457"/>
      <c r="GE463" s="457"/>
      <c r="GF463" s="457"/>
      <c r="GG463" s="457"/>
      <c r="GH463" s="457"/>
      <c r="GI463" s="457"/>
      <c r="GJ463" s="457"/>
      <c r="GK463" s="457"/>
      <c r="GL463" s="457"/>
      <c r="GM463" s="457"/>
      <c r="GN463" s="457"/>
      <c r="GO463" s="457"/>
      <c r="GP463" s="457"/>
      <c r="GQ463" s="457"/>
      <c r="GR463" s="457"/>
      <c r="GS463" s="457"/>
      <c r="GT463" s="457"/>
      <c r="GU463" s="457"/>
      <c r="GV463" s="457"/>
      <c r="GW463" s="457"/>
      <c r="GX463" s="457"/>
      <c r="GY463" s="457"/>
      <c r="GZ463" s="457"/>
      <c r="HA463" s="457"/>
      <c r="HB463" s="457"/>
      <c r="HC463" s="457"/>
      <c r="HD463" s="457"/>
      <c r="HE463" s="457"/>
      <c r="HF463" s="457"/>
      <c r="HG463" s="457"/>
      <c r="HH463" s="457"/>
      <c r="HI463" s="457"/>
      <c r="HJ463" s="457"/>
      <c r="HK463" s="457"/>
      <c r="HL463" s="457"/>
      <c r="HM463" s="457"/>
      <c r="HN463" s="457"/>
      <c r="HO463" s="457"/>
      <c r="HP463" s="457"/>
      <c r="HQ463" s="457"/>
      <c r="HR463" s="457"/>
      <c r="HS463" s="457"/>
      <c r="HT463" s="457"/>
      <c r="HU463" s="457"/>
      <c r="HV463" s="457"/>
      <c r="HW463" s="457"/>
      <c r="HX463" s="457"/>
      <c r="HY463" s="457"/>
      <c r="HZ463" s="457"/>
      <c r="IA463" s="457"/>
      <c r="IB463" s="457"/>
      <c r="IC463" s="457"/>
      <c r="ID463" s="457"/>
      <c r="IE463" s="457"/>
      <c r="IF463" s="457"/>
      <c r="IG463" s="457"/>
      <c r="IH463" s="457"/>
      <c r="II463" s="457"/>
      <c r="IJ463" s="457"/>
      <c r="IK463" s="457"/>
      <c r="IL463" s="457"/>
      <c r="IM463" s="457"/>
      <c r="IN463" s="457"/>
      <c r="IO463" s="457"/>
      <c r="IP463" s="457"/>
      <c r="IQ463" s="457"/>
      <c r="IR463" s="457"/>
      <c r="IS463" s="457"/>
      <c r="IT463" s="457"/>
      <c r="IU463" s="457"/>
      <c r="IV463" s="457"/>
      <c r="IW463" s="457"/>
      <c r="IX463" s="457"/>
      <c r="IY463" s="457"/>
      <c r="IZ463" s="457"/>
      <c r="JA463" s="457"/>
      <c r="JB463" s="457"/>
      <c r="JC463" s="457"/>
      <c r="JD463" s="457"/>
    </row>
    <row r="464" spans="1:264" s="411" customFormat="1" x14ac:dyDescent="0.2">
      <c r="A464" s="347"/>
      <c r="B464" s="423"/>
      <c r="BH464" s="397"/>
      <c r="BI464" s="397"/>
      <c r="BJ464" s="397"/>
      <c r="BK464" s="348"/>
      <c r="BL464" s="397"/>
      <c r="BM464" s="397"/>
      <c r="BN464" s="397"/>
      <c r="BO464" s="423"/>
      <c r="BP464" s="397"/>
      <c r="BQ464" s="397"/>
      <c r="BR464" s="397"/>
      <c r="BT464" s="423"/>
      <c r="BX464" s="423"/>
      <c r="CB464" s="423"/>
      <c r="CF464" s="423"/>
      <c r="CJ464" s="498"/>
      <c r="CL464" s="498"/>
      <c r="CN464" s="397"/>
      <c r="CP464" s="397"/>
      <c r="CR464" s="397"/>
      <c r="CT464" s="397"/>
      <c r="CV464" s="397"/>
      <c r="CX464" s="397"/>
      <c r="CZ464" s="397"/>
      <c r="DB464" s="397"/>
      <c r="DD464" s="397"/>
      <c r="DF464" s="397"/>
      <c r="DH464" s="397"/>
      <c r="DL464" s="423"/>
      <c r="DP464" s="423"/>
      <c r="DT464" s="1"/>
      <c r="DU464" s="1"/>
      <c r="DV464" s="1"/>
      <c r="DW464" s="1"/>
      <c r="DX464" s="1"/>
      <c r="DY464" s="1"/>
      <c r="DZ464" s="1"/>
      <c r="EA464" s="1"/>
      <c r="EB464" s="1"/>
      <c r="EC464" s="1"/>
      <c r="ED464" s="1"/>
      <c r="EE464" s="1"/>
      <c r="EF464" s="1"/>
      <c r="EG464" s="1"/>
      <c r="EH464" s="1"/>
      <c r="EI464" s="1"/>
      <c r="EJ464" s="1"/>
      <c r="EK464" s="1"/>
      <c r="EL464" s="1"/>
      <c r="EM464" s="1"/>
      <c r="EN464" s="1"/>
      <c r="EO464" s="1"/>
      <c r="EP464" s="1"/>
      <c r="EQ464" s="1"/>
      <c r="ER464" s="1"/>
      <c r="ES464" s="1"/>
      <c r="ET464" s="1"/>
      <c r="EU464" s="1"/>
      <c r="EV464" s="1"/>
      <c r="EW464" s="1"/>
      <c r="EX464" s="1"/>
      <c r="EY464" s="1"/>
      <c r="EZ464" s="1"/>
      <c r="FA464" s="1"/>
      <c r="FB464" s="1"/>
      <c r="FC464" s="1"/>
      <c r="FD464" s="1"/>
      <c r="FE464" s="1"/>
      <c r="FF464" s="1"/>
      <c r="FG464" s="1"/>
      <c r="FH464" s="1"/>
      <c r="FI464" s="1"/>
      <c r="FJ464" s="1"/>
      <c r="FK464" s="1"/>
      <c r="FL464" s="1"/>
      <c r="FM464" s="1"/>
      <c r="FN464" s="1"/>
      <c r="FO464" s="1"/>
      <c r="FP464" s="1"/>
      <c r="FQ464" s="1"/>
      <c r="FR464" s="1"/>
      <c r="FS464" s="1"/>
      <c r="FT464" s="1"/>
      <c r="FU464" s="1"/>
      <c r="FV464" s="1"/>
      <c r="FW464" s="1"/>
      <c r="FX464" s="1"/>
      <c r="FY464" s="1"/>
      <c r="FZ464" s="1"/>
      <c r="GA464" s="1"/>
      <c r="GB464" s="1"/>
      <c r="GC464" s="1"/>
      <c r="GD464" s="1"/>
      <c r="GE464" s="1"/>
      <c r="GF464" s="1"/>
      <c r="GG464" s="1"/>
      <c r="GH464" s="1"/>
      <c r="GI464" s="1"/>
      <c r="GJ464" s="1"/>
      <c r="GK464" s="1"/>
      <c r="GL464" s="1"/>
      <c r="GM464" s="1"/>
      <c r="GN464" s="1"/>
      <c r="GO464" s="1"/>
      <c r="GP464" s="1"/>
      <c r="GQ464" s="1"/>
      <c r="GR464" s="1"/>
      <c r="GS464" s="1"/>
      <c r="GT464" s="1"/>
      <c r="GU464" s="1"/>
      <c r="GV464" s="1"/>
      <c r="GW464" s="1"/>
      <c r="GX464" s="1"/>
      <c r="GY464" s="1"/>
      <c r="GZ464" s="1"/>
      <c r="HA464" s="1"/>
      <c r="HB464" s="1"/>
      <c r="HC464" s="1"/>
      <c r="HD464" s="1"/>
      <c r="HE464" s="1"/>
      <c r="HF464" s="1"/>
      <c r="HG464" s="1"/>
      <c r="HH464" s="1"/>
      <c r="HI464" s="1"/>
      <c r="HJ464" s="1"/>
      <c r="HK464" s="1"/>
      <c r="HL464" s="1"/>
      <c r="HM464" s="1"/>
      <c r="HN464" s="1"/>
      <c r="HO464" s="1"/>
      <c r="HP464" s="1"/>
      <c r="HQ464" s="1"/>
      <c r="HR464" s="1"/>
      <c r="HS464" s="1"/>
      <c r="HT464" s="1"/>
      <c r="HU464" s="1"/>
      <c r="HV464" s="1"/>
      <c r="HW464" s="1"/>
      <c r="HX464" s="1"/>
      <c r="HY464" s="1"/>
      <c r="HZ464" s="1"/>
      <c r="IA464" s="1"/>
      <c r="IB464" s="1"/>
      <c r="IC464" s="1"/>
      <c r="ID464" s="1"/>
      <c r="IE464" s="1"/>
      <c r="IF464" s="1"/>
      <c r="IG464" s="1"/>
      <c r="IH464" s="1"/>
      <c r="II464" s="1"/>
      <c r="IJ464" s="1"/>
      <c r="IK464" s="1"/>
      <c r="IL464" s="1"/>
      <c r="IM464" s="1"/>
      <c r="IN464" s="1"/>
      <c r="IO464" s="1"/>
      <c r="IP464" s="1"/>
      <c r="IQ464" s="1"/>
      <c r="IR464" s="1"/>
      <c r="IS464" s="1"/>
      <c r="IT464" s="1"/>
      <c r="IU464" s="1"/>
      <c r="IV464" s="1"/>
      <c r="IW464" s="1"/>
      <c r="IX464" s="1"/>
      <c r="IY464" s="1"/>
      <c r="IZ464" s="1"/>
      <c r="JA464" s="1"/>
      <c r="JB464" s="1"/>
      <c r="JC464" s="1"/>
      <c r="JD464" s="1"/>
    </row>
    <row r="465" spans="1:264" s="546" customFormat="1" x14ac:dyDescent="0.2">
      <c r="A465" s="544" t="s">
        <v>407</v>
      </c>
      <c r="B465" s="545"/>
      <c r="BH465" s="420">
        <f>BH389-BH365</f>
        <v>443782</v>
      </c>
      <c r="BI465" s="420">
        <f>BI389-BI365</f>
        <v>453857</v>
      </c>
      <c r="BJ465" s="420">
        <f>BJ389-BJ365</f>
        <v>453857</v>
      </c>
      <c r="BK465" s="547"/>
      <c r="BL465" s="420">
        <f>BL389-BL365</f>
        <v>474852</v>
      </c>
      <c r="BM465" s="420">
        <f>BM389-BM365</f>
        <v>488391</v>
      </c>
      <c r="BN465" s="420">
        <f>BN389-BN365</f>
        <v>488391</v>
      </c>
      <c r="BO465" s="545"/>
      <c r="BP465" s="420">
        <f>BP389-BP365</f>
        <v>513496</v>
      </c>
      <c r="BQ465" s="420">
        <f>BQ389-BQ365</f>
        <v>530255</v>
      </c>
      <c r="BR465" s="420">
        <f>BR389-BR365</f>
        <v>530255</v>
      </c>
      <c r="BT465" s="420">
        <f>BT389-BT365</f>
        <v>548559</v>
      </c>
      <c r="BU465" s="420">
        <f>BU389-BU365</f>
        <v>570921</v>
      </c>
      <c r="BV465" s="420">
        <f>BV389-BV365</f>
        <v>570921</v>
      </c>
      <c r="BX465" s="420">
        <f>BX389-BX365</f>
        <v>593076</v>
      </c>
      <c r="BY465" s="420">
        <f>BY389-BY365</f>
        <v>610480</v>
      </c>
      <c r="BZ465" s="420">
        <f>BZ389-BZ365</f>
        <v>610480</v>
      </c>
      <c r="CB465" s="420">
        <f>CB389-CB365-CB457</f>
        <v>615131</v>
      </c>
      <c r="CC465" s="420">
        <f>CC389-CC365-CC457</f>
        <v>609760</v>
      </c>
      <c r="CD465" s="420">
        <f>CD389-CD365-CD457</f>
        <v>609760</v>
      </c>
      <c r="CF465" s="420">
        <f>CF389-CF365-CF457</f>
        <v>622392</v>
      </c>
      <c r="CG465" s="420">
        <f>CG389-CG365-CG457</f>
        <v>621854</v>
      </c>
      <c r="CH465" s="420">
        <f>CH389-CH365-CH457</f>
        <v>621854</v>
      </c>
      <c r="CJ465" s="420">
        <f>CJ389-CJ365-CJ457</f>
        <v>642478</v>
      </c>
      <c r="CK465" s="420">
        <f>CK389-CK365-CK457</f>
        <v>685122</v>
      </c>
      <c r="CL465" s="420">
        <f>CL389-CL365-CL457</f>
        <v>685122</v>
      </c>
      <c r="CN465" s="420">
        <f>CN389-CN365-CN457</f>
        <v>721347</v>
      </c>
      <c r="CO465" s="420">
        <f>CO389-CO365-CO457</f>
        <v>747063</v>
      </c>
      <c r="CP465" s="420">
        <f>CP389-CP365-CP457</f>
        <v>747063</v>
      </c>
      <c r="CR465" s="420">
        <f>CR389-CR365-CR457</f>
        <v>790967</v>
      </c>
      <c r="CS465" s="420">
        <f>CS389-CS365-CS457</f>
        <v>824422</v>
      </c>
      <c r="CT465" s="420">
        <f>CT389-CT365-CT457</f>
        <v>824422</v>
      </c>
      <c r="CV465" s="420">
        <f>CV389-CV365-CV457</f>
        <v>846613</v>
      </c>
      <c r="CW465" s="420">
        <f>CW389-CW365-CW457</f>
        <v>864485</v>
      </c>
      <c r="CX465" s="420">
        <f>CX389-CX365-CX457</f>
        <v>864485</v>
      </c>
      <c r="CZ465" s="420">
        <f>CZ389-CZ365-CZ457</f>
        <v>870315</v>
      </c>
      <c r="DA465" s="420">
        <f>DA389-DA365-DA457</f>
        <v>879142</v>
      </c>
      <c r="DB465" s="420">
        <f>DB389-DB365-DB457</f>
        <v>879142</v>
      </c>
      <c r="DD465" s="420">
        <f>DD389-DD365-DD457</f>
        <v>896927</v>
      </c>
      <c r="DE465" s="420">
        <f>DE389-DE365-DE457</f>
        <v>930059</v>
      </c>
      <c r="DF465" s="420">
        <f>DF389-DF365-DF457</f>
        <v>930059</v>
      </c>
      <c r="DH465" s="420">
        <f>DH389-DH365-DH457</f>
        <v>970837</v>
      </c>
      <c r="DI465" s="420">
        <f>DI389-DI365-DI457</f>
        <v>993031.1353333334</v>
      </c>
      <c r="DJ465" s="420">
        <f>DJ389-DJ365-DJ457</f>
        <v>993031.1353333334</v>
      </c>
      <c r="DL465" s="420">
        <f>DL389-DL365-DL457</f>
        <v>1016814.5071547437</v>
      </c>
      <c r="DM465" s="420">
        <f>DM389-DM365-DM457</f>
        <v>1041388.9479520083</v>
      </c>
      <c r="DN465" s="420">
        <f>DN389-DN365-DN457</f>
        <v>1041388.9479520083</v>
      </c>
      <c r="DP465" s="420">
        <f>DP389-DP365-DP457</f>
        <v>1066260.280513105</v>
      </c>
      <c r="DQ465" s="420">
        <f>DQ389-DQ365-DQ457</f>
        <v>1092131.1644142151</v>
      </c>
      <c r="DR465" s="420">
        <f>DR389-DR365-DR457</f>
        <v>1092131.1644142151</v>
      </c>
      <c r="DT465" s="548"/>
      <c r="DU465" s="548"/>
      <c r="DV465" s="548"/>
      <c r="DW465" s="548"/>
      <c r="DX465" s="548"/>
      <c r="DY465" s="548"/>
      <c r="DZ465" s="548"/>
      <c r="EA465" s="548"/>
      <c r="EB465" s="548"/>
      <c r="EC465" s="548"/>
      <c r="ED465" s="548"/>
      <c r="EE465" s="548"/>
      <c r="EF465" s="548"/>
      <c r="EG465" s="548"/>
      <c r="EH465" s="548"/>
      <c r="EI465" s="548"/>
      <c r="EJ465" s="548"/>
      <c r="EK465" s="548"/>
      <c r="EL465" s="548"/>
      <c r="EM465" s="548"/>
      <c r="EN465" s="548"/>
      <c r="EO465" s="548"/>
      <c r="EP465" s="548"/>
      <c r="EQ465" s="548"/>
      <c r="ER465" s="548"/>
      <c r="ES465" s="548"/>
      <c r="ET465" s="548"/>
      <c r="EU465" s="548"/>
      <c r="EV465" s="548"/>
      <c r="EW465" s="548"/>
      <c r="EX465" s="548"/>
      <c r="EY465" s="548"/>
      <c r="EZ465" s="548"/>
      <c r="FA465" s="548"/>
      <c r="FB465" s="548"/>
      <c r="FC465" s="548"/>
      <c r="FD465" s="548"/>
      <c r="FE465" s="548"/>
      <c r="FF465" s="548"/>
      <c r="FG465" s="548"/>
      <c r="FH465" s="548"/>
      <c r="FI465" s="548"/>
      <c r="FJ465" s="548"/>
      <c r="FK465" s="548"/>
      <c r="FL465" s="548"/>
      <c r="FM465" s="548"/>
      <c r="FN465" s="548"/>
      <c r="FO465" s="548"/>
      <c r="FP465" s="548"/>
      <c r="FQ465" s="548"/>
      <c r="FR465" s="548"/>
      <c r="FS465" s="548"/>
      <c r="FT465" s="548"/>
      <c r="FU465" s="548"/>
      <c r="FV465" s="548"/>
      <c r="FW465" s="548"/>
      <c r="FX465" s="548"/>
      <c r="FY465" s="548"/>
      <c r="FZ465" s="548"/>
      <c r="GA465" s="548"/>
      <c r="GB465" s="548"/>
      <c r="GC465" s="548"/>
      <c r="GD465" s="548"/>
      <c r="GE465" s="548"/>
      <c r="GF465" s="548"/>
      <c r="GG465" s="548"/>
      <c r="GH465" s="548"/>
      <c r="GI465" s="548"/>
      <c r="GJ465" s="548"/>
      <c r="GK465" s="548"/>
      <c r="GL465" s="548"/>
      <c r="GM465" s="548"/>
      <c r="GN465" s="548"/>
      <c r="GO465" s="548"/>
      <c r="GP465" s="548"/>
      <c r="GQ465" s="548"/>
      <c r="GR465" s="548"/>
      <c r="GS465" s="548"/>
      <c r="GT465" s="548"/>
      <c r="GU465" s="548"/>
      <c r="GV465" s="548"/>
      <c r="GW465" s="548"/>
      <c r="GX465" s="548"/>
      <c r="GY465" s="548"/>
      <c r="GZ465" s="548"/>
      <c r="HA465" s="548"/>
      <c r="HB465" s="548"/>
      <c r="HC465" s="548"/>
      <c r="HD465" s="548"/>
      <c r="HE465" s="548"/>
      <c r="HF465" s="548"/>
      <c r="HG465" s="548"/>
      <c r="HH465" s="548"/>
      <c r="HI465" s="548"/>
      <c r="HJ465" s="548"/>
      <c r="HK465" s="548"/>
      <c r="HL465" s="548"/>
      <c r="HM465" s="548"/>
      <c r="HN465" s="548"/>
      <c r="HO465" s="548"/>
      <c r="HP465" s="548"/>
      <c r="HQ465" s="548"/>
      <c r="HR465" s="548"/>
      <c r="HS465" s="548"/>
      <c r="HT465" s="548"/>
      <c r="HU465" s="548"/>
      <c r="HV465" s="548"/>
      <c r="HW465" s="548"/>
      <c r="HX465" s="548"/>
      <c r="HY465" s="548"/>
      <c r="HZ465" s="548"/>
      <c r="IA465" s="548"/>
      <c r="IB465" s="548"/>
      <c r="IC465" s="548"/>
      <c r="ID465" s="548"/>
      <c r="IE465" s="548"/>
      <c r="IF465" s="548"/>
      <c r="IG465" s="548"/>
      <c r="IH465" s="548"/>
      <c r="II465" s="548"/>
      <c r="IJ465" s="548"/>
      <c r="IK465" s="548"/>
      <c r="IL465" s="548"/>
      <c r="IM465" s="548"/>
      <c r="IN465" s="548"/>
      <c r="IO465" s="548"/>
      <c r="IP465" s="548"/>
      <c r="IQ465" s="548"/>
      <c r="IR465" s="548"/>
      <c r="IS465" s="548"/>
      <c r="IT465" s="548"/>
      <c r="IU465" s="548"/>
      <c r="IV465" s="548"/>
      <c r="IW465" s="548"/>
      <c r="IX465" s="548"/>
      <c r="IY465" s="548"/>
      <c r="IZ465" s="548"/>
      <c r="JA465" s="548"/>
      <c r="JB465" s="548"/>
      <c r="JC465" s="548"/>
      <c r="JD465" s="548"/>
    </row>
    <row r="466" spans="1:264" s="411" customFormat="1" x14ac:dyDescent="0.2">
      <c r="A466" s="347" t="s">
        <v>408</v>
      </c>
      <c r="B466" s="423"/>
      <c r="BH466" s="351">
        <f>BH392</f>
        <v>119284</v>
      </c>
      <c r="BI466" s="351">
        <f>BI392</f>
        <v>132808</v>
      </c>
      <c r="BJ466" s="351">
        <f>BJ392</f>
        <v>132808</v>
      </c>
      <c r="BK466" s="348"/>
      <c r="BL466" s="351">
        <f>BL392</f>
        <v>142675</v>
      </c>
      <c r="BM466" s="351">
        <f>BM392</f>
        <v>142219</v>
      </c>
      <c r="BN466" s="351">
        <f>BN392</f>
        <v>142219</v>
      </c>
      <c r="BO466" s="423"/>
      <c r="BP466" s="351">
        <f>BP392</f>
        <v>153249</v>
      </c>
      <c r="BQ466" s="351">
        <f>BQ392</f>
        <v>154429</v>
      </c>
      <c r="BR466" s="351">
        <f>BR392</f>
        <v>154429</v>
      </c>
      <c r="BT466" s="351">
        <f>BT392</f>
        <v>160798</v>
      </c>
      <c r="BU466" s="351">
        <f>BU392</f>
        <v>161284</v>
      </c>
      <c r="BV466" s="351">
        <f>BV392</f>
        <v>161284</v>
      </c>
      <c r="BX466" s="351">
        <f>BX392</f>
        <v>175583</v>
      </c>
      <c r="BY466" s="351">
        <f>BY392</f>
        <v>167571</v>
      </c>
      <c r="BZ466" s="351">
        <f>BZ392</f>
        <v>167571</v>
      </c>
      <c r="CB466" s="351">
        <f>CB392</f>
        <v>166510</v>
      </c>
      <c r="CC466" s="351">
        <f>CC392</f>
        <v>172294</v>
      </c>
      <c r="CD466" s="351">
        <f>CD392</f>
        <v>172294</v>
      </c>
      <c r="CF466" s="479">
        <f>CF392</f>
        <v>168904</v>
      </c>
      <c r="CG466" s="351">
        <f>CG392</f>
        <v>164022</v>
      </c>
      <c r="CH466" s="351">
        <f>CH392</f>
        <v>164022</v>
      </c>
      <c r="CJ466" s="479">
        <f>CJ392</f>
        <v>153327</v>
      </c>
      <c r="CK466" s="351">
        <f>CK392</f>
        <v>142503</v>
      </c>
      <c r="CL466" s="351">
        <f>CL392</f>
        <v>142503</v>
      </c>
      <c r="CN466" s="479">
        <f>CN392</f>
        <v>122548</v>
      </c>
      <c r="CO466" s="351">
        <f>CO392</f>
        <v>103003</v>
      </c>
      <c r="CP466" s="351">
        <f>CP392</f>
        <v>103003</v>
      </c>
      <c r="CR466" s="479">
        <f>CR392</f>
        <v>117466</v>
      </c>
      <c r="CS466" s="351">
        <f>CS392</f>
        <v>116902</v>
      </c>
      <c r="CT466" s="351">
        <f>CT392</f>
        <v>116902</v>
      </c>
      <c r="CV466" s="479">
        <f>CV392</f>
        <v>118843</v>
      </c>
      <c r="CW466" s="351">
        <f>CW392</f>
        <v>122267</v>
      </c>
      <c r="CX466" s="351">
        <f>CX392</f>
        <v>122267</v>
      </c>
      <c r="CZ466" s="479">
        <f>CZ392</f>
        <v>139275</v>
      </c>
      <c r="DA466" s="351">
        <f>DA392</f>
        <v>144530</v>
      </c>
      <c r="DB466" s="351">
        <f>DB392</f>
        <v>144530</v>
      </c>
      <c r="DD466" s="479">
        <f>DD392</f>
        <v>167125</v>
      </c>
      <c r="DE466" s="351">
        <f>DE392</f>
        <v>170509</v>
      </c>
      <c r="DF466" s="351">
        <f>DF392</f>
        <v>170509</v>
      </c>
      <c r="DH466" s="479">
        <f>DH392</f>
        <v>169499</v>
      </c>
      <c r="DI466" s="351">
        <f ca="1">DI392</f>
        <v>188289.94000105123</v>
      </c>
      <c r="DJ466" s="351">
        <f ca="1">DJ392</f>
        <v>188289.94000105123</v>
      </c>
      <c r="DL466" s="351">
        <f ca="1">DL392</f>
        <v>200405.49281213537</v>
      </c>
      <c r="DM466" s="351">
        <f ca="1">DM392</f>
        <v>214797.86231507274</v>
      </c>
      <c r="DN466" s="351">
        <f ca="1">DN392</f>
        <v>214797.86231507274</v>
      </c>
      <c r="DP466" s="351">
        <f ca="1">DP392</f>
        <v>220029.67208531225</v>
      </c>
      <c r="DQ466" s="351">
        <f ca="1">DQ392</f>
        <v>226841.48530978838</v>
      </c>
      <c r="DR466" s="351">
        <f ca="1">DR392</f>
        <v>226841.48530978838</v>
      </c>
      <c r="DT466" s="1"/>
      <c r="DU466" s="1"/>
      <c r="DV466" s="1"/>
      <c r="DW466" s="1"/>
      <c r="DX466" s="1"/>
      <c r="DY466" s="1"/>
      <c r="DZ466" s="1"/>
      <c r="EA466" s="1"/>
      <c r="EB466" s="1"/>
      <c r="EC466" s="1"/>
      <c r="ED466" s="1"/>
      <c r="EE466" s="1"/>
      <c r="EF466" s="1"/>
      <c r="EG466" s="1"/>
      <c r="EH466" s="1"/>
      <c r="EI466" s="1"/>
      <c r="EJ466" s="1"/>
      <c r="EK466" s="1"/>
      <c r="EL466" s="1"/>
      <c r="EM466" s="1"/>
      <c r="EN466" s="1"/>
      <c r="EO466" s="1"/>
      <c r="EP466" s="1"/>
      <c r="EQ466" s="1"/>
      <c r="ER466" s="1"/>
      <c r="ES466" s="1"/>
      <c r="ET466" s="1"/>
      <c r="EU466" s="1"/>
      <c r="EV466" s="1"/>
      <c r="EW466" s="1"/>
      <c r="EX466" s="1"/>
      <c r="EY466" s="1"/>
      <c r="EZ466" s="1"/>
      <c r="FA466" s="1"/>
      <c r="FB466" s="1"/>
      <c r="FC466" s="1"/>
      <c r="FD466" s="1"/>
      <c r="FE466" s="1"/>
      <c r="FF466" s="1"/>
      <c r="FG466" s="1"/>
      <c r="FH466" s="1"/>
      <c r="FI466" s="1"/>
      <c r="FJ466" s="1"/>
      <c r="FK466" s="1"/>
      <c r="FL466" s="1"/>
      <c r="FM466" s="1"/>
      <c r="FN466" s="1"/>
      <c r="FO466" s="1"/>
      <c r="FP466" s="1"/>
      <c r="FQ466" s="1"/>
      <c r="FR466" s="1"/>
      <c r="FS466" s="1"/>
      <c r="FT466" s="1"/>
      <c r="FU466" s="1"/>
      <c r="FV466" s="1"/>
      <c r="FW466" s="1"/>
      <c r="FX466" s="1"/>
      <c r="FY466" s="1"/>
      <c r="FZ466" s="1"/>
      <c r="GA466" s="1"/>
      <c r="GB466" s="1"/>
      <c r="GC466" s="1"/>
      <c r="GD466" s="1"/>
      <c r="GE466" s="1"/>
      <c r="GF466" s="1"/>
      <c r="GG466" s="1"/>
      <c r="GH466" s="1"/>
      <c r="GI466" s="1"/>
      <c r="GJ466" s="1"/>
      <c r="GK466" s="1"/>
      <c r="GL466" s="1"/>
      <c r="GM466" s="1"/>
      <c r="GN466" s="1"/>
      <c r="GO466" s="1"/>
      <c r="GP466" s="1"/>
      <c r="GQ466" s="1"/>
      <c r="GR466" s="1"/>
      <c r="GS466" s="1"/>
      <c r="GT466" s="1"/>
      <c r="GU466" s="1"/>
      <c r="GV466" s="1"/>
      <c r="GW466" s="1"/>
      <c r="GX466" s="1"/>
      <c r="GY466" s="1"/>
      <c r="GZ466" s="1"/>
      <c r="HA466" s="1"/>
      <c r="HB466" s="1"/>
      <c r="HC466" s="1"/>
      <c r="HD466" s="1"/>
      <c r="HE466" s="1"/>
      <c r="HF466" s="1"/>
      <c r="HG466" s="1"/>
      <c r="HH466" s="1"/>
      <c r="HI466" s="1"/>
      <c r="HJ466" s="1"/>
      <c r="HK466" s="1"/>
      <c r="HL466" s="1"/>
      <c r="HM466" s="1"/>
      <c r="HN466" s="1"/>
      <c r="HO466" s="1"/>
      <c r="HP466" s="1"/>
      <c r="HQ466" s="1"/>
      <c r="HR466" s="1"/>
      <c r="HS466" s="1"/>
      <c r="HT466" s="1"/>
      <c r="HU466" s="1"/>
      <c r="HV466" s="1"/>
      <c r="HW466" s="1"/>
      <c r="HX466" s="1"/>
      <c r="HY466" s="1"/>
      <c r="HZ466" s="1"/>
      <c r="IA466" s="1"/>
      <c r="IB466" s="1"/>
      <c r="IC466" s="1"/>
      <c r="ID466" s="1"/>
      <c r="IE466" s="1"/>
      <c r="IF466" s="1"/>
      <c r="IG466" s="1"/>
      <c r="IH466" s="1"/>
      <c r="II466" s="1"/>
      <c r="IJ466" s="1"/>
      <c r="IK466" s="1"/>
      <c r="IL466" s="1"/>
      <c r="IM466" s="1"/>
      <c r="IN466" s="1"/>
      <c r="IO466" s="1"/>
      <c r="IP466" s="1"/>
      <c r="IQ466" s="1"/>
      <c r="IR466" s="1"/>
      <c r="IS466" s="1"/>
      <c r="IT466" s="1"/>
      <c r="IU466" s="1"/>
      <c r="IV466" s="1"/>
      <c r="IW466" s="1"/>
      <c r="IX466" s="1"/>
      <c r="IY466" s="1"/>
      <c r="IZ466" s="1"/>
      <c r="JA466" s="1"/>
      <c r="JB466" s="1"/>
      <c r="JC466" s="1"/>
      <c r="JD466" s="1"/>
    </row>
    <row r="467" spans="1:264" s="411" customFormat="1" x14ac:dyDescent="0.2">
      <c r="A467" s="347" t="s">
        <v>409</v>
      </c>
      <c r="B467" s="423"/>
      <c r="BH467" s="351">
        <f>BH394</f>
        <v>9827</v>
      </c>
      <c r="BI467" s="351">
        <f>BI394</f>
        <v>9687</v>
      </c>
      <c r="BJ467" s="351">
        <f>BJ394</f>
        <v>9687</v>
      </c>
      <c r="BK467" s="348"/>
      <c r="BL467" s="351">
        <f>BL394</f>
        <v>9383</v>
      </c>
      <c r="BM467" s="351">
        <f>BM394</f>
        <v>9594</v>
      </c>
      <c r="BN467" s="351">
        <f>BN394</f>
        <v>9594</v>
      </c>
      <c r="BO467" s="423"/>
      <c r="BP467" s="351">
        <f>BP394</f>
        <v>11570</v>
      </c>
      <c r="BQ467" s="351">
        <f>BQ394</f>
        <v>12824</v>
      </c>
      <c r="BR467" s="351">
        <f>BR394</f>
        <v>12824</v>
      </c>
      <c r="BT467" s="351">
        <f>BT394</f>
        <v>14399</v>
      </c>
      <c r="BU467" s="351">
        <f>BU394</f>
        <v>15544</v>
      </c>
      <c r="BV467" s="351">
        <f>BV394</f>
        <v>15544</v>
      </c>
      <c r="BX467" s="351">
        <f>BX394</f>
        <v>16997</v>
      </c>
      <c r="BY467" s="351">
        <f>BY394</f>
        <v>18726</v>
      </c>
      <c r="BZ467" s="351">
        <f>BZ394</f>
        <v>18726</v>
      </c>
      <c r="CB467" s="351">
        <f>CB394</f>
        <v>20184</v>
      </c>
      <c r="CC467" s="351">
        <f>CC394</f>
        <v>22992</v>
      </c>
      <c r="CD467" s="351">
        <f>CD394</f>
        <v>22992</v>
      </c>
      <c r="CF467" s="479">
        <f>CF394</f>
        <v>22831</v>
      </c>
      <c r="CG467" s="351">
        <f>CG394</f>
        <v>22966</v>
      </c>
      <c r="CH467" s="351">
        <f>CH394</f>
        <v>22966</v>
      </c>
      <c r="CJ467" s="479">
        <f>CJ394</f>
        <v>25425</v>
      </c>
      <c r="CK467" s="351">
        <f>CK394</f>
        <v>27357</v>
      </c>
      <c r="CL467" s="351">
        <f>CL394</f>
        <v>27357</v>
      </c>
      <c r="CN467" s="479">
        <f>CN394</f>
        <v>27608</v>
      </c>
      <c r="CO467" s="351">
        <f>CO394</f>
        <v>29360</v>
      </c>
      <c r="CP467" s="351">
        <f>CP394</f>
        <v>29360</v>
      </c>
      <c r="CR467" s="479">
        <f>CR394</f>
        <v>28158</v>
      </c>
      <c r="CS467" s="351">
        <f>CS394</f>
        <v>28017</v>
      </c>
      <c r="CT467" s="351">
        <f>CT394</f>
        <v>28017</v>
      </c>
      <c r="CV467" s="479">
        <f>CV394</f>
        <v>28896</v>
      </c>
      <c r="CW467" s="351">
        <f>CW394</f>
        <v>32598</v>
      </c>
      <c r="CX467" s="351">
        <f>CX394</f>
        <v>32598</v>
      </c>
      <c r="CZ467" s="479">
        <f>CZ394</f>
        <v>34111</v>
      </c>
      <c r="DA467" s="351">
        <f>DA394</f>
        <v>35938</v>
      </c>
      <c r="DB467" s="351">
        <f>DB394</f>
        <v>35938</v>
      </c>
      <c r="DD467" s="479">
        <f>DD394</f>
        <v>36722</v>
      </c>
      <c r="DE467" s="351">
        <f>DE394</f>
        <v>38973</v>
      </c>
      <c r="DF467" s="351">
        <f>DF394</f>
        <v>38973</v>
      </c>
      <c r="DH467" s="479">
        <f>DH394</f>
        <v>37939</v>
      </c>
      <c r="DI467" s="351">
        <f>DI394</f>
        <v>39261.830702921914</v>
      </c>
      <c r="DJ467" s="351">
        <f>DJ394</f>
        <v>39261.830702921914</v>
      </c>
      <c r="DL467" s="351">
        <f>DL394</f>
        <v>40413.548629765115</v>
      </c>
      <c r="DM467" s="351">
        <f>DM394</f>
        <v>41670.816061605969</v>
      </c>
      <c r="DN467" s="351">
        <f>DN394</f>
        <v>41670.816061605969</v>
      </c>
      <c r="DP467" s="351">
        <f>DP394</f>
        <v>42645.534472077859</v>
      </c>
      <c r="DQ467" s="351">
        <f>DQ394</f>
        <v>43716.820104824059</v>
      </c>
      <c r="DR467" s="351">
        <f>DR394</f>
        <v>43716.820104824059</v>
      </c>
      <c r="DT467" s="1"/>
      <c r="DU467" s="1"/>
      <c r="DV467" s="1"/>
      <c r="DW467" s="1"/>
      <c r="DX467" s="1"/>
      <c r="DY467" s="1"/>
      <c r="DZ467" s="1"/>
      <c r="EA467" s="1"/>
      <c r="EB467" s="1"/>
      <c r="EC467" s="1"/>
      <c r="ED467" s="1"/>
      <c r="EE467" s="1"/>
      <c r="EF467" s="1"/>
      <c r="EG467" s="1"/>
      <c r="EH467" s="1"/>
      <c r="EI467" s="1"/>
      <c r="EJ467" s="1"/>
      <c r="EK467" s="1"/>
      <c r="EL467" s="1"/>
      <c r="EM467" s="1"/>
      <c r="EN467" s="1"/>
      <c r="EO467" s="1"/>
      <c r="EP467" s="1"/>
      <c r="EQ467" s="1"/>
      <c r="ER467" s="1"/>
      <c r="ES467" s="1"/>
      <c r="ET467" s="1"/>
      <c r="EU467" s="1"/>
      <c r="EV467" s="1"/>
      <c r="EW467" s="1"/>
      <c r="EX467" s="1"/>
      <c r="EY467" s="1"/>
      <c r="EZ467" s="1"/>
      <c r="FA467" s="1"/>
      <c r="FB467" s="1"/>
      <c r="FC467" s="1"/>
      <c r="FD467" s="1"/>
      <c r="FE467" s="1"/>
      <c r="FF467" s="1"/>
      <c r="FG467" s="1"/>
      <c r="FH467" s="1"/>
      <c r="FI467" s="1"/>
      <c r="FJ467" s="1"/>
      <c r="FK467" s="1"/>
      <c r="FL467" s="1"/>
      <c r="FM467" s="1"/>
      <c r="FN467" s="1"/>
      <c r="FO467" s="1"/>
      <c r="FP467" s="1"/>
      <c r="FQ467" s="1"/>
      <c r="FR467" s="1"/>
      <c r="FS467" s="1"/>
      <c r="FT467" s="1"/>
      <c r="FU467" s="1"/>
      <c r="FV467" s="1"/>
      <c r="FW467" s="1"/>
      <c r="FX467" s="1"/>
      <c r="FY467" s="1"/>
      <c r="FZ467" s="1"/>
      <c r="GA467" s="1"/>
      <c r="GB467" s="1"/>
      <c r="GC467" s="1"/>
      <c r="GD467" s="1"/>
      <c r="GE467" s="1"/>
      <c r="GF467" s="1"/>
      <c r="GG467" s="1"/>
      <c r="GH467" s="1"/>
      <c r="GI467" s="1"/>
      <c r="GJ467" s="1"/>
      <c r="GK467" s="1"/>
      <c r="GL467" s="1"/>
      <c r="GM467" s="1"/>
      <c r="GN467" s="1"/>
      <c r="GO467" s="1"/>
      <c r="GP467" s="1"/>
      <c r="GQ467" s="1"/>
      <c r="GR467" s="1"/>
      <c r="GS467" s="1"/>
      <c r="GT467" s="1"/>
      <c r="GU467" s="1"/>
      <c r="GV467" s="1"/>
      <c r="GW467" s="1"/>
      <c r="GX467" s="1"/>
      <c r="GY467" s="1"/>
      <c r="GZ467" s="1"/>
      <c r="HA467" s="1"/>
      <c r="HB467" s="1"/>
      <c r="HC467" s="1"/>
      <c r="HD467" s="1"/>
      <c r="HE467" s="1"/>
      <c r="HF467" s="1"/>
      <c r="HG467" s="1"/>
      <c r="HH467" s="1"/>
      <c r="HI467" s="1"/>
      <c r="HJ467" s="1"/>
      <c r="HK467" s="1"/>
      <c r="HL467" s="1"/>
      <c r="HM467" s="1"/>
      <c r="HN467" s="1"/>
      <c r="HO467" s="1"/>
      <c r="HP467" s="1"/>
      <c r="HQ467" s="1"/>
      <c r="HR467" s="1"/>
      <c r="HS467" s="1"/>
      <c r="HT467" s="1"/>
      <c r="HU467" s="1"/>
      <c r="HV467" s="1"/>
      <c r="HW467" s="1"/>
      <c r="HX467" s="1"/>
      <c r="HY467" s="1"/>
      <c r="HZ467" s="1"/>
      <c r="IA467" s="1"/>
      <c r="IB467" s="1"/>
      <c r="IC467" s="1"/>
      <c r="ID467" s="1"/>
      <c r="IE467" s="1"/>
      <c r="IF467" s="1"/>
      <c r="IG467" s="1"/>
      <c r="IH467" s="1"/>
      <c r="II467" s="1"/>
      <c r="IJ467" s="1"/>
      <c r="IK467" s="1"/>
      <c r="IL467" s="1"/>
      <c r="IM467" s="1"/>
      <c r="IN467" s="1"/>
      <c r="IO467" s="1"/>
      <c r="IP467" s="1"/>
      <c r="IQ467" s="1"/>
      <c r="IR467" s="1"/>
      <c r="IS467" s="1"/>
      <c r="IT467" s="1"/>
      <c r="IU467" s="1"/>
      <c r="IV467" s="1"/>
      <c r="IW467" s="1"/>
      <c r="IX467" s="1"/>
      <c r="IY467" s="1"/>
      <c r="IZ467" s="1"/>
      <c r="JA467" s="1"/>
      <c r="JB467" s="1"/>
      <c r="JC467" s="1"/>
      <c r="JD467" s="1"/>
    </row>
    <row r="468" spans="1:264" s="411" customFormat="1" x14ac:dyDescent="0.2">
      <c r="A468" s="347" t="s">
        <v>410</v>
      </c>
      <c r="B468" s="423"/>
      <c r="BH468" s="351">
        <f>BH947</f>
        <v>43348</v>
      </c>
      <c r="BI468" s="351">
        <f>BI947</f>
        <v>45537</v>
      </c>
      <c r="BJ468" s="351">
        <f>BJ947</f>
        <v>45537</v>
      </c>
      <c r="BK468" s="348"/>
      <c r="BL468" s="351">
        <f>BL947</f>
        <v>47037</v>
      </c>
      <c r="BM468" s="351">
        <f>BM947</f>
        <v>49348</v>
      </c>
      <c r="BN468" s="351">
        <f>BN947</f>
        <v>49348</v>
      </c>
      <c r="BO468" s="423"/>
      <c r="BP468" s="351">
        <f>BP947</f>
        <v>51031</v>
      </c>
      <c r="BQ468" s="351">
        <f>BQ947</f>
        <v>52993</v>
      </c>
      <c r="BR468" s="351">
        <f>BR947</f>
        <v>52993</v>
      </c>
      <c r="BT468" s="351">
        <f>BT947</f>
        <v>59664</v>
      </c>
      <c r="BU468" s="351">
        <f>BU947</f>
        <v>60564</v>
      </c>
      <c r="BV468" s="351">
        <f>BV947</f>
        <v>60564</v>
      </c>
      <c r="BX468" s="351">
        <f>BX947</f>
        <v>61756</v>
      </c>
      <c r="BY468" s="351">
        <f>BY947</f>
        <v>63660</v>
      </c>
      <c r="BZ468" s="351">
        <f>BZ947</f>
        <v>63660</v>
      </c>
      <c r="CB468" s="351">
        <f>CB947</f>
        <v>66091</v>
      </c>
      <c r="CC468" s="351">
        <f>CC947</f>
        <v>67860</v>
      </c>
      <c r="CD468" s="351">
        <f>CD947</f>
        <v>67860</v>
      </c>
      <c r="CF468" s="479">
        <f>CF947</f>
        <v>68578</v>
      </c>
      <c r="CG468" s="351">
        <f>CG947</f>
        <v>69649</v>
      </c>
      <c r="CH468" s="351">
        <f>CH947</f>
        <v>69649</v>
      </c>
      <c r="CJ468" s="479">
        <f>CJ947</f>
        <v>71153</v>
      </c>
      <c r="CK468" s="351">
        <f>CK947</f>
        <v>71938</v>
      </c>
      <c r="CL468" s="351">
        <f>CL947</f>
        <v>71938</v>
      </c>
      <c r="CN468" s="479">
        <f>CN947</f>
        <v>74920</v>
      </c>
      <c r="CO468" s="351">
        <f>CO947</f>
        <v>78718</v>
      </c>
      <c r="CP468" s="351">
        <f>CP947</f>
        <v>78718</v>
      </c>
      <c r="CR468" s="479">
        <f>CR947</f>
        <v>74663</v>
      </c>
      <c r="CS468" s="351">
        <f>CS947</f>
        <v>72838</v>
      </c>
      <c r="CT468" s="351">
        <f>CT947</f>
        <v>72838</v>
      </c>
      <c r="CV468" s="479">
        <f>CV947</f>
        <v>72321</v>
      </c>
      <c r="CW468" s="351">
        <f>CW947</f>
        <v>71633</v>
      </c>
      <c r="CX468" s="351">
        <f>CX947</f>
        <v>71633</v>
      </c>
      <c r="CZ468" s="479">
        <f>CZ947</f>
        <v>72839</v>
      </c>
      <c r="DA468" s="351">
        <f>DA947</f>
        <v>73088</v>
      </c>
      <c r="DB468" s="351">
        <f>DB947</f>
        <v>73088</v>
      </c>
      <c r="DD468" s="479">
        <f>DD947</f>
        <v>75264</v>
      </c>
      <c r="DE468" s="351">
        <f>DE947</f>
        <v>78776</v>
      </c>
      <c r="DF468" s="351">
        <f>DF947</f>
        <v>78776</v>
      </c>
      <c r="DH468" s="479">
        <f>DH947</f>
        <v>77232</v>
      </c>
      <c r="DI468" s="351">
        <f>DI947</f>
        <v>78924.016849578707</v>
      </c>
      <c r="DJ468" s="351">
        <f>DJ947</f>
        <v>78924.016849578707</v>
      </c>
      <c r="DL468" s="351">
        <f ca="1">DL947</f>
        <v>80170.057431028938</v>
      </c>
      <c r="DM468" s="351">
        <f ca="1">DM947</f>
        <v>81696.111297174299</v>
      </c>
      <c r="DN468" s="351">
        <f ca="1">DN947</f>
        <v>81696.111297174299</v>
      </c>
      <c r="DP468" s="351">
        <f ca="1">DP947</f>
        <v>82816.391055714426</v>
      </c>
      <c r="DQ468" s="351">
        <f ca="1">DQ947</f>
        <v>84425.659927121276</v>
      </c>
      <c r="DR468" s="351">
        <f ca="1">DR947</f>
        <v>84425.659927121276</v>
      </c>
      <c r="DT468" s="1"/>
      <c r="DU468" s="1"/>
      <c r="DV468" s="1"/>
      <c r="DW468" s="1"/>
      <c r="DX468" s="1"/>
      <c r="DY468" s="1"/>
      <c r="DZ468" s="1"/>
      <c r="EA468" s="1"/>
      <c r="EB468" s="1"/>
      <c r="EC468" s="1"/>
      <c r="ED468" s="1"/>
      <c r="EE468" s="1"/>
      <c r="EF468" s="1"/>
      <c r="EG468" s="1"/>
      <c r="EH468" s="1"/>
      <c r="EI468" s="1"/>
      <c r="EJ468" s="1"/>
      <c r="EK468" s="1"/>
      <c r="EL468" s="1"/>
      <c r="EM468" s="1"/>
      <c r="EN468" s="1"/>
      <c r="EO468" s="1"/>
      <c r="EP468" s="1"/>
      <c r="EQ468" s="1"/>
      <c r="ER468" s="1"/>
      <c r="ES468" s="1"/>
      <c r="ET468" s="1"/>
      <c r="EU468" s="1"/>
      <c r="EV468" s="1"/>
      <c r="EW468" s="1"/>
      <c r="EX468" s="1"/>
      <c r="EY468" s="1"/>
      <c r="EZ468" s="1"/>
      <c r="FA468" s="1"/>
      <c r="FB468" s="1"/>
      <c r="FC468" s="1"/>
      <c r="FD468" s="1"/>
      <c r="FE468" s="1"/>
      <c r="FF468" s="1"/>
      <c r="FG468" s="1"/>
      <c r="FH468" s="1"/>
      <c r="FI468" s="1"/>
      <c r="FJ468" s="1"/>
      <c r="FK468" s="1"/>
      <c r="FL468" s="1"/>
      <c r="FM468" s="1"/>
      <c r="FN468" s="1"/>
      <c r="FO468" s="1"/>
      <c r="FP468" s="1"/>
      <c r="FQ468" s="1"/>
      <c r="FR468" s="1"/>
      <c r="FS468" s="1"/>
      <c r="FT468" s="1"/>
      <c r="FU468" s="1"/>
      <c r="FV468" s="1"/>
      <c r="FW468" s="1"/>
      <c r="FX468" s="1"/>
      <c r="FY468" s="1"/>
      <c r="FZ468" s="1"/>
      <c r="GA468" s="1"/>
      <c r="GB468" s="1"/>
      <c r="GC468" s="1"/>
      <c r="GD468" s="1"/>
      <c r="GE468" s="1"/>
      <c r="GF468" s="1"/>
      <c r="GG468" s="1"/>
      <c r="GH468" s="1"/>
      <c r="GI468" s="1"/>
      <c r="GJ468" s="1"/>
      <c r="GK468" s="1"/>
      <c r="GL468" s="1"/>
      <c r="GM468" s="1"/>
      <c r="GN468" s="1"/>
      <c r="GO468" s="1"/>
      <c r="GP468" s="1"/>
      <c r="GQ468" s="1"/>
      <c r="GR468" s="1"/>
      <c r="GS468" s="1"/>
      <c r="GT468" s="1"/>
      <c r="GU468" s="1"/>
      <c r="GV468" s="1"/>
      <c r="GW468" s="1"/>
      <c r="GX468" s="1"/>
      <c r="GY468" s="1"/>
      <c r="GZ468" s="1"/>
      <c r="HA468" s="1"/>
      <c r="HB468" s="1"/>
      <c r="HC468" s="1"/>
      <c r="HD468" s="1"/>
      <c r="HE468" s="1"/>
      <c r="HF468" s="1"/>
      <c r="HG468" s="1"/>
      <c r="HH468" s="1"/>
      <c r="HI468" s="1"/>
      <c r="HJ468" s="1"/>
      <c r="HK468" s="1"/>
      <c r="HL468" s="1"/>
      <c r="HM468" s="1"/>
      <c r="HN468" s="1"/>
      <c r="HO468" s="1"/>
      <c r="HP468" s="1"/>
      <c r="HQ468" s="1"/>
      <c r="HR468" s="1"/>
      <c r="HS468" s="1"/>
      <c r="HT468" s="1"/>
      <c r="HU468" s="1"/>
      <c r="HV468" s="1"/>
      <c r="HW468" s="1"/>
      <c r="HX468" s="1"/>
      <c r="HY468" s="1"/>
      <c r="HZ468" s="1"/>
      <c r="IA468" s="1"/>
      <c r="IB468" s="1"/>
      <c r="IC468" s="1"/>
      <c r="ID468" s="1"/>
      <c r="IE468" s="1"/>
      <c r="IF468" s="1"/>
      <c r="IG468" s="1"/>
      <c r="IH468" s="1"/>
      <c r="II468" s="1"/>
      <c r="IJ468" s="1"/>
      <c r="IK468" s="1"/>
      <c r="IL468" s="1"/>
      <c r="IM468" s="1"/>
      <c r="IN468" s="1"/>
      <c r="IO468" s="1"/>
      <c r="IP468" s="1"/>
      <c r="IQ468" s="1"/>
      <c r="IR468" s="1"/>
      <c r="IS468" s="1"/>
      <c r="IT468" s="1"/>
      <c r="IU468" s="1"/>
      <c r="IV468" s="1"/>
      <c r="IW468" s="1"/>
      <c r="IX468" s="1"/>
      <c r="IY468" s="1"/>
      <c r="IZ468" s="1"/>
      <c r="JA468" s="1"/>
      <c r="JB468" s="1"/>
      <c r="JC468" s="1"/>
      <c r="JD468" s="1"/>
    </row>
    <row r="469" spans="1:264" s="546" customFormat="1" x14ac:dyDescent="0.2">
      <c r="A469" s="544" t="s">
        <v>411</v>
      </c>
      <c r="B469" s="545"/>
      <c r="BH469" s="420">
        <f>BH390+BH391+BH393+BH365</f>
        <v>44032</v>
      </c>
      <c r="BI469" s="420">
        <f>BI390+BI391+BI393+BI365</f>
        <v>47543</v>
      </c>
      <c r="BJ469" s="420">
        <f>BJ390+BJ391+BJ393+BJ365</f>
        <v>47543</v>
      </c>
      <c r="BK469" s="547"/>
      <c r="BL469" s="420">
        <f>BL390+BL391+BL393+BL365</f>
        <v>53347</v>
      </c>
      <c r="BM469" s="420">
        <f>BM390+BM391+BM393+BM365</f>
        <v>50335</v>
      </c>
      <c r="BN469" s="420">
        <f>BN390+BN391+BN393+BN365</f>
        <v>50335</v>
      </c>
      <c r="BO469" s="545"/>
      <c r="BP469" s="420">
        <f>BP390+BP391+BP393+BP365</f>
        <v>54343</v>
      </c>
      <c r="BQ469" s="420">
        <f>BQ390+BQ391+BQ393+BQ365</f>
        <v>62441</v>
      </c>
      <c r="BR469" s="420">
        <f>BR390+BR391+BR393+BR365</f>
        <v>62441</v>
      </c>
      <c r="BT469" s="420">
        <f>BT390+BT391+BT393+BT365</f>
        <v>56591</v>
      </c>
      <c r="BU469" s="420">
        <f>BU390+BU391+BU393+BU365+BU459</f>
        <v>40311</v>
      </c>
      <c r="BV469" s="420">
        <f>BV390+BV391+BV393+BV365+BV459</f>
        <v>40311</v>
      </c>
      <c r="BX469" s="420">
        <f>BX390+BX391+BX393+BX365+BX459</f>
        <v>42221</v>
      </c>
      <c r="BY469" s="420">
        <f>BY390+BY391+BY393+BY365+BY459</f>
        <v>37061</v>
      </c>
      <c r="BZ469" s="420">
        <f>BZ390+BZ391+BZ393+BZ365+BZ459</f>
        <v>37061</v>
      </c>
      <c r="CB469" s="454">
        <f>CB390+CB391+CB393+CB365+(CB459+CB457)</f>
        <v>29981</v>
      </c>
      <c r="CC469" s="454">
        <f>CC390+CC391+CC393+CC365+(CC459+CC457)</f>
        <v>28266</v>
      </c>
      <c r="CD469" s="454">
        <f>CD390+CD391+CD393+CD365+(CD459+CD457)</f>
        <v>28266</v>
      </c>
      <c r="CF469" s="454">
        <f>CF390+CF391+CF393+CF365+(CF459+CF457)</f>
        <v>24131</v>
      </c>
      <c r="CG469" s="454">
        <f>CG390+CG391+CG393+CG365+(CG459+CG457)</f>
        <v>29058</v>
      </c>
      <c r="CH469" s="454">
        <f>CH390+CH391+CH393+CH365+(CH459+CH457)</f>
        <v>29058</v>
      </c>
      <c r="CJ469" s="454">
        <f>CJ390+CJ391+CJ393+CJ365+(CJ459+CJ457)</f>
        <v>31678</v>
      </c>
      <c r="CK469" s="454">
        <f>CK390+CK391+CK393+CK365+(CK459+CK457)</f>
        <v>22401</v>
      </c>
      <c r="CL469" s="454">
        <f>CL390+CL391+CL393+CL365+(CL459+CL457)</f>
        <v>22401</v>
      </c>
      <c r="CN469" s="454">
        <f>CN390+CN391+CN393+CN365+(CN459+CN457)</f>
        <v>21421</v>
      </c>
      <c r="CO469" s="454">
        <f>CO390+CO391+CO393+CO365+(CO459+CO457)</f>
        <v>34093</v>
      </c>
      <c r="CP469" s="454">
        <f>CP390+CP391+CP393+CP365+(CP459+CP457)</f>
        <v>34093</v>
      </c>
      <c r="CR469" s="454">
        <f>CR390+CR391+CR393+CR365+(CR459+CR457)</f>
        <v>24054</v>
      </c>
      <c r="CS469" s="454">
        <f>CS390+CS391+CS393+CS365+(CS459+CS457)</f>
        <v>27994</v>
      </c>
      <c r="CT469" s="454">
        <f>CT390+CT391+CT393+CT365+(CT459+CT457)</f>
        <v>27994</v>
      </c>
      <c r="CV469" s="454">
        <f>CV390+CV391+CV393+CV365+(CV459+CV457)</f>
        <v>20987</v>
      </c>
      <c r="CW469" s="454">
        <f>CW390+CW391+CW393+CW365+(CW459+CW457)</f>
        <v>-5899</v>
      </c>
      <c r="CX469" s="454">
        <f>CX390+CX391+CX393+CX365+(CX459+CX457)</f>
        <v>-5899</v>
      </c>
      <c r="CZ469" s="454">
        <f>CZ390+CZ391+CZ393+CZ365+(CZ459+CZ457)</f>
        <v>-13738</v>
      </c>
      <c r="DA469" s="454">
        <f>DA390+DA391+DA393+DA365+(DA459+DA457)</f>
        <v>-5228</v>
      </c>
      <c r="DB469" s="454">
        <f>DB390+DB391+DB393+DB365+(DB459+DB457)</f>
        <v>-5228</v>
      </c>
      <c r="DD469" s="454">
        <f>DD390+DD391+DD393+DD365+(DD459+DD457)</f>
        <v>662</v>
      </c>
      <c r="DE469" s="454">
        <f>DE390+DE391+DE393+DE365+(DE459+DE457)</f>
        <v>-4374</v>
      </c>
      <c r="DF469" s="454">
        <f>DF390+DF391+DF393+DF365+(DF459+DF457)</f>
        <v>-4374</v>
      </c>
      <c r="DH469" s="454">
        <f>DH390+DH391+DH393+DH365+(DH459+DH457)</f>
        <v>-21334</v>
      </c>
      <c r="DI469" s="454">
        <f>DI390+DI391+DI393+DI365+(DI459+DI457)</f>
        <v>-21115.98903210937</v>
      </c>
      <c r="DJ469" s="454">
        <f>DJ390+DJ391+DJ393+DJ365+(DJ459+DJ457)</f>
        <v>-21115.98903210937</v>
      </c>
      <c r="DL469" s="454">
        <f>DL390+DL391+DL393+DL365+(DL459+DL457)</f>
        <v>-21119.43300774126</v>
      </c>
      <c r="DM469" s="454">
        <f>DM390+DM391+DM393+DM365+(DM459+DM457)</f>
        <v>-21028.633827882775</v>
      </c>
      <c r="DN469" s="454">
        <f>DN390+DN391+DN393+DN365+(DN459+DN457)</f>
        <v>-21028.633827882775</v>
      </c>
      <c r="DP469" s="454">
        <f>DP390+DP391+DP393+DP365+(DP459+DP457)</f>
        <v>-21287.702972568091</v>
      </c>
      <c r="DQ469" s="454">
        <f>DQ390+DQ391+DQ393+DQ365+(DQ459+DQ457)</f>
        <v>-21463.861822168925</v>
      </c>
      <c r="DR469" s="454">
        <f>DR390+DR391+DR393+DR365+(DR459+DR457)</f>
        <v>-21463.861822168925</v>
      </c>
      <c r="DT469" s="548"/>
      <c r="DU469" s="548"/>
      <c r="DV469" s="548"/>
      <c r="DW469" s="548"/>
      <c r="DX469" s="548"/>
      <c r="DY469" s="548"/>
      <c r="DZ469" s="548"/>
      <c r="EA469" s="548"/>
      <c r="EB469" s="548"/>
      <c r="EC469" s="548"/>
      <c r="ED469" s="548"/>
      <c r="EE469" s="548"/>
      <c r="EF469" s="548"/>
      <c r="EG469" s="548"/>
      <c r="EH469" s="548"/>
      <c r="EI469" s="548"/>
      <c r="EJ469" s="548"/>
      <c r="EK469" s="548"/>
      <c r="EL469" s="548"/>
      <c r="EM469" s="548"/>
      <c r="EN469" s="548"/>
      <c r="EO469" s="548"/>
      <c r="EP469" s="548"/>
      <c r="EQ469" s="548"/>
      <c r="ER469" s="548"/>
      <c r="ES469" s="548"/>
      <c r="ET469" s="548"/>
      <c r="EU469" s="548"/>
      <c r="EV469" s="548"/>
      <c r="EW469" s="548"/>
      <c r="EX469" s="548"/>
      <c r="EY469" s="548"/>
      <c r="EZ469" s="548"/>
      <c r="FA469" s="548"/>
      <c r="FB469" s="548"/>
      <c r="FC469" s="548"/>
      <c r="FD469" s="548"/>
      <c r="FE469" s="548"/>
      <c r="FF469" s="548"/>
      <c r="FG469" s="548"/>
      <c r="FH469" s="548"/>
      <c r="FI469" s="548"/>
      <c r="FJ469" s="548"/>
      <c r="FK469" s="548"/>
      <c r="FL469" s="548"/>
      <c r="FM469" s="548"/>
      <c r="FN469" s="548"/>
      <c r="FO469" s="548"/>
      <c r="FP469" s="548"/>
      <c r="FQ469" s="548"/>
      <c r="FR469" s="548"/>
      <c r="FS469" s="548"/>
      <c r="FT469" s="548"/>
      <c r="FU469" s="548"/>
      <c r="FV469" s="548"/>
      <c r="FW469" s="548"/>
      <c r="FX469" s="548"/>
      <c r="FY469" s="548"/>
      <c r="FZ469" s="548"/>
      <c r="GA469" s="548"/>
      <c r="GB469" s="548"/>
      <c r="GC469" s="548"/>
      <c r="GD469" s="548"/>
      <c r="GE469" s="548"/>
      <c r="GF469" s="548"/>
      <c r="GG469" s="548"/>
      <c r="GH469" s="548"/>
      <c r="GI469" s="548"/>
      <c r="GJ469" s="548"/>
      <c r="GK469" s="548"/>
      <c r="GL469" s="548"/>
      <c r="GM469" s="548"/>
      <c r="GN469" s="548"/>
      <c r="GO469" s="548"/>
      <c r="GP469" s="548"/>
      <c r="GQ469" s="548"/>
      <c r="GR469" s="548"/>
      <c r="GS469" s="548"/>
      <c r="GT469" s="548"/>
      <c r="GU469" s="548"/>
      <c r="GV469" s="548"/>
      <c r="GW469" s="548"/>
      <c r="GX469" s="548"/>
      <c r="GY469" s="548"/>
      <c r="GZ469" s="548"/>
      <c r="HA469" s="548"/>
      <c r="HB469" s="548"/>
      <c r="HC469" s="548"/>
      <c r="HD469" s="548"/>
      <c r="HE469" s="548"/>
      <c r="HF469" s="548"/>
      <c r="HG469" s="548"/>
      <c r="HH469" s="548"/>
      <c r="HI469" s="548"/>
      <c r="HJ469" s="548"/>
      <c r="HK469" s="548"/>
      <c r="HL469" s="548"/>
      <c r="HM469" s="548"/>
      <c r="HN469" s="548"/>
      <c r="HO469" s="548"/>
      <c r="HP469" s="548"/>
      <c r="HQ469" s="548"/>
      <c r="HR469" s="548"/>
      <c r="HS469" s="548"/>
      <c r="HT469" s="548"/>
      <c r="HU469" s="548"/>
      <c r="HV469" s="548"/>
      <c r="HW469" s="548"/>
      <c r="HX469" s="548"/>
      <c r="HY469" s="548"/>
      <c r="HZ469" s="548"/>
      <c r="IA469" s="548"/>
      <c r="IB469" s="548"/>
      <c r="IC469" s="548"/>
      <c r="ID469" s="548"/>
      <c r="IE469" s="548"/>
      <c r="IF469" s="548"/>
      <c r="IG469" s="548"/>
      <c r="IH469" s="548"/>
      <c r="II469" s="548"/>
      <c r="IJ469" s="548"/>
      <c r="IK469" s="548"/>
      <c r="IL469" s="548"/>
      <c r="IM469" s="548"/>
      <c r="IN469" s="548"/>
      <c r="IO469" s="548"/>
      <c r="IP469" s="548"/>
      <c r="IQ469" s="548"/>
      <c r="IR469" s="548"/>
      <c r="IS469" s="548"/>
      <c r="IT469" s="548"/>
      <c r="IU469" s="548"/>
      <c r="IV469" s="548"/>
      <c r="IW469" s="548"/>
      <c r="IX469" s="548"/>
      <c r="IY469" s="548"/>
      <c r="IZ469" s="548"/>
      <c r="JA469" s="548"/>
      <c r="JB469" s="548"/>
      <c r="JC469" s="548"/>
      <c r="JD469" s="548"/>
    </row>
    <row r="470" spans="1:264" s="411" customFormat="1" x14ac:dyDescent="0.2">
      <c r="A470" s="411" t="s">
        <v>412</v>
      </c>
      <c r="B470" s="423"/>
      <c r="BH470" s="397">
        <f>SUM(BH465:BH469)</f>
        <v>660273</v>
      </c>
      <c r="BI470" s="397">
        <f>SUM(BI465:BI469)</f>
        <v>689432</v>
      </c>
      <c r="BJ470" s="397">
        <f>SUM(BJ465:BJ469)</f>
        <v>689432</v>
      </c>
      <c r="BK470" s="348"/>
      <c r="BL470" s="397">
        <f>SUM(BL465:BL469)</f>
        <v>727294</v>
      </c>
      <c r="BM470" s="397">
        <f>SUM(BM465:BM469)</f>
        <v>739887</v>
      </c>
      <c r="BN470" s="397">
        <f>SUM(BN465:BN469)</f>
        <v>739887</v>
      </c>
      <c r="BO470" s="423"/>
      <c r="BP470" s="397">
        <f>SUM(BP465:BP469)</f>
        <v>783689</v>
      </c>
      <c r="BQ470" s="397">
        <f>SUM(BQ465:BQ469)</f>
        <v>812942</v>
      </c>
      <c r="BR470" s="397">
        <f>SUM(BR465:BR469)</f>
        <v>812942</v>
      </c>
      <c r="BT470" s="397">
        <f>SUM(BT465:BT469)</f>
        <v>840011</v>
      </c>
      <c r="BU470" s="397">
        <f>SUM(BU465:BU469)</f>
        <v>848624</v>
      </c>
      <c r="BV470" s="397">
        <f>SUM(BV465:BV469)</f>
        <v>848624</v>
      </c>
      <c r="BX470" s="397">
        <f>SUM(BX465:BX469)</f>
        <v>889633</v>
      </c>
      <c r="BY470" s="397">
        <f>SUM(BY465:BY469)</f>
        <v>897498</v>
      </c>
      <c r="BZ470" s="397">
        <f>SUM(BZ465:BZ469)</f>
        <v>897498</v>
      </c>
      <c r="CB470" s="397">
        <f>SUM(CB465:CB469)</f>
        <v>897897</v>
      </c>
      <c r="CC470" s="397">
        <f>SUM(CC465:CC469)</f>
        <v>901172</v>
      </c>
      <c r="CD470" s="397">
        <f>SUM(CD465:CD469)</f>
        <v>901172</v>
      </c>
      <c r="CF470" s="397">
        <f>SUM(CF465:CF469)</f>
        <v>906836</v>
      </c>
      <c r="CG470" s="397">
        <f>SUM(CG465:CG469)</f>
        <v>907549</v>
      </c>
      <c r="CH470" s="397">
        <f>SUM(CH465:CH469)</f>
        <v>907549</v>
      </c>
      <c r="CJ470" s="397">
        <f>SUM(CJ465:CJ469)</f>
        <v>924061</v>
      </c>
      <c r="CK470" s="397">
        <f>SUM(CK465:CK469)</f>
        <v>949321</v>
      </c>
      <c r="CL470" s="397">
        <f>SUM(CL465:CL469)</f>
        <v>949321</v>
      </c>
      <c r="CN470" s="397">
        <f>SUM(CN465:CN469)</f>
        <v>967844</v>
      </c>
      <c r="CO470" s="397">
        <f>SUM(CO465:CO469)</f>
        <v>992237</v>
      </c>
      <c r="CP470" s="397">
        <f>SUM(CP465:CP469)</f>
        <v>992237</v>
      </c>
      <c r="CR470" s="397">
        <f>SUM(CR465:CR469)</f>
        <v>1035308</v>
      </c>
      <c r="CS470" s="397">
        <f>SUM(CS465:CS469)</f>
        <v>1070173</v>
      </c>
      <c r="CT470" s="397">
        <f>SUM(CT465:CT469)</f>
        <v>1070173</v>
      </c>
      <c r="CV470" s="397">
        <f>SUM(CV465:CV469)</f>
        <v>1087660</v>
      </c>
      <c r="CW470" s="397">
        <f>SUM(CW465:CW469)</f>
        <v>1085084</v>
      </c>
      <c r="CX470" s="397">
        <f>SUM(CX465:CX469)</f>
        <v>1085084</v>
      </c>
      <c r="CZ470" s="397">
        <f>SUM(CZ465:CZ469)</f>
        <v>1102802</v>
      </c>
      <c r="DA470" s="397">
        <f>SUM(DA465:DA469)</f>
        <v>1127470</v>
      </c>
      <c r="DB470" s="397">
        <f>SUM(DB465:DB469)</f>
        <v>1127470</v>
      </c>
      <c r="DD470" s="397">
        <f>SUM(DD465:DD469)</f>
        <v>1176700</v>
      </c>
      <c r="DE470" s="397">
        <f>SUM(DE465:DE469)</f>
        <v>1213943</v>
      </c>
      <c r="DF470" s="397">
        <f>SUM(DF465:DF469)</f>
        <v>1213943</v>
      </c>
      <c r="DH470" s="397">
        <f>SUM(DH465:DH469)</f>
        <v>1234173</v>
      </c>
      <c r="DI470" s="397">
        <f ca="1">SUM(DI465:DI469)</f>
        <v>1278390.933854776</v>
      </c>
      <c r="DJ470" s="397">
        <f ca="1">SUM(DJ465:DJ469)</f>
        <v>1278390.933854776</v>
      </c>
      <c r="DL470" s="397">
        <f ca="1">SUM(DL465:DL469)</f>
        <v>1316684.1730199317</v>
      </c>
      <c r="DM470" s="397">
        <f ca="1">SUM(DM465:DM469)</f>
        <v>1358525.1037979785</v>
      </c>
      <c r="DN470" s="397">
        <f ca="1">SUM(DN465:DN469)</f>
        <v>1358525.1037979785</v>
      </c>
      <c r="DP470" s="397">
        <f ca="1">SUM(DP465:DP469)</f>
        <v>1390464.1751536413</v>
      </c>
      <c r="DQ470" s="397">
        <f ca="1">SUM(DQ465:DQ469)</f>
        <v>1425651.2679337799</v>
      </c>
      <c r="DR470" s="397">
        <f ca="1">SUM(DR465:DR469)</f>
        <v>1425651.2679337799</v>
      </c>
      <c r="DT470" s="1"/>
      <c r="DU470" s="1"/>
      <c r="DV470" s="1"/>
      <c r="DW470" s="1"/>
      <c r="DX470" s="1"/>
      <c r="DY470" s="1"/>
      <c r="DZ470" s="1"/>
      <c r="EA470" s="1"/>
      <c r="EB470" s="1"/>
      <c r="EC470" s="1"/>
      <c r="ED470" s="1"/>
      <c r="EE470" s="1"/>
      <c r="EF470" s="1"/>
      <c r="EG470" s="1"/>
      <c r="EH470" s="1"/>
      <c r="EI470" s="1"/>
      <c r="EJ470" s="1"/>
      <c r="EK470" s="1"/>
      <c r="EL470" s="1"/>
      <c r="EM470" s="1"/>
      <c r="EN470" s="1"/>
      <c r="EO470" s="1"/>
      <c r="EP470" s="1"/>
      <c r="EQ470" s="1"/>
      <c r="ER470" s="1"/>
      <c r="ES470" s="1"/>
      <c r="ET470" s="1"/>
      <c r="EU470" s="1"/>
      <c r="EV470" s="1"/>
      <c r="EW470" s="1"/>
      <c r="EX470" s="1"/>
      <c r="EY470" s="1"/>
      <c r="EZ470" s="1"/>
      <c r="FA470" s="1"/>
      <c r="FB470" s="1"/>
      <c r="FC470" s="1"/>
      <c r="FD470" s="1"/>
      <c r="FE470" s="1"/>
      <c r="FF470" s="1"/>
      <c r="FG470" s="1"/>
      <c r="FH470" s="1"/>
      <c r="FI470" s="1"/>
      <c r="FJ470" s="1"/>
      <c r="FK470" s="1"/>
      <c r="FL470" s="1"/>
      <c r="FM470" s="1"/>
      <c r="FN470" s="1"/>
      <c r="FO470" s="1"/>
      <c r="FP470" s="1"/>
      <c r="FQ470" s="1"/>
      <c r="FR470" s="1"/>
      <c r="FS470" s="1"/>
      <c r="FT470" s="1"/>
      <c r="FU470" s="1"/>
      <c r="FV470" s="1"/>
      <c r="FW470" s="1"/>
      <c r="FX470" s="1"/>
      <c r="FY470" s="1"/>
      <c r="FZ470" s="1"/>
      <c r="GA470" s="1"/>
      <c r="GB470" s="1"/>
      <c r="GC470" s="1"/>
      <c r="GD470" s="1"/>
      <c r="GE470" s="1"/>
      <c r="GF470" s="1"/>
      <c r="GG470" s="1"/>
      <c r="GH470" s="1"/>
      <c r="GI470" s="1"/>
      <c r="GJ470" s="1"/>
      <c r="GK470" s="1"/>
      <c r="GL470" s="1"/>
      <c r="GM470" s="1"/>
      <c r="GN470" s="1"/>
      <c r="GO470" s="1"/>
      <c r="GP470" s="1"/>
      <c r="GQ470" s="1"/>
      <c r="GR470" s="1"/>
      <c r="GS470" s="1"/>
      <c r="GT470" s="1"/>
      <c r="GU470" s="1"/>
      <c r="GV470" s="1"/>
      <c r="GW470" s="1"/>
      <c r="GX470" s="1"/>
      <c r="GY470" s="1"/>
      <c r="GZ470" s="1"/>
      <c r="HA470" s="1"/>
      <c r="HB470" s="1"/>
      <c r="HC470" s="1"/>
      <c r="HD470" s="1"/>
      <c r="HE470" s="1"/>
      <c r="HF470" s="1"/>
      <c r="HG470" s="1"/>
      <c r="HH470" s="1"/>
      <c r="HI470" s="1"/>
      <c r="HJ470" s="1"/>
      <c r="HK470" s="1"/>
      <c r="HL470" s="1"/>
      <c r="HM470" s="1"/>
      <c r="HN470" s="1"/>
      <c r="HO470" s="1"/>
      <c r="HP470" s="1"/>
      <c r="HQ470" s="1"/>
      <c r="HR470" s="1"/>
      <c r="HS470" s="1"/>
      <c r="HT470" s="1"/>
      <c r="HU470" s="1"/>
      <c r="HV470" s="1"/>
      <c r="HW470" s="1"/>
      <c r="HX470" s="1"/>
      <c r="HY470" s="1"/>
      <c r="HZ470" s="1"/>
      <c r="IA470" s="1"/>
      <c r="IB470" s="1"/>
      <c r="IC470" s="1"/>
      <c r="ID470" s="1"/>
      <c r="IE470" s="1"/>
      <c r="IF470" s="1"/>
      <c r="IG470" s="1"/>
      <c r="IH470" s="1"/>
      <c r="II470" s="1"/>
      <c r="IJ470" s="1"/>
      <c r="IK470" s="1"/>
      <c r="IL470" s="1"/>
      <c r="IM470" s="1"/>
      <c r="IN470" s="1"/>
      <c r="IO470" s="1"/>
      <c r="IP470" s="1"/>
      <c r="IQ470" s="1"/>
      <c r="IR470" s="1"/>
      <c r="IS470" s="1"/>
      <c r="IT470" s="1"/>
      <c r="IU470" s="1"/>
      <c r="IV470" s="1"/>
      <c r="IW470" s="1"/>
      <c r="IX470" s="1"/>
      <c r="IY470" s="1"/>
      <c r="IZ470" s="1"/>
      <c r="JA470" s="1"/>
      <c r="JB470" s="1"/>
      <c r="JC470" s="1"/>
      <c r="JD470" s="1"/>
    </row>
    <row r="471" spans="1:264" s="411" customFormat="1" x14ac:dyDescent="0.2">
      <c r="A471" s="347" t="s">
        <v>413</v>
      </c>
      <c r="B471" s="423"/>
      <c r="BH471" s="397"/>
      <c r="BI471" s="397"/>
      <c r="BJ471" s="397"/>
      <c r="BK471" s="348"/>
      <c r="BL471" s="397"/>
      <c r="BM471" s="397"/>
      <c r="BN471" s="397"/>
      <c r="BO471" s="423"/>
      <c r="BP471" s="397"/>
      <c r="BQ471" s="397"/>
      <c r="BR471" s="397"/>
      <c r="BT471" s="397"/>
      <c r="BU471" s="351">
        <f>+BU470-BU468</f>
        <v>788060</v>
      </c>
      <c r="BV471" s="351">
        <f>+BV470-BV468</f>
        <v>788060</v>
      </c>
      <c r="BX471" s="351">
        <f>+BX470-BX468</f>
        <v>827877</v>
      </c>
      <c r="BY471" s="351">
        <f>+BY470-BY468</f>
        <v>833838</v>
      </c>
      <c r="BZ471" s="351">
        <f>+BZ470-BZ468</f>
        <v>833838</v>
      </c>
      <c r="CB471" s="351">
        <f>+CB470-CB468</f>
        <v>831806</v>
      </c>
      <c r="CC471" s="351">
        <f>+CC470-CC468</f>
        <v>833312</v>
      </c>
      <c r="CD471" s="351">
        <f>+CD470-CD468</f>
        <v>833312</v>
      </c>
      <c r="CF471" s="351">
        <f>+CF470-CF468</f>
        <v>838258</v>
      </c>
      <c r="CG471" s="351">
        <f>+CG470-CG468</f>
        <v>837900</v>
      </c>
      <c r="CH471" s="351">
        <f>+CH470-CH468</f>
        <v>837900</v>
      </c>
      <c r="CJ471" s="351">
        <f>+CJ470-CJ468</f>
        <v>852908</v>
      </c>
      <c r="CK471" s="351">
        <f>+CK470-CK468</f>
        <v>877383</v>
      </c>
      <c r="CL471" s="351">
        <f>+CL470-CL468</f>
        <v>877383</v>
      </c>
      <c r="CN471" s="351">
        <f>+CN470-CN468</f>
        <v>892924</v>
      </c>
      <c r="CO471" s="351">
        <f>+CO470-CO468</f>
        <v>913519</v>
      </c>
      <c r="CP471" s="351">
        <f>+CP470-CP468</f>
        <v>913519</v>
      </c>
      <c r="CR471" s="351">
        <f>+CR470-CR468</f>
        <v>960645</v>
      </c>
      <c r="CS471" s="351">
        <f>+CS470-CS468</f>
        <v>997335</v>
      </c>
      <c r="CT471" s="351">
        <f>+CT470-CT468</f>
        <v>997335</v>
      </c>
      <c r="CV471" s="351">
        <f>+CV470-CV468</f>
        <v>1015339</v>
      </c>
      <c r="CW471" s="351">
        <f>+CW470-CW468</f>
        <v>1013451</v>
      </c>
      <c r="CX471" s="351">
        <f>+CX470-CX468</f>
        <v>1013451</v>
      </c>
      <c r="CZ471" s="351">
        <f>+CZ470-CZ468</f>
        <v>1029963</v>
      </c>
      <c r="DA471" s="351">
        <f>+DA470-DA468</f>
        <v>1054382</v>
      </c>
      <c r="DB471" s="351">
        <f>+DB470-DB468</f>
        <v>1054382</v>
      </c>
      <c r="DD471" s="351">
        <f>+DD470-DD468</f>
        <v>1101436</v>
      </c>
      <c r="DE471" s="351">
        <f>+DE470-DE468</f>
        <v>1135167</v>
      </c>
      <c r="DF471" s="351">
        <f>+DF470-DF468</f>
        <v>1135167</v>
      </c>
      <c r="DH471" s="351">
        <f>+DH470-DH468</f>
        <v>1156941</v>
      </c>
      <c r="DI471" s="351">
        <f ca="1">+DI470-DI468</f>
        <v>1199466.9170051971</v>
      </c>
      <c r="DJ471" s="351">
        <f ca="1">+DJ470-DJ468</f>
        <v>1199466.9170051971</v>
      </c>
      <c r="DL471" s="351">
        <f ca="1">+DL470-DL468</f>
        <v>1236514.1155889027</v>
      </c>
      <c r="DM471" s="351">
        <f ca="1">+DM470-DM468</f>
        <v>1276828.9925008041</v>
      </c>
      <c r="DN471" s="351">
        <f ca="1">+DN470-DN468</f>
        <v>1276828.9925008041</v>
      </c>
      <c r="DP471" s="351">
        <f ca="1">+DP470-DP468</f>
        <v>1307647.7840979269</v>
      </c>
      <c r="DQ471" s="351">
        <f ca="1">+DQ470-DQ468</f>
        <v>1341225.6080066585</v>
      </c>
      <c r="DR471" s="351">
        <f ca="1">+DR470-DR468</f>
        <v>1341225.6080066585</v>
      </c>
      <c r="DT471" s="1"/>
      <c r="DU471" s="1"/>
      <c r="DV471" s="1"/>
      <c r="DW471" s="1"/>
      <c r="DX471" s="1"/>
      <c r="DY471" s="1"/>
      <c r="DZ471" s="1"/>
      <c r="EA471" s="1"/>
      <c r="EB471" s="1"/>
      <c r="EC471" s="1"/>
      <c r="ED471" s="1"/>
      <c r="EE471" s="1"/>
      <c r="EF471" s="1"/>
      <c r="EG471" s="1"/>
      <c r="EH471" s="1"/>
      <c r="EI471" s="1"/>
      <c r="EJ471" s="1"/>
      <c r="EK471" s="1"/>
      <c r="EL471" s="1"/>
      <c r="EM471" s="1"/>
      <c r="EN471" s="1"/>
      <c r="EO471" s="1"/>
      <c r="EP471" s="1"/>
      <c r="EQ471" s="1"/>
      <c r="ER471" s="1"/>
      <c r="ES471" s="1"/>
      <c r="ET471" s="1"/>
      <c r="EU471" s="1"/>
      <c r="EV471" s="1"/>
      <c r="EW471" s="1"/>
      <c r="EX471" s="1"/>
      <c r="EY471" s="1"/>
      <c r="EZ471" s="1"/>
      <c r="FA471" s="1"/>
      <c r="FB471" s="1"/>
      <c r="FC471" s="1"/>
      <c r="FD471" s="1"/>
      <c r="FE471" s="1"/>
      <c r="FF471" s="1"/>
      <c r="FG471" s="1"/>
      <c r="FH471" s="1"/>
      <c r="FI471" s="1"/>
      <c r="FJ471" s="1"/>
      <c r="FK471" s="1"/>
      <c r="FL471" s="1"/>
      <c r="FM471" s="1"/>
      <c r="FN471" s="1"/>
      <c r="FO471" s="1"/>
      <c r="FP471" s="1"/>
      <c r="FQ471" s="1"/>
      <c r="FR471" s="1"/>
      <c r="FS471" s="1"/>
      <c r="FT471" s="1"/>
      <c r="FU471" s="1"/>
      <c r="FV471" s="1"/>
      <c r="FW471" s="1"/>
      <c r="FX471" s="1"/>
      <c r="FY471" s="1"/>
      <c r="FZ471" s="1"/>
      <c r="GA471" s="1"/>
      <c r="GB471" s="1"/>
      <c r="GC471" s="1"/>
      <c r="GD471" s="1"/>
      <c r="GE471" s="1"/>
      <c r="GF471" s="1"/>
      <c r="GG471" s="1"/>
      <c r="GH471" s="1"/>
      <c r="GI471" s="1"/>
      <c r="GJ471" s="1"/>
      <c r="GK471" s="1"/>
      <c r="GL471" s="1"/>
      <c r="GM471" s="1"/>
      <c r="GN471" s="1"/>
      <c r="GO471" s="1"/>
      <c r="GP471" s="1"/>
      <c r="GQ471" s="1"/>
      <c r="GR471" s="1"/>
      <c r="GS471" s="1"/>
      <c r="GT471" s="1"/>
      <c r="GU471" s="1"/>
      <c r="GV471" s="1"/>
      <c r="GW471" s="1"/>
      <c r="GX471" s="1"/>
      <c r="GY471" s="1"/>
      <c r="GZ471" s="1"/>
      <c r="HA471" s="1"/>
      <c r="HB471" s="1"/>
      <c r="HC471" s="1"/>
      <c r="HD471" s="1"/>
      <c r="HE471" s="1"/>
      <c r="HF471" s="1"/>
      <c r="HG471" s="1"/>
      <c r="HH471" s="1"/>
      <c r="HI471" s="1"/>
      <c r="HJ471" s="1"/>
      <c r="HK471" s="1"/>
      <c r="HL471" s="1"/>
      <c r="HM471" s="1"/>
      <c r="HN471" s="1"/>
      <c r="HO471" s="1"/>
      <c r="HP471" s="1"/>
      <c r="HQ471" s="1"/>
      <c r="HR471" s="1"/>
      <c r="HS471" s="1"/>
      <c r="HT471" s="1"/>
      <c r="HU471" s="1"/>
      <c r="HV471" s="1"/>
      <c r="HW471" s="1"/>
      <c r="HX471" s="1"/>
      <c r="HY471" s="1"/>
      <c r="HZ471" s="1"/>
      <c r="IA471" s="1"/>
      <c r="IB471" s="1"/>
      <c r="IC471" s="1"/>
      <c r="ID471" s="1"/>
      <c r="IE471" s="1"/>
      <c r="IF471" s="1"/>
      <c r="IG471" s="1"/>
      <c r="IH471" s="1"/>
      <c r="II471" s="1"/>
      <c r="IJ471" s="1"/>
      <c r="IK471" s="1"/>
      <c r="IL471" s="1"/>
      <c r="IM471" s="1"/>
      <c r="IN471" s="1"/>
      <c r="IO471" s="1"/>
      <c r="IP471" s="1"/>
      <c r="IQ471" s="1"/>
      <c r="IR471" s="1"/>
      <c r="IS471" s="1"/>
      <c r="IT471" s="1"/>
      <c r="IU471" s="1"/>
      <c r="IV471" s="1"/>
      <c r="IW471" s="1"/>
      <c r="IX471" s="1"/>
      <c r="IY471" s="1"/>
      <c r="IZ471" s="1"/>
      <c r="JA471" s="1"/>
      <c r="JB471" s="1"/>
      <c r="JC471" s="1"/>
      <c r="JD471" s="1"/>
    </row>
    <row r="472" spans="1:264" s="411" customFormat="1" x14ac:dyDescent="0.2">
      <c r="A472" s="429" t="str">
        <f>A465</f>
        <v>Total Deposits (excl Repurchase Agreements)</v>
      </c>
      <c r="B472" s="423"/>
      <c r="BH472" s="397"/>
      <c r="BI472" s="397"/>
      <c r="BJ472" s="397"/>
      <c r="BK472" s="348"/>
      <c r="BL472" s="397"/>
      <c r="BM472" s="397"/>
      <c r="BN472" s="397"/>
      <c r="BO472" s="423"/>
      <c r="BP472" s="397"/>
      <c r="BQ472" s="397"/>
      <c r="BR472" s="397"/>
      <c r="BT472" s="397"/>
      <c r="BU472" s="351"/>
      <c r="BV472" s="351"/>
      <c r="BX472" s="351"/>
      <c r="BY472" s="351"/>
      <c r="BZ472" s="351"/>
      <c r="CB472" s="351"/>
      <c r="CC472" s="351"/>
      <c r="CD472" s="351"/>
      <c r="CF472" s="351"/>
      <c r="CG472" s="351"/>
      <c r="CH472" s="351"/>
      <c r="CJ472" s="549">
        <f>662824-19580-385-381</f>
        <v>642478</v>
      </c>
      <c r="CK472" s="351">
        <f>CL472</f>
        <v>685122</v>
      </c>
      <c r="CL472" s="549">
        <f>701999-14717-2067-93</f>
        <v>685122</v>
      </c>
      <c r="CN472" s="549">
        <f>747980-CN365</f>
        <v>721347</v>
      </c>
      <c r="CO472" s="351">
        <f>CP472</f>
        <v>747063</v>
      </c>
      <c r="CP472" s="549">
        <f>766381-CP365</f>
        <v>747063</v>
      </c>
      <c r="CR472" s="549">
        <f>815124-CR365</f>
        <v>790967</v>
      </c>
      <c r="CS472" s="351">
        <f>CT472</f>
        <v>824422</v>
      </c>
      <c r="CT472" s="549">
        <f>857586-CT365</f>
        <v>824422</v>
      </c>
      <c r="CV472" s="549">
        <f>879152-CV365</f>
        <v>846613</v>
      </c>
      <c r="CW472" s="351">
        <f>CX472</f>
        <v>864485</v>
      </c>
      <c r="CX472" s="549">
        <f>864995-CX365</f>
        <v>864485</v>
      </c>
      <c r="CZ472" s="549">
        <f>873299-CZ365</f>
        <v>870315</v>
      </c>
      <c r="DA472" s="351">
        <f>DB472</f>
        <v>879142</v>
      </c>
      <c r="DB472" s="549">
        <f>882922-DB365</f>
        <v>879142</v>
      </c>
      <c r="DD472" s="549">
        <f>902502-DD365</f>
        <v>896927</v>
      </c>
      <c r="DE472" s="351">
        <f>DF472</f>
        <v>930059</v>
      </c>
      <c r="DF472" s="549">
        <f>937857-DF365</f>
        <v>930059</v>
      </c>
      <c r="DH472" s="549">
        <f>982534-DH365</f>
        <v>970837</v>
      </c>
      <c r="DI472" s="351"/>
      <c r="DJ472" s="351"/>
      <c r="DL472" s="351"/>
      <c r="DM472" s="351"/>
      <c r="DN472" s="351"/>
      <c r="DP472" s="351"/>
      <c r="DQ472" s="351"/>
      <c r="DR472" s="351"/>
      <c r="DT472" s="1"/>
      <c r="DU472" s="1"/>
      <c r="DV472" s="1"/>
      <c r="DW472" s="1"/>
      <c r="DX472" s="1"/>
      <c r="DY472" s="1"/>
      <c r="DZ472" s="1"/>
      <c r="EA472" s="1"/>
      <c r="EB472" s="1"/>
      <c r="EC472" s="1"/>
      <c r="ED472" s="1"/>
      <c r="EE472" s="1"/>
      <c r="EF472" s="1"/>
      <c r="EG472" s="1"/>
      <c r="EH472" s="1"/>
      <c r="EI472" s="1"/>
      <c r="EJ472" s="1"/>
      <c r="EK472" s="1"/>
      <c r="EL472" s="1"/>
      <c r="EM472" s="1"/>
      <c r="EN472" s="1"/>
      <c r="EO472" s="1"/>
      <c r="EP472" s="1"/>
      <c r="EQ472" s="1"/>
      <c r="ER472" s="1"/>
      <c r="ES472" s="1"/>
      <c r="ET472" s="1"/>
      <c r="EU472" s="1"/>
      <c r="EV472" s="1"/>
      <c r="EW472" s="1"/>
      <c r="EX472" s="1"/>
      <c r="EY472" s="1"/>
      <c r="EZ472" s="1"/>
      <c r="FA472" s="1"/>
      <c r="FB472" s="1"/>
      <c r="FC472" s="1"/>
      <c r="FD472" s="1"/>
      <c r="FE472" s="1"/>
      <c r="FF472" s="1"/>
      <c r="FG472" s="1"/>
      <c r="FH472" s="1"/>
      <c r="FI472" s="1"/>
      <c r="FJ472" s="1"/>
      <c r="FK472" s="1"/>
      <c r="FL472" s="1"/>
      <c r="FM472" s="1"/>
      <c r="FN472" s="1"/>
      <c r="FO472" s="1"/>
      <c r="FP472" s="1"/>
      <c r="FQ472" s="1"/>
      <c r="FR472" s="1"/>
      <c r="FS472" s="1"/>
      <c r="FT472" s="1"/>
      <c r="FU472" s="1"/>
      <c r="FV472" s="1"/>
      <c r="FW472" s="1"/>
      <c r="FX472" s="1"/>
      <c r="FY472" s="1"/>
      <c r="FZ472" s="1"/>
      <c r="GA472" s="1"/>
      <c r="GB472" s="1"/>
      <c r="GC472" s="1"/>
      <c r="GD472" s="1"/>
      <c r="GE472" s="1"/>
      <c r="GF472" s="1"/>
      <c r="GG472" s="1"/>
      <c r="GH472" s="1"/>
      <c r="GI472" s="1"/>
      <c r="GJ472" s="1"/>
      <c r="GK472" s="1"/>
      <c r="GL472" s="1"/>
      <c r="GM472" s="1"/>
      <c r="GN472" s="1"/>
      <c r="GO472" s="1"/>
      <c r="GP472" s="1"/>
      <c r="GQ472" s="1"/>
      <c r="GR472" s="1"/>
      <c r="GS472" s="1"/>
      <c r="GT472" s="1"/>
      <c r="GU472" s="1"/>
      <c r="GV472" s="1"/>
      <c r="GW472" s="1"/>
      <c r="GX472" s="1"/>
      <c r="GY472" s="1"/>
      <c r="GZ472" s="1"/>
      <c r="HA472" s="1"/>
      <c r="HB472" s="1"/>
      <c r="HC472" s="1"/>
      <c r="HD472" s="1"/>
      <c r="HE472" s="1"/>
      <c r="HF472" s="1"/>
      <c r="HG472" s="1"/>
      <c r="HH472" s="1"/>
      <c r="HI472" s="1"/>
      <c r="HJ472" s="1"/>
      <c r="HK472" s="1"/>
      <c r="HL472" s="1"/>
      <c r="HM472" s="1"/>
      <c r="HN472" s="1"/>
      <c r="HO472" s="1"/>
      <c r="HP472" s="1"/>
      <c r="HQ472" s="1"/>
      <c r="HR472" s="1"/>
      <c r="HS472" s="1"/>
      <c r="HT472" s="1"/>
      <c r="HU472" s="1"/>
      <c r="HV472" s="1"/>
      <c r="HW472" s="1"/>
      <c r="HX472" s="1"/>
      <c r="HY472" s="1"/>
      <c r="HZ472" s="1"/>
      <c r="IA472" s="1"/>
      <c r="IB472" s="1"/>
      <c r="IC472" s="1"/>
      <c r="ID472" s="1"/>
      <c r="IE472" s="1"/>
      <c r="IF472" s="1"/>
      <c r="IG472" s="1"/>
      <c r="IH472" s="1"/>
      <c r="II472" s="1"/>
      <c r="IJ472" s="1"/>
      <c r="IK472" s="1"/>
      <c r="IL472" s="1"/>
      <c r="IM472" s="1"/>
      <c r="IN472" s="1"/>
      <c r="IO472" s="1"/>
      <c r="IP472" s="1"/>
      <c r="IQ472" s="1"/>
      <c r="IR472" s="1"/>
      <c r="IS472" s="1"/>
      <c r="IT472" s="1"/>
      <c r="IU472" s="1"/>
      <c r="IV472" s="1"/>
      <c r="IW472" s="1"/>
      <c r="IX472" s="1"/>
      <c r="IY472" s="1"/>
      <c r="IZ472" s="1"/>
      <c r="JA472" s="1"/>
      <c r="JB472" s="1"/>
      <c r="JC472" s="1"/>
      <c r="JD472" s="1"/>
    </row>
    <row r="473" spans="1:264" s="424" customFormat="1" x14ac:dyDescent="0.2">
      <c r="A473" s="429" t="s">
        <v>414</v>
      </c>
      <c r="B473" s="536"/>
      <c r="BH473" s="508"/>
      <c r="BI473" s="508"/>
      <c r="BJ473" s="508"/>
      <c r="BK473" s="408"/>
      <c r="BL473" s="508"/>
      <c r="BM473" s="508"/>
      <c r="BN473" s="508"/>
      <c r="BO473" s="536"/>
      <c r="BP473" s="508"/>
      <c r="BQ473" s="508"/>
      <c r="BR473" s="508"/>
      <c r="BT473" s="536"/>
      <c r="BU473" s="456">
        <f>BV473</f>
        <v>788578</v>
      </c>
      <c r="BV473" s="537">
        <v>788578</v>
      </c>
      <c r="BX473" s="537">
        <v>824681</v>
      </c>
      <c r="BY473" s="456">
        <f>BZ473</f>
        <v>832298</v>
      </c>
      <c r="BZ473" s="537">
        <v>832298</v>
      </c>
      <c r="CB473" s="537">
        <v>832295</v>
      </c>
      <c r="CC473" s="456">
        <f>CD473</f>
        <v>831934</v>
      </c>
      <c r="CD473" s="537">
        <v>831934</v>
      </c>
      <c r="CF473" s="537">
        <v>838955</v>
      </c>
      <c r="CG473" s="456">
        <f>CH473</f>
        <v>836352</v>
      </c>
      <c r="CH473" s="537">
        <v>836352</v>
      </c>
      <c r="CJ473" s="537">
        <v>847806</v>
      </c>
      <c r="CK473" s="456">
        <f>CL473</f>
        <v>872162</v>
      </c>
      <c r="CL473" s="537">
        <v>872162</v>
      </c>
      <c r="CN473" s="537">
        <v>911013</v>
      </c>
      <c r="CO473" s="456">
        <f>CP473</f>
        <v>961539</v>
      </c>
      <c r="CP473" s="537">
        <v>961539</v>
      </c>
      <c r="CR473" s="537">
        <v>1012270</v>
      </c>
      <c r="CS473" s="456">
        <f>CT473</f>
        <v>1046757</v>
      </c>
      <c r="CT473" s="537">
        <v>1046757</v>
      </c>
      <c r="CV473" s="537">
        <v>1065051</v>
      </c>
      <c r="CW473" s="456">
        <f>CX473</f>
        <v>1092196</v>
      </c>
      <c r="CX473" s="537">
        <v>1092196</v>
      </c>
      <c r="CY473" s="429"/>
      <c r="CZ473" s="537">
        <v>1094608</v>
      </c>
      <c r="DA473" s="456">
        <f>DB473</f>
        <v>1086927</v>
      </c>
      <c r="DB473" s="537">
        <v>1086927</v>
      </c>
      <c r="DC473" s="429"/>
      <c r="DD473" s="537">
        <v>1127601</v>
      </c>
      <c r="DE473" s="456">
        <f>DF473</f>
        <v>1166206</v>
      </c>
      <c r="DF473" s="537">
        <v>1166206</v>
      </c>
      <c r="DG473" s="429"/>
      <c r="DH473" s="537">
        <v>1207631</v>
      </c>
      <c r="DI473" s="456">
        <f t="shared" ref="DI473:DJ473" ca="1" si="444">DI474+DI471</f>
        <v>1199466.9170051971</v>
      </c>
      <c r="DJ473" s="456">
        <f t="shared" ca="1" si="444"/>
        <v>1199466.9170051971</v>
      </c>
      <c r="DK473" s="429"/>
      <c r="DL473" s="456">
        <f t="shared" ref="DL473:DN473" ca="1" si="445">DL474+DL471</f>
        <v>1236514.1155889027</v>
      </c>
      <c r="DM473" s="456">
        <f t="shared" ca="1" si="445"/>
        <v>1276828.9925008041</v>
      </c>
      <c r="DN473" s="456">
        <f t="shared" ca="1" si="445"/>
        <v>1276828.9925008041</v>
      </c>
      <c r="DO473" s="429"/>
      <c r="DP473" s="456">
        <f t="shared" ref="DP473:DR473" ca="1" si="446">DP474+DP471</f>
        <v>1307647.7840979269</v>
      </c>
      <c r="DQ473" s="456">
        <f t="shared" ca="1" si="446"/>
        <v>1341225.6080066585</v>
      </c>
      <c r="DR473" s="456">
        <f t="shared" ca="1" si="446"/>
        <v>1341225.6080066585</v>
      </c>
      <c r="DS473" s="429"/>
      <c r="DT473" s="457"/>
      <c r="DU473" s="457"/>
      <c r="DV473" s="457"/>
      <c r="DW473" s="457"/>
      <c r="DX473" s="457"/>
      <c r="DY473" s="457"/>
      <c r="DZ473" s="457"/>
      <c r="EA473" s="457"/>
      <c r="EB473" s="457"/>
      <c r="EC473" s="457"/>
      <c r="ED473" s="457"/>
      <c r="EE473" s="457"/>
      <c r="EF473" s="457"/>
      <c r="EG473" s="457"/>
      <c r="EH473" s="457"/>
      <c r="EI473" s="457"/>
      <c r="EJ473" s="457"/>
      <c r="EK473" s="457"/>
      <c r="EL473" s="457"/>
      <c r="EM473" s="457"/>
      <c r="EN473" s="457"/>
      <c r="EO473" s="457"/>
      <c r="EP473" s="457"/>
      <c r="EQ473" s="457"/>
      <c r="ER473" s="457"/>
      <c r="ES473" s="457"/>
      <c r="ET473" s="457"/>
      <c r="EU473" s="457"/>
      <c r="EV473" s="457"/>
      <c r="EW473" s="457"/>
      <c r="EX473" s="457"/>
      <c r="EY473" s="457"/>
      <c r="EZ473" s="457"/>
      <c r="FA473" s="457"/>
      <c r="FB473" s="457"/>
      <c r="FC473" s="457"/>
      <c r="FD473" s="457"/>
      <c r="FE473" s="457"/>
      <c r="FF473" s="457"/>
      <c r="FG473" s="457"/>
      <c r="FH473" s="457"/>
      <c r="FI473" s="457"/>
      <c r="FJ473" s="457"/>
      <c r="FK473" s="457"/>
      <c r="FL473" s="457"/>
      <c r="FM473" s="457"/>
      <c r="FN473" s="457"/>
      <c r="FO473" s="457"/>
      <c r="FP473" s="457"/>
      <c r="FQ473" s="457"/>
      <c r="FR473" s="457"/>
      <c r="FS473" s="457"/>
      <c r="FT473" s="457"/>
      <c r="FU473" s="457"/>
      <c r="FV473" s="457"/>
      <c r="FW473" s="457"/>
      <c r="FX473" s="457"/>
      <c r="FY473" s="457"/>
      <c r="FZ473" s="457"/>
      <c r="GA473" s="457"/>
      <c r="GB473" s="457"/>
      <c r="GC473" s="457"/>
      <c r="GD473" s="457"/>
      <c r="GE473" s="457"/>
      <c r="GF473" s="457"/>
      <c r="GG473" s="457"/>
      <c r="GH473" s="457"/>
      <c r="GI473" s="457"/>
      <c r="GJ473" s="457"/>
      <c r="GK473" s="457"/>
      <c r="GL473" s="457"/>
      <c r="GM473" s="457"/>
      <c r="GN473" s="457"/>
      <c r="GO473" s="457"/>
      <c r="GP473" s="457"/>
      <c r="GQ473" s="457"/>
      <c r="GR473" s="457"/>
      <c r="GS473" s="457"/>
      <c r="GT473" s="457"/>
      <c r="GU473" s="457"/>
      <c r="GV473" s="457"/>
      <c r="GW473" s="457"/>
      <c r="GX473" s="457"/>
      <c r="GY473" s="457"/>
      <c r="GZ473" s="457"/>
      <c r="HA473" s="457"/>
      <c r="HB473" s="457"/>
      <c r="HC473" s="457"/>
      <c r="HD473" s="457"/>
      <c r="HE473" s="457"/>
      <c r="HF473" s="457"/>
      <c r="HG473" s="457"/>
      <c r="HH473" s="457"/>
      <c r="HI473" s="457"/>
      <c r="HJ473" s="457"/>
      <c r="HK473" s="457"/>
      <c r="HL473" s="457"/>
      <c r="HM473" s="457"/>
      <c r="HN473" s="457"/>
      <c r="HO473" s="457"/>
      <c r="HP473" s="457"/>
      <c r="HQ473" s="457"/>
      <c r="HR473" s="457"/>
      <c r="HS473" s="457"/>
      <c r="HT473" s="457"/>
      <c r="HU473" s="457"/>
      <c r="HV473" s="457"/>
      <c r="HW473" s="457"/>
      <c r="HX473" s="457"/>
      <c r="HY473" s="457"/>
      <c r="HZ473" s="457"/>
      <c r="IA473" s="457"/>
      <c r="IB473" s="457"/>
      <c r="IC473" s="457"/>
      <c r="ID473" s="457"/>
      <c r="IE473" s="457"/>
      <c r="IF473" s="457"/>
      <c r="IG473" s="457"/>
      <c r="IH473" s="457"/>
      <c r="II473" s="457"/>
      <c r="IJ473" s="457"/>
      <c r="IK473" s="457"/>
      <c r="IL473" s="457"/>
      <c r="IM473" s="457"/>
      <c r="IN473" s="457"/>
      <c r="IO473" s="457"/>
      <c r="IP473" s="457"/>
      <c r="IQ473" s="457"/>
      <c r="IR473" s="457"/>
      <c r="IS473" s="457"/>
      <c r="IT473" s="457"/>
      <c r="IU473" s="457"/>
      <c r="IV473" s="457"/>
      <c r="IW473" s="457"/>
      <c r="IX473" s="457"/>
      <c r="IY473" s="457"/>
      <c r="IZ473" s="457"/>
      <c r="JA473" s="457"/>
      <c r="JB473" s="457"/>
      <c r="JC473" s="457"/>
      <c r="JD473" s="457"/>
    </row>
    <row r="474" spans="1:264" s="424" customFormat="1" x14ac:dyDescent="0.2">
      <c r="A474" s="477" t="s">
        <v>415</v>
      </c>
      <c r="B474" s="538"/>
      <c r="C474" s="530"/>
      <c r="D474" s="530"/>
      <c r="E474" s="530"/>
      <c r="F474" s="530"/>
      <c r="G474" s="530"/>
      <c r="H474" s="530"/>
      <c r="I474" s="530"/>
      <c r="J474" s="530"/>
      <c r="K474" s="530"/>
      <c r="L474" s="530"/>
      <c r="M474" s="530"/>
      <c r="N474" s="530"/>
      <c r="O474" s="530"/>
      <c r="P474" s="530"/>
      <c r="Q474" s="530"/>
      <c r="R474" s="530"/>
      <c r="S474" s="530"/>
      <c r="T474" s="530"/>
      <c r="U474" s="530"/>
      <c r="V474" s="530"/>
      <c r="W474" s="530"/>
      <c r="X474" s="530"/>
      <c r="Y474" s="530"/>
      <c r="Z474" s="530"/>
      <c r="AA474" s="530"/>
      <c r="AB474" s="530"/>
      <c r="AC474" s="530"/>
      <c r="AD474" s="530"/>
      <c r="AE474" s="530"/>
      <c r="AF474" s="530"/>
      <c r="AG474" s="530"/>
      <c r="AH474" s="530"/>
      <c r="AI474" s="530"/>
      <c r="AJ474" s="530"/>
      <c r="AK474" s="530"/>
      <c r="AL474" s="530"/>
      <c r="AM474" s="530"/>
      <c r="AN474" s="530"/>
      <c r="AO474" s="530"/>
      <c r="AP474" s="530"/>
      <c r="AQ474" s="530"/>
      <c r="AR474" s="530"/>
      <c r="AS474" s="530"/>
      <c r="AT474" s="530"/>
      <c r="AU474" s="530"/>
      <c r="AV474" s="530"/>
      <c r="AW474" s="530"/>
      <c r="AX474" s="530"/>
      <c r="AY474" s="530"/>
      <c r="AZ474" s="530"/>
      <c r="BA474" s="530"/>
      <c r="BB474" s="530"/>
      <c r="BC474" s="530"/>
      <c r="BD474" s="530"/>
      <c r="BE474" s="530"/>
      <c r="BF474" s="530"/>
      <c r="BG474" s="530"/>
      <c r="BH474" s="539"/>
      <c r="BI474" s="539"/>
      <c r="BJ474" s="539"/>
      <c r="BK474" s="540"/>
      <c r="BL474" s="539"/>
      <c r="BM474" s="539"/>
      <c r="BN474" s="539"/>
      <c r="BO474" s="538"/>
      <c r="BP474" s="539"/>
      <c r="BQ474" s="539"/>
      <c r="BR474" s="539"/>
      <c r="BS474" s="530"/>
      <c r="BT474" s="538"/>
      <c r="BU474" s="541"/>
      <c r="BV474" s="542"/>
      <c r="BW474" s="530"/>
      <c r="BX474" s="542"/>
      <c r="BY474" s="541"/>
      <c r="BZ474" s="542"/>
      <c r="CA474" s="530"/>
      <c r="CB474" s="542"/>
      <c r="CC474" s="541"/>
      <c r="CD474" s="542"/>
      <c r="CE474" s="530"/>
      <c r="CF474" s="542"/>
      <c r="CG474" s="541"/>
      <c r="CH474" s="542"/>
      <c r="CI474" s="530"/>
      <c r="CJ474" s="542"/>
      <c r="CK474" s="541"/>
      <c r="CL474" s="542"/>
      <c r="CM474" s="530"/>
      <c r="CN474" s="542"/>
      <c r="CO474" s="541"/>
      <c r="CP474" s="542"/>
      <c r="CQ474" s="530"/>
      <c r="CR474" s="541"/>
      <c r="CS474" s="541"/>
      <c r="CT474" s="541"/>
      <c r="CU474" s="530"/>
      <c r="CV474" s="541"/>
      <c r="CW474" s="541"/>
      <c r="CX474" s="541"/>
      <c r="CY474" s="530"/>
      <c r="CZ474" s="541"/>
      <c r="DA474" s="541"/>
      <c r="DB474" s="541"/>
      <c r="DC474" s="530"/>
      <c r="DD474" s="541"/>
      <c r="DE474" s="541"/>
      <c r="DF474" s="541"/>
      <c r="DG474" s="530"/>
      <c r="DH474" s="541"/>
      <c r="DI474" s="543">
        <f>DH474</f>
        <v>0</v>
      </c>
      <c r="DJ474" s="541">
        <f>DI474</f>
        <v>0</v>
      </c>
      <c r="DK474" s="530"/>
      <c r="DL474" s="543">
        <f>DI474</f>
        <v>0</v>
      </c>
      <c r="DM474" s="543">
        <f>DL474</f>
        <v>0</v>
      </c>
      <c r="DN474" s="541">
        <f>DM474</f>
        <v>0</v>
      </c>
      <c r="DO474" s="530"/>
      <c r="DP474" s="543">
        <f>DM474</f>
        <v>0</v>
      </c>
      <c r="DQ474" s="543">
        <f>DP474</f>
        <v>0</v>
      </c>
      <c r="DR474" s="541">
        <f>DQ474</f>
        <v>0</v>
      </c>
      <c r="DS474" s="530"/>
      <c r="DT474" s="457"/>
      <c r="DU474" s="457"/>
      <c r="DV474" s="457"/>
      <c r="DW474" s="457"/>
      <c r="DX474" s="457"/>
      <c r="DY474" s="457"/>
      <c r="DZ474" s="457"/>
      <c r="EA474" s="457"/>
      <c r="EB474" s="457"/>
      <c r="EC474" s="457"/>
      <c r="ED474" s="457"/>
      <c r="EE474" s="457"/>
      <c r="EF474" s="457"/>
      <c r="EG474" s="457"/>
      <c r="EH474" s="457"/>
      <c r="EI474" s="457"/>
      <c r="EJ474" s="457"/>
      <c r="EK474" s="457"/>
      <c r="EL474" s="457"/>
      <c r="EM474" s="457"/>
      <c r="EN474" s="457"/>
      <c r="EO474" s="457"/>
      <c r="EP474" s="457"/>
      <c r="EQ474" s="457"/>
      <c r="ER474" s="457"/>
      <c r="ES474" s="457"/>
      <c r="ET474" s="457"/>
      <c r="EU474" s="457"/>
      <c r="EV474" s="457"/>
      <c r="EW474" s="457"/>
      <c r="EX474" s="457"/>
      <c r="EY474" s="457"/>
      <c r="EZ474" s="457"/>
      <c r="FA474" s="457"/>
      <c r="FB474" s="457"/>
      <c r="FC474" s="457"/>
      <c r="FD474" s="457"/>
      <c r="FE474" s="457"/>
      <c r="FF474" s="457"/>
      <c r="FG474" s="457"/>
      <c r="FH474" s="457"/>
      <c r="FI474" s="457"/>
      <c r="FJ474" s="457"/>
      <c r="FK474" s="457"/>
      <c r="FL474" s="457"/>
      <c r="FM474" s="457"/>
      <c r="FN474" s="457"/>
      <c r="FO474" s="457"/>
      <c r="FP474" s="457"/>
      <c r="FQ474" s="457"/>
      <c r="FR474" s="457"/>
      <c r="FS474" s="457"/>
      <c r="FT474" s="457"/>
      <c r="FU474" s="457"/>
      <c r="FV474" s="457"/>
      <c r="FW474" s="457"/>
      <c r="FX474" s="457"/>
      <c r="FY474" s="457"/>
      <c r="FZ474" s="457"/>
      <c r="GA474" s="457"/>
      <c r="GB474" s="457"/>
      <c r="GC474" s="457"/>
      <c r="GD474" s="457"/>
      <c r="GE474" s="457"/>
      <c r="GF474" s="457"/>
      <c r="GG474" s="457"/>
      <c r="GH474" s="457"/>
      <c r="GI474" s="457"/>
      <c r="GJ474" s="457"/>
      <c r="GK474" s="457"/>
      <c r="GL474" s="457"/>
      <c r="GM474" s="457"/>
      <c r="GN474" s="457"/>
      <c r="GO474" s="457"/>
      <c r="GP474" s="457"/>
      <c r="GQ474" s="457"/>
      <c r="GR474" s="457"/>
      <c r="GS474" s="457"/>
      <c r="GT474" s="457"/>
      <c r="GU474" s="457"/>
      <c r="GV474" s="457"/>
      <c r="GW474" s="457"/>
      <c r="GX474" s="457"/>
      <c r="GY474" s="457"/>
      <c r="GZ474" s="457"/>
      <c r="HA474" s="457"/>
      <c r="HB474" s="457"/>
      <c r="HC474" s="457"/>
      <c r="HD474" s="457"/>
      <c r="HE474" s="457"/>
      <c r="HF474" s="457"/>
      <c r="HG474" s="457"/>
      <c r="HH474" s="457"/>
      <c r="HI474" s="457"/>
      <c r="HJ474" s="457"/>
      <c r="HK474" s="457"/>
      <c r="HL474" s="457"/>
      <c r="HM474" s="457"/>
      <c r="HN474" s="457"/>
      <c r="HO474" s="457"/>
      <c r="HP474" s="457"/>
      <c r="HQ474" s="457"/>
      <c r="HR474" s="457"/>
      <c r="HS474" s="457"/>
      <c r="HT474" s="457"/>
      <c r="HU474" s="457"/>
      <c r="HV474" s="457"/>
      <c r="HW474" s="457"/>
      <c r="HX474" s="457"/>
      <c r="HY474" s="457"/>
      <c r="HZ474" s="457"/>
      <c r="IA474" s="457"/>
      <c r="IB474" s="457"/>
      <c r="IC474" s="457"/>
      <c r="ID474" s="457"/>
      <c r="IE474" s="457"/>
      <c r="IF474" s="457"/>
      <c r="IG474" s="457"/>
      <c r="IH474" s="457"/>
      <c r="II474" s="457"/>
      <c r="IJ474" s="457"/>
      <c r="IK474" s="457"/>
      <c r="IL474" s="457"/>
      <c r="IM474" s="457"/>
      <c r="IN474" s="457"/>
      <c r="IO474" s="457"/>
      <c r="IP474" s="457"/>
      <c r="IQ474" s="457"/>
      <c r="IR474" s="457"/>
      <c r="IS474" s="457"/>
      <c r="IT474" s="457"/>
      <c r="IU474" s="457"/>
      <c r="IV474" s="457"/>
      <c r="IW474" s="457"/>
      <c r="IX474" s="457"/>
      <c r="IY474" s="457"/>
      <c r="IZ474" s="457"/>
      <c r="JA474" s="457"/>
      <c r="JB474" s="457"/>
      <c r="JC474" s="457"/>
      <c r="JD474" s="457"/>
    </row>
    <row r="475" spans="1:264" s="411" customFormat="1" x14ac:dyDescent="0.2">
      <c r="B475" s="423"/>
      <c r="BH475" s="397"/>
      <c r="BI475" s="397"/>
      <c r="BJ475" s="397"/>
      <c r="BK475" s="348"/>
      <c r="BL475" s="397"/>
      <c r="BM475" s="397"/>
      <c r="BN475" s="397"/>
      <c r="BO475" s="423"/>
      <c r="BP475" s="397"/>
      <c r="BQ475" s="397"/>
      <c r="BR475" s="397"/>
      <c r="BT475" s="423"/>
      <c r="BU475" s="397"/>
      <c r="BV475" s="397"/>
      <c r="BX475" s="423"/>
      <c r="BY475" s="397"/>
      <c r="BZ475" s="397"/>
      <c r="CB475" s="423"/>
      <c r="CC475" s="397"/>
      <c r="CD475" s="397"/>
      <c r="CF475" s="423"/>
      <c r="CG475" s="397"/>
      <c r="CH475" s="397"/>
      <c r="CJ475" s="423"/>
      <c r="CK475" s="397"/>
      <c r="CL475" s="397"/>
      <c r="CN475" s="423"/>
      <c r="CO475" s="397"/>
      <c r="CP475" s="397"/>
      <c r="CR475" s="423"/>
      <c r="CS475" s="397"/>
      <c r="CT475" s="397"/>
      <c r="CV475" s="423"/>
      <c r="CW475" s="397"/>
      <c r="CX475" s="397"/>
      <c r="CZ475" s="423"/>
      <c r="DA475" s="397"/>
      <c r="DB475" s="397"/>
      <c r="DD475" s="423"/>
      <c r="DE475" s="397"/>
      <c r="DF475" s="397"/>
      <c r="DH475" s="423"/>
      <c r="DL475" s="423"/>
      <c r="DP475" s="423"/>
      <c r="DT475" s="1"/>
      <c r="DU475" s="1"/>
      <c r="DV475" s="1"/>
      <c r="DW475" s="1"/>
      <c r="DX475" s="1"/>
      <c r="DY475" s="1"/>
      <c r="DZ475" s="1"/>
      <c r="EA475" s="1"/>
      <c r="EB475" s="1"/>
      <c r="EC475" s="1"/>
      <c r="ED475" s="1"/>
      <c r="EE475" s="1"/>
      <c r="EF475" s="1"/>
      <c r="EG475" s="1"/>
      <c r="EH475" s="1"/>
      <c r="EI475" s="1"/>
      <c r="EJ475" s="1"/>
      <c r="EK475" s="1"/>
      <c r="EL475" s="1"/>
      <c r="EM475" s="1"/>
      <c r="EN475" s="1"/>
      <c r="EO475" s="1"/>
      <c r="EP475" s="1"/>
      <c r="EQ475" s="1"/>
      <c r="ER475" s="1"/>
      <c r="ES475" s="1"/>
      <c r="ET475" s="1"/>
      <c r="EU475" s="1"/>
      <c r="EV475" s="1"/>
      <c r="EW475" s="1"/>
      <c r="EX475" s="1"/>
      <c r="EY475" s="1"/>
      <c r="EZ475" s="1"/>
      <c r="FA475" s="1"/>
      <c r="FB475" s="1"/>
      <c r="FC475" s="1"/>
      <c r="FD475" s="1"/>
      <c r="FE475" s="1"/>
      <c r="FF475" s="1"/>
      <c r="FG475" s="1"/>
      <c r="FH475" s="1"/>
      <c r="FI475" s="1"/>
      <c r="FJ475" s="1"/>
      <c r="FK475" s="1"/>
      <c r="FL475" s="1"/>
      <c r="FM475" s="1"/>
      <c r="FN475" s="1"/>
      <c r="FO475" s="1"/>
      <c r="FP475" s="1"/>
      <c r="FQ475" s="1"/>
      <c r="FR475" s="1"/>
      <c r="FS475" s="1"/>
      <c r="FT475" s="1"/>
      <c r="FU475" s="1"/>
      <c r="FV475" s="1"/>
      <c r="FW475" s="1"/>
      <c r="FX475" s="1"/>
      <c r="FY475" s="1"/>
      <c r="FZ475" s="1"/>
      <c r="GA475" s="1"/>
      <c r="GB475" s="1"/>
      <c r="GC475" s="1"/>
      <c r="GD475" s="1"/>
      <c r="GE475" s="1"/>
      <c r="GF475" s="1"/>
      <c r="GG475" s="1"/>
      <c r="GH475" s="1"/>
      <c r="GI475" s="1"/>
      <c r="GJ475" s="1"/>
      <c r="GK475" s="1"/>
      <c r="GL475" s="1"/>
      <c r="GM475" s="1"/>
      <c r="GN475" s="1"/>
      <c r="GO475" s="1"/>
      <c r="GP475" s="1"/>
      <c r="GQ475" s="1"/>
      <c r="GR475" s="1"/>
      <c r="GS475" s="1"/>
      <c r="GT475" s="1"/>
      <c r="GU475" s="1"/>
      <c r="GV475" s="1"/>
      <c r="GW475" s="1"/>
      <c r="GX475" s="1"/>
      <c r="GY475" s="1"/>
      <c r="GZ475" s="1"/>
      <c r="HA475" s="1"/>
      <c r="HB475" s="1"/>
      <c r="HC475" s="1"/>
      <c r="HD475" s="1"/>
      <c r="HE475" s="1"/>
      <c r="HF475" s="1"/>
      <c r="HG475" s="1"/>
      <c r="HH475" s="1"/>
      <c r="HI475" s="1"/>
      <c r="HJ475" s="1"/>
      <c r="HK475" s="1"/>
      <c r="HL475" s="1"/>
      <c r="HM475" s="1"/>
      <c r="HN475" s="1"/>
      <c r="HO475" s="1"/>
      <c r="HP475" s="1"/>
      <c r="HQ475" s="1"/>
      <c r="HR475" s="1"/>
      <c r="HS475" s="1"/>
      <c r="HT475" s="1"/>
      <c r="HU475" s="1"/>
      <c r="HV475" s="1"/>
      <c r="HW475" s="1"/>
      <c r="HX475" s="1"/>
      <c r="HY475" s="1"/>
      <c r="HZ475" s="1"/>
      <c r="IA475" s="1"/>
      <c r="IB475" s="1"/>
      <c r="IC475" s="1"/>
      <c r="ID475" s="1"/>
      <c r="IE475" s="1"/>
      <c r="IF475" s="1"/>
      <c r="IG475" s="1"/>
      <c r="IH475" s="1"/>
      <c r="II475" s="1"/>
      <c r="IJ475" s="1"/>
      <c r="IK475" s="1"/>
      <c r="IL475" s="1"/>
      <c r="IM475" s="1"/>
      <c r="IN475" s="1"/>
      <c r="IO475" s="1"/>
      <c r="IP475" s="1"/>
      <c r="IQ475" s="1"/>
      <c r="IR475" s="1"/>
      <c r="IS475" s="1"/>
      <c r="IT475" s="1"/>
      <c r="IU475" s="1"/>
      <c r="IV475" s="1"/>
      <c r="IW475" s="1"/>
      <c r="IX475" s="1"/>
      <c r="IY475" s="1"/>
      <c r="IZ475" s="1"/>
      <c r="JA475" s="1"/>
      <c r="JB475" s="1"/>
      <c r="JC475" s="1"/>
      <c r="JD475" s="1"/>
    </row>
    <row r="476" spans="1:264" s="411" customFormat="1" x14ac:dyDescent="0.2">
      <c r="A476" s="429" t="s">
        <v>416</v>
      </c>
      <c r="B476" s="348" t="s">
        <v>140</v>
      </c>
      <c r="BH476" s="393">
        <f t="shared" ref="BH476:BJ477" si="447">BH360/(BH$367-BH$365)</f>
        <v>0.13043115764046312</v>
      </c>
      <c r="BI476" s="393">
        <f t="shared" si="447"/>
        <v>0.10704693328515369</v>
      </c>
      <c r="BJ476" s="393">
        <f t="shared" si="447"/>
        <v>0.10704693328515369</v>
      </c>
      <c r="BK476" s="348"/>
      <c r="BL476" s="393">
        <f t="shared" ref="BL476:BN477" si="448">BL360/(BL$367-BL$365)</f>
        <v>0.10200020216825453</v>
      </c>
      <c r="BM476" s="393">
        <f t="shared" si="448"/>
        <v>0.10278240180511107</v>
      </c>
      <c r="BN476" s="393">
        <f t="shared" si="448"/>
        <v>0.10278240180511107</v>
      </c>
      <c r="BO476" s="423"/>
      <c r="BP476" s="393">
        <f t="shared" ref="BP476:BR477" si="449">BP360/(BP$367-BP$365)</f>
        <v>0.1092627790674124</v>
      </c>
      <c r="BQ476" s="393">
        <f t="shared" si="449"/>
        <v>0.10022159149843</v>
      </c>
      <c r="BR476" s="393">
        <f t="shared" si="449"/>
        <v>0.10022159149843</v>
      </c>
      <c r="BT476" s="393">
        <f t="shared" ref="BT476:BV477" si="450">BT360/(BT$367-BT$365)</f>
        <v>8.7450939643684639E-2</v>
      </c>
      <c r="BU476" s="393">
        <f t="shared" si="450"/>
        <v>9.2587240616477592E-2</v>
      </c>
      <c r="BV476" s="393">
        <f t="shared" si="450"/>
        <v>9.2587240616477592E-2</v>
      </c>
      <c r="BX476" s="393">
        <f t="shared" ref="BX476:BZ477" si="451">BX360/(BX$367-BX$365)</f>
        <v>8.9165638130694891E-2</v>
      </c>
      <c r="BY476" s="393">
        <f t="shared" si="451"/>
        <v>8.5752194994102998E-2</v>
      </c>
      <c r="BZ476" s="393">
        <f t="shared" si="451"/>
        <v>8.5752194994102998E-2</v>
      </c>
      <c r="CB476" s="393">
        <f t="shared" ref="CB476:CD477" si="452">CB360/(CB$367-CB$365)</f>
        <v>7.6442925303651321E-2</v>
      </c>
      <c r="CC476" s="393">
        <f t="shared" si="452"/>
        <v>6.5697948111887658E-2</v>
      </c>
      <c r="CD476" s="393">
        <f t="shared" si="452"/>
        <v>6.5697948111887658E-2</v>
      </c>
      <c r="CF476" s="393">
        <f t="shared" ref="CF476:CH477" si="453">CF360/(CF$367-CF$365)</f>
        <v>7.0439037616118055E-2</v>
      </c>
      <c r="CG476" s="393">
        <f t="shared" si="453"/>
        <v>6.9808944453359403E-2</v>
      </c>
      <c r="CH476" s="393">
        <f t="shared" si="453"/>
        <v>6.9808944453359403E-2</v>
      </c>
      <c r="CJ476" s="393">
        <f t="shared" ref="CJ476:CL477" si="454">CJ360/(CJ$367-CJ$365)</f>
        <v>6.7234987034575505E-2</v>
      </c>
      <c r="CK476" s="393">
        <f t="shared" si="454"/>
        <v>6.3922921757000942E-2</v>
      </c>
      <c r="CL476" s="393">
        <f t="shared" si="454"/>
        <v>6.3922921757000942E-2</v>
      </c>
      <c r="CN476" s="393">
        <f t="shared" ref="CN476:CP477" si="455">CN360/(CN$367-CN$365)</f>
        <v>5.4564044715927164E-2</v>
      </c>
      <c r="CO476" s="393">
        <f t="shared" si="455"/>
        <v>5.9462187258638159E-2</v>
      </c>
      <c r="CP476" s="393">
        <f t="shared" si="455"/>
        <v>5.9462187258638159E-2</v>
      </c>
      <c r="CR476" s="393">
        <f t="shared" ref="CR476:CT477" si="456">CR360/(CR$367-CR$365)</f>
        <v>6.2383133556772913E-2</v>
      </c>
      <c r="CS476" s="393">
        <f t="shared" si="456"/>
        <v>5.5332099337475224E-2</v>
      </c>
      <c r="CT476" s="393">
        <f t="shared" si="456"/>
        <v>5.5332099337475224E-2</v>
      </c>
      <c r="CV476" s="393">
        <f t="shared" ref="CV476:CX477" si="457">CV360/(CV$367-CV$365)</f>
        <v>5.4543221046688392E-2</v>
      </c>
      <c r="CW476" s="393">
        <f t="shared" si="457"/>
        <v>5.1804253399422781E-2</v>
      </c>
      <c r="CX476" s="393">
        <f t="shared" si="457"/>
        <v>5.1804253399422781E-2</v>
      </c>
      <c r="CZ476" s="393">
        <f t="shared" ref="CZ476:DB477" si="458">CZ360/(CZ$367-CZ$365)</f>
        <v>5.1249260325284526E-2</v>
      </c>
      <c r="DA476" s="393">
        <f t="shared" si="458"/>
        <v>5.166059635417259E-2</v>
      </c>
      <c r="DB476" s="393">
        <f t="shared" si="458"/>
        <v>5.166059635417259E-2</v>
      </c>
      <c r="DD476" s="393">
        <f t="shared" ref="DD476:DF476" si="459">DD360/(DD$367-DD$365)</f>
        <v>4.476952973876358E-2</v>
      </c>
      <c r="DE476" s="393">
        <f t="shared" si="459"/>
        <v>4.3805823071439556E-2</v>
      </c>
      <c r="DF476" s="393">
        <f t="shared" si="459"/>
        <v>4.3805823071439556E-2</v>
      </c>
      <c r="DH476" s="393">
        <f t="shared" ref="DH476" si="460">DH360/(DH$367-DH$365)</f>
        <v>4.1933918876186221E-2</v>
      </c>
      <c r="DI476" s="393">
        <f t="shared" ref="DI476:DJ477" si="461">DI360/(DI$367-DI$365)</f>
        <v>4.1361659577213106E-2</v>
      </c>
      <c r="DJ476" s="393">
        <f t="shared" si="461"/>
        <v>4.1361659577213106E-2</v>
      </c>
      <c r="DL476" s="393">
        <f t="shared" ref="DL476:DN477" si="462">DL360/(DL$367-DL$365)</f>
        <v>4.0768732664462029E-2</v>
      </c>
      <c r="DM476" s="393">
        <f t="shared" si="462"/>
        <v>4.0176313833274142E-2</v>
      </c>
      <c r="DN476" s="393">
        <f t="shared" si="462"/>
        <v>4.0176313833274142E-2</v>
      </c>
      <c r="DP476" s="393">
        <f t="shared" ref="DP476:DR476" si="463">DP360/(DP$367-DP$365)</f>
        <v>3.9604068326420071E-2</v>
      </c>
      <c r="DQ476" s="393">
        <f t="shared" si="463"/>
        <v>3.9025994419575959E-2</v>
      </c>
      <c r="DR476" s="393">
        <f t="shared" si="463"/>
        <v>3.9025994419575959E-2</v>
      </c>
      <c r="DT476" s="1"/>
      <c r="DU476" s="1"/>
      <c r="DV476" s="1"/>
      <c r="DW476" s="1"/>
      <c r="DX476" s="1"/>
      <c r="DY476" s="1"/>
      <c r="DZ476" s="1"/>
      <c r="EA476" s="1"/>
      <c r="EB476" s="1"/>
      <c r="EC476" s="1"/>
      <c r="ED476" s="1"/>
      <c r="EE476" s="1"/>
      <c r="EF476" s="1"/>
      <c r="EG476" s="1"/>
      <c r="EH476" s="1"/>
      <c r="EI476" s="1"/>
      <c r="EJ476" s="1"/>
      <c r="EK476" s="1"/>
      <c r="EL476" s="1"/>
      <c r="EM476" s="1"/>
      <c r="EN476" s="1"/>
      <c r="EO476" s="1"/>
      <c r="EP476" s="1"/>
      <c r="EQ476" s="1"/>
      <c r="ER476" s="1"/>
      <c r="ES476" s="1"/>
      <c r="ET476" s="1"/>
      <c r="EU476" s="1"/>
      <c r="EV476" s="1"/>
      <c r="EW476" s="1"/>
      <c r="EX476" s="1"/>
      <c r="EY476" s="1"/>
      <c r="EZ476" s="1"/>
      <c r="FA476" s="1"/>
      <c r="FB476" s="1"/>
      <c r="FC476" s="1"/>
      <c r="FD476" s="1"/>
      <c r="FE476" s="1"/>
      <c r="FF476" s="1"/>
      <c r="FG476" s="1"/>
      <c r="FH476" s="1"/>
      <c r="FI476" s="1"/>
      <c r="FJ476" s="1"/>
      <c r="FK476" s="1"/>
      <c r="FL476" s="1"/>
      <c r="FM476" s="1"/>
      <c r="FN476" s="1"/>
      <c r="FO476" s="1"/>
      <c r="FP476" s="1"/>
      <c r="FQ476" s="1"/>
      <c r="FR476" s="1"/>
      <c r="FS476" s="1"/>
      <c r="FT476" s="1"/>
      <c r="FU476" s="1"/>
      <c r="FV476" s="1"/>
      <c r="FW476" s="1"/>
      <c r="FX476" s="1"/>
      <c r="FY476" s="1"/>
      <c r="FZ476" s="1"/>
      <c r="GA476" s="1"/>
      <c r="GB476" s="1"/>
      <c r="GC476" s="1"/>
      <c r="GD476" s="1"/>
      <c r="GE476" s="1"/>
      <c r="GF476" s="1"/>
      <c r="GG476" s="1"/>
      <c r="GH476" s="1"/>
      <c r="GI476" s="1"/>
      <c r="GJ476" s="1"/>
      <c r="GK476" s="1"/>
      <c r="GL476" s="1"/>
      <c r="GM476" s="1"/>
      <c r="GN476" s="1"/>
      <c r="GO476" s="1"/>
      <c r="GP476" s="1"/>
      <c r="GQ476" s="1"/>
      <c r="GR476" s="1"/>
      <c r="GS476" s="1"/>
      <c r="GT476" s="1"/>
      <c r="GU476" s="1"/>
      <c r="GV476" s="1"/>
      <c r="GW476" s="1"/>
      <c r="GX476" s="1"/>
      <c r="GY476" s="1"/>
      <c r="GZ476" s="1"/>
      <c r="HA476" s="1"/>
      <c r="HB476" s="1"/>
      <c r="HC476" s="1"/>
      <c r="HD476" s="1"/>
      <c r="HE476" s="1"/>
      <c r="HF476" s="1"/>
      <c r="HG476" s="1"/>
      <c r="HH476" s="1"/>
      <c r="HI476" s="1"/>
      <c r="HJ476" s="1"/>
      <c r="HK476" s="1"/>
      <c r="HL476" s="1"/>
      <c r="HM476" s="1"/>
      <c r="HN476" s="1"/>
      <c r="HO476" s="1"/>
      <c r="HP476" s="1"/>
      <c r="HQ476" s="1"/>
      <c r="HR476" s="1"/>
      <c r="HS476" s="1"/>
      <c r="HT476" s="1"/>
      <c r="HU476" s="1"/>
      <c r="HV476" s="1"/>
      <c r="HW476" s="1"/>
      <c r="HX476" s="1"/>
      <c r="HY476" s="1"/>
      <c r="HZ476" s="1"/>
      <c r="IA476" s="1"/>
      <c r="IB476" s="1"/>
      <c r="IC476" s="1"/>
      <c r="ID476" s="1"/>
      <c r="IE476" s="1"/>
      <c r="IF476" s="1"/>
      <c r="IG476" s="1"/>
      <c r="IH476" s="1"/>
      <c r="II476" s="1"/>
      <c r="IJ476" s="1"/>
      <c r="IK476" s="1"/>
      <c r="IL476" s="1"/>
      <c r="IM476" s="1"/>
      <c r="IN476" s="1"/>
      <c r="IO476" s="1"/>
      <c r="IP476" s="1"/>
      <c r="IQ476" s="1"/>
      <c r="IR476" s="1"/>
      <c r="IS476" s="1"/>
      <c r="IT476" s="1"/>
      <c r="IU476" s="1"/>
      <c r="IV476" s="1"/>
      <c r="IW476" s="1"/>
      <c r="IX476" s="1"/>
      <c r="IY476" s="1"/>
      <c r="IZ476" s="1"/>
      <c r="JA476" s="1"/>
      <c r="JB476" s="1"/>
      <c r="JC476" s="1"/>
      <c r="JD476" s="1"/>
    </row>
    <row r="477" spans="1:264" s="411" customFormat="1" x14ac:dyDescent="0.2">
      <c r="A477" s="429" t="s">
        <v>417</v>
      </c>
      <c r="B477" s="348" t="s">
        <v>140</v>
      </c>
      <c r="BH477" s="393">
        <f t="shared" si="447"/>
        <v>0.40274053476707034</v>
      </c>
      <c r="BI477" s="393">
        <f t="shared" si="447"/>
        <v>0.4072648433317102</v>
      </c>
      <c r="BJ477" s="393">
        <f t="shared" si="447"/>
        <v>0.4072648433317102</v>
      </c>
      <c r="BK477" s="348"/>
      <c r="BL477" s="393">
        <f t="shared" si="448"/>
        <v>0.38408598889759338</v>
      </c>
      <c r="BM477" s="393">
        <f t="shared" si="448"/>
        <v>0.36673280220151477</v>
      </c>
      <c r="BN477" s="393">
        <f t="shared" si="448"/>
        <v>0.36673280220151477</v>
      </c>
      <c r="BO477" s="423"/>
      <c r="BP477" s="393">
        <f t="shared" si="449"/>
        <v>0.34800660569897329</v>
      </c>
      <c r="BQ477" s="393">
        <f t="shared" si="449"/>
        <v>0.32832693703972615</v>
      </c>
      <c r="BR477" s="393">
        <f t="shared" si="449"/>
        <v>0.32832693703972615</v>
      </c>
      <c r="BT477" s="393">
        <f t="shared" si="450"/>
        <v>0.31549933553182063</v>
      </c>
      <c r="BU477" s="393">
        <f t="shared" si="450"/>
        <v>0.29866128588718932</v>
      </c>
      <c r="BV477" s="393">
        <f t="shared" si="450"/>
        <v>0.29866128588718932</v>
      </c>
      <c r="BX477" s="393">
        <f t="shared" si="451"/>
        <v>0.31449089155521381</v>
      </c>
      <c r="BY477" s="393">
        <f t="shared" si="451"/>
        <v>0.31902928842877737</v>
      </c>
      <c r="BZ477" s="393">
        <f t="shared" si="451"/>
        <v>0.31902928842877737</v>
      </c>
      <c r="CB477" s="393">
        <f t="shared" si="452"/>
        <v>0.31724360826408238</v>
      </c>
      <c r="CC477" s="393">
        <f t="shared" si="452"/>
        <v>0.31902531199694506</v>
      </c>
      <c r="CD477" s="393">
        <f t="shared" si="452"/>
        <v>0.31902531199694506</v>
      </c>
      <c r="CF477" s="393">
        <f t="shared" si="453"/>
        <v>0.32098614007113946</v>
      </c>
      <c r="CG477" s="393">
        <f t="shared" si="453"/>
        <v>0.30385401521377248</v>
      </c>
      <c r="CH477" s="393">
        <f t="shared" si="453"/>
        <v>0.30385401521377248</v>
      </c>
      <c r="CJ477" s="393">
        <f t="shared" si="454"/>
        <v>0.28825422816034169</v>
      </c>
      <c r="CK477" s="393">
        <f t="shared" si="454"/>
        <v>0.24046228262995495</v>
      </c>
      <c r="CL477" s="393">
        <f t="shared" si="454"/>
        <v>0.24046228262995495</v>
      </c>
      <c r="CN477" s="393">
        <f t="shared" si="455"/>
        <v>0.21494846721392322</v>
      </c>
      <c r="CO477" s="393">
        <f t="shared" si="455"/>
        <v>0.19685622229985958</v>
      </c>
      <c r="CP477" s="393">
        <f t="shared" si="455"/>
        <v>0.19685622229985958</v>
      </c>
      <c r="CR477" s="393">
        <f t="shared" si="456"/>
        <v>0.18659944093748537</v>
      </c>
      <c r="CS477" s="393">
        <f t="shared" si="456"/>
        <v>0.19302614437751539</v>
      </c>
      <c r="CT477" s="393">
        <f t="shared" si="456"/>
        <v>0.19302614437751539</v>
      </c>
      <c r="CV477" s="393">
        <f t="shared" si="457"/>
        <v>0.23042169208363208</v>
      </c>
      <c r="CW477" s="393">
        <f t="shared" si="457"/>
        <v>0.24418700150956929</v>
      </c>
      <c r="CX477" s="393">
        <f t="shared" si="457"/>
        <v>0.24418700150956929</v>
      </c>
      <c r="CZ477" s="393">
        <f t="shared" si="458"/>
        <v>0.25547072037135982</v>
      </c>
      <c r="DA477" s="393">
        <f t="shared" si="458"/>
        <v>0.24543475343004884</v>
      </c>
      <c r="DB477" s="393">
        <f t="shared" si="458"/>
        <v>0.24543475343004884</v>
      </c>
      <c r="DD477" s="393">
        <f t="shared" ref="DD477:DF477" si="464">DD361/(DD$367-DD$365)</f>
        <v>0.25000585331916642</v>
      </c>
      <c r="DE477" s="393">
        <f t="shared" si="464"/>
        <v>0.2491057018963313</v>
      </c>
      <c r="DF477" s="393">
        <f t="shared" si="464"/>
        <v>0.2491057018963313</v>
      </c>
      <c r="DH477" s="393">
        <f t="shared" ref="DH477" si="465">DH361/(DH$367-DH$365)</f>
        <v>0.24192011635320862</v>
      </c>
      <c r="DI477" s="393">
        <f t="shared" si="461"/>
        <v>0.24079322199209818</v>
      </c>
      <c r="DJ477" s="393">
        <f t="shared" si="461"/>
        <v>0.24079322199209818</v>
      </c>
      <c r="DL477" s="393">
        <f t="shared" si="462"/>
        <v>0.23883587275642004</v>
      </c>
      <c r="DM477" s="393">
        <f t="shared" si="462"/>
        <v>0.23684509096596706</v>
      </c>
      <c r="DN477" s="393">
        <f t="shared" si="462"/>
        <v>0.23684509096596706</v>
      </c>
      <c r="DP477" s="393">
        <f t="shared" ref="DP477:DR477" si="466">DP361/(DP$367-DP$365)</f>
        <v>0.23493735563761836</v>
      </c>
      <c r="DQ477" s="393">
        <f t="shared" si="466"/>
        <v>0.23295946574436607</v>
      </c>
      <c r="DR477" s="393">
        <f t="shared" si="466"/>
        <v>0.23295946574436607</v>
      </c>
      <c r="DT477" s="1"/>
      <c r="DU477" s="1"/>
      <c r="DV477" s="1"/>
      <c r="DW477" s="1"/>
      <c r="DX477" s="1"/>
      <c r="DY477" s="1"/>
      <c r="DZ477" s="1"/>
      <c r="EA477" s="1"/>
      <c r="EB477" s="1"/>
      <c r="EC477" s="1"/>
      <c r="ED477" s="1"/>
      <c r="EE477" s="1"/>
      <c r="EF477" s="1"/>
      <c r="EG477" s="1"/>
      <c r="EH477" s="1"/>
      <c r="EI477" s="1"/>
      <c r="EJ477" s="1"/>
      <c r="EK477" s="1"/>
      <c r="EL477" s="1"/>
      <c r="EM477" s="1"/>
      <c r="EN477" s="1"/>
      <c r="EO477" s="1"/>
      <c r="EP477" s="1"/>
      <c r="EQ477" s="1"/>
      <c r="ER477" s="1"/>
      <c r="ES477" s="1"/>
      <c r="ET477" s="1"/>
      <c r="EU477" s="1"/>
      <c r="EV477" s="1"/>
      <c r="EW477" s="1"/>
      <c r="EX477" s="1"/>
      <c r="EY477" s="1"/>
      <c r="EZ477" s="1"/>
      <c r="FA477" s="1"/>
      <c r="FB477" s="1"/>
      <c r="FC477" s="1"/>
      <c r="FD477" s="1"/>
      <c r="FE477" s="1"/>
      <c r="FF477" s="1"/>
      <c r="FG477" s="1"/>
      <c r="FH477" s="1"/>
      <c r="FI477" s="1"/>
      <c r="FJ477" s="1"/>
      <c r="FK477" s="1"/>
      <c r="FL477" s="1"/>
      <c r="FM477" s="1"/>
      <c r="FN477" s="1"/>
      <c r="FO477" s="1"/>
      <c r="FP477" s="1"/>
      <c r="FQ477" s="1"/>
      <c r="FR477" s="1"/>
      <c r="FS477" s="1"/>
      <c r="FT477" s="1"/>
      <c r="FU477" s="1"/>
      <c r="FV477" s="1"/>
      <c r="FW477" s="1"/>
      <c r="FX477" s="1"/>
      <c r="FY477" s="1"/>
      <c r="FZ477" s="1"/>
      <c r="GA477" s="1"/>
      <c r="GB477" s="1"/>
      <c r="GC477" s="1"/>
      <c r="GD477" s="1"/>
      <c r="GE477" s="1"/>
      <c r="GF477" s="1"/>
      <c r="GG477" s="1"/>
      <c r="GH477" s="1"/>
      <c r="GI477" s="1"/>
      <c r="GJ477" s="1"/>
      <c r="GK477" s="1"/>
      <c r="GL477" s="1"/>
      <c r="GM477" s="1"/>
      <c r="GN477" s="1"/>
      <c r="GO477" s="1"/>
      <c r="GP477" s="1"/>
      <c r="GQ477" s="1"/>
      <c r="GR477" s="1"/>
      <c r="GS477" s="1"/>
      <c r="GT477" s="1"/>
      <c r="GU477" s="1"/>
      <c r="GV477" s="1"/>
      <c r="GW477" s="1"/>
      <c r="GX477" s="1"/>
      <c r="GY477" s="1"/>
      <c r="GZ477" s="1"/>
      <c r="HA477" s="1"/>
      <c r="HB477" s="1"/>
      <c r="HC477" s="1"/>
      <c r="HD477" s="1"/>
      <c r="HE477" s="1"/>
      <c r="HF477" s="1"/>
      <c r="HG477" s="1"/>
      <c r="HH477" s="1"/>
      <c r="HI477" s="1"/>
      <c r="HJ477" s="1"/>
      <c r="HK477" s="1"/>
      <c r="HL477" s="1"/>
      <c r="HM477" s="1"/>
      <c r="HN477" s="1"/>
      <c r="HO477" s="1"/>
      <c r="HP477" s="1"/>
      <c r="HQ477" s="1"/>
      <c r="HR477" s="1"/>
      <c r="HS477" s="1"/>
      <c r="HT477" s="1"/>
      <c r="HU477" s="1"/>
      <c r="HV477" s="1"/>
      <c r="HW477" s="1"/>
      <c r="HX477" s="1"/>
      <c r="HY477" s="1"/>
      <c r="HZ477" s="1"/>
      <c r="IA477" s="1"/>
      <c r="IB477" s="1"/>
      <c r="IC477" s="1"/>
      <c r="ID477" s="1"/>
      <c r="IE477" s="1"/>
      <c r="IF477" s="1"/>
      <c r="IG477" s="1"/>
      <c r="IH477" s="1"/>
      <c r="II477" s="1"/>
      <c r="IJ477" s="1"/>
      <c r="IK477" s="1"/>
      <c r="IL477" s="1"/>
      <c r="IM477" s="1"/>
      <c r="IN477" s="1"/>
      <c r="IO477" s="1"/>
      <c r="IP477" s="1"/>
      <c r="IQ477" s="1"/>
      <c r="IR477" s="1"/>
      <c r="IS477" s="1"/>
      <c r="IT477" s="1"/>
      <c r="IU477" s="1"/>
      <c r="IV477" s="1"/>
      <c r="IW477" s="1"/>
      <c r="IX477" s="1"/>
      <c r="IY477" s="1"/>
      <c r="IZ477" s="1"/>
      <c r="JA477" s="1"/>
      <c r="JB477" s="1"/>
      <c r="JC477" s="1"/>
      <c r="JD477" s="1"/>
    </row>
    <row r="478" spans="1:264" s="411" customFormat="1" x14ac:dyDescent="0.2">
      <c r="A478" s="429" t="s">
        <v>418</v>
      </c>
      <c r="B478" s="348" t="s">
        <v>140</v>
      </c>
      <c r="BH478" s="393">
        <f>BH361/(BH$367-BH$365-BH$360)</f>
        <v>0.4631496842438047</v>
      </c>
      <c r="BI478" s="393">
        <f>BI361/(BI$367-BI$365-BI$360)</f>
        <v>0.45608762488495408</v>
      </c>
      <c r="BJ478" s="393">
        <f>BJ361/(BJ$367-BJ$365-BJ$360)</f>
        <v>0.45608762488495408</v>
      </c>
      <c r="BK478" s="348"/>
      <c r="BL478" s="393">
        <f>BL361/(BL$367-BL$365-BL$360)</f>
        <v>0.42771277880572306</v>
      </c>
      <c r="BM478" s="393">
        <f>BM361/(BM$367-BM$365-BM$360)</f>
        <v>0.40874454863496223</v>
      </c>
      <c r="BN478" s="393">
        <f>BN361/(BN$367-BN$365-BN$360)</f>
        <v>0.40874454863496223</v>
      </c>
      <c r="BO478" s="423"/>
      <c r="BP478" s="393">
        <f>BP361/(BP$367-BP$365-BP$360)</f>
        <v>0.3906950304991364</v>
      </c>
      <c r="BQ478" s="393">
        <f>BQ361/(BQ$367-BQ$365-BQ$360)</f>
        <v>0.36489755026073545</v>
      </c>
      <c r="BR478" s="393">
        <f>BR361/(BR$367-BR$365-BR$360)</f>
        <v>0.36489755026073545</v>
      </c>
      <c r="BT478" s="393">
        <f>BT361/(BT$367-BT$365-BT$360)</f>
        <v>0.34573410815702366</v>
      </c>
      <c r="BU478" s="393">
        <f>BU361/(BU$367-BU$365-BU$360)</f>
        <v>0.32913498603446312</v>
      </c>
      <c r="BV478" s="393">
        <f>BV361/(BV$367-BV$365-BV$360)</f>
        <v>0.32913498603446312</v>
      </c>
      <c r="BX478" s="393">
        <f>BX361/(BX$367-BX$365-BX$360)</f>
        <v>0.34527780760245391</v>
      </c>
      <c r="BY478" s="393">
        <f>BY361/(BY$367-BY$365-BY$360)</f>
        <v>0.34895275294286277</v>
      </c>
      <c r="BZ478" s="393">
        <f>BZ361/(BZ$367-BZ$365-BZ$360)</f>
        <v>0.34895275294286277</v>
      </c>
      <c r="CB478" s="393">
        <f>CB361/(CB$367-CB$365-CB$360)</f>
        <v>0.34350189821066252</v>
      </c>
      <c r="CC478" s="393">
        <f>CC361/(CC$367-CC$365-CC$360)</f>
        <v>0.34145843022846112</v>
      </c>
      <c r="CD478" s="393">
        <f>CD361/(CD$367-CD$365-CD$360)</f>
        <v>0.34145843022846112</v>
      </c>
      <c r="CF478" s="393">
        <f>CF361/(CF$367-CF$365-CF$360)</f>
        <v>0.34530940202992455</v>
      </c>
      <c r="CG478" s="393">
        <f>CG361/(CG$367-CG$365-CG$360)</f>
        <v>0.32665764027929522</v>
      </c>
      <c r="CH478" s="393">
        <f>CH361/(CH$367-CH$365-CH$360)</f>
        <v>0.32665764027929522</v>
      </c>
      <c r="CJ478" s="393">
        <f>CJ361/(CJ$367-CJ$365-CJ$360)</f>
        <v>0.30903199000135162</v>
      </c>
      <c r="CK478" s="393">
        <f>CK361/(CK$367-CK$365-CK$360)</f>
        <v>0.25688299416678229</v>
      </c>
      <c r="CL478" s="393">
        <f>CL361/(CL$367-CL$365-CL$360)</f>
        <v>0.25688299416678229</v>
      </c>
      <c r="CN478" s="393">
        <f>CN361/(CN$367-CN$365-CN$360)</f>
        <v>0.22735381070771546</v>
      </c>
      <c r="CO478" s="393">
        <f>CO361/(CO$367-CO$365-CO$360)</f>
        <v>0.20930176292018257</v>
      </c>
      <c r="CP478" s="393">
        <f>CP361/(CP$367-CP$365-CP$360)</f>
        <v>0.20930176292018257</v>
      </c>
      <c r="CR478" s="393">
        <f>CR361/(CR$367-CR$365-CR$360)</f>
        <v>0.19901459499692567</v>
      </c>
      <c r="CS478" s="393">
        <f>CS361/(CS$367-CS$365-CS$360)</f>
        <v>0.20433227829816192</v>
      </c>
      <c r="CT478" s="393">
        <f>CT361/(CT$367-CT$365-CT$360)</f>
        <v>0.20433227829816192</v>
      </c>
      <c r="CV478" s="393">
        <f>CV361/(CV$367-CV$365-CV$360)</f>
        <v>0.2437146755018515</v>
      </c>
      <c r="CW478" s="393">
        <f>CW361/(CW$367-CW$365-CW$360)</f>
        <v>0.25752804986208383</v>
      </c>
      <c r="CX478" s="393">
        <f>CX361/(CX$367-CX$365-CX$360)</f>
        <v>0.25752804986208383</v>
      </c>
      <c r="CZ478" s="393">
        <f>CZ361/(CZ$367-CZ$365-CZ$360)</f>
        <v>0.26927064157963065</v>
      </c>
      <c r="DA478" s="393">
        <f>DA361/(DA$367-DA$365-DA$360)</f>
        <v>0.25880476176197187</v>
      </c>
      <c r="DB478" s="393">
        <f>DB361/(DB$367-DB$365-DB$360)</f>
        <v>0.25880476176197187</v>
      </c>
      <c r="DD478" s="393">
        <f>DD361/(DD$367-DD$365-DD$360)</f>
        <v>0.2617230721825643</v>
      </c>
      <c r="DE478" s="393">
        <f>DE361/(DE$367-DE$365-DE$360)</f>
        <v>0.26051790306493633</v>
      </c>
      <c r="DF478" s="393">
        <f>DF361/(DF$367-DF$365-DF$360)</f>
        <v>0.26051790306493633</v>
      </c>
      <c r="DH478" s="393">
        <f>DH361/(DH$367-DH$365-DH$360)</f>
        <v>0.2525087998830266</v>
      </c>
      <c r="DI478" s="393">
        <f>DI361/(DI$367-DI$365-DI$360)</f>
        <v>0.25118254907883353</v>
      </c>
      <c r="DJ478" s="393">
        <f>DJ361/(DJ$367-DJ$365-DJ$360)</f>
        <v>0.25118254907883353</v>
      </c>
      <c r="DL478" s="393">
        <f>DL361/(DL$367-DL$365-DL$360)</f>
        <v>0.24898674687683583</v>
      </c>
      <c r="DM478" s="393">
        <f>DM361/(DM$367-DM$365-DM$360)</f>
        <v>0.24675895623274499</v>
      </c>
      <c r="DN478" s="393">
        <f>DN361/(DN$367-DN$365-DN$360)</f>
        <v>0.24675895623274499</v>
      </c>
      <c r="DP478" s="393">
        <f>DP361/(DP$367-DP$365-DP$360)</f>
        <v>0.24462552150571693</v>
      </c>
      <c r="DQ478" s="393">
        <f>DQ361/(DQ$367-DQ$365-DQ$360)</f>
        <v>0.2424201532940109</v>
      </c>
      <c r="DR478" s="393">
        <f>DR361/(DR$367-DR$365-DR$360)</f>
        <v>0.2424201532940109</v>
      </c>
      <c r="DT478" s="1"/>
      <c r="DU478" s="1"/>
      <c r="DV478" s="1"/>
      <c r="DW478" s="1"/>
      <c r="DX478" s="1"/>
      <c r="DY478" s="1"/>
      <c r="DZ478" s="1"/>
      <c r="EA478" s="1"/>
      <c r="EB478" s="1"/>
      <c r="EC478" s="1"/>
      <c r="ED478" s="1"/>
      <c r="EE478" s="1"/>
      <c r="EF478" s="1"/>
      <c r="EG478" s="1"/>
      <c r="EH478" s="1"/>
      <c r="EI478" s="1"/>
      <c r="EJ478" s="1"/>
      <c r="EK478" s="1"/>
      <c r="EL478" s="1"/>
      <c r="EM478" s="1"/>
      <c r="EN478" s="1"/>
      <c r="EO478" s="1"/>
      <c r="EP478" s="1"/>
      <c r="EQ478" s="1"/>
      <c r="ER478" s="1"/>
      <c r="ES478" s="1"/>
      <c r="ET478" s="1"/>
      <c r="EU478" s="1"/>
      <c r="EV478" s="1"/>
      <c r="EW478" s="1"/>
      <c r="EX478" s="1"/>
      <c r="EY478" s="1"/>
      <c r="EZ478" s="1"/>
      <c r="FA478" s="1"/>
      <c r="FB478" s="1"/>
      <c r="FC478" s="1"/>
      <c r="FD478" s="1"/>
      <c r="FE478" s="1"/>
      <c r="FF478" s="1"/>
      <c r="FG478" s="1"/>
      <c r="FH478" s="1"/>
      <c r="FI478" s="1"/>
      <c r="FJ478" s="1"/>
      <c r="FK478" s="1"/>
      <c r="FL478" s="1"/>
      <c r="FM478" s="1"/>
      <c r="FN478" s="1"/>
      <c r="FO478" s="1"/>
      <c r="FP478" s="1"/>
      <c r="FQ478" s="1"/>
      <c r="FR478" s="1"/>
      <c r="FS478" s="1"/>
      <c r="FT478" s="1"/>
      <c r="FU478" s="1"/>
      <c r="FV478" s="1"/>
      <c r="FW478" s="1"/>
      <c r="FX478" s="1"/>
      <c r="FY478" s="1"/>
      <c r="FZ478" s="1"/>
      <c r="GA478" s="1"/>
      <c r="GB478" s="1"/>
      <c r="GC478" s="1"/>
      <c r="GD478" s="1"/>
      <c r="GE478" s="1"/>
      <c r="GF478" s="1"/>
      <c r="GG478" s="1"/>
      <c r="GH478" s="1"/>
      <c r="GI478" s="1"/>
      <c r="GJ478" s="1"/>
      <c r="GK478" s="1"/>
      <c r="GL478" s="1"/>
      <c r="GM478" s="1"/>
      <c r="GN478" s="1"/>
      <c r="GO478" s="1"/>
      <c r="GP478" s="1"/>
      <c r="GQ478" s="1"/>
      <c r="GR478" s="1"/>
      <c r="GS478" s="1"/>
      <c r="GT478" s="1"/>
      <c r="GU478" s="1"/>
      <c r="GV478" s="1"/>
      <c r="GW478" s="1"/>
      <c r="GX478" s="1"/>
      <c r="GY478" s="1"/>
      <c r="GZ478" s="1"/>
      <c r="HA478" s="1"/>
      <c r="HB478" s="1"/>
      <c r="HC478" s="1"/>
      <c r="HD478" s="1"/>
      <c r="HE478" s="1"/>
      <c r="HF478" s="1"/>
      <c r="HG478" s="1"/>
      <c r="HH478" s="1"/>
      <c r="HI478" s="1"/>
      <c r="HJ478" s="1"/>
      <c r="HK478" s="1"/>
      <c r="HL478" s="1"/>
      <c r="HM478" s="1"/>
      <c r="HN478" s="1"/>
      <c r="HO478" s="1"/>
      <c r="HP478" s="1"/>
      <c r="HQ478" s="1"/>
      <c r="HR478" s="1"/>
      <c r="HS478" s="1"/>
      <c r="HT478" s="1"/>
      <c r="HU478" s="1"/>
      <c r="HV478" s="1"/>
      <c r="HW478" s="1"/>
      <c r="HX478" s="1"/>
      <c r="HY478" s="1"/>
      <c r="HZ478" s="1"/>
      <c r="IA478" s="1"/>
      <c r="IB478" s="1"/>
      <c r="IC478" s="1"/>
      <c r="ID478" s="1"/>
      <c r="IE478" s="1"/>
      <c r="IF478" s="1"/>
      <c r="IG478" s="1"/>
      <c r="IH478" s="1"/>
      <c r="II478" s="1"/>
      <c r="IJ478" s="1"/>
      <c r="IK478" s="1"/>
      <c r="IL478" s="1"/>
      <c r="IM478" s="1"/>
      <c r="IN478" s="1"/>
      <c r="IO478" s="1"/>
      <c r="IP478" s="1"/>
      <c r="IQ478" s="1"/>
      <c r="IR478" s="1"/>
      <c r="IS478" s="1"/>
      <c r="IT478" s="1"/>
      <c r="IU478" s="1"/>
      <c r="IV478" s="1"/>
      <c r="IW478" s="1"/>
      <c r="IX478" s="1"/>
      <c r="IY478" s="1"/>
      <c r="IZ478" s="1"/>
      <c r="JA478" s="1"/>
      <c r="JB478" s="1"/>
      <c r="JC478" s="1"/>
      <c r="JD478" s="1"/>
    </row>
    <row r="479" spans="1:264" s="411" customFormat="1" x14ac:dyDescent="0.2">
      <c r="B479" s="423"/>
      <c r="BH479" s="397"/>
      <c r="BI479" s="397"/>
      <c r="BJ479" s="397"/>
      <c r="BK479" s="348"/>
      <c r="BL479" s="397"/>
      <c r="BM479" s="397"/>
      <c r="BN479" s="397"/>
      <c r="BO479" s="423"/>
      <c r="BP479" s="397"/>
      <c r="BQ479" s="397"/>
      <c r="BR479" s="397"/>
      <c r="BT479" s="397"/>
      <c r="BU479" s="397"/>
      <c r="BV479" s="397"/>
      <c r="BX479" s="397"/>
      <c r="BY479" s="397"/>
      <c r="BZ479" s="397"/>
      <c r="CB479" s="397"/>
      <c r="CC479" s="397"/>
      <c r="CD479" s="397"/>
      <c r="CF479" s="397"/>
      <c r="CG479" s="397"/>
      <c r="CH479" s="397"/>
      <c r="CJ479" s="397"/>
      <c r="CK479" s="397"/>
      <c r="CL479" s="397"/>
      <c r="CN479" s="397"/>
      <c r="CO479" s="397"/>
      <c r="CP479" s="397"/>
      <c r="CR479" s="397"/>
      <c r="CS479" s="397"/>
      <c r="CT479" s="397"/>
      <c r="CV479" s="397"/>
      <c r="CW479" s="397"/>
      <c r="CX479" s="397"/>
      <c r="CZ479" s="397"/>
      <c r="DA479" s="397"/>
      <c r="DB479" s="397"/>
      <c r="DD479" s="397"/>
      <c r="DE479" s="397"/>
      <c r="DF479" s="397"/>
      <c r="DH479" s="397"/>
      <c r="DI479" s="397"/>
      <c r="DJ479" s="397"/>
      <c r="DL479" s="397"/>
      <c r="DM479" s="397"/>
      <c r="DN479" s="397"/>
      <c r="DP479" s="397"/>
      <c r="DQ479" s="397"/>
      <c r="DR479" s="397"/>
      <c r="DT479" s="1"/>
      <c r="DU479" s="1"/>
      <c r="DV479" s="1"/>
      <c r="DW479" s="1"/>
      <c r="DX479" s="1"/>
      <c r="DY479" s="1"/>
      <c r="DZ479" s="1"/>
      <c r="EA479" s="1"/>
      <c r="EB479" s="1"/>
      <c r="EC479" s="1"/>
      <c r="ED479" s="1"/>
      <c r="EE479" s="1"/>
      <c r="EF479" s="1"/>
      <c r="EG479" s="1"/>
      <c r="EH479" s="1"/>
      <c r="EI479" s="1"/>
      <c r="EJ479" s="1"/>
      <c r="EK479" s="1"/>
      <c r="EL479" s="1"/>
      <c r="EM479" s="1"/>
      <c r="EN479" s="1"/>
      <c r="EO479" s="1"/>
      <c r="EP479" s="1"/>
      <c r="EQ479" s="1"/>
      <c r="ER479" s="1"/>
      <c r="ES479" s="1"/>
      <c r="ET479" s="1"/>
      <c r="EU479" s="1"/>
      <c r="EV479" s="1"/>
      <c r="EW479" s="1"/>
      <c r="EX479" s="1"/>
      <c r="EY479" s="1"/>
      <c r="EZ479" s="1"/>
      <c r="FA479" s="1"/>
      <c r="FB479" s="1"/>
      <c r="FC479" s="1"/>
      <c r="FD479" s="1"/>
      <c r="FE479" s="1"/>
      <c r="FF479" s="1"/>
      <c r="FG479" s="1"/>
      <c r="FH479" s="1"/>
      <c r="FI479" s="1"/>
      <c r="FJ479" s="1"/>
      <c r="FK479" s="1"/>
      <c r="FL479" s="1"/>
      <c r="FM479" s="1"/>
      <c r="FN479" s="1"/>
      <c r="FO479" s="1"/>
      <c r="FP479" s="1"/>
      <c r="FQ479" s="1"/>
      <c r="FR479" s="1"/>
      <c r="FS479" s="1"/>
      <c r="FT479" s="1"/>
      <c r="FU479" s="1"/>
      <c r="FV479" s="1"/>
      <c r="FW479" s="1"/>
      <c r="FX479" s="1"/>
      <c r="FY479" s="1"/>
      <c r="FZ479" s="1"/>
      <c r="GA479" s="1"/>
      <c r="GB479" s="1"/>
      <c r="GC479" s="1"/>
      <c r="GD479" s="1"/>
      <c r="GE479" s="1"/>
      <c r="GF479" s="1"/>
      <c r="GG479" s="1"/>
      <c r="GH479" s="1"/>
      <c r="GI479" s="1"/>
      <c r="GJ479" s="1"/>
      <c r="GK479" s="1"/>
      <c r="GL479" s="1"/>
      <c r="GM479" s="1"/>
      <c r="GN479" s="1"/>
      <c r="GO479" s="1"/>
      <c r="GP479" s="1"/>
      <c r="GQ479" s="1"/>
      <c r="GR479" s="1"/>
      <c r="GS479" s="1"/>
      <c r="GT479" s="1"/>
      <c r="GU479" s="1"/>
      <c r="GV479" s="1"/>
      <c r="GW479" s="1"/>
      <c r="GX479" s="1"/>
      <c r="GY479" s="1"/>
      <c r="GZ479" s="1"/>
      <c r="HA479" s="1"/>
      <c r="HB479" s="1"/>
      <c r="HC479" s="1"/>
      <c r="HD479" s="1"/>
      <c r="HE479" s="1"/>
      <c r="HF479" s="1"/>
      <c r="HG479" s="1"/>
      <c r="HH479" s="1"/>
      <c r="HI479" s="1"/>
      <c r="HJ479" s="1"/>
      <c r="HK479" s="1"/>
      <c r="HL479" s="1"/>
      <c r="HM479" s="1"/>
      <c r="HN479" s="1"/>
      <c r="HO479" s="1"/>
      <c r="HP479" s="1"/>
      <c r="HQ479" s="1"/>
      <c r="HR479" s="1"/>
      <c r="HS479" s="1"/>
      <c r="HT479" s="1"/>
      <c r="HU479" s="1"/>
      <c r="HV479" s="1"/>
      <c r="HW479" s="1"/>
      <c r="HX479" s="1"/>
      <c r="HY479" s="1"/>
      <c r="HZ479" s="1"/>
      <c r="IA479" s="1"/>
      <c r="IB479" s="1"/>
      <c r="IC479" s="1"/>
      <c r="ID479" s="1"/>
      <c r="IE479" s="1"/>
      <c r="IF479" s="1"/>
      <c r="IG479" s="1"/>
      <c r="IH479" s="1"/>
      <c r="II479" s="1"/>
      <c r="IJ479" s="1"/>
      <c r="IK479" s="1"/>
      <c r="IL479" s="1"/>
      <c r="IM479" s="1"/>
      <c r="IN479" s="1"/>
      <c r="IO479" s="1"/>
      <c r="IP479" s="1"/>
      <c r="IQ479" s="1"/>
      <c r="IR479" s="1"/>
      <c r="IS479" s="1"/>
      <c r="IT479" s="1"/>
      <c r="IU479" s="1"/>
      <c r="IV479" s="1"/>
      <c r="IW479" s="1"/>
      <c r="IX479" s="1"/>
      <c r="IY479" s="1"/>
      <c r="IZ479" s="1"/>
      <c r="JA479" s="1"/>
      <c r="JB479" s="1"/>
      <c r="JC479" s="1"/>
      <c r="JD479" s="1"/>
    </row>
    <row r="480" spans="1:264" s="546" customFormat="1" x14ac:dyDescent="0.2">
      <c r="A480" s="550" t="s">
        <v>419</v>
      </c>
      <c r="B480" s="547" t="s">
        <v>140</v>
      </c>
      <c r="BH480" s="551">
        <f>(BH368-BH360)/BH$470</f>
        <v>0.58445370324093215</v>
      </c>
      <c r="BI480" s="551">
        <f>(BI368-BI360)/BI$470</f>
        <v>0.58783607375346658</v>
      </c>
      <c r="BJ480" s="551">
        <f>(BJ368-BJ360)/BJ$470</f>
        <v>0.58783607375346658</v>
      </c>
      <c r="BK480" s="420"/>
      <c r="BL480" s="551">
        <f>(BL368-BL360)/BL$470</f>
        <v>0.5863062255429029</v>
      </c>
      <c r="BM480" s="551">
        <f>(BM368-BM360)/BM$470</f>
        <v>0.592243139830812</v>
      </c>
      <c r="BN480" s="551">
        <f>(BN368-BN360)/BN$470</f>
        <v>0.592243139830812</v>
      </c>
      <c r="BO480" s="545"/>
      <c r="BP480" s="551">
        <f>(BP368-BP360)/BP$470</f>
        <v>0.58363713156622077</v>
      </c>
      <c r="BQ480" s="551">
        <f>(BQ368-BQ360)/BQ$470</f>
        <v>0.58689549807981378</v>
      </c>
      <c r="BR480" s="551">
        <f>(BR368-BR360)/BR$470</f>
        <v>0.58689549807981378</v>
      </c>
      <c r="BT480" s="551">
        <f>(BT368-BT360)/BT$470</f>
        <v>0.5959291009284402</v>
      </c>
      <c r="BU480" s="551">
        <f>(BU368-BU360)/BU$470</f>
        <v>0.61047177548596321</v>
      </c>
      <c r="BV480" s="551">
        <f>(BV368-BV360)/BV$470</f>
        <v>0.61047177548596321</v>
      </c>
      <c r="BX480" s="551">
        <f>(BX368-BX360)/BX$470</f>
        <v>0.60720993937949697</v>
      </c>
      <c r="BY480" s="551">
        <f>(BY368-BY360)/BY$470</f>
        <v>0.62187325208524147</v>
      </c>
      <c r="BZ480" s="551">
        <f>(BZ368-BZ360)/BZ$470</f>
        <v>0.62187325208524147</v>
      </c>
      <c r="CB480" s="551">
        <f>(CB461)/CB$470</f>
        <v>0.6329233753982918</v>
      </c>
      <c r="CC480" s="551">
        <f>(CC461)/CC$470</f>
        <v>0.63233877661534088</v>
      </c>
      <c r="CD480" s="551">
        <f>(CD461)/CD$470</f>
        <v>0.63233877661534088</v>
      </c>
      <c r="CF480" s="551">
        <f>(CF461)/CF$470</f>
        <v>0.63820360020996081</v>
      </c>
      <c r="CG480" s="551">
        <f>(CG461)/CG$470</f>
        <v>0.63774628146799783</v>
      </c>
      <c r="CH480" s="551">
        <f>(CH461)/CH$470</f>
        <v>0.63774628146799783</v>
      </c>
      <c r="CJ480" s="551">
        <f>(CJ461)/CJ$470</f>
        <v>0.64852969663258164</v>
      </c>
      <c r="CK480" s="551">
        <f>(CK461)/CK$470</f>
        <v>0.67556390304227965</v>
      </c>
      <c r="CL480" s="551">
        <f>(CL461)/CL$470</f>
        <v>0.67556390304227965</v>
      </c>
      <c r="CN480" s="551">
        <f>(CN461)/CN$470</f>
        <v>0.70473134100123569</v>
      </c>
      <c r="CO480" s="551">
        <f>(CO461)/CO$470</f>
        <v>0.70813827744782754</v>
      </c>
      <c r="CP480" s="551">
        <f>(CP461)/CP$470</f>
        <v>0.70813827744782754</v>
      </c>
      <c r="CR480" s="551">
        <f>(CR461)/CR$470</f>
        <v>0.71633175827869577</v>
      </c>
      <c r="CS480" s="551">
        <f>(CS461)/CS$470</f>
        <v>0.7277374779591711</v>
      </c>
      <c r="CT480" s="551">
        <f>(CT461)/CT$470</f>
        <v>0.7277374779591711</v>
      </c>
      <c r="CV480" s="551">
        <f>(CV461)/CV$470</f>
        <v>0.73592482945037974</v>
      </c>
      <c r="CW480" s="551">
        <f>(CW461)/CW$470</f>
        <v>0.75542630800933386</v>
      </c>
      <c r="CX480" s="551">
        <f>(CX461)/CX$470</f>
        <v>0.75542630800933386</v>
      </c>
      <c r="CZ480" s="551">
        <f>(CZ461)/CZ$470</f>
        <v>0.74874002767495884</v>
      </c>
      <c r="DA480" s="551">
        <f>(DA461)/DA$470</f>
        <v>0.73946535162798122</v>
      </c>
      <c r="DB480" s="551">
        <f>(DB461)/DB$470</f>
        <v>0.73946535162798122</v>
      </c>
      <c r="DD480" s="551">
        <f>(DD461)/DD$470</f>
        <v>0.72811421772754314</v>
      </c>
      <c r="DE480" s="551">
        <f>(DE461)/DE$470</f>
        <v>0.73258546735719876</v>
      </c>
      <c r="DF480" s="551">
        <f>(DF461)/DF$470</f>
        <v>0.73258546735719876</v>
      </c>
      <c r="DH480" s="551">
        <f>(DH461)/DH$470</f>
        <v>0.75364312782729814</v>
      </c>
      <c r="DI480" s="551">
        <f ca="1">(DI461)/DI$470</f>
        <v>0.7446530590557553</v>
      </c>
      <c r="DJ480" s="551">
        <f ca="1">(DJ461)/DJ$470</f>
        <v>0.7446530590557553</v>
      </c>
      <c r="DL480" s="551">
        <f ca="1">(DL461)/DL$470</f>
        <v>0.7407701013874346</v>
      </c>
      <c r="DM480" s="551">
        <f ca="1">(DM461)/DM$470</f>
        <v>0.73576099253681859</v>
      </c>
      <c r="DN480" s="551">
        <f ca="1">(DN461)/DN$470</f>
        <v>0.73576099253681859</v>
      </c>
      <c r="DP480" s="551">
        <f ca="1">(DP461)/DP$470</f>
        <v>0.73646775933422681</v>
      </c>
      <c r="DQ480" s="551">
        <f ca="1">(DQ461)/DQ$470</f>
        <v>0.73616155878527911</v>
      </c>
      <c r="DR480" s="551">
        <f ca="1">(DR461)/DR$470</f>
        <v>0.73616155878527911</v>
      </c>
      <c r="DT480" s="548"/>
      <c r="DU480" s="548"/>
      <c r="DV480" s="548"/>
      <c r="DW480" s="548"/>
      <c r="DX480" s="548"/>
      <c r="DY480" s="548"/>
      <c r="DZ480" s="548"/>
      <c r="EA480" s="548"/>
      <c r="EB480" s="548"/>
      <c r="EC480" s="548"/>
      <c r="ED480" s="548"/>
      <c r="EE480" s="548"/>
      <c r="EF480" s="548"/>
      <c r="EG480" s="548"/>
      <c r="EH480" s="548"/>
      <c r="EI480" s="548"/>
      <c r="EJ480" s="548"/>
      <c r="EK480" s="548"/>
      <c r="EL480" s="548"/>
      <c r="EM480" s="548"/>
      <c r="EN480" s="548"/>
      <c r="EO480" s="548"/>
      <c r="EP480" s="548"/>
      <c r="EQ480" s="548"/>
      <c r="ER480" s="548"/>
      <c r="ES480" s="548"/>
      <c r="ET480" s="548"/>
      <c r="EU480" s="548"/>
      <c r="EV480" s="548"/>
      <c r="EW480" s="548"/>
      <c r="EX480" s="548"/>
      <c r="EY480" s="548"/>
      <c r="EZ480" s="548"/>
      <c r="FA480" s="548"/>
      <c r="FB480" s="548"/>
      <c r="FC480" s="548"/>
      <c r="FD480" s="548"/>
      <c r="FE480" s="548"/>
      <c r="FF480" s="548"/>
      <c r="FG480" s="548"/>
      <c r="FH480" s="548"/>
      <c r="FI480" s="548"/>
      <c r="FJ480" s="548"/>
      <c r="FK480" s="548"/>
      <c r="FL480" s="548"/>
      <c r="FM480" s="548"/>
      <c r="FN480" s="548"/>
      <c r="FO480" s="548"/>
      <c r="FP480" s="548"/>
      <c r="FQ480" s="548"/>
      <c r="FR480" s="548"/>
      <c r="FS480" s="548"/>
      <c r="FT480" s="548"/>
      <c r="FU480" s="548"/>
      <c r="FV480" s="548"/>
      <c r="FW480" s="548"/>
      <c r="FX480" s="548"/>
      <c r="FY480" s="548"/>
      <c r="FZ480" s="548"/>
      <c r="GA480" s="548"/>
      <c r="GB480" s="548"/>
      <c r="GC480" s="548"/>
      <c r="GD480" s="548"/>
      <c r="GE480" s="548"/>
      <c r="GF480" s="548"/>
      <c r="GG480" s="548"/>
      <c r="GH480" s="548"/>
      <c r="GI480" s="548"/>
      <c r="GJ480" s="548"/>
      <c r="GK480" s="548"/>
      <c r="GL480" s="548"/>
      <c r="GM480" s="548"/>
      <c r="GN480" s="548"/>
      <c r="GO480" s="548"/>
      <c r="GP480" s="548"/>
      <c r="GQ480" s="548"/>
      <c r="GR480" s="548"/>
      <c r="GS480" s="548"/>
      <c r="GT480" s="548"/>
      <c r="GU480" s="548"/>
      <c r="GV480" s="548"/>
      <c r="GW480" s="548"/>
      <c r="GX480" s="548"/>
      <c r="GY480" s="548"/>
      <c r="GZ480" s="548"/>
      <c r="HA480" s="548"/>
      <c r="HB480" s="548"/>
      <c r="HC480" s="548"/>
      <c r="HD480" s="548"/>
      <c r="HE480" s="548"/>
      <c r="HF480" s="548"/>
      <c r="HG480" s="548"/>
      <c r="HH480" s="548"/>
      <c r="HI480" s="548"/>
      <c r="HJ480" s="548"/>
      <c r="HK480" s="548"/>
      <c r="HL480" s="548"/>
      <c r="HM480" s="548"/>
      <c r="HN480" s="548"/>
      <c r="HO480" s="548"/>
      <c r="HP480" s="548"/>
      <c r="HQ480" s="548"/>
      <c r="HR480" s="548"/>
      <c r="HS480" s="548"/>
      <c r="HT480" s="548"/>
      <c r="HU480" s="548"/>
      <c r="HV480" s="548"/>
      <c r="HW480" s="548"/>
      <c r="HX480" s="548"/>
      <c r="HY480" s="548"/>
      <c r="HZ480" s="548"/>
      <c r="IA480" s="548"/>
      <c r="IB480" s="548"/>
      <c r="IC480" s="548"/>
      <c r="ID480" s="548"/>
      <c r="IE480" s="548"/>
      <c r="IF480" s="548"/>
      <c r="IG480" s="548"/>
      <c r="IH480" s="548"/>
      <c r="II480" s="548"/>
      <c r="IJ480" s="548"/>
      <c r="IK480" s="548"/>
      <c r="IL480" s="548"/>
      <c r="IM480" s="548"/>
      <c r="IN480" s="548"/>
      <c r="IO480" s="548"/>
      <c r="IP480" s="548"/>
      <c r="IQ480" s="548"/>
      <c r="IR480" s="548"/>
      <c r="IS480" s="548"/>
      <c r="IT480" s="548"/>
      <c r="IU480" s="548"/>
      <c r="IV480" s="548"/>
      <c r="IW480" s="548"/>
      <c r="IX480" s="548"/>
      <c r="IY480" s="548"/>
      <c r="IZ480" s="548"/>
      <c r="JA480" s="548"/>
      <c r="JB480" s="548"/>
      <c r="JC480" s="548"/>
      <c r="JD480" s="548"/>
    </row>
    <row r="481" spans="1:264" s="546" customFormat="1" x14ac:dyDescent="0.2">
      <c r="A481" s="550" t="s">
        <v>420</v>
      </c>
      <c r="B481" s="547" t="s">
        <v>140</v>
      </c>
      <c r="BH481" s="551">
        <f>(BH368)/BH$470</f>
        <v>0.67211895685572487</v>
      </c>
      <c r="BI481" s="551">
        <f>(BI368)/BI$470</f>
        <v>0.6583056777173093</v>
      </c>
      <c r="BJ481" s="551">
        <f>(BJ368)/BJ$470</f>
        <v>0.6583056777173093</v>
      </c>
      <c r="BK481" s="547"/>
      <c r="BL481" s="551">
        <f>(BL368)/BL$470</f>
        <v>0.65290240260472376</v>
      </c>
      <c r="BM481" s="551">
        <f>(BM368)/BM$470</f>
        <v>0.66008863515644955</v>
      </c>
      <c r="BN481" s="551">
        <f>(BN368)/BN$470</f>
        <v>0.66008863515644955</v>
      </c>
      <c r="BO481" s="545"/>
      <c r="BP481" s="551">
        <f>(BP368)/BP$470</f>
        <v>0.65522930652337852</v>
      </c>
      <c r="BQ481" s="551">
        <f>(BQ368)/BQ$470</f>
        <v>0.65226670537381515</v>
      </c>
      <c r="BR481" s="551">
        <f>(BR368)/BR$470</f>
        <v>0.65226670537381515</v>
      </c>
      <c r="BT481" s="551">
        <f>(BT368)/BT$470</f>
        <v>0.65303787688494552</v>
      </c>
      <c r="BU481" s="551">
        <f>(BU368)/BU$470</f>
        <v>0.67276084579271855</v>
      </c>
      <c r="BV481" s="551">
        <f>(BV368)/BV$470</f>
        <v>0.67276084579271855</v>
      </c>
      <c r="BX481" s="551">
        <f>(BX368)/BX$470</f>
        <v>0.66665242858572016</v>
      </c>
      <c r="BY481" s="551">
        <f>(BY368)/BY$470</f>
        <v>0.68020207287370005</v>
      </c>
      <c r="BZ481" s="551">
        <f>(BZ368)/BZ$470</f>
        <v>0.68020207287370005</v>
      </c>
      <c r="CB481" s="551">
        <f>(CB465)/CB$470</f>
        <v>0.68507969176865502</v>
      </c>
      <c r="CC481" s="551">
        <f>(CC465)/CC$470</f>
        <v>0.67662998850385947</v>
      </c>
      <c r="CD481" s="551">
        <f>(CD465)/CD$470</f>
        <v>0.67662998850385947</v>
      </c>
      <c r="CF481" s="551">
        <f>(CF465)/CF$470</f>
        <v>0.68633358181633719</v>
      </c>
      <c r="CG481" s="551">
        <f>(CG465)/CG$470</f>
        <v>0.68520157038352747</v>
      </c>
      <c r="CH481" s="551">
        <f>(CH465)/CH$470</f>
        <v>0.68520157038352747</v>
      </c>
      <c r="CJ481" s="551">
        <f>(CJ465)/CJ$470</f>
        <v>0.69527661052679424</v>
      </c>
      <c r="CK481" s="551">
        <f>(CK465)/CK$470</f>
        <v>0.72169687597767251</v>
      </c>
      <c r="CL481" s="551">
        <f>(CL465)/CL$470</f>
        <v>0.72169687597767251</v>
      </c>
      <c r="CN481" s="551">
        <f>(CN465)/CN$470</f>
        <v>0.74531329429122872</v>
      </c>
      <c r="CO481" s="551">
        <f>(CO465)/CO$470</f>
        <v>0.75290782343331286</v>
      </c>
      <c r="CP481" s="551">
        <f>(CP465)/CP$470</f>
        <v>0.75290782343331286</v>
      </c>
      <c r="CR481" s="551">
        <f>(CR465)/CR$470</f>
        <v>0.76399197147129161</v>
      </c>
      <c r="CS481" s="551">
        <f>(CS465)/CS$470</f>
        <v>0.77036329640160983</v>
      </c>
      <c r="CT481" s="551">
        <f>(CT465)/CT$470</f>
        <v>0.77036329640160983</v>
      </c>
      <c r="CV481" s="551">
        <f>(CV465)/CV$470</f>
        <v>0.77838019233951783</v>
      </c>
      <c r="CW481" s="551">
        <f>(CW465)/CW$470</f>
        <v>0.79669868876510941</v>
      </c>
      <c r="CX481" s="551">
        <f>(CX465)/CX$470</f>
        <v>0.79669868876510941</v>
      </c>
      <c r="CZ481" s="551">
        <f>(CZ465)/CZ$470</f>
        <v>0.78918518464783338</v>
      </c>
      <c r="DA481" s="551">
        <f>(DA465)/DA$470</f>
        <v>0.77974757643218884</v>
      </c>
      <c r="DB481" s="551">
        <f>(DB465)/DB$470</f>
        <v>0.77974757643218884</v>
      </c>
      <c r="DD481" s="551">
        <f>(DD465)/DD$470</f>
        <v>0.76223931333389994</v>
      </c>
      <c r="DE481" s="551">
        <f>(DE465)/DE$470</f>
        <v>0.76614717494972995</v>
      </c>
      <c r="DF481" s="551">
        <f>(DF465)/DF$470</f>
        <v>0.76614717494972995</v>
      </c>
      <c r="DH481" s="551">
        <f>(DH465)/DH$470</f>
        <v>0.78662958920669956</v>
      </c>
      <c r="DI481" s="551">
        <f ca="1">(DI465)/DI$470</f>
        <v>0.77678205393635935</v>
      </c>
      <c r="DJ481" s="551">
        <f ca="1">(DJ465)/DJ$470</f>
        <v>0.77678205393635935</v>
      </c>
      <c r="DL481" s="551">
        <f ca="1">(DL465)/DL$470</f>
        <v>0.77225391478853245</v>
      </c>
      <c r="DM481" s="551">
        <f ca="1">(DM465)/DM$470</f>
        <v>0.766558486877155</v>
      </c>
      <c r="DN481" s="551">
        <f ca="1">(DN465)/DN$470</f>
        <v>0.766558486877155</v>
      </c>
      <c r="DP481" s="551">
        <f ca="1">(DP465)/DP$470</f>
        <v>0.76683765002092708</v>
      </c>
      <c r="DQ481" s="551">
        <f ca="1">(DQ465)/DQ$470</f>
        <v>0.76605772321660337</v>
      </c>
      <c r="DR481" s="551">
        <f ca="1">(DR465)/DR$470</f>
        <v>0.76605772321660337</v>
      </c>
      <c r="DT481" s="548"/>
      <c r="DU481" s="548"/>
      <c r="DV481" s="548"/>
      <c r="DW481" s="548"/>
      <c r="DX481" s="548"/>
      <c r="DY481" s="548"/>
      <c r="DZ481" s="548"/>
      <c r="EA481" s="548"/>
      <c r="EB481" s="548"/>
      <c r="EC481" s="548"/>
      <c r="ED481" s="548"/>
      <c r="EE481" s="548"/>
      <c r="EF481" s="548"/>
      <c r="EG481" s="548"/>
      <c r="EH481" s="548"/>
      <c r="EI481" s="548"/>
      <c r="EJ481" s="548"/>
      <c r="EK481" s="548"/>
      <c r="EL481" s="548"/>
      <c r="EM481" s="548"/>
      <c r="EN481" s="548"/>
      <c r="EO481" s="548"/>
      <c r="EP481" s="548"/>
      <c r="EQ481" s="548"/>
      <c r="ER481" s="548"/>
      <c r="ES481" s="548"/>
      <c r="ET481" s="548"/>
      <c r="EU481" s="548"/>
      <c r="EV481" s="548"/>
      <c r="EW481" s="548"/>
      <c r="EX481" s="548"/>
      <c r="EY481" s="548"/>
      <c r="EZ481" s="548"/>
      <c r="FA481" s="548"/>
      <c r="FB481" s="548"/>
      <c r="FC481" s="548"/>
      <c r="FD481" s="548"/>
      <c r="FE481" s="548"/>
      <c r="FF481" s="548"/>
      <c r="FG481" s="548"/>
      <c r="FH481" s="548"/>
      <c r="FI481" s="548"/>
      <c r="FJ481" s="548"/>
      <c r="FK481" s="548"/>
      <c r="FL481" s="548"/>
      <c r="FM481" s="548"/>
      <c r="FN481" s="548"/>
      <c r="FO481" s="548"/>
      <c r="FP481" s="548"/>
      <c r="FQ481" s="548"/>
      <c r="FR481" s="548"/>
      <c r="FS481" s="548"/>
      <c r="FT481" s="548"/>
      <c r="FU481" s="548"/>
      <c r="FV481" s="548"/>
      <c r="FW481" s="548"/>
      <c r="FX481" s="548"/>
      <c r="FY481" s="548"/>
      <c r="FZ481" s="548"/>
      <c r="GA481" s="548"/>
      <c r="GB481" s="548"/>
      <c r="GC481" s="548"/>
      <c r="GD481" s="548"/>
      <c r="GE481" s="548"/>
      <c r="GF481" s="548"/>
      <c r="GG481" s="548"/>
      <c r="GH481" s="548"/>
      <c r="GI481" s="548"/>
      <c r="GJ481" s="548"/>
      <c r="GK481" s="548"/>
      <c r="GL481" s="548"/>
      <c r="GM481" s="548"/>
      <c r="GN481" s="548"/>
      <c r="GO481" s="548"/>
      <c r="GP481" s="548"/>
      <c r="GQ481" s="548"/>
      <c r="GR481" s="548"/>
      <c r="GS481" s="548"/>
      <c r="GT481" s="548"/>
      <c r="GU481" s="548"/>
      <c r="GV481" s="548"/>
      <c r="GW481" s="548"/>
      <c r="GX481" s="548"/>
      <c r="GY481" s="548"/>
      <c r="GZ481" s="548"/>
      <c r="HA481" s="548"/>
      <c r="HB481" s="548"/>
      <c r="HC481" s="548"/>
      <c r="HD481" s="548"/>
      <c r="HE481" s="548"/>
      <c r="HF481" s="548"/>
      <c r="HG481" s="548"/>
      <c r="HH481" s="548"/>
      <c r="HI481" s="548"/>
      <c r="HJ481" s="548"/>
      <c r="HK481" s="548"/>
      <c r="HL481" s="548"/>
      <c r="HM481" s="548"/>
      <c r="HN481" s="548"/>
      <c r="HO481" s="548"/>
      <c r="HP481" s="548"/>
      <c r="HQ481" s="548"/>
      <c r="HR481" s="548"/>
      <c r="HS481" s="548"/>
      <c r="HT481" s="548"/>
      <c r="HU481" s="548"/>
      <c r="HV481" s="548"/>
      <c r="HW481" s="548"/>
      <c r="HX481" s="548"/>
      <c r="HY481" s="548"/>
      <c r="HZ481" s="548"/>
      <c r="IA481" s="548"/>
      <c r="IB481" s="548"/>
      <c r="IC481" s="548"/>
      <c r="ID481" s="548"/>
      <c r="IE481" s="548"/>
      <c r="IF481" s="548"/>
      <c r="IG481" s="548"/>
      <c r="IH481" s="548"/>
      <c r="II481" s="548"/>
      <c r="IJ481" s="548"/>
      <c r="IK481" s="548"/>
      <c r="IL481" s="548"/>
      <c r="IM481" s="548"/>
      <c r="IN481" s="548"/>
      <c r="IO481" s="548"/>
      <c r="IP481" s="548"/>
      <c r="IQ481" s="548"/>
      <c r="IR481" s="548"/>
      <c r="IS481" s="548"/>
      <c r="IT481" s="548"/>
      <c r="IU481" s="548"/>
      <c r="IV481" s="548"/>
      <c r="IW481" s="548"/>
      <c r="IX481" s="548"/>
      <c r="IY481" s="548"/>
      <c r="IZ481" s="548"/>
      <c r="JA481" s="548"/>
      <c r="JB481" s="548"/>
      <c r="JC481" s="548"/>
      <c r="JD481" s="548"/>
    </row>
    <row r="482" spans="1:264" s="546" customFormat="1" x14ac:dyDescent="0.2">
      <c r="A482" s="550" t="s">
        <v>421</v>
      </c>
      <c r="B482" s="547" t="s">
        <v>140</v>
      </c>
      <c r="BH482" s="551">
        <f>BH443/(BH368-BH360)</f>
        <v>1.4232117730286939</v>
      </c>
      <c r="BI482" s="551">
        <f>BI443/(BI368-BI360)</f>
        <v>1.4035501994951551</v>
      </c>
      <c r="BJ482" s="551">
        <f>BJ443/(BJ368-BJ360)</f>
        <v>1.4035501994951551</v>
      </c>
      <c r="BK482" s="547"/>
      <c r="BL482" s="551">
        <f>BL443/(BL368-BL360)</f>
        <v>1.3877847271567503</v>
      </c>
      <c r="BM482" s="551">
        <f>BM443/(BM368-BM360)</f>
        <v>1.387806286271118</v>
      </c>
      <c r="BN482" s="551">
        <f>BN443/(BN368-BN360)</f>
        <v>1.387806286271118</v>
      </c>
      <c r="BO482" s="545"/>
      <c r="BP482" s="551">
        <f>BP443/(BP368-BP360)</f>
        <v>1.3723474496600276</v>
      </c>
      <c r="BQ482" s="551">
        <f>BQ443/(BQ368-BQ360)</f>
        <v>1.354340280688811</v>
      </c>
      <c r="BR482" s="551">
        <f>BR443/(BR368-BR360)</f>
        <v>1.354340280688811</v>
      </c>
      <c r="BT482" s="551">
        <f>BT443/(BT368-BT360)</f>
        <v>1.3498712511511486</v>
      </c>
      <c r="BU482" s="551">
        <f>BU443/(BU368-BU360)</f>
        <v>1.3545316092120425</v>
      </c>
      <c r="BV482" s="551">
        <f>BV443/(BV368-BV360)</f>
        <v>1.3545316092120425</v>
      </c>
      <c r="BX482" s="551">
        <f>BX443/(BX368-BX360)</f>
        <v>1.331466102918581</v>
      </c>
      <c r="BY482" s="551">
        <f>BY443/(BY368-BY360)</f>
        <v>1.3204844749431137</v>
      </c>
      <c r="BZ482" s="551">
        <f>BZ443/(BZ368-BZ360)</f>
        <v>1.3204844749431137</v>
      </c>
      <c r="CB482" s="551">
        <f>CB443/CB461</f>
        <v>1.3044483547422137</v>
      </c>
      <c r="CC482" s="551">
        <f>CC443/CC461</f>
        <v>1.3133513264987382</v>
      </c>
      <c r="CD482" s="551">
        <f>CD443/CD461</f>
        <v>1.3133513264987382</v>
      </c>
      <c r="CF482" s="551">
        <f>CF443/CF461</f>
        <v>1.3122561538222295</v>
      </c>
      <c r="CG482" s="551">
        <f>CG443/CG461</f>
        <v>1.3148434827380069</v>
      </c>
      <c r="CH482" s="551">
        <f>CH443/CH461</f>
        <v>1.3148434827380069</v>
      </c>
      <c r="CJ482" s="551">
        <f>CJ443/CJ461</f>
        <v>1.2871808049979891</v>
      </c>
      <c r="CK482" s="551">
        <f>CK443/CK461</f>
        <v>1.2163966276174245</v>
      </c>
      <c r="CL482" s="551">
        <f>CL443/CL461</f>
        <v>1.2163966276174245</v>
      </c>
      <c r="CN482" s="551">
        <f>CN443/CN461</f>
        <v>1.1647968683566203</v>
      </c>
      <c r="CO482" s="551">
        <f>CO443/CO461</f>
        <v>1.1645577186642966</v>
      </c>
      <c r="CP482" s="551">
        <f>CP443/CP461</f>
        <v>1.1645577186642966</v>
      </c>
      <c r="CR482" s="551">
        <f>CR443/CR461</f>
        <v>1.1468196822109318</v>
      </c>
      <c r="CS482" s="551">
        <f>CS443/CS461</f>
        <v>1.136308832121006</v>
      </c>
      <c r="CT482" s="551">
        <f>CT443/CT461</f>
        <v>1.136308832121006</v>
      </c>
      <c r="CV482" s="551">
        <f>CV443/CV461</f>
        <v>1.1404222198901599</v>
      </c>
      <c r="CW482" s="551">
        <f>CW443/CW461</f>
        <v>1.1385261211100146</v>
      </c>
      <c r="CX482" s="551">
        <f>CX443/CX461</f>
        <v>1.1385261211100146</v>
      </c>
      <c r="CZ482" s="551">
        <f>CZ443/CZ461</f>
        <v>1.1248558819539984</v>
      </c>
      <c r="DA482" s="551">
        <f>DA443/DA461</f>
        <v>1.1394020810219196</v>
      </c>
      <c r="DB482" s="551">
        <f>DB443/DB461</f>
        <v>1.1394020810219196</v>
      </c>
      <c r="DD482" s="551">
        <f>DD443/DD461</f>
        <v>1.1407749086104588</v>
      </c>
      <c r="DE482" s="551">
        <f>DE443/DE461</f>
        <v>1.1423182059940382</v>
      </c>
      <c r="DF482" s="551">
        <f>DF443/DF461</f>
        <v>1.1423182059940382</v>
      </c>
      <c r="DH482" s="551">
        <f>DH443/DH461</f>
        <v>1.1277912884920969</v>
      </c>
      <c r="DI482" s="551">
        <f>DI443/DI461</f>
        <v>1.1403483187747787</v>
      </c>
      <c r="DJ482" s="551">
        <f>DJ443/DJ461</f>
        <v>1.1403483187747787</v>
      </c>
      <c r="DL482" s="551">
        <f>DL443/DL461</f>
        <v>1.1456357742277832</v>
      </c>
      <c r="DM482" s="551">
        <f>DM443/DM461</f>
        <v>1.1526891857449952</v>
      </c>
      <c r="DN482" s="551">
        <f>DN443/DN461</f>
        <v>1.1526891857449952</v>
      </c>
      <c r="DP482" s="551">
        <f>DP443/DP461</f>
        <v>1.1514488731435613</v>
      </c>
      <c r="DQ482" s="551">
        <f>DQ443/DQ461</f>
        <v>1.1517196189010146</v>
      </c>
      <c r="DR482" s="551">
        <f>DR443/DR461</f>
        <v>1.1517196189010146</v>
      </c>
      <c r="DT482" s="548"/>
      <c r="DU482" s="548"/>
      <c r="DV482" s="548"/>
      <c r="DW482" s="548"/>
      <c r="DX482" s="548"/>
      <c r="DY482" s="548"/>
      <c r="DZ482" s="548"/>
      <c r="EA482" s="548"/>
      <c r="EB482" s="548"/>
      <c r="EC482" s="548"/>
      <c r="ED482" s="548"/>
      <c r="EE482" s="548"/>
      <c r="EF482" s="548"/>
      <c r="EG482" s="548"/>
      <c r="EH482" s="548"/>
      <c r="EI482" s="548"/>
      <c r="EJ482" s="548"/>
      <c r="EK482" s="548"/>
      <c r="EL482" s="548"/>
      <c r="EM482" s="548"/>
      <c r="EN482" s="548"/>
      <c r="EO482" s="548"/>
      <c r="EP482" s="548"/>
      <c r="EQ482" s="548"/>
      <c r="ER482" s="548"/>
      <c r="ES482" s="548"/>
      <c r="ET482" s="548"/>
      <c r="EU482" s="548"/>
      <c r="EV482" s="548"/>
      <c r="EW482" s="548"/>
      <c r="EX482" s="548"/>
      <c r="EY482" s="548"/>
      <c r="EZ482" s="548"/>
      <c r="FA482" s="548"/>
      <c r="FB482" s="548"/>
      <c r="FC482" s="548"/>
      <c r="FD482" s="548"/>
      <c r="FE482" s="548"/>
      <c r="FF482" s="548"/>
      <c r="FG482" s="548"/>
      <c r="FH482" s="548"/>
      <c r="FI482" s="548"/>
      <c r="FJ482" s="548"/>
      <c r="FK482" s="548"/>
      <c r="FL482" s="548"/>
      <c r="FM482" s="548"/>
      <c r="FN482" s="548"/>
      <c r="FO482" s="548"/>
      <c r="FP482" s="548"/>
      <c r="FQ482" s="548"/>
      <c r="FR482" s="548"/>
      <c r="FS482" s="548"/>
      <c r="FT482" s="548"/>
      <c r="FU482" s="548"/>
      <c r="FV482" s="548"/>
      <c r="FW482" s="548"/>
      <c r="FX482" s="548"/>
      <c r="FY482" s="548"/>
      <c r="FZ482" s="548"/>
      <c r="GA482" s="548"/>
      <c r="GB482" s="548"/>
      <c r="GC482" s="548"/>
      <c r="GD482" s="548"/>
      <c r="GE482" s="548"/>
      <c r="GF482" s="548"/>
      <c r="GG482" s="548"/>
      <c r="GH482" s="548"/>
      <c r="GI482" s="548"/>
      <c r="GJ482" s="548"/>
      <c r="GK482" s="548"/>
      <c r="GL482" s="548"/>
      <c r="GM482" s="548"/>
      <c r="GN482" s="548"/>
      <c r="GO482" s="548"/>
      <c r="GP482" s="548"/>
      <c r="GQ482" s="548"/>
      <c r="GR482" s="548"/>
      <c r="GS482" s="548"/>
      <c r="GT482" s="548"/>
      <c r="GU482" s="548"/>
      <c r="GV482" s="548"/>
      <c r="GW482" s="548"/>
      <c r="GX482" s="548"/>
      <c r="GY482" s="548"/>
      <c r="GZ482" s="548"/>
      <c r="HA482" s="548"/>
      <c r="HB482" s="548"/>
      <c r="HC482" s="548"/>
      <c r="HD482" s="548"/>
      <c r="HE482" s="548"/>
      <c r="HF482" s="548"/>
      <c r="HG482" s="548"/>
      <c r="HH482" s="548"/>
      <c r="HI482" s="548"/>
      <c r="HJ482" s="548"/>
      <c r="HK482" s="548"/>
      <c r="HL482" s="548"/>
      <c r="HM482" s="548"/>
      <c r="HN482" s="548"/>
      <c r="HO482" s="548"/>
      <c r="HP482" s="548"/>
      <c r="HQ482" s="548"/>
      <c r="HR482" s="548"/>
      <c r="HS482" s="548"/>
      <c r="HT482" s="548"/>
      <c r="HU482" s="548"/>
      <c r="HV482" s="548"/>
      <c r="HW482" s="548"/>
      <c r="HX482" s="548"/>
      <c r="HY482" s="548"/>
      <c r="HZ482" s="548"/>
      <c r="IA482" s="548"/>
      <c r="IB482" s="548"/>
      <c r="IC482" s="548"/>
      <c r="ID482" s="548"/>
      <c r="IE482" s="548"/>
      <c r="IF482" s="548"/>
      <c r="IG482" s="548"/>
      <c r="IH482" s="548"/>
      <c r="II482" s="548"/>
      <c r="IJ482" s="548"/>
      <c r="IK482" s="548"/>
      <c r="IL482" s="548"/>
      <c r="IM482" s="548"/>
      <c r="IN482" s="548"/>
      <c r="IO482" s="548"/>
      <c r="IP482" s="548"/>
      <c r="IQ482" s="548"/>
      <c r="IR482" s="548"/>
      <c r="IS482" s="548"/>
      <c r="IT482" s="548"/>
      <c r="IU482" s="548"/>
      <c r="IV482" s="548"/>
      <c r="IW482" s="548"/>
      <c r="IX482" s="548"/>
      <c r="IY482" s="548"/>
      <c r="IZ482" s="548"/>
      <c r="JA482" s="548"/>
      <c r="JB482" s="548"/>
      <c r="JC482" s="548"/>
      <c r="JD482" s="548"/>
    </row>
    <row r="483" spans="1:264" s="411" customFormat="1" x14ac:dyDescent="0.2">
      <c r="B483" s="423"/>
      <c r="BH483" s="397"/>
      <c r="BI483" s="397"/>
      <c r="BJ483" s="397"/>
      <c r="BK483" s="348"/>
      <c r="BL483" s="397"/>
      <c r="BM483" s="397"/>
      <c r="BN483" s="397"/>
      <c r="BO483" s="423"/>
      <c r="BP483" s="397"/>
      <c r="BQ483" s="397"/>
      <c r="BR483" s="397"/>
      <c r="BT483" s="423"/>
      <c r="BX483" s="423"/>
      <c r="CB483" s="423"/>
      <c r="CF483" s="423"/>
      <c r="CJ483" s="423"/>
      <c r="CN483" s="423"/>
      <c r="CR483" s="423"/>
      <c r="CV483" s="423"/>
      <c r="CZ483" s="423"/>
      <c r="DD483" s="423"/>
      <c r="DH483" s="423"/>
      <c r="DL483" s="423"/>
      <c r="DP483" s="423"/>
      <c r="DT483" s="1"/>
      <c r="DU483" s="1"/>
      <c r="DV483" s="1"/>
      <c r="DW483" s="1"/>
      <c r="DX483" s="1"/>
      <c r="DY483" s="1"/>
      <c r="DZ483" s="1"/>
      <c r="EA483" s="1"/>
      <c r="EB483" s="1"/>
      <c r="EC483" s="1"/>
      <c r="ED483" s="1"/>
      <c r="EE483" s="1"/>
      <c r="EF483" s="1"/>
      <c r="EG483" s="1"/>
      <c r="EH483" s="1"/>
      <c r="EI483" s="1"/>
      <c r="EJ483" s="1"/>
      <c r="EK483" s="1"/>
      <c r="EL483" s="1"/>
      <c r="EM483" s="1"/>
      <c r="EN483" s="1"/>
      <c r="EO483" s="1"/>
      <c r="EP483" s="1"/>
      <c r="EQ483" s="1"/>
      <c r="ER483" s="1"/>
      <c r="ES483" s="1"/>
      <c r="ET483" s="1"/>
      <c r="EU483" s="1"/>
      <c r="EV483" s="1"/>
      <c r="EW483" s="1"/>
      <c r="EX483" s="1"/>
      <c r="EY483" s="1"/>
      <c r="EZ483" s="1"/>
      <c r="FA483" s="1"/>
      <c r="FB483" s="1"/>
      <c r="FC483" s="1"/>
      <c r="FD483" s="1"/>
      <c r="FE483" s="1"/>
      <c r="FF483" s="1"/>
      <c r="FG483" s="1"/>
      <c r="FH483" s="1"/>
      <c r="FI483" s="1"/>
      <c r="FJ483" s="1"/>
      <c r="FK483" s="1"/>
      <c r="FL483" s="1"/>
      <c r="FM483" s="1"/>
      <c r="FN483" s="1"/>
      <c r="FO483" s="1"/>
      <c r="FP483" s="1"/>
      <c r="FQ483" s="1"/>
      <c r="FR483" s="1"/>
      <c r="FS483" s="1"/>
      <c r="FT483" s="1"/>
      <c r="FU483" s="1"/>
      <c r="FV483" s="1"/>
      <c r="FW483" s="1"/>
      <c r="FX483" s="1"/>
      <c r="FY483" s="1"/>
      <c r="FZ483" s="1"/>
      <c r="GA483" s="1"/>
      <c r="GB483" s="1"/>
      <c r="GC483" s="1"/>
      <c r="GD483" s="1"/>
      <c r="GE483" s="1"/>
      <c r="GF483" s="1"/>
      <c r="GG483" s="1"/>
      <c r="GH483" s="1"/>
      <c r="GI483" s="1"/>
      <c r="GJ483" s="1"/>
      <c r="GK483" s="1"/>
      <c r="GL483" s="1"/>
      <c r="GM483" s="1"/>
      <c r="GN483" s="1"/>
      <c r="GO483" s="1"/>
      <c r="GP483" s="1"/>
      <c r="GQ483" s="1"/>
      <c r="GR483" s="1"/>
      <c r="GS483" s="1"/>
      <c r="GT483" s="1"/>
      <c r="GU483" s="1"/>
      <c r="GV483" s="1"/>
      <c r="GW483" s="1"/>
      <c r="GX483" s="1"/>
      <c r="GY483" s="1"/>
      <c r="GZ483" s="1"/>
      <c r="HA483" s="1"/>
      <c r="HB483" s="1"/>
      <c r="HC483" s="1"/>
      <c r="HD483" s="1"/>
      <c r="HE483" s="1"/>
      <c r="HF483" s="1"/>
      <c r="HG483" s="1"/>
      <c r="HH483" s="1"/>
      <c r="HI483" s="1"/>
      <c r="HJ483" s="1"/>
      <c r="HK483" s="1"/>
      <c r="HL483" s="1"/>
      <c r="HM483" s="1"/>
      <c r="HN483" s="1"/>
      <c r="HO483" s="1"/>
      <c r="HP483" s="1"/>
      <c r="HQ483" s="1"/>
      <c r="HR483" s="1"/>
      <c r="HS483" s="1"/>
      <c r="HT483" s="1"/>
      <c r="HU483" s="1"/>
      <c r="HV483" s="1"/>
      <c r="HW483" s="1"/>
      <c r="HX483" s="1"/>
      <c r="HY483" s="1"/>
      <c r="HZ483" s="1"/>
      <c r="IA483" s="1"/>
      <c r="IB483" s="1"/>
      <c r="IC483" s="1"/>
      <c r="ID483" s="1"/>
      <c r="IE483" s="1"/>
      <c r="IF483" s="1"/>
      <c r="IG483" s="1"/>
      <c r="IH483" s="1"/>
      <c r="II483" s="1"/>
      <c r="IJ483" s="1"/>
      <c r="IK483" s="1"/>
      <c r="IL483" s="1"/>
      <c r="IM483" s="1"/>
      <c r="IN483" s="1"/>
      <c r="IO483" s="1"/>
      <c r="IP483" s="1"/>
      <c r="IQ483" s="1"/>
      <c r="IR483" s="1"/>
      <c r="IS483" s="1"/>
      <c r="IT483" s="1"/>
      <c r="IU483" s="1"/>
      <c r="IV483" s="1"/>
      <c r="IW483" s="1"/>
      <c r="IX483" s="1"/>
      <c r="IY483" s="1"/>
      <c r="IZ483" s="1"/>
      <c r="JA483" s="1"/>
      <c r="JB483" s="1"/>
      <c r="JC483" s="1"/>
      <c r="JD483" s="1"/>
    </row>
    <row r="484" spans="1:264" s="386" customFormat="1" x14ac:dyDescent="0.2">
      <c r="A484" s="383" t="s">
        <v>422</v>
      </c>
      <c r="B484" s="384"/>
      <c r="C484" s="385"/>
      <c r="D484" s="385"/>
      <c r="E484" s="385"/>
      <c r="F484" s="385"/>
      <c r="G484" s="385"/>
      <c r="H484" s="385"/>
      <c r="I484" s="385"/>
      <c r="J484" s="385"/>
      <c r="K484" s="385"/>
      <c r="L484" s="385"/>
      <c r="M484" s="385"/>
      <c r="N484" s="385"/>
      <c r="O484" s="385"/>
      <c r="P484" s="385"/>
      <c r="Q484" s="385"/>
      <c r="R484" s="385"/>
      <c r="S484" s="385"/>
      <c r="T484" s="385"/>
      <c r="U484" s="385"/>
      <c r="V484" s="385"/>
      <c r="W484" s="385"/>
      <c r="X484" s="385"/>
      <c r="Y484" s="385"/>
      <c r="Z484" s="385"/>
      <c r="AA484" s="385"/>
      <c r="AB484" s="385"/>
      <c r="AC484" s="385"/>
      <c r="AD484" s="385"/>
      <c r="AE484" s="385"/>
      <c r="AF484" s="385"/>
      <c r="AG484" s="385"/>
      <c r="AH484" s="385"/>
      <c r="AI484" s="385"/>
      <c r="AJ484" s="385"/>
      <c r="AK484" s="385"/>
      <c r="AL484" s="385"/>
      <c r="AM484" s="385"/>
      <c r="AN484" s="385"/>
      <c r="AO484" s="385"/>
      <c r="AP484" s="385"/>
      <c r="AQ484" s="385"/>
      <c r="AR484" s="385"/>
      <c r="AS484" s="385"/>
      <c r="AT484" s="385"/>
      <c r="AU484" s="385"/>
      <c r="AV484" s="385"/>
      <c r="AW484" s="385"/>
      <c r="AX484" s="385"/>
      <c r="AY484" s="385"/>
      <c r="AZ484" s="385"/>
      <c r="BA484" s="385"/>
      <c r="BB484" s="385"/>
      <c r="BC484" s="385"/>
      <c r="BD484" s="385"/>
      <c r="BE484" s="385"/>
      <c r="BF484" s="385"/>
      <c r="BG484" s="385"/>
      <c r="BH484" s="384"/>
      <c r="BI484" s="384"/>
      <c r="BJ484" s="384"/>
      <c r="BK484" s="384"/>
      <c r="BL484" s="384"/>
      <c r="BM484" s="384"/>
      <c r="BN484" s="384"/>
      <c r="BO484" s="384"/>
      <c r="BP484" s="384"/>
      <c r="BQ484" s="384"/>
      <c r="BR484" s="384"/>
      <c r="BS484" s="385"/>
      <c r="BT484" s="384"/>
      <c r="BU484" s="385"/>
      <c r="BV484" s="385"/>
      <c r="BW484" s="385"/>
      <c r="BX484" s="384"/>
      <c r="BY484" s="385"/>
      <c r="BZ484" s="385"/>
      <c r="CA484" s="385"/>
      <c r="CB484" s="384"/>
      <c r="CC484" s="385"/>
      <c r="CD484" s="385"/>
      <c r="CE484" s="385"/>
      <c r="CF484" s="384"/>
      <c r="CG484" s="385"/>
      <c r="CH484" s="385"/>
      <c r="CI484" s="385"/>
      <c r="CJ484" s="384"/>
      <c r="CK484" s="385"/>
      <c r="CL484" s="385"/>
      <c r="CM484" s="385"/>
      <c r="CN484" s="384"/>
      <c r="CO484" s="385"/>
      <c r="CP484" s="385"/>
      <c r="CQ484" s="385"/>
      <c r="CR484" s="384"/>
      <c r="CS484" s="385"/>
      <c r="CT484" s="385"/>
      <c r="CU484" s="385"/>
      <c r="CV484" s="384"/>
      <c r="CW484" s="385"/>
      <c r="CX484" s="385"/>
      <c r="CY484" s="385"/>
      <c r="CZ484" s="384"/>
      <c r="DA484" s="385"/>
      <c r="DB484" s="385"/>
      <c r="DC484" s="385"/>
      <c r="DD484" s="384"/>
      <c r="DE484" s="385"/>
      <c r="DF484" s="385"/>
      <c r="DG484" s="385"/>
      <c r="DH484" s="384"/>
      <c r="DI484" s="385"/>
      <c r="DJ484" s="385"/>
      <c r="DK484" s="385"/>
      <c r="DL484" s="384"/>
      <c r="DM484" s="385"/>
      <c r="DN484" s="385"/>
      <c r="DO484" s="385"/>
      <c r="DP484" s="384"/>
      <c r="DQ484" s="385"/>
      <c r="DR484" s="385"/>
      <c r="DS484" s="385"/>
      <c r="DT484" s="1"/>
      <c r="DU484" s="1"/>
      <c r="DV484" s="1"/>
      <c r="DW484" s="1"/>
      <c r="DX484" s="1"/>
      <c r="DY484" s="1"/>
      <c r="DZ484" s="1"/>
      <c r="EA484" s="1"/>
      <c r="EB484" s="1"/>
      <c r="EC484" s="1"/>
      <c r="ED484" s="1"/>
      <c r="EE484" s="1"/>
      <c r="EF484" s="1"/>
      <c r="EG484" s="1"/>
      <c r="EH484" s="1"/>
      <c r="EI484" s="1"/>
      <c r="EJ484" s="1"/>
      <c r="EK484" s="1"/>
      <c r="EL484" s="1"/>
      <c r="EM484" s="1"/>
      <c r="EN484" s="1"/>
      <c r="EO484" s="1"/>
      <c r="EP484" s="1"/>
      <c r="EQ484" s="1"/>
      <c r="ER484" s="1"/>
      <c r="ES484" s="1"/>
      <c r="ET484" s="1"/>
      <c r="EU484" s="1"/>
      <c r="EV484" s="1"/>
      <c r="EW484" s="1"/>
      <c r="EX484" s="1"/>
      <c r="EY484" s="1"/>
      <c r="EZ484" s="1"/>
      <c r="FA484" s="1"/>
      <c r="FB484" s="1"/>
      <c r="FC484" s="1"/>
      <c r="FD484" s="1"/>
      <c r="FE484" s="1"/>
      <c r="FF484" s="1"/>
      <c r="FG484" s="1"/>
      <c r="FH484" s="1"/>
      <c r="FI484" s="1"/>
      <c r="FJ484" s="1"/>
      <c r="FK484" s="1"/>
      <c r="FL484" s="1"/>
      <c r="FM484" s="1"/>
      <c r="FN484" s="1"/>
      <c r="FO484" s="1"/>
      <c r="FP484" s="1"/>
      <c r="FQ484" s="1"/>
      <c r="FR484" s="1"/>
      <c r="FS484" s="1"/>
      <c r="FT484" s="1"/>
      <c r="FU484" s="1"/>
      <c r="FV484" s="1"/>
      <c r="FW484" s="1"/>
      <c r="FX484" s="1"/>
      <c r="FY484" s="1"/>
      <c r="FZ484" s="1"/>
      <c r="GA484" s="1"/>
      <c r="GB484" s="1"/>
      <c r="GC484" s="1"/>
      <c r="GD484" s="1"/>
      <c r="GE484" s="1"/>
      <c r="GF484" s="1"/>
      <c r="GG484" s="1"/>
      <c r="GH484" s="1"/>
      <c r="GI484" s="1"/>
      <c r="GJ484" s="1"/>
      <c r="GK484" s="1"/>
      <c r="GL484" s="1"/>
      <c r="GM484" s="1"/>
      <c r="GN484" s="1"/>
      <c r="GO484" s="1"/>
      <c r="GP484" s="1"/>
      <c r="GQ484" s="1"/>
      <c r="GR484" s="1"/>
      <c r="GS484" s="1"/>
      <c r="GT484" s="1"/>
      <c r="GU484" s="1"/>
      <c r="GV484" s="1"/>
      <c r="GW484" s="1"/>
      <c r="GX484" s="1"/>
      <c r="GY484" s="1"/>
      <c r="GZ484" s="1"/>
      <c r="HA484" s="1"/>
      <c r="HB484" s="1"/>
      <c r="HC484" s="1"/>
      <c r="HD484" s="1"/>
      <c r="HE484" s="1"/>
      <c r="HF484" s="1"/>
      <c r="HG484" s="1"/>
      <c r="HH484" s="1"/>
      <c r="HI484" s="1"/>
      <c r="HJ484" s="1"/>
      <c r="HK484" s="1"/>
      <c r="HL484" s="1"/>
      <c r="HM484" s="1"/>
      <c r="HN484" s="1"/>
      <c r="HO484" s="1"/>
      <c r="HP484" s="1"/>
      <c r="HQ484" s="1"/>
      <c r="HR484" s="1"/>
      <c r="HS484" s="1"/>
      <c r="HT484" s="1"/>
      <c r="HU484" s="1"/>
      <c r="HV484" s="1"/>
      <c r="HW484" s="1"/>
      <c r="HX484" s="1"/>
      <c r="HY484" s="1"/>
      <c r="HZ484" s="1"/>
      <c r="IA484" s="1"/>
      <c r="IB484" s="1"/>
      <c r="IC484" s="1"/>
      <c r="ID484" s="1"/>
      <c r="IE484" s="1"/>
      <c r="IF484" s="1"/>
      <c r="IG484" s="1"/>
      <c r="IH484" s="1"/>
      <c r="II484" s="1"/>
      <c r="IJ484" s="1"/>
      <c r="IK484" s="1"/>
      <c r="IL484" s="1"/>
      <c r="IM484" s="1"/>
      <c r="IN484" s="1"/>
      <c r="IO484" s="1"/>
      <c r="IP484" s="1"/>
      <c r="IQ484" s="1"/>
      <c r="IR484" s="1"/>
      <c r="IS484" s="1"/>
      <c r="IT484" s="1"/>
      <c r="IU484" s="1"/>
      <c r="IV484" s="1"/>
      <c r="IW484" s="1"/>
      <c r="IX484" s="1"/>
      <c r="IY484" s="1"/>
      <c r="IZ484" s="1"/>
      <c r="JA484" s="1"/>
      <c r="JB484" s="1"/>
      <c r="JC484" s="1"/>
      <c r="JD484" s="1"/>
    </row>
    <row r="485" spans="1:264" s="347" customFormat="1" x14ac:dyDescent="0.2">
      <c r="B485" s="348"/>
      <c r="BH485" s="348"/>
      <c r="BI485" s="348"/>
      <c r="BJ485" s="348"/>
      <c r="BK485" s="348"/>
      <c r="BL485" s="348"/>
      <c r="BM485" s="348"/>
      <c r="BN485" s="348"/>
      <c r="BO485" s="348"/>
      <c r="BP485" s="348"/>
      <c r="BQ485" s="348"/>
      <c r="BR485" s="348"/>
      <c r="BT485" s="348"/>
      <c r="BX485" s="348"/>
      <c r="CB485" s="348"/>
      <c r="CD485" s="552"/>
      <c r="CF485" s="483"/>
      <c r="CJ485" s="348"/>
      <c r="CN485" s="348"/>
      <c r="CR485" s="348"/>
      <c r="CV485" s="351"/>
      <c r="CZ485" s="351"/>
      <c r="DD485" s="351"/>
      <c r="DH485" s="351"/>
      <c r="DI485" s="351"/>
      <c r="DJ485" s="351"/>
      <c r="DL485" s="351"/>
      <c r="DM485" s="351"/>
      <c r="DN485" s="351"/>
      <c r="DP485" s="351"/>
      <c r="DQ485" s="351"/>
      <c r="DR485" s="351"/>
      <c r="DT485" s="1"/>
      <c r="DU485" s="1"/>
      <c r="DV485" s="1"/>
      <c r="DW485" s="1"/>
      <c r="DX485" s="1"/>
      <c r="DY485" s="1"/>
      <c r="DZ485" s="1"/>
      <c r="EA485" s="1"/>
      <c r="EB485" s="1"/>
      <c r="EC485" s="1"/>
      <c r="ED485" s="1"/>
      <c r="EE485" s="1"/>
      <c r="EF485" s="1"/>
      <c r="EG485" s="1"/>
      <c r="EH485" s="1"/>
      <c r="EI485" s="1"/>
      <c r="EJ485" s="1"/>
      <c r="EK485" s="1"/>
      <c r="EL485" s="1"/>
      <c r="EM485" s="1"/>
      <c r="EN485" s="1"/>
      <c r="EO485" s="1"/>
      <c r="EP485" s="1"/>
      <c r="EQ485" s="1"/>
      <c r="ER485" s="1"/>
      <c r="ES485" s="1"/>
      <c r="ET485" s="1"/>
      <c r="EU485" s="1"/>
      <c r="EV485" s="1"/>
      <c r="EW485" s="1"/>
      <c r="EX485" s="1"/>
      <c r="EY485" s="1"/>
      <c r="EZ485" s="1"/>
      <c r="FA485" s="1"/>
      <c r="FB485" s="1"/>
      <c r="FC485" s="1"/>
      <c r="FD485" s="1"/>
      <c r="FE485" s="1"/>
      <c r="FF485" s="1"/>
      <c r="FG485" s="1"/>
      <c r="FH485" s="1"/>
      <c r="FI485" s="1"/>
      <c r="FJ485" s="1"/>
      <c r="FK485" s="1"/>
      <c r="FL485" s="1"/>
      <c r="FM485" s="1"/>
      <c r="FN485" s="1"/>
      <c r="FO485" s="1"/>
      <c r="FP485" s="1"/>
      <c r="FQ485" s="1"/>
      <c r="FR485" s="1"/>
      <c r="FS485" s="1"/>
      <c r="FT485" s="1"/>
      <c r="FU485" s="1"/>
      <c r="FV485" s="1"/>
      <c r="FW485" s="1"/>
      <c r="FX485" s="1"/>
      <c r="FY485" s="1"/>
      <c r="FZ485" s="1"/>
      <c r="GA485" s="1"/>
      <c r="GB485" s="1"/>
      <c r="GC485" s="1"/>
      <c r="GD485" s="1"/>
      <c r="GE485" s="1"/>
      <c r="GF485" s="1"/>
      <c r="GG485" s="1"/>
      <c r="GH485" s="1"/>
      <c r="GI485" s="1"/>
      <c r="GJ485" s="1"/>
      <c r="GK485" s="1"/>
      <c r="GL485" s="1"/>
      <c r="GM485" s="1"/>
      <c r="GN485" s="1"/>
      <c r="GO485" s="1"/>
      <c r="GP485" s="1"/>
      <c r="GQ485" s="1"/>
      <c r="GR485" s="1"/>
      <c r="GS485" s="1"/>
      <c r="GT485" s="1"/>
      <c r="GU485" s="1"/>
      <c r="GV485" s="1"/>
      <c r="GW485" s="1"/>
      <c r="GX485" s="1"/>
      <c r="GY485" s="1"/>
      <c r="GZ485" s="1"/>
      <c r="HA485" s="1"/>
      <c r="HB485" s="1"/>
      <c r="HC485" s="1"/>
      <c r="HD485" s="1"/>
      <c r="HE485" s="1"/>
      <c r="HF485" s="1"/>
      <c r="HG485" s="1"/>
      <c r="HH485" s="1"/>
      <c r="HI485" s="1"/>
      <c r="HJ485" s="1"/>
      <c r="HK485" s="1"/>
      <c r="HL485" s="1"/>
      <c r="HM485" s="1"/>
      <c r="HN485" s="1"/>
      <c r="HO485" s="1"/>
      <c r="HP485" s="1"/>
      <c r="HQ485" s="1"/>
      <c r="HR485" s="1"/>
      <c r="HS485" s="1"/>
      <c r="HT485" s="1"/>
      <c r="HU485" s="1"/>
      <c r="HV485" s="1"/>
      <c r="HW485" s="1"/>
      <c r="HX485" s="1"/>
      <c r="HY485" s="1"/>
      <c r="HZ485" s="1"/>
      <c r="IA485" s="1"/>
      <c r="IB485" s="1"/>
      <c r="IC485" s="1"/>
      <c r="ID485" s="1"/>
      <c r="IE485" s="1"/>
      <c r="IF485" s="1"/>
      <c r="IG485" s="1"/>
      <c r="IH485" s="1"/>
      <c r="II485" s="1"/>
      <c r="IJ485" s="1"/>
      <c r="IK485" s="1"/>
      <c r="IL485" s="1"/>
      <c r="IM485" s="1"/>
      <c r="IN485" s="1"/>
      <c r="IO485" s="1"/>
      <c r="IP485" s="1"/>
      <c r="IQ485" s="1"/>
      <c r="IR485" s="1"/>
      <c r="IS485" s="1"/>
      <c r="IT485" s="1"/>
      <c r="IU485" s="1"/>
      <c r="IV485" s="1"/>
      <c r="IW485" s="1"/>
      <c r="IX485" s="1"/>
      <c r="IY485" s="1"/>
      <c r="IZ485" s="1"/>
      <c r="JA485" s="1"/>
      <c r="JB485" s="1"/>
      <c r="JC485" s="1"/>
      <c r="JD485" s="1"/>
    </row>
    <row r="486" spans="1:264" s="347" customFormat="1" x14ac:dyDescent="0.2">
      <c r="A486" s="347" t="s">
        <v>423</v>
      </c>
      <c r="B486" s="348"/>
      <c r="BH486" s="398">
        <v>545436</v>
      </c>
      <c r="BI486" s="398">
        <v>554660</v>
      </c>
      <c r="BJ486" s="398">
        <v>550010</v>
      </c>
      <c r="BK486" s="348"/>
      <c r="BL486" s="398">
        <v>575745</v>
      </c>
      <c r="BM486" s="398">
        <v>596239</v>
      </c>
      <c r="BN486" s="398">
        <v>585908</v>
      </c>
      <c r="BO486" s="393">
        <f>BN486/BJ486-1</f>
        <v>6.5267904219923345E-2</v>
      </c>
      <c r="BP486" s="398">
        <v>612837</v>
      </c>
      <c r="BQ486" s="398">
        <v>636001</v>
      </c>
      <c r="BR486" s="398">
        <v>624324</v>
      </c>
      <c r="BS486" s="393">
        <f>BR486/BN486-1</f>
        <v>6.5566607726810444E-2</v>
      </c>
      <c r="BT486" s="398">
        <v>635978</v>
      </c>
      <c r="BU486" s="398">
        <v>653614</v>
      </c>
      <c r="BV486" s="351">
        <f>AVERAGE(BT486:BU486)</f>
        <v>644796</v>
      </c>
      <c r="BW486" s="393">
        <f>BV486/BR486-1</f>
        <v>3.2790666384761691E-2</v>
      </c>
      <c r="BX486" s="398">
        <v>674387</v>
      </c>
      <c r="BY486" s="398">
        <v>686017</v>
      </c>
      <c r="BZ486" s="399">
        <v>680154</v>
      </c>
      <c r="CA486" s="393">
        <f>BZ486/BV486-1</f>
        <v>5.4835948113822086E-2</v>
      </c>
      <c r="CB486" s="398">
        <v>697558</v>
      </c>
      <c r="CC486" s="398">
        <v>702297</v>
      </c>
      <c r="CD486" s="399">
        <v>699909</v>
      </c>
      <c r="CE486" s="393">
        <f>CD486/BZ486-1</f>
        <v>2.904489277428346E-2</v>
      </c>
      <c r="CF486" s="398">
        <v>706975</v>
      </c>
      <c r="CG486" s="398">
        <v>712135</v>
      </c>
      <c r="CH486" s="399">
        <v>709534</v>
      </c>
      <c r="CI486" s="394">
        <f>CH486/CD486-1</f>
        <v>1.3751787732405152E-2</v>
      </c>
      <c r="CJ486" s="398">
        <v>717276</v>
      </c>
      <c r="CK486" s="398">
        <v>728809</v>
      </c>
      <c r="CL486" s="399">
        <v>723011</v>
      </c>
      <c r="CM486" s="393">
        <f>CL486/CH486-1</f>
        <v>1.8994156728218803E-2</v>
      </c>
      <c r="CN486" s="398">
        <v>728465</v>
      </c>
      <c r="CO486" s="398">
        <v>742305</v>
      </c>
      <c r="CP486" s="399">
        <v>735328</v>
      </c>
      <c r="CQ486" s="393">
        <f>CP486/CL486-1</f>
        <v>1.7035702084753801E-2</v>
      </c>
      <c r="CR486" s="398">
        <v>772004</v>
      </c>
      <c r="CS486" s="398">
        <v>797286</v>
      </c>
      <c r="CT486" s="399">
        <v>784542</v>
      </c>
      <c r="CU486" s="393">
        <f>CT486/CP486-1</f>
        <v>6.6927955959789287E-2</v>
      </c>
      <c r="CV486" s="398">
        <v>825880</v>
      </c>
      <c r="CW486" s="398">
        <v>847500</v>
      </c>
      <c r="CX486" s="399">
        <v>836601</v>
      </c>
      <c r="CY486" s="393">
        <f>CX486/CT486-1</f>
        <v>6.6355912111779825E-2</v>
      </c>
      <c r="CZ486" s="398">
        <v>850249</v>
      </c>
      <c r="DA486" s="398">
        <v>855234</v>
      </c>
      <c r="DB486" s="399">
        <v>852728</v>
      </c>
      <c r="DC486" s="393">
        <f>DB486/CX486-1</f>
        <v>1.9276811765704283E-2</v>
      </c>
      <c r="DD486" s="398">
        <v>871589</v>
      </c>
      <c r="DE486" s="398">
        <v>901398</v>
      </c>
      <c r="DF486" s="399">
        <v>886371</v>
      </c>
      <c r="DG486" s="393">
        <f>DF486/DB486-1</f>
        <v>3.9453377864922867E-2</v>
      </c>
      <c r="DH486" s="398">
        <v>932343</v>
      </c>
      <c r="DI486" s="351">
        <f>+DI522*DI523</f>
        <v>963805.50745847845</v>
      </c>
      <c r="DJ486" s="351">
        <f>AVERAGE(DH486:DI486)</f>
        <v>948074.25372923922</v>
      </c>
      <c r="DK486" s="393">
        <f>DJ486/DF486-1</f>
        <v>6.961334895798621E-2</v>
      </c>
      <c r="DL486" s="351">
        <f>+DL522*DL523</f>
        <v>994698.74495509511</v>
      </c>
      <c r="DM486" s="351">
        <f>+DM522*DM523</f>
        <v>1024773.4648116865</v>
      </c>
      <c r="DN486" s="351">
        <f>AVERAGE(DL486:DM486)</f>
        <v>1009736.1048833908</v>
      </c>
      <c r="DO486" s="393">
        <f>DN486/DJ486-1</f>
        <v>6.5039052491516758E-2</v>
      </c>
      <c r="DP486" s="351">
        <f>+DP522*DP523</f>
        <v>1052638.4531518826</v>
      </c>
      <c r="DQ486" s="351">
        <f>+DQ522*DQ523</f>
        <v>1078181.5716284728</v>
      </c>
      <c r="DR486" s="351">
        <f>AVERAGE(DP486:DQ486)</f>
        <v>1065410.0123901777</v>
      </c>
      <c r="DS486" s="393">
        <f>DR486/DN486-1</f>
        <v>5.5137087044358379E-2</v>
      </c>
      <c r="DT486" s="1"/>
      <c r="DU486" s="1"/>
      <c r="DV486" s="1"/>
      <c r="DW486" s="1"/>
      <c r="DX486" s="1"/>
      <c r="DY486" s="1"/>
      <c r="DZ486" s="1"/>
      <c r="EA486" s="1"/>
      <c r="EB486" s="1"/>
      <c r="EC486" s="1"/>
      <c r="ED486" s="1"/>
      <c r="EE486" s="1"/>
      <c r="EF486" s="1"/>
      <c r="EG486" s="1"/>
      <c r="EH486" s="1"/>
      <c r="EI486" s="1"/>
      <c r="EJ486" s="1"/>
      <c r="EK486" s="1"/>
      <c r="EL486" s="1"/>
      <c r="EM486" s="1"/>
      <c r="EN486" s="1"/>
      <c r="EO486" s="1"/>
      <c r="EP486" s="1"/>
      <c r="EQ486" s="1"/>
      <c r="ER486" s="1"/>
      <c r="ES486" s="1"/>
      <c r="ET486" s="1"/>
      <c r="EU486" s="1"/>
      <c r="EV486" s="1"/>
      <c r="EW486" s="1"/>
      <c r="EX486" s="1"/>
      <c r="EY486" s="1"/>
      <c r="EZ486" s="1"/>
      <c r="FA486" s="1"/>
      <c r="FB486" s="1"/>
      <c r="FC486" s="1"/>
      <c r="FD486" s="1"/>
      <c r="FE486" s="1"/>
      <c r="FF486" s="1"/>
      <c r="FG486" s="1"/>
      <c r="FH486" s="1"/>
      <c r="FI486" s="1"/>
      <c r="FJ486" s="1"/>
      <c r="FK486" s="1"/>
      <c r="FL486" s="1"/>
      <c r="FM486" s="1"/>
      <c r="FN486" s="1"/>
      <c r="FO486" s="1"/>
      <c r="FP486" s="1"/>
      <c r="FQ486" s="1"/>
      <c r="FR486" s="1"/>
      <c r="FS486" s="1"/>
      <c r="FT486" s="1"/>
      <c r="FU486" s="1"/>
      <c r="FV486" s="1"/>
      <c r="FW486" s="1"/>
      <c r="FX486" s="1"/>
      <c r="FY486" s="1"/>
      <c r="FZ486" s="1"/>
      <c r="GA486" s="1"/>
      <c r="GB486" s="1"/>
      <c r="GC486" s="1"/>
      <c r="GD486" s="1"/>
      <c r="GE486" s="1"/>
      <c r="GF486" s="1"/>
      <c r="GG486" s="1"/>
      <c r="GH486" s="1"/>
      <c r="GI486" s="1"/>
      <c r="GJ486" s="1"/>
      <c r="GK486" s="1"/>
      <c r="GL486" s="1"/>
      <c r="GM486" s="1"/>
      <c r="GN486" s="1"/>
      <c r="GO486" s="1"/>
      <c r="GP486" s="1"/>
      <c r="GQ486" s="1"/>
      <c r="GR486" s="1"/>
      <c r="GS486" s="1"/>
      <c r="GT486" s="1"/>
      <c r="GU486" s="1"/>
      <c r="GV486" s="1"/>
      <c r="GW486" s="1"/>
      <c r="GX486" s="1"/>
      <c r="GY486" s="1"/>
      <c r="GZ486" s="1"/>
      <c r="HA486" s="1"/>
      <c r="HB486" s="1"/>
      <c r="HC486" s="1"/>
      <c r="HD486" s="1"/>
      <c r="HE486" s="1"/>
      <c r="HF486" s="1"/>
      <c r="HG486" s="1"/>
      <c r="HH486" s="1"/>
      <c r="HI486" s="1"/>
      <c r="HJ486" s="1"/>
      <c r="HK486" s="1"/>
      <c r="HL486" s="1"/>
      <c r="HM486" s="1"/>
      <c r="HN486" s="1"/>
      <c r="HO486" s="1"/>
      <c r="HP486" s="1"/>
      <c r="HQ486" s="1"/>
      <c r="HR486" s="1"/>
      <c r="HS486" s="1"/>
      <c r="HT486" s="1"/>
      <c r="HU486" s="1"/>
      <c r="HV486" s="1"/>
      <c r="HW486" s="1"/>
      <c r="HX486" s="1"/>
      <c r="HY486" s="1"/>
      <c r="HZ486" s="1"/>
      <c r="IA486" s="1"/>
      <c r="IB486" s="1"/>
      <c r="IC486" s="1"/>
      <c r="ID486" s="1"/>
      <c r="IE486" s="1"/>
      <c r="IF486" s="1"/>
      <c r="IG486" s="1"/>
      <c r="IH486" s="1"/>
      <c r="II486" s="1"/>
      <c r="IJ486" s="1"/>
      <c r="IK486" s="1"/>
      <c r="IL486" s="1"/>
      <c r="IM486" s="1"/>
      <c r="IN486" s="1"/>
      <c r="IO486" s="1"/>
      <c r="IP486" s="1"/>
      <c r="IQ486" s="1"/>
      <c r="IR486" s="1"/>
      <c r="IS486" s="1"/>
      <c r="IT486" s="1"/>
      <c r="IU486" s="1"/>
      <c r="IV486" s="1"/>
      <c r="IW486" s="1"/>
      <c r="IX486" s="1"/>
      <c r="IY486" s="1"/>
      <c r="IZ486" s="1"/>
      <c r="JA486" s="1"/>
      <c r="JB486" s="1"/>
      <c r="JC486" s="1"/>
      <c r="JD486" s="1"/>
    </row>
    <row r="487" spans="1:264" s="347" customFormat="1" x14ac:dyDescent="0.2">
      <c r="A487" s="347" t="s">
        <v>424</v>
      </c>
      <c r="B487" s="348"/>
      <c r="BH487" s="398">
        <v>103958</v>
      </c>
      <c r="BI487" s="398">
        <v>103291</v>
      </c>
      <c r="BJ487" s="398">
        <v>103627</v>
      </c>
      <c r="BK487" s="348"/>
      <c r="BL487" s="398">
        <v>114361</v>
      </c>
      <c r="BM487" s="398">
        <v>124650</v>
      </c>
      <c r="BN487" s="398">
        <v>119463</v>
      </c>
      <c r="BO487" s="393">
        <f>BN487/BJ487-1</f>
        <v>0.15281731595047621</v>
      </c>
      <c r="BP487" s="398">
        <v>126435</v>
      </c>
      <c r="BQ487" s="398">
        <v>136746</v>
      </c>
      <c r="BR487" s="351">
        <f>AVERAGE(BP487:BQ487)</f>
        <v>131590.5</v>
      </c>
      <c r="BS487" s="393">
        <f>BR487/BN487-1</f>
        <v>0.10151678762462013</v>
      </c>
      <c r="BT487" s="398">
        <v>144943</v>
      </c>
      <c r="BU487" s="398">
        <v>146765</v>
      </c>
      <c r="BV487" s="351">
        <f>AVERAGE(BT487:BU487)</f>
        <v>145854</v>
      </c>
      <c r="BW487" s="393">
        <f>BV487/BR487-1</f>
        <v>0.108393083087305</v>
      </c>
      <c r="BX487" s="398">
        <v>148671</v>
      </c>
      <c r="BY487" s="398">
        <v>160602</v>
      </c>
      <c r="BZ487" s="399">
        <v>154587</v>
      </c>
      <c r="CA487" s="393">
        <f>BZ487/BV487-1</f>
        <v>5.987494343658728E-2</v>
      </c>
      <c r="CB487" s="398">
        <v>153964</v>
      </c>
      <c r="CC487" s="398">
        <v>154753</v>
      </c>
      <c r="CD487" s="399">
        <v>154355</v>
      </c>
      <c r="CE487" s="393">
        <f>CD487/BZ487-1</f>
        <v>-1.5007730274861908E-3</v>
      </c>
      <c r="CF487" s="398">
        <v>156689</v>
      </c>
      <c r="CG487" s="398">
        <v>158777</v>
      </c>
      <c r="CH487" s="399">
        <v>161884</v>
      </c>
      <c r="CI487" s="394">
        <f>CH487/CD487-1</f>
        <v>4.8777169511839524E-2</v>
      </c>
      <c r="CJ487" s="398">
        <v>164574</v>
      </c>
      <c r="CK487" s="398">
        <v>184330</v>
      </c>
      <c r="CL487" s="399">
        <v>174398</v>
      </c>
      <c r="CM487" s="393">
        <f>CL487/CH487-1</f>
        <v>7.7302265819969795E-2</v>
      </c>
      <c r="CN487" s="398">
        <v>194459</v>
      </c>
      <c r="CO487" s="398">
        <v>194578</v>
      </c>
      <c r="CP487" s="399">
        <v>194518</v>
      </c>
      <c r="CQ487" s="393">
        <f>CP487/CL487-1</f>
        <v>0.115368295507976</v>
      </c>
      <c r="CR487" s="398">
        <f>57483+178583</f>
        <v>236066</v>
      </c>
      <c r="CS487" s="398">
        <f>67570+181206</f>
        <v>248776</v>
      </c>
      <c r="CT487" s="399">
        <f>62484+179884</f>
        <v>242368</v>
      </c>
      <c r="CU487" s="393">
        <f>CT487/CP487-1</f>
        <v>0.24599265877707976</v>
      </c>
      <c r="CV487" s="398">
        <f>77636+196511</f>
        <v>274147</v>
      </c>
      <c r="CW487" s="398">
        <f>77229+197938</f>
        <v>275167</v>
      </c>
      <c r="CX487" s="399">
        <f>77434+197219</f>
        <v>274653</v>
      </c>
      <c r="CY487" s="393">
        <f>CX487/CT487-1</f>
        <v>0.13320652891470819</v>
      </c>
      <c r="CZ487" s="398">
        <f>91618+198826</f>
        <v>290444</v>
      </c>
      <c r="DA487" s="398">
        <f>93309+199519</f>
        <v>292828</v>
      </c>
      <c r="DB487" s="399">
        <v>291629</v>
      </c>
      <c r="DC487" s="393">
        <f>DB487/CX487-1</f>
        <v>6.1808900685592416E-2</v>
      </c>
      <c r="DD487" s="398">
        <f>95835+168435</f>
        <v>264270</v>
      </c>
      <c r="DE487" s="398">
        <f>94681+175725</f>
        <v>270406</v>
      </c>
      <c r="DF487" s="399">
        <v>267313</v>
      </c>
      <c r="DG487" s="393">
        <f>DF487/DB487-1</f>
        <v>-8.3379910777048871E-2</v>
      </c>
      <c r="DH487" s="398">
        <f>111212+188771</f>
        <v>299983</v>
      </c>
      <c r="DI487" s="351">
        <f>+DI486*DI510</f>
        <v>310106.11710917199</v>
      </c>
      <c r="DJ487" s="351">
        <f>AVERAGE(DH487:DI487)</f>
        <v>305044.55855458602</v>
      </c>
      <c r="DK487" s="393">
        <f>DJ487/DF487-1</f>
        <v>0.14115122928771151</v>
      </c>
      <c r="DL487" s="351">
        <f>+DL486*DL510</f>
        <v>320046.07060691644</v>
      </c>
      <c r="DM487" s="351">
        <f>+DM486*DM510</f>
        <v>329722.66461442213</v>
      </c>
      <c r="DN487" s="351">
        <f>AVERAGE(DL487:DM487)</f>
        <v>324884.36761066929</v>
      </c>
      <c r="DO487" s="393">
        <f>DN487/DJ487-1</f>
        <v>6.5039052491516758E-2</v>
      </c>
      <c r="DP487" s="351">
        <f>+DP486*DP510</f>
        <v>338688.27362018183</v>
      </c>
      <c r="DQ487" s="351">
        <f>+DQ486*DQ510</f>
        <v>346906.81691375829</v>
      </c>
      <c r="DR487" s="351">
        <f>AVERAGE(DP487:DQ487)</f>
        <v>342797.54526697006</v>
      </c>
      <c r="DS487" s="393">
        <f>DR487/DN487-1</f>
        <v>5.5137087044358379E-2</v>
      </c>
      <c r="DT487" s="1"/>
      <c r="DU487" s="1"/>
      <c r="DV487" s="1"/>
      <c r="DW487" s="1"/>
      <c r="DX487" s="1"/>
      <c r="DY487" s="1"/>
      <c r="DZ487" s="1"/>
      <c r="EA487" s="1"/>
      <c r="EB487" s="1"/>
      <c r="EC487" s="1"/>
      <c r="ED487" s="1"/>
      <c r="EE487" s="1"/>
      <c r="EF487" s="1"/>
      <c r="EG487" s="1"/>
      <c r="EH487" s="1"/>
      <c r="EI487" s="1"/>
      <c r="EJ487" s="1"/>
      <c r="EK487" s="1"/>
      <c r="EL487" s="1"/>
      <c r="EM487" s="1"/>
      <c r="EN487" s="1"/>
      <c r="EO487" s="1"/>
      <c r="EP487" s="1"/>
      <c r="EQ487" s="1"/>
      <c r="ER487" s="1"/>
      <c r="ES487" s="1"/>
      <c r="ET487" s="1"/>
      <c r="EU487" s="1"/>
      <c r="EV487" s="1"/>
      <c r="EW487" s="1"/>
      <c r="EX487" s="1"/>
      <c r="EY487" s="1"/>
      <c r="EZ487" s="1"/>
      <c r="FA487" s="1"/>
      <c r="FB487" s="1"/>
      <c r="FC487" s="1"/>
      <c r="FD487" s="1"/>
      <c r="FE487" s="1"/>
      <c r="FF487" s="1"/>
      <c r="FG487" s="1"/>
      <c r="FH487" s="1"/>
      <c r="FI487" s="1"/>
      <c r="FJ487" s="1"/>
      <c r="FK487" s="1"/>
      <c r="FL487" s="1"/>
      <c r="FM487" s="1"/>
      <c r="FN487" s="1"/>
      <c r="FO487" s="1"/>
      <c r="FP487" s="1"/>
      <c r="FQ487" s="1"/>
      <c r="FR487" s="1"/>
      <c r="FS487" s="1"/>
      <c r="FT487" s="1"/>
      <c r="FU487" s="1"/>
      <c r="FV487" s="1"/>
      <c r="FW487" s="1"/>
      <c r="FX487" s="1"/>
      <c r="FY487" s="1"/>
      <c r="FZ487" s="1"/>
      <c r="GA487" s="1"/>
      <c r="GB487" s="1"/>
      <c r="GC487" s="1"/>
      <c r="GD487" s="1"/>
      <c r="GE487" s="1"/>
      <c r="GF487" s="1"/>
      <c r="GG487" s="1"/>
      <c r="GH487" s="1"/>
      <c r="GI487" s="1"/>
      <c r="GJ487" s="1"/>
      <c r="GK487" s="1"/>
      <c r="GL487" s="1"/>
      <c r="GM487" s="1"/>
      <c r="GN487" s="1"/>
      <c r="GO487" s="1"/>
      <c r="GP487" s="1"/>
      <c r="GQ487" s="1"/>
      <c r="GR487" s="1"/>
      <c r="GS487" s="1"/>
      <c r="GT487" s="1"/>
      <c r="GU487" s="1"/>
      <c r="GV487" s="1"/>
      <c r="GW487" s="1"/>
      <c r="GX487" s="1"/>
      <c r="GY487" s="1"/>
      <c r="GZ487" s="1"/>
      <c r="HA487" s="1"/>
      <c r="HB487" s="1"/>
      <c r="HC487" s="1"/>
      <c r="HD487" s="1"/>
      <c r="HE487" s="1"/>
      <c r="HF487" s="1"/>
      <c r="HG487" s="1"/>
      <c r="HH487" s="1"/>
      <c r="HI487" s="1"/>
      <c r="HJ487" s="1"/>
      <c r="HK487" s="1"/>
      <c r="HL487" s="1"/>
      <c r="HM487" s="1"/>
      <c r="HN487" s="1"/>
      <c r="HO487" s="1"/>
      <c r="HP487" s="1"/>
      <c r="HQ487" s="1"/>
      <c r="HR487" s="1"/>
      <c r="HS487" s="1"/>
      <c r="HT487" s="1"/>
      <c r="HU487" s="1"/>
      <c r="HV487" s="1"/>
      <c r="HW487" s="1"/>
      <c r="HX487" s="1"/>
      <c r="HY487" s="1"/>
      <c r="HZ487" s="1"/>
      <c r="IA487" s="1"/>
      <c r="IB487" s="1"/>
      <c r="IC487" s="1"/>
      <c r="ID487" s="1"/>
      <c r="IE487" s="1"/>
      <c r="IF487" s="1"/>
      <c r="IG487" s="1"/>
      <c r="IH487" s="1"/>
      <c r="II487" s="1"/>
      <c r="IJ487" s="1"/>
      <c r="IK487" s="1"/>
      <c r="IL487" s="1"/>
      <c r="IM487" s="1"/>
      <c r="IN487" s="1"/>
      <c r="IO487" s="1"/>
      <c r="IP487" s="1"/>
      <c r="IQ487" s="1"/>
      <c r="IR487" s="1"/>
      <c r="IS487" s="1"/>
      <c r="IT487" s="1"/>
      <c r="IU487" s="1"/>
      <c r="IV487" s="1"/>
      <c r="IW487" s="1"/>
      <c r="IX487" s="1"/>
      <c r="IY487" s="1"/>
      <c r="IZ487" s="1"/>
      <c r="JA487" s="1"/>
      <c r="JB487" s="1"/>
      <c r="JC487" s="1"/>
      <c r="JD487" s="1"/>
    </row>
    <row r="488" spans="1:264" s="411" customFormat="1" x14ac:dyDescent="0.2">
      <c r="A488" s="411" t="s">
        <v>425</v>
      </c>
      <c r="B488" s="423"/>
      <c r="BH488" s="397">
        <f>SUM(BH486:BH487)</f>
        <v>649394</v>
      </c>
      <c r="BI488" s="397">
        <f>SUM(BI486:BI487)</f>
        <v>657951</v>
      </c>
      <c r="BJ488" s="397">
        <f>SUM(BJ486:BJ487)</f>
        <v>653637</v>
      </c>
      <c r="BK488" s="423"/>
      <c r="BL488" s="397">
        <f>SUM(BL486:BL487)</f>
        <v>690106</v>
      </c>
      <c r="BM488" s="397">
        <f>SUM(BM486:BM487)</f>
        <v>720889</v>
      </c>
      <c r="BN488" s="397">
        <f>SUM(BN486:BN487)</f>
        <v>705371</v>
      </c>
      <c r="BO488" s="393">
        <f>BN488/BJ488-1</f>
        <v>7.914790625377699E-2</v>
      </c>
      <c r="BP488" s="397">
        <f>SUM(BP486:BP487)</f>
        <v>739272</v>
      </c>
      <c r="BQ488" s="397">
        <f>SUM(BQ486:BQ487)</f>
        <v>772747</v>
      </c>
      <c r="BR488" s="397">
        <f>SUM(BR486:BR487)</f>
        <v>755914.5</v>
      </c>
      <c r="BS488" s="393">
        <f>BR488/BN488-1</f>
        <v>7.1655199887718624E-2</v>
      </c>
      <c r="BT488" s="397">
        <f>SUM(BT486:BT487)</f>
        <v>780921</v>
      </c>
      <c r="BU488" s="397">
        <f>SUM(BU486:BU487)</f>
        <v>800379</v>
      </c>
      <c r="BV488" s="397">
        <f>SUM(BV486:BV487)</f>
        <v>790650</v>
      </c>
      <c r="BW488" s="393">
        <f>BV488/BR488-1</f>
        <v>4.5951625481453151E-2</v>
      </c>
      <c r="BX488" s="397">
        <f>SUM(BX486:BX487)</f>
        <v>823058</v>
      </c>
      <c r="BY488" s="397">
        <f>SUM(BY486:BY487)</f>
        <v>846619</v>
      </c>
      <c r="BZ488" s="397">
        <f>SUM(BZ486:BZ487)</f>
        <v>834741</v>
      </c>
      <c r="CA488" s="393">
        <f>BZ488/BV488-1</f>
        <v>5.576550939100744E-2</v>
      </c>
      <c r="CB488" s="397">
        <f>SUM(CB486:CB487)</f>
        <v>851522</v>
      </c>
      <c r="CC488" s="397">
        <f>SUM(CC486:CC487)</f>
        <v>857050</v>
      </c>
      <c r="CD488" s="397">
        <f>SUM(CD486:CD487)</f>
        <v>854264</v>
      </c>
      <c r="CE488" s="393">
        <f>CD488/BZ488-1</f>
        <v>2.338809283358545E-2</v>
      </c>
      <c r="CF488" s="397">
        <f>SUM(CF486:CF487)</f>
        <v>863664</v>
      </c>
      <c r="CG488" s="397">
        <f>SUM(CG486:CG487)</f>
        <v>870912</v>
      </c>
      <c r="CH488" s="397">
        <f>SUM(CH486:CH487)</f>
        <v>871418</v>
      </c>
      <c r="CI488" s="394">
        <f>CH488/CD488-1</f>
        <v>2.0080443516290014E-2</v>
      </c>
      <c r="CJ488" s="397">
        <f>SUM(CJ486:CJ487)</f>
        <v>881850</v>
      </c>
      <c r="CK488" s="397">
        <f>SUM(CK486:CK487)</f>
        <v>913139</v>
      </c>
      <c r="CL488" s="397">
        <f>SUM(CL486:CL487)</f>
        <v>897409</v>
      </c>
      <c r="CM488" s="393">
        <f>CL488/CH488-1</f>
        <v>2.982609952973192E-2</v>
      </c>
      <c r="CN488" s="397">
        <f>SUM(CN486:CN487)</f>
        <v>922924</v>
      </c>
      <c r="CO488" s="397">
        <f>SUM(CO486:CO487)</f>
        <v>936883</v>
      </c>
      <c r="CP488" s="397">
        <f>SUM(CP486:CP487)</f>
        <v>929846</v>
      </c>
      <c r="CQ488" s="393">
        <f>CP488/CL488-1</f>
        <v>3.614516903663767E-2</v>
      </c>
      <c r="CR488" s="397">
        <f>SUM(CR486:CR487)</f>
        <v>1008070</v>
      </c>
      <c r="CS488" s="397">
        <f>SUM(CS486:CS487)</f>
        <v>1046062</v>
      </c>
      <c r="CT488" s="397">
        <f>SUM(CT486:CT487)</f>
        <v>1026910</v>
      </c>
      <c r="CU488" s="393">
        <f>CT488/CP488-1</f>
        <v>0.10438717809185616</v>
      </c>
      <c r="CV488" s="397">
        <f>SUM(CV486:CV487)</f>
        <v>1100027</v>
      </c>
      <c r="CW488" s="397">
        <f>SUM(CW486:CW487)</f>
        <v>1122667</v>
      </c>
      <c r="CX488" s="397">
        <f>SUM(CX486:CX487)</f>
        <v>1111254</v>
      </c>
      <c r="CY488" s="393">
        <f>CX488/CT488-1</f>
        <v>8.2133779980718913E-2</v>
      </c>
      <c r="CZ488" s="397">
        <f>SUM(CZ486:CZ487)</f>
        <v>1140693</v>
      </c>
      <c r="DA488" s="397">
        <f>SUM(DA486:DA487)</f>
        <v>1148062</v>
      </c>
      <c r="DB488" s="397">
        <f>SUM(DB486:DB487)</f>
        <v>1144357</v>
      </c>
      <c r="DC488" s="393">
        <f>DB488/CX488-1</f>
        <v>2.97888691514272E-2</v>
      </c>
      <c r="DD488" s="397">
        <f>SUM(DD486:DD487)</f>
        <v>1135859</v>
      </c>
      <c r="DE488" s="397">
        <f>SUM(DE486:DE487)</f>
        <v>1171804</v>
      </c>
      <c r="DF488" s="397">
        <f>SUM(DF486:DF487)</f>
        <v>1153684</v>
      </c>
      <c r="DG488" s="393">
        <f>DF488/DB488-1</f>
        <v>8.1504285812905586E-3</v>
      </c>
      <c r="DH488" s="397">
        <f>SUM(DH486:DH487)</f>
        <v>1232326</v>
      </c>
      <c r="DI488" s="397">
        <f>SUM(DI486:DI487)</f>
        <v>1273911.6245676505</v>
      </c>
      <c r="DJ488" s="397">
        <f>AVERAGE(DH488:DI488)</f>
        <v>1253118.8122838251</v>
      </c>
      <c r="DK488" s="393">
        <f>DJ488/DF488-1</f>
        <v>8.6188949733051023E-2</v>
      </c>
      <c r="DL488" s="397">
        <f>SUM(DL486:DL487)</f>
        <v>1314744.8155620117</v>
      </c>
      <c r="DM488" s="397">
        <f>SUM(DM486:DM487)</f>
        <v>1354496.1294261087</v>
      </c>
      <c r="DN488" s="397">
        <f>AVERAGE(DL488:DM488)</f>
        <v>1334620.4724940602</v>
      </c>
      <c r="DO488" s="393">
        <f>DN488/DJ488-1</f>
        <v>6.503905249151698E-2</v>
      </c>
      <c r="DP488" s="397">
        <f>SUM(DP486:DP487)</f>
        <v>1391326.7267720643</v>
      </c>
      <c r="DQ488" s="397">
        <f>SUM(DQ486:DQ487)</f>
        <v>1425088.3885422312</v>
      </c>
      <c r="DR488" s="397">
        <f>AVERAGE(DP488:DQ488)</f>
        <v>1408207.5576571478</v>
      </c>
      <c r="DS488" s="393">
        <f>DR488/DN488-1</f>
        <v>5.5137087044358379E-2</v>
      </c>
      <c r="DT488" s="1"/>
      <c r="DU488" s="1"/>
      <c r="DV488" s="1"/>
      <c r="DW488" s="1"/>
      <c r="DX488" s="1"/>
      <c r="DY488" s="1"/>
      <c r="DZ488" s="1"/>
      <c r="EA488" s="1"/>
      <c r="EB488" s="1"/>
      <c r="EC488" s="1"/>
      <c r="ED488" s="1"/>
      <c r="EE488" s="1"/>
      <c r="EF488" s="1"/>
      <c r="EG488" s="1"/>
      <c r="EH488" s="1"/>
      <c r="EI488" s="1"/>
      <c r="EJ488" s="1"/>
      <c r="EK488" s="1"/>
      <c r="EL488" s="1"/>
      <c r="EM488" s="1"/>
      <c r="EN488" s="1"/>
      <c r="EO488" s="1"/>
      <c r="EP488" s="1"/>
      <c r="EQ488" s="1"/>
      <c r="ER488" s="1"/>
      <c r="ES488" s="1"/>
      <c r="ET488" s="1"/>
      <c r="EU488" s="1"/>
      <c r="EV488" s="1"/>
      <c r="EW488" s="1"/>
      <c r="EX488" s="1"/>
      <c r="EY488" s="1"/>
      <c r="EZ488" s="1"/>
      <c r="FA488" s="1"/>
      <c r="FB488" s="1"/>
      <c r="FC488" s="1"/>
      <c r="FD488" s="1"/>
      <c r="FE488" s="1"/>
      <c r="FF488" s="1"/>
      <c r="FG488" s="1"/>
      <c r="FH488" s="1"/>
      <c r="FI488" s="1"/>
      <c r="FJ488" s="1"/>
      <c r="FK488" s="1"/>
      <c r="FL488" s="1"/>
      <c r="FM488" s="1"/>
      <c r="FN488" s="1"/>
      <c r="FO488" s="1"/>
      <c r="FP488" s="1"/>
      <c r="FQ488" s="1"/>
      <c r="FR488" s="1"/>
      <c r="FS488" s="1"/>
      <c r="FT488" s="1"/>
      <c r="FU488" s="1"/>
      <c r="FV488" s="1"/>
      <c r="FW488" s="1"/>
      <c r="FX488" s="1"/>
      <c r="FY488" s="1"/>
      <c r="FZ488" s="1"/>
      <c r="GA488" s="1"/>
      <c r="GB488" s="1"/>
      <c r="GC488" s="1"/>
      <c r="GD488" s="1"/>
      <c r="GE488" s="1"/>
      <c r="GF488" s="1"/>
      <c r="GG488" s="1"/>
      <c r="GH488" s="1"/>
      <c r="GI488" s="1"/>
      <c r="GJ488" s="1"/>
      <c r="GK488" s="1"/>
      <c r="GL488" s="1"/>
      <c r="GM488" s="1"/>
      <c r="GN488" s="1"/>
      <c r="GO488" s="1"/>
      <c r="GP488" s="1"/>
      <c r="GQ488" s="1"/>
      <c r="GR488" s="1"/>
      <c r="GS488" s="1"/>
      <c r="GT488" s="1"/>
      <c r="GU488" s="1"/>
      <c r="GV488" s="1"/>
      <c r="GW488" s="1"/>
      <c r="GX488" s="1"/>
      <c r="GY488" s="1"/>
      <c r="GZ488" s="1"/>
      <c r="HA488" s="1"/>
      <c r="HB488" s="1"/>
      <c r="HC488" s="1"/>
      <c r="HD488" s="1"/>
      <c r="HE488" s="1"/>
      <c r="HF488" s="1"/>
      <c r="HG488" s="1"/>
      <c r="HH488" s="1"/>
      <c r="HI488" s="1"/>
      <c r="HJ488" s="1"/>
      <c r="HK488" s="1"/>
      <c r="HL488" s="1"/>
      <c r="HM488" s="1"/>
      <c r="HN488" s="1"/>
      <c r="HO488" s="1"/>
      <c r="HP488" s="1"/>
      <c r="HQ488" s="1"/>
      <c r="HR488" s="1"/>
      <c r="HS488" s="1"/>
      <c r="HT488" s="1"/>
      <c r="HU488" s="1"/>
      <c r="HV488" s="1"/>
      <c r="HW488" s="1"/>
      <c r="HX488" s="1"/>
      <c r="HY488" s="1"/>
      <c r="HZ488" s="1"/>
      <c r="IA488" s="1"/>
      <c r="IB488" s="1"/>
      <c r="IC488" s="1"/>
      <c r="ID488" s="1"/>
      <c r="IE488" s="1"/>
      <c r="IF488" s="1"/>
      <c r="IG488" s="1"/>
      <c r="IH488" s="1"/>
      <c r="II488" s="1"/>
      <c r="IJ488" s="1"/>
      <c r="IK488" s="1"/>
      <c r="IL488" s="1"/>
      <c r="IM488" s="1"/>
      <c r="IN488" s="1"/>
      <c r="IO488" s="1"/>
      <c r="IP488" s="1"/>
      <c r="IQ488" s="1"/>
      <c r="IR488" s="1"/>
      <c r="IS488" s="1"/>
      <c r="IT488" s="1"/>
      <c r="IU488" s="1"/>
      <c r="IV488" s="1"/>
      <c r="IW488" s="1"/>
      <c r="IX488" s="1"/>
      <c r="IY488" s="1"/>
      <c r="IZ488" s="1"/>
      <c r="JA488" s="1"/>
      <c r="JB488" s="1"/>
      <c r="JC488" s="1"/>
      <c r="JD488" s="1"/>
    </row>
    <row r="489" spans="1:264" s="347" customFormat="1" x14ac:dyDescent="0.2">
      <c r="A489" s="347" t="s">
        <v>351</v>
      </c>
      <c r="B489" s="348"/>
      <c r="BH489" s="398">
        <v>71972</v>
      </c>
      <c r="BI489" s="398">
        <v>77077</v>
      </c>
      <c r="BJ489" s="398">
        <v>74503</v>
      </c>
      <c r="BK489" s="348"/>
      <c r="BL489" s="398">
        <v>74516</v>
      </c>
      <c r="BM489" s="398">
        <v>76043</v>
      </c>
      <c r="BN489" s="398">
        <v>75273</v>
      </c>
      <c r="BO489" s="348"/>
      <c r="BP489" s="398">
        <v>76986</v>
      </c>
      <c r="BQ489" s="398">
        <v>98205</v>
      </c>
      <c r="BR489" s="351">
        <f>AVERAGE(BP489:BQ489)</f>
        <v>87595.5</v>
      </c>
      <c r="BT489" s="398">
        <v>128358</v>
      </c>
      <c r="BU489" s="398">
        <v>123061</v>
      </c>
      <c r="BV489" s="351">
        <f>AVERAGE(BT489:BU489)</f>
        <v>125709.5</v>
      </c>
      <c r="BW489" s="393">
        <f>BV489/BR489-1</f>
        <v>0.43511367593084116</v>
      </c>
      <c r="BX489" s="398">
        <v>134066</v>
      </c>
      <c r="BY489" s="398">
        <v>141177</v>
      </c>
      <c r="BZ489" s="399">
        <f>137592+0</f>
        <v>137592</v>
      </c>
      <c r="CA489" s="393">
        <f>BZ489/BV489-1</f>
        <v>9.4523484700838045E-2</v>
      </c>
      <c r="CB489" s="398">
        <f>105006+14895</f>
        <v>119901</v>
      </c>
      <c r="CC489" s="398">
        <f>108521+15659</f>
        <v>124180</v>
      </c>
      <c r="CD489" s="399">
        <f>106749+15274</f>
        <v>122023</v>
      </c>
      <c r="CE489" s="393">
        <f>CD489/BZ489-1</f>
        <v>-0.11315338101052386</v>
      </c>
      <c r="CF489" s="398">
        <f>98181+15965</f>
        <v>114146</v>
      </c>
      <c r="CG489" s="398">
        <f>84367+17965</f>
        <v>102332</v>
      </c>
      <c r="CH489" s="399">
        <f>87171+16957</f>
        <v>104128</v>
      </c>
      <c r="CI489" s="394">
        <f>CH489/CD489-1</f>
        <v>-0.14665268023241518</v>
      </c>
      <c r="CJ489" s="398">
        <f>91293+10246</f>
        <v>101539</v>
      </c>
      <c r="CK489" s="398">
        <f>102033+1172</f>
        <v>103205</v>
      </c>
      <c r="CL489" s="399">
        <f>96634+5734</f>
        <v>102368</v>
      </c>
      <c r="CM489" s="393">
        <f>CL489/CH489-1</f>
        <v>-1.6902274124154903E-2</v>
      </c>
      <c r="CN489" s="398">
        <f>107650+534</f>
        <v>108184</v>
      </c>
      <c r="CO489" s="398">
        <v>109985</v>
      </c>
      <c r="CP489" s="399">
        <f>109026+1457</f>
        <v>110483</v>
      </c>
      <c r="CQ489" s="393">
        <f>CP489/CL489-1</f>
        <v>7.927281963113475E-2</v>
      </c>
      <c r="CR489" s="398">
        <f>115141+1938</f>
        <v>117079</v>
      </c>
      <c r="CS489" s="398">
        <f>124474+2253</f>
        <v>126727</v>
      </c>
      <c r="CT489" s="399">
        <f>119775+2094</f>
        <v>121869</v>
      </c>
      <c r="CU489" s="393">
        <f>CT489/CP489-1</f>
        <v>0.1030565788401836</v>
      </c>
      <c r="CV489" s="398">
        <f>126699+925</f>
        <v>127624</v>
      </c>
      <c r="CW489" s="398">
        <f>117187+0</f>
        <v>117187</v>
      </c>
      <c r="CX489" s="399">
        <f>121982+466</f>
        <v>122448</v>
      </c>
      <c r="CY489" s="393">
        <f>CX489/CT489-1</f>
        <v>4.7510031263078289E-3</v>
      </c>
      <c r="CZ489" s="398">
        <f>121513+266</f>
        <v>121779</v>
      </c>
      <c r="DA489" s="398">
        <f>121912+1080</f>
        <v>122992</v>
      </c>
      <c r="DB489" s="399">
        <f>121713+670</f>
        <v>122383</v>
      </c>
      <c r="DC489" s="393">
        <f>DB489/CX489-1</f>
        <v>-5.3083758003402703E-4</v>
      </c>
      <c r="DD489" s="398">
        <f>130141+815</f>
        <v>130956</v>
      </c>
      <c r="DE489" s="398">
        <f>145027+723</f>
        <v>145750</v>
      </c>
      <c r="DF489" s="399">
        <f>137523+769</f>
        <v>138292</v>
      </c>
      <c r="DG489" s="393">
        <f>DF489/DB489-1</f>
        <v>0.12999354485508618</v>
      </c>
      <c r="DH489" s="398">
        <f>141808+9</f>
        <v>141817</v>
      </c>
      <c r="DI489" s="351">
        <f ca="1">DI490-DI488</f>
        <v>152011.77277244534</v>
      </c>
      <c r="DJ489" s="351">
        <f ca="1">AVERAGE(DH489:DI489)</f>
        <v>146914.38638622267</v>
      </c>
      <c r="DK489" s="393">
        <f ca="1">DJ489/DF489-1</f>
        <v>6.2349133617437547E-2</v>
      </c>
      <c r="DL489" s="351">
        <f ca="1">DL490-DL488</f>
        <v>156941.4405623388</v>
      </c>
      <c r="DM489" s="351">
        <f ca="1">DM490-DM488</f>
        <v>161716.93489910313</v>
      </c>
      <c r="DN489" s="351">
        <f ca="1">AVERAGE(DL489:DM489)</f>
        <v>159329.18773072097</v>
      </c>
      <c r="DO489" s="393">
        <f ca="1">DN489/DJ489-1</f>
        <v>8.4503646306366864E-2</v>
      </c>
      <c r="DP489" s="351">
        <f ca="1">DP490-DP488</f>
        <v>166055.95972268074</v>
      </c>
      <c r="DQ489" s="351">
        <f ca="1">DQ490-DQ488</f>
        <v>169946.7375725091</v>
      </c>
      <c r="DR489" s="351">
        <f ca="1">AVERAGE(DP489:DQ489)</f>
        <v>168001.34864759492</v>
      </c>
      <c r="DS489" s="393">
        <f ca="1">DR489/DN489-1</f>
        <v>5.4429204343466431E-2</v>
      </c>
      <c r="DT489" s="1"/>
      <c r="DU489" s="1"/>
      <c r="DV489" s="1"/>
      <c r="DW489" s="1"/>
      <c r="DX489" s="1"/>
      <c r="DY489" s="1"/>
      <c r="DZ489" s="1"/>
      <c r="EA489" s="1"/>
      <c r="EB489" s="1"/>
      <c r="EC489" s="1"/>
      <c r="ED489" s="1"/>
      <c r="EE489" s="1"/>
      <c r="EF489" s="1"/>
      <c r="EG489" s="1"/>
      <c r="EH489" s="1"/>
      <c r="EI489" s="1"/>
      <c r="EJ489" s="1"/>
      <c r="EK489" s="1"/>
      <c r="EL489" s="1"/>
      <c r="EM489" s="1"/>
      <c r="EN489" s="1"/>
      <c r="EO489" s="1"/>
      <c r="EP489" s="1"/>
      <c r="EQ489" s="1"/>
      <c r="ER489" s="1"/>
      <c r="ES489" s="1"/>
      <c r="ET489" s="1"/>
      <c r="EU489" s="1"/>
      <c r="EV489" s="1"/>
      <c r="EW489" s="1"/>
      <c r="EX489" s="1"/>
      <c r="EY489" s="1"/>
      <c r="EZ489" s="1"/>
      <c r="FA489" s="1"/>
      <c r="FB489" s="1"/>
      <c r="FC489" s="1"/>
      <c r="FD489" s="1"/>
      <c r="FE489" s="1"/>
      <c r="FF489" s="1"/>
      <c r="FG489" s="1"/>
      <c r="FH489" s="1"/>
      <c r="FI489" s="1"/>
      <c r="FJ489" s="1"/>
      <c r="FK489" s="1"/>
      <c r="FL489" s="1"/>
      <c r="FM489" s="1"/>
      <c r="FN489" s="1"/>
      <c r="FO489" s="1"/>
      <c r="FP489" s="1"/>
      <c r="FQ489" s="1"/>
      <c r="FR489" s="1"/>
      <c r="FS489" s="1"/>
      <c r="FT489" s="1"/>
      <c r="FU489" s="1"/>
      <c r="FV489" s="1"/>
      <c r="FW489" s="1"/>
      <c r="FX489" s="1"/>
      <c r="FY489" s="1"/>
      <c r="FZ489" s="1"/>
      <c r="GA489" s="1"/>
      <c r="GB489" s="1"/>
      <c r="GC489" s="1"/>
      <c r="GD489" s="1"/>
      <c r="GE489" s="1"/>
      <c r="GF489" s="1"/>
      <c r="GG489" s="1"/>
      <c r="GH489" s="1"/>
      <c r="GI489" s="1"/>
      <c r="GJ489" s="1"/>
      <c r="GK489" s="1"/>
      <c r="GL489" s="1"/>
      <c r="GM489" s="1"/>
      <c r="GN489" s="1"/>
      <c r="GO489" s="1"/>
      <c r="GP489" s="1"/>
      <c r="GQ489" s="1"/>
      <c r="GR489" s="1"/>
      <c r="GS489" s="1"/>
      <c r="GT489" s="1"/>
      <c r="GU489" s="1"/>
      <c r="GV489" s="1"/>
      <c r="GW489" s="1"/>
      <c r="GX489" s="1"/>
      <c r="GY489" s="1"/>
      <c r="GZ489" s="1"/>
      <c r="HA489" s="1"/>
      <c r="HB489" s="1"/>
      <c r="HC489" s="1"/>
      <c r="HD489" s="1"/>
      <c r="HE489" s="1"/>
      <c r="HF489" s="1"/>
      <c r="HG489" s="1"/>
      <c r="HH489" s="1"/>
      <c r="HI489" s="1"/>
      <c r="HJ489" s="1"/>
      <c r="HK489" s="1"/>
      <c r="HL489" s="1"/>
      <c r="HM489" s="1"/>
      <c r="HN489" s="1"/>
      <c r="HO489" s="1"/>
      <c r="HP489" s="1"/>
      <c r="HQ489" s="1"/>
      <c r="HR489" s="1"/>
      <c r="HS489" s="1"/>
      <c r="HT489" s="1"/>
      <c r="HU489" s="1"/>
      <c r="HV489" s="1"/>
      <c r="HW489" s="1"/>
      <c r="HX489" s="1"/>
      <c r="HY489" s="1"/>
      <c r="HZ489" s="1"/>
      <c r="IA489" s="1"/>
      <c r="IB489" s="1"/>
      <c r="IC489" s="1"/>
      <c r="ID489" s="1"/>
      <c r="IE489" s="1"/>
      <c r="IF489" s="1"/>
      <c r="IG489" s="1"/>
      <c r="IH489" s="1"/>
      <c r="II489" s="1"/>
      <c r="IJ489" s="1"/>
      <c r="IK489" s="1"/>
      <c r="IL489" s="1"/>
      <c r="IM489" s="1"/>
      <c r="IN489" s="1"/>
      <c r="IO489" s="1"/>
      <c r="IP489" s="1"/>
      <c r="IQ489" s="1"/>
      <c r="IR489" s="1"/>
      <c r="IS489" s="1"/>
      <c r="IT489" s="1"/>
      <c r="IU489" s="1"/>
      <c r="IV489" s="1"/>
      <c r="IW489" s="1"/>
      <c r="IX489" s="1"/>
      <c r="IY489" s="1"/>
      <c r="IZ489" s="1"/>
      <c r="JA489" s="1"/>
      <c r="JB489" s="1"/>
      <c r="JC489" s="1"/>
      <c r="JD489" s="1"/>
    </row>
    <row r="490" spans="1:264" s="347" customFormat="1" x14ac:dyDescent="0.2">
      <c r="A490" s="411" t="s">
        <v>426</v>
      </c>
      <c r="B490" s="423"/>
      <c r="C490" s="411"/>
      <c r="D490" s="411"/>
      <c r="E490" s="411"/>
      <c r="F490" s="411"/>
      <c r="G490" s="411"/>
      <c r="H490" s="411"/>
      <c r="I490" s="411"/>
      <c r="J490" s="411"/>
      <c r="K490" s="411"/>
      <c r="L490" s="411"/>
      <c r="M490" s="411"/>
      <c r="N490" s="411"/>
      <c r="O490" s="411"/>
      <c r="P490" s="411"/>
      <c r="Q490" s="411"/>
      <c r="R490" s="411"/>
      <c r="S490" s="411"/>
      <c r="T490" s="411"/>
      <c r="U490" s="411"/>
      <c r="V490" s="411"/>
      <c r="W490" s="411"/>
      <c r="X490" s="411"/>
      <c r="Y490" s="411"/>
      <c r="Z490" s="411"/>
      <c r="AA490" s="411"/>
      <c r="AB490" s="411"/>
      <c r="AC490" s="411"/>
      <c r="AD490" s="411"/>
      <c r="AE490" s="411"/>
      <c r="AF490" s="411"/>
      <c r="AG490" s="411"/>
      <c r="AH490" s="411"/>
      <c r="AI490" s="411"/>
      <c r="AJ490" s="411"/>
      <c r="AK490" s="411"/>
      <c r="AL490" s="411"/>
      <c r="AM490" s="411"/>
      <c r="AN490" s="411"/>
      <c r="AO490" s="411"/>
      <c r="AP490" s="411"/>
      <c r="AQ490" s="411"/>
      <c r="AR490" s="411"/>
      <c r="AS490" s="411"/>
      <c r="AT490" s="411"/>
      <c r="AU490" s="411"/>
      <c r="AV490" s="411"/>
      <c r="AW490" s="411"/>
      <c r="AX490" s="411"/>
      <c r="AY490" s="411"/>
      <c r="AZ490" s="411"/>
      <c r="BA490" s="411"/>
      <c r="BB490" s="411"/>
      <c r="BC490" s="411"/>
      <c r="BD490" s="411"/>
      <c r="BE490" s="411"/>
      <c r="BF490" s="411"/>
      <c r="BG490" s="411"/>
      <c r="BH490" s="397">
        <f>SUM(BH488:BH489)</f>
        <v>721366</v>
      </c>
      <c r="BI490" s="397">
        <f>SUM(BI488:BI489)</f>
        <v>735028</v>
      </c>
      <c r="BJ490" s="397">
        <f>SUM(BJ488:BJ489)</f>
        <v>728140</v>
      </c>
      <c r="BK490" s="423"/>
      <c r="BL490" s="397">
        <f>SUM(BL488:BL489)</f>
        <v>764622</v>
      </c>
      <c r="BM490" s="397">
        <f>SUM(BM488:BM489)</f>
        <v>796932</v>
      </c>
      <c r="BN490" s="397">
        <f>SUM(BN488:BN489)</f>
        <v>780644</v>
      </c>
      <c r="BO490" s="348"/>
      <c r="BP490" s="397">
        <f>SUM(BP488:BP489)</f>
        <v>816258</v>
      </c>
      <c r="BQ490" s="397">
        <f>SUM(BQ488:BQ489)</f>
        <v>870952</v>
      </c>
      <c r="BR490" s="397">
        <f>SUM(BR488:BR489)</f>
        <v>843510</v>
      </c>
      <c r="BT490" s="397">
        <f>SUM(BT488:BT489)</f>
        <v>909279</v>
      </c>
      <c r="BU490" s="397">
        <f>SUM(BU488:BU489)</f>
        <v>923440</v>
      </c>
      <c r="BV490" s="397">
        <f>SUM(BV488:BV489)</f>
        <v>916359.5</v>
      </c>
      <c r="BW490" s="393">
        <f>BV490/BR490-1</f>
        <v>8.6364714111273111E-2</v>
      </c>
      <c r="BX490" s="397">
        <f>SUM(BX488:BX489)</f>
        <v>957124</v>
      </c>
      <c r="BY490" s="397">
        <f>SUM(BY488:BY489)</f>
        <v>987796</v>
      </c>
      <c r="BZ490" s="397">
        <f>SUM(BZ488:BZ489)</f>
        <v>972333</v>
      </c>
      <c r="CA490" s="393">
        <f>BZ490/BV490-1</f>
        <v>6.1082468179791904E-2</v>
      </c>
      <c r="CB490" s="397">
        <f>SUM(CB488:CB489)</f>
        <v>971423</v>
      </c>
      <c r="CC490" s="397">
        <f>SUM(CC488:CC489)</f>
        <v>981230</v>
      </c>
      <c r="CD490" s="397">
        <f>SUM(CD488:CD489)</f>
        <v>976287</v>
      </c>
      <c r="CE490" s="393">
        <f>CD490/BZ490-1</f>
        <v>4.0665080790223129E-3</v>
      </c>
      <c r="CF490" s="397">
        <f>SUM(CF488:CF489)</f>
        <v>977810</v>
      </c>
      <c r="CG490" s="397">
        <f>SUM(CG488:CG489)</f>
        <v>973244</v>
      </c>
      <c r="CH490" s="397">
        <f>SUM(CH488:CH489)</f>
        <v>975546</v>
      </c>
      <c r="CI490" s="394">
        <f>CH490/CD490-1</f>
        <v>-7.5899812247837151E-4</v>
      </c>
      <c r="CJ490" s="397">
        <f>SUM(CJ488:CJ489)</f>
        <v>983389</v>
      </c>
      <c r="CK490" s="397">
        <f>SUM(CK488:CK489)</f>
        <v>1016344</v>
      </c>
      <c r="CL490" s="397">
        <f>SUM(CL488:CL489)</f>
        <v>999777</v>
      </c>
      <c r="CM490" s="393">
        <f>CL490/CH490-1</f>
        <v>2.4838398189321653E-2</v>
      </c>
      <c r="CN490" s="397">
        <f>SUM(CN488:CN489)</f>
        <v>1031108</v>
      </c>
      <c r="CO490" s="397">
        <f>SUM(CO488:CO489)</f>
        <v>1046868</v>
      </c>
      <c r="CP490" s="397">
        <f>SUM(CP488:CP489)</f>
        <v>1040329</v>
      </c>
      <c r="CQ490" s="393">
        <f>CP490/CL490-1</f>
        <v>4.0561045113060246E-2</v>
      </c>
      <c r="CR490" s="397">
        <f>SUM(CR488:CR489)</f>
        <v>1125149</v>
      </c>
      <c r="CS490" s="397">
        <f>SUM(CS488:CS489)</f>
        <v>1172789</v>
      </c>
      <c r="CT490" s="397">
        <f>SUM(CT488:CT489)</f>
        <v>1148779</v>
      </c>
      <c r="CU490" s="393">
        <f>CT490/CP490-1</f>
        <v>0.10424586837433147</v>
      </c>
      <c r="CV490" s="397">
        <f>SUM(CV488:CV489)</f>
        <v>1227651</v>
      </c>
      <c r="CW490" s="397">
        <f>SUM(CW488:CW489)</f>
        <v>1239854</v>
      </c>
      <c r="CX490" s="397">
        <f>SUM(CX488:CX489)</f>
        <v>1233702</v>
      </c>
      <c r="CY490" s="393">
        <f>CX490/CT490-1</f>
        <v>7.3924575571106432E-2</v>
      </c>
      <c r="CZ490" s="397">
        <f>SUM(CZ488:CZ489)</f>
        <v>1262472</v>
      </c>
      <c r="DA490" s="397">
        <f>SUM(DA488:DA489)</f>
        <v>1271054</v>
      </c>
      <c r="DB490" s="397">
        <f>SUM(DB488:DB489)</f>
        <v>1266740</v>
      </c>
      <c r="DC490" s="393">
        <f>DB490/CX490-1</f>
        <v>2.6779562649651201E-2</v>
      </c>
      <c r="DD490" s="397">
        <f>SUM(DD488:DD489)</f>
        <v>1266815</v>
      </c>
      <c r="DE490" s="397">
        <f>SUM(DE488:DE489)</f>
        <v>1317554</v>
      </c>
      <c r="DF490" s="397">
        <f>SUM(DF488:DF489)</f>
        <v>1291976</v>
      </c>
      <c r="DG490" s="393">
        <f>DF490/DB490-1</f>
        <v>1.9922004515527947E-2</v>
      </c>
      <c r="DH490" s="397">
        <f>SUM(DH488:DH489)</f>
        <v>1374143</v>
      </c>
      <c r="DI490" s="397">
        <f ca="1">+DI532*DI533</f>
        <v>1425923.3973400958</v>
      </c>
      <c r="DJ490" s="397">
        <f ca="1">SUM(DJ488:DJ489)</f>
        <v>1400033.1986700478</v>
      </c>
      <c r="DK490" s="393">
        <f ca="1">DJ490/DF490-1</f>
        <v>8.3637156317182271E-2</v>
      </c>
      <c r="DL490" s="397">
        <f ca="1">+DL532*DL533</f>
        <v>1471686.2561243505</v>
      </c>
      <c r="DM490" s="397">
        <f ca="1">+DM532*DM533</f>
        <v>1516213.0643252118</v>
      </c>
      <c r="DN490" s="397">
        <f ca="1">SUM(DN488:DN489)</f>
        <v>1493949.6602247811</v>
      </c>
      <c r="DO490" s="393">
        <f ca="1">DN490/DJ490-1</f>
        <v>6.7081596096398854E-2</v>
      </c>
      <c r="DP490" s="397">
        <f ca="1">+DP532*DP533</f>
        <v>1557382.6864947451</v>
      </c>
      <c r="DQ490" s="397">
        <f ca="1">+DQ532*DQ533</f>
        <v>1595035.1261147403</v>
      </c>
      <c r="DR490" s="397">
        <f ca="1">SUM(DR488:DR489)</f>
        <v>1576208.9063047427</v>
      </c>
      <c r="DS490" s="393">
        <f ca="1">DR490/DN490-1</f>
        <v>5.5061591611851757E-2</v>
      </c>
      <c r="DT490" s="1"/>
      <c r="DU490" s="1"/>
      <c r="DV490" s="1"/>
      <c r="DW490" s="1"/>
      <c r="DX490" s="1"/>
      <c r="DY490" s="1"/>
      <c r="DZ490" s="1"/>
      <c r="EA490" s="1"/>
      <c r="EB490" s="1"/>
      <c r="EC490" s="1"/>
      <c r="ED490" s="1"/>
      <c r="EE490" s="1"/>
      <c r="EF490" s="1"/>
      <c r="EG490" s="1"/>
      <c r="EH490" s="1"/>
      <c r="EI490" s="1"/>
      <c r="EJ490" s="1"/>
      <c r="EK490" s="1"/>
      <c r="EL490" s="1"/>
      <c r="EM490" s="1"/>
      <c r="EN490" s="1"/>
      <c r="EO490" s="1"/>
      <c r="EP490" s="1"/>
      <c r="EQ490" s="1"/>
      <c r="ER490" s="1"/>
      <c r="ES490" s="1"/>
      <c r="ET490" s="1"/>
      <c r="EU490" s="1"/>
      <c r="EV490" s="1"/>
      <c r="EW490" s="1"/>
      <c r="EX490" s="1"/>
      <c r="EY490" s="1"/>
      <c r="EZ490" s="1"/>
      <c r="FA490" s="1"/>
      <c r="FB490" s="1"/>
      <c r="FC490" s="1"/>
      <c r="FD490" s="1"/>
      <c r="FE490" s="1"/>
      <c r="FF490" s="1"/>
      <c r="FG490" s="1"/>
      <c r="FH490" s="1"/>
      <c r="FI490" s="1"/>
      <c r="FJ490" s="1"/>
      <c r="FK490" s="1"/>
      <c r="FL490" s="1"/>
      <c r="FM490" s="1"/>
      <c r="FN490" s="1"/>
      <c r="FO490" s="1"/>
      <c r="FP490" s="1"/>
      <c r="FQ490" s="1"/>
      <c r="FR490" s="1"/>
      <c r="FS490" s="1"/>
      <c r="FT490" s="1"/>
      <c r="FU490" s="1"/>
      <c r="FV490" s="1"/>
      <c r="FW490" s="1"/>
      <c r="FX490" s="1"/>
      <c r="FY490" s="1"/>
      <c r="FZ490" s="1"/>
      <c r="GA490" s="1"/>
      <c r="GB490" s="1"/>
      <c r="GC490" s="1"/>
      <c r="GD490" s="1"/>
      <c r="GE490" s="1"/>
      <c r="GF490" s="1"/>
      <c r="GG490" s="1"/>
      <c r="GH490" s="1"/>
      <c r="GI490" s="1"/>
      <c r="GJ490" s="1"/>
      <c r="GK490" s="1"/>
      <c r="GL490" s="1"/>
      <c r="GM490" s="1"/>
      <c r="GN490" s="1"/>
      <c r="GO490" s="1"/>
      <c r="GP490" s="1"/>
      <c r="GQ490" s="1"/>
      <c r="GR490" s="1"/>
      <c r="GS490" s="1"/>
      <c r="GT490" s="1"/>
      <c r="GU490" s="1"/>
      <c r="GV490" s="1"/>
      <c r="GW490" s="1"/>
      <c r="GX490" s="1"/>
      <c r="GY490" s="1"/>
      <c r="GZ490" s="1"/>
      <c r="HA490" s="1"/>
      <c r="HB490" s="1"/>
      <c r="HC490" s="1"/>
      <c r="HD490" s="1"/>
      <c r="HE490" s="1"/>
      <c r="HF490" s="1"/>
      <c r="HG490" s="1"/>
      <c r="HH490" s="1"/>
      <c r="HI490" s="1"/>
      <c r="HJ490" s="1"/>
      <c r="HK490" s="1"/>
      <c r="HL490" s="1"/>
      <c r="HM490" s="1"/>
      <c r="HN490" s="1"/>
      <c r="HO490" s="1"/>
      <c r="HP490" s="1"/>
      <c r="HQ490" s="1"/>
      <c r="HR490" s="1"/>
      <c r="HS490" s="1"/>
      <c r="HT490" s="1"/>
      <c r="HU490" s="1"/>
      <c r="HV490" s="1"/>
      <c r="HW490" s="1"/>
      <c r="HX490" s="1"/>
      <c r="HY490" s="1"/>
      <c r="HZ490" s="1"/>
      <c r="IA490" s="1"/>
      <c r="IB490" s="1"/>
      <c r="IC490" s="1"/>
      <c r="ID490" s="1"/>
      <c r="IE490" s="1"/>
      <c r="IF490" s="1"/>
      <c r="IG490" s="1"/>
      <c r="IH490" s="1"/>
      <c r="II490" s="1"/>
      <c r="IJ490" s="1"/>
      <c r="IK490" s="1"/>
      <c r="IL490" s="1"/>
      <c r="IM490" s="1"/>
      <c r="IN490" s="1"/>
      <c r="IO490" s="1"/>
      <c r="IP490" s="1"/>
      <c r="IQ490" s="1"/>
      <c r="IR490" s="1"/>
      <c r="IS490" s="1"/>
      <c r="IT490" s="1"/>
      <c r="IU490" s="1"/>
      <c r="IV490" s="1"/>
      <c r="IW490" s="1"/>
      <c r="IX490" s="1"/>
      <c r="IY490" s="1"/>
      <c r="IZ490" s="1"/>
      <c r="JA490" s="1"/>
      <c r="JB490" s="1"/>
      <c r="JC490" s="1"/>
      <c r="JD490" s="1"/>
    </row>
    <row r="491" spans="1:264" s="347" customFormat="1" ht="15" x14ac:dyDescent="0.25">
      <c r="A491" s="429" t="s">
        <v>273</v>
      </c>
      <c r="B491" s="423"/>
      <c r="C491" s="411"/>
      <c r="D491" s="411"/>
      <c r="E491" s="411"/>
      <c r="F491" s="411"/>
      <c r="G491" s="411"/>
      <c r="H491" s="411"/>
      <c r="I491" s="411"/>
      <c r="J491" s="411"/>
      <c r="K491" s="411"/>
      <c r="L491" s="411"/>
      <c r="M491" s="411"/>
      <c r="N491" s="411"/>
      <c r="O491" s="411"/>
      <c r="P491" s="411"/>
      <c r="Q491" s="411"/>
      <c r="R491" s="411"/>
      <c r="S491" s="411"/>
      <c r="T491" s="411"/>
      <c r="U491" s="411"/>
      <c r="V491" s="411"/>
      <c r="W491" s="411"/>
      <c r="X491" s="411"/>
      <c r="Y491" s="411"/>
      <c r="Z491" s="411"/>
      <c r="AA491" s="411"/>
      <c r="AB491" s="411"/>
      <c r="AC491" s="411"/>
      <c r="AD491" s="411"/>
      <c r="AE491" s="411"/>
      <c r="AF491" s="411"/>
      <c r="AG491" s="411"/>
      <c r="AH491" s="411"/>
      <c r="AI491" s="411"/>
      <c r="AJ491" s="411"/>
      <c r="AK491" s="411"/>
      <c r="AL491" s="411"/>
      <c r="AM491" s="411"/>
      <c r="AN491" s="411"/>
      <c r="AO491" s="411"/>
      <c r="AP491" s="411"/>
      <c r="AQ491" s="411"/>
      <c r="AR491" s="411"/>
      <c r="AS491" s="411"/>
      <c r="AT491" s="411"/>
      <c r="AU491" s="411"/>
      <c r="AV491" s="411"/>
      <c r="AW491" s="411"/>
      <c r="AX491" s="411"/>
      <c r="AY491" s="411"/>
      <c r="AZ491" s="411"/>
      <c r="BA491" s="411"/>
      <c r="BB491" s="411"/>
      <c r="BC491" s="411"/>
      <c r="BD491" s="411"/>
      <c r="BE491" s="411"/>
      <c r="BF491" s="411"/>
      <c r="BG491" s="411"/>
      <c r="BH491" s="397"/>
      <c r="BI491" s="397"/>
      <c r="BJ491" s="397"/>
      <c r="BK491" s="423"/>
      <c r="BL491" s="397"/>
      <c r="BM491" s="397"/>
      <c r="BN491" s="397"/>
      <c r="BO491" s="348"/>
      <c r="BP491" s="397"/>
      <c r="BQ491" s="397"/>
      <c r="BR491" s="397"/>
      <c r="BT491" s="397"/>
      <c r="BU491" s="397"/>
      <c r="BV491" s="397"/>
      <c r="BX491" s="397"/>
      <c r="BY491" s="397"/>
      <c r="BZ491" s="397"/>
      <c r="CB491" s="397"/>
      <c r="CC491" s="397"/>
      <c r="CD491" s="397"/>
      <c r="CF491" s="397"/>
      <c r="CG491" s="397"/>
      <c r="CH491" s="397"/>
      <c r="CJ491" s="397"/>
      <c r="CK491" s="397"/>
      <c r="CL491" s="397"/>
      <c r="CN491" s="397"/>
      <c r="CO491" s="397"/>
      <c r="CP491" s="397"/>
      <c r="CR491" s="397"/>
      <c r="CS491" s="397"/>
      <c r="CT491" s="397"/>
      <c r="CV491" s="397"/>
      <c r="CW491" s="397"/>
      <c r="CX491" s="397"/>
      <c r="CY491" s="1"/>
      <c r="CZ491" s="397"/>
      <c r="DA491" s="397"/>
      <c r="DB491" s="397"/>
      <c r="DC491" s="1"/>
      <c r="DD491" s="397"/>
      <c r="DE491" s="397"/>
      <c r="DF491" s="397"/>
      <c r="DG491" s="1"/>
      <c r="DH491" s="397"/>
      <c r="DI491"/>
      <c r="DJ491"/>
      <c r="DK491"/>
      <c r="DL491" s="1"/>
      <c r="DM491" s="1"/>
      <c r="DN491" s="1"/>
      <c r="DO491" s="1"/>
      <c r="DP491" s="1"/>
      <c r="DQ491" s="1"/>
      <c r="DR491" s="1"/>
      <c r="DS491" s="1"/>
      <c r="DT491" s="1"/>
      <c r="DU491" s="1"/>
      <c r="DV491" s="1"/>
      <c r="DW491" s="1"/>
      <c r="DX491" s="1"/>
      <c r="DY491" s="1"/>
      <c r="DZ491" s="1"/>
      <c r="EA491" s="1"/>
      <c r="EB491" s="1"/>
      <c r="EC491" s="1"/>
      <c r="ED491" s="1"/>
      <c r="EE491" s="1"/>
      <c r="EF491" s="1"/>
      <c r="EG491" s="1"/>
      <c r="EH491" s="1"/>
      <c r="EI491" s="1"/>
      <c r="EJ491" s="1"/>
      <c r="EK491" s="1"/>
      <c r="EL491" s="1"/>
      <c r="EM491" s="1"/>
      <c r="EN491" s="1"/>
      <c r="EO491" s="1"/>
      <c r="EP491" s="1"/>
      <c r="EQ491" s="1"/>
      <c r="ER491" s="1"/>
      <c r="ES491" s="1"/>
      <c r="ET491" s="1"/>
      <c r="EU491" s="1"/>
      <c r="EV491" s="1"/>
      <c r="EW491" s="1"/>
      <c r="EX491" s="1"/>
      <c r="EY491" s="1"/>
      <c r="EZ491" s="1"/>
      <c r="FA491" s="1"/>
      <c r="FB491" s="1"/>
      <c r="FC491" s="1"/>
      <c r="FD491" s="1"/>
      <c r="FE491" s="1"/>
      <c r="FF491" s="1"/>
      <c r="FG491" s="1"/>
      <c r="FH491" s="1"/>
      <c r="FI491" s="1"/>
      <c r="FJ491" s="1"/>
      <c r="FK491" s="1"/>
      <c r="FL491" s="1"/>
      <c r="FM491" s="1"/>
      <c r="FN491" s="1"/>
      <c r="FO491" s="1"/>
      <c r="FP491" s="1"/>
      <c r="FQ491" s="1"/>
      <c r="FR491" s="1"/>
      <c r="FS491" s="1"/>
      <c r="FT491" s="1"/>
      <c r="FU491" s="1"/>
      <c r="FV491" s="1"/>
      <c r="FW491" s="1"/>
      <c r="FX491" s="1"/>
      <c r="FY491" s="1"/>
      <c r="FZ491" s="1"/>
      <c r="GA491" s="1"/>
      <c r="GB491" s="1"/>
      <c r="GC491" s="1"/>
      <c r="GD491" s="1"/>
      <c r="GE491" s="1"/>
      <c r="GF491" s="1"/>
      <c r="GG491" s="1"/>
      <c r="GH491" s="1"/>
      <c r="GI491" s="1"/>
      <c r="GJ491" s="1"/>
      <c r="GK491" s="1"/>
      <c r="GL491" s="1"/>
      <c r="GM491" s="1"/>
      <c r="GN491" s="1"/>
      <c r="GO491" s="1"/>
      <c r="GP491" s="1"/>
      <c r="GQ491" s="1"/>
      <c r="GR491" s="1"/>
      <c r="GS491" s="1"/>
      <c r="GT491" s="1"/>
      <c r="GU491" s="1"/>
      <c r="GV491" s="1"/>
      <c r="GW491" s="1"/>
      <c r="GX491" s="1"/>
      <c r="GY491" s="1"/>
      <c r="GZ491" s="1"/>
      <c r="HA491" s="1"/>
      <c r="HB491" s="1"/>
      <c r="HC491" s="1"/>
      <c r="HD491" s="1"/>
      <c r="HE491" s="1"/>
      <c r="HF491" s="1"/>
      <c r="HG491" s="1"/>
      <c r="HH491" s="1"/>
      <c r="HI491" s="1"/>
      <c r="HJ491" s="1"/>
      <c r="HK491" s="1"/>
      <c r="HL491" s="1"/>
      <c r="HM491" s="1"/>
      <c r="HN491" s="1"/>
      <c r="HO491" s="1"/>
      <c r="HP491" s="1"/>
      <c r="HQ491" s="1"/>
      <c r="HR491" s="1"/>
      <c r="HS491" s="1"/>
      <c r="HT491" s="1"/>
      <c r="HU491" s="1"/>
      <c r="HV491" s="1"/>
      <c r="HW491" s="1"/>
      <c r="HX491" s="1"/>
      <c r="HY491" s="1"/>
      <c r="HZ491" s="1"/>
      <c r="IA491" s="1"/>
      <c r="IB491" s="1"/>
      <c r="IC491" s="1"/>
      <c r="ID491" s="1"/>
      <c r="IE491" s="1"/>
      <c r="IF491" s="1"/>
      <c r="IG491" s="1"/>
      <c r="IH491" s="1"/>
      <c r="II491" s="1"/>
      <c r="IJ491" s="1"/>
      <c r="IK491" s="1"/>
      <c r="IL491" s="1"/>
      <c r="IM491" s="1"/>
      <c r="IN491" s="1"/>
      <c r="IO491" s="1"/>
      <c r="IP491" s="1"/>
      <c r="IQ491" s="1"/>
      <c r="IR491" s="1"/>
      <c r="IS491" s="1"/>
      <c r="IT491" s="1"/>
      <c r="IU491" s="1"/>
      <c r="IV491" s="1"/>
      <c r="IW491" s="1"/>
      <c r="IX491" s="1"/>
      <c r="IY491" s="1"/>
      <c r="IZ491" s="1"/>
      <c r="JA491" s="1"/>
      <c r="JB491" s="1"/>
      <c r="JC491" s="1"/>
      <c r="JD491" s="1"/>
    </row>
    <row r="492" spans="1:264" s="347" customFormat="1" x14ac:dyDescent="0.2">
      <c r="A492" s="429" t="str">
        <f>A486</f>
        <v>Average Loans</v>
      </c>
      <c r="B492" s="423"/>
      <c r="C492" s="411"/>
      <c r="D492" s="411"/>
      <c r="E492" s="411"/>
      <c r="F492" s="411"/>
      <c r="G492" s="411"/>
      <c r="H492" s="411"/>
      <c r="I492" s="411"/>
      <c r="J492" s="411"/>
      <c r="K492" s="411"/>
      <c r="L492" s="411"/>
      <c r="M492" s="411"/>
      <c r="N492" s="411"/>
      <c r="O492" s="411"/>
      <c r="P492" s="411"/>
      <c r="Q492" s="411"/>
      <c r="R492" s="411"/>
      <c r="S492" s="411"/>
      <c r="T492" s="411"/>
      <c r="U492" s="411"/>
      <c r="V492" s="411"/>
      <c r="W492" s="411"/>
      <c r="X492" s="411"/>
      <c r="Y492" s="411"/>
      <c r="Z492" s="411"/>
      <c r="AA492" s="411"/>
      <c r="AB492" s="411"/>
      <c r="AC492" s="411"/>
      <c r="AD492" s="411"/>
      <c r="AE492" s="411"/>
      <c r="AF492" s="411"/>
      <c r="AG492" s="411"/>
      <c r="AH492" s="411"/>
      <c r="AI492" s="411"/>
      <c r="AJ492" s="411"/>
      <c r="AK492" s="411"/>
      <c r="AL492" s="411"/>
      <c r="AM492" s="411"/>
      <c r="AN492" s="411"/>
      <c r="AO492" s="411"/>
      <c r="AP492" s="411"/>
      <c r="AQ492" s="411"/>
      <c r="AR492" s="411"/>
      <c r="AS492" s="411"/>
      <c r="AT492" s="411"/>
      <c r="AU492" s="411"/>
      <c r="AV492" s="411"/>
      <c r="AW492" s="411"/>
      <c r="AX492" s="411"/>
      <c r="AY492" s="411"/>
      <c r="AZ492" s="411"/>
      <c r="BA492" s="411"/>
      <c r="BB492" s="411"/>
      <c r="BC492" s="411"/>
      <c r="BD492" s="411"/>
      <c r="BE492" s="411"/>
      <c r="BF492" s="411"/>
      <c r="BG492" s="411"/>
      <c r="BH492" s="397"/>
      <c r="BI492" s="397"/>
      <c r="BJ492" s="397"/>
      <c r="BK492" s="423"/>
      <c r="BL492" s="397"/>
      <c r="BM492" s="397"/>
      <c r="BN492" s="397"/>
      <c r="BO492" s="348"/>
      <c r="BP492" s="397"/>
      <c r="BQ492" s="397"/>
      <c r="BR492" s="397"/>
      <c r="BT492" s="397"/>
      <c r="BU492" s="397"/>
      <c r="BV492" s="397"/>
      <c r="BX492" s="397"/>
      <c r="BY492" s="397"/>
      <c r="BZ492" s="397"/>
      <c r="CB492" s="394">
        <f>CB486/BY486-1</f>
        <v>1.6823198258935301E-2</v>
      </c>
      <c r="CC492" s="394">
        <f>CC486/CB486-1</f>
        <v>6.7937003087914505E-3</v>
      </c>
      <c r="CD492" s="397"/>
      <c r="CF492" s="394">
        <f>CF486/CC486-1</f>
        <v>6.6609995486239804E-3</v>
      </c>
      <c r="CG492" s="394">
        <f>CG486/CF486-1</f>
        <v>7.298702217192865E-3</v>
      </c>
      <c r="CH492" s="397"/>
      <c r="CJ492" s="394">
        <f>CJ486/CG486-1</f>
        <v>7.2191368209679752E-3</v>
      </c>
      <c r="CK492" s="394">
        <f>CK486/CJ486-1</f>
        <v>1.6078887346014703E-2</v>
      </c>
      <c r="CL492" s="397"/>
      <c r="CN492" s="394">
        <f>CN486/CK486-1</f>
        <v>-4.7200295276261794E-4</v>
      </c>
      <c r="CO492" s="394">
        <f>CO486/CN486-1</f>
        <v>1.8998853754126799E-2</v>
      </c>
      <c r="CP492" s="397"/>
      <c r="CR492" s="394">
        <f>CR486/CO486-1</f>
        <v>4.0009160654986831E-2</v>
      </c>
      <c r="CS492" s="394">
        <f>CS486/CR486-1</f>
        <v>3.2748534981684063E-2</v>
      </c>
      <c r="CT492" s="397"/>
      <c r="CV492" s="394">
        <f>CV486/CS486-1</f>
        <v>3.5864169193990714E-2</v>
      </c>
      <c r="CW492" s="394">
        <f>CW486/CV486-1</f>
        <v>2.6178137259650347E-2</v>
      </c>
      <c r="CX492" s="397"/>
      <c r="CZ492" s="394">
        <f>CZ486/CW486-1</f>
        <v>3.2436578171091135E-3</v>
      </c>
      <c r="DA492" s="394">
        <f>DA486/CZ486-1</f>
        <v>5.8629883716416753E-3</v>
      </c>
      <c r="DB492" s="397"/>
      <c r="DD492" s="394">
        <f>DD486/DA486-1</f>
        <v>1.9123421192328571E-2</v>
      </c>
      <c r="DE492" s="394">
        <f>DE486/DD486-1</f>
        <v>3.4200752877789897E-2</v>
      </c>
      <c r="DF492" s="397"/>
      <c r="DH492" s="394">
        <f>DH486/DE486-1</f>
        <v>3.4330007388523098E-2</v>
      </c>
      <c r="DI492" s="394">
        <f>DI486/DH486-1</f>
        <v>3.3745635949943731E-2</v>
      </c>
      <c r="DJ492" s="397"/>
      <c r="DL492" s="394">
        <f>DL486/DI486-1</f>
        <v>3.205339382017125E-2</v>
      </c>
      <c r="DM492" s="394">
        <f>DM486/DL486-1</f>
        <v>3.0235003320476794E-2</v>
      </c>
      <c r="DN492" s="397"/>
      <c r="DP492" s="394">
        <f>DP486/DM486-1</f>
        <v>2.7191364039970134E-2</v>
      </c>
      <c r="DQ492" s="394">
        <f>DQ486/DP486-1</f>
        <v>2.4265804085065623E-2</v>
      </c>
      <c r="DR492" s="397"/>
      <c r="DT492" s="1"/>
      <c r="DU492" s="1"/>
      <c r="DV492" s="1"/>
      <c r="DW492" s="1"/>
      <c r="DX492" s="1"/>
      <c r="DY492" s="1"/>
      <c r="DZ492" s="1"/>
      <c r="EA492" s="1"/>
      <c r="EB492" s="1"/>
      <c r="EC492" s="1"/>
      <c r="ED492" s="1"/>
      <c r="EE492" s="1"/>
      <c r="EF492" s="1"/>
      <c r="EG492" s="1"/>
      <c r="EH492" s="1"/>
      <c r="EI492" s="1"/>
      <c r="EJ492" s="1"/>
      <c r="EK492" s="1"/>
      <c r="EL492" s="1"/>
      <c r="EM492" s="1"/>
      <c r="EN492" s="1"/>
      <c r="EO492" s="1"/>
      <c r="EP492" s="1"/>
      <c r="EQ492" s="1"/>
      <c r="ER492" s="1"/>
      <c r="ES492" s="1"/>
      <c r="ET492" s="1"/>
      <c r="EU492" s="1"/>
      <c r="EV492" s="1"/>
      <c r="EW492" s="1"/>
      <c r="EX492" s="1"/>
      <c r="EY492" s="1"/>
      <c r="EZ492" s="1"/>
      <c r="FA492" s="1"/>
      <c r="FB492" s="1"/>
      <c r="FC492" s="1"/>
      <c r="FD492" s="1"/>
      <c r="FE492" s="1"/>
      <c r="FF492" s="1"/>
      <c r="FG492" s="1"/>
      <c r="FH492" s="1"/>
      <c r="FI492" s="1"/>
      <c r="FJ492" s="1"/>
      <c r="FK492" s="1"/>
      <c r="FL492" s="1"/>
      <c r="FM492" s="1"/>
      <c r="FN492" s="1"/>
      <c r="FO492" s="1"/>
      <c r="FP492" s="1"/>
      <c r="FQ492" s="1"/>
      <c r="FR492" s="1"/>
      <c r="FS492" s="1"/>
      <c r="FT492" s="1"/>
      <c r="FU492" s="1"/>
      <c r="FV492" s="1"/>
      <c r="FW492" s="1"/>
      <c r="FX492" s="1"/>
      <c r="FY492" s="1"/>
      <c r="FZ492" s="1"/>
      <c r="GA492" s="1"/>
      <c r="GB492" s="1"/>
      <c r="GC492" s="1"/>
      <c r="GD492" s="1"/>
      <c r="GE492" s="1"/>
      <c r="GF492" s="1"/>
      <c r="GG492" s="1"/>
      <c r="GH492" s="1"/>
      <c r="GI492" s="1"/>
      <c r="GJ492" s="1"/>
      <c r="GK492" s="1"/>
      <c r="GL492" s="1"/>
      <c r="GM492" s="1"/>
      <c r="GN492" s="1"/>
      <c r="GO492" s="1"/>
      <c r="GP492" s="1"/>
      <c r="GQ492" s="1"/>
      <c r="GR492" s="1"/>
      <c r="GS492" s="1"/>
      <c r="GT492" s="1"/>
      <c r="GU492" s="1"/>
      <c r="GV492" s="1"/>
      <c r="GW492" s="1"/>
      <c r="GX492" s="1"/>
      <c r="GY492" s="1"/>
      <c r="GZ492" s="1"/>
      <c r="HA492" s="1"/>
      <c r="HB492" s="1"/>
      <c r="HC492" s="1"/>
      <c r="HD492" s="1"/>
      <c r="HE492" s="1"/>
      <c r="HF492" s="1"/>
      <c r="HG492" s="1"/>
      <c r="HH492" s="1"/>
      <c r="HI492" s="1"/>
      <c r="HJ492" s="1"/>
      <c r="HK492" s="1"/>
      <c r="HL492" s="1"/>
      <c r="HM492" s="1"/>
      <c r="HN492" s="1"/>
      <c r="HO492" s="1"/>
      <c r="HP492" s="1"/>
      <c r="HQ492" s="1"/>
      <c r="HR492" s="1"/>
      <c r="HS492" s="1"/>
      <c r="HT492" s="1"/>
      <c r="HU492" s="1"/>
      <c r="HV492" s="1"/>
      <c r="HW492" s="1"/>
      <c r="HX492" s="1"/>
      <c r="HY492" s="1"/>
      <c r="HZ492" s="1"/>
      <c r="IA492" s="1"/>
      <c r="IB492" s="1"/>
      <c r="IC492" s="1"/>
      <c r="ID492" s="1"/>
      <c r="IE492" s="1"/>
      <c r="IF492" s="1"/>
      <c r="IG492" s="1"/>
      <c r="IH492" s="1"/>
      <c r="II492" s="1"/>
      <c r="IJ492" s="1"/>
      <c r="IK492" s="1"/>
      <c r="IL492" s="1"/>
      <c r="IM492" s="1"/>
      <c r="IN492" s="1"/>
      <c r="IO492" s="1"/>
      <c r="IP492" s="1"/>
      <c r="IQ492" s="1"/>
      <c r="IR492" s="1"/>
      <c r="IS492" s="1"/>
      <c r="IT492" s="1"/>
      <c r="IU492" s="1"/>
      <c r="IV492" s="1"/>
      <c r="IW492" s="1"/>
      <c r="IX492" s="1"/>
      <c r="IY492" s="1"/>
      <c r="IZ492" s="1"/>
      <c r="JA492" s="1"/>
      <c r="JB492" s="1"/>
      <c r="JC492" s="1"/>
      <c r="JD492" s="1"/>
    </row>
    <row r="493" spans="1:264" s="347" customFormat="1" x14ac:dyDescent="0.2">
      <c r="A493" s="429" t="str">
        <f t="shared" ref="A493:A494" si="467">A487</f>
        <v>Non Lending AIEA</v>
      </c>
      <c r="B493" s="423"/>
      <c r="C493" s="411"/>
      <c r="D493" s="411"/>
      <c r="E493" s="411"/>
      <c r="F493" s="411"/>
      <c r="G493" s="411"/>
      <c r="H493" s="411"/>
      <c r="I493" s="411"/>
      <c r="J493" s="411"/>
      <c r="K493" s="411"/>
      <c r="L493" s="411"/>
      <c r="M493" s="411"/>
      <c r="N493" s="411"/>
      <c r="O493" s="411"/>
      <c r="P493" s="411"/>
      <c r="Q493" s="411"/>
      <c r="R493" s="411"/>
      <c r="S493" s="411"/>
      <c r="T493" s="411"/>
      <c r="U493" s="411"/>
      <c r="V493" s="411"/>
      <c r="W493" s="411"/>
      <c r="X493" s="411"/>
      <c r="Y493" s="411"/>
      <c r="Z493" s="411"/>
      <c r="AA493" s="411"/>
      <c r="AB493" s="411"/>
      <c r="AC493" s="411"/>
      <c r="AD493" s="411"/>
      <c r="AE493" s="411"/>
      <c r="AF493" s="411"/>
      <c r="AG493" s="411"/>
      <c r="AH493" s="411"/>
      <c r="AI493" s="411"/>
      <c r="AJ493" s="411"/>
      <c r="AK493" s="411"/>
      <c r="AL493" s="411"/>
      <c r="AM493" s="411"/>
      <c r="AN493" s="411"/>
      <c r="AO493" s="411"/>
      <c r="AP493" s="411"/>
      <c r="AQ493" s="411"/>
      <c r="AR493" s="411"/>
      <c r="AS493" s="411"/>
      <c r="AT493" s="411"/>
      <c r="AU493" s="411"/>
      <c r="AV493" s="411"/>
      <c r="AW493" s="411"/>
      <c r="AX493" s="411"/>
      <c r="AY493" s="411"/>
      <c r="AZ493" s="411"/>
      <c r="BA493" s="411"/>
      <c r="BB493" s="411"/>
      <c r="BC493" s="411"/>
      <c r="BD493" s="411"/>
      <c r="BE493" s="411"/>
      <c r="BF493" s="411"/>
      <c r="BG493" s="411"/>
      <c r="BH493" s="397"/>
      <c r="BI493" s="397"/>
      <c r="BJ493" s="397"/>
      <c r="BK493" s="423"/>
      <c r="BL493" s="397"/>
      <c r="BM493" s="397"/>
      <c r="BN493" s="397"/>
      <c r="BO493" s="348"/>
      <c r="BP493" s="397"/>
      <c r="BQ493" s="397"/>
      <c r="BR493" s="397"/>
      <c r="BT493" s="397"/>
      <c r="BU493" s="397"/>
      <c r="BV493" s="397"/>
      <c r="BX493" s="397"/>
      <c r="BY493" s="397"/>
      <c r="BZ493" s="397"/>
      <c r="CB493" s="394">
        <f t="shared" ref="CB493:CB494" si="468">CB487/BY487-1</f>
        <v>-4.1331988393668806E-2</v>
      </c>
      <c r="CC493" s="394">
        <f t="shared" ref="CC493:CC494" si="469">CC487/CB487-1</f>
        <v>5.1245745758747852E-3</v>
      </c>
      <c r="CD493" s="397"/>
      <c r="CF493" s="394">
        <f t="shared" ref="CF493:CF494" si="470">CF487/CC487-1</f>
        <v>1.2510258282553588E-2</v>
      </c>
      <c r="CG493" s="394">
        <f t="shared" ref="CG493:CG494" si="471">CG487/CF487-1</f>
        <v>1.332575994485885E-2</v>
      </c>
      <c r="CH493" s="397"/>
      <c r="CJ493" s="394">
        <f t="shared" ref="CJ493:CJ494" si="472">CJ487/CG487-1</f>
        <v>3.6510325802855625E-2</v>
      </c>
      <c r="CK493" s="394">
        <f t="shared" ref="CK493:CK494" si="473">CK487/CJ487-1</f>
        <v>0.12004326321290115</v>
      </c>
      <c r="CL493" s="397"/>
      <c r="CN493" s="394">
        <f t="shared" ref="CN493:CN494" si="474">CN487/CK487-1</f>
        <v>5.4950360766017559E-2</v>
      </c>
      <c r="CO493" s="394">
        <f t="shared" ref="CO493:CO494" si="475">CO487/CN487-1</f>
        <v>6.1195419085779967E-4</v>
      </c>
      <c r="CP493" s="397"/>
      <c r="CR493" s="394">
        <f t="shared" ref="CR493:CR494" si="476">CR487/CO487-1</f>
        <v>0.21322040518455321</v>
      </c>
      <c r="CS493" s="394">
        <f t="shared" ref="CS493:CS494" si="477">CS487/CR487-1</f>
        <v>5.3840875009531164E-2</v>
      </c>
      <c r="CT493" s="397"/>
      <c r="CV493" s="394">
        <f t="shared" ref="CV493:CV494" si="478">CV487/CS487-1</f>
        <v>0.1019833102871659</v>
      </c>
      <c r="CW493" s="394">
        <f t="shared" ref="CW493:CW494" si="479">CW487/CV487-1</f>
        <v>3.720631631934701E-3</v>
      </c>
      <c r="CX493" s="397"/>
      <c r="CZ493" s="394">
        <f t="shared" ref="CZ493:CZ494" si="480">CZ487/CW487-1</f>
        <v>5.5519012090839315E-2</v>
      </c>
      <c r="DA493" s="394">
        <f t="shared" ref="DA493:DA494" si="481">DA487/CZ487-1</f>
        <v>8.2081227362245102E-3</v>
      </c>
      <c r="DB493" s="397"/>
      <c r="DD493" s="394">
        <f t="shared" ref="DD493:DD494" si="482">DD487/DA487-1</f>
        <v>-9.7524826860819314E-2</v>
      </c>
      <c r="DE493" s="394">
        <f t="shared" ref="DE493:DE494" si="483">DE487/DD487-1</f>
        <v>2.3218677867332671E-2</v>
      </c>
      <c r="DF493" s="397"/>
      <c r="DH493" s="394">
        <f t="shared" ref="DH493:DH494" si="484">DH487/DE487-1</f>
        <v>0.10937996937937777</v>
      </c>
      <c r="DI493" s="394">
        <f t="shared" ref="DI493:DI494" si="485">DI487/DH487-1</f>
        <v>3.3745635949943731E-2</v>
      </c>
      <c r="DJ493" s="397"/>
      <c r="DL493" s="394">
        <f t="shared" ref="DL493:DL494" si="486">DL487/DI487-1</f>
        <v>3.205339382017125E-2</v>
      </c>
      <c r="DM493" s="394">
        <f t="shared" ref="DM493:DM494" si="487">DM487/DL487-1</f>
        <v>3.0235003320476794E-2</v>
      </c>
      <c r="DN493" s="397"/>
      <c r="DP493" s="394">
        <f t="shared" ref="DP493:DP494" si="488">DP487/DM487-1</f>
        <v>2.7191364039970134E-2</v>
      </c>
      <c r="DQ493" s="394">
        <f t="shared" ref="DQ493:DQ494" si="489">DQ487/DP487-1</f>
        <v>2.4265804085065623E-2</v>
      </c>
      <c r="DR493" s="397"/>
      <c r="DT493" s="1"/>
      <c r="DU493" s="1"/>
      <c r="DV493" s="1"/>
      <c r="DW493" s="1"/>
      <c r="DX493" s="1"/>
      <c r="DY493" s="1"/>
      <c r="DZ493" s="1"/>
      <c r="EA493" s="1"/>
      <c r="EB493" s="1"/>
      <c r="EC493" s="1"/>
      <c r="ED493" s="1"/>
      <c r="EE493" s="1"/>
      <c r="EF493" s="1"/>
      <c r="EG493" s="1"/>
      <c r="EH493" s="1"/>
      <c r="EI493" s="1"/>
      <c r="EJ493" s="1"/>
      <c r="EK493" s="1"/>
      <c r="EL493" s="1"/>
      <c r="EM493" s="1"/>
      <c r="EN493" s="1"/>
      <c r="EO493" s="1"/>
      <c r="EP493" s="1"/>
      <c r="EQ493" s="1"/>
      <c r="ER493" s="1"/>
      <c r="ES493" s="1"/>
      <c r="ET493" s="1"/>
      <c r="EU493" s="1"/>
      <c r="EV493" s="1"/>
      <c r="EW493" s="1"/>
      <c r="EX493" s="1"/>
      <c r="EY493" s="1"/>
      <c r="EZ493" s="1"/>
      <c r="FA493" s="1"/>
      <c r="FB493" s="1"/>
      <c r="FC493" s="1"/>
      <c r="FD493" s="1"/>
      <c r="FE493" s="1"/>
      <c r="FF493" s="1"/>
      <c r="FG493" s="1"/>
      <c r="FH493" s="1"/>
      <c r="FI493" s="1"/>
      <c r="FJ493" s="1"/>
      <c r="FK493" s="1"/>
      <c r="FL493" s="1"/>
      <c r="FM493" s="1"/>
      <c r="FN493" s="1"/>
      <c r="FO493" s="1"/>
      <c r="FP493" s="1"/>
      <c r="FQ493" s="1"/>
      <c r="FR493" s="1"/>
      <c r="FS493" s="1"/>
      <c r="FT493" s="1"/>
      <c r="FU493" s="1"/>
      <c r="FV493" s="1"/>
      <c r="FW493" s="1"/>
      <c r="FX493" s="1"/>
      <c r="FY493" s="1"/>
      <c r="FZ493" s="1"/>
      <c r="GA493" s="1"/>
      <c r="GB493" s="1"/>
      <c r="GC493" s="1"/>
      <c r="GD493" s="1"/>
      <c r="GE493" s="1"/>
      <c r="GF493" s="1"/>
      <c r="GG493" s="1"/>
      <c r="GH493" s="1"/>
      <c r="GI493" s="1"/>
      <c r="GJ493" s="1"/>
      <c r="GK493" s="1"/>
      <c r="GL493" s="1"/>
      <c r="GM493" s="1"/>
      <c r="GN493" s="1"/>
      <c r="GO493" s="1"/>
      <c r="GP493" s="1"/>
      <c r="GQ493" s="1"/>
      <c r="GR493" s="1"/>
      <c r="GS493" s="1"/>
      <c r="GT493" s="1"/>
      <c r="GU493" s="1"/>
      <c r="GV493" s="1"/>
      <c r="GW493" s="1"/>
      <c r="GX493" s="1"/>
      <c r="GY493" s="1"/>
      <c r="GZ493" s="1"/>
      <c r="HA493" s="1"/>
      <c r="HB493" s="1"/>
      <c r="HC493" s="1"/>
      <c r="HD493" s="1"/>
      <c r="HE493" s="1"/>
      <c r="HF493" s="1"/>
      <c r="HG493" s="1"/>
      <c r="HH493" s="1"/>
      <c r="HI493" s="1"/>
      <c r="HJ493" s="1"/>
      <c r="HK493" s="1"/>
      <c r="HL493" s="1"/>
      <c r="HM493" s="1"/>
      <c r="HN493" s="1"/>
      <c r="HO493" s="1"/>
      <c r="HP493" s="1"/>
      <c r="HQ493" s="1"/>
      <c r="HR493" s="1"/>
      <c r="HS493" s="1"/>
      <c r="HT493" s="1"/>
      <c r="HU493" s="1"/>
      <c r="HV493" s="1"/>
      <c r="HW493" s="1"/>
      <c r="HX493" s="1"/>
      <c r="HY493" s="1"/>
      <c r="HZ493" s="1"/>
      <c r="IA493" s="1"/>
      <c r="IB493" s="1"/>
      <c r="IC493" s="1"/>
      <c r="ID493" s="1"/>
      <c r="IE493" s="1"/>
      <c r="IF493" s="1"/>
      <c r="IG493" s="1"/>
      <c r="IH493" s="1"/>
      <c r="II493" s="1"/>
      <c r="IJ493" s="1"/>
      <c r="IK493" s="1"/>
      <c r="IL493" s="1"/>
      <c r="IM493" s="1"/>
      <c r="IN493" s="1"/>
      <c r="IO493" s="1"/>
      <c r="IP493" s="1"/>
      <c r="IQ493" s="1"/>
      <c r="IR493" s="1"/>
      <c r="IS493" s="1"/>
      <c r="IT493" s="1"/>
      <c r="IU493" s="1"/>
      <c r="IV493" s="1"/>
      <c r="IW493" s="1"/>
      <c r="IX493" s="1"/>
      <c r="IY493" s="1"/>
      <c r="IZ493" s="1"/>
      <c r="JA493" s="1"/>
      <c r="JB493" s="1"/>
      <c r="JC493" s="1"/>
      <c r="JD493" s="1"/>
    </row>
    <row r="494" spans="1:264" s="347" customFormat="1" x14ac:dyDescent="0.2">
      <c r="A494" s="429" t="str">
        <f t="shared" si="467"/>
        <v>Total AIEA</v>
      </c>
      <c r="B494" s="423"/>
      <c r="C494" s="411"/>
      <c r="D494" s="411"/>
      <c r="E494" s="411"/>
      <c r="F494" s="411"/>
      <c r="G494" s="411"/>
      <c r="H494" s="411"/>
      <c r="I494" s="411"/>
      <c r="J494" s="411"/>
      <c r="K494" s="411"/>
      <c r="L494" s="411"/>
      <c r="M494" s="411"/>
      <c r="N494" s="411"/>
      <c r="O494" s="411"/>
      <c r="P494" s="411"/>
      <c r="Q494" s="411"/>
      <c r="R494" s="411"/>
      <c r="S494" s="411"/>
      <c r="T494" s="411"/>
      <c r="U494" s="411"/>
      <c r="V494" s="411"/>
      <c r="W494" s="411"/>
      <c r="X494" s="411"/>
      <c r="Y494" s="411"/>
      <c r="Z494" s="411"/>
      <c r="AA494" s="411"/>
      <c r="AB494" s="411"/>
      <c r="AC494" s="411"/>
      <c r="AD494" s="411"/>
      <c r="AE494" s="411"/>
      <c r="AF494" s="411"/>
      <c r="AG494" s="411"/>
      <c r="AH494" s="411"/>
      <c r="AI494" s="411"/>
      <c r="AJ494" s="411"/>
      <c r="AK494" s="411"/>
      <c r="AL494" s="411"/>
      <c r="AM494" s="411"/>
      <c r="AN494" s="411"/>
      <c r="AO494" s="411"/>
      <c r="AP494" s="411"/>
      <c r="AQ494" s="411"/>
      <c r="AR494" s="411"/>
      <c r="AS494" s="411"/>
      <c r="AT494" s="411"/>
      <c r="AU494" s="411"/>
      <c r="AV494" s="411"/>
      <c r="AW494" s="411"/>
      <c r="AX494" s="411"/>
      <c r="AY494" s="411"/>
      <c r="AZ494" s="411"/>
      <c r="BA494" s="411"/>
      <c r="BB494" s="411"/>
      <c r="BC494" s="411"/>
      <c r="BD494" s="411"/>
      <c r="BE494" s="411"/>
      <c r="BF494" s="411"/>
      <c r="BG494" s="411"/>
      <c r="BH494" s="397"/>
      <c r="BI494" s="397"/>
      <c r="BJ494" s="397"/>
      <c r="BK494" s="423"/>
      <c r="BL494" s="397"/>
      <c r="BM494" s="397"/>
      <c r="BN494" s="397"/>
      <c r="BO494" s="348"/>
      <c r="BP494" s="397"/>
      <c r="BQ494" s="397"/>
      <c r="BR494" s="397"/>
      <c r="BT494" s="397"/>
      <c r="BU494" s="397"/>
      <c r="BV494" s="397"/>
      <c r="BX494" s="397"/>
      <c r="BY494" s="397"/>
      <c r="BZ494" s="397"/>
      <c r="CB494" s="394">
        <f t="shared" si="468"/>
        <v>5.7912709258829409E-3</v>
      </c>
      <c r="CC494" s="394">
        <f t="shared" si="469"/>
        <v>6.4919050828986524E-3</v>
      </c>
      <c r="CD494" s="397"/>
      <c r="CF494" s="394">
        <f t="shared" si="470"/>
        <v>7.7171693600139868E-3</v>
      </c>
      <c r="CG494" s="394">
        <f t="shared" si="471"/>
        <v>8.39215250375136E-3</v>
      </c>
      <c r="CH494" s="397"/>
      <c r="CJ494" s="394">
        <f t="shared" si="472"/>
        <v>1.2559248236331477E-2</v>
      </c>
      <c r="CK494" s="394">
        <f t="shared" si="473"/>
        <v>3.5481090888473066E-2</v>
      </c>
      <c r="CL494" s="397"/>
      <c r="CN494" s="394">
        <f t="shared" si="474"/>
        <v>1.0715783686821023E-2</v>
      </c>
      <c r="CO494" s="394">
        <f t="shared" si="475"/>
        <v>1.5124755667855538E-2</v>
      </c>
      <c r="CP494" s="397"/>
      <c r="CR494" s="394">
        <f t="shared" si="476"/>
        <v>7.5982806817927129E-2</v>
      </c>
      <c r="CS494" s="394">
        <f t="shared" si="477"/>
        <v>3.7687858978047162E-2</v>
      </c>
      <c r="CT494" s="397"/>
      <c r="CV494" s="394">
        <f t="shared" si="478"/>
        <v>5.1588720362655272E-2</v>
      </c>
      <c r="CW494" s="394">
        <f t="shared" si="479"/>
        <v>2.058131300413546E-2</v>
      </c>
      <c r="CX494" s="397"/>
      <c r="CZ494" s="394">
        <f t="shared" si="480"/>
        <v>1.6056408534320443E-2</v>
      </c>
      <c r="DA494" s="394">
        <f t="shared" si="481"/>
        <v>6.4601080220532126E-3</v>
      </c>
      <c r="DB494" s="397"/>
      <c r="DD494" s="394">
        <f t="shared" si="482"/>
        <v>-1.0629216888983328E-2</v>
      </c>
      <c r="DE494" s="394">
        <f t="shared" si="483"/>
        <v>3.1645653201673785E-2</v>
      </c>
      <c r="DF494" s="397"/>
      <c r="DH494" s="394">
        <f t="shared" si="484"/>
        <v>5.1648569214646889E-2</v>
      </c>
      <c r="DI494" s="394">
        <f t="shared" si="485"/>
        <v>3.3745635949943731E-2</v>
      </c>
      <c r="DJ494" s="397"/>
      <c r="DL494" s="394">
        <f t="shared" si="486"/>
        <v>3.205339382017125E-2</v>
      </c>
      <c r="DM494" s="394">
        <f t="shared" si="487"/>
        <v>3.0235003320476794E-2</v>
      </c>
      <c r="DN494" s="397"/>
      <c r="DP494" s="394">
        <f t="shared" si="488"/>
        <v>2.7191364039969912E-2</v>
      </c>
      <c r="DQ494" s="394">
        <f t="shared" si="489"/>
        <v>2.4265804085065845E-2</v>
      </c>
      <c r="DR494" s="397"/>
      <c r="DT494" s="1"/>
      <c r="DU494" s="1"/>
      <c r="DV494" s="1"/>
      <c r="DW494" s="1"/>
      <c r="DX494" s="1"/>
      <c r="DY494" s="1"/>
      <c r="DZ494" s="1"/>
      <c r="EA494" s="1"/>
      <c r="EB494" s="1"/>
      <c r="EC494" s="1"/>
      <c r="ED494" s="1"/>
      <c r="EE494" s="1"/>
      <c r="EF494" s="1"/>
      <c r="EG494" s="1"/>
      <c r="EH494" s="1"/>
      <c r="EI494" s="1"/>
      <c r="EJ494" s="1"/>
      <c r="EK494" s="1"/>
      <c r="EL494" s="1"/>
      <c r="EM494" s="1"/>
      <c r="EN494" s="1"/>
      <c r="EO494" s="1"/>
      <c r="EP494" s="1"/>
      <c r="EQ494" s="1"/>
      <c r="ER494" s="1"/>
      <c r="ES494" s="1"/>
      <c r="ET494" s="1"/>
      <c r="EU494" s="1"/>
      <c r="EV494" s="1"/>
      <c r="EW494" s="1"/>
      <c r="EX494" s="1"/>
      <c r="EY494" s="1"/>
      <c r="EZ494" s="1"/>
      <c r="FA494" s="1"/>
      <c r="FB494" s="1"/>
      <c r="FC494" s="1"/>
      <c r="FD494" s="1"/>
      <c r="FE494" s="1"/>
      <c r="FF494" s="1"/>
      <c r="FG494" s="1"/>
      <c r="FH494" s="1"/>
      <c r="FI494" s="1"/>
      <c r="FJ494" s="1"/>
      <c r="FK494" s="1"/>
      <c r="FL494" s="1"/>
      <c r="FM494" s="1"/>
      <c r="FN494" s="1"/>
      <c r="FO494" s="1"/>
      <c r="FP494" s="1"/>
      <c r="FQ494" s="1"/>
      <c r="FR494" s="1"/>
      <c r="FS494" s="1"/>
      <c r="FT494" s="1"/>
      <c r="FU494" s="1"/>
      <c r="FV494" s="1"/>
      <c r="FW494" s="1"/>
      <c r="FX494" s="1"/>
      <c r="FY494" s="1"/>
      <c r="FZ494" s="1"/>
      <c r="GA494" s="1"/>
      <c r="GB494" s="1"/>
      <c r="GC494" s="1"/>
      <c r="GD494" s="1"/>
      <c r="GE494" s="1"/>
      <c r="GF494" s="1"/>
      <c r="GG494" s="1"/>
      <c r="GH494" s="1"/>
      <c r="GI494" s="1"/>
      <c r="GJ494" s="1"/>
      <c r="GK494" s="1"/>
      <c r="GL494" s="1"/>
      <c r="GM494" s="1"/>
      <c r="GN494" s="1"/>
      <c r="GO494" s="1"/>
      <c r="GP494" s="1"/>
      <c r="GQ494" s="1"/>
      <c r="GR494" s="1"/>
      <c r="GS494" s="1"/>
      <c r="GT494" s="1"/>
      <c r="GU494" s="1"/>
      <c r="GV494" s="1"/>
      <c r="GW494" s="1"/>
      <c r="GX494" s="1"/>
      <c r="GY494" s="1"/>
      <c r="GZ494" s="1"/>
      <c r="HA494" s="1"/>
      <c r="HB494" s="1"/>
      <c r="HC494" s="1"/>
      <c r="HD494" s="1"/>
      <c r="HE494" s="1"/>
      <c r="HF494" s="1"/>
      <c r="HG494" s="1"/>
      <c r="HH494" s="1"/>
      <c r="HI494" s="1"/>
      <c r="HJ494" s="1"/>
      <c r="HK494" s="1"/>
      <c r="HL494" s="1"/>
      <c r="HM494" s="1"/>
      <c r="HN494" s="1"/>
      <c r="HO494" s="1"/>
      <c r="HP494" s="1"/>
      <c r="HQ494" s="1"/>
      <c r="HR494" s="1"/>
      <c r="HS494" s="1"/>
      <c r="HT494" s="1"/>
      <c r="HU494" s="1"/>
      <c r="HV494" s="1"/>
      <c r="HW494" s="1"/>
      <c r="HX494" s="1"/>
      <c r="HY494" s="1"/>
      <c r="HZ494" s="1"/>
      <c r="IA494" s="1"/>
      <c r="IB494" s="1"/>
      <c r="IC494" s="1"/>
      <c r="ID494" s="1"/>
      <c r="IE494" s="1"/>
      <c r="IF494" s="1"/>
      <c r="IG494" s="1"/>
      <c r="IH494" s="1"/>
      <c r="II494" s="1"/>
      <c r="IJ494" s="1"/>
      <c r="IK494" s="1"/>
      <c r="IL494" s="1"/>
      <c r="IM494" s="1"/>
      <c r="IN494" s="1"/>
      <c r="IO494" s="1"/>
      <c r="IP494" s="1"/>
      <c r="IQ494" s="1"/>
      <c r="IR494" s="1"/>
      <c r="IS494" s="1"/>
      <c r="IT494" s="1"/>
      <c r="IU494" s="1"/>
      <c r="IV494" s="1"/>
      <c r="IW494" s="1"/>
      <c r="IX494" s="1"/>
      <c r="IY494" s="1"/>
      <c r="IZ494" s="1"/>
      <c r="JA494" s="1"/>
      <c r="JB494" s="1"/>
      <c r="JC494" s="1"/>
      <c r="JD494" s="1"/>
    </row>
    <row r="495" spans="1:264" s="347" customFormat="1" x14ac:dyDescent="0.2">
      <c r="A495" s="411"/>
      <c r="B495" s="423"/>
      <c r="C495" s="411"/>
      <c r="D495" s="411"/>
      <c r="E495" s="411"/>
      <c r="F495" s="411"/>
      <c r="G495" s="411"/>
      <c r="H495" s="411"/>
      <c r="I495" s="411"/>
      <c r="J495" s="411"/>
      <c r="K495" s="411"/>
      <c r="L495" s="411"/>
      <c r="M495" s="411"/>
      <c r="N495" s="411"/>
      <c r="O495" s="411"/>
      <c r="P495" s="411"/>
      <c r="Q495" s="411"/>
      <c r="R495" s="411"/>
      <c r="S495" s="411"/>
      <c r="T495" s="411"/>
      <c r="U495" s="411"/>
      <c r="V495" s="411"/>
      <c r="W495" s="411"/>
      <c r="X495" s="411"/>
      <c r="Y495" s="411"/>
      <c r="Z495" s="411"/>
      <c r="AA495" s="411"/>
      <c r="AB495" s="411"/>
      <c r="AC495" s="411"/>
      <c r="AD495" s="411"/>
      <c r="AE495" s="411"/>
      <c r="AF495" s="411"/>
      <c r="AG495" s="411"/>
      <c r="AH495" s="411"/>
      <c r="AI495" s="411"/>
      <c r="AJ495" s="411"/>
      <c r="AK495" s="411"/>
      <c r="AL495" s="411"/>
      <c r="AM495" s="411"/>
      <c r="AN495" s="411"/>
      <c r="AO495" s="411"/>
      <c r="AP495" s="411"/>
      <c r="AQ495" s="411"/>
      <c r="AR495" s="411"/>
      <c r="AS495" s="411"/>
      <c r="AT495" s="411"/>
      <c r="AU495" s="411"/>
      <c r="AV495" s="411"/>
      <c r="AW495" s="411"/>
      <c r="AX495" s="411"/>
      <c r="AY495" s="411"/>
      <c r="AZ495" s="411"/>
      <c r="BA495" s="411"/>
      <c r="BB495" s="411"/>
      <c r="BC495" s="411"/>
      <c r="BD495" s="411"/>
      <c r="BE495" s="411"/>
      <c r="BF495" s="411"/>
      <c r="BG495" s="411"/>
      <c r="BH495" s="397"/>
      <c r="BI495" s="397"/>
      <c r="BJ495" s="397"/>
      <c r="BK495" s="423"/>
      <c r="BL495" s="397"/>
      <c r="BM495" s="397"/>
      <c r="BN495" s="397"/>
      <c r="BO495" s="348"/>
      <c r="BP495" s="397"/>
      <c r="BQ495" s="397"/>
      <c r="BR495" s="397"/>
      <c r="BT495" s="397"/>
      <c r="BU495" s="397"/>
      <c r="BV495" s="397"/>
      <c r="BX495" s="397"/>
      <c r="BY495" s="397"/>
      <c r="BZ495" s="397"/>
      <c r="CB495" s="397"/>
      <c r="CC495" s="397"/>
      <c r="CD495" s="397"/>
      <c r="CF495" s="397"/>
      <c r="CG495" s="397"/>
      <c r="CH495" s="397"/>
      <c r="CJ495" s="397"/>
      <c r="CK495" s="397"/>
      <c r="CL495" s="397"/>
      <c r="CN495" s="397"/>
      <c r="CO495" s="397"/>
      <c r="CP495" s="397"/>
      <c r="CR495" s="397"/>
      <c r="CS495" s="397"/>
      <c r="CT495" s="397"/>
      <c r="CV495" s="397"/>
      <c r="CW495" s="397"/>
      <c r="CX495" s="397"/>
      <c r="CZ495" s="397"/>
      <c r="DA495" s="397"/>
      <c r="DB495" s="397"/>
      <c r="DD495" s="397"/>
      <c r="DE495" s="397"/>
      <c r="DF495" s="397"/>
      <c r="DH495" s="397"/>
      <c r="DI495" s="397"/>
      <c r="DJ495" s="397"/>
      <c r="DL495" s="397"/>
      <c r="DM495" s="397"/>
      <c r="DN495" s="397"/>
      <c r="DP495" s="397"/>
      <c r="DQ495" s="397"/>
      <c r="DR495" s="397"/>
      <c r="DT495" s="1"/>
      <c r="DU495" s="1"/>
      <c r="DV495" s="1"/>
      <c r="DW495" s="1"/>
      <c r="DX495" s="1"/>
      <c r="DY495" s="1"/>
      <c r="DZ495" s="1"/>
      <c r="EA495" s="1"/>
      <c r="EB495" s="1"/>
      <c r="EC495" s="1"/>
      <c r="ED495" s="1"/>
      <c r="EE495" s="1"/>
      <c r="EF495" s="1"/>
      <c r="EG495" s="1"/>
      <c r="EH495" s="1"/>
      <c r="EI495" s="1"/>
      <c r="EJ495" s="1"/>
      <c r="EK495" s="1"/>
      <c r="EL495" s="1"/>
      <c r="EM495" s="1"/>
      <c r="EN495" s="1"/>
      <c r="EO495" s="1"/>
      <c r="EP495" s="1"/>
      <c r="EQ495" s="1"/>
      <c r="ER495" s="1"/>
      <c r="ES495" s="1"/>
      <c r="ET495" s="1"/>
      <c r="EU495" s="1"/>
      <c r="EV495" s="1"/>
      <c r="EW495" s="1"/>
      <c r="EX495" s="1"/>
      <c r="EY495" s="1"/>
      <c r="EZ495" s="1"/>
      <c r="FA495" s="1"/>
      <c r="FB495" s="1"/>
      <c r="FC495" s="1"/>
      <c r="FD495" s="1"/>
      <c r="FE495" s="1"/>
      <c r="FF495" s="1"/>
      <c r="FG495" s="1"/>
      <c r="FH495" s="1"/>
      <c r="FI495" s="1"/>
      <c r="FJ495" s="1"/>
      <c r="FK495" s="1"/>
      <c r="FL495" s="1"/>
      <c r="FM495" s="1"/>
      <c r="FN495" s="1"/>
      <c r="FO495" s="1"/>
      <c r="FP495" s="1"/>
      <c r="FQ495" s="1"/>
      <c r="FR495" s="1"/>
      <c r="FS495" s="1"/>
      <c r="FT495" s="1"/>
      <c r="FU495" s="1"/>
      <c r="FV495" s="1"/>
      <c r="FW495" s="1"/>
      <c r="FX495" s="1"/>
      <c r="FY495" s="1"/>
      <c r="FZ495" s="1"/>
      <c r="GA495" s="1"/>
      <c r="GB495" s="1"/>
      <c r="GC495" s="1"/>
      <c r="GD495" s="1"/>
      <c r="GE495" s="1"/>
      <c r="GF495" s="1"/>
      <c r="GG495" s="1"/>
      <c r="GH495" s="1"/>
      <c r="GI495" s="1"/>
      <c r="GJ495" s="1"/>
      <c r="GK495" s="1"/>
      <c r="GL495" s="1"/>
      <c r="GM495" s="1"/>
      <c r="GN495" s="1"/>
      <c r="GO495" s="1"/>
      <c r="GP495" s="1"/>
      <c r="GQ495" s="1"/>
      <c r="GR495" s="1"/>
      <c r="GS495" s="1"/>
      <c r="GT495" s="1"/>
      <c r="GU495" s="1"/>
      <c r="GV495" s="1"/>
      <c r="GW495" s="1"/>
      <c r="GX495" s="1"/>
      <c r="GY495" s="1"/>
      <c r="GZ495" s="1"/>
      <c r="HA495" s="1"/>
      <c r="HB495" s="1"/>
      <c r="HC495" s="1"/>
      <c r="HD495" s="1"/>
      <c r="HE495" s="1"/>
      <c r="HF495" s="1"/>
      <c r="HG495" s="1"/>
      <c r="HH495" s="1"/>
      <c r="HI495" s="1"/>
      <c r="HJ495" s="1"/>
      <c r="HK495" s="1"/>
      <c r="HL495" s="1"/>
      <c r="HM495" s="1"/>
      <c r="HN495" s="1"/>
      <c r="HO495" s="1"/>
      <c r="HP495" s="1"/>
      <c r="HQ495" s="1"/>
      <c r="HR495" s="1"/>
      <c r="HS495" s="1"/>
      <c r="HT495" s="1"/>
      <c r="HU495" s="1"/>
      <c r="HV495" s="1"/>
      <c r="HW495" s="1"/>
      <c r="HX495" s="1"/>
      <c r="HY495" s="1"/>
      <c r="HZ495" s="1"/>
      <c r="IA495" s="1"/>
      <c r="IB495" s="1"/>
      <c r="IC495" s="1"/>
      <c r="ID495" s="1"/>
      <c r="IE495" s="1"/>
      <c r="IF495" s="1"/>
      <c r="IG495" s="1"/>
      <c r="IH495" s="1"/>
      <c r="II495" s="1"/>
      <c r="IJ495" s="1"/>
      <c r="IK495" s="1"/>
      <c r="IL495" s="1"/>
      <c r="IM495" s="1"/>
      <c r="IN495" s="1"/>
      <c r="IO495" s="1"/>
      <c r="IP495" s="1"/>
      <c r="IQ495" s="1"/>
      <c r="IR495" s="1"/>
      <c r="IS495" s="1"/>
      <c r="IT495" s="1"/>
      <c r="IU495" s="1"/>
      <c r="IV495" s="1"/>
      <c r="IW495" s="1"/>
      <c r="IX495" s="1"/>
      <c r="IY495" s="1"/>
      <c r="IZ495" s="1"/>
      <c r="JA495" s="1"/>
      <c r="JB495" s="1"/>
      <c r="JC495" s="1"/>
      <c r="JD495" s="1"/>
    </row>
    <row r="496" spans="1:264" s="347" customFormat="1" x14ac:dyDescent="0.2">
      <c r="A496" s="411"/>
      <c r="B496" s="423"/>
      <c r="C496" s="411"/>
      <c r="D496" s="411"/>
      <c r="E496" s="411"/>
      <c r="F496" s="411"/>
      <c r="G496" s="411"/>
      <c r="H496" s="411"/>
      <c r="I496" s="411"/>
      <c r="J496" s="411"/>
      <c r="K496" s="411"/>
      <c r="L496" s="411"/>
      <c r="M496" s="411"/>
      <c r="N496" s="411"/>
      <c r="O496" s="411"/>
      <c r="P496" s="411"/>
      <c r="Q496" s="411"/>
      <c r="R496" s="411"/>
      <c r="S496" s="411"/>
      <c r="T496" s="411"/>
      <c r="U496" s="411"/>
      <c r="V496" s="411"/>
      <c r="W496" s="411"/>
      <c r="X496" s="411"/>
      <c r="Y496" s="411"/>
      <c r="Z496" s="411"/>
      <c r="AA496" s="411"/>
      <c r="AB496" s="411"/>
      <c r="AC496" s="411"/>
      <c r="AD496" s="411"/>
      <c r="AE496" s="411"/>
      <c r="AF496" s="411"/>
      <c r="AG496" s="411"/>
      <c r="AH496" s="411"/>
      <c r="AI496" s="411"/>
      <c r="AJ496" s="411"/>
      <c r="AK496" s="411"/>
      <c r="AL496" s="411"/>
      <c r="AM496" s="411"/>
      <c r="AN496" s="411"/>
      <c r="AO496" s="411"/>
      <c r="AP496" s="411"/>
      <c r="AQ496" s="411"/>
      <c r="AR496" s="411"/>
      <c r="AS496" s="411"/>
      <c r="AT496" s="411"/>
      <c r="AU496" s="411"/>
      <c r="AV496" s="411"/>
      <c r="AW496" s="411"/>
      <c r="AX496" s="411"/>
      <c r="AY496" s="411"/>
      <c r="AZ496" s="411"/>
      <c r="BA496" s="411"/>
      <c r="BB496" s="411"/>
      <c r="BC496" s="411"/>
      <c r="BD496" s="411"/>
      <c r="BE496" s="411"/>
      <c r="BF496" s="411"/>
      <c r="BG496" s="411"/>
      <c r="BH496" s="397"/>
      <c r="BI496" s="397"/>
      <c r="BJ496" s="397"/>
      <c r="BK496" s="423"/>
      <c r="BL496" s="397"/>
      <c r="BM496" s="397"/>
      <c r="BN496" s="397"/>
      <c r="BO496" s="348"/>
      <c r="BP496" s="397"/>
      <c r="BQ496" s="397"/>
      <c r="BR496" s="397"/>
      <c r="BT496" s="397"/>
      <c r="BU496" s="397"/>
      <c r="BV496" s="397"/>
      <c r="BX496" s="397"/>
      <c r="BY496" s="397"/>
      <c r="BZ496" s="397"/>
      <c r="CB496" s="397"/>
      <c r="CC496" s="397"/>
      <c r="CD496" s="397"/>
      <c r="CF496" s="397"/>
      <c r="CG496" s="397"/>
      <c r="CH496" s="397"/>
      <c r="CJ496" s="397"/>
      <c r="CK496" s="397"/>
      <c r="CL496" s="397"/>
      <c r="CN496" s="397"/>
      <c r="CO496" s="397"/>
      <c r="CP496" s="397"/>
      <c r="CR496" s="397"/>
      <c r="CS496" s="397"/>
      <c r="CT496" s="397"/>
      <c r="CV496" s="397"/>
      <c r="CW496" s="397"/>
      <c r="CX496" s="397"/>
      <c r="CZ496" s="397"/>
      <c r="DA496" s="397"/>
      <c r="DB496" s="397"/>
      <c r="DD496" s="397"/>
      <c r="DE496" s="397"/>
      <c r="DF496" s="397"/>
      <c r="DH496" s="397"/>
      <c r="DI496" s="397"/>
      <c r="DJ496" s="397"/>
      <c r="DL496" s="397"/>
      <c r="DM496" s="397"/>
      <c r="DN496" s="397"/>
      <c r="DP496" s="397"/>
      <c r="DQ496" s="397"/>
      <c r="DR496" s="397"/>
      <c r="DT496" s="1"/>
      <c r="DU496" s="1"/>
      <c r="DV496" s="1"/>
      <c r="DW496" s="1"/>
      <c r="DX496" s="1"/>
      <c r="DY496" s="1"/>
      <c r="DZ496" s="1"/>
      <c r="EA496" s="1"/>
      <c r="EB496" s="1"/>
      <c r="EC496" s="1"/>
      <c r="ED496" s="1"/>
      <c r="EE496" s="1"/>
      <c r="EF496" s="1"/>
      <c r="EG496" s="1"/>
      <c r="EH496" s="1"/>
      <c r="EI496" s="1"/>
      <c r="EJ496" s="1"/>
      <c r="EK496" s="1"/>
      <c r="EL496" s="1"/>
      <c r="EM496" s="1"/>
      <c r="EN496" s="1"/>
      <c r="EO496" s="1"/>
      <c r="EP496" s="1"/>
      <c r="EQ496" s="1"/>
      <c r="ER496" s="1"/>
      <c r="ES496" s="1"/>
      <c r="ET496" s="1"/>
      <c r="EU496" s="1"/>
      <c r="EV496" s="1"/>
      <c r="EW496" s="1"/>
      <c r="EX496" s="1"/>
      <c r="EY496" s="1"/>
      <c r="EZ496" s="1"/>
      <c r="FA496" s="1"/>
      <c r="FB496" s="1"/>
      <c r="FC496" s="1"/>
      <c r="FD496" s="1"/>
      <c r="FE496" s="1"/>
      <c r="FF496" s="1"/>
      <c r="FG496" s="1"/>
      <c r="FH496" s="1"/>
      <c r="FI496" s="1"/>
      <c r="FJ496" s="1"/>
      <c r="FK496" s="1"/>
      <c r="FL496" s="1"/>
      <c r="FM496" s="1"/>
      <c r="FN496" s="1"/>
      <c r="FO496" s="1"/>
      <c r="FP496" s="1"/>
      <c r="FQ496" s="1"/>
      <c r="FR496" s="1"/>
      <c r="FS496" s="1"/>
      <c r="FT496" s="1"/>
      <c r="FU496" s="1"/>
      <c r="FV496" s="1"/>
      <c r="FW496" s="1"/>
      <c r="FX496" s="1"/>
      <c r="FY496" s="1"/>
      <c r="FZ496" s="1"/>
      <c r="GA496" s="1"/>
      <c r="GB496" s="1"/>
      <c r="GC496" s="1"/>
      <c r="GD496" s="1"/>
      <c r="GE496" s="1"/>
      <c r="GF496" s="1"/>
      <c r="GG496" s="1"/>
      <c r="GH496" s="1"/>
      <c r="GI496" s="1"/>
      <c r="GJ496" s="1"/>
      <c r="GK496" s="1"/>
      <c r="GL496" s="1"/>
      <c r="GM496" s="1"/>
      <c r="GN496" s="1"/>
      <c r="GO496" s="1"/>
      <c r="GP496" s="1"/>
      <c r="GQ496" s="1"/>
      <c r="GR496" s="1"/>
      <c r="GS496" s="1"/>
      <c r="GT496" s="1"/>
      <c r="GU496" s="1"/>
      <c r="GV496" s="1"/>
      <c r="GW496" s="1"/>
      <c r="GX496" s="1"/>
      <c r="GY496" s="1"/>
      <c r="GZ496" s="1"/>
      <c r="HA496" s="1"/>
      <c r="HB496" s="1"/>
      <c r="HC496" s="1"/>
      <c r="HD496" s="1"/>
      <c r="HE496" s="1"/>
      <c r="HF496" s="1"/>
      <c r="HG496" s="1"/>
      <c r="HH496" s="1"/>
      <c r="HI496" s="1"/>
      <c r="HJ496" s="1"/>
      <c r="HK496" s="1"/>
      <c r="HL496" s="1"/>
      <c r="HM496" s="1"/>
      <c r="HN496" s="1"/>
      <c r="HO496" s="1"/>
      <c r="HP496" s="1"/>
      <c r="HQ496" s="1"/>
      <c r="HR496" s="1"/>
      <c r="HS496" s="1"/>
      <c r="HT496" s="1"/>
      <c r="HU496" s="1"/>
      <c r="HV496" s="1"/>
      <c r="HW496" s="1"/>
      <c r="HX496" s="1"/>
      <c r="HY496" s="1"/>
      <c r="HZ496" s="1"/>
      <c r="IA496" s="1"/>
      <c r="IB496" s="1"/>
      <c r="IC496" s="1"/>
      <c r="ID496" s="1"/>
      <c r="IE496" s="1"/>
      <c r="IF496" s="1"/>
      <c r="IG496" s="1"/>
      <c r="IH496" s="1"/>
      <c r="II496" s="1"/>
      <c r="IJ496" s="1"/>
      <c r="IK496" s="1"/>
      <c r="IL496" s="1"/>
      <c r="IM496" s="1"/>
      <c r="IN496" s="1"/>
      <c r="IO496" s="1"/>
      <c r="IP496" s="1"/>
      <c r="IQ496" s="1"/>
      <c r="IR496" s="1"/>
      <c r="IS496" s="1"/>
      <c r="IT496" s="1"/>
      <c r="IU496" s="1"/>
      <c r="IV496" s="1"/>
      <c r="IW496" s="1"/>
      <c r="IX496" s="1"/>
      <c r="IY496" s="1"/>
      <c r="IZ496" s="1"/>
      <c r="JA496" s="1"/>
      <c r="JB496" s="1"/>
      <c r="JC496" s="1"/>
      <c r="JD496" s="1"/>
    </row>
    <row r="497" spans="1:264" s="347" customFormat="1" x14ac:dyDescent="0.2">
      <c r="A497" s="411" t="s">
        <v>427</v>
      </c>
      <c r="B497" s="423"/>
      <c r="C497" s="411"/>
      <c r="D497" s="411"/>
      <c r="E497" s="411"/>
      <c r="F497" s="411"/>
      <c r="G497" s="411"/>
      <c r="H497" s="411"/>
      <c r="I497" s="411"/>
      <c r="J497" s="411"/>
      <c r="K497" s="411"/>
      <c r="L497" s="411"/>
      <c r="M497" s="411"/>
      <c r="N497" s="411"/>
      <c r="O497" s="411"/>
      <c r="P497" s="411"/>
      <c r="Q497" s="411"/>
      <c r="R497" s="411"/>
      <c r="S497" s="411"/>
      <c r="T497" s="411"/>
      <c r="U497" s="411"/>
      <c r="V497" s="411"/>
      <c r="W497" s="411"/>
      <c r="X497" s="411"/>
      <c r="Y497" s="411"/>
      <c r="Z497" s="411"/>
      <c r="AA497" s="411"/>
      <c r="AB497" s="411"/>
      <c r="AC497" s="411"/>
      <c r="AD497" s="411"/>
      <c r="AE497" s="411"/>
      <c r="AF497" s="411"/>
      <c r="AG497" s="411"/>
      <c r="AH497" s="411"/>
      <c r="AI497" s="411"/>
      <c r="AJ497" s="411"/>
      <c r="AK497" s="411"/>
      <c r="AL497" s="411"/>
      <c r="AM497" s="411"/>
      <c r="AN497" s="411"/>
      <c r="AO497" s="411"/>
      <c r="AP497" s="411"/>
      <c r="AQ497" s="411"/>
      <c r="AR497" s="411"/>
      <c r="AS497" s="411"/>
      <c r="AT497" s="411"/>
      <c r="AU497" s="411"/>
      <c r="AV497" s="411"/>
      <c r="AW497" s="411"/>
      <c r="AX497" s="411"/>
      <c r="AY497" s="411"/>
      <c r="AZ497" s="411"/>
      <c r="BA497" s="411"/>
      <c r="BB497" s="411"/>
      <c r="BC497" s="411"/>
      <c r="BD497" s="411"/>
      <c r="BE497" s="411"/>
      <c r="BF497" s="411"/>
      <c r="BG497" s="411"/>
      <c r="BH497" s="398">
        <v>605408</v>
      </c>
      <c r="BI497" s="398">
        <v>613779</v>
      </c>
      <c r="BJ497" s="351">
        <f>AVERAGE(BH497:BI497)</f>
        <v>609593.5</v>
      </c>
      <c r="BK497" s="348"/>
      <c r="BL497" s="398">
        <v>647944</v>
      </c>
      <c r="BM497" s="398">
        <v>675749</v>
      </c>
      <c r="BN497" s="398">
        <v>661733</v>
      </c>
      <c r="BO497" s="348"/>
      <c r="BP497" s="398">
        <v>694372</v>
      </c>
      <c r="BQ497" s="398">
        <v>732110</v>
      </c>
      <c r="BR497" s="351">
        <f>AVERAGE(BP497:BQ497)</f>
        <v>713241</v>
      </c>
      <c r="BT497" s="398">
        <v>737226</v>
      </c>
      <c r="BU497" s="398">
        <v>730246</v>
      </c>
      <c r="BV497" s="351">
        <f>AVERAGE(BT497:BU497)</f>
        <v>733736</v>
      </c>
      <c r="BW497" s="393">
        <f>BV497/BR497-1</f>
        <v>2.8735027851735984E-2</v>
      </c>
      <c r="BX497" s="398">
        <v>747236</v>
      </c>
      <c r="BY497" s="398">
        <v>764126</v>
      </c>
      <c r="BZ497" s="399">
        <v>755612</v>
      </c>
      <c r="CA497" s="393">
        <f>BZ497/BV497-1</f>
        <v>2.9814538199025353E-2</v>
      </c>
      <c r="CB497" s="398">
        <v>757449</v>
      </c>
      <c r="CC497" s="398">
        <v>761752</v>
      </c>
      <c r="CD497" s="399">
        <v>759583</v>
      </c>
      <c r="CF497" s="398">
        <v>764654</v>
      </c>
      <c r="CG497" s="398">
        <v>757518</v>
      </c>
      <c r="CH497" s="399">
        <v>761115</v>
      </c>
      <c r="CI497" s="553"/>
      <c r="CJ497" s="398">
        <v>763025</v>
      </c>
      <c r="CK497" s="398">
        <v>781037</v>
      </c>
      <c r="CL497" s="399">
        <v>771982</v>
      </c>
      <c r="CN497" s="398">
        <v>776387</v>
      </c>
      <c r="CO497" s="398">
        <v>777564</v>
      </c>
      <c r="CP497" s="399">
        <v>776967</v>
      </c>
      <c r="CR497" s="398">
        <v>827648</v>
      </c>
      <c r="CS497" s="398">
        <v>855976</v>
      </c>
      <c r="CT497" s="399">
        <v>841695</v>
      </c>
      <c r="CV497" s="398">
        <v>902053</v>
      </c>
      <c r="CW497" s="398">
        <v>935544</v>
      </c>
      <c r="CX497" s="399">
        <v>918666</v>
      </c>
      <c r="CZ497" s="398">
        <v>964706</v>
      </c>
      <c r="DA497" s="398">
        <v>978301</v>
      </c>
      <c r="DB497" s="399">
        <v>971466</v>
      </c>
      <c r="DD497" s="398">
        <v>963596</v>
      </c>
      <c r="DE497" s="398">
        <v>1001160</v>
      </c>
      <c r="DF497" s="399">
        <v>982224</v>
      </c>
      <c r="DH497" s="398">
        <v>1053407</v>
      </c>
      <c r="DI497" s="351">
        <f ca="1">+DI498*DI538</f>
        <v>1095417.4486237832</v>
      </c>
      <c r="DJ497" s="351">
        <f ca="1">AVERAGE(DH497:DI497)</f>
        <v>1074412.2243118915</v>
      </c>
      <c r="DL497" s="351">
        <f ca="1">+DL498*DL538</f>
        <v>1131411.2227322652</v>
      </c>
      <c r="DM497" s="351">
        <f ca="1">+DM498*DM538</f>
        <v>1166467.8096901965</v>
      </c>
      <c r="DN497" s="351">
        <f ca="1">AVERAGE(DL497:DM497)</f>
        <v>1148939.5162112308</v>
      </c>
      <c r="DP497" s="351">
        <f ca="1">+DP498*DP538</f>
        <v>1198847.5929408928</v>
      </c>
      <c r="DQ497" s="351">
        <f ca="1">+DQ498*DQ538</f>
        <v>1228336.1231776159</v>
      </c>
      <c r="DR497" s="351">
        <f ca="1">AVERAGE(DP497:DQ497)</f>
        <v>1213591.8580592545</v>
      </c>
      <c r="DT497" s="1"/>
      <c r="DU497" s="1"/>
      <c r="DV497" s="1"/>
      <c r="DW497" s="1"/>
      <c r="DX497" s="1"/>
      <c r="DY497" s="1"/>
      <c r="DZ497" s="1"/>
      <c r="EA497" s="1"/>
      <c r="EB497" s="1"/>
      <c r="EC497" s="1"/>
      <c r="ED497" s="1"/>
      <c r="EE497" s="1"/>
      <c r="EF497" s="1"/>
      <c r="EG497" s="1"/>
      <c r="EH497" s="1"/>
      <c r="EI497" s="1"/>
      <c r="EJ497" s="1"/>
      <c r="EK497" s="1"/>
      <c r="EL497" s="1"/>
      <c r="EM497" s="1"/>
      <c r="EN497" s="1"/>
      <c r="EO497" s="1"/>
      <c r="EP497" s="1"/>
      <c r="EQ497" s="1"/>
      <c r="ER497" s="1"/>
      <c r="ES497" s="1"/>
      <c r="ET497" s="1"/>
      <c r="EU497" s="1"/>
      <c r="EV497" s="1"/>
      <c r="EW497" s="1"/>
      <c r="EX497" s="1"/>
      <c r="EY497" s="1"/>
      <c r="EZ497" s="1"/>
      <c r="FA497" s="1"/>
      <c r="FB497" s="1"/>
      <c r="FC497" s="1"/>
      <c r="FD497" s="1"/>
      <c r="FE497" s="1"/>
      <c r="FF497" s="1"/>
      <c r="FG497" s="1"/>
      <c r="FH497" s="1"/>
      <c r="FI497" s="1"/>
      <c r="FJ497" s="1"/>
      <c r="FK497" s="1"/>
      <c r="FL497" s="1"/>
      <c r="FM497" s="1"/>
      <c r="FN497" s="1"/>
      <c r="FO497" s="1"/>
      <c r="FP497" s="1"/>
      <c r="FQ497" s="1"/>
      <c r="FR497" s="1"/>
      <c r="FS497" s="1"/>
      <c r="FT497" s="1"/>
      <c r="FU497" s="1"/>
      <c r="FV497" s="1"/>
      <c r="FW497" s="1"/>
      <c r="FX497" s="1"/>
      <c r="FY497" s="1"/>
      <c r="FZ497" s="1"/>
      <c r="GA497" s="1"/>
      <c r="GB497" s="1"/>
      <c r="GC497" s="1"/>
      <c r="GD497" s="1"/>
      <c r="GE497" s="1"/>
      <c r="GF497" s="1"/>
      <c r="GG497" s="1"/>
      <c r="GH497" s="1"/>
      <c r="GI497" s="1"/>
      <c r="GJ497" s="1"/>
      <c r="GK497" s="1"/>
      <c r="GL497" s="1"/>
      <c r="GM497" s="1"/>
      <c r="GN497" s="1"/>
      <c r="GO497" s="1"/>
      <c r="GP497" s="1"/>
      <c r="GQ497" s="1"/>
      <c r="GR497" s="1"/>
      <c r="GS497" s="1"/>
      <c r="GT497" s="1"/>
      <c r="GU497" s="1"/>
      <c r="GV497" s="1"/>
      <c r="GW497" s="1"/>
      <c r="GX497" s="1"/>
      <c r="GY497" s="1"/>
      <c r="GZ497" s="1"/>
      <c r="HA497" s="1"/>
      <c r="HB497" s="1"/>
      <c r="HC497" s="1"/>
      <c r="HD497" s="1"/>
      <c r="HE497" s="1"/>
      <c r="HF497" s="1"/>
      <c r="HG497" s="1"/>
      <c r="HH497" s="1"/>
      <c r="HI497" s="1"/>
      <c r="HJ497" s="1"/>
      <c r="HK497" s="1"/>
      <c r="HL497" s="1"/>
      <c r="HM497" s="1"/>
      <c r="HN497" s="1"/>
      <c r="HO497" s="1"/>
      <c r="HP497" s="1"/>
      <c r="HQ497" s="1"/>
      <c r="HR497" s="1"/>
      <c r="HS497" s="1"/>
      <c r="HT497" s="1"/>
      <c r="HU497" s="1"/>
      <c r="HV497" s="1"/>
      <c r="HW497" s="1"/>
      <c r="HX497" s="1"/>
      <c r="HY497" s="1"/>
      <c r="HZ497" s="1"/>
      <c r="IA497" s="1"/>
      <c r="IB497" s="1"/>
      <c r="IC497" s="1"/>
      <c r="ID497" s="1"/>
      <c r="IE497" s="1"/>
      <c r="IF497" s="1"/>
      <c r="IG497" s="1"/>
      <c r="IH497" s="1"/>
      <c r="II497" s="1"/>
      <c r="IJ497" s="1"/>
      <c r="IK497" s="1"/>
      <c r="IL497" s="1"/>
      <c r="IM497" s="1"/>
      <c r="IN497" s="1"/>
      <c r="IO497" s="1"/>
      <c r="IP497" s="1"/>
      <c r="IQ497" s="1"/>
      <c r="IR497" s="1"/>
      <c r="IS497" s="1"/>
      <c r="IT497" s="1"/>
      <c r="IU497" s="1"/>
      <c r="IV497" s="1"/>
      <c r="IW497" s="1"/>
      <c r="IX497" s="1"/>
      <c r="IY497" s="1"/>
      <c r="IZ497" s="1"/>
      <c r="JA497" s="1"/>
      <c r="JB497" s="1"/>
      <c r="JC497" s="1"/>
      <c r="JD497" s="1"/>
    </row>
    <row r="498" spans="1:264" s="347" customFormat="1" x14ac:dyDescent="0.2">
      <c r="A498" s="411" t="s">
        <v>428</v>
      </c>
      <c r="B498" s="348"/>
      <c r="BH498" s="398">
        <v>678930</v>
      </c>
      <c r="BI498" s="398">
        <v>690539</v>
      </c>
      <c r="BJ498" s="351">
        <f>AVERAGE(BH498:BI498)</f>
        <v>684734.5</v>
      </c>
      <c r="BK498" s="348"/>
      <c r="BL498" s="398">
        <v>718334</v>
      </c>
      <c r="BM498" s="398">
        <v>748587</v>
      </c>
      <c r="BN498" s="398">
        <v>733337</v>
      </c>
      <c r="BO498" s="348"/>
      <c r="BP498" s="398">
        <v>766069</v>
      </c>
      <c r="BQ498" s="398">
        <v>818787</v>
      </c>
      <c r="BR498" s="351">
        <f>AVERAGE(BP498:BQ498)</f>
        <v>792428</v>
      </c>
      <c r="BT498" s="398">
        <v>853043</v>
      </c>
      <c r="BU498" s="398">
        <v>864303</v>
      </c>
      <c r="BV498" s="351">
        <f>AVERAGE(BT498:BU498)</f>
        <v>858673</v>
      </c>
      <c r="BW498" s="393">
        <f>BV498/BR498-1</f>
        <v>8.3597500340724995E-2</v>
      </c>
      <c r="BX498" s="398">
        <v>895992</v>
      </c>
      <c r="BY498" s="398">
        <v>924964</v>
      </c>
      <c r="BZ498" s="399">
        <v>910358</v>
      </c>
      <c r="CA498" s="393">
        <f>BZ498/BV498-1</f>
        <v>6.019171442446658E-2</v>
      </c>
      <c r="CB498" s="398">
        <v>906318</v>
      </c>
      <c r="CC498" s="398">
        <v>914583</v>
      </c>
      <c r="CD498" s="399">
        <v>910417</v>
      </c>
      <c r="CF498" s="398">
        <v>910071</v>
      </c>
      <c r="CG498" s="398">
        <v>904221</v>
      </c>
      <c r="CH498" s="399">
        <v>907170</v>
      </c>
      <c r="CI498" s="554"/>
      <c r="CJ498" s="398">
        <v>913061</v>
      </c>
      <c r="CK498" s="398">
        <v>946229</v>
      </c>
      <c r="CL498" s="399">
        <v>930338</v>
      </c>
      <c r="CN498" s="398">
        <v>959131</v>
      </c>
      <c r="CO498" s="398">
        <v>971407</v>
      </c>
      <c r="CP498" s="399">
        <v>965137</v>
      </c>
      <c r="CR498" s="398">
        <v>1048474</v>
      </c>
      <c r="CS498" s="398">
        <v>1099039</v>
      </c>
      <c r="CT498" s="399">
        <v>1073383</v>
      </c>
      <c r="CV498" s="398">
        <v>1155148</v>
      </c>
      <c r="CW498" s="398">
        <v>1167877</v>
      </c>
      <c r="CX498" s="399">
        <v>1161489</v>
      </c>
      <c r="CZ498" s="398">
        <v>1190236</v>
      </c>
      <c r="DA498" s="398">
        <v>1198092</v>
      </c>
      <c r="DB498" s="399">
        <v>1194220</v>
      </c>
      <c r="DD498" s="398">
        <v>1192639</v>
      </c>
      <c r="DE498" s="398">
        <v>1240534</v>
      </c>
      <c r="DF498" s="399">
        <v>1216266</v>
      </c>
      <c r="DH498" s="398">
        <v>1296139</v>
      </c>
      <c r="DI498" s="351">
        <f ca="1">+DI536*DI537</f>
        <v>1347829.7338462549</v>
      </c>
      <c r="DJ498" s="351">
        <f ca="1">AVERAGE(DH498:DI498)</f>
        <v>1321984.3669231273</v>
      </c>
      <c r="DL498" s="351">
        <f ca="1">+DL536*DL537</f>
        <v>1392117.3969994271</v>
      </c>
      <c r="DM498" s="351">
        <f ca="1">+DM536*DM537</f>
        <v>1435251.9210372076</v>
      </c>
      <c r="DN498" s="351">
        <f ca="1">AVERAGE(DL498:DM498)</f>
        <v>1413684.6590183172</v>
      </c>
      <c r="DP498" s="351">
        <f ca="1">+DP536*DP537</f>
        <v>1475092.8371150144</v>
      </c>
      <c r="DQ498" s="351">
        <f ca="1">+DQ536*DQ537</f>
        <v>1511376.281303724</v>
      </c>
      <c r="DR498" s="351">
        <f ca="1">AVERAGE(DP498:DQ498)</f>
        <v>1493234.5592093691</v>
      </c>
      <c r="DT498" s="1"/>
      <c r="DU498" s="1"/>
      <c r="DV498" s="1"/>
      <c r="DW498" s="1"/>
      <c r="DX498" s="1"/>
      <c r="DY498" s="1"/>
      <c r="DZ498" s="1"/>
      <c r="EA498" s="1"/>
      <c r="EB498" s="1"/>
      <c r="EC498" s="1"/>
      <c r="ED498" s="1"/>
      <c r="EE498" s="1"/>
      <c r="EF498" s="1"/>
      <c r="EG498" s="1"/>
      <c r="EH498" s="1"/>
      <c r="EI498" s="1"/>
      <c r="EJ498" s="1"/>
      <c r="EK498" s="1"/>
      <c r="EL498" s="1"/>
      <c r="EM498" s="1"/>
      <c r="EN498" s="1"/>
      <c r="EO498" s="1"/>
      <c r="EP498" s="1"/>
      <c r="EQ498" s="1"/>
      <c r="ER498" s="1"/>
      <c r="ES498" s="1"/>
      <c r="ET498" s="1"/>
      <c r="EU498" s="1"/>
      <c r="EV498" s="1"/>
      <c r="EW498" s="1"/>
      <c r="EX498" s="1"/>
      <c r="EY498" s="1"/>
      <c r="EZ498" s="1"/>
      <c r="FA498" s="1"/>
      <c r="FB498" s="1"/>
      <c r="FC498" s="1"/>
      <c r="FD498" s="1"/>
      <c r="FE498" s="1"/>
      <c r="FF498" s="1"/>
      <c r="FG498" s="1"/>
      <c r="FH498" s="1"/>
      <c r="FI498" s="1"/>
      <c r="FJ498" s="1"/>
      <c r="FK498" s="1"/>
      <c r="FL498" s="1"/>
      <c r="FM498" s="1"/>
      <c r="FN498" s="1"/>
      <c r="FO498" s="1"/>
      <c r="FP498" s="1"/>
      <c r="FQ498" s="1"/>
      <c r="FR498" s="1"/>
      <c r="FS498" s="1"/>
      <c r="FT498" s="1"/>
      <c r="FU498" s="1"/>
      <c r="FV498" s="1"/>
      <c r="FW498" s="1"/>
      <c r="FX498" s="1"/>
      <c r="FY498" s="1"/>
      <c r="FZ498" s="1"/>
      <c r="GA498" s="1"/>
      <c r="GB498" s="1"/>
      <c r="GC498" s="1"/>
      <c r="GD498" s="1"/>
      <c r="GE498" s="1"/>
      <c r="GF498" s="1"/>
      <c r="GG498" s="1"/>
      <c r="GH498" s="1"/>
      <c r="GI498" s="1"/>
      <c r="GJ498" s="1"/>
      <c r="GK498" s="1"/>
      <c r="GL498" s="1"/>
      <c r="GM498" s="1"/>
      <c r="GN498" s="1"/>
      <c r="GO498" s="1"/>
      <c r="GP498" s="1"/>
      <c r="GQ498" s="1"/>
      <c r="GR498" s="1"/>
      <c r="GS498" s="1"/>
      <c r="GT498" s="1"/>
      <c r="GU498" s="1"/>
      <c r="GV498" s="1"/>
      <c r="GW498" s="1"/>
      <c r="GX498" s="1"/>
      <c r="GY498" s="1"/>
      <c r="GZ498" s="1"/>
      <c r="HA498" s="1"/>
      <c r="HB498" s="1"/>
      <c r="HC498" s="1"/>
      <c r="HD498" s="1"/>
      <c r="HE498" s="1"/>
      <c r="HF498" s="1"/>
      <c r="HG498" s="1"/>
      <c r="HH498" s="1"/>
      <c r="HI498" s="1"/>
      <c r="HJ498" s="1"/>
      <c r="HK498" s="1"/>
      <c r="HL498" s="1"/>
      <c r="HM498" s="1"/>
      <c r="HN498" s="1"/>
      <c r="HO498" s="1"/>
      <c r="HP498" s="1"/>
      <c r="HQ498" s="1"/>
      <c r="HR498" s="1"/>
      <c r="HS498" s="1"/>
      <c r="HT498" s="1"/>
      <c r="HU498" s="1"/>
      <c r="HV498" s="1"/>
      <c r="HW498" s="1"/>
      <c r="HX498" s="1"/>
      <c r="HY498" s="1"/>
      <c r="HZ498" s="1"/>
      <c r="IA498" s="1"/>
      <c r="IB498" s="1"/>
      <c r="IC498" s="1"/>
      <c r="ID498" s="1"/>
      <c r="IE498" s="1"/>
      <c r="IF498" s="1"/>
      <c r="IG498" s="1"/>
      <c r="IH498" s="1"/>
      <c r="II498" s="1"/>
      <c r="IJ498" s="1"/>
      <c r="IK498" s="1"/>
      <c r="IL498" s="1"/>
      <c r="IM498" s="1"/>
      <c r="IN498" s="1"/>
      <c r="IO498" s="1"/>
      <c r="IP498" s="1"/>
      <c r="IQ498" s="1"/>
      <c r="IR498" s="1"/>
      <c r="IS498" s="1"/>
      <c r="IT498" s="1"/>
      <c r="IU498" s="1"/>
      <c r="IV498" s="1"/>
      <c r="IW498" s="1"/>
      <c r="IX498" s="1"/>
      <c r="IY498" s="1"/>
      <c r="IZ498" s="1"/>
      <c r="JA498" s="1"/>
      <c r="JB498" s="1"/>
      <c r="JC498" s="1"/>
      <c r="JD498" s="1"/>
    </row>
    <row r="499" spans="1:264" s="347" customFormat="1" x14ac:dyDescent="0.2">
      <c r="B499" s="348"/>
      <c r="BH499" s="348"/>
      <c r="BI499" s="348"/>
      <c r="BJ499" s="348"/>
      <c r="BK499" s="348"/>
      <c r="BL499" s="348"/>
      <c r="BM499" s="348"/>
      <c r="BN499" s="348"/>
      <c r="BO499" s="348"/>
      <c r="BP499" s="348"/>
      <c r="BQ499" s="348"/>
      <c r="BR499" s="348"/>
      <c r="BT499" s="348"/>
      <c r="BU499" s="348"/>
      <c r="BV499" s="348"/>
      <c r="BX499" s="348"/>
      <c r="BY499" s="348"/>
      <c r="BZ499" s="348"/>
      <c r="CB499" s="348"/>
      <c r="CC499" s="348"/>
      <c r="CD499" s="348"/>
      <c r="CF499" s="348"/>
      <c r="CG499" s="348"/>
      <c r="CH499" s="348"/>
      <c r="CJ499" s="348"/>
      <c r="CK499" s="348"/>
      <c r="CL499" s="348"/>
      <c r="CN499" s="348"/>
      <c r="CO499" s="348"/>
      <c r="CP499" s="348"/>
      <c r="CR499" s="348"/>
      <c r="CS499" s="348"/>
      <c r="CT499" s="348"/>
      <c r="CV499" s="348"/>
      <c r="CW499" s="348"/>
      <c r="CX499" s="348"/>
      <c r="CZ499" s="348"/>
      <c r="DA499" s="348"/>
      <c r="DB499" s="348"/>
      <c r="DD499" s="348"/>
      <c r="DE499" s="348"/>
      <c r="DF499" s="348"/>
      <c r="DH499" s="348"/>
      <c r="DI499" s="348"/>
      <c r="DJ499" s="348"/>
      <c r="DL499" s="348"/>
      <c r="DM499" s="348"/>
      <c r="DN499" s="348"/>
      <c r="DP499" s="348"/>
      <c r="DQ499" s="348"/>
      <c r="DR499" s="348"/>
      <c r="DT499" s="1"/>
      <c r="DU499" s="1"/>
      <c r="DV499" s="1"/>
      <c r="DW499" s="1"/>
      <c r="DX499" s="1"/>
      <c r="DY499" s="1"/>
      <c r="DZ499" s="1"/>
      <c r="EA499" s="1"/>
      <c r="EB499" s="1"/>
      <c r="EC499" s="1"/>
      <c r="ED499" s="1"/>
      <c r="EE499" s="1"/>
      <c r="EF499" s="1"/>
      <c r="EG499" s="1"/>
      <c r="EH499" s="1"/>
      <c r="EI499" s="1"/>
      <c r="EJ499" s="1"/>
      <c r="EK499" s="1"/>
      <c r="EL499" s="1"/>
      <c r="EM499" s="1"/>
      <c r="EN499" s="1"/>
      <c r="EO499" s="1"/>
      <c r="EP499" s="1"/>
      <c r="EQ499" s="1"/>
      <c r="ER499" s="1"/>
      <c r="ES499" s="1"/>
      <c r="ET499" s="1"/>
      <c r="EU499" s="1"/>
      <c r="EV499" s="1"/>
      <c r="EW499" s="1"/>
      <c r="EX499" s="1"/>
      <c r="EY499" s="1"/>
      <c r="EZ499" s="1"/>
      <c r="FA499" s="1"/>
      <c r="FB499" s="1"/>
      <c r="FC499" s="1"/>
      <c r="FD499" s="1"/>
      <c r="FE499" s="1"/>
      <c r="FF499" s="1"/>
      <c r="FG499" s="1"/>
      <c r="FH499" s="1"/>
      <c r="FI499" s="1"/>
      <c r="FJ499" s="1"/>
      <c r="FK499" s="1"/>
      <c r="FL499" s="1"/>
      <c r="FM499" s="1"/>
      <c r="FN499" s="1"/>
      <c r="FO499" s="1"/>
      <c r="FP499" s="1"/>
      <c r="FQ499" s="1"/>
      <c r="FR499" s="1"/>
      <c r="FS499" s="1"/>
      <c r="FT499" s="1"/>
      <c r="FU499" s="1"/>
      <c r="FV499" s="1"/>
      <c r="FW499" s="1"/>
      <c r="FX499" s="1"/>
      <c r="FY499" s="1"/>
      <c r="FZ499" s="1"/>
      <c r="GA499" s="1"/>
      <c r="GB499" s="1"/>
      <c r="GC499" s="1"/>
      <c r="GD499" s="1"/>
      <c r="GE499" s="1"/>
      <c r="GF499" s="1"/>
      <c r="GG499" s="1"/>
      <c r="GH499" s="1"/>
      <c r="GI499" s="1"/>
      <c r="GJ499" s="1"/>
      <c r="GK499" s="1"/>
      <c r="GL499" s="1"/>
      <c r="GM499" s="1"/>
      <c r="GN499" s="1"/>
      <c r="GO499" s="1"/>
      <c r="GP499" s="1"/>
      <c r="GQ499" s="1"/>
      <c r="GR499" s="1"/>
      <c r="GS499" s="1"/>
      <c r="GT499" s="1"/>
      <c r="GU499" s="1"/>
      <c r="GV499" s="1"/>
      <c r="GW499" s="1"/>
      <c r="GX499" s="1"/>
      <c r="GY499" s="1"/>
      <c r="GZ499" s="1"/>
      <c r="HA499" s="1"/>
      <c r="HB499" s="1"/>
      <c r="HC499" s="1"/>
      <c r="HD499" s="1"/>
      <c r="HE499" s="1"/>
      <c r="HF499" s="1"/>
      <c r="HG499" s="1"/>
      <c r="HH499" s="1"/>
      <c r="HI499" s="1"/>
      <c r="HJ499" s="1"/>
      <c r="HK499" s="1"/>
      <c r="HL499" s="1"/>
      <c r="HM499" s="1"/>
      <c r="HN499" s="1"/>
      <c r="HO499" s="1"/>
      <c r="HP499" s="1"/>
      <c r="HQ499" s="1"/>
      <c r="HR499" s="1"/>
      <c r="HS499" s="1"/>
      <c r="HT499" s="1"/>
      <c r="HU499" s="1"/>
      <c r="HV499" s="1"/>
      <c r="HW499" s="1"/>
      <c r="HX499" s="1"/>
      <c r="HY499" s="1"/>
      <c r="HZ499" s="1"/>
      <c r="IA499" s="1"/>
      <c r="IB499" s="1"/>
      <c r="IC499" s="1"/>
      <c r="ID499" s="1"/>
      <c r="IE499" s="1"/>
      <c r="IF499" s="1"/>
      <c r="IG499" s="1"/>
      <c r="IH499" s="1"/>
      <c r="II499" s="1"/>
      <c r="IJ499" s="1"/>
      <c r="IK499" s="1"/>
      <c r="IL499" s="1"/>
      <c r="IM499" s="1"/>
      <c r="IN499" s="1"/>
      <c r="IO499" s="1"/>
      <c r="IP499" s="1"/>
      <c r="IQ499" s="1"/>
      <c r="IR499" s="1"/>
      <c r="IS499" s="1"/>
      <c r="IT499" s="1"/>
      <c r="IU499" s="1"/>
      <c r="IV499" s="1"/>
      <c r="IW499" s="1"/>
      <c r="IX499" s="1"/>
      <c r="IY499" s="1"/>
      <c r="IZ499" s="1"/>
      <c r="JA499" s="1"/>
      <c r="JB499" s="1"/>
      <c r="JC499" s="1"/>
      <c r="JD499" s="1"/>
    </row>
    <row r="500" spans="1:264" s="347" customFormat="1" x14ac:dyDescent="0.2">
      <c r="A500" s="347" t="s">
        <v>429</v>
      </c>
      <c r="B500" s="348"/>
      <c r="BH500" s="351">
        <f>+BH490-BH498</f>
        <v>42436</v>
      </c>
      <c r="BI500" s="351">
        <f>+BI490-BI498</f>
        <v>44489</v>
      </c>
      <c r="BJ500" s="351">
        <f>AVERAGE(BH500:BI500)</f>
        <v>43462.5</v>
      </c>
      <c r="BK500" s="348"/>
      <c r="BL500" s="351">
        <f>+BL490-BL498</f>
        <v>46288</v>
      </c>
      <c r="BM500" s="351">
        <f>+BM490-BM498</f>
        <v>48345</v>
      </c>
      <c r="BN500" s="398">
        <v>47307</v>
      </c>
      <c r="BO500" s="348"/>
      <c r="BP500" s="351">
        <f>+BP490-BP498</f>
        <v>50189</v>
      </c>
      <c r="BQ500" s="398">
        <v>52012</v>
      </c>
      <c r="BR500" s="398">
        <v>51124</v>
      </c>
      <c r="BT500" s="351">
        <f>+BT490-BT498</f>
        <v>56236</v>
      </c>
      <c r="BU500" s="351">
        <f>+BU490-BU498</f>
        <v>59137</v>
      </c>
      <c r="BV500" s="351">
        <f>+BV490-BV498</f>
        <v>57686.5</v>
      </c>
      <c r="BX500" s="351">
        <f>+BX490-BX498</f>
        <v>61132</v>
      </c>
      <c r="BY500" s="351">
        <f>+BY490-BY498</f>
        <v>62832</v>
      </c>
      <c r="BZ500" s="351">
        <f>+BZ490-BZ498</f>
        <v>61975</v>
      </c>
      <c r="CB500" s="351">
        <f>+CB490-CB498</f>
        <v>65105</v>
      </c>
      <c r="CC500" s="351">
        <f>+CC490-CC498</f>
        <v>66647</v>
      </c>
      <c r="CD500" s="351">
        <f>+CD490-CD498</f>
        <v>65870</v>
      </c>
      <c r="CE500" s="400"/>
      <c r="CF500" s="351">
        <f>+CF490-CF498</f>
        <v>67739</v>
      </c>
      <c r="CG500" s="406">
        <f>+CG490-CG498+90</f>
        <v>69113</v>
      </c>
      <c r="CH500" s="351">
        <f>+CH490-CH498</f>
        <v>68376</v>
      </c>
      <c r="CJ500" s="351">
        <f>+CJ490-CJ498</f>
        <v>70328</v>
      </c>
      <c r="CK500" s="406">
        <f>+CK490-CK498+1468</f>
        <v>71583</v>
      </c>
      <c r="CL500" s="351">
        <f>+CL490-CL498</f>
        <v>69439</v>
      </c>
      <c r="CN500" s="406">
        <f>+CN490-CN498+1452</f>
        <v>73429</v>
      </c>
      <c r="CO500" s="406">
        <f>+CO490-CO498+1358</f>
        <v>76819</v>
      </c>
      <c r="CP500" s="351">
        <f>+CP490-CP498</f>
        <v>75192</v>
      </c>
      <c r="CR500" s="351">
        <f>+CR490-CR498</f>
        <v>76675</v>
      </c>
      <c r="CS500" s="351">
        <f>+CS490-CS498</f>
        <v>73750</v>
      </c>
      <c r="CT500" s="351">
        <f>+CT490-CT498</f>
        <v>75396</v>
      </c>
      <c r="CV500" s="351">
        <f>+CV490-CV498</f>
        <v>72503</v>
      </c>
      <c r="CW500" s="351">
        <f>+CW490-CW498</f>
        <v>71977</v>
      </c>
      <c r="CX500" s="351">
        <f>+CX490-CX498</f>
        <v>72213</v>
      </c>
      <c r="CZ500" s="351">
        <f>+CZ490-CZ498</f>
        <v>72236</v>
      </c>
      <c r="DA500" s="351">
        <f>+DA490-DA498</f>
        <v>72962</v>
      </c>
      <c r="DB500" s="351">
        <f>+DB490-DB498</f>
        <v>72520</v>
      </c>
      <c r="DD500" s="351">
        <f>+DD490-DD498</f>
        <v>74176</v>
      </c>
      <c r="DE500" s="351">
        <f>+DE490-DE498</f>
        <v>77020</v>
      </c>
      <c r="DF500" s="351">
        <f>+DF490-DF498</f>
        <v>75710</v>
      </c>
      <c r="DH500" s="351">
        <f>+DH490-DH498</f>
        <v>78004</v>
      </c>
      <c r="DI500" s="351">
        <f ca="1">+DI490-DI498</f>
        <v>78093.663493840955</v>
      </c>
      <c r="DJ500" s="351">
        <f ca="1">+DJ490-DJ498</f>
        <v>78048.831746920478</v>
      </c>
      <c r="DL500" s="351">
        <f ca="1">+DL490-DL498</f>
        <v>79568.859124923358</v>
      </c>
      <c r="DM500" s="351">
        <f ca="1">+DM490-DM498</f>
        <v>80961.143288004212</v>
      </c>
      <c r="DN500" s="351">
        <f ca="1">+DN490-DN498</f>
        <v>80265.001206463901</v>
      </c>
      <c r="DP500" s="351">
        <f ca="1">+DP490-DP498</f>
        <v>82289.849379730644</v>
      </c>
      <c r="DQ500" s="351">
        <f ca="1">+DQ490-DQ498</f>
        <v>83658.844811016228</v>
      </c>
      <c r="DR500" s="351">
        <f ca="1">+DR490-DR498</f>
        <v>82974.347095373552</v>
      </c>
      <c r="DT500" s="1"/>
      <c r="DU500" s="1"/>
      <c r="DV500" s="1"/>
      <c r="DW500" s="1"/>
      <c r="DX500" s="1"/>
      <c r="DY500" s="1"/>
      <c r="DZ500" s="1"/>
      <c r="EA500" s="1"/>
      <c r="EB500" s="1"/>
      <c r="EC500" s="1"/>
      <c r="ED500" s="1"/>
      <c r="EE500" s="1"/>
      <c r="EF500" s="1"/>
      <c r="EG500" s="1"/>
      <c r="EH500" s="1"/>
      <c r="EI500" s="1"/>
      <c r="EJ500" s="1"/>
      <c r="EK500" s="1"/>
      <c r="EL500" s="1"/>
      <c r="EM500" s="1"/>
      <c r="EN500" s="1"/>
      <c r="EO500" s="1"/>
      <c r="EP500" s="1"/>
      <c r="EQ500" s="1"/>
      <c r="ER500" s="1"/>
      <c r="ES500" s="1"/>
      <c r="ET500" s="1"/>
      <c r="EU500" s="1"/>
      <c r="EV500" s="1"/>
      <c r="EW500" s="1"/>
      <c r="EX500" s="1"/>
      <c r="EY500" s="1"/>
      <c r="EZ500" s="1"/>
      <c r="FA500" s="1"/>
      <c r="FB500" s="1"/>
      <c r="FC500" s="1"/>
      <c r="FD500" s="1"/>
      <c r="FE500" s="1"/>
      <c r="FF500" s="1"/>
      <c r="FG500" s="1"/>
      <c r="FH500" s="1"/>
      <c r="FI500" s="1"/>
      <c r="FJ500" s="1"/>
      <c r="FK500" s="1"/>
      <c r="FL500" s="1"/>
      <c r="FM500" s="1"/>
      <c r="FN500" s="1"/>
      <c r="FO500" s="1"/>
      <c r="FP500" s="1"/>
      <c r="FQ500" s="1"/>
      <c r="FR500" s="1"/>
      <c r="FS500" s="1"/>
      <c r="FT500" s="1"/>
      <c r="FU500" s="1"/>
      <c r="FV500" s="1"/>
      <c r="FW500" s="1"/>
      <c r="FX500" s="1"/>
      <c r="FY500" s="1"/>
      <c r="FZ500" s="1"/>
      <c r="GA500" s="1"/>
      <c r="GB500" s="1"/>
      <c r="GC500" s="1"/>
      <c r="GD500" s="1"/>
      <c r="GE500" s="1"/>
      <c r="GF500" s="1"/>
      <c r="GG500" s="1"/>
      <c r="GH500" s="1"/>
      <c r="GI500" s="1"/>
      <c r="GJ500" s="1"/>
      <c r="GK500" s="1"/>
      <c r="GL500" s="1"/>
      <c r="GM500" s="1"/>
      <c r="GN500" s="1"/>
      <c r="GO500" s="1"/>
      <c r="GP500" s="1"/>
      <c r="GQ500" s="1"/>
      <c r="GR500" s="1"/>
      <c r="GS500" s="1"/>
      <c r="GT500" s="1"/>
      <c r="GU500" s="1"/>
      <c r="GV500" s="1"/>
      <c r="GW500" s="1"/>
      <c r="GX500" s="1"/>
      <c r="GY500" s="1"/>
      <c r="GZ500" s="1"/>
      <c r="HA500" s="1"/>
      <c r="HB500" s="1"/>
      <c r="HC500" s="1"/>
      <c r="HD500" s="1"/>
      <c r="HE500" s="1"/>
      <c r="HF500" s="1"/>
      <c r="HG500" s="1"/>
      <c r="HH500" s="1"/>
      <c r="HI500" s="1"/>
      <c r="HJ500" s="1"/>
      <c r="HK500" s="1"/>
      <c r="HL500" s="1"/>
      <c r="HM500" s="1"/>
      <c r="HN500" s="1"/>
      <c r="HO500" s="1"/>
      <c r="HP500" s="1"/>
      <c r="HQ500" s="1"/>
      <c r="HR500" s="1"/>
      <c r="HS500" s="1"/>
      <c r="HT500" s="1"/>
      <c r="HU500" s="1"/>
      <c r="HV500" s="1"/>
      <c r="HW500" s="1"/>
      <c r="HX500" s="1"/>
      <c r="HY500" s="1"/>
      <c r="HZ500" s="1"/>
      <c r="IA500" s="1"/>
      <c r="IB500" s="1"/>
      <c r="IC500" s="1"/>
      <c r="ID500" s="1"/>
      <c r="IE500" s="1"/>
      <c r="IF500" s="1"/>
      <c r="IG500" s="1"/>
      <c r="IH500" s="1"/>
      <c r="II500" s="1"/>
      <c r="IJ500" s="1"/>
      <c r="IK500" s="1"/>
      <c r="IL500" s="1"/>
      <c r="IM500" s="1"/>
      <c r="IN500" s="1"/>
      <c r="IO500" s="1"/>
      <c r="IP500" s="1"/>
      <c r="IQ500" s="1"/>
      <c r="IR500" s="1"/>
      <c r="IS500" s="1"/>
      <c r="IT500" s="1"/>
      <c r="IU500" s="1"/>
      <c r="IV500" s="1"/>
      <c r="IW500" s="1"/>
      <c r="IX500" s="1"/>
      <c r="IY500" s="1"/>
      <c r="IZ500" s="1"/>
      <c r="JA500" s="1"/>
      <c r="JB500" s="1"/>
      <c r="JC500" s="1"/>
      <c r="JD500" s="1"/>
    </row>
    <row r="501" spans="1:264" s="347" customFormat="1" x14ac:dyDescent="0.2">
      <c r="A501" s="347" t="s">
        <v>430</v>
      </c>
      <c r="B501" s="348"/>
      <c r="BH501" s="398">
        <v>-939</v>
      </c>
      <c r="BI501" s="398">
        <v>-939</v>
      </c>
      <c r="BJ501" s="351">
        <f>AVERAGE(BH501:BI501)</f>
        <v>-939</v>
      </c>
      <c r="BK501" s="348"/>
      <c r="BL501" s="398">
        <v>-939</v>
      </c>
      <c r="BM501" s="398">
        <v>-939</v>
      </c>
      <c r="BN501" s="351">
        <f>AVERAGE(BL501:BM501)</f>
        <v>-939</v>
      </c>
      <c r="BO501" s="348"/>
      <c r="BP501" s="398">
        <v>-939</v>
      </c>
      <c r="BQ501" s="398">
        <v>-939</v>
      </c>
      <c r="BR501" s="351">
        <f>AVERAGE(BP501:BQ501)</f>
        <v>-939</v>
      </c>
      <c r="BT501" s="398">
        <v>-939</v>
      </c>
      <c r="BU501" s="398">
        <v>-469</v>
      </c>
      <c r="BV501" s="398">
        <v>-626</v>
      </c>
      <c r="BX501" s="398">
        <v>0</v>
      </c>
      <c r="BY501" s="398">
        <v>0</v>
      </c>
      <c r="BZ501" s="398">
        <v>0</v>
      </c>
      <c r="CB501" s="398">
        <v>0</v>
      </c>
      <c r="CC501" s="398">
        <v>0</v>
      </c>
      <c r="CD501" s="398">
        <v>0</v>
      </c>
      <c r="CE501" s="400"/>
      <c r="CF501" s="398">
        <v>1</v>
      </c>
      <c r="CG501" s="398">
        <v>0</v>
      </c>
      <c r="CH501" s="398">
        <v>0</v>
      </c>
      <c r="CJ501" s="398">
        <v>0</v>
      </c>
      <c r="CK501" s="398">
        <v>0</v>
      </c>
      <c r="CL501" s="398">
        <v>0</v>
      </c>
      <c r="CN501" s="398">
        <v>0</v>
      </c>
      <c r="CO501" s="398">
        <v>0</v>
      </c>
      <c r="CP501" s="398">
        <v>0</v>
      </c>
      <c r="CR501" s="398">
        <v>0</v>
      </c>
      <c r="CS501" s="398">
        <v>0</v>
      </c>
      <c r="CT501" s="398">
        <v>0</v>
      </c>
      <c r="CV501" s="398">
        <v>0</v>
      </c>
      <c r="CW501" s="398">
        <v>0</v>
      </c>
      <c r="CX501" s="398">
        <v>0</v>
      </c>
      <c r="CZ501" s="398">
        <v>0</v>
      </c>
      <c r="DA501" s="398">
        <v>0</v>
      </c>
      <c r="DB501" s="398">
        <v>0</v>
      </c>
      <c r="DD501" s="398">
        <v>0</v>
      </c>
      <c r="DE501" s="398">
        <v>0</v>
      </c>
      <c r="DF501" s="398">
        <v>0</v>
      </c>
      <c r="DH501" s="398">
        <v>0</v>
      </c>
      <c r="DI501" s="351">
        <f>-AVERAGE(DI945,DH945)</f>
        <v>0</v>
      </c>
      <c r="DJ501" s="351">
        <f>AVERAGE(DH501:DI501)</f>
        <v>0</v>
      </c>
      <c r="DL501" s="351">
        <f>-AVERAGE(DL945,DI945)</f>
        <v>0</v>
      </c>
      <c r="DM501" s="351">
        <f>-AVERAGE(DM945,DL945)</f>
        <v>0</v>
      </c>
      <c r="DN501" s="351">
        <f>AVERAGE(DL501:DM501)</f>
        <v>0</v>
      </c>
      <c r="DP501" s="351">
        <f>-AVERAGE(DP945,DM945)</f>
        <v>0</v>
      </c>
      <c r="DQ501" s="351">
        <f>-AVERAGE(DQ945,DP945)</f>
        <v>0</v>
      </c>
      <c r="DR501" s="351">
        <f>AVERAGE(DP501:DQ501)</f>
        <v>0</v>
      </c>
      <c r="DT501" s="1"/>
      <c r="DU501" s="1"/>
      <c r="DV501" s="1"/>
      <c r="DW501" s="1"/>
      <c r="DX501" s="1"/>
      <c r="DY501" s="1"/>
      <c r="DZ501" s="1"/>
      <c r="EA501" s="1"/>
      <c r="EB501" s="1"/>
      <c r="EC501" s="1"/>
      <c r="ED501" s="1"/>
      <c r="EE501" s="1"/>
      <c r="EF501" s="1"/>
      <c r="EG501" s="1"/>
      <c r="EH501" s="1"/>
      <c r="EI501" s="1"/>
      <c r="EJ501" s="1"/>
      <c r="EK501" s="1"/>
      <c r="EL501" s="1"/>
      <c r="EM501" s="1"/>
      <c r="EN501" s="1"/>
      <c r="EO501" s="1"/>
      <c r="EP501" s="1"/>
      <c r="EQ501" s="1"/>
      <c r="ER501" s="1"/>
      <c r="ES501" s="1"/>
      <c r="ET501" s="1"/>
      <c r="EU501" s="1"/>
      <c r="EV501" s="1"/>
      <c r="EW501" s="1"/>
      <c r="EX501" s="1"/>
      <c r="EY501" s="1"/>
      <c r="EZ501" s="1"/>
      <c r="FA501" s="1"/>
      <c r="FB501" s="1"/>
      <c r="FC501" s="1"/>
      <c r="FD501" s="1"/>
      <c r="FE501" s="1"/>
      <c r="FF501" s="1"/>
      <c r="FG501" s="1"/>
      <c r="FH501" s="1"/>
      <c r="FI501" s="1"/>
      <c r="FJ501" s="1"/>
      <c r="FK501" s="1"/>
      <c r="FL501" s="1"/>
      <c r="FM501" s="1"/>
      <c r="FN501" s="1"/>
      <c r="FO501" s="1"/>
      <c r="FP501" s="1"/>
      <c r="FQ501" s="1"/>
      <c r="FR501" s="1"/>
      <c r="FS501" s="1"/>
      <c r="FT501" s="1"/>
      <c r="FU501" s="1"/>
      <c r="FV501" s="1"/>
      <c r="FW501" s="1"/>
      <c r="FX501" s="1"/>
      <c r="FY501" s="1"/>
      <c r="FZ501" s="1"/>
      <c r="GA501" s="1"/>
      <c r="GB501" s="1"/>
      <c r="GC501" s="1"/>
      <c r="GD501" s="1"/>
      <c r="GE501" s="1"/>
      <c r="GF501" s="1"/>
      <c r="GG501" s="1"/>
      <c r="GH501" s="1"/>
      <c r="GI501" s="1"/>
      <c r="GJ501" s="1"/>
      <c r="GK501" s="1"/>
      <c r="GL501" s="1"/>
      <c r="GM501" s="1"/>
      <c r="GN501" s="1"/>
      <c r="GO501" s="1"/>
      <c r="GP501" s="1"/>
      <c r="GQ501" s="1"/>
      <c r="GR501" s="1"/>
      <c r="GS501" s="1"/>
      <c r="GT501" s="1"/>
      <c r="GU501" s="1"/>
      <c r="GV501" s="1"/>
      <c r="GW501" s="1"/>
      <c r="GX501" s="1"/>
      <c r="GY501" s="1"/>
      <c r="GZ501" s="1"/>
      <c r="HA501" s="1"/>
      <c r="HB501" s="1"/>
      <c r="HC501" s="1"/>
      <c r="HD501" s="1"/>
      <c r="HE501" s="1"/>
      <c r="HF501" s="1"/>
      <c r="HG501" s="1"/>
      <c r="HH501" s="1"/>
      <c r="HI501" s="1"/>
      <c r="HJ501" s="1"/>
      <c r="HK501" s="1"/>
      <c r="HL501" s="1"/>
      <c r="HM501" s="1"/>
      <c r="HN501" s="1"/>
      <c r="HO501" s="1"/>
      <c r="HP501" s="1"/>
      <c r="HQ501" s="1"/>
      <c r="HR501" s="1"/>
      <c r="HS501" s="1"/>
      <c r="HT501" s="1"/>
      <c r="HU501" s="1"/>
      <c r="HV501" s="1"/>
      <c r="HW501" s="1"/>
      <c r="HX501" s="1"/>
      <c r="HY501" s="1"/>
      <c r="HZ501" s="1"/>
      <c r="IA501" s="1"/>
      <c r="IB501" s="1"/>
      <c r="IC501" s="1"/>
      <c r="ID501" s="1"/>
      <c r="IE501" s="1"/>
      <c r="IF501" s="1"/>
      <c r="IG501" s="1"/>
      <c r="IH501" s="1"/>
      <c r="II501" s="1"/>
      <c r="IJ501" s="1"/>
      <c r="IK501" s="1"/>
      <c r="IL501" s="1"/>
      <c r="IM501" s="1"/>
      <c r="IN501" s="1"/>
      <c r="IO501" s="1"/>
      <c r="IP501" s="1"/>
      <c r="IQ501" s="1"/>
      <c r="IR501" s="1"/>
      <c r="IS501" s="1"/>
      <c r="IT501" s="1"/>
      <c r="IU501" s="1"/>
      <c r="IV501" s="1"/>
      <c r="IW501" s="1"/>
      <c r="IX501" s="1"/>
      <c r="IY501" s="1"/>
      <c r="IZ501" s="1"/>
      <c r="JA501" s="1"/>
      <c r="JB501" s="1"/>
      <c r="JC501" s="1"/>
      <c r="JD501" s="1"/>
    </row>
    <row r="502" spans="1:264" s="347" customFormat="1" x14ac:dyDescent="0.2">
      <c r="A502" s="347" t="s">
        <v>431</v>
      </c>
      <c r="B502" s="348"/>
      <c r="BH502" s="398">
        <v>-532</v>
      </c>
      <c r="BI502" s="398">
        <v>-535</v>
      </c>
      <c r="BJ502" s="351">
        <f>AVERAGE(BH502:BI502)</f>
        <v>-533.5</v>
      </c>
      <c r="BK502" s="348"/>
      <c r="BL502" s="398">
        <v>-537</v>
      </c>
      <c r="BM502" s="398">
        <v>-537</v>
      </c>
      <c r="BN502" s="351">
        <f>AVERAGE(BL502:BM502)</f>
        <v>-537</v>
      </c>
      <c r="BO502" s="348"/>
      <c r="BP502" s="398">
        <v>-556</v>
      </c>
      <c r="BQ502" s="398">
        <v>-562</v>
      </c>
      <c r="BR502" s="351">
        <f>AVERAGE(BP502:BQ502)</f>
        <v>-559</v>
      </c>
      <c r="BT502" s="398">
        <v>-558</v>
      </c>
      <c r="BU502" s="398">
        <v>-552</v>
      </c>
      <c r="BV502" s="351">
        <f>AVERAGE(BT502:BU502)</f>
        <v>-555</v>
      </c>
      <c r="BX502" s="398">
        <v>-551</v>
      </c>
      <c r="BY502" s="398">
        <v>-546</v>
      </c>
      <c r="BZ502" s="351">
        <f>AVERAGE(BX502:BY502)</f>
        <v>-548.5</v>
      </c>
      <c r="CB502" s="398">
        <v>-550</v>
      </c>
      <c r="CC502" s="398">
        <v>-554</v>
      </c>
      <c r="CD502" s="351">
        <f>AVERAGE(CB502:CC502)</f>
        <v>-552</v>
      </c>
      <c r="CE502" s="400"/>
      <c r="CF502" s="398">
        <v>-554</v>
      </c>
      <c r="CG502" s="398">
        <v>-304</v>
      </c>
      <c r="CH502" s="399">
        <v>-387</v>
      </c>
      <c r="CJ502" s="398">
        <v>-53</v>
      </c>
      <c r="CK502" s="398">
        <v>-28</v>
      </c>
      <c r="CL502" s="399">
        <v>-37</v>
      </c>
      <c r="CN502" s="398">
        <v>-5</v>
      </c>
      <c r="CO502" s="398">
        <v>-5</v>
      </c>
      <c r="CP502" s="399">
        <v>-5</v>
      </c>
      <c r="CR502" s="398">
        <v>-5</v>
      </c>
      <c r="CS502" s="398">
        <v>-5</v>
      </c>
      <c r="CT502" s="399">
        <v>-5</v>
      </c>
      <c r="CV502" s="398">
        <v>-5</v>
      </c>
      <c r="CW502" s="398">
        <v>-5</v>
      </c>
      <c r="CX502" s="399">
        <v>-5</v>
      </c>
      <c r="CZ502" s="398">
        <v>-5</v>
      </c>
      <c r="DA502" s="398">
        <v>-2</v>
      </c>
      <c r="DB502" s="399">
        <v>-3</v>
      </c>
      <c r="DD502" s="398">
        <v>0</v>
      </c>
      <c r="DE502" s="398">
        <v>0</v>
      </c>
      <c r="DF502" s="399">
        <v>0</v>
      </c>
      <c r="DH502" s="398">
        <v>0</v>
      </c>
      <c r="DI502" s="351">
        <f>-AVERAGE(DI946,DH946)</f>
        <v>0</v>
      </c>
      <c r="DJ502" s="351">
        <f>AVERAGE(DH502:DI502)</f>
        <v>0</v>
      </c>
      <c r="DL502" s="351">
        <f>-AVERAGE(DL946,DI946)</f>
        <v>0</v>
      </c>
      <c r="DM502" s="351">
        <f>-AVERAGE(DM946,DL946)</f>
        <v>0</v>
      </c>
      <c r="DN502" s="351">
        <f>AVERAGE(DL502:DM502)</f>
        <v>0</v>
      </c>
      <c r="DP502" s="351">
        <f>-AVERAGE(DP946,DM946)</f>
        <v>0</v>
      </c>
      <c r="DQ502" s="351">
        <f>-AVERAGE(DQ946,DP946)</f>
        <v>0</v>
      </c>
      <c r="DR502" s="351">
        <f>AVERAGE(DP502:DQ502)</f>
        <v>0</v>
      </c>
    </row>
    <row r="503" spans="1:264" s="347" customFormat="1" x14ac:dyDescent="0.2">
      <c r="A503" s="411" t="s">
        <v>432</v>
      </c>
      <c r="B503" s="348"/>
      <c r="BH503" s="397">
        <f>SUM(BH500:BH502)</f>
        <v>40965</v>
      </c>
      <c r="BI503" s="397">
        <f>SUM(BI500:BI502)</f>
        <v>43015</v>
      </c>
      <c r="BJ503" s="397">
        <f>SUM(BJ500:BJ502)</f>
        <v>41990</v>
      </c>
      <c r="BK503" s="348"/>
      <c r="BL503" s="397">
        <f>SUM(BL500:BL502)</f>
        <v>44812</v>
      </c>
      <c r="BM503" s="397">
        <f>SUM(BM500:BM502)</f>
        <v>46869</v>
      </c>
      <c r="BN503" s="397">
        <f>SUM(BN500:BN502)</f>
        <v>45831</v>
      </c>
      <c r="BO503" s="348"/>
      <c r="BP503" s="397">
        <f>SUM(BP500:BP502)</f>
        <v>48694</v>
      </c>
      <c r="BQ503" s="397">
        <f>SUM(BQ500:BQ502)</f>
        <v>50511</v>
      </c>
      <c r="BR503" s="397">
        <f>SUM(BR500:BR502)</f>
        <v>49626</v>
      </c>
      <c r="BT503" s="397">
        <f>SUM(BT500:BT502)</f>
        <v>54739</v>
      </c>
      <c r="BU503" s="397">
        <f>SUM(BU500:BU502)</f>
        <v>58116</v>
      </c>
      <c r="BV503" s="397">
        <f>SUM(BV500:BV502)</f>
        <v>56505.5</v>
      </c>
      <c r="BX503" s="397">
        <f>SUM(BX500:BX502)</f>
        <v>60581</v>
      </c>
      <c r="BY503" s="397">
        <f>SUM(BY500:BY502)</f>
        <v>62286</v>
      </c>
      <c r="BZ503" s="397">
        <f>SUM(BZ500:BZ502)</f>
        <v>61426.5</v>
      </c>
      <c r="CB503" s="397">
        <f>SUM(CB500:CB502)</f>
        <v>64555</v>
      </c>
      <c r="CC503" s="397">
        <f>SUM(CC500:CC502)</f>
        <v>66093</v>
      </c>
      <c r="CD503" s="397">
        <f>SUM(CD500:CD502)</f>
        <v>65318</v>
      </c>
      <c r="CE503" s="400"/>
      <c r="CF503" s="397">
        <f>SUM(CF500:CF502)</f>
        <v>67186</v>
      </c>
      <c r="CG503" s="397">
        <f>SUM(CG500:CG502)</f>
        <v>68809</v>
      </c>
      <c r="CH503" s="397">
        <f>SUM(CH500:CH502)</f>
        <v>67989</v>
      </c>
      <c r="CJ503" s="397">
        <f>SUM(CJ500:CJ502)</f>
        <v>70275</v>
      </c>
      <c r="CK503" s="397">
        <f>SUM(CK500:CK502)</f>
        <v>71555</v>
      </c>
      <c r="CL503" s="397">
        <f>SUM(CL500:CL502)</f>
        <v>69402</v>
      </c>
      <c r="CN503" s="397">
        <f>SUM(CN500:CN502)</f>
        <v>73424</v>
      </c>
      <c r="CO503" s="397">
        <f>SUM(CO500:CO502)</f>
        <v>76814</v>
      </c>
      <c r="CP503" s="397">
        <f>SUM(CP500:CP502)</f>
        <v>75187</v>
      </c>
      <c r="CR503" s="397">
        <f>SUM(CR500:CR502)</f>
        <v>76670</v>
      </c>
      <c r="CS503" s="397">
        <f>SUM(CS500:CS502)</f>
        <v>73745</v>
      </c>
      <c r="CT503" s="397">
        <f>SUM(CT500:CT502)</f>
        <v>75391</v>
      </c>
      <c r="CV503" s="397">
        <f>SUM(CV500:CV502)</f>
        <v>72498</v>
      </c>
      <c r="CW503" s="397">
        <f>SUM(CW500:CW502)</f>
        <v>71972</v>
      </c>
      <c r="CX503" s="397">
        <f>SUM(CX500:CX502)</f>
        <v>72208</v>
      </c>
      <c r="CZ503" s="397">
        <f>SUM(CZ500:CZ502)</f>
        <v>72231</v>
      </c>
      <c r="DA503" s="397">
        <f>SUM(DA500:DA502)</f>
        <v>72960</v>
      </c>
      <c r="DB503" s="397">
        <f>SUM(DB500:DB502)</f>
        <v>72517</v>
      </c>
      <c r="DD503" s="397">
        <f>SUM(DD500:DD502)</f>
        <v>74176</v>
      </c>
      <c r="DE503" s="397">
        <f>SUM(DE500:DE502)</f>
        <v>77020</v>
      </c>
      <c r="DF503" s="397">
        <f>SUM(DF500:DF502)</f>
        <v>75710</v>
      </c>
      <c r="DH503" s="397">
        <f>SUM(DH500:DH502)</f>
        <v>78004</v>
      </c>
      <c r="DI503" s="397">
        <f ca="1">SUM(DI500:DI502)</f>
        <v>78093.663493840955</v>
      </c>
      <c r="DJ503" s="397">
        <f ca="1">SUM(DJ500:DJ502)</f>
        <v>78048.831746920478</v>
      </c>
      <c r="DL503" s="397">
        <f ca="1">SUM(DL500:DL502)</f>
        <v>79568.859124923358</v>
      </c>
      <c r="DM503" s="397">
        <f ca="1">SUM(DM500:DM502)</f>
        <v>80961.143288004212</v>
      </c>
      <c r="DN503" s="397">
        <f ca="1">SUM(DN500:DN502)</f>
        <v>80265.001206463901</v>
      </c>
      <c r="DP503" s="397">
        <f ca="1">SUM(DP500:DP502)</f>
        <v>82289.849379730644</v>
      </c>
      <c r="DQ503" s="397">
        <f ca="1">SUM(DQ500:DQ502)</f>
        <v>83658.844811016228</v>
      </c>
      <c r="DR503" s="397">
        <f ca="1">SUM(DR500:DR502)</f>
        <v>82974.347095373552</v>
      </c>
    </row>
    <row r="504" spans="1:264" s="347" customFormat="1" x14ac:dyDescent="0.2">
      <c r="A504" s="411"/>
      <c r="B504" s="348"/>
      <c r="BH504" s="397"/>
      <c r="BI504" s="397"/>
      <c r="BJ504" s="397"/>
      <c r="BK504" s="348"/>
      <c r="BL504" s="397"/>
      <c r="BM504" s="397"/>
      <c r="BN504" s="397"/>
      <c r="BO504" s="348"/>
      <c r="BP504" s="397"/>
      <c r="BQ504" s="397"/>
      <c r="BR504" s="397"/>
      <c r="BT504" s="397"/>
      <c r="BU504" s="397"/>
      <c r="BV504" s="397"/>
      <c r="BX504" s="397"/>
      <c r="BY504" s="397"/>
      <c r="BZ504" s="397"/>
      <c r="CB504" s="397"/>
      <c r="CC504" s="397"/>
      <c r="CD504" s="397"/>
      <c r="CE504" s="400"/>
      <c r="CF504" s="555">
        <v>67186</v>
      </c>
      <c r="CG504" s="555">
        <v>68909</v>
      </c>
      <c r="CH504" s="397"/>
      <c r="CJ504" s="555">
        <v>70275</v>
      </c>
      <c r="CK504" s="555">
        <v>71555</v>
      </c>
      <c r="CL504" s="397"/>
      <c r="CN504" s="555">
        <v>73424</v>
      </c>
      <c r="CO504" s="555">
        <v>76814</v>
      </c>
      <c r="CP504" s="397"/>
      <c r="CR504" s="555">
        <v>76670</v>
      </c>
      <c r="CS504" s="555">
        <v>73745</v>
      </c>
      <c r="CT504" s="397"/>
      <c r="CV504" s="555">
        <v>72498</v>
      </c>
      <c r="CW504" s="555">
        <v>71972</v>
      </c>
      <c r="CX504" s="397"/>
      <c r="CZ504" s="555">
        <v>72231</v>
      </c>
      <c r="DA504" s="555">
        <v>72961</v>
      </c>
      <c r="DB504" s="397"/>
      <c r="DD504" s="555">
        <v>74176</v>
      </c>
      <c r="DE504" s="555">
        <v>77020</v>
      </c>
      <c r="DF504" s="397"/>
      <c r="DH504" s="555">
        <v>78004</v>
      </c>
      <c r="DI504" s="397"/>
      <c r="DJ504" s="397"/>
      <c r="DL504" s="397"/>
      <c r="DM504" s="397"/>
      <c r="DN504" s="397"/>
      <c r="DP504" s="397"/>
      <c r="DQ504" s="397"/>
      <c r="DR504" s="397"/>
    </row>
    <row r="505" spans="1:264" s="347" customFormat="1" x14ac:dyDescent="0.2">
      <c r="A505" s="411"/>
      <c r="B505" s="348"/>
      <c r="BH505" s="397"/>
      <c r="BI505" s="397"/>
      <c r="BJ505" s="397"/>
      <c r="BK505" s="348"/>
      <c r="BL505" s="397"/>
      <c r="BM505" s="397"/>
      <c r="BN505" s="397"/>
      <c r="BO505" s="348"/>
      <c r="BP505" s="397"/>
      <c r="BQ505" s="397"/>
      <c r="BR505" s="397"/>
      <c r="BT505" s="397"/>
      <c r="BU505" s="397"/>
      <c r="BV505" s="397"/>
      <c r="BX505" s="397"/>
      <c r="BY505" s="397"/>
      <c r="BZ505" s="397"/>
      <c r="CB505" s="397"/>
      <c r="CC505" s="397"/>
      <c r="CD505" s="397"/>
      <c r="CE505" s="400"/>
      <c r="CF505" s="397"/>
      <c r="CG505" s="556"/>
      <c r="CH505" s="397"/>
      <c r="CJ505" s="397"/>
      <c r="CK505" s="556"/>
      <c r="CL505" s="397"/>
      <c r="CN505" s="397"/>
      <c r="CO505" s="556"/>
      <c r="CP505" s="397"/>
      <c r="CR505" s="397"/>
      <c r="CS505" s="556"/>
      <c r="CT505" s="397"/>
      <c r="CV505" s="397"/>
      <c r="CW505" s="556"/>
      <c r="CX505" s="397"/>
      <c r="CZ505" s="397"/>
      <c r="DA505" s="556"/>
      <c r="DD505" s="397"/>
      <c r="DE505" s="556"/>
      <c r="DH505" s="397"/>
      <c r="DI505" s="397"/>
      <c r="DJ505" s="397"/>
      <c r="DL505" s="397"/>
      <c r="DM505" s="397"/>
      <c r="DN505" s="397"/>
      <c r="DP505" s="397"/>
      <c r="DQ505" s="397"/>
      <c r="DR505" s="397"/>
    </row>
    <row r="506" spans="1:264" s="347" customFormat="1" x14ac:dyDescent="0.2">
      <c r="A506" s="411" t="s">
        <v>433</v>
      </c>
      <c r="B506" s="348"/>
      <c r="BH506" s="397"/>
      <c r="BI506" s="397">
        <f>AVERAGE(BI944,BH944)</f>
        <v>42969</v>
      </c>
      <c r="BJ506" s="397"/>
      <c r="BK506" s="348"/>
      <c r="BL506" s="397">
        <f>AVERAGE(BL944,BI944)</f>
        <v>44811.5</v>
      </c>
      <c r="BM506" s="397">
        <f>AVERAGE(BM944,BL944)</f>
        <v>46717</v>
      </c>
      <c r="BN506" s="397"/>
      <c r="BO506" s="348"/>
      <c r="BP506" s="397">
        <f>AVERAGE(BP944,BM944)</f>
        <v>48704</v>
      </c>
      <c r="BQ506" s="397">
        <f>AVERAGE(BQ944,BP944)</f>
        <v>50514</v>
      </c>
      <c r="BR506" s="397"/>
      <c r="BT506" s="397">
        <f>AVERAGE(BT944,BQ944)</f>
        <v>54831.5</v>
      </c>
      <c r="BU506" s="397">
        <f>AVERAGE(BU944,BT944)</f>
        <v>59092.5</v>
      </c>
      <c r="BV506" s="397"/>
      <c r="BX506" s="397">
        <f>AVERAGE(BX944,BU944)</f>
        <v>60609.5</v>
      </c>
      <c r="BY506" s="397">
        <f>AVERAGE(BY944,BX944)</f>
        <v>62159.5</v>
      </c>
      <c r="BZ506" s="397"/>
      <c r="CB506" s="397">
        <f>AVERAGE(CB944,BY944)</f>
        <v>64325.5</v>
      </c>
      <c r="CC506" s="397">
        <f>AVERAGE(CC944,CB944)</f>
        <v>66421.5</v>
      </c>
      <c r="CD506" s="397"/>
      <c r="CE506" s="400"/>
      <c r="CF506" s="397">
        <f>AVERAGE(CF944,CC944)</f>
        <v>67665.5</v>
      </c>
      <c r="CG506" s="397">
        <f>AVERAGE(CG944,CF944)</f>
        <v>68809.5</v>
      </c>
      <c r="CH506" s="397"/>
      <c r="CJ506" s="397">
        <f>AVERAGE(CJ944,CG944)</f>
        <v>70348</v>
      </c>
      <c r="CK506" s="397">
        <f>AVERAGE(CK944,CJ944)</f>
        <v>71517.5</v>
      </c>
      <c r="CL506" s="397"/>
      <c r="CN506" s="397">
        <f>AVERAGE(CN944,CK944)</f>
        <v>73424</v>
      </c>
      <c r="CO506" s="397">
        <f>AVERAGE(CO944,CN944)</f>
        <v>76814</v>
      </c>
      <c r="CP506" s="397"/>
      <c r="CR506" s="397">
        <f>AVERAGE(CR944,CO944)</f>
        <v>76685.5</v>
      </c>
      <c r="CS506" s="397">
        <f>AVERAGE(CS944,CR944)</f>
        <v>73745.5</v>
      </c>
      <c r="CT506" s="397"/>
      <c r="CV506" s="397">
        <f>AVERAGE(CV944,CS944)</f>
        <v>72574.5</v>
      </c>
      <c r="CW506" s="397">
        <f>AVERAGE(CW944,CV944)</f>
        <v>71972</v>
      </c>
      <c r="CX506" s="397"/>
      <c r="CZ506" s="397">
        <f>AVERAGE(CZ944,CW944)</f>
        <v>72231</v>
      </c>
      <c r="DA506" s="397">
        <f>AVERAGE(DA944,CZ944)</f>
        <v>72961</v>
      </c>
      <c r="DB506" s="397"/>
      <c r="DD506" s="397">
        <f>AVERAGE(DD944,DA944)</f>
        <v>74176</v>
      </c>
      <c r="DE506" s="397">
        <f>AVERAGE(DE944,DD944)</f>
        <v>77020</v>
      </c>
      <c r="DF506" s="397"/>
      <c r="DH506" s="397">
        <f>AVERAGE(DH944,DE944)</f>
        <v>78004</v>
      </c>
      <c r="DI506" s="397">
        <f>AVERAGE(DI944,DH944)</f>
        <v>78078.008424789354</v>
      </c>
      <c r="DJ506" s="397"/>
      <c r="DL506" s="397">
        <f ca="1">AVERAGE(DL944,DI944)</f>
        <v>79547.037140303815</v>
      </c>
      <c r="DM506" s="397">
        <f ca="1">AVERAGE(DM944,DL944)</f>
        <v>80933.084364101611</v>
      </c>
      <c r="DN506" s="397"/>
      <c r="DP506" s="397">
        <f ca="1">AVERAGE(DP944,DM944)</f>
        <v>82256.251176444362</v>
      </c>
      <c r="DQ506" s="397">
        <f ca="1">AVERAGE(DQ944,DP944)</f>
        <v>83621.025491417851</v>
      </c>
      <c r="DR506" s="397"/>
    </row>
    <row r="507" spans="1:264" s="429" customFormat="1" x14ac:dyDescent="0.2">
      <c r="A507" s="429" t="s">
        <v>434</v>
      </c>
      <c r="B507" s="408"/>
      <c r="BH507" s="456"/>
      <c r="BI507" s="456">
        <f>+BI503-BI506</f>
        <v>46</v>
      </c>
      <c r="BJ507" s="456"/>
      <c r="BK507" s="408"/>
      <c r="BL507" s="456">
        <f>+BL503-BL506</f>
        <v>0.5</v>
      </c>
      <c r="BM507" s="456">
        <f>+BM503-BM506</f>
        <v>152</v>
      </c>
      <c r="BN507" s="456"/>
      <c r="BO507" s="408"/>
      <c r="BP507" s="456">
        <f>+BP503-BP506</f>
        <v>-10</v>
      </c>
      <c r="BQ507" s="456">
        <f>+BQ503-BQ506</f>
        <v>-3</v>
      </c>
      <c r="BR507" s="456"/>
      <c r="BT507" s="456">
        <f>+BT503-BT506</f>
        <v>-92.5</v>
      </c>
      <c r="BU507" s="456">
        <f>+BU503-BU506</f>
        <v>-976.5</v>
      </c>
      <c r="BV507" s="456"/>
      <c r="BX507" s="456">
        <f>+BX503-BX506</f>
        <v>-28.5</v>
      </c>
      <c r="BY507" s="456">
        <f>+BY503-BY506</f>
        <v>126.5</v>
      </c>
      <c r="BZ507" s="456"/>
      <c r="CB507" s="456">
        <f>+CB503-CB506</f>
        <v>229.5</v>
      </c>
      <c r="CC507" s="456">
        <f>+CC503-CC506</f>
        <v>-328.5</v>
      </c>
      <c r="CD507" s="456"/>
      <c r="CF507" s="456">
        <f>+CF503-CF506</f>
        <v>-479.5</v>
      </c>
      <c r="CG507" s="456">
        <f>+CG503-CG506</f>
        <v>-0.5</v>
      </c>
      <c r="CH507" s="456"/>
      <c r="CJ507" s="456">
        <f>+CJ503-CJ506</f>
        <v>-73</v>
      </c>
      <c r="CK507" s="456">
        <f>+CK503-CK506</f>
        <v>37.5</v>
      </c>
      <c r="CL507" s="456"/>
      <c r="CN507" s="456">
        <f>+CN503-CN506</f>
        <v>0</v>
      </c>
      <c r="CO507" s="456">
        <f>+CO503-CO506</f>
        <v>0</v>
      </c>
      <c r="CP507" s="456"/>
      <c r="CR507" s="456">
        <f>+CR503-CR506</f>
        <v>-15.5</v>
      </c>
      <c r="CS507" s="456">
        <f>+CS503-CS506</f>
        <v>-0.5</v>
      </c>
      <c r="CT507" s="456"/>
      <c r="CV507" s="456">
        <f>+CV503-CV506</f>
        <v>-76.5</v>
      </c>
      <c r="CW507" s="456">
        <f>+CW503-CW506</f>
        <v>0</v>
      </c>
      <c r="CX507" s="456"/>
      <c r="CZ507" s="456">
        <f>+CZ503-CZ506</f>
        <v>0</v>
      </c>
      <c r="DA507" s="456">
        <f>+DA503-DA506</f>
        <v>-1</v>
      </c>
      <c r="DB507" s="456"/>
      <c r="DD507" s="456">
        <f>+DD503-DD506</f>
        <v>0</v>
      </c>
      <c r="DE507" s="456">
        <f>+DE503-DE506</f>
        <v>0</v>
      </c>
      <c r="DF507" s="456"/>
      <c r="DH507" s="456">
        <f>+DH503-DH506</f>
        <v>0</v>
      </c>
      <c r="DI507" s="456">
        <f ca="1">+DI503-DI506</f>
        <v>15.655069051601458</v>
      </c>
      <c r="DJ507" s="456"/>
      <c r="DL507" s="456">
        <f ca="1">+DL503-DL506</f>
        <v>21.821984619542491</v>
      </c>
      <c r="DM507" s="456">
        <f ca="1">+DM503-DM506</f>
        <v>28.058923902601236</v>
      </c>
      <c r="DN507" s="456"/>
      <c r="DP507" s="456">
        <f ca="1">+DP503-DP506</f>
        <v>33.598203286281205</v>
      </c>
      <c r="DQ507" s="456">
        <f ca="1">+DQ503-DQ506</f>
        <v>37.819319598376751</v>
      </c>
      <c r="DR507" s="456"/>
    </row>
    <row r="508" spans="1:264" s="347" customFormat="1" x14ac:dyDescent="0.2">
      <c r="A508" s="411"/>
      <c r="B508" s="348"/>
      <c r="BH508" s="397"/>
      <c r="BI508" s="397"/>
      <c r="BJ508" s="397"/>
      <c r="BK508" s="348"/>
      <c r="BL508" s="397"/>
      <c r="BM508" s="397"/>
      <c r="BN508" s="397"/>
      <c r="BO508" s="348"/>
      <c r="BP508" s="397"/>
      <c r="BQ508" s="397"/>
      <c r="BR508" s="397"/>
      <c r="BT508" s="397"/>
      <c r="BU508" s="397"/>
      <c r="BV508" s="397"/>
      <c r="BX508" s="397"/>
      <c r="BY508" s="397"/>
      <c r="BZ508" s="397"/>
      <c r="CB508" s="397"/>
      <c r="CC508" s="397"/>
      <c r="CD508" s="397"/>
      <c r="CF508" s="397"/>
      <c r="CG508" s="397"/>
      <c r="CH508" s="397"/>
      <c r="CJ508" s="397"/>
      <c r="CK508" s="397"/>
      <c r="CL508" s="397"/>
      <c r="CN508" s="397"/>
      <c r="CO508" s="397"/>
      <c r="CP508" s="397"/>
      <c r="CR508" s="397"/>
      <c r="CS508" s="397"/>
      <c r="CT508" s="397"/>
      <c r="CV508" s="397"/>
      <c r="CW508" s="397"/>
      <c r="CX508" s="397"/>
      <c r="CZ508" s="397"/>
      <c r="DA508" s="397"/>
      <c r="DB508" s="397"/>
      <c r="DD508" s="397"/>
      <c r="DE508" s="397"/>
      <c r="DF508" s="397"/>
      <c r="DH508" s="397"/>
      <c r="DI508" s="397"/>
      <c r="DJ508" s="397"/>
      <c r="DL508" s="397"/>
      <c r="DM508" s="397"/>
      <c r="DN508" s="397"/>
      <c r="DP508" s="397"/>
      <c r="DQ508" s="397"/>
      <c r="DR508" s="397"/>
    </row>
    <row r="509" spans="1:264" s="347" customFormat="1" ht="13.5" thickBot="1" x14ac:dyDescent="0.25">
      <c r="A509" s="347" t="s">
        <v>435</v>
      </c>
      <c r="B509" s="348"/>
      <c r="BH509" s="393">
        <f>BH488/BH486</f>
        <v>1.1905961469356625</v>
      </c>
      <c r="BI509" s="393">
        <f>BI488/BI486</f>
        <v>1.1862239930768399</v>
      </c>
      <c r="BJ509" s="393">
        <f>BJ488/BJ486</f>
        <v>1.1884093016490609</v>
      </c>
      <c r="BK509" s="348"/>
      <c r="BL509" s="393">
        <f>BL488/BL486</f>
        <v>1.1986313385266048</v>
      </c>
      <c r="BM509" s="393">
        <f>BM488/BM486</f>
        <v>1.2090604606542008</v>
      </c>
      <c r="BN509" s="393">
        <f>BN488/BN486</f>
        <v>1.2038937853724476</v>
      </c>
      <c r="BO509" s="348"/>
      <c r="BP509" s="393">
        <f>BP488/BP486</f>
        <v>1.2063109766544775</v>
      </c>
      <c r="BQ509" s="393">
        <f>BQ488/BQ486</f>
        <v>1.2150090958976481</v>
      </c>
      <c r="BR509" s="393">
        <f>BR488/BR486</f>
        <v>1.2107727718300114</v>
      </c>
      <c r="BT509" s="393">
        <f>BT488/BT486</f>
        <v>1.2279056822720282</v>
      </c>
      <c r="BU509" s="393">
        <f>BU488/BU486</f>
        <v>1.224543843920112</v>
      </c>
      <c r="BV509" s="393">
        <f>BV488/BV486</f>
        <v>1.2262017754452572</v>
      </c>
      <c r="BX509" s="393">
        <f>BX488/BX486</f>
        <v>1.220453537805444</v>
      </c>
      <c r="BY509" s="393">
        <f>BY488/BY486</f>
        <v>1.2341079011161531</v>
      </c>
      <c r="BZ509" s="393">
        <f>BZ488/BZ486</f>
        <v>1.2272823507617392</v>
      </c>
      <c r="CB509" s="393">
        <f>CB488/CB486</f>
        <v>1.2207185639043636</v>
      </c>
      <c r="CC509" s="393">
        <f>CC488/CC486</f>
        <v>1.2203526428277496</v>
      </c>
      <c r="CD509" s="393">
        <f>CD488/CD486</f>
        <v>1.2205358125127694</v>
      </c>
      <c r="CF509" s="393">
        <f>CF488/CF486</f>
        <v>1.2216330138972382</v>
      </c>
      <c r="CG509" s="393">
        <f>CG488/CG486</f>
        <v>1.22295912994025</v>
      </c>
      <c r="CH509" s="393">
        <f>CH488/CH486</f>
        <v>1.2281553808556038</v>
      </c>
      <c r="CJ509" s="393">
        <f>CJ488/CJ486</f>
        <v>1.2294430595753936</v>
      </c>
      <c r="CK509" s="393">
        <f>CK488/CK486</f>
        <v>1.2529194891940139</v>
      </c>
      <c r="CL509" s="393">
        <f>CL488/CL486</f>
        <v>1.2412107146364302</v>
      </c>
      <c r="CN509" s="393">
        <f>CN488/CN486</f>
        <v>1.266943504492323</v>
      </c>
      <c r="CO509" s="393">
        <f>CO488/CO486</f>
        <v>1.2621267538276046</v>
      </c>
      <c r="CP509" s="393">
        <f>CP488/CP486</f>
        <v>1.2645322903520606</v>
      </c>
      <c r="CR509" s="393">
        <f>CR488/CR486</f>
        <v>1.3057833897233693</v>
      </c>
      <c r="CS509" s="393">
        <f>CS488/CS486</f>
        <v>1.3120285568792127</v>
      </c>
      <c r="CT509" s="393">
        <f>CT488/CT486</f>
        <v>1.3089292861312716</v>
      </c>
      <c r="CV509" s="393">
        <f>CV488/CV486</f>
        <v>1.3319453189325325</v>
      </c>
      <c r="CW509" s="393">
        <f>CW488/CW486</f>
        <v>1.324680825958702</v>
      </c>
      <c r="CX509" s="393">
        <f>CX488/CX486</f>
        <v>1.328296284608792</v>
      </c>
      <c r="CZ509" s="393">
        <f>CZ488/CZ486</f>
        <v>1.3415987551881861</v>
      </c>
      <c r="DA509" s="393">
        <f>DA488/DA486</f>
        <v>1.3423951807341616</v>
      </c>
      <c r="DB509" s="393">
        <f>DB488/DB486</f>
        <v>1.3419953373174096</v>
      </c>
      <c r="DD509" s="393">
        <f>DD488/DD486</f>
        <v>1.3032048362244131</v>
      </c>
      <c r="DE509" s="393">
        <f>DE488/DE486</f>
        <v>1.2999851342026496</v>
      </c>
      <c r="DF509" s="393">
        <f>DF488/DF486</f>
        <v>1.3015813919904871</v>
      </c>
      <c r="DH509" s="393">
        <f>DH488/DH486</f>
        <v>1.32175175874115</v>
      </c>
      <c r="DI509" s="393">
        <f>DI488/DI486</f>
        <v>1.32175175874115</v>
      </c>
      <c r="DJ509" s="393">
        <f>DJ488/DJ486</f>
        <v>1.3217517587411498</v>
      </c>
      <c r="DL509" s="393">
        <f>DL488/DL486</f>
        <v>1.32175175874115</v>
      </c>
      <c r="DM509" s="393">
        <f>DM488/DM486</f>
        <v>1.32175175874115</v>
      </c>
      <c r="DN509" s="393">
        <f>DN488/DN486</f>
        <v>1.32175175874115</v>
      </c>
      <c r="DP509" s="393">
        <f>DP488/DP486</f>
        <v>1.3217517587411498</v>
      </c>
      <c r="DQ509" s="393">
        <f>DQ488/DQ486</f>
        <v>1.32175175874115</v>
      </c>
      <c r="DR509" s="393">
        <f>DR488/DR486</f>
        <v>1.32175175874115</v>
      </c>
    </row>
    <row r="510" spans="1:264" s="347" customFormat="1" ht="13.5" thickBot="1" x14ac:dyDescent="0.25">
      <c r="A510" s="557" t="s">
        <v>436</v>
      </c>
      <c r="B510" s="558"/>
      <c r="C510" s="557"/>
      <c r="D510" s="557"/>
      <c r="E510" s="557"/>
      <c r="F510" s="557"/>
      <c r="G510" s="557"/>
      <c r="H510" s="557"/>
      <c r="I510" s="557"/>
      <c r="J510" s="557"/>
      <c r="K510" s="557"/>
      <c r="L510" s="557"/>
      <c r="M510" s="557"/>
      <c r="N510" s="557"/>
      <c r="O510" s="557"/>
      <c r="P510" s="557"/>
      <c r="Q510" s="557"/>
      <c r="R510" s="557"/>
      <c r="S510" s="557"/>
      <c r="T510" s="557"/>
      <c r="U510" s="557"/>
      <c r="V510" s="557"/>
      <c r="W510" s="557"/>
      <c r="X510" s="557"/>
      <c r="Y510" s="557"/>
      <c r="Z510" s="557"/>
      <c r="AA510" s="557"/>
      <c r="AB510" s="557"/>
      <c r="AC510" s="557"/>
      <c r="AD510" s="557"/>
      <c r="AE510" s="557"/>
      <c r="AF510" s="557"/>
      <c r="AG510" s="557"/>
      <c r="AH510" s="557"/>
      <c r="AI510" s="557"/>
      <c r="AJ510" s="557"/>
      <c r="AK510" s="557"/>
      <c r="AL510" s="557"/>
      <c r="AM510" s="557"/>
      <c r="AN510" s="557"/>
      <c r="AO510" s="557"/>
      <c r="AP510" s="557"/>
      <c r="AQ510" s="557"/>
      <c r="AR510" s="557"/>
      <c r="AS510" s="557"/>
      <c r="AT510" s="557"/>
      <c r="AU510" s="557"/>
      <c r="AV510" s="557"/>
      <c r="AW510" s="557"/>
      <c r="AX510" s="557"/>
      <c r="AY510" s="557"/>
      <c r="AZ510" s="557"/>
      <c r="BA510" s="557"/>
      <c r="BB510" s="557"/>
      <c r="BC510" s="557"/>
      <c r="BD510" s="557"/>
      <c r="BE510" s="557"/>
      <c r="BF510" s="557"/>
      <c r="BG510" s="557"/>
      <c r="BH510" s="559">
        <f>+BH487/BH486</f>
        <v>0.19059614693566249</v>
      </c>
      <c r="BI510" s="559">
        <f>+BI487/BI486</f>
        <v>0.18622399307683987</v>
      </c>
      <c r="BJ510" s="559">
        <f>+BJ487/BJ486</f>
        <v>0.18840930164906092</v>
      </c>
      <c r="BK510" s="558"/>
      <c r="BL510" s="559">
        <f>+BL487/BL486</f>
        <v>0.19863133852660467</v>
      </c>
      <c r="BM510" s="559">
        <f>+BM487/BM486</f>
        <v>0.20906046065420075</v>
      </c>
      <c r="BN510" s="559">
        <f>+BN487/BN486</f>
        <v>0.20389378537244754</v>
      </c>
      <c r="BO510" s="558"/>
      <c r="BP510" s="559">
        <f>+BP487/BP486</f>
        <v>0.20631097665447745</v>
      </c>
      <c r="BQ510" s="559">
        <f>+BQ487/BQ486</f>
        <v>0.21500909589764797</v>
      </c>
      <c r="BR510" s="559">
        <f>+BR487/BR486</f>
        <v>0.21077277183001134</v>
      </c>
      <c r="BS510" s="557"/>
      <c r="BT510" s="559">
        <f>+BT487/BT486</f>
        <v>0.22790568227202829</v>
      </c>
      <c r="BU510" s="559">
        <f>+BU487/BU486</f>
        <v>0.22454384392011187</v>
      </c>
      <c r="BV510" s="559">
        <f>+BV487/BV486</f>
        <v>0.2262017754452571</v>
      </c>
      <c r="BW510" s="557"/>
      <c r="BX510" s="559">
        <f>+BX487/BX486</f>
        <v>0.22045353780544405</v>
      </c>
      <c r="BY510" s="559">
        <f>+BY487/BY486</f>
        <v>0.23410790111615309</v>
      </c>
      <c r="BZ510" s="559">
        <f>+BZ487/BZ486</f>
        <v>0.22728235076173925</v>
      </c>
      <c r="CA510" s="557"/>
      <c r="CB510" s="559">
        <f>+CB487/CB486</f>
        <v>0.22071856390436351</v>
      </c>
      <c r="CC510" s="559">
        <f>+CC487/CC486</f>
        <v>0.22035264282774952</v>
      </c>
      <c r="CD510" s="559">
        <f>+CD487/CD486</f>
        <v>0.22053581251276952</v>
      </c>
      <c r="CE510" s="557"/>
      <c r="CF510" s="559">
        <f>+CF487/CF486</f>
        <v>0.22163301389723825</v>
      </c>
      <c r="CG510" s="559">
        <f>+CG487/CG486</f>
        <v>0.22295912994025011</v>
      </c>
      <c r="CH510" s="559">
        <f>+CH487/CH486</f>
        <v>0.22815538085560383</v>
      </c>
      <c r="CI510" s="557"/>
      <c r="CJ510" s="559">
        <f>+CJ487/CJ486</f>
        <v>0.22944305957539357</v>
      </c>
      <c r="CK510" s="559">
        <f>+CK487/CK486</f>
        <v>0.2529194891940138</v>
      </c>
      <c r="CL510" s="559">
        <f>+CL487/CL486</f>
        <v>0.24121071463643015</v>
      </c>
      <c r="CM510" s="557"/>
      <c r="CN510" s="559">
        <f>+CN487/CN486</f>
        <v>0.2669435044923229</v>
      </c>
      <c r="CO510" s="559">
        <f>+CO487/CO486</f>
        <v>0.26212675382760453</v>
      </c>
      <c r="CP510" s="559">
        <f>+CP487/CP486</f>
        <v>0.26453229035206055</v>
      </c>
      <c r="CQ510" s="557"/>
      <c r="CR510" s="559">
        <f>+CR487/CR486</f>
        <v>0.30578338972336933</v>
      </c>
      <c r="CS510" s="559">
        <f>+CS487/CS486</f>
        <v>0.31202855687921272</v>
      </c>
      <c r="CT510" s="559">
        <f>+CT487/CT486</f>
        <v>0.30892928613127152</v>
      </c>
      <c r="CU510" s="557"/>
      <c r="CV510" s="559">
        <f>+CV487/CV486</f>
        <v>0.3319453189325326</v>
      </c>
      <c r="CW510" s="559">
        <f>+CW487/CW486</f>
        <v>0.32468082595870207</v>
      </c>
      <c r="CX510" s="559">
        <f>+CX487/CX486</f>
        <v>0.32829628460879201</v>
      </c>
      <c r="CY510" s="557"/>
      <c r="CZ510" s="559">
        <f>+CZ487/CZ486</f>
        <v>0.34159875518818605</v>
      </c>
      <c r="DA510" s="559">
        <f>+DA487/DA486</f>
        <v>0.34239518073416164</v>
      </c>
      <c r="DB510" s="559">
        <f>+DB487/DB486</f>
        <v>0.34199533731740955</v>
      </c>
      <c r="DC510" s="557"/>
      <c r="DD510" s="559">
        <f>+DD487/DD486</f>
        <v>0.30320483622441313</v>
      </c>
      <c r="DE510" s="559">
        <f>+DE487/DE486</f>
        <v>0.29998513420264966</v>
      </c>
      <c r="DF510" s="559">
        <f>+DF487/DF486</f>
        <v>0.30158139199048706</v>
      </c>
      <c r="DG510" s="557"/>
      <c r="DH510" s="559">
        <f>+DH487/DH486</f>
        <v>0.32175175874114997</v>
      </c>
      <c r="DI510" s="561">
        <f>DH510</f>
        <v>0.32175175874114997</v>
      </c>
      <c r="DJ510" s="559">
        <f>+DJ487/DJ486</f>
        <v>0.32175175874115003</v>
      </c>
      <c r="DK510" s="557"/>
      <c r="DL510" s="560">
        <f>DI510</f>
        <v>0.32175175874114997</v>
      </c>
      <c r="DM510" s="561">
        <f>DL510</f>
        <v>0.32175175874114997</v>
      </c>
      <c r="DN510" s="559">
        <f>+DN487/DN486</f>
        <v>0.32175175874114997</v>
      </c>
      <c r="DO510" s="557"/>
      <c r="DP510" s="560">
        <f>DM510</f>
        <v>0.32175175874114997</v>
      </c>
      <c r="DQ510" s="561">
        <f>DP510</f>
        <v>0.32175175874114997</v>
      </c>
      <c r="DR510" s="559">
        <f>+DR487/DR486</f>
        <v>0.32175175874114997</v>
      </c>
      <c r="DS510" s="557"/>
    </row>
    <row r="511" spans="1:264" s="347" customFormat="1" x14ac:dyDescent="0.2">
      <c r="A511" s="347" t="s">
        <v>437</v>
      </c>
      <c r="B511" s="348"/>
      <c r="BH511" s="393">
        <f>BH487/BH488</f>
        <v>0.1600846327499176</v>
      </c>
      <c r="BI511" s="393">
        <f>BI487/BI488</f>
        <v>0.15698889430975863</v>
      </c>
      <c r="BJ511" s="393">
        <f>BJ487/BJ488</f>
        <v>0.15853906679089463</v>
      </c>
      <c r="BK511" s="348"/>
      <c r="BL511" s="393">
        <f>BL487/BL488</f>
        <v>0.16571512202473243</v>
      </c>
      <c r="BM511" s="393">
        <f>BM487/BM488</f>
        <v>0.17291150232560076</v>
      </c>
      <c r="BN511" s="393">
        <f>BN487/BN488</f>
        <v>0.1693619386110288</v>
      </c>
      <c r="BO511" s="348"/>
      <c r="BP511" s="393">
        <f>BP487/BP488</f>
        <v>0.17102636106872707</v>
      </c>
      <c r="BQ511" s="393">
        <f>BQ487/BQ488</f>
        <v>0.17696089405717524</v>
      </c>
      <c r="BR511" s="393">
        <f>BR487/BR488</f>
        <v>0.17408119569078248</v>
      </c>
      <c r="BT511" s="393">
        <f>BT487/BT488</f>
        <v>0.18560520206269265</v>
      </c>
      <c r="BU511" s="393">
        <f>BU487/BU488</f>
        <v>0.18336937875681397</v>
      </c>
      <c r="BV511" s="393">
        <f>BV487/BV488</f>
        <v>0.1844735344336938</v>
      </c>
      <c r="BX511" s="393">
        <f>BX487/BX488</f>
        <v>0.18063247061567958</v>
      </c>
      <c r="BY511" s="393">
        <f>BY487/BY488</f>
        <v>0.18969808142741895</v>
      </c>
      <c r="BZ511" s="393">
        <f>BZ487/BZ488</f>
        <v>0.18519157439253614</v>
      </c>
      <c r="CB511" s="393">
        <f>CB487/CB488</f>
        <v>0.1808103607422944</v>
      </c>
      <c r="CC511" s="393">
        <f>CC487/CC488</f>
        <v>0.18056472784551661</v>
      </c>
      <c r="CD511" s="393">
        <f>CD487/CD488</f>
        <v>0.18068770309880786</v>
      </c>
      <c r="CF511" s="393">
        <f>CF487/CF488</f>
        <v>0.18142356286704089</v>
      </c>
      <c r="CG511" s="393">
        <f>CG487/CG488</f>
        <v>0.18231118643445032</v>
      </c>
      <c r="CH511" s="393">
        <f>CH487/CH488</f>
        <v>0.18577077820288312</v>
      </c>
      <c r="CJ511" s="393">
        <f>CJ487/CJ488</f>
        <v>0.18662357543799965</v>
      </c>
      <c r="CK511" s="393">
        <f>CK487/CK488</f>
        <v>0.20186411926333231</v>
      </c>
      <c r="CL511" s="393">
        <f>CL487/CL488</f>
        <v>0.19433502449830567</v>
      </c>
      <c r="CN511" s="393">
        <f>CN487/CN488</f>
        <v>0.21069882243825061</v>
      </c>
      <c r="CO511" s="393">
        <f>CO487/CO488</f>
        <v>0.20768655210949499</v>
      </c>
      <c r="CP511" s="393">
        <f>CP487/CP488</f>
        <v>0.20919378047547657</v>
      </c>
      <c r="CR511" s="393">
        <f>CR487/CR488</f>
        <v>0.23417619808148243</v>
      </c>
      <c r="CS511" s="393">
        <f>CS487/CS488</f>
        <v>0.23782146756119618</v>
      </c>
      <c r="CT511" s="393">
        <f>CT487/CT488</f>
        <v>0.23601678822876396</v>
      </c>
      <c r="CV511" s="393">
        <f>CV487/CV488</f>
        <v>0.24921842827494234</v>
      </c>
      <c r="CW511" s="393">
        <f>CW487/CW488</f>
        <v>0.24510117425737107</v>
      </c>
      <c r="CX511" s="393">
        <f>CX487/CX488</f>
        <v>0.24715591574923465</v>
      </c>
      <c r="CZ511" s="393">
        <f>CZ487/CZ488</f>
        <v>0.25462065603979334</v>
      </c>
      <c r="DA511" s="393">
        <f>DA487/DA488</f>
        <v>0.25506287987930965</v>
      </c>
      <c r="DB511" s="393">
        <f>DB487/DB488</f>
        <v>0.25484092813693626</v>
      </c>
      <c r="DD511" s="393">
        <f>DD487/DD488</f>
        <v>0.23266092006138087</v>
      </c>
      <c r="DE511" s="393">
        <f>DE487/DE488</f>
        <v>0.23076043433884846</v>
      </c>
      <c r="DF511" s="393">
        <f>DF487/DF488</f>
        <v>0.23170382877807094</v>
      </c>
      <c r="DH511" s="393">
        <f>DH487/DH488</f>
        <v>0.24342828115287676</v>
      </c>
      <c r="DI511" s="393">
        <f>DI487/DI488</f>
        <v>0.24342828115287674</v>
      </c>
      <c r="DJ511" s="393">
        <f>DJ487/DJ488</f>
        <v>0.24342828115287679</v>
      </c>
      <c r="DL511" s="393">
        <f>DL487/DL488</f>
        <v>0.24342828115287674</v>
      </c>
      <c r="DM511" s="393">
        <f>DM487/DM488</f>
        <v>0.24342828115287676</v>
      </c>
      <c r="DN511" s="393">
        <f>DN487/DN488</f>
        <v>0.24342828115287674</v>
      </c>
      <c r="DP511" s="393">
        <f>DP487/DP488</f>
        <v>0.24342828115287676</v>
      </c>
      <c r="DQ511" s="393">
        <f>DQ487/DQ488</f>
        <v>0.24342828115287674</v>
      </c>
      <c r="DR511" s="393">
        <f>DR487/DR488</f>
        <v>0.24342828115287676</v>
      </c>
    </row>
    <row r="512" spans="1:264" s="347" customFormat="1" x14ac:dyDescent="0.2">
      <c r="A512" s="347" t="s">
        <v>438</v>
      </c>
      <c r="B512" s="348"/>
      <c r="BH512" s="393">
        <f>BH490/BH486</f>
        <v>1.3225493000095336</v>
      </c>
      <c r="BI512" s="393">
        <f>BI490/BI486</f>
        <v>1.3251866008004904</v>
      </c>
      <c r="BJ512" s="393">
        <f>BJ490/BJ486</f>
        <v>1.3238668387847494</v>
      </c>
      <c r="BK512" s="348"/>
      <c r="BL512" s="393">
        <f>BL490/BL486</f>
        <v>1.3280566917645833</v>
      </c>
      <c r="BM512" s="393">
        <f>BM490/BM486</f>
        <v>1.3365982433218895</v>
      </c>
      <c r="BN512" s="393">
        <f>BN490/BN486</f>
        <v>1.33236617352895</v>
      </c>
      <c r="BO512" s="348"/>
      <c r="BP512" s="393">
        <f>BP490/BP486</f>
        <v>1.3319332873178349</v>
      </c>
      <c r="BQ512" s="393">
        <f>BQ490/BQ486</f>
        <v>1.369419230472908</v>
      </c>
      <c r="BR512" s="393">
        <f>BR490/BR486</f>
        <v>1.3510773252349741</v>
      </c>
      <c r="BT512" s="393">
        <f>BT490/BT486</f>
        <v>1.4297334184515818</v>
      </c>
      <c r="BU512" s="393">
        <f>BU490/BU486</f>
        <v>1.4128216347875044</v>
      </c>
      <c r="BV512" s="393">
        <f>BV490/BV486</f>
        <v>1.4211618868603404</v>
      </c>
      <c r="BX512" s="393">
        <f>BX490/BX486</f>
        <v>1.4192503710777342</v>
      </c>
      <c r="BY512" s="393">
        <f>BY490/BY486</f>
        <v>1.4399001774008515</v>
      </c>
      <c r="BZ512" s="393">
        <f>BZ490/BZ486</f>
        <v>1.4295777132825802</v>
      </c>
      <c r="CB512" s="393">
        <f>CB490/CB486</f>
        <v>1.3926053460787491</v>
      </c>
      <c r="CC512" s="393">
        <f>CC490/CC486</f>
        <v>1.3971724213544983</v>
      </c>
      <c r="CD512" s="393">
        <f>CD490/CD486</f>
        <v>1.3948770483019934</v>
      </c>
      <c r="CF512" s="393">
        <f>CF490/CF486</f>
        <v>1.3830899253863291</v>
      </c>
      <c r="CG512" s="393">
        <f>CG490/CG486</f>
        <v>1.3666566030317286</v>
      </c>
      <c r="CH512" s="393">
        <f>CH490/CH486</f>
        <v>1.374910856985007</v>
      </c>
      <c r="CJ512" s="393">
        <f>CJ490/CJ486</f>
        <v>1.3710050245651604</v>
      </c>
      <c r="CK512" s="393">
        <f>CK490/CK486</f>
        <v>1.3945272355308456</v>
      </c>
      <c r="CL512" s="393">
        <f>CL490/CL486</f>
        <v>1.3827963889899324</v>
      </c>
      <c r="CN512" s="393">
        <f>CN490/CN486</f>
        <v>1.4154530416698126</v>
      </c>
      <c r="CO512" s="393">
        <f>CO490/CO486</f>
        <v>1.4102936124638794</v>
      </c>
      <c r="CP512" s="393">
        <f>CP490/CP486</f>
        <v>1.4147822468340658</v>
      </c>
      <c r="CR512" s="393">
        <f>CR490/CR486</f>
        <v>1.4574393396925405</v>
      </c>
      <c r="CS512" s="393">
        <f>CS490/CS486</f>
        <v>1.4709765379048423</v>
      </c>
      <c r="CT512" s="393">
        <f>CT490/CT486</f>
        <v>1.4642670500750756</v>
      </c>
      <c r="CU512" s="1"/>
      <c r="CV512" s="393">
        <f>CV490/CV486</f>
        <v>1.4864762435220613</v>
      </c>
      <c r="CW512" s="393">
        <f>CW490/CW486</f>
        <v>1.4629545722713864</v>
      </c>
      <c r="CX512" s="393">
        <f>CX490/CX486</f>
        <v>1.4746599633517052</v>
      </c>
      <c r="CZ512" s="393">
        <f>CZ490/CZ486</f>
        <v>1.4848262097338545</v>
      </c>
      <c r="DA512" s="393">
        <f>DA490/DA486</f>
        <v>1.4862061143499907</v>
      </c>
      <c r="DB512" s="393">
        <f>DB490/DB486</f>
        <v>1.4855147245076976</v>
      </c>
      <c r="DD512" s="393">
        <f>DD490/DD486</f>
        <v>1.4534545525471294</v>
      </c>
      <c r="DE512" s="393">
        <f>DE490/DE486</f>
        <v>1.4616784150841249</v>
      </c>
      <c r="DF512" s="393">
        <f>DF490/DF486</f>
        <v>1.4576018394103598</v>
      </c>
      <c r="DH512" s="393">
        <f>DH490/DH486</f>
        <v>1.4738599421028526</v>
      </c>
      <c r="DI512" s="393">
        <f ca="1">DI490/DI486</f>
        <v>1.4794721407021278</v>
      </c>
      <c r="DJ512" s="393">
        <f ca="1">DJ490/DJ486</f>
        <v>1.4767126025868051</v>
      </c>
      <c r="DL512" s="393">
        <f ca="1">DL490/DL486</f>
        <v>1.4795296199863894</v>
      </c>
      <c r="DM512" s="393">
        <f ca="1">DM490/DM486</f>
        <v>1.4795592551801999</v>
      </c>
      <c r="DN512" s="393">
        <f ca="1">DN490/DN486</f>
        <v>1.4795446582523755</v>
      </c>
      <c r="DP512" s="393">
        <f ca="1">DP490/DP486</f>
        <v>1.4795038902783026</v>
      </c>
      <c r="DQ512" s="393">
        <f ca="1">DQ490/DQ486</f>
        <v>1.4793752444735426</v>
      </c>
      <c r="DR512" s="393">
        <f ca="1">DR490/DR486</f>
        <v>1.4794387963077436</v>
      </c>
    </row>
    <row r="513" spans="1:264" s="347" customFormat="1" x14ac:dyDescent="0.2">
      <c r="A513" s="347" t="s">
        <v>439</v>
      </c>
      <c r="B513" s="348"/>
      <c r="BH513" s="393">
        <f>BH490/BH488</f>
        <v>1.1108294810238468</v>
      </c>
      <c r="BI513" s="393">
        <f>BI490/BI488</f>
        <v>1.1171470215867139</v>
      </c>
      <c r="BJ513" s="393">
        <f>BJ490/BJ488</f>
        <v>1.1139822256084035</v>
      </c>
      <c r="BK513" s="348"/>
      <c r="BL513" s="393">
        <f>BL490/BL488</f>
        <v>1.1079776150330529</v>
      </c>
      <c r="BM513" s="393">
        <f>BM490/BM488</f>
        <v>1.1054850330633426</v>
      </c>
      <c r="BN513" s="393">
        <f>BN490/BN488</f>
        <v>1.1067140554403285</v>
      </c>
      <c r="BO513" s="348"/>
      <c r="BP513" s="393">
        <f>BP490/BP488</f>
        <v>1.1041375840015584</v>
      </c>
      <c r="BQ513" s="393">
        <f>BQ490/BQ488</f>
        <v>1.1270855791093333</v>
      </c>
      <c r="BR513" s="393">
        <f>BR490/BR488</f>
        <v>1.1158801689873656</v>
      </c>
      <c r="BT513" s="393">
        <f>BT490/BT488</f>
        <v>1.1643674584240915</v>
      </c>
      <c r="BU513" s="393">
        <f>BU490/BU488</f>
        <v>1.1537534093223336</v>
      </c>
      <c r="BV513" s="393">
        <f>BV490/BV488</f>
        <v>1.158995130588756</v>
      </c>
      <c r="BX513" s="393">
        <f>BX490/BX488</f>
        <v>1.1628876701277431</v>
      </c>
      <c r="BY513" s="393">
        <f>BY490/BY488</f>
        <v>1.1667538763009098</v>
      </c>
      <c r="BZ513" s="393">
        <f>BZ490/BZ488</f>
        <v>1.1648319658432975</v>
      </c>
      <c r="CB513" s="393">
        <f>CB490/CB488</f>
        <v>1.1408078710826026</v>
      </c>
      <c r="CC513" s="393">
        <f>CC490/CC488</f>
        <v>1.1448923633393617</v>
      </c>
      <c r="CD513" s="393">
        <f>CD490/CD488</f>
        <v>1.1428399183390614</v>
      </c>
      <c r="CF513" s="393">
        <f>CF490/CF488</f>
        <v>1.1321648233572315</v>
      </c>
      <c r="CG513" s="393">
        <f>CG490/CG488</f>
        <v>1.1174998162845384</v>
      </c>
      <c r="CH513" s="393">
        <f>CH490/CH488</f>
        <v>1.1194925971233094</v>
      </c>
      <c r="CJ513" s="393">
        <f>CJ490/CJ488</f>
        <v>1.1151431649373476</v>
      </c>
      <c r="CK513" s="393">
        <f>CK490/CK488</f>
        <v>1.1130222233416818</v>
      </c>
      <c r="CL513" s="393">
        <f>CL490/CL488</f>
        <v>1.1140706188594052</v>
      </c>
      <c r="CN513" s="393">
        <f>CN490/CN488</f>
        <v>1.117218752573343</v>
      </c>
      <c r="CO513" s="393">
        <f>CO490/CO488</f>
        <v>1.1173945946292119</v>
      </c>
      <c r="CP513" s="393">
        <f>CP490/CP488</f>
        <v>1.1188186000692588</v>
      </c>
      <c r="CR513" s="393">
        <f>CR490/CR488</f>
        <v>1.1161417361889552</v>
      </c>
      <c r="CS513" s="393">
        <f>CS490/CS488</f>
        <v>1.1211467389122252</v>
      </c>
      <c r="CT513" s="393">
        <f>CT490/CT488</f>
        <v>1.1186754438071496</v>
      </c>
      <c r="CU513" s="1"/>
      <c r="CV513" s="393">
        <f>CV490/CV488</f>
        <v>1.1160189704434527</v>
      </c>
      <c r="CW513" s="393">
        <f>CW490/CW488</f>
        <v>1.1043826887224797</v>
      </c>
      <c r="CX513" s="393">
        <f>CX490/CX488</f>
        <v>1.1101890296907817</v>
      </c>
      <c r="CZ513" s="393">
        <f>CZ490/CZ488</f>
        <v>1.1067587861063406</v>
      </c>
      <c r="DA513" s="393">
        <f>DA490/DA488</f>
        <v>1.1071301027296436</v>
      </c>
      <c r="DB513" s="393">
        <f>DB490/DB488</f>
        <v>1.1069447733530708</v>
      </c>
      <c r="DD513" s="393">
        <f>DD490/DD488</f>
        <v>1.1152924790841117</v>
      </c>
      <c r="DE513" s="393">
        <f>DE490/DE488</f>
        <v>1.1243808691555925</v>
      </c>
      <c r="DF513" s="393">
        <f>DF490/DF488</f>
        <v>1.1198699123850204</v>
      </c>
      <c r="DH513" s="393">
        <f>DH490/DH488</f>
        <v>1.1150807497366768</v>
      </c>
      <c r="DI513" s="393">
        <f ca="1">DI490/DI488</f>
        <v>1.1193267804774418</v>
      </c>
      <c r="DJ513" s="393">
        <f ca="1">DJ490/DJ488</f>
        <v>1.117238991982308</v>
      </c>
      <c r="DL513" s="393">
        <f ca="1">DL490/DL488</f>
        <v>1.1193702676783337</v>
      </c>
      <c r="DM513" s="393">
        <f ca="1">DM490/DM488</f>
        <v>1.1193926888278534</v>
      </c>
      <c r="DN513" s="393">
        <f ca="1">DN490/DN488</f>
        <v>1.1193816452050791</v>
      </c>
      <c r="DP513" s="393">
        <f ca="1">DP490/DP488</f>
        <v>1.1193508013088611</v>
      </c>
      <c r="DQ513" s="393">
        <f ca="1">DQ490/DQ488</f>
        <v>1.1192534715312312</v>
      </c>
      <c r="DR513" s="393">
        <f ca="1">DR490/DR488</f>
        <v>1.1193015530516686</v>
      </c>
    </row>
    <row r="514" spans="1:264" s="347" customFormat="1" x14ac:dyDescent="0.2">
      <c r="A514" s="347" t="s">
        <v>440</v>
      </c>
      <c r="B514" s="348"/>
      <c r="BH514" s="393">
        <f>BH489/BH488</f>
        <v>0.11082948102384685</v>
      </c>
      <c r="BI514" s="393">
        <f>BI489/BI488</f>
        <v>0.1171470215867139</v>
      </c>
      <c r="BJ514" s="393">
        <f>BJ489/BJ488</f>
        <v>0.11398222560840345</v>
      </c>
      <c r="BK514" s="348"/>
      <c r="BL514" s="393">
        <f>BL489/BL488</f>
        <v>0.10797761503305289</v>
      </c>
      <c r="BM514" s="393">
        <f>BM489/BM488</f>
        <v>0.10548503306334263</v>
      </c>
      <c r="BN514" s="393">
        <f>BN489/BN488</f>
        <v>0.10671405544032857</v>
      </c>
      <c r="BO514" s="348"/>
      <c r="BP514" s="393">
        <f>BP489/BP488</f>
        <v>0.10413758400155829</v>
      </c>
      <c r="BQ514" s="393">
        <f>BQ489/BQ488</f>
        <v>0.12708557910933332</v>
      </c>
      <c r="BR514" s="393">
        <f>BR489/BR488</f>
        <v>0.11588016898736564</v>
      </c>
      <c r="BT514" s="393">
        <f>BT489/BT488</f>
        <v>0.16436745842409156</v>
      </c>
      <c r="BU514" s="393">
        <f>BU489/BU488</f>
        <v>0.15375340932233356</v>
      </c>
      <c r="BV514" s="393">
        <f>BV489/BV488</f>
        <v>0.15899513058875608</v>
      </c>
      <c r="BX514" s="393">
        <f>BX489/BX488</f>
        <v>0.16288767012774313</v>
      </c>
      <c r="BY514" s="393">
        <f>BY489/BY488</f>
        <v>0.16675387630090985</v>
      </c>
      <c r="BZ514" s="393">
        <f>BZ489/BZ488</f>
        <v>0.16483196584329751</v>
      </c>
      <c r="CB514" s="393">
        <f>CB489/CB488</f>
        <v>0.14080787108260268</v>
      </c>
      <c r="CC514" s="393">
        <f>CC489/CC488</f>
        <v>0.14489236333936176</v>
      </c>
      <c r="CD514" s="393">
        <f>CD489/CD488</f>
        <v>0.14283991833906146</v>
      </c>
      <c r="CF514" s="393">
        <f>CF489/CF488</f>
        <v>0.13216482335723151</v>
      </c>
      <c r="CG514" s="393">
        <f>CG489/CG488</f>
        <v>0.11749981628453851</v>
      </c>
      <c r="CH514" s="393">
        <f>CH489/CH488</f>
        <v>0.11949259712330937</v>
      </c>
      <c r="CJ514" s="393">
        <f>CJ489/CJ488</f>
        <v>0.11514316493734762</v>
      </c>
      <c r="CK514" s="393">
        <f>CK489/CK488</f>
        <v>0.11302222334168183</v>
      </c>
      <c r="CL514" s="393">
        <f>CL489/CL488</f>
        <v>0.11407061885940524</v>
      </c>
      <c r="CN514" s="393">
        <f>CN489/CN488</f>
        <v>0.11721875257334298</v>
      </c>
      <c r="CO514" s="393">
        <f>CO489/CO488</f>
        <v>0.11739459462921197</v>
      </c>
      <c r="CP514" s="393">
        <f>CP489/CP488</f>
        <v>0.11881860006925878</v>
      </c>
      <c r="CR514" s="393">
        <f>CR489/CR488</f>
        <v>0.11614173618895514</v>
      </c>
      <c r="CS514" s="393">
        <f>CS489/CS488</f>
        <v>0.12114673891222509</v>
      </c>
      <c r="CT514" s="393">
        <f>CT489/CT488</f>
        <v>0.1186754438071496</v>
      </c>
      <c r="CU514" s="1"/>
      <c r="CV514" s="393">
        <f>CV489/CV488</f>
        <v>0.11601897044345275</v>
      </c>
      <c r="CW514" s="393">
        <f>CW489/CW488</f>
        <v>0.10438268872247959</v>
      </c>
      <c r="CX514" s="393">
        <f>CX489/CX488</f>
        <v>0.11018902969078176</v>
      </c>
      <c r="CZ514" s="393">
        <f>CZ489/CZ488</f>
        <v>0.10675878610634063</v>
      </c>
      <c r="DA514" s="393">
        <f>DA489/DA488</f>
        <v>0.10713010272964352</v>
      </c>
      <c r="DB514" s="393">
        <f>DB489/DB488</f>
        <v>0.10694477335307076</v>
      </c>
      <c r="DD514" s="393">
        <f>DD489/DD488</f>
        <v>0.11529247908411168</v>
      </c>
      <c r="DE514" s="393">
        <f>DE489/DE488</f>
        <v>0.12438086915559257</v>
      </c>
      <c r="DF514" s="393">
        <f>DF489/DF488</f>
        <v>0.11986991238502051</v>
      </c>
      <c r="DH514" s="393">
        <f>DH489/DH488</f>
        <v>0.11508074973667683</v>
      </c>
      <c r="DI514" s="393">
        <f ca="1">DI489/DI488</f>
        <v>0.11932678047744184</v>
      </c>
      <c r="DJ514" s="393">
        <f ca="1">DJ489/DJ488</f>
        <v>0.11723899198230799</v>
      </c>
      <c r="DL514" s="393">
        <f ca="1">DL489/DL488</f>
        <v>0.1193702676783337</v>
      </c>
      <c r="DM514" s="393">
        <f ca="1">DM489/DM488</f>
        <v>0.11939268882785332</v>
      </c>
      <c r="DN514" s="393">
        <f ca="1">DN489/DN488</f>
        <v>0.11938164520507913</v>
      </c>
      <c r="DP514" s="393">
        <f ca="1">DP489/DP488</f>
        <v>0.11935080130886111</v>
      </c>
      <c r="DQ514" s="393">
        <f ca="1">DQ489/DQ488</f>
        <v>0.11925347153123118</v>
      </c>
      <c r="DR514" s="393">
        <f ca="1">DR489/DR488</f>
        <v>0.11930155305166862</v>
      </c>
    </row>
    <row r="515" spans="1:264" s="347" customFormat="1" x14ac:dyDescent="0.2">
      <c r="A515" s="347" t="s">
        <v>441</v>
      </c>
      <c r="B515" s="348"/>
      <c r="BH515" s="393">
        <f>BH489/BH490</f>
        <v>9.9771821793652599E-2</v>
      </c>
      <c r="BI515" s="393">
        <f>BI489/BI490</f>
        <v>0.1048626718982134</v>
      </c>
      <c r="BJ515" s="393">
        <f>BJ489/BJ490</f>
        <v>0.10231960886642678</v>
      </c>
      <c r="BK515" s="348"/>
      <c r="BL515" s="393">
        <f>BL489/BL490</f>
        <v>9.7454690029844818E-2</v>
      </c>
      <c r="BM515" s="393">
        <f>BM489/BM490</f>
        <v>9.5419684490019224E-2</v>
      </c>
      <c r="BN515" s="393">
        <f>BN489/BN490</f>
        <v>9.6424234350100682E-2</v>
      </c>
      <c r="BO515" s="348"/>
      <c r="BP515" s="393">
        <f>BP489/BP490</f>
        <v>9.431576780870754E-2</v>
      </c>
      <c r="BQ515" s="393">
        <f>BQ489/BQ490</f>
        <v>0.11275592684786302</v>
      </c>
      <c r="BR515" s="393">
        <f>BR489/BR490</f>
        <v>0.10384642742824626</v>
      </c>
      <c r="BT515" s="393">
        <f>BT489/BT490</f>
        <v>0.14116459304569884</v>
      </c>
      <c r="BU515" s="393">
        <f>BU489/BU490</f>
        <v>0.13326366629125877</v>
      </c>
      <c r="BV515" s="393">
        <f>BV489/BV490</f>
        <v>0.137183605342663</v>
      </c>
      <c r="BX515" s="393">
        <f>BX489/BX490</f>
        <v>0.14007171484572531</v>
      </c>
      <c r="BY515" s="393">
        <f>BY489/BY490</f>
        <v>0.14292121045236061</v>
      </c>
      <c r="BZ515" s="393">
        <f>BZ489/BZ490</f>
        <v>0.1415070762794228</v>
      </c>
      <c r="CB515" s="393">
        <f>CB489/CB490</f>
        <v>0.1234282078970747</v>
      </c>
      <c r="CC515" s="393">
        <f>CC489/CC490</f>
        <v>0.12655544571609104</v>
      </c>
      <c r="CD515" s="393">
        <f>CD489/CD490</f>
        <v>0.12498681227958582</v>
      </c>
      <c r="CF515" s="393">
        <f>CF489/CF490</f>
        <v>0.11673638027837718</v>
      </c>
      <c r="CG515" s="393">
        <f>CG489/CG490</f>
        <v>0.10514526675735993</v>
      </c>
      <c r="CH515" s="393">
        <f>CH489/CH490</f>
        <v>0.10673817533975845</v>
      </c>
      <c r="CJ515" s="393">
        <f>CJ489/CJ490</f>
        <v>0.10325415476479806</v>
      </c>
      <c r="CK515" s="393">
        <f>CK489/CK490</f>
        <v>0.10154534291539086</v>
      </c>
      <c r="CL515" s="393">
        <f>CL489/CL490</f>
        <v>0.10239083315579374</v>
      </c>
      <c r="CN515" s="393">
        <f>CN489/CN490</f>
        <v>0.10492014415560737</v>
      </c>
      <c r="CO515" s="393">
        <f>CO489/CO490</f>
        <v>0.10506100100490225</v>
      </c>
      <c r="CP515" s="393">
        <f>CP489/CP490</f>
        <v>0.10620005786630959</v>
      </c>
      <c r="CR515" s="393">
        <f>CR489/CR490</f>
        <v>0.10405644052476605</v>
      </c>
      <c r="CS515" s="393">
        <f>CS489/CS490</f>
        <v>0.10805609534195836</v>
      </c>
      <c r="CT515" s="393">
        <f>CT489/CT490</f>
        <v>0.10608567879461585</v>
      </c>
      <c r="CV515" s="393">
        <f>CV489/CV490</f>
        <v>0.10395788379596481</v>
      </c>
      <c r="CW515" s="393">
        <f>CW489/CW490</f>
        <v>9.4516773749167241E-2</v>
      </c>
      <c r="CX515" s="393">
        <f>CX489/CX490</f>
        <v>9.9252493714041157E-2</v>
      </c>
      <c r="CZ515" s="393">
        <f>CZ489/CZ490</f>
        <v>9.6460753188981618E-2</v>
      </c>
      <c r="DA515" s="393">
        <f>DA489/DA490</f>
        <v>9.6763788163209435E-2</v>
      </c>
      <c r="DB515" s="393">
        <f>DB489/DB490</f>
        <v>9.6612564535737411E-2</v>
      </c>
      <c r="DD515" s="393">
        <f>DD489/DD490</f>
        <v>0.1033742101253932</v>
      </c>
      <c r="DE515" s="393">
        <f>DE489/DE490</f>
        <v>0.11062165193988253</v>
      </c>
      <c r="DF515" s="393">
        <f>DF489/DF490</f>
        <v>0.10703914004594513</v>
      </c>
      <c r="DH515" s="393">
        <f>DH489/DH490</f>
        <v>0.10320396057761091</v>
      </c>
      <c r="DI515" s="393">
        <f ca="1">DI489/DI490</f>
        <v>0.1066058478709352</v>
      </c>
      <c r="DJ515" s="393">
        <f ca="1">DJ489/DJ490</f>
        <v>0.10493635902761664</v>
      </c>
      <c r="DL515" s="393">
        <f ca="1">DL489/DL490</f>
        <v>0.10664055596716668</v>
      </c>
      <c r="DM515" s="393">
        <f ca="1">DM489/DM490</f>
        <v>0.10665844972855118</v>
      </c>
      <c r="DN515" s="393">
        <f ca="1">DN489/DN490</f>
        <v>0.10664963617766621</v>
      </c>
      <c r="DP515" s="393">
        <f ca="1">DP489/DP490</f>
        <v>0.10662501976083259</v>
      </c>
      <c r="DQ515" s="393">
        <f ca="1">DQ489/DQ490</f>
        <v>0.10654733227504096</v>
      </c>
      <c r="DR515" s="393">
        <f ca="1">DR489/DR490</f>
        <v>0.10658571206874889</v>
      </c>
    </row>
    <row r="516" spans="1:264" s="347" customFormat="1" x14ac:dyDescent="0.2">
      <c r="B516" s="348"/>
      <c r="BH516" s="348"/>
      <c r="BI516" s="348"/>
      <c r="BJ516" s="348"/>
      <c r="BK516" s="348"/>
      <c r="BL516" s="348"/>
      <c r="BM516" s="348"/>
      <c r="BN516" s="348"/>
      <c r="BO516" s="348"/>
      <c r="BP516" s="348"/>
      <c r="BQ516" s="348"/>
      <c r="BR516" s="348"/>
      <c r="BT516" s="348"/>
      <c r="BU516" s="348"/>
      <c r="BV516" s="348"/>
      <c r="BX516" s="348"/>
      <c r="BY516" s="348"/>
      <c r="BZ516" s="348"/>
      <c r="CB516" s="348"/>
      <c r="CC516" s="348"/>
      <c r="CD516" s="348"/>
      <c r="CF516" s="348"/>
      <c r="CG516" s="348"/>
      <c r="CH516" s="348"/>
      <c r="CJ516" s="348"/>
      <c r="CK516" s="348"/>
      <c r="CL516" s="348"/>
      <c r="CN516" s="348"/>
      <c r="CO516" s="348"/>
      <c r="CP516" s="348"/>
      <c r="CR516" s="348"/>
      <c r="CS516" s="348"/>
      <c r="CT516" s="348"/>
      <c r="CV516" s="348"/>
      <c r="CW516" s="348"/>
      <c r="CX516" s="348"/>
      <c r="CZ516" s="348"/>
      <c r="DA516" s="348"/>
      <c r="DB516" s="348"/>
      <c r="DD516" s="348"/>
      <c r="DE516" s="348"/>
      <c r="DF516" s="348"/>
      <c r="DH516" s="348"/>
      <c r="DI516" s="348"/>
      <c r="DJ516" s="348"/>
      <c r="DL516" s="348"/>
      <c r="DM516" s="348"/>
      <c r="DN516" s="348"/>
      <c r="DP516" s="348"/>
      <c r="DQ516" s="348"/>
      <c r="DR516" s="348"/>
    </row>
    <row r="517" spans="1:264" s="347" customFormat="1" x14ac:dyDescent="0.2">
      <c r="A517" s="347" t="s">
        <v>287</v>
      </c>
      <c r="B517" s="348"/>
      <c r="BD517" s="351">
        <f>BD186</f>
        <v>10732</v>
      </c>
      <c r="BE517" s="351">
        <f>BE186</f>
        <v>9717</v>
      </c>
      <c r="BF517" s="351">
        <f>BF186</f>
        <v>9717</v>
      </c>
      <c r="BH517" s="351">
        <f>BH186</f>
        <v>8155</v>
      </c>
      <c r="BI517" s="351">
        <f>BI186</f>
        <v>6063</v>
      </c>
      <c r="BJ517" s="351">
        <f>BJ186</f>
        <v>6063</v>
      </c>
      <c r="BK517" s="348"/>
      <c r="BL517" s="351">
        <f>BL186</f>
        <v>4807</v>
      </c>
      <c r="BM517" s="351">
        <f>BM186</f>
        <v>5027</v>
      </c>
      <c r="BN517" s="351">
        <f>BN186</f>
        <v>5027</v>
      </c>
      <c r="BO517" s="348"/>
      <c r="BP517" s="351">
        <f>BP186</f>
        <v>2026</v>
      </c>
      <c r="BQ517" s="351">
        <f>BQ186</f>
        <v>1944</v>
      </c>
      <c r="BR517" s="351">
        <f>BR186</f>
        <v>1944</v>
      </c>
      <c r="BT517" s="351">
        <f>BT186</f>
        <v>1640</v>
      </c>
      <c r="BU517" s="351">
        <f>BU186</f>
        <v>1431</v>
      </c>
      <c r="BV517" s="351">
        <f>BV186</f>
        <v>1431</v>
      </c>
      <c r="BX517" s="351">
        <f>BX186</f>
        <v>1440</v>
      </c>
      <c r="BY517" s="351">
        <f>BY186</f>
        <v>463</v>
      </c>
      <c r="BZ517" s="351">
        <f>BZ186</f>
        <v>463</v>
      </c>
      <c r="CB517" s="351">
        <f>CB186</f>
        <v>222</v>
      </c>
      <c r="CC517" s="351">
        <f>CC186</f>
        <v>379</v>
      </c>
      <c r="CD517" s="351">
        <f>CD186</f>
        <v>379</v>
      </c>
      <c r="CF517" s="351">
        <f>CF186</f>
        <v>53</v>
      </c>
      <c r="CG517" s="351">
        <f>CG186</f>
        <v>0</v>
      </c>
      <c r="CH517" s="351">
        <f>CH186</f>
        <v>0</v>
      </c>
      <c r="CJ517" s="351">
        <f>CJ186</f>
        <v>0</v>
      </c>
      <c r="CK517" s="351">
        <f>CK186</f>
        <v>0</v>
      </c>
      <c r="CL517" s="351">
        <f>CL186</f>
        <v>0</v>
      </c>
      <c r="CN517" s="351">
        <f>CN186</f>
        <v>0</v>
      </c>
      <c r="CO517" s="351">
        <f>CO186</f>
        <v>0</v>
      </c>
      <c r="CP517" s="351">
        <f>CP186</f>
        <v>0</v>
      </c>
      <c r="CR517" s="351">
        <f>CR186</f>
        <v>0</v>
      </c>
      <c r="CS517" s="351">
        <f>CS186</f>
        <v>0</v>
      </c>
      <c r="CT517" s="351">
        <f>CT186</f>
        <v>0</v>
      </c>
      <c r="CV517" s="351">
        <f>CV186</f>
        <v>0</v>
      </c>
      <c r="CW517" s="351">
        <f>CW186</f>
        <v>0</v>
      </c>
      <c r="CX517" s="351">
        <f>CX186</f>
        <v>0</v>
      </c>
      <c r="CZ517" s="351">
        <f>CZ186</f>
        <v>0</v>
      </c>
      <c r="DA517" s="351">
        <f>DA186</f>
        <v>0</v>
      </c>
      <c r="DB517" s="351">
        <f>DB186</f>
        <v>0</v>
      </c>
      <c r="DD517" s="351">
        <f>DD186</f>
        <v>0</v>
      </c>
      <c r="DE517" s="351">
        <f>DE186</f>
        <v>0</v>
      </c>
      <c r="DF517" s="351">
        <f>DF186</f>
        <v>0</v>
      </c>
      <c r="DH517" s="351">
        <f>DH186</f>
        <v>0</v>
      </c>
      <c r="DI517" s="351">
        <f>DI186</f>
        <v>0</v>
      </c>
      <c r="DJ517" s="351">
        <f>DJ186</f>
        <v>0</v>
      </c>
      <c r="DL517" s="351">
        <f>DL186</f>
        <v>0</v>
      </c>
      <c r="DM517" s="351">
        <f>DM186</f>
        <v>0</v>
      </c>
      <c r="DN517" s="351">
        <f>DN186</f>
        <v>0</v>
      </c>
      <c r="DP517" s="351">
        <f>DP186</f>
        <v>0</v>
      </c>
      <c r="DQ517" s="351">
        <f>DQ186</f>
        <v>0</v>
      </c>
      <c r="DR517" s="351">
        <f>DR186</f>
        <v>0</v>
      </c>
    </row>
    <row r="518" spans="1:264" s="347" customFormat="1" x14ac:dyDescent="0.2">
      <c r="A518" s="429" t="s">
        <v>442</v>
      </c>
      <c r="B518" s="348"/>
      <c r="BH518" s="456">
        <f>AVERAGE(BF517,BH517)</f>
        <v>8936</v>
      </c>
      <c r="BI518" s="456">
        <f>AVERAGE(BH517,BI517)</f>
        <v>7109</v>
      </c>
      <c r="BJ518" s="456">
        <f>AVERAGE(BF517,BJ517)</f>
        <v>7890</v>
      </c>
      <c r="BK518" s="348"/>
      <c r="BL518" s="456">
        <f>AVERAGE(BJ517,BL517)</f>
        <v>5435</v>
      </c>
      <c r="BM518" s="456">
        <f>AVERAGE(BL517,BM517)</f>
        <v>4917</v>
      </c>
      <c r="BN518" s="456">
        <f>AVERAGE(BJ517,BN517)</f>
        <v>5545</v>
      </c>
      <c r="BO518" s="348"/>
      <c r="BP518" s="456">
        <f>AVERAGE(BN517,BP517)</f>
        <v>3526.5</v>
      </c>
      <c r="BQ518" s="456">
        <f>AVERAGE(BP517,BQ517)</f>
        <v>1985</v>
      </c>
      <c r="BR518" s="456">
        <f>AVERAGE(BN517,BR517)</f>
        <v>3485.5</v>
      </c>
      <c r="BT518" s="456">
        <f>AVERAGE(BR517,BT517)</f>
        <v>1792</v>
      </c>
      <c r="BU518" s="456">
        <f>AVERAGE(BT517,BU517)</f>
        <v>1535.5</v>
      </c>
      <c r="BV518" s="456">
        <f>AVERAGE(BR517,BV517)</f>
        <v>1687.5</v>
      </c>
      <c r="BX518" s="456">
        <f>AVERAGE(BV517,BX517)</f>
        <v>1435.5</v>
      </c>
      <c r="BY518" s="456">
        <f>AVERAGE(BX517,BY517)</f>
        <v>951.5</v>
      </c>
      <c r="BZ518" s="456">
        <f>AVERAGE(BV517,BZ517)</f>
        <v>947</v>
      </c>
      <c r="CB518" s="456">
        <f>AVERAGE(BZ517,CB517)</f>
        <v>342.5</v>
      </c>
      <c r="CC518" s="456">
        <f>AVERAGE(CB517,CC517)</f>
        <v>300.5</v>
      </c>
      <c r="CD518" s="456">
        <f>AVERAGE(BZ517,CD517)</f>
        <v>421</v>
      </c>
      <c r="CF518" s="456">
        <f>AVERAGE(CD517,CF517)</f>
        <v>216</v>
      </c>
      <c r="CG518" s="456">
        <f>AVERAGE(CF517,CG517)</f>
        <v>26.5</v>
      </c>
      <c r="CH518" s="456">
        <f>AVERAGE(CD517,CH517)</f>
        <v>189.5</v>
      </c>
      <c r="CJ518" s="456">
        <f>AVERAGE(CH517,CJ517)</f>
        <v>0</v>
      </c>
      <c r="CK518" s="456">
        <f>AVERAGE(CJ517,CK517)</f>
        <v>0</v>
      </c>
      <c r="CL518" s="456">
        <f>AVERAGE(CH517,CL517)</f>
        <v>0</v>
      </c>
      <c r="CN518" s="456">
        <f>AVERAGE(CL517,CN517)</f>
        <v>0</v>
      </c>
      <c r="CO518" s="456">
        <f>AVERAGE(CN517,CO517)</f>
        <v>0</v>
      </c>
      <c r="CP518" s="456">
        <f>AVERAGE(CL517,CP517)</f>
        <v>0</v>
      </c>
      <c r="CR518" s="456">
        <f>AVERAGE(CP517,CR517)</f>
        <v>0</v>
      </c>
      <c r="CS518" s="456">
        <f>AVERAGE(CR517,CS517)</f>
        <v>0</v>
      </c>
      <c r="CT518" s="456">
        <f>AVERAGE(CP517,CT517)</f>
        <v>0</v>
      </c>
      <c r="CV518" s="456">
        <f>AVERAGE(CT517,CV517)</f>
        <v>0</v>
      </c>
      <c r="CW518" s="456">
        <f>AVERAGE(CV517,CW517)</f>
        <v>0</v>
      </c>
      <c r="CX518" s="456">
        <f>AVERAGE(CT517,CX517)</f>
        <v>0</v>
      </c>
      <c r="CZ518" s="456">
        <f>AVERAGE(CX517,CZ517)</f>
        <v>0</v>
      </c>
      <c r="DA518" s="456">
        <f>AVERAGE(CZ517,DA517)</f>
        <v>0</v>
      </c>
      <c r="DB518" s="456">
        <f>AVERAGE(CX517,DB517)</f>
        <v>0</v>
      </c>
      <c r="DD518" s="456">
        <f>AVERAGE(DB517,DD517)</f>
        <v>0</v>
      </c>
      <c r="DE518" s="456">
        <f>AVERAGE(DD517,DE517)</f>
        <v>0</v>
      </c>
      <c r="DF518" s="456">
        <f>AVERAGE(DB517,DF517)</f>
        <v>0</v>
      </c>
      <c r="DH518" s="456">
        <f>AVERAGE(DF517,DH517)</f>
        <v>0</v>
      </c>
      <c r="DI518" s="456">
        <f>AVERAGE(DH517,DI517)</f>
        <v>0</v>
      </c>
      <c r="DJ518" s="456">
        <f>AVERAGE(DF517,DJ517)</f>
        <v>0</v>
      </c>
      <c r="DL518" s="456">
        <f>AVERAGE(DJ517,DL517)</f>
        <v>0</v>
      </c>
      <c r="DM518" s="456">
        <f>AVERAGE(DL517,DM517)</f>
        <v>0</v>
      </c>
      <c r="DN518" s="456">
        <f>AVERAGE(DJ517,DN517)</f>
        <v>0</v>
      </c>
      <c r="DP518" s="456">
        <f>AVERAGE(DN517,DP517)</f>
        <v>0</v>
      </c>
      <c r="DQ518" s="456">
        <f>AVERAGE(DP517,DQ517)</f>
        <v>0</v>
      </c>
      <c r="DR518" s="456">
        <f>AVERAGE(DN517,DR517)</f>
        <v>0</v>
      </c>
    </row>
    <row r="519" spans="1:264" s="411" customFormat="1" x14ac:dyDescent="0.2">
      <c r="A519" s="411" t="s">
        <v>443</v>
      </c>
      <c r="B519" s="423"/>
      <c r="BH519" s="397">
        <f>BH518+BH486</f>
        <v>554372</v>
      </c>
      <c r="BI519" s="397">
        <f>BI518+BI486</f>
        <v>561769</v>
      </c>
      <c r="BJ519" s="397">
        <f>BJ518+BJ486</f>
        <v>557900</v>
      </c>
      <c r="BK519" s="423"/>
      <c r="BL519" s="397">
        <f>BL518+BL486</f>
        <v>581180</v>
      </c>
      <c r="BM519" s="397">
        <f>BM518+BM486</f>
        <v>601156</v>
      </c>
      <c r="BN519" s="397">
        <f>BN518+BN486</f>
        <v>591453</v>
      </c>
      <c r="BO519" s="423"/>
      <c r="BP519" s="397">
        <f>BP518+BP486</f>
        <v>616363.5</v>
      </c>
      <c r="BQ519" s="397">
        <f>BQ518+BQ486</f>
        <v>637986</v>
      </c>
      <c r="BR519" s="397">
        <f>BR518+BR486</f>
        <v>627809.5</v>
      </c>
      <c r="BT519" s="397">
        <f>BT518+BT486</f>
        <v>637770</v>
      </c>
      <c r="BU519" s="397">
        <f>BU518+BU486</f>
        <v>655149.5</v>
      </c>
      <c r="BV519" s="397">
        <f>BV518+BV486</f>
        <v>646483.5</v>
      </c>
      <c r="BW519" s="397"/>
      <c r="BX519" s="397">
        <f>BX518+BX486</f>
        <v>675822.5</v>
      </c>
      <c r="BY519" s="397">
        <f>BY518+BY486</f>
        <v>686968.5</v>
      </c>
      <c r="BZ519" s="397">
        <f>BZ518+BZ486</f>
        <v>681101</v>
      </c>
      <c r="CB519" s="397">
        <f>CB518+CB486</f>
        <v>697900.5</v>
      </c>
      <c r="CC519" s="397">
        <f>CC518+CC486</f>
        <v>702597.5</v>
      </c>
      <c r="CD519" s="397">
        <f>CD518+CD486</f>
        <v>700330</v>
      </c>
      <c r="CF519" s="397">
        <f>CF518+CF486</f>
        <v>707191</v>
      </c>
      <c r="CG519" s="397">
        <f>CG518+CG486</f>
        <v>712161.5</v>
      </c>
      <c r="CH519" s="397">
        <f>CH518+CH486</f>
        <v>709723.5</v>
      </c>
      <c r="CJ519" s="397">
        <f>CJ518+CJ486</f>
        <v>717276</v>
      </c>
      <c r="CK519" s="397">
        <f>CK518+CK486</f>
        <v>728809</v>
      </c>
      <c r="CL519" s="397">
        <f>CL518+CL486</f>
        <v>723011</v>
      </c>
      <c r="CM519" s="428"/>
      <c r="CN519" s="397">
        <f>CN518+CN486</f>
        <v>728465</v>
      </c>
      <c r="CO519" s="397">
        <f>CO518+CO486</f>
        <v>742305</v>
      </c>
      <c r="CP519" s="397">
        <f>CP518+CP486</f>
        <v>735328</v>
      </c>
      <c r="CR519" s="397">
        <f>CR518+CR486</f>
        <v>772004</v>
      </c>
      <c r="CS519" s="397">
        <f>CS518+CS486</f>
        <v>797286</v>
      </c>
      <c r="CT519" s="397">
        <f>CT518+CT486</f>
        <v>784542</v>
      </c>
      <c r="CV519" s="397">
        <f>CV518+CV486</f>
        <v>825880</v>
      </c>
      <c r="CW519" s="397">
        <f>CW518+CW486</f>
        <v>847500</v>
      </c>
      <c r="CX519" s="397">
        <f>CX518+CX486</f>
        <v>836601</v>
      </c>
      <c r="CZ519" s="397">
        <f>CZ518+CZ486</f>
        <v>850249</v>
      </c>
      <c r="DA519" s="397">
        <f>DA518+DA486</f>
        <v>855234</v>
      </c>
      <c r="DB519" s="397">
        <f>DB518+DB486</f>
        <v>852728</v>
      </c>
      <c r="DD519" s="397">
        <f>DD518+DD486</f>
        <v>871589</v>
      </c>
      <c r="DE519" s="397">
        <f>DE518+DE486</f>
        <v>901398</v>
      </c>
      <c r="DF519" s="397">
        <f>DF518+DF486</f>
        <v>886371</v>
      </c>
      <c r="DH519" s="397">
        <f>DH518+DH486</f>
        <v>932343</v>
      </c>
      <c r="DI519" s="397">
        <f>DI518+DI486</f>
        <v>963805.50745847845</v>
      </c>
      <c r="DJ519" s="397">
        <f>DJ518+DJ486</f>
        <v>948074.25372923922</v>
      </c>
      <c r="DL519" s="397">
        <f>DL518+DL486</f>
        <v>994698.74495509511</v>
      </c>
      <c r="DM519" s="397">
        <f>DM518+DM486</f>
        <v>1024773.4648116865</v>
      </c>
      <c r="DN519" s="397">
        <f>DN518+DN486</f>
        <v>1009736.1048833908</v>
      </c>
      <c r="DP519" s="397">
        <f>DP518+DP486</f>
        <v>1052638.4531518826</v>
      </c>
      <c r="DQ519" s="397">
        <f>DQ518+DQ486</f>
        <v>1078181.5716284728</v>
      </c>
      <c r="DR519" s="397">
        <f>DR518+DR486</f>
        <v>1065410.0123901777</v>
      </c>
    </row>
    <row r="520" spans="1:264" s="347" customFormat="1" x14ac:dyDescent="0.2">
      <c r="B520" s="348"/>
      <c r="BH520" s="348"/>
      <c r="BI520" s="348"/>
      <c r="BJ520" s="348"/>
      <c r="BK520" s="348"/>
      <c r="BL520" s="348"/>
      <c r="BM520" s="348"/>
      <c r="BN520" s="348"/>
      <c r="BO520" s="348"/>
      <c r="BP520" s="348"/>
      <c r="BQ520" s="348"/>
      <c r="BR520" s="348"/>
      <c r="BT520" s="348"/>
      <c r="BU520" s="348"/>
      <c r="BV520" s="348"/>
      <c r="BX520" s="348"/>
      <c r="BY520" s="348"/>
      <c r="BZ520" s="348"/>
      <c r="CB520" s="348"/>
      <c r="CC520" s="348"/>
      <c r="CD520" s="348"/>
      <c r="CF520" s="348"/>
      <c r="CG520" s="348"/>
      <c r="CH520" s="348"/>
      <c r="CJ520" s="348"/>
      <c r="CK520" s="348"/>
      <c r="CL520" s="348"/>
      <c r="CN520" s="348"/>
      <c r="CO520" s="348"/>
      <c r="CP520" s="348"/>
      <c r="CR520" s="348"/>
      <c r="CS520" s="348"/>
      <c r="CT520" s="348"/>
      <c r="CV520" s="348"/>
      <c r="CW520" s="348"/>
      <c r="CX520" s="348"/>
      <c r="CZ520" s="348"/>
      <c r="DA520" s="348"/>
      <c r="DB520" s="348"/>
      <c r="DD520" s="348"/>
      <c r="DE520" s="348"/>
      <c r="DF520" s="348"/>
      <c r="DH520" s="348"/>
      <c r="DI520" s="348"/>
      <c r="DJ520" s="348"/>
      <c r="DL520" s="348"/>
      <c r="DM520" s="348"/>
      <c r="DN520" s="348"/>
      <c r="DP520" s="348"/>
      <c r="DQ520" s="348"/>
      <c r="DR520" s="348"/>
    </row>
    <row r="521" spans="1:264" s="347" customFormat="1" x14ac:dyDescent="0.2">
      <c r="A521" s="347" t="s">
        <v>93</v>
      </c>
      <c r="B521" s="348"/>
      <c r="BH521" s="351">
        <f>BH187</f>
        <v>549216</v>
      </c>
      <c r="BI521" s="351">
        <f>BI187</f>
        <v>568821</v>
      </c>
      <c r="BJ521" s="351">
        <f>BI521</f>
        <v>568821</v>
      </c>
      <c r="BK521" s="348"/>
      <c r="BL521" s="351">
        <f>BL187</f>
        <v>591775</v>
      </c>
      <c r="BM521" s="351">
        <f>BM187</f>
        <v>608127</v>
      </c>
      <c r="BN521" s="351">
        <f>BM521</f>
        <v>608127</v>
      </c>
      <c r="BO521" s="348"/>
      <c r="BP521" s="351">
        <f>BP187</f>
        <v>627698</v>
      </c>
      <c r="BQ521" s="351">
        <f>BQ187</f>
        <v>646172</v>
      </c>
      <c r="BR521" s="351">
        <f>BQ521</f>
        <v>646172</v>
      </c>
      <c r="BT521" s="351">
        <f>BT187</f>
        <v>675728</v>
      </c>
      <c r="BU521" s="351">
        <f>BU187</f>
        <v>701730</v>
      </c>
      <c r="BV521" s="351">
        <f>BU521</f>
        <v>701730</v>
      </c>
      <c r="BX521" s="351">
        <f>BX187</f>
        <v>719250</v>
      </c>
      <c r="BY521" s="351">
        <f>BY187</f>
        <v>737002</v>
      </c>
      <c r="BZ521" s="351">
        <f>BY521</f>
        <v>737002</v>
      </c>
      <c r="CB521" s="351">
        <f>CB187</f>
        <v>741318</v>
      </c>
      <c r="CC521" s="351">
        <f>CC187</f>
        <v>748408</v>
      </c>
      <c r="CD521" s="351">
        <f>CC521</f>
        <v>748408</v>
      </c>
      <c r="CF521" s="351">
        <f>CF187</f>
        <v>759463</v>
      </c>
      <c r="CG521" s="351">
        <f>CG187</f>
        <v>761013</v>
      </c>
      <c r="CH521" s="351">
        <f>CG521</f>
        <v>761013</v>
      </c>
      <c r="CJ521" s="351">
        <f>CJ187</f>
        <v>771383</v>
      </c>
      <c r="CK521" s="351">
        <f>CK187</f>
        <v>780108</v>
      </c>
      <c r="CL521" s="351">
        <f>CK521</f>
        <v>780108</v>
      </c>
      <c r="CN521" s="351">
        <f>CN187</f>
        <v>794473</v>
      </c>
      <c r="CO521" s="351">
        <f>CO187</f>
        <v>818266</v>
      </c>
      <c r="CP521" s="351">
        <f>CO521</f>
        <v>818266</v>
      </c>
      <c r="CR521" s="351">
        <f>CR187</f>
        <v>850509</v>
      </c>
      <c r="CS521" s="351">
        <f>CS187</f>
        <v>884963</v>
      </c>
      <c r="CT521" s="351">
        <f>CS521</f>
        <v>884963</v>
      </c>
      <c r="CV521" s="351">
        <f>CV187</f>
        <v>912835</v>
      </c>
      <c r="CW521" s="351">
        <f>CW187</f>
        <v>933251</v>
      </c>
      <c r="CX521" s="351">
        <f>CW521</f>
        <v>933251</v>
      </c>
      <c r="CZ521" s="351">
        <f>CZ187</f>
        <v>928807</v>
      </c>
      <c r="DA521" s="351">
        <f>DA187</f>
        <v>949948</v>
      </c>
      <c r="DB521" s="351">
        <f>DA521</f>
        <v>949948</v>
      </c>
      <c r="DD521" s="351">
        <f>DD187</f>
        <v>977384</v>
      </c>
      <c r="DE521" s="351">
        <f>DE187</f>
        <v>1015883</v>
      </c>
      <c r="DF521" s="351">
        <f>DE521</f>
        <v>1015883</v>
      </c>
      <c r="DH521" s="351">
        <f>DH187</f>
        <v>1048988</v>
      </c>
      <c r="DI521" s="351">
        <f>DI187</f>
        <v>1085563.3850495967</v>
      </c>
      <c r="DJ521" s="351">
        <f>DI521</f>
        <v>1085563.3850495967</v>
      </c>
      <c r="DL521" s="351">
        <f>DL187</f>
        <v>1117407.6161743863</v>
      </c>
      <c r="DM521" s="351">
        <f>DM187</f>
        <v>1152170.2205865183</v>
      </c>
      <c r="DN521" s="351">
        <f>DM521</f>
        <v>1152170.2205865183</v>
      </c>
      <c r="DP521" s="351">
        <f>DP187</f>
        <v>1179120.5333508002</v>
      </c>
      <c r="DQ521" s="351">
        <f>DQ187</f>
        <v>1208740.8652868862</v>
      </c>
      <c r="DR521" s="351">
        <f>DQ521</f>
        <v>1208740.8652868862</v>
      </c>
    </row>
    <row r="522" spans="1:264" s="429" customFormat="1" x14ac:dyDescent="0.2">
      <c r="A522" s="429" t="s">
        <v>444</v>
      </c>
      <c r="B522" s="408"/>
      <c r="BH522" s="408"/>
      <c r="BI522" s="456">
        <f>AVERAGE(BI521,BH521)</f>
        <v>559018.5</v>
      </c>
      <c r="BJ522" s="408"/>
      <c r="BK522" s="408"/>
      <c r="BL522" s="456">
        <f>AVERAGE(BL521,BI521)</f>
        <v>580298</v>
      </c>
      <c r="BM522" s="456">
        <f>AVERAGE(BM521,BL521)</f>
        <v>599951</v>
      </c>
      <c r="BN522" s="408"/>
      <c r="BO522" s="408"/>
      <c r="BP522" s="456">
        <f>AVERAGE(BP521,BM521)</f>
        <v>617912.5</v>
      </c>
      <c r="BQ522" s="456">
        <f>AVERAGE(BQ521,BP521)</f>
        <v>636935</v>
      </c>
      <c r="BR522" s="408"/>
      <c r="BT522" s="456">
        <f>AVERAGE(BT521,BQ521)</f>
        <v>660950</v>
      </c>
      <c r="BU522" s="456">
        <f>AVERAGE(BU521,BT521)</f>
        <v>688729</v>
      </c>
      <c r="BV522" s="408"/>
      <c r="BX522" s="456">
        <f>AVERAGE(BX521,BU521)</f>
        <v>710490</v>
      </c>
      <c r="BY522" s="456">
        <f>AVERAGE(BY521,BX521)</f>
        <v>728126</v>
      </c>
      <c r="BZ522" s="408"/>
      <c r="CB522" s="456">
        <f>AVERAGE(CB521,BY521)</f>
        <v>739160</v>
      </c>
      <c r="CC522" s="456">
        <f>AVERAGE(CC521,CB521)</f>
        <v>744863</v>
      </c>
      <c r="CD522" s="408"/>
      <c r="CF522" s="456">
        <f>AVERAGE(CF521,CC521)</f>
        <v>753935.5</v>
      </c>
      <c r="CG522" s="456">
        <f>AVERAGE(CG521,CF521)</f>
        <v>760238</v>
      </c>
      <c r="CH522" s="408"/>
      <c r="CJ522" s="456">
        <f>AVERAGE(CJ521,CG521)</f>
        <v>766198</v>
      </c>
      <c r="CK522" s="456">
        <f>AVERAGE(CK521,CJ521)</f>
        <v>775745.5</v>
      </c>
      <c r="CL522" s="456">
        <f>AVERAGE(CL521,CH521)</f>
        <v>770560.5</v>
      </c>
      <c r="CN522" s="456">
        <f>AVERAGE(CN521,CK521)</f>
        <v>787290.5</v>
      </c>
      <c r="CO522" s="456">
        <f>AVERAGE(CO521,CN521)</f>
        <v>806369.5</v>
      </c>
      <c r="CP522" s="456">
        <f>AVERAGE(CP521,CL521)</f>
        <v>799187</v>
      </c>
      <c r="CR522" s="456">
        <f>AVERAGE(CR521,CO521)</f>
        <v>834387.5</v>
      </c>
      <c r="CS522" s="456">
        <f>AVERAGE(CS521,CR521)</f>
        <v>867736</v>
      </c>
      <c r="CT522" s="456">
        <f>AVERAGE(CT521,CP521)</f>
        <v>851614.5</v>
      </c>
      <c r="CV522" s="456">
        <f>AVERAGE(CV521,CS521)</f>
        <v>898899</v>
      </c>
      <c r="CW522" s="456">
        <f>AVERAGE(CW521,CV521)</f>
        <v>923043</v>
      </c>
      <c r="CX522" s="456">
        <f>AVERAGE(CX521,CT521)</f>
        <v>909107</v>
      </c>
      <c r="CZ522" s="456">
        <f>AVERAGE(CZ521,CW521)</f>
        <v>931029</v>
      </c>
      <c r="DA522" s="456">
        <f>AVERAGE(DA521,CZ521)</f>
        <v>939377.5</v>
      </c>
      <c r="DB522" s="456">
        <f>AVERAGE(DB521,CX521)</f>
        <v>941599.5</v>
      </c>
      <c r="DD522" s="456">
        <f>AVERAGE(DD521,DA521)</f>
        <v>963666</v>
      </c>
      <c r="DE522" s="456">
        <f>AVERAGE(DE521,DD521)</f>
        <v>996633.5</v>
      </c>
      <c r="DF522" s="456">
        <f>AVERAGE(DF521,DB521)</f>
        <v>982915.5</v>
      </c>
      <c r="DH522" s="456">
        <f>AVERAGE(DH521,DE521)</f>
        <v>1032435.5</v>
      </c>
      <c r="DI522" s="456">
        <f>AVERAGE(DI521,DH521)</f>
        <v>1067275.6925247982</v>
      </c>
      <c r="DJ522" s="456">
        <f>AVERAGE(DJ521,DF521)</f>
        <v>1050723.1925247982</v>
      </c>
      <c r="DL522" s="456">
        <f>AVERAGE(DL521,DI521)</f>
        <v>1101485.5006119916</v>
      </c>
      <c r="DM522" s="456">
        <f>AVERAGE(DM521,DL521)</f>
        <v>1134788.9183804523</v>
      </c>
      <c r="DN522" s="456">
        <f>AVERAGE(DN521,DJ521)</f>
        <v>1118866.8028180576</v>
      </c>
      <c r="DP522" s="456">
        <f>AVERAGE(DP521,DM521)</f>
        <v>1165645.3769686592</v>
      </c>
      <c r="DQ522" s="456">
        <f>AVERAGE(DQ521,DP521)</f>
        <v>1193930.6993188432</v>
      </c>
      <c r="DR522" s="456">
        <f>AVERAGE(DR521,DN521)</f>
        <v>1180455.5429367023</v>
      </c>
      <c r="DT522" s="1"/>
      <c r="DU522" s="1"/>
      <c r="DV522" s="1"/>
      <c r="DW522" s="1"/>
      <c r="DX522" s="1"/>
      <c r="DY522" s="1"/>
      <c r="DZ522" s="1"/>
      <c r="EA522" s="1"/>
      <c r="EB522" s="1"/>
      <c r="EC522" s="1"/>
      <c r="ED522" s="1"/>
      <c r="EE522" s="1"/>
      <c r="EF522" s="1"/>
      <c r="EG522" s="1"/>
      <c r="EH522" s="1"/>
      <c r="EI522" s="1"/>
      <c r="EJ522" s="1"/>
      <c r="EK522" s="1"/>
      <c r="EL522" s="1"/>
      <c r="EM522" s="1"/>
      <c r="EN522" s="1"/>
      <c r="EO522" s="1"/>
      <c r="EP522" s="1"/>
      <c r="EQ522" s="1"/>
      <c r="ER522" s="1"/>
      <c r="ES522" s="1"/>
      <c r="ET522" s="1"/>
      <c r="EU522" s="1"/>
      <c r="EV522" s="1"/>
      <c r="EW522" s="1"/>
      <c r="EX522" s="1"/>
      <c r="EY522" s="1"/>
      <c r="EZ522" s="1"/>
      <c r="FA522" s="1"/>
      <c r="FB522" s="1"/>
      <c r="FC522" s="1"/>
      <c r="FD522" s="1"/>
      <c r="FE522" s="1"/>
      <c r="FF522" s="1"/>
      <c r="FG522" s="1"/>
      <c r="FH522" s="1"/>
      <c r="FI522" s="1"/>
      <c r="FJ522" s="1"/>
      <c r="FK522" s="1"/>
      <c r="FL522" s="1"/>
      <c r="FM522" s="1"/>
      <c r="FN522" s="1"/>
      <c r="FO522" s="1"/>
      <c r="FP522" s="1"/>
      <c r="FQ522" s="1"/>
      <c r="FR522" s="1"/>
      <c r="FS522" s="1"/>
      <c r="FT522" s="1"/>
      <c r="FU522" s="1"/>
      <c r="FV522" s="1"/>
      <c r="FW522" s="1"/>
      <c r="FX522" s="1"/>
      <c r="FY522" s="1"/>
      <c r="FZ522" s="1"/>
      <c r="GA522" s="1"/>
      <c r="GB522" s="1"/>
      <c r="GC522" s="1"/>
      <c r="GD522" s="1"/>
      <c r="GE522" s="1"/>
      <c r="GF522" s="1"/>
      <c r="GG522" s="1"/>
      <c r="GH522" s="1"/>
      <c r="GI522" s="1"/>
      <c r="GJ522" s="1"/>
      <c r="GK522" s="1"/>
      <c r="GL522" s="1"/>
      <c r="GM522" s="1"/>
      <c r="GN522" s="1"/>
      <c r="GO522" s="1"/>
      <c r="GP522" s="1"/>
      <c r="GQ522" s="1"/>
      <c r="GR522" s="1"/>
      <c r="GS522" s="1"/>
      <c r="GT522" s="1"/>
      <c r="GU522" s="1"/>
      <c r="GV522" s="1"/>
      <c r="GW522" s="1"/>
      <c r="GX522" s="1"/>
      <c r="GY522" s="1"/>
      <c r="GZ522" s="1"/>
      <c r="HA522" s="1"/>
      <c r="HB522" s="1"/>
      <c r="HC522" s="1"/>
      <c r="HD522" s="1"/>
      <c r="HE522" s="1"/>
      <c r="HF522" s="1"/>
      <c r="HG522" s="1"/>
      <c r="HH522" s="1"/>
      <c r="HI522" s="1"/>
      <c r="HJ522" s="1"/>
      <c r="HK522" s="1"/>
      <c r="HL522" s="1"/>
      <c r="HM522" s="1"/>
      <c r="HN522" s="1"/>
      <c r="HO522" s="1"/>
      <c r="HP522" s="1"/>
      <c r="HQ522" s="1"/>
      <c r="HR522" s="1"/>
      <c r="HS522" s="1"/>
      <c r="HT522" s="1"/>
      <c r="HU522" s="1"/>
      <c r="HV522" s="1"/>
      <c r="HW522" s="1"/>
      <c r="HX522" s="1"/>
      <c r="HY522" s="1"/>
      <c r="HZ522" s="1"/>
      <c r="IA522" s="1"/>
      <c r="IB522" s="1"/>
      <c r="IC522" s="1"/>
      <c r="ID522" s="1"/>
      <c r="IE522" s="1"/>
      <c r="IF522" s="1"/>
      <c r="IG522" s="1"/>
      <c r="IH522" s="1"/>
      <c r="II522" s="1"/>
      <c r="IJ522" s="1"/>
      <c r="IK522" s="1"/>
      <c r="IL522" s="1"/>
      <c r="IM522" s="1"/>
      <c r="IN522" s="1"/>
      <c r="IO522" s="1"/>
      <c r="IP522" s="1"/>
      <c r="IQ522" s="1"/>
      <c r="IR522" s="1"/>
      <c r="IS522" s="1"/>
      <c r="IT522" s="1"/>
      <c r="IU522" s="1"/>
      <c r="IV522" s="1"/>
      <c r="IW522" s="1"/>
      <c r="IX522" s="1"/>
      <c r="IY522" s="1"/>
      <c r="IZ522" s="1"/>
      <c r="JA522" s="1"/>
      <c r="JB522" s="1"/>
      <c r="JC522" s="1"/>
      <c r="JD522" s="1"/>
    </row>
    <row r="523" spans="1:264" s="347" customFormat="1" x14ac:dyDescent="0.2">
      <c r="A523" s="436" t="s">
        <v>445</v>
      </c>
      <c r="B523" s="437"/>
      <c r="C523" s="436"/>
      <c r="D523" s="436"/>
      <c r="E523" s="436"/>
      <c r="F523" s="436"/>
      <c r="G523" s="436"/>
      <c r="H523" s="436"/>
      <c r="I523" s="436"/>
      <c r="J523" s="436"/>
      <c r="K523" s="436"/>
      <c r="L523" s="436"/>
      <c r="M523" s="436"/>
      <c r="N523" s="436"/>
      <c r="O523" s="436"/>
      <c r="P523" s="436"/>
      <c r="Q523" s="436"/>
      <c r="R523" s="436"/>
      <c r="S523" s="436"/>
      <c r="T523" s="436"/>
      <c r="U523" s="436"/>
      <c r="V523" s="436"/>
      <c r="W523" s="436"/>
      <c r="X523" s="436"/>
      <c r="Y523" s="436"/>
      <c r="Z523" s="436"/>
      <c r="AA523" s="436"/>
      <c r="AB523" s="436"/>
      <c r="AC523" s="436"/>
      <c r="AD523" s="436"/>
      <c r="AE523" s="436"/>
      <c r="AF523" s="436"/>
      <c r="AG523" s="436"/>
      <c r="AH523" s="436"/>
      <c r="AI523" s="436"/>
      <c r="AJ523" s="436"/>
      <c r="AK523" s="436"/>
      <c r="AL523" s="436"/>
      <c r="AM523" s="436"/>
      <c r="AN523" s="436"/>
      <c r="AO523" s="436"/>
      <c r="AP523" s="436"/>
      <c r="AQ523" s="436"/>
      <c r="AR523" s="436"/>
      <c r="AS523" s="436"/>
      <c r="AT523" s="436"/>
      <c r="AU523" s="436"/>
      <c r="AV523" s="436"/>
      <c r="AW523" s="436"/>
      <c r="AX523" s="436"/>
      <c r="AY523" s="436"/>
      <c r="AZ523" s="436"/>
      <c r="BA523" s="436"/>
      <c r="BB523" s="436"/>
      <c r="BC523" s="436"/>
      <c r="BD523" s="436"/>
      <c r="BE523" s="436"/>
      <c r="BF523" s="436"/>
      <c r="BG523" s="436"/>
      <c r="BH523" s="437"/>
      <c r="BI523" s="465">
        <f>+BI486/BI522</f>
        <v>0.99220329917525096</v>
      </c>
      <c r="BJ523" s="437"/>
      <c r="BK523" s="437"/>
      <c r="BL523" s="465">
        <f>+BL486/BL522</f>
        <v>0.99215403120465695</v>
      </c>
      <c r="BM523" s="465">
        <f>+BM486/BM522</f>
        <v>0.99381282804762394</v>
      </c>
      <c r="BN523" s="437"/>
      <c r="BO523" s="466"/>
      <c r="BP523" s="465">
        <f>+BP486/BP522</f>
        <v>0.99178605385066654</v>
      </c>
      <c r="BQ523" s="465">
        <f>+BQ486/BQ522</f>
        <v>0.99853360232990807</v>
      </c>
      <c r="BR523" s="437"/>
      <c r="BS523" s="463"/>
      <c r="BT523" s="465">
        <f>+BT486/BT522</f>
        <v>0.96221801951736141</v>
      </c>
      <c r="BU523" s="465">
        <f>+BU486/BU522</f>
        <v>0.9490147793979925</v>
      </c>
      <c r="BV523" s="437"/>
      <c r="BW523" s="463"/>
      <c r="BX523" s="465">
        <f>+BX486/BX522</f>
        <v>0.94918577319877828</v>
      </c>
      <c r="BY523" s="465">
        <f>+BY486/BY522</f>
        <v>0.94216797642166328</v>
      </c>
      <c r="BZ523" s="437"/>
      <c r="CA523" s="463"/>
      <c r="CB523" s="465">
        <f>+CB486/CB522</f>
        <v>0.94371719248877106</v>
      </c>
      <c r="CC523" s="465">
        <f>+CC486/CC522</f>
        <v>0.94285392078811814</v>
      </c>
      <c r="CD523" s="437"/>
      <c r="CE523" s="463"/>
      <c r="CF523" s="465">
        <f>+CF486/CF522</f>
        <v>0.93771284148312417</v>
      </c>
      <c r="CG523" s="465">
        <f>+CG486/CG522</f>
        <v>0.93672639357674836</v>
      </c>
      <c r="CH523" s="437"/>
      <c r="CI523" s="463"/>
      <c r="CJ523" s="465">
        <f>+CJ486/CJ522</f>
        <v>0.93614966366396157</v>
      </c>
      <c r="CK523" s="465">
        <f>+CK486/CK522</f>
        <v>0.93949497612296817</v>
      </c>
      <c r="CL523" s="437"/>
      <c r="CM523" s="463"/>
      <c r="CN523" s="465">
        <f>+CN486/CN522</f>
        <v>0.92528107477481314</v>
      </c>
      <c r="CO523" s="465">
        <f>+CO486/CO522</f>
        <v>0.92055193059757345</v>
      </c>
      <c r="CP523" s="437"/>
      <c r="CQ523" s="463"/>
      <c r="CR523" s="465">
        <f>+CR486/CR522</f>
        <v>0.9252343785111834</v>
      </c>
      <c r="CS523" s="465">
        <f>+CS486/CS522</f>
        <v>0.91881171231803216</v>
      </c>
      <c r="CT523" s="437"/>
      <c r="CU523" s="463"/>
      <c r="CV523" s="465">
        <f>+CV486/CV522</f>
        <v>0.91876840445923291</v>
      </c>
      <c r="CW523" s="465">
        <f>+CW486/CW522</f>
        <v>0.91815874233378081</v>
      </c>
      <c r="CX523" s="437"/>
      <c r="CY523" s="463"/>
      <c r="CZ523" s="465">
        <f>+CZ486/CZ522</f>
        <v>0.91323578535147665</v>
      </c>
      <c r="DA523" s="465">
        <f>+DA486/DA522</f>
        <v>0.91042631955736641</v>
      </c>
      <c r="DB523" s="437"/>
      <c r="DC523" s="463"/>
      <c r="DD523" s="465">
        <f>+DD486/DD522</f>
        <v>0.90445133479857132</v>
      </c>
      <c r="DE523" s="465">
        <f>+DE486/DE522</f>
        <v>0.90444280670878507</v>
      </c>
      <c r="DF523" s="437"/>
      <c r="DG523" s="463"/>
      <c r="DH523" s="465">
        <f>+DH486/DH522</f>
        <v>0.9030520550678468</v>
      </c>
      <c r="DI523" s="482">
        <f>DH523</f>
        <v>0.9030520550678468</v>
      </c>
      <c r="DJ523" s="465">
        <f>+DJ486/DJ522</f>
        <v>0.90230639284843195</v>
      </c>
      <c r="DK523" s="463"/>
      <c r="DL523" s="482">
        <f>DI523</f>
        <v>0.9030520550678468</v>
      </c>
      <c r="DM523" s="482">
        <f>DL523</f>
        <v>0.9030520550678468</v>
      </c>
      <c r="DN523" s="465">
        <f>+DN486/DN522</f>
        <v>0.90246319073923509</v>
      </c>
      <c r="DO523" s="463"/>
      <c r="DP523" s="482">
        <f>DM523</f>
        <v>0.9030520550678468</v>
      </c>
      <c r="DQ523" s="482">
        <f>DP523</f>
        <v>0.9030520550678468</v>
      </c>
      <c r="DR523" s="465">
        <f>+DR486/DR522</f>
        <v>0.90254141188551862</v>
      </c>
      <c r="DS523" s="463"/>
      <c r="DT523" s="1"/>
      <c r="DU523" s="1"/>
      <c r="DV523" s="1"/>
      <c r="DW523" s="1"/>
      <c r="DX523" s="1"/>
      <c r="DY523" s="1"/>
      <c r="DZ523" s="1"/>
      <c r="EA523" s="1"/>
      <c r="EB523" s="1"/>
      <c r="EC523" s="1"/>
      <c r="ED523" s="1"/>
      <c r="EE523" s="1"/>
      <c r="EF523" s="1"/>
      <c r="EG523" s="1"/>
      <c r="EH523" s="1"/>
      <c r="EI523" s="1"/>
      <c r="EJ523" s="1"/>
      <c r="EK523" s="1"/>
      <c r="EL523" s="1"/>
      <c r="EM523" s="1"/>
      <c r="EN523" s="1"/>
      <c r="EO523" s="1"/>
      <c r="EP523" s="1"/>
      <c r="EQ523" s="1"/>
      <c r="ER523" s="1"/>
      <c r="ES523" s="1"/>
      <c r="ET523" s="1"/>
      <c r="EU523" s="1"/>
      <c r="EV523" s="1"/>
      <c r="EW523" s="1"/>
      <c r="EX523" s="1"/>
      <c r="EY523" s="1"/>
      <c r="EZ523" s="1"/>
      <c r="FA523" s="1"/>
      <c r="FB523" s="1"/>
      <c r="FC523" s="1"/>
      <c r="FD523" s="1"/>
      <c r="FE523" s="1"/>
      <c r="FF523" s="1"/>
      <c r="FG523" s="1"/>
      <c r="FH523" s="1"/>
      <c r="FI523" s="1"/>
      <c r="FJ523" s="1"/>
      <c r="FK523" s="1"/>
      <c r="FL523" s="1"/>
      <c r="FM523" s="1"/>
      <c r="FN523" s="1"/>
      <c r="FO523" s="1"/>
      <c r="FP523" s="1"/>
      <c r="FQ523" s="1"/>
      <c r="FR523" s="1"/>
      <c r="FS523" s="1"/>
      <c r="FT523" s="1"/>
      <c r="FU523" s="1"/>
      <c r="FV523" s="1"/>
      <c r="FW523" s="1"/>
      <c r="FX523" s="1"/>
      <c r="FY523" s="1"/>
      <c r="FZ523" s="1"/>
      <c r="GA523" s="1"/>
      <c r="GB523" s="1"/>
      <c r="GC523" s="1"/>
      <c r="GD523" s="1"/>
      <c r="GE523" s="1"/>
      <c r="GF523" s="1"/>
      <c r="GG523" s="1"/>
      <c r="GH523" s="1"/>
      <c r="GI523" s="1"/>
      <c r="GJ523" s="1"/>
      <c r="GK523" s="1"/>
      <c r="GL523" s="1"/>
      <c r="GM523" s="1"/>
      <c r="GN523" s="1"/>
      <c r="GO523" s="1"/>
      <c r="GP523" s="1"/>
      <c r="GQ523" s="1"/>
      <c r="GR523" s="1"/>
      <c r="GS523" s="1"/>
      <c r="GT523" s="1"/>
      <c r="GU523" s="1"/>
      <c r="GV523" s="1"/>
      <c r="GW523" s="1"/>
      <c r="GX523" s="1"/>
      <c r="GY523" s="1"/>
      <c r="GZ523" s="1"/>
      <c r="HA523" s="1"/>
      <c r="HB523" s="1"/>
      <c r="HC523" s="1"/>
      <c r="HD523" s="1"/>
      <c r="HE523" s="1"/>
      <c r="HF523" s="1"/>
      <c r="HG523" s="1"/>
      <c r="HH523" s="1"/>
      <c r="HI523" s="1"/>
      <c r="HJ523" s="1"/>
      <c r="HK523" s="1"/>
      <c r="HL523" s="1"/>
      <c r="HM523" s="1"/>
      <c r="HN523" s="1"/>
      <c r="HO523" s="1"/>
      <c r="HP523" s="1"/>
      <c r="HQ523" s="1"/>
      <c r="HR523" s="1"/>
      <c r="HS523" s="1"/>
      <c r="HT523" s="1"/>
      <c r="HU523" s="1"/>
      <c r="HV523" s="1"/>
      <c r="HW523" s="1"/>
      <c r="HX523" s="1"/>
      <c r="HY523" s="1"/>
      <c r="HZ523" s="1"/>
      <c r="IA523" s="1"/>
      <c r="IB523" s="1"/>
      <c r="IC523" s="1"/>
      <c r="ID523" s="1"/>
      <c r="IE523" s="1"/>
      <c r="IF523" s="1"/>
      <c r="IG523" s="1"/>
      <c r="IH523" s="1"/>
      <c r="II523" s="1"/>
      <c r="IJ523" s="1"/>
      <c r="IK523" s="1"/>
      <c r="IL523" s="1"/>
      <c r="IM523" s="1"/>
      <c r="IN523" s="1"/>
      <c r="IO523" s="1"/>
      <c r="IP523" s="1"/>
      <c r="IQ523" s="1"/>
      <c r="IR523" s="1"/>
      <c r="IS523" s="1"/>
      <c r="IT523" s="1"/>
      <c r="IU523" s="1"/>
      <c r="IV523" s="1"/>
      <c r="IW523" s="1"/>
      <c r="IX523" s="1"/>
      <c r="IY523" s="1"/>
      <c r="IZ523" s="1"/>
      <c r="JA523" s="1"/>
      <c r="JB523" s="1"/>
      <c r="JC523" s="1"/>
      <c r="JD523" s="1"/>
    </row>
    <row r="524" spans="1:264" s="347" customFormat="1" x14ac:dyDescent="0.2">
      <c r="A524" s="347" t="s">
        <v>446</v>
      </c>
      <c r="B524" s="348"/>
      <c r="BH524" s="397"/>
      <c r="BI524" s="397"/>
      <c r="BJ524" s="397"/>
      <c r="BK524" s="348"/>
      <c r="BL524" s="351">
        <f>AVERAGE(BL185,BI185)</f>
        <v>574863</v>
      </c>
      <c r="BM524" s="351">
        <f>AVERAGE(BM185,BL185)</f>
        <v>595034</v>
      </c>
      <c r="BN524" s="351">
        <f>AVERAGE(BL524,BM524)</f>
        <v>584948.5</v>
      </c>
      <c r="BO524" s="348"/>
      <c r="BP524" s="351">
        <f>AVERAGE(BP185,BM185)</f>
        <v>614386</v>
      </c>
      <c r="BQ524" s="351">
        <f>AVERAGE(BQ185,BP185)</f>
        <v>634950</v>
      </c>
      <c r="BR524" s="351">
        <f>AVERAGE(BP524,BQ524)</f>
        <v>624668</v>
      </c>
      <c r="BT524" s="351">
        <f>AVERAGE(BT185,BQ185)</f>
        <v>659158</v>
      </c>
      <c r="BU524" s="351">
        <f>AVERAGE(BU185,BT185)</f>
        <v>687193.5</v>
      </c>
      <c r="BV524" s="351">
        <f>AVERAGE(BT524,BU524)</f>
        <v>673175.75</v>
      </c>
      <c r="BX524" s="351">
        <f>AVERAGE(BX185,BU185)</f>
        <v>709054.5</v>
      </c>
      <c r="BY524" s="351">
        <f>AVERAGE(BY185,BX185)</f>
        <v>727174.5</v>
      </c>
      <c r="BZ524" s="351">
        <f>AVERAGE(BX524,BY524)</f>
        <v>718114.5</v>
      </c>
      <c r="CB524" s="351">
        <f>AVERAGE(CB185,BY185)</f>
        <v>738817.5</v>
      </c>
      <c r="CC524" s="351">
        <f>AVERAGE(CC185,CB185)</f>
        <v>744562.5</v>
      </c>
      <c r="CD524" s="351">
        <f>AVERAGE(CB524,CC524)</f>
        <v>741690</v>
      </c>
      <c r="CF524" s="351">
        <f>AVERAGE(CF185,CC185)</f>
        <v>753719.5</v>
      </c>
      <c r="CG524" s="351">
        <f>AVERAGE(CG185,CF185)</f>
        <v>760211.5</v>
      </c>
      <c r="CH524" s="351">
        <f>AVERAGE(CF524,CG524)</f>
        <v>756965.5</v>
      </c>
      <c r="CJ524" s="351">
        <f>AVERAGE(CJ185,CG185)</f>
        <v>766198</v>
      </c>
      <c r="CK524" s="351">
        <f>AVERAGE(CK185,CJ185)</f>
        <v>775745.5</v>
      </c>
      <c r="CL524" s="351">
        <f>AVERAGE(CJ524,CK524)</f>
        <v>770971.75</v>
      </c>
      <c r="CN524" s="351">
        <f>AVERAGE(CN185,CK185)</f>
        <v>787290.5</v>
      </c>
      <c r="CO524" s="351">
        <f>AVERAGE(CO185,CN185)</f>
        <v>806369.5</v>
      </c>
      <c r="CP524" s="351">
        <f>AVERAGE(CN524,CO524)</f>
        <v>796830</v>
      </c>
      <c r="CR524" s="351">
        <f>AVERAGE(CR185,CO185)</f>
        <v>834387.5</v>
      </c>
      <c r="CS524" s="351">
        <f>AVERAGE(CS185,CR185)</f>
        <v>867736</v>
      </c>
      <c r="CT524" s="351">
        <f>AVERAGE(CR524,CS524)</f>
        <v>851061.75</v>
      </c>
      <c r="CV524" s="351">
        <f>AVERAGE(CV185,CS185)</f>
        <v>898899</v>
      </c>
      <c r="CW524" s="351">
        <f>AVERAGE(CW185,CV185)</f>
        <v>923043</v>
      </c>
      <c r="CX524" s="351">
        <f>AVERAGE(CV524,CW524)</f>
        <v>910971</v>
      </c>
      <c r="CZ524" s="351">
        <f>AVERAGE(CZ185,CW185)</f>
        <v>931029</v>
      </c>
      <c r="DA524" s="351">
        <f>AVERAGE(DA185,CZ185)</f>
        <v>939377.5</v>
      </c>
      <c r="DB524" s="351">
        <f>AVERAGE(CZ524,DA524)</f>
        <v>935203.25</v>
      </c>
      <c r="DD524" s="351">
        <f>AVERAGE(DD185,DA185)</f>
        <v>963666</v>
      </c>
      <c r="DE524" s="351">
        <f>AVERAGE(DE185,DD185)</f>
        <v>996633.5</v>
      </c>
      <c r="DF524" s="351">
        <f>AVERAGE(DD524,DE524)</f>
        <v>980149.75</v>
      </c>
      <c r="DH524" s="351">
        <f>AVERAGE(DH185,DE185)</f>
        <v>1032435.5</v>
      </c>
      <c r="DI524" s="351">
        <f>AVERAGE(DI185,DH185)</f>
        <v>1067275.6925247982</v>
      </c>
      <c r="DJ524" s="351">
        <f>AVERAGE(DH524,DI524)</f>
        <v>1049855.5962623991</v>
      </c>
      <c r="DL524" s="351">
        <f>AVERAGE(DL185,DI185)</f>
        <v>1101485.5006119916</v>
      </c>
      <c r="DM524" s="351">
        <f>AVERAGE(DM185,DL185)</f>
        <v>1134788.9183804523</v>
      </c>
      <c r="DN524" s="351">
        <f>AVERAGE(DL524,DM524)</f>
        <v>1118137.209496222</v>
      </c>
      <c r="DP524" s="351">
        <f>AVERAGE(DP185,DM185)</f>
        <v>1165645.3769686592</v>
      </c>
      <c r="DQ524" s="351">
        <f>AVERAGE(DQ185,DP185)</f>
        <v>1193930.6993188432</v>
      </c>
      <c r="DR524" s="351">
        <f>AVERAGE(DP524,DQ524)</f>
        <v>1179788.0381437512</v>
      </c>
    </row>
    <row r="525" spans="1:264" s="347" customFormat="1" x14ac:dyDescent="0.2">
      <c r="A525" s="347" t="s">
        <v>423</v>
      </c>
      <c r="B525" s="348"/>
      <c r="BH525" s="397"/>
      <c r="BI525" s="397"/>
      <c r="BJ525" s="397"/>
      <c r="BK525" s="348"/>
      <c r="BL525" s="351">
        <f>BL486</f>
        <v>575745</v>
      </c>
      <c r="BM525" s="351">
        <f>BM486</f>
        <v>596239</v>
      </c>
      <c r="BN525" s="351">
        <f>BN486</f>
        <v>585908</v>
      </c>
      <c r="BO525" s="348"/>
      <c r="BP525" s="351">
        <f>BP486</f>
        <v>612837</v>
      </c>
      <c r="BQ525" s="351">
        <f>BQ486</f>
        <v>636001</v>
      </c>
      <c r="BR525" s="351">
        <f>BR486</f>
        <v>624324</v>
      </c>
      <c r="BT525" s="351">
        <f>BT486</f>
        <v>635978</v>
      </c>
      <c r="BU525" s="351">
        <f>BU486</f>
        <v>653614</v>
      </c>
      <c r="BV525" s="351">
        <f>BV486</f>
        <v>644796</v>
      </c>
      <c r="BX525" s="351">
        <f>BX486</f>
        <v>674387</v>
      </c>
      <c r="BY525" s="351">
        <f>BY486</f>
        <v>686017</v>
      </c>
      <c r="BZ525" s="351">
        <f>BZ486</f>
        <v>680154</v>
      </c>
      <c r="CB525" s="351">
        <f>CB486</f>
        <v>697558</v>
      </c>
      <c r="CC525" s="351">
        <f>CC486</f>
        <v>702297</v>
      </c>
      <c r="CD525" s="351">
        <f>CD486</f>
        <v>699909</v>
      </c>
      <c r="CF525" s="351">
        <f>CF486</f>
        <v>706975</v>
      </c>
      <c r="CG525" s="351">
        <f>CG486</f>
        <v>712135</v>
      </c>
      <c r="CH525" s="351">
        <f>CH486</f>
        <v>709534</v>
      </c>
      <c r="CJ525" s="351">
        <f>CJ486</f>
        <v>717276</v>
      </c>
      <c r="CK525" s="351">
        <f>CK486</f>
        <v>728809</v>
      </c>
      <c r="CL525" s="351">
        <f>CL486</f>
        <v>723011</v>
      </c>
      <c r="CN525" s="351">
        <f>CN486</f>
        <v>728465</v>
      </c>
      <c r="CO525" s="351">
        <f>CO486</f>
        <v>742305</v>
      </c>
      <c r="CP525" s="351">
        <f>CP486</f>
        <v>735328</v>
      </c>
      <c r="CR525" s="351">
        <f>CR486</f>
        <v>772004</v>
      </c>
      <c r="CS525" s="351">
        <f>CS486</f>
        <v>797286</v>
      </c>
      <c r="CT525" s="351">
        <f>CT486</f>
        <v>784542</v>
      </c>
      <c r="CV525" s="351">
        <f>CV486</f>
        <v>825880</v>
      </c>
      <c r="CW525" s="351">
        <f>CW486</f>
        <v>847500</v>
      </c>
      <c r="CX525" s="351">
        <f>CX486</f>
        <v>836601</v>
      </c>
      <c r="CZ525" s="351">
        <f>CZ486</f>
        <v>850249</v>
      </c>
      <c r="DA525" s="351">
        <f>DA486</f>
        <v>855234</v>
      </c>
      <c r="DB525" s="351">
        <f>DB486</f>
        <v>852728</v>
      </c>
      <c r="DD525" s="351">
        <f>DD486</f>
        <v>871589</v>
      </c>
      <c r="DE525" s="351">
        <f>DE486</f>
        <v>901398</v>
      </c>
      <c r="DF525" s="351">
        <f>DF486</f>
        <v>886371</v>
      </c>
      <c r="DH525" s="351">
        <f>DH486</f>
        <v>932343</v>
      </c>
      <c r="DI525" s="351">
        <f>DI486</f>
        <v>963805.50745847845</v>
      </c>
      <c r="DJ525" s="351">
        <f>DJ486</f>
        <v>948074.25372923922</v>
      </c>
      <c r="DL525" s="351">
        <f>DL486</f>
        <v>994698.74495509511</v>
      </c>
      <c r="DM525" s="351">
        <f>DM486</f>
        <v>1024773.4648116865</v>
      </c>
      <c r="DN525" s="351">
        <f>DN486</f>
        <v>1009736.1048833908</v>
      </c>
      <c r="DP525" s="351">
        <f>DP486</f>
        <v>1052638.4531518826</v>
      </c>
      <c r="DQ525" s="351">
        <f>DQ486</f>
        <v>1078181.5716284728</v>
      </c>
      <c r="DR525" s="351">
        <f>DR486</f>
        <v>1065410.0123901777</v>
      </c>
    </row>
    <row r="526" spans="1:264" s="347" customFormat="1" x14ac:dyDescent="0.2">
      <c r="A526" s="347" t="s">
        <v>334</v>
      </c>
      <c r="B526" s="348"/>
      <c r="BH526" s="397"/>
      <c r="BI526" s="397"/>
      <c r="BJ526" s="397"/>
      <c r="BK526" s="348"/>
      <c r="BL526" s="393">
        <f>+BL525/BL524</f>
        <v>1.001534278602032</v>
      </c>
      <c r="BM526" s="393">
        <f>+BM525/BM524</f>
        <v>1.0020250943643556</v>
      </c>
      <c r="BN526" s="393">
        <f>+BN525/BN524</f>
        <v>1.0016403153440003</v>
      </c>
      <c r="BO526" s="348"/>
      <c r="BP526" s="393">
        <f>+BP525/BP524</f>
        <v>0.9974787836962431</v>
      </c>
      <c r="BQ526" s="393">
        <f>+BQ525/BQ524</f>
        <v>1.0016552484447594</v>
      </c>
      <c r="BR526" s="393">
        <f>+BR525/BR524</f>
        <v>0.99944930747212923</v>
      </c>
      <c r="BT526" s="393">
        <f>+BT525/BT524</f>
        <v>0.96483392449154826</v>
      </c>
      <c r="BU526" s="393">
        <f>+BU525/BU524</f>
        <v>0.95113530614011921</v>
      </c>
      <c r="BV526" s="393">
        <f>+BV525/BV524</f>
        <v>0.9578419900003825</v>
      </c>
      <c r="BX526" s="393">
        <f>+BX525/BX524</f>
        <v>0.95110742545178117</v>
      </c>
      <c r="BY526" s="393">
        <f>+BY525/BY524</f>
        <v>0.943400793069614</v>
      </c>
      <c r="BZ526" s="393">
        <f>+BZ525/BZ524</f>
        <v>0.94713865268003916</v>
      </c>
      <c r="CB526" s="393">
        <f>+CB525/CB524</f>
        <v>0.94415467960626276</v>
      </c>
      <c r="CC526" s="393">
        <f>+CC525/CC524</f>
        <v>0.94323444976076554</v>
      </c>
      <c r="CD526" s="393">
        <f>+CD525/CD524</f>
        <v>0.94366783966347123</v>
      </c>
      <c r="CF526" s="393">
        <f>+CF525/CF524</f>
        <v>0.93798157006684846</v>
      </c>
      <c r="CG526" s="393">
        <f>+CG525/CG524</f>
        <v>0.93675904666004128</v>
      </c>
      <c r="CH526" s="393">
        <f>+CH525/CH524</f>
        <v>0.93733994481914962</v>
      </c>
      <c r="CJ526" s="393">
        <f>+CJ525/CJ524</f>
        <v>0.93614966366396157</v>
      </c>
      <c r="CK526" s="393">
        <f>+CK525/CK524</f>
        <v>0.93949497612296817</v>
      </c>
      <c r="CL526" s="393">
        <f>+CL525/CL524</f>
        <v>0.93779181922035404</v>
      </c>
      <c r="CN526" s="393">
        <f>+CN525/CN524</f>
        <v>0.92528107477481314</v>
      </c>
      <c r="CO526" s="393">
        <f>+CO525/CO524</f>
        <v>0.92055193059757345</v>
      </c>
      <c r="CP526" s="393">
        <f>+CP525/CP524</f>
        <v>0.92281666101928894</v>
      </c>
      <c r="CR526" s="393">
        <f>+CR525/CR524</f>
        <v>0.9252343785111834</v>
      </c>
      <c r="CS526" s="393">
        <f>+CS525/CS524</f>
        <v>0.91881171231803216</v>
      </c>
      <c r="CT526" s="393">
        <f>+CT525/CT524</f>
        <v>0.92183910274430736</v>
      </c>
      <c r="CV526" s="393">
        <f>+CV525/CV524</f>
        <v>0.91876840445923291</v>
      </c>
      <c r="CW526" s="393">
        <f>+CW525/CW524</f>
        <v>0.91815874233378081</v>
      </c>
      <c r="CX526" s="393">
        <f>+CX525/CX524</f>
        <v>0.91836183588720166</v>
      </c>
      <c r="CZ526" s="393">
        <f>+CZ525/CZ524</f>
        <v>0.91323578535147665</v>
      </c>
      <c r="DA526" s="393">
        <f>+DA525/DA524</f>
        <v>0.91042631955736641</v>
      </c>
      <c r="DB526" s="393">
        <f>+DB525/DB524</f>
        <v>0.91181034710903752</v>
      </c>
      <c r="DD526" s="393">
        <f>+DD525/DD524</f>
        <v>0.90445133479857132</v>
      </c>
      <c r="DE526" s="393">
        <f>+DE525/DE524</f>
        <v>0.90444280670878507</v>
      </c>
      <c r="DF526" s="393">
        <f>+DF525/DF524</f>
        <v>0.90432201814059532</v>
      </c>
      <c r="DH526" s="393">
        <f>+DH525/DH524</f>
        <v>0.9030520550678468</v>
      </c>
      <c r="DI526" s="393">
        <f>+DI525/DI524</f>
        <v>0.9030520550678468</v>
      </c>
      <c r="DJ526" s="393">
        <f>+DJ525/DJ524</f>
        <v>0.9030520550678468</v>
      </c>
      <c r="DL526" s="393">
        <f>+DL525/DL524</f>
        <v>0.9030520550678468</v>
      </c>
      <c r="DM526" s="393">
        <f>+DM525/DM524</f>
        <v>0.9030520550678468</v>
      </c>
      <c r="DN526" s="393">
        <f>+DN525/DN524</f>
        <v>0.9030520550678468</v>
      </c>
      <c r="DP526" s="393">
        <f>+DP525/DP524</f>
        <v>0.90305205506784669</v>
      </c>
      <c r="DQ526" s="393">
        <f>+DQ525/DQ524</f>
        <v>0.9030520550678468</v>
      </c>
      <c r="DR526" s="393">
        <f>+DR525/DR524</f>
        <v>0.90305205506784669</v>
      </c>
    </row>
    <row r="527" spans="1:264" s="347" customFormat="1" x14ac:dyDescent="0.2">
      <c r="B527" s="348"/>
      <c r="BH527" s="348"/>
      <c r="BI527" s="348"/>
      <c r="BJ527" s="348"/>
      <c r="BK527" s="348"/>
      <c r="BL527" s="348"/>
      <c r="BM527" s="348"/>
      <c r="BN527" s="348"/>
      <c r="BO527" s="348"/>
      <c r="BP527" s="348"/>
      <c r="BQ527" s="348"/>
      <c r="BR527" s="348"/>
      <c r="BT527" s="348"/>
      <c r="BU527" s="348"/>
      <c r="BV527" s="348"/>
      <c r="BX527" s="348"/>
      <c r="BY527" s="348"/>
      <c r="CB527" s="348"/>
      <c r="CC527" s="348"/>
      <c r="CF527" s="348"/>
      <c r="CG527" s="348"/>
      <c r="CJ527" s="348"/>
      <c r="CK527" s="348"/>
      <c r="CN527" s="348"/>
      <c r="CO527" s="348"/>
      <c r="CR527" s="348"/>
      <c r="CS527" s="348"/>
      <c r="CV527" s="348"/>
      <c r="CW527" s="348"/>
      <c r="CZ527" s="348"/>
      <c r="DA527" s="348"/>
      <c r="DD527" s="348"/>
      <c r="DE527" s="348"/>
      <c r="DH527" s="348"/>
      <c r="DI527" s="348"/>
      <c r="DL527" s="348"/>
      <c r="DM527" s="348"/>
      <c r="DP527" s="348"/>
      <c r="DQ527" s="348"/>
      <c r="DT527" s="1"/>
      <c r="DU527" s="1"/>
      <c r="DV527" s="1"/>
      <c r="DW527" s="1"/>
      <c r="DX527" s="1"/>
      <c r="DY527" s="1"/>
      <c r="DZ527" s="1"/>
      <c r="EA527" s="1"/>
      <c r="EB527" s="1"/>
      <c r="EC527" s="1"/>
      <c r="ED527" s="1"/>
      <c r="EE527" s="1"/>
      <c r="EF527" s="1"/>
      <c r="EG527" s="1"/>
      <c r="EH527" s="1"/>
      <c r="EI527" s="1"/>
      <c r="EJ527" s="1"/>
      <c r="EK527" s="1"/>
      <c r="EL527" s="1"/>
      <c r="EM527" s="1"/>
      <c r="EN527" s="1"/>
      <c r="EO527" s="1"/>
      <c r="EP527" s="1"/>
      <c r="EQ527" s="1"/>
      <c r="ER527" s="1"/>
      <c r="ES527" s="1"/>
      <c r="ET527" s="1"/>
      <c r="EU527" s="1"/>
      <c r="EV527" s="1"/>
      <c r="EW527" s="1"/>
      <c r="EX527" s="1"/>
      <c r="EY527" s="1"/>
      <c r="EZ527" s="1"/>
      <c r="FA527" s="1"/>
      <c r="FB527" s="1"/>
      <c r="FC527" s="1"/>
      <c r="FD527" s="1"/>
      <c r="FE527" s="1"/>
      <c r="FF527" s="1"/>
      <c r="FG527" s="1"/>
      <c r="FH527" s="1"/>
      <c r="FI527" s="1"/>
      <c r="FJ527" s="1"/>
      <c r="FK527" s="1"/>
      <c r="FL527" s="1"/>
      <c r="FM527" s="1"/>
      <c r="FN527" s="1"/>
      <c r="FO527" s="1"/>
      <c r="FP527" s="1"/>
      <c r="FQ527" s="1"/>
      <c r="FR527" s="1"/>
      <c r="FS527" s="1"/>
      <c r="FT527" s="1"/>
      <c r="FU527" s="1"/>
      <c r="FV527" s="1"/>
      <c r="FW527" s="1"/>
      <c r="FX527" s="1"/>
      <c r="FY527" s="1"/>
      <c r="FZ527" s="1"/>
      <c r="GA527" s="1"/>
      <c r="GB527" s="1"/>
      <c r="GC527" s="1"/>
      <c r="GD527" s="1"/>
      <c r="GE527" s="1"/>
      <c r="GF527" s="1"/>
      <c r="GG527" s="1"/>
      <c r="GH527" s="1"/>
      <c r="GI527" s="1"/>
      <c r="GJ527" s="1"/>
      <c r="GK527" s="1"/>
      <c r="GL527" s="1"/>
      <c r="GM527" s="1"/>
      <c r="GN527" s="1"/>
      <c r="GO527" s="1"/>
      <c r="GP527" s="1"/>
      <c r="GQ527" s="1"/>
      <c r="GR527" s="1"/>
      <c r="GS527" s="1"/>
      <c r="GT527" s="1"/>
      <c r="GU527" s="1"/>
      <c r="GV527" s="1"/>
      <c r="GW527" s="1"/>
      <c r="GX527" s="1"/>
      <c r="GY527" s="1"/>
      <c r="GZ527" s="1"/>
      <c r="HA527" s="1"/>
      <c r="HB527" s="1"/>
      <c r="HC527" s="1"/>
      <c r="HD527" s="1"/>
      <c r="HE527" s="1"/>
      <c r="HF527" s="1"/>
      <c r="HG527" s="1"/>
      <c r="HH527" s="1"/>
      <c r="HI527" s="1"/>
      <c r="HJ527" s="1"/>
      <c r="HK527" s="1"/>
      <c r="HL527" s="1"/>
      <c r="HM527" s="1"/>
      <c r="HN527" s="1"/>
      <c r="HO527" s="1"/>
      <c r="HP527" s="1"/>
      <c r="HQ527" s="1"/>
      <c r="HR527" s="1"/>
      <c r="HS527" s="1"/>
      <c r="HT527" s="1"/>
      <c r="HU527" s="1"/>
      <c r="HV527" s="1"/>
      <c r="HW527" s="1"/>
      <c r="HX527" s="1"/>
      <c r="HY527" s="1"/>
      <c r="HZ527" s="1"/>
      <c r="IA527" s="1"/>
      <c r="IB527" s="1"/>
      <c r="IC527" s="1"/>
      <c r="ID527" s="1"/>
      <c r="IE527" s="1"/>
      <c r="IF527" s="1"/>
      <c r="IG527" s="1"/>
      <c r="IH527" s="1"/>
      <c r="II527" s="1"/>
      <c r="IJ527" s="1"/>
      <c r="IK527" s="1"/>
      <c r="IL527" s="1"/>
      <c r="IM527" s="1"/>
      <c r="IN527" s="1"/>
      <c r="IO527" s="1"/>
      <c r="IP527" s="1"/>
      <c r="IQ527" s="1"/>
      <c r="IR527" s="1"/>
      <c r="IS527" s="1"/>
      <c r="IT527" s="1"/>
      <c r="IU527" s="1"/>
      <c r="IV527" s="1"/>
      <c r="IW527" s="1"/>
      <c r="IX527" s="1"/>
      <c r="IY527" s="1"/>
      <c r="IZ527" s="1"/>
      <c r="JA527" s="1"/>
      <c r="JB527" s="1"/>
      <c r="JC527" s="1"/>
      <c r="JD527" s="1"/>
    </row>
    <row r="528" spans="1:264" s="347" customFormat="1" x14ac:dyDescent="0.2">
      <c r="A528" s="347" t="s">
        <v>91</v>
      </c>
      <c r="B528" s="348"/>
      <c r="BH528" s="351"/>
      <c r="BI528" s="351"/>
      <c r="BJ528" s="351"/>
      <c r="BK528" s="348"/>
      <c r="BL528" s="351"/>
      <c r="BM528" s="351"/>
      <c r="BN528" s="351"/>
      <c r="BO528" s="348"/>
      <c r="BP528" s="351"/>
      <c r="BQ528" s="351"/>
      <c r="BR528" s="351"/>
      <c r="BT528" s="351"/>
      <c r="BU528" s="351"/>
      <c r="BV528" s="351"/>
      <c r="BX528" s="351"/>
      <c r="BY528" s="351"/>
      <c r="BZ528" s="351"/>
      <c r="CB528" s="351"/>
      <c r="CC528" s="351"/>
      <c r="CD528" s="351"/>
      <c r="CF528" s="351">
        <f>CF184</f>
        <v>246905</v>
      </c>
      <c r="CG528" s="351">
        <f>CG184</f>
        <v>238071</v>
      </c>
      <c r="CH528" s="351">
        <f>CH184</f>
        <v>238071</v>
      </c>
      <c r="CJ528" s="351">
        <f>CJ184</f>
        <v>236293</v>
      </c>
      <c r="CK528" s="351">
        <f>CK184</f>
        <v>237228</v>
      </c>
      <c r="CL528" s="351">
        <f>CL184</f>
        <v>237228</v>
      </c>
      <c r="CN528" s="351">
        <f>CN184</f>
        <v>235155</v>
      </c>
      <c r="CO528" s="351">
        <f>CO184</f>
        <v>238510</v>
      </c>
      <c r="CP528" s="351">
        <f>CP184</f>
        <v>238510</v>
      </c>
      <c r="CR528" s="351">
        <f>CR184</f>
        <v>244599</v>
      </c>
      <c r="CS528" s="351">
        <f>CS184</f>
        <v>262970</v>
      </c>
      <c r="CT528" s="351">
        <f>CT184</f>
        <v>262970</v>
      </c>
      <c r="CV528" s="351">
        <f>CV184</f>
        <v>273509</v>
      </c>
      <c r="CW528" s="351">
        <f>CW184</f>
        <v>281033</v>
      </c>
      <c r="CX528" s="351">
        <f>CX184</f>
        <v>281033</v>
      </c>
      <c r="CZ528" s="351">
        <f>CZ184</f>
        <v>278347</v>
      </c>
      <c r="DA528" s="351">
        <f>DA184</f>
        <v>285247</v>
      </c>
      <c r="DB528" s="351">
        <f>DB184</f>
        <v>285247</v>
      </c>
      <c r="DD528" s="351">
        <f>DD184</f>
        <v>292115</v>
      </c>
      <c r="DE528" s="351">
        <f>DE184</f>
        <v>308021</v>
      </c>
      <c r="DF528" s="351">
        <f>DF184</f>
        <v>308021</v>
      </c>
      <c r="DH528" s="351">
        <f>DH184</f>
        <v>318800</v>
      </c>
      <c r="DI528" s="351">
        <f>DI184</f>
        <v>329225.46601251955</v>
      </c>
      <c r="DJ528" s="351">
        <f>DJ184</f>
        <v>329225.46601251955</v>
      </c>
      <c r="DL528" s="351">
        <f>DL184</f>
        <v>337219.52449820028</v>
      </c>
      <c r="DM528" s="351">
        <f>DM184</f>
        <v>349137.25673012121</v>
      </c>
      <c r="DN528" s="351">
        <f>DN184</f>
        <v>349137.25673012121</v>
      </c>
      <c r="DP528" s="351">
        <f>DP184</f>
        <v>356775.36967378791</v>
      </c>
      <c r="DQ528" s="351">
        <f>DQ184</f>
        <v>366612.09389009181</v>
      </c>
      <c r="DR528" s="351">
        <f>DR184</f>
        <v>366612.09389009193</v>
      </c>
    </row>
    <row r="529" spans="1:264" s="429" customFormat="1" x14ac:dyDescent="0.2">
      <c r="A529" s="429" t="s">
        <v>442</v>
      </c>
      <c r="B529" s="408"/>
      <c r="BH529" s="408"/>
      <c r="BI529" s="456"/>
      <c r="BJ529" s="408"/>
      <c r="BK529" s="408"/>
      <c r="BL529" s="456"/>
      <c r="BM529" s="456"/>
      <c r="BN529" s="408"/>
      <c r="BO529" s="408"/>
      <c r="BP529" s="456"/>
      <c r="BQ529" s="456"/>
      <c r="BR529" s="408"/>
      <c r="BT529" s="456"/>
      <c r="BU529" s="456"/>
      <c r="BV529" s="408"/>
      <c r="BX529" s="456"/>
      <c r="BY529" s="456"/>
      <c r="BZ529" s="408"/>
      <c r="CB529" s="456"/>
      <c r="CC529" s="456"/>
      <c r="CD529" s="408"/>
      <c r="CF529" s="456">
        <f>AVERAGE(CF528,CC528)</f>
        <v>246905</v>
      </c>
      <c r="CG529" s="456">
        <f>AVERAGE(CG528,CF528)</f>
        <v>242488</v>
      </c>
      <c r="CH529" s="408"/>
      <c r="CJ529" s="456">
        <f>AVERAGE(CJ528,CG528)</f>
        <v>237182</v>
      </c>
      <c r="CK529" s="456">
        <f>AVERAGE(CK528,CJ528)</f>
        <v>236760.5</v>
      </c>
      <c r="CL529" s="456">
        <f>AVERAGE(CL528,CH528)</f>
        <v>237649.5</v>
      </c>
      <c r="CN529" s="456">
        <f>AVERAGE(CN528,CK528)</f>
        <v>236191.5</v>
      </c>
      <c r="CO529" s="456">
        <f>AVERAGE(CO528,CN528)</f>
        <v>236832.5</v>
      </c>
      <c r="CP529" s="456">
        <f>AVERAGE(CP528,CL528)</f>
        <v>237869</v>
      </c>
      <c r="CR529" s="456">
        <f>AVERAGE(CR528,CO528)</f>
        <v>241554.5</v>
      </c>
      <c r="CS529" s="456">
        <f>AVERAGE(CS528,CR528)</f>
        <v>253784.5</v>
      </c>
      <c r="CT529" s="456">
        <f>AVERAGE(CT528,CP528)</f>
        <v>250740</v>
      </c>
      <c r="CV529" s="456">
        <f>AVERAGE(CV528,CS528)</f>
        <v>268239.5</v>
      </c>
      <c r="CW529" s="456">
        <f>AVERAGE(CW528,CV528)</f>
        <v>277271</v>
      </c>
      <c r="CX529" s="456">
        <f>AVERAGE(CX528,CT528)</f>
        <v>272001.5</v>
      </c>
      <c r="CZ529" s="456">
        <f>AVERAGE(CZ528,CW528)</f>
        <v>279690</v>
      </c>
      <c r="DA529" s="456">
        <f>AVERAGE(DA528,CZ528)</f>
        <v>281797</v>
      </c>
      <c r="DB529" s="456">
        <f>AVERAGE(DB528,CX528)</f>
        <v>283140</v>
      </c>
      <c r="DD529" s="456">
        <f>AVERAGE(DD528,DA528)</f>
        <v>288681</v>
      </c>
      <c r="DE529" s="456">
        <f>AVERAGE(DE528,DD528)</f>
        <v>300068</v>
      </c>
      <c r="DF529" s="456">
        <f>AVERAGE(DF528,DB528)</f>
        <v>296634</v>
      </c>
      <c r="DH529" s="456">
        <f>AVERAGE(DH528,DE528)</f>
        <v>313410.5</v>
      </c>
      <c r="DI529" s="456">
        <f>AVERAGE(DI528,DH528)</f>
        <v>324012.73300625978</v>
      </c>
      <c r="DJ529" s="456">
        <f>AVERAGE(DJ528,DF528)</f>
        <v>318623.23300625978</v>
      </c>
      <c r="DL529" s="456">
        <f>AVERAGE(DL528,DI528)</f>
        <v>333222.49525535991</v>
      </c>
      <c r="DM529" s="456">
        <f>AVERAGE(DM528,DL528)</f>
        <v>343178.39061416074</v>
      </c>
      <c r="DN529" s="456">
        <f>AVERAGE(DN528,DJ528)</f>
        <v>339181.36137132038</v>
      </c>
      <c r="DP529" s="456">
        <f>AVERAGE(DP528,DM528)</f>
        <v>352956.31320195459</v>
      </c>
      <c r="DQ529" s="456">
        <f>AVERAGE(DQ528,DP528)</f>
        <v>361693.73178193986</v>
      </c>
      <c r="DR529" s="456">
        <f>AVERAGE(DR528,DN528)</f>
        <v>357874.6753101066</v>
      </c>
      <c r="DT529" s="1"/>
      <c r="DU529" s="1"/>
      <c r="DV529" s="1"/>
      <c r="DW529" s="1"/>
      <c r="DX529" s="1"/>
      <c r="DY529" s="1"/>
      <c r="DZ529" s="1"/>
      <c r="EA529" s="1"/>
      <c r="EB529" s="1"/>
      <c r="EC529" s="1"/>
      <c r="ED529" s="1"/>
      <c r="EE529" s="1"/>
      <c r="EF529" s="1"/>
      <c r="EG529" s="1"/>
      <c r="EH529" s="1"/>
      <c r="EI529" s="1"/>
      <c r="EJ529" s="1"/>
      <c r="EK529" s="1"/>
      <c r="EL529" s="1"/>
      <c r="EM529" s="1"/>
      <c r="EN529" s="1"/>
      <c r="EO529" s="1"/>
      <c r="EP529" s="1"/>
      <c r="EQ529" s="1"/>
      <c r="ER529" s="1"/>
      <c r="ES529" s="1"/>
      <c r="ET529" s="1"/>
      <c r="EU529" s="1"/>
      <c r="EV529" s="1"/>
      <c r="EW529" s="1"/>
      <c r="EX529" s="1"/>
      <c r="EY529" s="1"/>
      <c r="EZ529" s="1"/>
      <c r="FA529" s="1"/>
      <c r="FB529" s="1"/>
      <c r="FC529" s="1"/>
      <c r="FD529" s="1"/>
      <c r="FE529" s="1"/>
      <c r="FF529" s="1"/>
      <c r="FG529" s="1"/>
      <c r="FH529" s="1"/>
      <c r="FI529" s="1"/>
      <c r="FJ529" s="1"/>
      <c r="FK529" s="1"/>
      <c r="FL529" s="1"/>
      <c r="FM529" s="1"/>
      <c r="FN529" s="1"/>
      <c r="FO529" s="1"/>
      <c r="FP529" s="1"/>
      <c r="FQ529" s="1"/>
      <c r="FR529" s="1"/>
      <c r="FS529" s="1"/>
      <c r="FT529" s="1"/>
      <c r="FU529" s="1"/>
      <c r="FV529" s="1"/>
      <c r="FW529" s="1"/>
      <c r="FX529" s="1"/>
      <c r="FY529" s="1"/>
      <c r="FZ529" s="1"/>
      <c r="GA529" s="1"/>
      <c r="GB529" s="1"/>
      <c r="GC529" s="1"/>
      <c r="GD529" s="1"/>
      <c r="GE529" s="1"/>
      <c r="GF529" s="1"/>
      <c r="GG529" s="1"/>
      <c r="GH529" s="1"/>
      <c r="GI529" s="1"/>
      <c r="GJ529" s="1"/>
      <c r="GK529" s="1"/>
      <c r="GL529" s="1"/>
      <c r="GM529" s="1"/>
      <c r="GN529" s="1"/>
      <c r="GO529" s="1"/>
      <c r="GP529" s="1"/>
      <c r="GQ529" s="1"/>
      <c r="GR529" s="1"/>
      <c r="GS529" s="1"/>
      <c r="GT529" s="1"/>
      <c r="GU529" s="1"/>
      <c r="GV529" s="1"/>
      <c r="GW529" s="1"/>
      <c r="GX529" s="1"/>
      <c r="GY529" s="1"/>
      <c r="GZ529" s="1"/>
      <c r="HA529" s="1"/>
      <c r="HB529" s="1"/>
      <c r="HC529" s="1"/>
      <c r="HD529" s="1"/>
      <c r="HE529" s="1"/>
      <c r="HF529" s="1"/>
      <c r="HG529" s="1"/>
      <c r="HH529" s="1"/>
      <c r="HI529" s="1"/>
      <c r="HJ529" s="1"/>
      <c r="HK529" s="1"/>
      <c r="HL529" s="1"/>
      <c r="HM529" s="1"/>
      <c r="HN529" s="1"/>
      <c r="HO529" s="1"/>
      <c r="HP529" s="1"/>
      <c r="HQ529" s="1"/>
      <c r="HR529" s="1"/>
      <c r="HS529" s="1"/>
      <c r="HT529" s="1"/>
      <c r="HU529" s="1"/>
      <c r="HV529" s="1"/>
      <c r="HW529" s="1"/>
      <c r="HX529" s="1"/>
      <c r="HY529" s="1"/>
      <c r="HZ529" s="1"/>
      <c r="IA529" s="1"/>
      <c r="IB529" s="1"/>
      <c r="IC529" s="1"/>
      <c r="ID529" s="1"/>
      <c r="IE529" s="1"/>
      <c r="IF529" s="1"/>
      <c r="IG529" s="1"/>
      <c r="IH529" s="1"/>
      <c r="II529" s="1"/>
      <c r="IJ529" s="1"/>
      <c r="IK529" s="1"/>
      <c r="IL529" s="1"/>
      <c r="IM529" s="1"/>
      <c r="IN529" s="1"/>
      <c r="IO529" s="1"/>
      <c r="IP529" s="1"/>
      <c r="IQ529" s="1"/>
      <c r="IR529" s="1"/>
      <c r="IS529" s="1"/>
      <c r="IT529" s="1"/>
      <c r="IU529" s="1"/>
      <c r="IV529" s="1"/>
      <c r="IW529" s="1"/>
      <c r="IX529" s="1"/>
      <c r="IY529" s="1"/>
      <c r="IZ529" s="1"/>
      <c r="JA529" s="1"/>
      <c r="JB529" s="1"/>
      <c r="JC529" s="1"/>
      <c r="JD529" s="1"/>
    </row>
    <row r="530" spans="1:264" s="347" customFormat="1" x14ac:dyDescent="0.2">
      <c r="B530" s="348"/>
      <c r="BH530" s="348"/>
      <c r="BI530" s="348"/>
      <c r="BJ530" s="348"/>
      <c r="BK530" s="348"/>
      <c r="BL530" s="348"/>
      <c r="BM530" s="348"/>
      <c r="BN530" s="348"/>
      <c r="BO530" s="348"/>
      <c r="BP530" s="348"/>
      <c r="BQ530" s="348"/>
      <c r="BR530" s="348"/>
      <c r="BT530" s="348"/>
      <c r="BU530" s="348"/>
      <c r="BV530" s="348"/>
      <c r="BX530" s="348"/>
      <c r="BY530" s="348"/>
      <c r="CB530" s="348"/>
      <c r="CC530" s="348"/>
      <c r="CF530" s="348"/>
      <c r="CG530" s="348"/>
      <c r="CJ530" s="348"/>
      <c r="CK530" s="348"/>
      <c r="CN530" s="348"/>
      <c r="CO530" s="348"/>
      <c r="CR530" s="348"/>
      <c r="CS530" s="348"/>
      <c r="CV530" s="348"/>
      <c r="CW530" s="348"/>
      <c r="CZ530" s="348"/>
      <c r="DA530" s="348"/>
      <c r="DD530" s="348"/>
      <c r="DE530" s="348"/>
      <c r="DH530" s="348"/>
      <c r="DI530" s="348"/>
      <c r="DL530" s="348"/>
      <c r="DM530" s="348"/>
      <c r="DP530" s="348"/>
      <c r="DQ530" s="348"/>
      <c r="DT530" s="1"/>
      <c r="DU530" s="1"/>
      <c r="DV530" s="1"/>
      <c r="DW530" s="1"/>
      <c r="DX530" s="1"/>
      <c r="DY530" s="1"/>
      <c r="DZ530" s="1"/>
      <c r="EA530" s="1"/>
      <c r="EB530" s="1"/>
      <c r="EC530" s="1"/>
      <c r="ED530" s="1"/>
      <c r="EE530" s="1"/>
      <c r="EF530" s="1"/>
      <c r="EG530" s="1"/>
      <c r="EH530" s="1"/>
      <c r="EI530" s="1"/>
      <c r="EJ530" s="1"/>
      <c r="EK530" s="1"/>
      <c r="EL530" s="1"/>
      <c r="EM530" s="1"/>
      <c r="EN530" s="1"/>
      <c r="EO530" s="1"/>
      <c r="EP530" s="1"/>
      <c r="EQ530" s="1"/>
      <c r="ER530" s="1"/>
      <c r="ES530" s="1"/>
      <c r="ET530" s="1"/>
      <c r="EU530" s="1"/>
      <c r="EV530" s="1"/>
      <c r="EW530" s="1"/>
      <c r="EX530" s="1"/>
      <c r="EY530" s="1"/>
      <c r="EZ530" s="1"/>
      <c r="FA530" s="1"/>
      <c r="FB530" s="1"/>
      <c r="FC530" s="1"/>
      <c r="FD530" s="1"/>
      <c r="FE530" s="1"/>
      <c r="FF530" s="1"/>
      <c r="FG530" s="1"/>
      <c r="FH530" s="1"/>
      <c r="FI530" s="1"/>
      <c r="FJ530" s="1"/>
      <c r="FK530" s="1"/>
      <c r="FL530" s="1"/>
      <c r="FM530" s="1"/>
      <c r="FN530" s="1"/>
      <c r="FO530" s="1"/>
      <c r="FP530" s="1"/>
      <c r="FQ530" s="1"/>
      <c r="FR530" s="1"/>
      <c r="FS530" s="1"/>
      <c r="FT530" s="1"/>
      <c r="FU530" s="1"/>
      <c r="FV530" s="1"/>
      <c r="FW530" s="1"/>
      <c r="FX530" s="1"/>
      <c r="FY530" s="1"/>
      <c r="FZ530" s="1"/>
      <c r="GA530" s="1"/>
      <c r="GB530" s="1"/>
      <c r="GC530" s="1"/>
      <c r="GD530" s="1"/>
      <c r="GE530" s="1"/>
      <c r="GF530" s="1"/>
      <c r="GG530" s="1"/>
      <c r="GH530" s="1"/>
      <c r="GI530" s="1"/>
      <c r="GJ530" s="1"/>
      <c r="GK530" s="1"/>
      <c r="GL530" s="1"/>
      <c r="GM530" s="1"/>
      <c r="GN530" s="1"/>
      <c r="GO530" s="1"/>
      <c r="GP530" s="1"/>
      <c r="GQ530" s="1"/>
      <c r="GR530" s="1"/>
      <c r="GS530" s="1"/>
      <c r="GT530" s="1"/>
      <c r="GU530" s="1"/>
      <c r="GV530" s="1"/>
      <c r="GW530" s="1"/>
      <c r="GX530" s="1"/>
      <c r="GY530" s="1"/>
      <c r="GZ530" s="1"/>
      <c r="HA530" s="1"/>
      <c r="HB530" s="1"/>
      <c r="HC530" s="1"/>
      <c r="HD530" s="1"/>
      <c r="HE530" s="1"/>
      <c r="HF530" s="1"/>
      <c r="HG530" s="1"/>
      <c r="HH530" s="1"/>
      <c r="HI530" s="1"/>
      <c r="HJ530" s="1"/>
      <c r="HK530" s="1"/>
      <c r="HL530" s="1"/>
      <c r="HM530" s="1"/>
      <c r="HN530" s="1"/>
      <c r="HO530" s="1"/>
      <c r="HP530" s="1"/>
      <c r="HQ530" s="1"/>
      <c r="HR530" s="1"/>
      <c r="HS530" s="1"/>
      <c r="HT530" s="1"/>
      <c r="HU530" s="1"/>
      <c r="HV530" s="1"/>
      <c r="HW530" s="1"/>
      <c r="HX530" s="1"/>
      <c r="HY530" s="1"/>
      <c r="HZ530" s="1"/>
      <c r="IA530" s="1"/>
      <c r="IB530" s="1"/>
      <c r="IC530" s="1"/>
      <c r="ID530" s="1"/>
      <c r="IE530" s="1"/>
      <c r="IF530" s="1"/>
      <c r="IG530" s="1"/>
      <c r="IH530" s="1"/>
      <c r="II530" s="1"/>
      <c r="IJ530" s="1"/>
      <c r="IK530" s="1"/>
      <c r="IL530" s="1"/>
      <c r="IM530" s="1"/>
      <c r="IN530" s="1"/>
      <c r="IO530" s="1"/>
      <c r="IP530" s="1"/>
      <c r="IQ530" s="1"/>
      <c r="IR530" s="1"/>
      <c r="IS530" s="1"/>
      <c r="IT530" s="1"/>
      <c r="IU530" s="1"/>
      <c r="IV530" s="1"/>
      <c r="IW530" s="1"/>
      <c r="IX530" s="1"/>
      <c r="IY530" s="1"/>
      <c r="IZ530" s="1"/>
      <c r="JA530" s="1"/>
      <c r="JB530" s="1"/>
      <c r="JC530" s="1"/>
      <c r="JD530" s="1"/>
    </row>
    <row r="531" spans="1:264" s="347" customFormat="1" x14ac:dyDescent="0.2">
      <c r="A531" s="347" t="s">
        <v>87</v>
      </c>
      <c r="B531" s="348"/>
      <c r="BH531" s="351">
        <f>BH387</f>
        <v>722183</v>
      </c>
      <c r="BI531" s="351">
        <f>BI387</f>
        <v>753857</v>
      </c>
      <c r="BJ531" s="351">
        <f>BI531</f>
        <v>753857</v>
      </c>
      <c r="BK531" s="348"/>
      <c r="BL531" s="351">
        <f>BL387</f>
        <v>782301</v>
      </c>
      <c r="BM531" s="351">
        <f>BM387</f>
        <v>791451</v>
      </c>
      <c r="BN531" s="351">
        <f>BM531</f>
        <v>791451</v>
      </c>
      <c r="BO531" s="348"/>
      <c r="BP531" s="351">
        <f>BP387</f>
        <v>850714</v>
      </c>
      <c r="BQ531" s="351">
        <f>BQ387</f>
        <v>873446</v>
      </c>
      <c r="BR531" s="351">
        <f>BQ531</f>
        <v>873446</v>
      </c>
      <c r="BT531" s="351">
        <f>BT387</f>
        <v>903075</v>
      </c>
      <c r="BU531" s="351">
        <f>BU387</f>
        <v>933078</v>
      </c>
      <c r="BV531" s="351">
        <f>BU531</f>
        <v>933078</v>
      </c>
      <c r="BX531" s="351">
        <f>BX387</f>
        <v>971663</v>
      </c>
      <c r="BY531" s="351">
        <f>BY387</f>
        <v>976318</v>
      </c>
      <c r="BZ531" s="351">
        <f>BY531</f>
        <v>976318</v>
      </c>
      <c r="CB531" s="351">
        <f>CB387</f>
        <v>961930</v>
      </c>
      <c r="CC531" s="351">
        <f>CC387</f>
        <v>975165</v>
      </c>
      <c r="CD531" s="351">
        <f>CC531</f>
        <v>975165</v>
      </c>
      <c r="CF531" s="351">
        <f>CF387</f>
        <v>980430</v>
      </c>
      <c r="CG531" s="351">
        <f>CG387</f>
        <v>976502</v>
      </c>
      <c r="CH531" s="351">
        <f>CG531</f>
        <v>976502</v>
      </c>
      <c r="CJ531" s="351">
        <f>CJ387</f>
        <v>979868</v>
      </c>
      <c r="CK531" s="351">
        <f>CK387</f>
        <v>1015471</v>
      </c>
      <c r="CL531" s="351">
        <f>CK531</f>
        <v>1015471</v>
      </c>
      <c r="CN531" s="351">
        <f>CN387</f>
        <v>1059220</v>
      </c>
      <c r="CO531" s="351">
        <f>CO387</f>
        <v>1091962</v>
      </c>
      <c r="CP531" s="351">
        <f>CO531</f>
        <v>1091962</v>
      </c>
      <c r="CR531" s="351">
        <f>CR387</f>
        <v>1149813</v>
      </c>
      <c r="CS531" s="351">
        <f>CS387</f>
        <v>1215260</v>
      </c>
      <c r="CT531" s="351">
        <f>CS531</f>
        <v>1215260</v>
      </c>
      <c r="CV531" s="351">
        <f>CV387</f>
        <v>1232181</v>
      </c>
      <c r="CW531" s="351">
        <f>CW387</f>
        <v>1252423</v>
      </c>
      <c r="CX531" s="351">
        <f>CW531</f>
        <v>1252423</v>
      </c>
      <c r="CZ531" s="351">
        <f>CZ387</f>
        <v>1275969</v>
      </c>
      <c r="DA531" s="351">
        <f>DA387</f>
        <v>1254076</v>
      </c>
      <c r="DB531" s="351">
        <f>DA531</f>
        <v>1254076</v>
      </c>
      <c r="DD531" s="351">
        <f>DD387</f>
        <v>1308566</v>
      </c>
      <c r="DE531" s="351">
        <f>DE387</f>
        <v>1353799</v>
      </c>
      <c r="DF531" s="351">
        <f>DE531</f>
        <v>1353799</v>
      </c>
      <c r="DH531" s="351">
        <f>DH387</f>
        <v>1408728</v>
      </c>
      <c r="DI531" s="351">
        <f ca="1">DI387</f>
        <v>1457896.423428816</v>
      </c>
      <c r="DJ531" s="351">
        <f ca="1">DI531</f>
        <v>1457896.423428816</v>
      </c>
      <c r="DL531" s="351">
        <f ca="1">DL387</f>
        <v>1500727.9832540648</v>
      </c>
      <c r="DM531" s="351">
        <f ca="1">DM387</f>
        <v>1547411.4956437899</v>
      </c>
      <c r="DN531" s="351">
        <f ca="1">DM531</f>
        <v>1547411.4956437899</v>
      </c>
      <c r="DP531" s="351">
        <f ca="1">DP387</f>
        <v>1583493.8910403242</v>
      </c>
      <c r="DQ531" s="351">
        <f ca="1">DQ387</f>
        <v>1623106.5878329626</v>
      </c>
      <c r="DR531" s="351">
        <f ca="1">DQ531</f>
        <v>1623106.5878329626</v>
      </c>
      <c r="DT531" s="1"/>
      <c r="DU531" s="1"/>
      <c r="DV531" s="1"/>
      <c r="DW531" s="1"/>
      <c r="DX531" s="1"/>
      <c r="DY531" s="1"/>
      <c r="DZ531" s="1"/>
      <c r="EA531" s="1"/>
      <c r="EB531" s="1"/>
      <c r="EC531" s="1"/>
      <c r="ED531" s="1"/>
      <c r="EE531" s="1"/>
      <c r="EF531" s="1"/>
      <c r="EG531" s="1"/>
      <c r="EH531" s="1"/>
      <c r="EI531" s="1"/>
      <c r="EJ531" s="1"/>
      <c r="EK531" s="1"/>
      <c r="EL531" s="1"/>
      <c r="EM531" s="1"/>
      <c r="EN531" s="1"/>
      <c r="EO531" s="1"/>
      <c r="EP531" s="1"/>
      <c r="EQ531" s="1"/>
      <c r="ER531" s="1"/>
      <c r="ES531" s="1"/>
      <c r="ET531" s="1"/>
      <c r="EU531" s="1"/>
      <c r="EV531" s="1"/>
      <c r="EW531" s="1"/>
      <c r="EX531" s="1"/>
      <c r="EY531" s="1"/>
      <c r="EZ531" s="1"/>
      <c r="FA531" s="1"/>
      <c r="FB531" s="1"/>
      <c r="FC531" s="1"/>
      <c r="FD531" s="1"/>
      <c r="FE531" s="1"/>
      <c r="FF531" s="1"/>
      <c r="FG531" s="1"/>
      <c r="FH531" s="1"/>
      <c r="FI531" s="1"/>
      <c r="FJ531" s="1"/>
      <c r="FK531" s="1"/>
      <c r="FL531" s="1"/>
      <c r="FM531" s="1"/>
      <c r="FN531" s="1"/>
      <c r="FO531" s="1"/>
      <c r="FP531" s="1"/>
      <c r="FQ531" s="1"/>
      <c r="FR531" s="1"/>
      <c r="FS531" s="1"/>
      <c r="FT531" s="1"/>
      <c r="FU531" s="1"/>
      <c r="FV531" s="1"/>
      <c r="FW531" s="1"/>
      <c r="FX531" s="1"/>
      <c r="FY531" s="1"/>
      <c r="FZ531" s="1"/>
      <c r="GA531" s="1"/>
      <c r="GB531" s="1"/>
      <c r="GC531" s="1"/>
      <c r="GD531" s="1"/>
      <c r="GE531" s="1"/>
      <c r="GF531" s="1"/>
      <c r="GG531" s="1"/>
      <c r="GH531" s="1"/>
      <c r="GI531" s="1"/>
      <c r="GJ531" s="1"/>
      <c r="GK531" s="1"/>
      <c r="GL531" s="1"/>
      <c r="GM531" s="1"/>
      <c r="GN531" s="1"/>
      <c r="GO531" s="1"/>
      <c r="GP531" s="1"/>
      <c r="GQ531" s="1"/>
      <c r="GR531" s="1"/>
      <c r="GS531" s="1"/>
      <c r="GT531" s="1"/>
      <c r="GU531" s="1"/>
      <c r="GV531" s="1"/>
      <c r="GW531" s="1"/>
      <c r="GX531" s="1"/>
      <c r="GY531" s="1"/>
      <c r="GZ531" s="1"/>
      <c r="HA531" s="1"/>
      <c r="HB531" s="1"/>
      <c r="HC531" s="1"/>
      <c r="HD531" s="1"/>
      <c r="HE531" s="1"/>
      <c r="HF531" s="1"/>
      <c r="HG531" s="1"/>
      <c r="HH531" s="1"/>
      <c r="HI531" s="1"/>
      <c r="HJ531" s="1"/>
      <c r="HK531" s="1"/>
      <c r="HL531" s="1"/>
      <c r="HM531" s="1"/>
      <c r="HN531" s="1"/>
      <c r="HO531" s="1"/>
      <c r="HP531" s="1"/>
      <c r="HQ531" s="1"/>
      <c r="HR531" s="1"/>
      <c r="HS531" s="1"/>
      <c r="HT531" s="1"/>
      <c r="HU531" s="1"/>
      <c r="HV531" s="1"/>
      <c r="HW531" s="1"/>
      <c r="HX531" s="1"/>
      <c r="HY531" s="1"/>
      <c r="HZ531" s="1"/>
      <c r="IA531" s="1"/>
      <c r="IB531" s="1"/>
      <c r="IC531" s="1"/>
      <c r="ID531" s="1"/>
      <c r="IE531" s="1"/>
      <c r="IF531" s="1"/>
      <c r="IG531" s="1"/>
      <c r="IH531" s="1"/>
      <c r="II531" s="1"/>
      <c r="IJ531" s="1"/>
      <c r="IK531" s="1"/>
      <c r="IL531" s="1"/>
      <c r="IM531" s="1"/>
      <c r="IN531" s="1"/>
      <c r="IO531" s="1"/>
      <c r="IP531" s="1"/>
      <c r="IQ531" s="1"/>
      <c r="IR531" s="1"/>
      <c r="IS531" s="1"/>
      <c r="IT531" s="1"/>
      <c r="IU531" s="1"/>
      <c r="IV531" s="1"/>
      <c r="IW531" s="1"/>
      <c r="IX531" s="1"/>
      <c r="IY531" s="1"/>
      <c r="IZ531" s="1"/>
      <c r="JA531" s="1"/>
      <c r="JB531" s="1"/>
      <c r="JC531" s="1"/>
      <c r="JD531" s="1"/>
    </row>
    <row r="532" spans="1:264" s="347" customFormat="1" x14ac:dyDescent="0.2">
      <c r="A532" s="429" t="s">
        <v>442</v>
      </c>
      <c r="B532" s="348"/>
      <c r="BH532" s="348"/>
      <c r="BI532" s="456">
        <f>AVERAGE(BI531,BH531)</f>
        <v>738020</v>
      </c>
      <c r="BJ532" s="408"/>
      <c r="BK532" s="408"/>
      <c r="BL532" s="456">
        <f>AVERAGE(BL531,BI531)</f>
        <v>768079</v>
      </c>
      <c r="BM532" s="456">
        <f>AVERAGE(BM531,BL531)</f>
        <v>786876</v>
      </c>
      <c r="BN532" s="408"/>
      <c r="BO532" s="348"/>
      <c r="BP532" s="456">
        <f>AVERAGE(BP531,BM531)</f>
        <v>821082.5</v>
      </c>
      <c r="BQ532" s="456">
        <f>AVERAGE(BQ531,BP531)</f>
        <v>862080</v>
      </c>
      <c r="BR532" s="408"/>
      <c r="BS532" s="429"/>
      <c r="BT532" s="456">
        <f>AVERAGE(BT531,BQ531)</f>
        <v>888260.5</v>
      </c>
      <c r="BU532" s="456">
        <f>AVERAGE(BU531,BT531)</f>
        <v>918076.5</v>
      </c>
      <c r="BV532" s="408"/>
      <c r="BW532" s="429"/>
      <c r="BX532" s="456">
        <f>AVERAGE(BX531,BU531)</f>
        <v>952370.5</v>
      </c>
      <c r="BY532" s="456">
        <f>AVERAGE(BY531,BX531)</f>
        <v>973990.5</v>
      </c>
      <c r="BZ532" s="408"/>
      <c r="CA532" s="429"/>
      <c r="CB532" s="456">
        <f>AVERAGE(CB531,BY531)</f>
        <v>969124</v>
      </c>
      <c r="CC532" s="456">
        <f>AVERAGE(CC531,CB531)</f>
        <v>968547.5</v>
      </c>
      <c r="CD532" s="408"/>
      <c r="CF532" s="456">
        <f>AVERAGE(CF531,CC531)</f>
        <v>977797.5</v>
      </c>
      <c r="CG532" s="456">
        <f>AVERAGE(CG531,CF531)</f>
        <v>978466</v>
      </c>
      <c r="CH532" s="408"/>
      <c r="CJ532" s="456">
        <f>AVERAGE(CJ531,CG531)</f>
        <v>978185</v>
      </c>
      <c r="CK532" s="456">
        <f>AVERAGE(CK531,CJ531)</f>
        <v>997669.5</v>
      </c>
      <c r="CL532" s="456">
        <f>AVERAGE(CL531,CH531)</f>
        <v>995986.5</v>
      </c>
      <c r="CN532" s="456">
        <f>AVERAGE(CN531,CK531)</f>
        <v>1037345.5</v>
      </c>
      <c r="CO532" s="456">
        <f>AVERAGE(CO531,CN531)</f>
        <v>1075591</v>
      </c>
      <c r="CP532" s="456">
        <f>AVERAGE(CP531,CL531)</f>
        <v>1053716.5</v>
      </c>
      <c r="CR532" s="456">
        <f>AVERAGE(CR531,CO531)</f>
        <v>1120887.5</v>
      </c>
      <c r="CS532" s="456">
        <f>AVERAGE(CS531,CR531)</f>
        <v>1182536.5</v>
      </c>
      <c r="CT532" s="456">
        <f>AVERAGE(CT531,CP531)</f>
        <v>1153611</v>
      </c>
      <c r="CV532" s="456">
        <f>AVERAGE(CV531,CS531)</f>
        <v>1223720.5</v>
      </c>
      <c r="CW532" s="456">
        <f>AVERAGE(CW531,CV531)</f>
        <v>1242302</v>
      </c>
      <c r="CX532" s="456">
        <f>AVERAGE(CX531,CT531)</f>
        <v>1233841.5</v>
      </c>
      <c r="CZ532" s="456">
        <f>AVERAGE(CZ531,CW531)</f>
        <v>1264196</v>
      </c>
      <c r="DA532" s="456">
        <f>AVERAGE(DA531,CZ531)</f>
        <v>1265022.5</v>
      </c>
      <c r="DB532" s="456">
        <f>AVERAGE(DB531,CX531)</f>
        <v>1253249.5</v>
      </c>
      <c r="DD532" s="456">
        <f>AVERAGE(DD531,DA531)</f>
        <v>1281321</v>
      </c>
      <c r="DE532" s="456">
        <f>AVERAGE(DE531,DD531)</f>
        <v>1331182.5</v>
      </c>
      <c r="DF532" s="456">
        <f>AVERAGE(DF531,DB531)</f>
        <v>1303937.5</v>
      </c>
      <c r="DH532" s="456">
        <f>AVERAGE(DH531,DE531)</f>
        <v>1381263.5</v>
      </c>
      <c r="DI532" s="456">
        <f ca="1">AVERAGE(DI531,DH531)</f>
        <v>1433312.2117144079</v>
      </c>
      <c r="DJ532" s="456">
        <f ca="1">AVERAGE(DJ531,DF531)</f>
        <v>1405847.7117144079</v>
      </c>
      <c r="DL532" s="456">
        <f ca="1">AVERAGE(DL531,DI531)</f>
        <v>1479312.2033414403</v>
      </c>
      <c r="DM532" s="456">
        <f ca="1">AVERAGE(DM531,DL531)</f>
        <v>1524069.7394489273</v>
      </c>
      <c r="DN532" s="456">
        <f ca="1">AVERAGE(DN531,DJ531)</f>
        <v>1502653.9595363028</v>
      </c>
      <c r="DP532" s="456">
        <f ca="1">AVERAGE(DP531,DM531)</f>
        <v>1565452.6933420571</v>
      </c>
      <c r="DQ532" s="456">
        <f ca="1">AVERAGE(DQ531,DP531)</f>
        <v>1603300.2394366434</v>
      </c>
      <c r="DR532" s="456">
        <f ca="1">AVERAGE(DR531,DN531)</f>
        <v>1585259.0417383763</v>
      </c>
      <c r="DT532" s="1"/>
      <c r="DU532" s="1"/>
      <c r="DV532" s="1"/>
      <c r="DW532" s="1"/>
      <c r="DX532" s="1"/>
      <c r="DY532" s="1"/>
      <c r="DZ532" s="1"/>
      <c r="EA532" s="1"/>
      <c r="EB532" s="1"/>
      <c r="EC532" s="1"/>
      <c r="ED532" s="1"/>
      <c r="EE532" s="1"/>
      <c r="EF532" s="1"/>
      <c r="EG532" s="1"/>
      <c r="EH532" s="1"/>
      <c r="EI532" s="1"/>
      <c r="EJ532" s="1"/>
      <c r="EK532" s="1"/>
      <c r="EL532" s="1"/>
      <c r="EM532" s="1"/>
      <c r="EN532" s="1"/>
      <c r="EO532" s="1"/>
      <c r="EP532" s="1"/>
      <c r="EQ532" s="1"/>
      <c r="ER532" s="1"/>
      <c r="ES532" s="1"/>
      <c r="ET532" s="1"/>
      <c r="EU532" s="1"/>
      <c r="EV532" s="1"/>
      <c r="EW532" s="1"/>
      <c r="EX532" s="1"/>
      <c r="EY532" s="1"/>
      <c r="EZ532" s="1"/>
      <c r="FA532" s="1"/>
      <c r="FB532" s="1"/>
      <c r="FC532" s="1"/>
      <c r="FD532" s="1"/>
      <c r="FE532" s="1"/>
      <c r="FF532" s="1"/>
      <c r="FG532" s="1"/>
      <c r="FH532" s="1"/>
      <c r="FI532" s="1"/>
      <c r="FJ532" s="1"/>
      <c r="FK532" s="1"/>
      <c r="FL532" s="1"/>
      <c r="FM532" s="1"/>
      <c r="FN532" s="1"/>
      <c r="FO532" s="1"/>
      <c r="FP532" s="1"/>
      <c r="FQ532" s="1"/>
      <c r="FR532" s="1"/>
      <c r="FS532" s="1"/>
      <c r="FT532" s="1"/>
      <c r="FU532" s="1"/>
      <c r="FV532" s="1"/>
      <c r="FW532" s="1"/>
      <c r="FX532" s="1"/>
      <c r="FY532" s="1"/>
      <c r="FZ532" s="1"/>
      <c r="GA532" s="1"/>
      <c r="GB532" s="1"/>
      <c r="GC532" s="1"/>
      <c r="GD532" s="1"/>
      <c r="GE532" s="1"/>
      <c r="GF532" s="1"/>
      <c r="GG532" s="1"/>
      <c r="GH532" s="1"/>
      <c r="GI532" s="1"/>
      <c r="GJ532" s="1"/>
      <c r="GK532" s="1"/>
      <c r="GL532" s="1"/>
      <c r="GM532" s="1"/>
      <c r="GN532" s="1"/>
      <c r="GO532" s="1"/>
      <c r="GP532" s="1"/>
      <c r="GQ532" s="1"/>
      <c r="GR532" s="1"/>
      <c r="GS532" s="1"/>
      <c r="GT532" s="1"/>
      <c r="GU532" s="1"/>
      <c r="GV532" s="1"/>
      <c r="GW532" s="1"/>
      <c r="GX532" s="1"/>
      <c r="GY532" s="1"/>
      <c r="GZ532" s="1"/>
      <c r="HA532" s="1"/>
      <c r="HB532" s="1"/>
      <c r="HC532" s="1"/>
      <c r="HD532" s="1"/>
      <c r="HE532" s="1"/>
      <c r="HF532" s="1"/>
      <c r="HG532" s="1"/>
      <c r="HH532" s="1"/>
      <c r="HI532" s="1"/>
      <c r="HJ532" s="1"/>
      <c r="HK532" s="1"/>
      <c r="HL532" s="1"/>
      <c r="HM532" s="1"/>
      <c r="HN532" s="1"/>
      <c r="HO532" s="1"/>
      <c r="HP532" s="1"/>
      <c r="HQ532" s="1"/>
      <c r="HR532" s="1"/>
      <c r="HS532" s="1"/>
      <c r="HT532" s="1"/>
      <c r="HU532" s="1"/>
      <c r="HV532" s="1"/>
      <c r="HW532" s="1"/>
      <c r="HX532" s="1"/>
      <c r="HY532" s="1"/>
      <c r="HZ532" s="1"/>
      <c r="IA532" s="1"/>
      <c r="IB532" s="1"/>
      <c r="IC532" s="1"/>
      <c r="ID532" s="1"/>
      <c r="IE532" s="1"/>
      <c r="IF532" s="1"/>
      <c r="IG532" s="1"/>
      <c r="IH532" s="1"/>
      <c r="II532" s="1"/>
      <c r="IJ532" s="1"/>
      <c r="IK532" s="1"/>
      <c r="IL532" s="1"/>
      <c r="IM532" s="1"/>
      <c r="IN532" s="1"/>
      <c r="IO532" s="1"/>
      <c r="IP532" s="1"/>
      <c r="IQ532" s="1"/>
      <c r="IR532" s="1"/>
      <c r="IS532" s="1"/>
      <c r="IT532" s="1"/>
      <c r="IU532" s="1"/>
      <c r="IV532" s="1"/>
      <c r="IW532" s="1"/>
      <c r="IX532" s="1"/>
      <c r="IY532" s="1"/>
      <c r="IZ532" s="1"/>
      <c r="JA532" s="1"/>
      <c r="JB532" s="1"/>
      <c r="JC532" s="1"/>
      <c r="JD532" s="1"/>
    </row>
    <row r="533" spans="1:264" s="347" customFormat="1" x14ac:dyDescent="0.2">
      <c r="A533" s="436" t="s">
        <v>445</v>
      </c>
      <c r="B533" s="466"/>
      <c r="C533" s="463"/>
      <c r="D533" s="463"/>
      <c r="E533" s="463"/>
      <c r="F533" s="463"/>
      <c r="G533" s="463"/>
      <c r="H533" s="463"/>
      <c r="I533" s="463"/>
      <c r="J533" s="463"/>
      <c r="K533" s="463"/>
      <c r="L533" s="463"/>
      <c r="M533" s="463"/>
      <c r="N533" s="463"/>
      <c r="O533" s="463"/>
      <c r="P533" s="463"/>
      <c r="Q533" s="463"/>
      <c r="R533" s="463"/>
      <c r="S533" s="463"/>
      <c r="T533" s="463"/>
      <c r="U533" s="463"/>
      <c r="V533" s="463"/>
      <c r="W533" s="463"/>
      <c r="X533" s="463"/>
      <c r="Y533" s="463"/>
      <c r="Z533" s="463"/>
      <c r="AA533" s="463"/>
      <c r="AB533" s="463"/>
      <c r="AC533" s="463"/>
      <c r="AD533" s="463"/>
      <c r="AE533" s="463"/>
      <c r="AF533" s="463"/>
      <c r="AG533" s="463"/>
      <c r="AH533" s="463"/>
      <c r="AI533" s="463"/>
      <c r="AJ533" s="463"/>
      <c r="AK533" s="463"/>
      <c r="AL533" s="463"/>
      <c r="AM533" s="463"/>
      <c r="AN533" s="463"/>
      <c r="AO533" s="463"/>
      <c r="AP533" s="463"/>
      <c r="AQ533" s="463"/>
      <c r="AR533" s="463"/>
      <c r="AS533" s="463"/>
      <c r="AT533" s="463"/>
      <c r="AU533" s="463"/>
      <c r="AV533" s="463"/>
      <c r="AW533" s="463"/>
      <c r="AX533" s="463"/>
      <c r="AY533" s="463"/>
      <c r="AZ533" s="463"/>
      <c r="BA533" s="463"/>
      <c r="BB533" s="463"/>
      <c r="BC533" s="463"/>
      <c r="BD533" s="463"/>
      <c r="BE533" s="463"/>
      <c r="BF533" s="463"/>
      <c r="BG533" s="463"/>
      <c r="BH533" s="466"/>
      <c r="BI533" s="465">
        <f>+BI490/BI532</f>
        <v>0.99594590932495053</v>
      </c>
      <c r="BJ533" s="437"/>
      <c r="BK533" s="437"/>
      <c r="BL533" s="465">
        <f>+BL490/BL532</f>
        <v>0.99549916089360602</v>
      </c>
      <c r="BM533" s="465">
        <f>+BM490/BM532</f>
        <v>1.0127796501608894</v>
      </c>
      <c r="BN533" s="437"/>
      <c r="BO533" s="466"/>
      <c r="BP533" s="465">
        <f>+BP490/BP532</f>
        <v>0.99412422016058066</v>
      </c>
      <c r="BQ533" s="465">
        <f>+BQ490/BQ532</f>
        <v>1.0102913882702302</v>
      </c>
      <c r="BR533" s="437"/>
      <c r="BS533" s="463"/>
      <c r="BT533" s="465">
        <f>+BT490/BT532</f>
        <v>1.0236625404371804</v>
      </c>
      <c r="BU533" s="465">
        <f>+BU490/BU532</f>
        <v>1.0058421057504467</v>
      </c>
      <c r="BV533" s="437"/>
      <c r="BW533" s="463"/>
      <c r="BX533" s="465">
        <f>+BX490/BX532</f>
        <v>1.0049912297787469</v>
      </c>
      <c r="BY533" s="465">
        <f>+BY490/BY532</f>
        <v>1.0141741628896792</v>
      </c>
      <c r="BZ533" s="437"/>
      <c r="CA533" s="463"/>
      <c r="CB533" s="465">
        <f>+CB490/CB532</f>
        <v>1.0023722454505306</v>
      </c>
      <c r="CC533" s="465">
        <f>+CC490/CC532</f>
        <v>1.0130943500447835</v>
      </c>
      <c r="CD533" s="437"/>
      <c r="CE533" s="463"/>
      <c r="CF533" s="465">
        <f>+CF490/CF532</f>
        <v>1.0000127838330535</v>
      </c>
      <c r="CG533" s="465">
        <f>+CG490/CG532</f>
        <v>0.99466307464950243</v>
      </c>
      <c r="CH533" s="437"/>
      <c r="CI533" s="463"/>
      <c r="CJ533" s="465">
        <f>+CJ490/CJ532</f>
        <v>1.0053200570444241</v>
      </c>
      <c r="CK533" s="465">
        <f>+CK490/CK532</f>
        <v>1.0187181225846835</v>
      </c>
      <c r="CL533" s="437"/>
      <c r="CM533" s="463"/>
      <c r="CN533" s="465">
        <f>+CN490/CN532</f>
        <v>0.99398705638574614</v>
      </c>
      <c r="CO533" s="465">
        <f>+CO490/CO532</f>
        <v>0.97329561143594545</v>
      </c>
      <c r="CP533" s="437"/>
      <c r="CQ533" s="463"/>
      <c r="CR533" s="465">
        <f>+CR490/CR532</f>
        <v>1.0038018980495367</v>
      </c>
      <c r="CS533" s="465">
        <f>+CS490/CS532</f>
        <v>0.99175712546716321</v>
      </c>
      <c r="CT533" s="437"/>
      <c r="CU533" s="463"/>
      <c r="CV533" s="465">
        <f>+CV490/CV532</f>
        <v>1.0032119262527677</v>
      </c>
      <c r="CW533" s="465">
        <f>+CW490/CW532</f>
        <v>0.9980294646551322</v>
      </c>
      <c r="CX533" s="437"/>
      <c r="CY533" s="463"/>
      <c r="CZ533" s="465">
        <f>+CZ490/CZ532</f>
        <v>0.99863628741112931</v>
      </c>
      <c r="DA533" s="465">
        <f>+DA490/DA532</f>
        <v>1.0047678993851887</v>
      </c>
      <c r="DB533" s="437"/>
      <c r="DC533" s="463"/>
      <c r="DD533" s="465">
        <f>+DD490/DD532</f>
        <v>0.9886788712586464</v>
      </c>
      <c r="DE533" s="465">
        <f>+DE490/DE532</f>
        <v>0.98976211000369974</v>
      </c>
      <c r="DF533" s="437"/>
      <c r="DG533" s="463"/>
      <c r="DH533" s="465">
        <f>+DH490/DH532</f>
        <v>0.99484493726215162</v>
      </c>
      <c r="DI533" s="482">
        <f>DH533</f>
        <v>0.99484493726215162</v>
      </c>
      <c r="DJ533" s="465">
        <f ca="1">+DJ490/DJ532</f>
        <v>0.99586405199090211</v>
      </c>
      <c r="DK533" s="463"/>
      <c r="DL533" s="482">
        <f>DI533</f>
        <v>0.99484493726215162</v>
      </c>
      <c r="DM533" s="482">
        <f>DL533</f>
        <v>0.99484493726215162</v>
      </c>
      <c r="DN533" s="465">
        <f ca="1">+DN490/DN532</f>
        <v>0.99420738270692233</v>
      </c>
      <c r="DO533" s="463"/>
      <c r="DP533" s="482">
        <f>DM533</f>
        <v>0.99484493726215162</v>
      </c>
      <c r="DQ533" s="482">
        <f>DP533</f>
        <v>0.99484493726215162</v>
      </c>
      <c r="DR533" s="465">
        <f ca="1">+DR490/DR532</f>
        <v>0.9942910684024806</v>
      </c>
      <c r="DS533" s="463"/>
      <c r="DT533" s="1"/>
      <c r="DU533" s="1"/>
      <c r="DV533" s="1"/>
      <c r="DW533" s="1"/>
      <c r="DX533" s="1"/>
      <c r="DY533" s="1"/>
      <c r="DZ533" s="1"/>
      <c r="EA533" s="1"/>
      <c r="EB533" s="1"/>
      <c r="EC533" s="1"/>
      <c r="ED533" s="1"/>
      <c r="EE533" s="1"/>
      <c r="EF533" s="1"/>
      <c r="EG533" s="1"/>
      <c r="EH533" s="1"/>
      <c r="EI533" s="1"/>
      <c r="EJ533" s="1"/>
      <c r="EK533" s="1"/>
      <c r="EL533" s="1"/>
      <c r="EM533" s="1"/>
      <c r="EN533" s="1"/>
      <c r="EO533" s="1"/>
      <c r="EP533" s="1"/>
      <c r="EQ533" s="1"/>
      <c r="ER533" s="1"/>
      <c r="ES533" s="1"/>
      <c r="ET533" s="1"/>
      <c r="EU533" s="1"/>
      <c r="EV533" s="1"/>
      <c r="EW533" s="1"/>
      <c r="EX533" s="1"/>
      <c r="EY533" s="1"/>
      <c r="EZ533" s="1"/>
      <c r="FA533" s="1"/>
      <c r="FB533" s="1"/>
      <c r="FC533" s="1"/>
      <c r="FD533" s="1"/>
      <c r="FE533" s="1"/>
      <c r="FF533" s="1"/>
      <c r="FG533" s="1"/>
      <c r="FH533" s="1"/>
      <c r="FI533" s="1"/>
      <c r="FJ533" s="1"/>
      <c r="FK533" s="1"/>
      <c r="FL533" s="1"/>
      <c r="FM533" s="1"/>
      <c r="FN533" s="1"/>
      <c r="FO533" s="1"/>
      <c r="FP533" s="1"/>
      <c r="FQ533" s="1"/>
      <c r="FR533" s="1"/>
      <c r="FS533" s="1"/>
      <c r="FT533" s="1"/>
      <c r="FU533" s="1"/>
      <c r="FV533" s="1"/>
      <c r="FW533" s="1"/>
      <c r="FX533" s="1"/>
      <c r="FY533" s="1"/>
      <c r="FZ533" s="1"/>
      <c r="GA533" s="1"/>
      <c r="GB533" s="1"/>
      <c r="GC533" s="1"/>
      <c r="GD533" s="1"/>
      <c r="GE533" s="1"/>
      <c r="GF533" s="1"/>
      <c r="GG533" s="1"/>
      <c r="GH533" s="1"/>
      <c r="GI533" s="1"/>
      <c r="GJ533" s="1"/>
      <c r="GK533" s="1"/>
      <c r="GL533" s="1"/>
      <c r="GM533" s="1"/>
      <c r="GN533" s="1"/>
      <c r="GO533" s="1"/>
      <c r="GP533" s="1"/>
      <c r="GQ533" s="1"/>
      <c r="GR533" s="1"/>
      <c r="GS533" s="1"/>
      <c r="GT533" s="1"/>
      <c r="GU533" s="1"/>
      <c r="GV533" s="1"/>
      <c r="GW533" s="1"/>
      <c r="GX533" s="1"/>
      <c r="GY533" s="1"/>
      <c r="GZ533" s="1"/>
      <c r="HA533" s="1"/>
      <c r="HB533" s="1"/>
      <c r="HC533" s="1"/>
      <c r="HD533" s="1"/>
      <c r="HE533" s="1"/>
      <c r="HF533" s="1"/>
      <c r="HG533" s="1"/>
      <c r="HH533" s="1"/>
      <c r="HI533" s="1"/>
      <c r="HJ533" s="1"/>
      <c r="HK533" s="1"/>
      <c r="HL533" s="1"/>
      <c r="HM533" s="1"/>
      <c r="HN533" s="1"/>
      <c r="HO533" s="1"/>
      <c r="HP533" s="1"/>
      <c r="HQ533" s="1"/>
      <c r="HR533" s="1"/>
      <c r="HS533" s="1"/>
      <c r="HT533" s="1"/>
      <c r="HU533" s="1"/>
      <c r="HV533" s="1"/>
      <c r="HW533" s="1"/>
      <c r="HX533" s="1"/>
      <c r="HY533" s="1"/>
      <c r="HZ533" s="1"/>
      <c r="IA533" s="1"/>
      <c r="IB533" s="1"/>
      <c r="IC533" s="1"/>
      <c r="ID533" s="1"/>
      <c r="IE533" s="1"/>
      <c r="IF533" s="1"/>
      <c r="IG533" s="1"/>
      <c r="IH533" s="1"/>
      <c r="II533" s="1"/>
      <c r="IJ533" s="1"/>
      <c r="IK533" s="1"/>
      <c r="IL533" s="1"/>
      <c r="IM533" s="1"/>
      <c r="IN533" s="1"/>
      <c r="IO533" s="1"/>
      <c r="IP533" s="1"/>
      <c r="IQ533" s="1"/>
      <c r="IR533" s="1"/>
      <c r="IS533" s="1"/>
      <c r="IT533" s="1"/>
      <c r="IU533" s="1"/>
      <c r="IV533" s="1"/>
      <c r="IW533" s="1"/>
      <c r="IX533" s="1"/>
      <c r="IY533" s="1"/>
      <c r="IZ533" s="1"/>
      <c r="JA533" s="1"/>
      <c r="JB533" s="1"/>
      <c r="JC533" s="1"/>
      <c r="JD533" s="1"/>
    </row>
    <row r="534" spans="1:264" s="347" customFormat="1" x14ac:dyDescent="0.2">
      <c r="B534" s="348"/>
      <c r="BH534" s="348"/>
      <c r="BI534" s="348"/>
      <c r="BJ534" s="348"/>
      <c r="BK534" s="348"/>
      <c r="BL534" s="348"/>
      <c r="BM534" s="348"/>
      <c r="BN534" s="348"/>
      <c r="BO534" s="348"/>
      <c r="BP534" s="348"/>
      <c r="BQ534" s="348"/>
      <c r="BR534" s="348"/>
      <c r="BT534" s="348"/>
      <c r="BU534" s="348"/>
      <c r="BV534" s="348"/>
      <c r="BX534" s="348"/>
      <c r="BY534" s="348"/>
      <c r="CB534" s="348"/>
      <c r="CC534" s="348"/>
      <c r="CF534" s="348"/>
      <c r="CG534" s="348"/>
      <c r="CJ534" s="348"/>
      <c r="CK534" s="348"/>
      <c r="CN534" s="348"/>
      <c r="CO534" s="348"/>
      <c r="CR534" s="348"/>
      <c r="CS534" s="348"/>
      <c r="CV534" s="348"/>
      <c r="CW534" s="348"/>
      <c r="CZ534" s="348"/>
      <c r="DA534" s="348"/>
      <c r="DD534" s="348"/>
      <c r="DE534" s="348"/>
      <c r="DH534" s="348"/>
      <c r="DI534" s="348"/>
      <c r="DL534" s="348"/>
      <c r="DM534" s="348"/>
      <c r="DP534" s="348"/>
      <c r="DQ534" s="348"/>
      <c r="DT534" s="1"/>
      <c r="DU534" s="1"/>
      <c r="DV534" s="1"/>
      <c r="DW534" s="1"/>
      <c r="DX534" s="1"/>
      <c r="DY534" s="1"/>
      <c r="DZ534" s="1"/>
      <c r="EA534" s="1"/>
      <c r="EB534" s="1"/>
      <c r="EC534" s="1"/>
      <c r="ED534" s="1"/>
      <c r="EE534" s="1"/>
      <c r="EF534" s="1"/>
      <c r="EG534" s="1"/>
      <c r="EH534" s="1"/>
      <c r="EI534" s="1"/>
      <c r="EJ534" s="1"/>
      <c r="EK534" s="1"/>
      <c r="EL534" s="1"/>
      <c r="EM534" s="1"/>
      <c r="EN534" s="1"/>
      <c r="EO534" s="1"/>
      <c r="EP534" s="1"/>
      <c r="EQ534" s="1"/>
      <c r="ER534" s="1"/>
      <c r="ES534" s="1"/>
      <c r="ET534" s="1"/>
      <c r="EU534" s="1"/>
      <c r="EV534" s="1"/>
      <c r="EW534" s="1"/>
      <c r="EX534" s="1"/>
      <c r="EY534" s="1"/>
      <c r="EZ534" s="1"/>
      <c r="FA534" s="1"/>
      <c r="FB534" s="1"/>
      <c r="FC534" s="1"/>
      <c r="FD534" s="1"/>
      <c r="FE534" s="1"/>
      <c r="FF534" s="1"/>
      <c r="FG534" s="1"/>
      <c r="FH534" s="1"/>
      <c r="FI534" s="1"/>
      <c r="FJ534" s="1"/>
      <c r="FK534" s="1"/>
      <c r="FL534" s="1"/>
      <c r="FM534" s="1"/>
      <c r="FN534" s="1"/>
      <c r="FO534" s="1"/>
      <c r="FP534" s="1"/>
      <c r="FQ534" s="1"/>
      <c r="FR534" s="1"/>
      <c r="FS534" s="1"/>
      <c r="FT534" s="1"/>
      <c r="FU534" s="1"/>
      <c r="FV534" s="1"/>
      <c r="FW534" s="1"/>
      <c r="FX534" s="1"/>
      <c r="FY534" s="1"/>
      <c r="FZ534" s="1"/>
      <c r="GA534" s="1"/>
      <c r="GB534" s="1"/>
      <c r="GC534" s="1"/>
      <c r="GD534" s="1"/>
      <c r="GE534" s="1"/>
      <c r="GF534" s="1"/>
      <c r="GG534" s="1"/>
      <c r="GH534" s="1"/>
      <c r="GI534" s="1"/>
      <c r="GJ534" s="1"/>
      <c r="GK534" s="1"/>
      <c r="GL534" s="1"/>
      <c r="GM534" s="1"/>
      <c r="GN534" s="1"/>
      <c r="GO534" s="1"/>
      <c r="GP534" s="1"/>
      <c r="GQ534" s="1"/>
      <c r="GR534" s="1"/>
      <c r="GS534" s="1"/>
      <c r="GT534" s="1"/>
      <c r="GU534" s="1"/>
      <c r="GV534" s="1"/>
      <c r="GW534" s="1"/>
      <c r="GX534" s="1"/>
      <c r="GY534" s="1"/>
      <c r="GZ534" s="1"/>
      <c r="HA534" s="1"/>
      <c r="HB534" s="1"/>
      <c r="HC534" s="1"/>
      <c r="HD534" s="1"/>
      <c r="HE534" s="1"/>
      <c r="HF534" s="1"/>
      <c r="HG534" s="1"/>
      <c r="HH534" s="1"/>
      <c r="HI534" s="1"/>
      <c r="HJ534" s="1"/>
      <c r="HK534" s="1"/>
      <c r="HL534" s="1"/>
      <c r="HM534" s="1"/>
      <c r="HN534" s="1"/>
      <c r="HO534" s="1"/>
      <c r="HP534" s="1"/>
      <c r="HQ534" s="1"/>
      <c r="HR534" s="1"/>
      <c r="HS534" s="1"/>
      <c r="HT534" s="1"/>
      <c r="HU534" s="1"/>
      <c r="HV534" s="1"/>
      <c r="HW534" s="1"/>
      <c r="HX534" s="1"/>
      <c r="HY534" s="1"/>
      <c r="HZ534" s="1"/>
      <c r="IA534" s="1"/>
      <c r="IB534" s="1"/>
      <c r="IC534" s="1"/>
      <c r="ID534" s="1"/>
      <c r="IE534" s="1"/>
      <c r="IF534" s="1"/>
      <c r="IG534" s="1"/>
      <c r="IH534" s="1"/>
      <c r="II534" s="1"/>
      <c r="IJ534" s="1"/>
      <c r="IK534" s="1"/>
      <c r="IL534" s="1"/>
      <c r="IM534" s="1"/>
      <c r="IN534" s="1"/>
      <c r="IO534" s="1"/>
      <c r="IP534" s="1"/>
      <c r="IQ534" s="1"/>
      <c r="IR534" s="1"/>
      <c r="IS534" s="1"/>
      <c r="IT534" s="1"/>
      <c r="IU534" s="1"/>
      <c r="IV534" s="1"/>
      <c r="IW534" s="1"/>
      <c r="IX534" s="1"/>
      <c r="IY534" s="1"/>
      <c r="IZ534" s="1"/>
      <c r="JA534" s="1"/>
      <c r="JB534" s="1"/>
      <c r="JC534" s="1"/>
      <c r="JD534" s="1"/>
    </row>
    <row r="535" spans="1:264" s="347" customFormat="1" x14ac:dyDescent="0.2">
      <c r="A535" s="347" t="s">
        <v>358</v>
      </c>
      <c r="B535" s="348"/>
      <c r="BH535" s="351">
        <f>BH396</f>
        <v>678835</v>
      </c>
      <c r="BI535" s="351">
        <f>BI396</f>
        <v>708320</v>
      </c>
      <c r="BJ535" s="351">
        <f>BI535</f>
        <v>708320</v>
      </c>
      <c r="BK535" s="348"/>
      <c r="BL535" s="351">
        <f>BL396</f>
        <v>735264</v>
      </c>
      <c r="BM535" s="351">
        <f>BM396</f>
        <v>742103</v>
      </c>
      <c r="BN535" s="351">
        <f>BM535</f>
        <v>742103</v>
      </c>
      <c r="BO535" s="348"/>
      <c r="BP535" s="351">
        <f>BP396</f>
        <v>799683</v>
      </c>
      <c r="BQ535" s="351">
        <f>BQ396</f>
        <v>820453</v>
      </c>
      <c r="BR535" s="351">
        <f>BQ535</f>
        <v>820453</v>
      </c>
      <c r="BT535" s="351">
        <f>BT396</f>
        <v>843228</v>
      </c>
      <c r="BU535" s="351">
        <f>BU396</f>
        <v>872322</v>
      </c>
      <c r="BV535" s="351">
        <f>BU535</f>
        <v>872322</v>
      </c>
      <c r="BX535" s="351">
        <f>BX396</f>
        <v>909907</v>
      </c>
      <c r="BY535" s="351">
        <f>BY396</f>
        <v>912658</v>
      </c>
      <c r="BZ535" s="351">
        <f>BY535</f>
        <v>912658</v>
      </c>
      <c r="CB535" s="351">
        <f>CB396</f>
        <v>895839</v>
      </c>
      <c r="CC535" s="351">
        <f>CC396</f>
        <v>907305</v>
      </c>
      <c r="CD535" s="351">
        <f>CC535</f>
        <v>907305</v>
      </c>
      <c r="CF535" s="351">
        <f>CF396</f>
        <v>911852</v>
      </c>
      <c r="CG535" s="351">
        <f>CG396</f>
        <v>906853</v>
      </c>
      <c r="CH535" s="351">
        <f>CG535</f>
        <v>906853</v>
      </c>
      <c r="CJ535" s="351">
        <f>CJ396</f>
        <v>908715</v>
      </c>
      <c r="CK535" s="351">
        <f>CK396</f>
        <v>943533</v>
      </c>
      <c r="CL535" s="351">
        <f>CK535</f>
        <v>943533</v>
      </c>
      <c r="CN535" s="351">
        <f>CN396</f>
        <v>984300</v>
      </c>
      <c r="CO535" s="351">
        <f>CO396</f>
        <v>1013244</v>
      </c>
      <c r="CP535" s="351">
        <f>CO535</f>
        <v>1013244</v>
      </c>
      <c r="CR535" s="351">
        <f>CR396</f>
        <v>1075150</v>
      </c>
      <c r="CS535" s="351">
        <f>CS396</f>
        <v>1142422</v>
      </c>
      <c r="CT535" s="351">
        <f>CS535</f>
        <v>1142422</v>
      </c>
      <c r="CV535" s="351">
        <f>CV396</f>
        <v>1159860</v>
      </c>
      <c r="CW535" s="351">
        <f>CW396</f>
        <v>1180790</v>
      </c>
      <c r="CX535" s="351">
        <f>CW535</f>
        <v>1180790</v>
      </c>
      <c r="CZ535" s="351">
        <f>CZ396</f>
        <v>1203130</v>
      </c>
      <c r="DA535" s="351">
        <f>DA396</f>
        <v>1180988</v>
      </c>
      <c r="DB535" s="351">
        <f>DA535</f>
        <v>1180988</v>
      </c>
      <c r="DD535" s="351">
        <f>DD396</f>
        <v>1233302</v>
      </c>
      <c r="DE535" s="351">
        <f>DE396</f>
        <v>1275023</v>
      </c>
      <c r="DF535" s="351">
        <f>DE535</f>
        <v>1275023</v>
      </c>
      <c r="DH535" s="351">
        <f>DH396</f>
        <v>1331496</v>
      </c>
      <c r="DI535" s="351">
        <f ca="1">DI396</f>
        <v>1378972.4065792374</v>
      </c>
      <c r="DJ535" s="351">
        <f ca="1">DI535</f>
        <v>1378972.4065792374</v>
      </c>
      <c r="DL535" s="351">
        <f ca="1">DL396</f>
        <v>1420557.9258230359</v>
      </c>
      <c r="DM535" s="351">
        <f ca="1">DM396</f>
        <v>1465715.3843466155</v>
      </c>
      <c r="DN535" s="351">
        <f ca="1">DM535</f>
        <v>1465715.3843466155</v>
      </c>
      <c r="DP535" s="351">
        <f ca="1">DP396</f>
        <v>1500677.4999846099</v>
      </c>
      <c r="DQ535" s="351">
        <f ca="1">DQ396</f>
        <v>1538680.9279058413</v>
      </c>
      <c r="DR535" s="351">
        <f ca="1">DQ535</f>
        <v>1538680.9279058413</v>
      </c>
      <c r="DT535" s="1"/>
      <c r="DU535" s="1"/>
      <c r="DV535" s="1"/>
      <c r="DW535" s="1"/>
      <c r="DX535" s="1"/>
      <c r="DY535" s="1"/>
      <c r="DZ535" s="1"/>
      <c r="EA535" s="1"/>
      <c r="EB535" s="1"/>
      <c r="EC535" s="1"/>
      <c r="ED535" s="1"/>
      <c r="EE535" s="1"/>
      <c r="EF535" s="1"/>
      <c r="EG535" s="1"/>
      <c r="EH535" s="1"/>
      <c r="EI535" s="1"/>
      <c r="EJ535" s="1"/>
      <c r="EK535" s="1"/>
      <c r="EL535" s="1"/>
      <c r="EM535" s="1"/>
      <c r="EN535" s="1"/>
      <c r="EO535" s="1"/>
      <c r="EP535" s="1"/>
      <c r="EQ535" s="1"/>
      <c r="ER535" s="1"/>
      <c r="ES535" s="1"/>
      <c r="ET535" s="1"/>
      <c r="EU535" s="1"/>
      <c r="EV535" s="1"/>
      <c r="EW535" s="1"/>
      <c r="EX535" s="1"/>
      <c r="EY535" s="1"/>
      <c r="EZ535" s="1"/>
      <c r="FA535" s="1"/>
      <c r="FB535" s="1"/>
      <c r="FC535" s="1"/>
      <c r="FD535" s="1"/>
      <c r="FE535" s="1"/>
      <c r="FF535" s="1"/>
      <c r="FG535" s="1"/>
      <c r="FH535" s="1"/>
      <c r="FI535" s="1"/>
      <c r="FJ535" s="1"/>
      <c r="FK535" s="1"/>
      <c r="FL535" s="1"/>
      <c r="FM535" s="1"/>
      <c r="FN535" s="1"/>
      <c r="FO535" s="1"/>
      <c r="FP535" s="1"/>
      <c r="FQ535" s="1"/>
      <c r="FR535" s="1"/>
      <c r="FS535" s="1"/>
      <c r="FT535" s="1"/>
      <c r="FU535" s="1"/>
      <c r="FV535" s="1"/>
      <c r="FW535" s="1"/>
      <c r="FX535" s="1"/>
      <c r="FY535" s="1"/>
      <c r="FZ535" s="1"/>
      <c r="GA535" s="1"/>
      <c r="GB535" s="1"/>
      <c r="GC535" s="1"/>
      <c r="GD535" s="1"/>
      <c r="GE535" s="1"/>
      <c r="GF535" s="1"/>
      <c r="GG535" s="1"/>
      <c r="GH535" s="1"/>
      <c r="GI535" s="1"/>
      <c r="GJ535" s="1"/>
      <c r="GK535" s="1"/>
      <c r="GL535" s="1"/>
      <c r="GM535" s="1"/>
      <c r="GN535" s="1"/>
      <c r="GO535" s="1"/>
      <c r="GP535" s="1"/>
      <c r="GQ535" s="1"/>
      <c r="GR535" s="1"/>
      <c r="GS535" s="1"/>
      <c r="GT535" s="1"/>
      <c r="GU535" s="1"/>
      <c r="GV535" s="1"/>
      <c r="GW535" s="1"/>
      <c r="GX535" s="1"/>
      <c r="GY535" s="1"/>
      <c r="GZ535" s="1"/>
      <c r="HA535" s="1"/>
      <c r="HB535" s="1"/>
      <c r="HC535" s="1"/>
      <c r="HD535" s="1"/>
      <c r="HE535" s="1"/>
      <c r="HF535" s="1"/>
      <c r="HG535" s="1"/>
      <c r="HH535" s="1"/>
      <c r="HI535" s="1"/>
      <c r="HJ535" s="1"/>
      <c r="HK535" s="1"/>
      <c r="HL535" s="1"/>
      <c r="HM535" s="1"/>
      <c r="HN535" s="1"/>
      <c r="HO535" s="1"/>
      <c r="HP535" s="1"/>
      <c r="HQ535" s="1"/>
      <c r="HR535" s="1"/>
      <c r="HS535" s="1"/>
      <c r="HT535" s="1"/>
      <c r="HU535" s="1"/>
      <c r="HV535" s="1"/>
      <c r="HW535" s="1"/>
      <c r="HX535" s="1"/>
      <c r="HY535" s="1"/>
      <c r="HZ535" s="1"/>
      <c r="IA535" s="1"/>
      <c r="IB535" s="1"/>
      <c r="IC535" s="1"/>
      <c r="ID535" s="1"/>
      <c r="IE535" s="1"/>
      <c r="IF535" s="1"/>
      <c r="IG535" s="1"/>
      <c r="IH535" s="1"/>
      <c r="II535" s="1"/>
      <c r="IJ535" s="1"/>
      <c r="IK535" s="1"/>
      <c r="IL535" s="1"/>
      <c r="IM535" s="1"/>
      <c r="IN535" s="1"/>
      <c r="IO535" s="1"/>
      <c r="IP535" s="1"/>
      <c r="IQ535" s="1"/>
      <c r="IR535" s="1"/>
      <c r="IS535" s="1"/>
      <c r="IT535" s="1"/>
      <c r="IU535" s="1"/>
      <c r="IV535" s="1"/>
      <c r="IW535" s="1"/>
      <c r="IX535" s="1"/>
      <c r="IY535" s="1"/>
      <c r="IZ535" s="1"/>
      <c r="JA535" s="1"/>
      <c r="JB535" s="1"/>
      <c r="JC535" s="1"/>
      <c r="JD535" s="1"/>
    </row>
    <row r="536" spans="1:264" s="347" customFormat="1" x14ac:dyDescent="0.2">
      <c r="A536" s="429" t="s">
        <v>442</v>
      </c>
      <c r="B536" s="348"/>
      <c r="BH536" s="348"/>
      <c r="BI536" s="456">
        <f>AVERAGE(BI535,BH535)</f>
        <v>693577.5</v>
      </c>
      <c r="BJ536" s="408"/>
      <c r="BK536" s="408"/>
      <c r="BL536" s="456">
        <f>AVERAGE(BL535,BI535)</f>
        <v>721792</v>
      </c>
      <c r="BM536" s="456">
        <f>AVERAGE(BM535,BL535)</f>
        <v>738683.5</v>
      </c>
      <c r="BN536" s="408"/>
      <c r="BO536" s="348"/>
      <c r="BP536" s="456">
        <f>AVERAGE(BP535,BM535)</f>
        <v>770893</v>
      </c>
      <c r="BQ536" s="456">
        <f>AVERAGE(BQ535,BP535)</f>
        <v>810068</v>
      </c>
      <c r="BR536" s="408"/>
      <c r="BS536" s="429"/>
      <c r="BT536" s="456">
        <f>AVERAGE(BT535,BQ535)</f>
        <v>831840.5</v>
      </c>
      <c r="BU536" s="456">
        <f>AVERAGE(BU535,BT535)</f>
        <v>857775</v>
      </c>
      <c r="BV536" s="408"/>
      <c r="BW536" s="429"/>
      <c r="BX536" s="456">
        <f>AVERAGE(BX535,BU535)</f>
        <v>891114.5</v>
      </c>
      <c r="BY536" s="456">
        <f>AVERAGE(BY535,BX535)</f>
        <v>911282.5</v>
      </c>
      <c r="BZ536" s="408"/>
      <c r="CA536" s="429"/>
      <c r="CB536" s="456">
        <f>AVERAGE(CB535,BY535)</f>
        <v>904248.5</v>
      </c>
      <c r="CC536" s="456">
        <f>AVERAGE(CC535,CB535)</f>
        <v>901572</v>
      </c>
      <c r="CD536" s="408"/>
      <c r="CF536" s="456">
        <f>AVERAGE(CF535,CC535)</f>
        <v>909578.5</v>
      </c>
      <c r="CG536" s="456">
        <f>AVERAGE(CG535,CF535)</f>
        <v>909352.5</v>
      </c>
      <c r="CH536" s="408"/>
      <c r="CJ536" s="456">
        <f>AVERAGE(CJ535,CG535)</f>
        <v>907784</v>
      </c>
      <c r="CK536" s="456">
        <f>AVERAGE(CK535,CJ535)</f>
        <v>926124</v>
      </c>
      <c r="CL536" s="456">
        <f>AVERAGE(CL535,CH535)</f>
        <v>925193</v>
      </c>
      <c r="CN536" s="456">
        <f>AVERAGE(CN535,CK535)</f>
        <v>963916.5</v>
      </c>
      <c r="CO536" s="456">
        <f>AVERAGE(CO535,CN535)</f>
        <v>998772</v>
      </c>
      <c r="CP536" s="456">
        <f>AVERAGE(CP535,CL535)</f>
        <v>978388.5</v>
      </c>
      <c r="CR536" s="456">
        <f>AVERAGE(CR535,CO535)</f>
        <v>1044197</v>
      </c>
      <c r="CS536" s="456">
        <f>AVERAGE(CS535,CR535)</f>
        <v>1108786</v>
      </c>
      <c r="CT536" s="456">
        <f>AVERAGE(CT535,CP535)</f>
        <v>1077833</v>
      </c>
      <c r="CV536" s="456">
        <f>AVERAGE(CV535,CS535)</f>
        <v>1151141</v>
      </c>
      <c r="CW536" s="456">
        <f>AVERAGE(CW535,CV535)</f>
        <v>1170325</v>
      </c>
      <c r="CX536" s="456">
        <f>AVERAGE(CX535,CT535)</f>
        <v>1161606</v>
      </c>
      <c r="CZ536" s="456">
        <f>AVERAGE(CZ535,CW535)</f>
        <v>1191960</v>
      </c>
      <c r="DA536" s="456">
        <f>AVERAGE(DA535,CZ535)</f>
        <v>1192059</v>
      </c>
      <c r="DB536" s="456">
        <f>AVERAGE(DB535,CX535)</f>
        <v>1180889</v>
      </c>
      <c r="DD536" s="456">
        <f>AVERAGE(DD535,DA535)</f>
        <v>1207145</v>
      </c>
      <c r="DE536" s="456">
        <f>AVERAGE(DE535,DD535)</f>
        <v>1254162.5</v>
      </c>
      <c r="DF536" s="456">
        <f>AVERAGE(DF535,DB535)</f>
        <v>1228005.5</v>
      </c>
      <c r="DH536" s="456">
        <f>AVERAGE(DH535,DE535)</f>
        <v>1303259.5</v>
      </c>
      <c r="DI536" s="456">
        <f ca="1">AVERAGE(DI535,DH535)</f>
        <v>1355234.2032896187</v>
      </c>
      <c r="DJ536" s="456">
        <f ca="1">AVERAGE(DJ535,DF535)</f>
        <v>1326997.7032896187</v>
      </c>
      <c r="DL536" s="456">
        <f ca="1">AVERAGE(DL535,DI535)</f>
        <v>1399765.1662011365</v>
      </c>
      <c r="DM536" s="456">
        <f ca="1">AVERAGE(DM535,DL535)</f>
        <v>1443136.6550848256</v>
      </c>
      <c r="DN536" s="456">
        <f ca="1">AVERAGE(DN535,DJ535)</f>
        <v>1422343.8954629265</v>
      </c>
      <c r="DP536" s="456">
        <f ca="1">AVERAGE(DP535,DM535)</f>
        <v>1483196.4421656127</v>
      </c>
      <c r="DQ536" s="456">
        <f ca="1">AVERAGE(DQ535,DP535)</f>
        <v>1519679.2139452256</v>
      </c>
      <c r="DR536" s="456">
        <f ca="1">AVERAGE(DR535,DN535)</f>
        <v>1502198.1561262284</v>
      </c>
      <c r="DT536" s="1"/>
      <c r="DU536" s="1"/>
      <c r="DV536" s="1"/>
      <c r="DW536" s="1"/>
      <c r="DX536" s="1"/>
      <c r="DY536" s="1"/>
      <c r="DZ536" s="1"/>
      <c r="EA536" s="1"/>
      <c r="EB536" s="1"/>
      <c r="EC536" s="1"/>
      <c r="ED536" s="1"/>
      <c r="EE536" s="1"/>
      <c r="EF536" s="1"/>
      <c r="EG536" s="1"/>
      <c r="EH536" s="1"/>
      <c r="EI536" s="1"/>
      <c r="EJ536" s="1"/>
      <c r="EK536" s="1"/>
      <c r="EL536" s="1"/>
      <c r="EM536" s="1"/>
      <c r="EN536" s="1"/>
      <c r="EO536" s="1"/>
      <c r="EP536" s="1"/>
      <c r="EQ536" s="1"/>
      <c r="ER536" s="1"/>
      <c r="ES536" s="1"/>
      <c r="ET536" s="1"/>
      <c r="EU536" s="1"/>
      <c r="EV536" s="1"/>
      <c r="EW536" s="1"/>
      <c r="EX536" s="1"/>
      <c r="EY536" s="1"/>
      <c r="EZ536" s="1"/>
      <c r="FA536" s="1"/>
      <c r="FB536" s="1"/>
      <c r="FC536" s="1"/>
      <c r="FD536" s="1"/>
      <c r="FE536" s="1"/>
      <c r="FF536" s="1"/>
      <c r="FG536" s="1"/>
      <c r="FH536" s="1"/>
      <c r="FI536" s="1"/>
      <c r="FJ536" s="1"/>
      <c r="FK536" s="1"/>
      <c r="FL536" s="1"/>
      <c r="FM536" s="1"/>
      <c r="FN536" s="1"/>
      <c r="FO536" s="1"/>
      <c r="FP536" s="1"/>
      <c r="FQ536" s="1"/>
      <c r="FR536" s="1"/>
      <c r="FS536" s="1"/>
      <c r="FT536" s="1"/>
      <c r="FU536" s="1"/>
      <c r="FV536" s="1"/>
      <c r="FW536" s="1"/>
      <c r="FX536" s="1"/>
      <c r="FY536" s="1"/>
      <c r="FZ536" s="1"/>
      <c r="GA536" s="1"/>
      <c r="GB536" s="1"/>
      <c r="GC536" s="1"/>
      <c r="GD536" s="1"/>
      <c r="GE536" s="1"/>
      <c r="GF536" s="1"/>
      <c r="GG536" s="1"/>
      <c r="GH536" s="1"/>
      <c r="GI536" s="1"/>
      <c r="GJ536" s="1"/>
      <c r="GK536" s="1"/>
      <c r="GL536" s="1"/>
      <c r="GM536" s="1"/>
      <c r="GN536" s="1"/>
      <c r="GO536" s="1"/>
      <c r="GP536" s="1"/>
      <c r="GQ536" s="1"/>
      <c r="GR536" s="1"/>
      <c r="GS536" s="1"/>
      <c r="GT536" s="1"/>
      <c r="GU536" s="1"/>
      <c r="GV536" s="1"/>
      <c r="GW536" s="1"/>
      <c r="GX536" s="1"/>
      <c r="GY536" s="1"/>
      <c r="GZ536" s="1"/>
      <c r="HA536" s="1"/>
      <c r="HB536" s="1"/>
      <c r="HC536" s="1"/>
      <c r="HD536" s="1"/>
      <c r="HE536" s="1"/>
      <c r="HF536" s="1"/>
      <c r="HG536" s="1"/>
      <c r="HH536" s="1"/>
      <c r="HI536" s="1"/>
      <c r="HJ536" s="1"/>
      <c r="HK536" s="1"/>
      <c r="HL536" s="1"/>
      <c r="HM536" s="1"/>
      <c r="HN536" s="1"/>
      <c r="HO536" s="1"/>
      <c r="HP536" s="1"/>
      <c r="HQ536" s="1"/>
      <c r="HR536" s="1"/>
      <c r="HS536" s="1"/>
      <c r="HT536" s="1"/>
      <c r="HU536" s="1"/>
      <c r="HV536" s="1"/>
      <c r="HW536" s="1"/>
      <c r="HX536" s="1"/>
      <c r="HY536" s="1"/>
      <c r="HZ536" s="1"/>
      <c r="IA536" s="1"/>
      <c r="IB536" s="1"/>
      <c r="IC536" s="1"/>
      <c r="ID536" s="1"/>
      <c r="IE536" s="1"/>
      <c r="IF536" s="1"/>
      <c r="IG536" s="1"/>
      <c r="IH536" s="1"/>
      <c r="II536" s="1"/>
      <c r="IJ536" s="1"/>
      <c r="IK536" s="1"/>
      <c r="IL536" s="1"/>
      <c r="IM536" s="1"/>
      <c r="IN536" s="1"/>
      <c r="IO536" s="1"/>
      <c r="IP536" s="1"/>
      <c r="IQ536" s="1"/>
      <c r="IR536" s="1"/>
      <c r="IS536" s="1"/>
      <c r="IT536" s="1"/>
      <c r="IU536" s="1"/>
      <c r="IV536" s="1"/>
      <c r="IW536" s="1"/>
      <c r="IX536" s="1"/>
      <c r="IY536" s="1"/>
      <c r="IZ536" s="1"/>
      <c r="JA536" s="1"/>
      <c r="JB536" s="1"/>
      <c r="JC536" s="1"/>
      <c r="JD536" s="1"/>
    </row>
    <row r="537" spans="1:264" s="347" customFormat="1" x14ac:dyDescent="0.2">
      <c r="A537" s="436" t="s">
        <v>445</v>
      </c>
      <c r="B537" s="466"/>
      <c r="C537" s="463"/>
      <c r="D537" s="463"/>
      <c r="E537" s="463"/>
      <c r="F537" s="463"/>
      <c r="G537" s="463"/>
      <c r="H537" s="463"/>
      <c r="I537" s="463"/>
      <c r="J537" s="463"/>
      <c r="K537" s="463"/>
      <c r="L537" s="463"/>
      <c r="M537" s="463"/>
      <c r="N537" s="463"/>
      <c r="O537" s="463"/>
      <c r="P537" s="463"/>
      <c r="Q537" s="463"/>
      <c r="R537" s="463"/>
      <c r="S537" s="463"/>
      <c r="T537" s="463"/>
      <c r="U537" s="463"/>
      <c r="V537" s="463"/>
      <c r="W537" s="463"/>
      <c r="X537" s="463"/>
      <c r="Y537" s="463"/>
      <c r="Z537" s="463"/>
      <c r="AA537" s="463"/>
      <c r="AB537" s="463"/>
      <c r="AC537" s="463"/>
      <c r="AD537" s="463"/>
      <c r="AE537" s="463"/>
      <c r="AF537" s="463"/>
      <c r="AG537" s="463"/>
      <c r="AH537" s="463"/>
      <c r="AI537" s="463"/>
      <c r="AJ537" s="463"/>
      <c r="AK537" s="463"/>
      <c r="AL537" s="463"/>
      <c r="AM537" s="463"/>
      <c r="AN537" s="463"/>
      <c r="AO537" s="463"/>
      <c r="AP537" s="463"/>
      <c r="AQ537" s="463"/>
      <c r="AR537" s="463"/>
      <c r="AS537" s="463"/>
      <c r="AT537" s="463"/>
      <c r="AU537" s="463"/>
      <c r="AV537" s="463"/>
      <c r="AW537" s="463"/>
      <c r="AX537" s="463"/>
      <c r="AY537" s="463"/>
      <c r="AZ537" s="463"/>
      <c r="BA537" s="463"/>
      <c r="BB537" s="463"/>
      <c r="BC537" s="463"/>
      <c r="BD537" s="463"/>
      <c r="BE537" s="463"/>
      <c r="BF537" s="463"/>
      <c r="BG537" s="463"/>
      <c r="BH537" s="466"/>
      <c r="BI537" s="465">
        <f>BI498/BI536</f>
        <v>0.9956190908730459</v>
      </c>
      <c r="BJ537" s="437"/>
      <c r="BK537" s="437"/>
      <c r="BL537" s="465">
        <f>BL498/BL536</f>
        <v>0.99520914612519951</v>
      </c>
      <c r="BM537" s="465">
        <f>BM498/BM536</f>
        <v>1.0134069598143183</v>
      </c>
      <c r="BN537" s="437"/>
      <c r="BO537" s="466"/>
      <c r="BP537" s="465">
        <f>BP498/BP536</f>
        <v>0.99374232221592362</v>
      </c>
      <c r="BQ537" s="465">
        <f>BQ498/BQ536</f>
        <v>1.0107632939456934</v>
      </c>
      <c r="BR537" s="437"/>
      <c r="BS537" s="463"/>
      <c r="BT537" s="465">
        <f>BT498/BT536</f>
        <v>1.0254886603862159</v>
      </c>
      <c r="BU537" s="465">
        <f>BU498/BU536</f>
        <v>1.0076103873393372</v>
      </c>
      <c r="BV537" s="437"/>
      <c r="BW537" s="463"/>
      <c r="BX537" s="465">
        <f>BX498/BX536</f>
        <v>1.0054734829250338</v>
      </c>
      <c r="BY537" s="465">
        <f>BY498/BY536</f>
        <v>1.0150134563102002</v>
      </c>
      <c r="BZ537" s="437"/>
      <c r="CA537" s="463"/>
      <c r="CB537" s="465">
        <f>CB498/CB536</f>
        <v>1.0022886407884559</v>
      </c>
      <c r="CC537" s="465">
        <f>CC498/CC536</f>
        <v>1.0144314597170276</v>
      </c>
      <c r="CD537" s="437"/>
      <c r="CE537" s="463"/>
      <c r="CF537" s="465">
        <f>CF498/CF536</f>
        <v>1.0005414595881499</v>
      </c>
      <c r="CG537" s="465">
        <f>CG498/CG536</f>
        <v>0.99435697378079457</v>
      </c>
      <c r="CH537" s="437"/>
      <c r="CI537" s="463"/>
      <c r="CJ537" s="465">
        <f>CJ498/CJ536</f>
        <v>1.0058130568505284</v>
      </c>
      <c r="CK537" s="465">
        <f>CK498/CK536</f>
        <v>1.021708756062903</v>
      </c>
      <c r="CL537" s="437"/>
      <c r="CM537" s="463"/>
      <c r="CN537" s="465">
        <f>CN498/CN536</f>
        <v>0.99503535835313539</v>
      </c>
      <c r="CO537" s="465">
        <f>CO498/CO536</f>
        <v>0.97260135446328089</v>
      </c>
      <c r="CP537" s="437"/>
      <c r="CQ537" s="463"/>
      <c r="CR537" s="465">
        <f>CR498/CR536</f>
        <v>1.0040959703963908</v>
      </c>
      <c r="CS537" s="465">
        <f>CS498/CS536</f>
        <v>0.99120930459078671</v>
      </c>
      <c r="CT537" s="437"/>
      <c r="CU537" s="463"/>
      <c r="CV537" s="465">
        <f>CV498/CV536</f>
        <v>1.0034808941736937</v>
      </c>
      <c r="CW537" s="465">
        <f>CW498/CW536</f>
        <v>0.9979082733428748</v>
      </c>
      <c r="CX537" s="437"/>
      <c r="CY537" s="463"/>
      <c r="CZ537" s="465">
        <f>CZ498/CZ536</f>
        <v>0.99855364273968927</v>
      </c>
      <c r="DA537" s="465">
        <f>DA498/DA536</f>
        <v>1.0050609911086616</v>
      </c>
      <c r="DB537" s="437"/>
      <c r="DC537" s="463"/>
      <c r="DD537" s="465">
        <f>DD498/DD536</f>
        <v>0.98798321659784039</v>
      </c>
      <c r="DE537" s="465">
        <f>DE498/DE536</f>
        <v>0.98913338582520205</v>
      </c>
      <c r="DF537" s="437"/>
      <c r="DG537" s="463"/>
      <c r="DH537" s="465">
        <f>DH498/DH536</f>
        <v>0.99453639125592408</v>
      </c>
      <c r="DI537" s="482">
        <f>DH537</f>
        <v>0.99453639125592408</v>
      </c>
      <c r="DJ537" s="465">
        <f ca="1">DJ498/DJ536</f>
        <v>0.9962220459356762</v>
      </c>
      <c r="DK537" s="463"/>
      <c r="DL537" s="482">
        <f>DI537</f>
        <v>0.99453639125592408</v>
      </c>
      <c r="DM537" s="482">
        <f>DL537</f>
        <v>0.99453639125592408</v>
      </c>
      <c r="DN537" s="465">
        <f ca="1">DN498/DN536</f>
        <v>0.99391199521280971</v>
      </c>
      <c r="DO537" s="463"/>
      <c r="DP537" s="482">
        <f>DM537</f>
        <v>0.99453639125592408</v>
      </c>
      <c r="DQ537" s="482">
        <f>DP537</f>
        <v>0.99453639125592408</v>
      </c>
      <c r="DR537" s="465">
        <f ca="1">DR498/DR536</f>
        <v>0.99403301296815993</v>
      </c>
      <c r="DS537" s="463"/>
      <c r="DT537" s="1"/>
      <c r="DU537" s="1"/>
      <c r="DV537" s="1"/>
      <c r="DW537" s="1"/>
      <c r="DX537" s="1"/>
      <c r="DY537" s="1"/>
      <c r="DZ537" s="1"/>
      <c r="EA537" s="1"/>
      <c r="EB537" s="1"/>
      <c r="EC537" s="1"/>
      <c r="ED537" s="1"/>
      <c r="EE537" s="1"/>
      <c r="EF537" s="1"/>
      <c r="EG537" s="1"/>
      <c r="EH537" s="1"/>
      <c r="EI537" s="1"/>
      <c r="EJ537" s="1"/>
      <c r="EK537" s="1"/>
      <c r="EL537" s="1"/>
      <c r="EM537" s="1"/>
      <c r="EN537" s="1"/>
      <c r="EO537" s="1"/>
      <c r="EP537" s="1"/>
      <c r="EQ537" s="1"/>
      <c r="ER537" s="1"/>
      <c r="ES537" s="1"/>
      <c r="ET537" s="1"/>
      <c r="EU537" s="1"/>
      <c r="EV537" s="1"/>
      <c r="EW537" s="1"/>
      <c r="EX537" s="1"/>
      <c r="EY537" s="1"/>
      <c r="EZ537" s="1"/>
      <c r="FA537" s="1"/>
      <c r="FB537" s="1"/>
      <c r="FC537" s="1"/>
      <c r="FD537" s="1"/>
      <c r="FE537" s="1"/>
      <c r="FF537" s="1"/>
      <c r="FG537" s="1"/>
      <c r="FH537" s="1"/>
      <c r="FI537" s="1"/>
      <c r="FJ537" s="1"/>
      <c r="FK537" s="1"/>
      <c r="FL537" s="1"/>
      <c r="FM537" s="1"/>
      <c r="FN537" s="1"/>
      <c r="FO537" s="1"/>
      <c r="FP537" s="1"/>
      <c r="FQ537" s="1"/>
      <c r="FR537" s="1"/>
      <c r="FS537" s="1"/>
      <c r="FT537" s="1"/>
      <c r="FU537" s="1"/>
      <c r="FV537" s="1"/>
      <c r="FW537" s="1"/>
      <c r="FX537" s="1"/>
      <c r="FY537" s="1"/>
      <c r="FZ537" s="1"/>
      <c r="GA537" s="1"/>
      <c r="GB537" s="1"/>
      <c r="GC537" s="1"/>
      <c r="GD537" s="1"/>
      <c r="GE537" s="1"/>
      <c r="GF537" s="1"/>
      <c r="GG537" s="1"/>
      <c r="GH537" s="1"/>
      <c r="GI537" s="1"/>
      <c r="GJ537" s="1"/>
      <c r="GK537" s="1"/>
      <c r="GL537" s="1"/>
      <c r="GM537" s="1"/>
      <c r="GN537" s="1"/>
      <c r="GO537" s="1"/>
      <c r="GP537" s="1"/>
      <c r="GQ537" s="1"/>
      <c r="GR537" s="1"/>
      <c r="GS537" s="1"/>
      <c r="GT537" s="1"/>
      <c r="GU537" s="1"/>
      <c r="GV537" s="1"/>
      <c r="GW537" s="1"/>
      <c r="GX537" s="1"/>
      <c r="GY537" s="1"/>
      <c r="GZ537" s="1"/>
      <c r="HA537" s="1"/>
      <c r="HB537" s="1"/>
      <c r="HC537" s="1"/>
      <c r="HD537" s="1"/>
      <c r="HE537" s="1"/>
      <c r="HF537" s="1"/>
      <c r="HG537" s="1"/>
      <c r="HH537" s="1"/>
      <c r="HI537" s="1"/>
      <c r="HJ537" s="1"/>
      <c r="HK537" s="1"/>
      <c r="HL537" s="1"/>
      <c r="HM537" s="1"/>
      <c r="HN537" s="1"/>
      <c r="HO537" s="1"/>
      <c r="HP537" s="1"/>
      <c r="HQ537" s="1"/>
      <c r="HR537" s="1"/>
      <c r="HS537" s="1"/>
      <c r="HT537" s="1"/>
      <c r="HU537" s="1"/>
      <c r="HV537" s="1"/>
      <c r="HW537" s="1"/>
      <c r="HX537" s="1"/>
      <c r="HY537" s="1"/>
      <c r="HZ537" s="1"/>
      <c r="IA537" s="1"/>
      <c r="IB537" s="1"/>
      <c r="IC537" s="1"/>
      <c r="ID537" s="1"/>
      <c r="IE537" s="1"/>
      <c r="IF537" s="1"/>
      <c r="IG537" s="1"/>
      <c r="IH537" s="1"/>
      <c r="II537" s="1"/>
      <c r="IJ537" s="1"/>
      <c r="IK537" s="1"/>
      <c r="IL537" s="1"/>
      <c r="IM537" s="1"/>
      <c r="IN537" s="1"/>
      <c r="IO537" s="1"/>
      <c r="IP537" s="1"/>
      <c r="IQ537" s="1"/>
      <c r="IR537" s="1"/>
      <c r="IS537" s="1"/>
      <c r="IT537" s="1"/>
      <c r="IU537" s="1"/>
      <c r="IV537" s="1"/>
      <c r="IW537" s="1"/>
      <c r="IX537" s="1"/>
      <c r="IY537" s="1"/>
      <c r="IZ537" s="1"/>
      <c r="JA537" s="1"/>
      <c r="JB537" s="1"/>
      <c r="JC537" s="1"/>
      <c r="JD537" s="1"/>
    </row>
    <row r="538" spans="1:264" s="347" customFormat="1" x14ac:dyDescent="0.2">
      <c r="A538" s="463" t="s">
        <v>447</v>
      </c>
      <c r="B538" s="466"/>
      <c r="C538" s="463"/>
      <c r="D538" s="463"/>
      <c r="E538" s="463"/>
      <c r="F538" s="463"/>
      <c r="G538" s="463"/>
      <c r="H538" s="463"/>
      <c r="I538" s="463"/>
      <c r="J538" s="463"/>
      <c r="K538" s="463"/>
      <c r="L538" s="463"/>
      <c r="M538" s="463"/>
      <c r="N538" s="463"/>
      <c r="O538" s="463"/>
      <c r="P538" s="463"/>
      <c r="Q538" s="463"/>
      <c r="R538" s="463"/>
      <c r="S538" s="463"/>
      <c r="T538" s="463"/>
      <c r="U538" s="463"/>
      <c r="V538" s="463"/>
      <c r="W538" s="463"/>
      <c r="X538" s="463"/>
      <c r="Y538" s="463"/>
      <c r="Z538" s="463"/>
      <c r="AA538" s="463"/>
      <c r="AB538" s="463"/>
      <c r="AC538" s="463"/>
      <c r="AD538" s="463"/>
      <c r="AE538" s="463"/>
      <c r="AF538" s="463"/>
      <c r="AG538" s="463"/>
      <c r="AH538" s="463"/>
      <c r="AI538" s="463"/>
      <c r="AJ538" s="463"/>
      <c r="AK538" s="463"/>
      <c r="AL538" s="463"/>
      <c r="AM538" s="463"/>
      <c r="AN538" s="463"/>
      <c r="AO538" s="463"/>
      <c r="AP538" s="463"/>
      <c r="AQ538" s="463"/>
      <c r="AR538" s="463"/>
      <c r="AS538" s="463"/>
      <c r="AT538" s="463"/>
      <c r="AU538" s="463"/>
      <c r="AV538" s="463"/>
      <c r="AW538" s="463"/>
      <c r="AX538" s="463"/>
      <c r="AY538" s="463"/>
      <c r="AZ538" s="463"/>
      <c r="BA538" s="463"/>
      <c r="BB538" s="463"/>
      <c r="BC538" s="463"/>
      <c r="BD538" s="463"/>
      <c r="BE538" s="463"/>
      <c r="BF538" s="463"/>
      <c r="BG538" s="463"/>
      <c r="BH538" s="465">
        <f>BH497/BH498</f>
        <v>0.89170901271117786</v>
      </c>
      <c r="BI538" s="465">
        <f>BI497/BI498</f>
        <v>0.88884045651295585</v>
      </c>
      <c r="BJ538" s="465">
        <f>BJ497/BJ498</f>
        <v>0.89026257622479954</v>
      </c>
      <c r="BK538" s="466"/>
      <c r="BL538" s="465">
        <f>BL497/BL498</f>
        <v>0.90200937168503792</v>
      </c>
      <c r="BM538" s="465">
        <f>BM497/BM498</f>
        <v>0.90269935224629871</v>
      </c>
      <c r="BN538" s="465">
        <f>BN497/BN498</f>
        <v>0.90235867002483172</v>
      </c>
      <c r="BO538" s="466"/>
      <c r="BP538" s="465">
        <f>BP497/BP498</f>
        <v>0.90640921379144701</v>
      </c>
      <c r="BQ538" s="465">
        <f>BQ497/BQ498</f>
        <v>0.8941397457458411</v>
      </c>
      <c r="BR538" s="465">
        <f>BR497/BR498</f>
        <v>0.90007041649209774</v>
      </c>
      <c r="BS538" s="463"/>
      <c r="BT538" s="465">
        <f>BT497/BT498</f>
        <v>0.86423075976240349</v>
      </c>
      <c r="BU538" s="465">
        <f>BU497/BU498</f>
        <v>0.84489582935614016</v>
      </c>
      <c r="BV538" s="465">
        <f>BV497/BV498</f>
        <v>0.8544999085798668</v>
      </c>
      <c r="BW538" s="463"/>
      <c r="BX538" s="465">
        <f>BX497/BX498</f>
        <v>0.83397619621603769</v>
      </c>
      <c r="BY538" s="465">
        <f>BY497/BY498</f>
        <v>0.82611431363815235</v>
      </c>
      <c r="BZ538" s="465">
        <f>BZ497/BZ498</f>
        <v>0.83001632324865604</v>
      </c>
      <c r="CA538" s="463"/>
      <c r="CB538" s="465">
        <f>CB497/CB498</f>
        <v>0.83574308355345472</v>
      </c>
      <c r="CC538" s="465">
        <f>CC497/CC498</f>
        <v>0.83289542884571444</v>
      </c>
      <c r="CD538" s="465">
        <f>CD497/CD498</f>
        <v>0.83432427118562158</v>
      </c>
      <c r="CE538" s="463"/>
      <c r="CF538" s="465">
        <f>CF497/CF498</f>
        <v>0.84021356575475981</v>
      </c>
      <c r="CG538" s="465">
        <f>CG497/CG498</f>
        <v>0.83775758359958463</v>
      </c>
      <c r="CH538" s="465">
        <f>CH497/CH498</f>
        <v>0.83899930553259039</v>
      </c>
      <c r="CI538" s="463"/>
      <c r="CJ538" s="465">
        <f>CJ497/CJ498</f>
        <v>0.83567801056008306</v>
      </c>
      <c r="CK538" s="465">
        <f>CK497/CK498</f>
        <v>0.82542069625851666</v>
      </c>
      <c r="CL538" s="465">
        <f>CL497/CL498</f>
        <v>0.82978659368960528</v>
      </c>
      <c r="CM538" s="463"/>
      <c r="CN538" s="465">
        <f>CN497/CN498</f>
        <v>0.80946919659566841</v>
      </c>
      <c r="CO538" s="465">
        <f>CO497/CO498</f>
        <v>0.80045130413925369</v>
      </c>
      <c r="CP538" s="465">
        <f>CP497/CP498</f>
        <v>0.80503286061978763</v>
      </c>
      <c r="CQ538" s="463"/>
      <c r="CR538" s="465">
        <f>CR497/CR498</f>
        <v>0.78938342772448344</v>
      </c>
      <c r="CS538" s="465">
        <f>CS497/CS498</f>
        <v>0.77884042331527814</v>
      </c>
      <c r="CT538" s="465">
        <f>CT497/CT498</f>
        <v>0.7841516029227219</v>
      </c>
      <c r="CU538" s="463"/>
      <c r="CV538" s="465">
        <f>CV497/CV498</f>
        <v>0.78089820525162146</v>
      </c>
      <c r="CW538" s="465">
        <f>CW497/CW498</f>
        <v>0.80106381065814292</v>
      </c>
      <c r="CX538" s="465">
        <f>CX497/CX498</f>
        <v>0.79093818365907897</v>
      </c>
      <c r="CY538" s="463"/>
      <c r="CZ538" s="465">
        <f>CZ497/CZ498</f>
        <v>0.81051656982312748</v>
      </c>
      <c r="DA538" s="465">
        <f>DA497/DA498</f>
        <v>0.81654914647623056</v>
      </c>
      <c r="DB538" s="465">
        <f>DB497/DB498</f>
        <v>0.81347322938821998</v>
      </c>
      <c r="DC538" s="463"/>
      <c r="DD538" s="465">
        <f>DD497/DD498</f>
        <v>0.80795278370068391</v>
      </c>
      <c r="DE538" s="465">
        <f>DE497/DE498</f>
        <v>0.80703954909740483</v>
      </c>
      <c r="DF538" s="465">
        <f>DF497/DF498</f>
        <v>0.80757334333114628</v>
      </c>
      <c r="DG538" s="463"/>
      <c r="DH538" s="465">
        <f>DH497/DH498</f>
        <v>0.81272687574403668</v>
      </c>
      <c r="DI538" s="482">
        <f>DH538</f>
        <v>0.81272687574403668</v>
      </c>
      <c r="DJ538" s="465">
        <f ca="1">DJ497/DJ498</f>
        <v>0.81272687574403668</v>
      </c>
      <c r="DK538" s="463"/>
      <c r="DL538" s="482">
        <f>DI538</f>
        <v>0.81272687574403668</v>
      </c>
      <c r="DM538" s="482">
        <f>DL538</f>
        <v>0.81272687574403668</v>
      </c>
      <c r="DN538" s="465">
        <f ca="1">DN497/DN498</f>
        <v>0.81272687574403668</v>
      </c>
      <c r="DO538" s="463"/>
      <c r="DP538" s="482">
        <f>DM538</f>
        <v>0.81272687574403668</v>
      </c>
      <c r="DQ538" s="482">
        <f>DP538</f>
        <v>0.81272687574403668</v>
      </c>
      <c r="DR538" s="465">
        <f ca="1">DR497/DR498</f>
        <v>0.81272687574403679</v>
      </c>
      <c r="DS538" s="463"/>
      <c r="DT538" s="1"/>
      <c r="DU538" s="1"/>
      <c r="DV538" s="1"/>
      <c r="DW538" s="1"/>
      <c r="DX538" s="1"/>
      <c r="DY538" s="1"/>
      <c r="DZ538" s="1"/>
      <c r="EA538" s="1"/>
      <c r="EB538" s="1"/>
      <c r="EC538" s="1"/>
      <c r="ED538" s="1"/>
      <c r="EE538" s="1"/>
      <c r="EF538" s="1"/>
      <c r="EG538" s="1"/>
      <c r="EH538" s="1"/>
      <c r="EI538" s="1"/>
      <c r="EJ538" s="1"/>
      <c r="EK538" s="1"/>
      <c r="EL538" s="1"/>
      <c r="EM538" s="1"/>
      <c r="EN538" s="1"/>
      <c r="EO538" s="1"/>
      <c r="EP538" s="1"/>
      <c r="EQ538" s="1"/>
      <c r="ER538" s="1"/>
      <c r="ES538" s="1"/>
      <c r="ET538" s="1"/>
      <c r="EU538" s="1"/>
      <c r="EV538" s="1"/>
      <c r="EW538" s="1"/>
      <c r="EX538" s="1"/>
      <c r="EY538" s="1"/>
      <c r="EZ538" s="1"/>
      <c r="FA538" s="1"/>
      <c r="FB538" s="1"/>
      <c r="FC538" s="1"/>
      <c r="FD538" s="1"/>
      <c r="FE538" s="1"/>
      <c r="FF538" s="1"/>
      <c r="FG538" s="1"/>
      <c r="FH538" s="1"/>
      <c r="FI538" s="1"/>
      <c r="FJ538" s="1"/>
      <c r="FK538" s="1"/>
      <c r="FL538" s="1"/>
      <c r="FM538" s="1"/>
      <c r="FN538" s="1"/>
      <c r="FO538" s="1"/>
      <c r="FP538" s="1"/>
      <c r="FQ538" s="1"/>
      <c r="FR538" s="1"/>
      <c r="FS538" s="1"/>
      <c r="FT538" s="1"/>
      <c r="FU538" s="1"/>
      <c r="FV538" s="1"/>
      <c r="FW538" s="1"/>
      <c r="FX538" s="1"/>
      <c r="FY538" s="1"/>
      <c r="FZ538" s="1"/>
      <c r="GA538" s="1"/>
      <c r="GB538" s="1"/>
      <c r="GC538" s="1"/>
      <c r="GD538" s="1"/>
      <c r="GE538" s="1"/>
      <c r="GF538" s="1"/>
      <c r="GG538" s="1"/>
      <c r="GH538" s="1"/>
      <c r="GI538" s="1"/>
      <c r="GJ538" s="1"/>
      <c r="GK538" s="1"/>
      <c r="GL538" s="1"/>
      <c r="GM538" s="1"/>
      <c r="GN538" s="1"/>
      <c r="GO538" s="1"/>
      <c r="GP538" s="1"/>
      <c r="GQ538" s="1"/>
      <c r="GR538" s="1"/>
      <c r="GS538" s="1"/>
      <c r="GT538" s="1"/>
      <c r="GU538" s="1"/>
      <c r="GV538" s="1"/>
      <c r="GW538" s="1"/>
      <c r="GX538" s="1"/>
      <c r="GY538" s="1"/>
      <c r="GZ538" s="1"/>
      <c r="HA538" s="1"/>
      <c r="HB538" s="1"/>
      <c r="HC538" s="1"/>
      <c r="HD538" s="1"/>
      <c r="HE538" s="1"/>
      <c r="HF538" s="1"/>
      <c r="HG538" s="1"/>
      <c r="HH538" s="1"/>
      <c r="HI538" s="1"/>
      <c r="HJ538" s="1"/>
      <c r="HK538" s="1"/>
      <c r="HL538" s="1"/>
      <c r="HM538" s="1"/>
      <c r="HN538" s="1"/>
      <c r="HO538" s="1"/>
      <c r="HP538" s="1"/>
      <c r="HQ538" s="1"/>
      <c r="HR538" s="1"/>
      <c r="HS538" s="1"/>
      <c r="HT538" s="1"/>
      <c r="HU538" s="1"/>
      <c r="HV538" s="1"/>
      <c r="HW538" s="1"/>
      <c r="HX538" s="1"/>
      <c r="HY538" s="1"/>
      <c r="HZ538" s="1"/>
      <c r="IA538" s="1"/>
      <c r="IB538" s="1"/>
      <c r="IC538" s="1"/>
      <c r="ID538" s="1"/>
      <c r="IE538" s="1"/>
      <c r="IF538" s="1"/>
      <c r="IG538" s="1"/>
      <c r="IH538" s="1"/>
      <c r="II538" s="1"/>
      <c r="IJ538" s="1"/>
      <c r="IK538" s="1"/>
      <c r="IL538" s="1"/>
      <c r="IM538" s="1"/>
      <c r="IN538" s="1"/>
      <c r="IO538" s="1"/>
      <c r="IP538" s="1"/>
      <c r="IQ538" s="1"/>
      <c r="IR538" s="1"/>
      <c r="IS538" s="1"/>
      <c r="IT538" s="1"/>
      <c r="IU538" s="1"/>
      <c r="IV538" s="1"/>
      <c r="IW538" s="1"/>
      <c r="IX538" s="1"/>
      <c r="IY538" s="1"/>
      <c r="IZ538" s="1"/>
      <c r="JA538" s="1"/>
      <c r="JB538" s="1"/>
      <c r="JC538" s="1"/>
      <c r="JD538" s="1"/>
    </row>
    <row r="539" spans="1:264" s="347" customFormat="1" x14ac:dyDescent="0.2">
      <c r="B539" s="348"/>
      <c r="BH539" s="348"/>
      <c r="BI539" s="348"/>
      <c r="BJ539" s="348"/>
      <c r="BK539" s="348"/>
      <c r="BL539" s="348"/>
      <c r="BM539" s="348"/>
      <c r="BN539" s="348"/>
      <c r="BO539" s="348"/>
      <c r="BP539" s="348"/>
      <c r="BQ539" s="348"/>
      <c r="BT539" s="348"/>
      <c r="BU539" s="348"/>
      <c r="BX539" s="348"/>
      <c r="BY539" s="348"/>
      <c r="CB539" s="348"/>
      <c r="CC539" s="348"/>
      <c r="CF539" s="348"/>
      <c r="CG539" s="348"/>
      <c r="CJ539" s="348"/>
      <c r="CK539" s="348"/>
      <c r="CN539" s="348"/>
      <c r="CO539" s="348"/>
      <c r="CR539" s="348"/>
      <c r="CS539" s="348"/>
      <c r="CV539" s="348"/>
      <c r="CW539" s="348"/>
      <c r="CZ539" s="348"/>
      <c r="DA539" s="348"/>
      <c r="DD539" s="348"/>
      <c r="DE539" s="348"/>
      <c r="DH539" s="348"/>
      <c r="DI539" s="348"/>
      <c r="DL539" s="348"/>
      <c r="DM539" s="348"/>
      <c r="DP539" s="348"/>
      <c r="DQ539" s="348"/>
      <c r="DT539" s="1"/>
      <c r="DU539" s="1"/>
      <c r="DV539" s="1"/>
      <c r="DW539" s="1"/>
      <c r="DX539" s="1"/>
      <c r="DY539" s="1"/>
      <c r="DZ539" s="1"/>
      <c r="EA539" s="1"/>
      <c r="EB539" s="1"/>
      <c r="EC539" s="1"/>
      <c r="ED539" s="1"/>
      <c r="EE539" s="1"/>
      <c r="EF539" s="1"/>
      <c r="EG539" s="1"/>
      <c r="EH539" s="1"/>
      <c r="EI539" s="1"/>
      <c r="EJ539" s="1"/>
      <c r="EK539" s="1"/>
      <c r="EL539" s="1"/>
      <c r="EM539" s="1"/>
      <c r="EN539" s="1"/>
      <c r="EO539" s="1"/>
      <c r="EP539" s="1"/>
      <c r="EQ539" s="1"/>
      <c r="ER539" s="1"/>
      <c r="ES539" s="1"/>
      <c r="ET539" s="1"/>
      <c r="EU539" s="1"/>
      <c r="EV539" s="1"/>
      <c r="EW539" s="1"/>
      <c r="EX539" s="1"/>
      <c r="EY539" s="1"/>
      <c r="EZ539" s="1"/>
      <c r="FA539" s="1"/>
      <c r="FB539" s="1"/>
      <c r="FC539" s="1"/>
      <c r="FD539" s="1"/>
      <c r="FE539" s="1"/>
      <c r="FF539" s="1"/>
      <c r="FG539" s="1"/>
      <c r="FH539" s="1"/>
      <c r="FI539" s="1"/>
      <c r="FJ539" s="1"/>
      <c r="FK539" s="1"/>
      <c r="FL539" s="1"/>
      <c r="FM539" s="1"/>
      <c r="FN539" s="1"/>
      <c r="FO539" s="1"/>
      <c r="FP539" s="1"/>
      <c r="FQ539" s="1"/>
      <c r="FR539" s="1"/>
      <c r="FS539" s="1"/>
      <c r="FT539" s="1"/>
      <c r="FU539" s="1"/>
      <c r="FV539" s="1"/>
      <c r="FW539" s="1"/>
      <c r="FX539" s="1"/>
      <c r="FY539" s="1"/>
      <c r="FZ539" s="1"/>
      <c r="GA539" s="1"/>
      <c r="GB539" s="1"/>
      <c r="GC539" s="1"/>
      <c r="GD539" s="1"/>
      <c r="GE539" s="1"/>
      <c r="GF539" s="1"/>
      <c r="GG539" s="1"/>
      <c r="GH539" s="1"/>
      <c r="GI539" s="1"/>
      <c r="GJ539" s="1"/>
      <c r="GK539" s="1"/>
      <c r="GL539" s="1"/>
      <c r="GM539" s="1"/>
      <c r="GN539" s="1"/>
      <c r="GO539" s="1"/>
      <c r="GP539" s="1"/>
      <c r="GQ539" s="1"/>
      <c r="GR539" s="1"/>
      <c r="GS539" s="1"/>
      <c r="GT539" s="1"/>
      <c r="GU539" s="1"/>
      <c r="GV539" s="1"/>
      <c r="GW539" s="1"/>
      <c r="GX539" s="1"/>
      <c r="GY539" s="1"/>
      <c r="GZ539" s="1"/>
      <c r="HA539" s="1"/>
      <c r="HB539" s="1"/>
      <c r="HC539" s="1"/>
      <c r="HD539" s="1"/>
      <c r="HE539" s="1"/>
      <c r="HF539" s="1"/>
      <c r="HG539" s="1"/>
      <c r="HH539" s="1"/>
      <c r="HI539" s="1"/>
      <c r="HJ539" s="1"/>
      <c r="HK539" s="1"/>
      <c r="HL539" s="1"/>
      <c r="HM539" s="1"/>
      <c r="HN539" s="1"/>
      <c r="HO539" s="1"/>
      <c r="HP539" s="1"/>
      <c r="HQ539" s="1"/>
      <c r="HR539" s="1"/>
      <c r="HS539" s="1"/>
      <c r="HT539" s="1"/>
      <c r="HU539" s="1"/>
      <c r="HV539" s="1"/>
      <c r="HW539" s="1"/>
      <c r="HX539" s="1"/>
      <c r="HY539" s="1"/>
      <c r="HZ539" s="1"/>
      <c r="IA539" s="1"/>
      <c r="IB539" s="1"/>
      <c r="IC539" s="1"/>
      <c r="ID539" s="1"/>
      <c r="IE539" s="1"/>
      <c r="IF539" s="1"/>
      <c r="IG539" s="1"/>
      <c r="IH539" s="1"/>
      <c r="II539" s="1"/>
      <c r="IJ539" s="1"/>
      <c r="IK539" s="1"/>
      <c r="IL539" s="1"/>
      <c r="IM539" s="1"/>
      <c r="IN539" s="1"/>
      <c r="IO539" s="1"/>
      <c r="IP539" s="1"/>
      <c r="IQ539" s="1"/>
      <c r="IR539" s="1"/>
      <c r="IS539" s="1"/>
      <c r="IT539" s="1"/>
      <c r="IU539" s="1"/>
      <c r="IV539" s="1"/>
      <c r="IW539" s="1"/>
      <c r="IX539" s="1"/>
      <c r="IY539" s="1"/>
      <c r="IZ539" s="1"/>
      <c r="JA539" s="1"/>
      <c r="JB539" s="1"/>
      <c r="JC539" s="1"/>
      <c r="JD539" s="1"/>
    </row>
    <row r="540" spans="1:264" s="347" customFormat="1" x14ac:dyDescent="0.2">
      <c r="B540" s="348"/>
      <c r="BH540" s="348"/>
      <c r="BI540" s="348"/>
      <c r="BJ540" s="348"/>
      <c r="BK540" s="348"/>
      <c r="BL540" s="348"/>
      <c r="BM540" s="348"/>
      <c r="BN540" s="348"/>
      <c r="BO540" s="348"/>
      <c r="BP540" s="348"/>
      <c r="BT540" s="348"/>
      <c r="BX540" s="348"/>
      <c r="CB540" s="348"/>
      <c r="CF540" s="348"/>
      <c r="CJ540" s="348"/>
      <c r="CN540" s="348"/>
      <c r="CR540" s="348"/>
      <c r="CV540" s="348"/>
      <c r="CZ540" s="348"/>
      <c r="DD540" s="348"/>
      <c r="DH540" s="348"/>
      <c r="DL540" s="348"/>
      <c r="DP540" s="348"/>
      <c r="DT540" s="1"/>
      <c r="DU540" s="1"/>
      <c r="DV540" s="1"/>
      <c r="DW540" s="1"/>
      <c r="DX540" s="1"/>
      <c r="DY540" s="1"/>
      <c r="DZ540" s="1"/>
      <c r="EA540" s="1"/>
      <c r="EB540" s="1"/>
      <c r="EC540" s="1"/>
      <c r="ED540" s="1"/>
      <c r="EE540" s="1"/>
      <c r="EF540" s="1"/>
      <c r="EG540" s="1"/>
      <c r="EH540" s="1"/>
      <c r="EI540" s="1"/>
      <c r="EJ540" s="1"/>
      <c r="EK540" s="1"/>
      <c r="EL540" s="1"/>
      <c r="EM540" s="1"/>
      <c r="EN540" s="1"/>
      <c r="EO540" s="1"/>
      <c r="EP540" s="1"/>
      <c r="EQ540" s="1"/>
      <c r="ER540" s="1"/>
      <c r="ES540" s="1"/>
      <c r="ET540" s="1"/>
      <c r="EU540" s="1"/>
      <c r="EV540" s="1"/>
      <c r="EW540" s="1"/>
      <c r="EX540" s="1"/>
      <c r="EY540" s="1"/>
      <c r="EZ540" s="1"/>
      <c r="FA540" s="1"/>
      <c r="FB540" s="1"/>
      <c r="FC540" s="1"/>
      <c r="FD540" s="1"/>
      <c r="FE540" s="1"/>
      <c r="FF540" s="1"/>
      <c r="FG540" s="1"/>
      <c r="FH540" s="1"/>
      <c r="FI540" s="1"/>
      <c r="FJ540" s="1"/>
      <c r="FK540" s="1"/>
      <c r="FL540" s="1"/>
      <c r="FM540" s="1"/>
      <c r="FN540" s="1"/>
      <c r="FO540" s="1"/>
      <c r="FP540" s="1"/>
      <c r="FQ540" s="1"/>
      <c r="FR540" s="1"/>
      <c r="FS540" s="1"/>
      <c r="FT540" s="1"/>
      <c r="FU540" s="1"/>
      <c r="FV540" s="1"/>
      <c r="FW540" s="1"/>
      <c r="FX540" s="1"/>
      <c r="FY540" s="1"/>
      <c r="FZ540" s="1"/>
      <c r="GA540" s="1"/>
      <c r="GB540" s="1"/>
      <c r="GC540" s="1"/>
      <c r="GD540" s="1"/>
      <c r="GE540" s="1"/>
      <c r="GF540" s="1"/>
      <c r="GG540" s="1"/>
      <c r="GH540" s="1"/>
      <c r="GI540" s="1"/>
      <c r="GJ540" s="1"/>
      <c r="GK540" s="1"/>
      <c r="GL540" s="1"/>
      <c r="GM540" s="1"/>
      <c r="GN540" s="1"/>
      <c r="GO540" s="1"/>
      <c r="GP540" s="1"/>
      <c r="GQ540" s="1"/>
      <c r="GR540" s="1"/>
      <c r="GS540" s="1"/>
      <c r="GT540" s="1"/>
      <c r="GU540" s="1"/>
      <c r="GV540" s="1"/>
      <c r="GW540" s="1"/>
      <c r="GX540" s="1"/>
      <c r="GY540" s="1"/>
      <c r="GZ540" s="1"/>
      <c r="HA540" s="1"/>
      <c r="HB540" s="1"/>
      <c r="HC540" s="1"/>
      <c r="HD540" s="1"/>
      <c r="HE540" s="1"/>
      <c r="HF540" s="1"/>
      <c r="HG540" s="1"/>
      <c r="HH540" s="1"/>
      <c r="HI540" s="1"/>
      <c r="HJ540" s="1"/>
      <c r="HK540" s="1"/>
      <c r="HL540" s="1"/>
      <c r="HM540" s="1"/>
      <c r="HN540" s="1"/>
      <c r="HO540" s="1"/>
      <c r="HP540" s="1"/>
      <c r="HQ540" s="1"/>
      <c r="HR540" s="1"/>
      <c r="HS540" s="1"/>
      <c r="HT540" s="1"/>
      <c r="HU540" s="1"/>
      <c r="HV540" s="1"/>
      <c r="HW540" s="1"/>
      <c r="HX540" s="1"/>
      <c r="HY540" s="1"/>
      <c r="HZ540" s="1"/>
      <c r="IA540" s="1"/>
      <c r="IB540" s="1"/>
      <c r="IC540" s="1"/>
      <c r="ID540" s="1"/>
      <c r="IE540" s="1"/>
      <c r="IF540" s="1"/>
      <c r="IG540" s="1"/>
      <c r="IH540" s="1"/>
      <c r="II540" s="1"/>
      <c r="IJ540" s="1"/>
      <c r="IK540" s="1"/>
      <c r="IL540" s="1"/>
      <c r="IM540" s="1"/>
      <c r="IN540" s="1"/>
      <c r="IO540" s="1"/>
      <c r="IP540" s="1"/>
      <c r="IQ540" s="1"/>
      <c r="IR540" s="1"/>
      <c r="IS540" s="1"/>
      <c r="IT540" s="1"/>
      <c r="IU540" s="1"/>
      <c r="IV540" s="1"/>
      <c r="IW540" s="1"/>
      <c r="IX540" s="1"/>
      <c r="IY540" s="1"/>
      <c r="IZ540" s="1"/>
      <c r="JA540" s="1"/>
      <c r="JB540" s="1"/>
      <c r="JC540" s="1"/>
      <c r="JD540" s="1"/>
    </row>
    <row r="541" spans="1:264" s="386" customFormat="1" x14ac:dyDescent="0.2">
      <c r="A541" s="383" t="s">
        <v>448</v>
      </c>
      <c r="B541" s="384"/>
      <c r="C541" s="385"/>
      <c r="D541" s="385"/>
      <c r="E541" s="385"/>
      <c r="F541" s="385"/>
      <c r="G541" s="385"/>
      <c r="H541" s="385"/>
      <c r="I541" s="385"/>
      <c r="J541" s="385"/>
      <c r="K541" s="385"/>
      <c r="L541" s="385"/>
      <c r="M541" s="385"/>
      <c r="N541" s="385"/>
      <c r="O541" s="385"/>
      <c r="P541" s="385"/>
      <c r="Q541" s="385"/>
      <c r="R541" s="385"/>
      <c r="S541" s="385"/>
      <c r="T541" s="385"/>
      <c r="U541" s="385"/>
      <c r="V541" s="385"/>
      <c r="W541" s="385"/>
      <c r="X541" s="385"/>
      <c r="Y541" s="385"/>
      <c r="Z541" s="385"/>
      <c r="AA541" s="385"/>
      <c r="AB541" s="385"/>
      <c r="AC541" s="385"/>
      <c r="AD541" s="385"/>
      <c r="AE541" s="385"/>
      <c r="AF541" s="385"/>
      <c r="AG541" s="385"/>
      <c r="AH541" s="385"/>
      <c r="AI541" s="385"/>
      <c r="AJ541" s="385"/>
      <c r="AK541" s="385"/>
      <c r="AL541" s="385"/>
      <c r="AM541" s="385"/>
      <c r="AN541" s="385"/>
      <c r="AO541" s="385"/>
      <c r="AP541" s="385"/>
      <c r="AQ541" s="385"/>
      <c r="AR541" s="385"/>
      <c r="AS541" s="385"/>
      <c r="AT541" s="385"/>
      <c r="AU541" s="385"/>
      <c r="AV541" s="385"/>
      <c r="AW541" s="385"/>
      <c r="AX541" s="385"/>
      <c r="AY541" s="385"/>
      <c r="AZ541" s="385"/>
      <c r="BA541" s="385"/>
      <c r="BB541" s="385"/>
      <c r="BC541" s="385"/>
      <c r="BD541" s="385"/>
      <c r="BE541" s="385"/>
      <c r="BF541" s="385"/>
      <c r="BG541" s="385"/>
      <c r="BH541" s="384"/>
      <c r="BI541" s="384"/>
      <c r="BJ541" s="384"/>
      <c r="BK541" s="384"/>
      <c r="BL541" s="384"/>
      <c r="BM541" s="384"/>
      <c r="BN541" s="384"/>
      <c r="BO541" s="384"/>
      <c r="BP541" s="384"/>
      <c r="BQ541" s="385"/>
      <c r="BR541" s="385"/>
      <c r="BS541" s="385"/>
      <c r="BT541" s="384"/>
      <c r="BU541" s="385"/>
      <c r="BV541" s="385"/>
      <c r="BW541" s="385"/>
      <c r="BX541" s="384"/>
      <c r="BY541" s="385"/>
      <c r="BZ541" s="385"/>
      <c r="CA541" s="385"/>
      <c r="CB541" s="384"/>
      <c r="CC541" s="385"/>
      <c r="CD541" s="385"/>
      <c r="CE541" s="385"/>
      <c r="CF541" s="384"/>
      <c r="CG541" s="385"/>
      <c r="CH541" s="385"/>
      <c r="CI541" s="385"/>
      <c r="CJ541" s="384"/>
      <c r="CK541" s="385"/>
      <c r="CL541" s="385"/>
      <c r="CM541" s="385"/>
      <c r="CN541" s="384"/>
      <c r="CO541" s="385"/>
      <c r="CP541" s="385"/>
      <c r="CQ541" s="385"/>
      <c r="CR541" s="384"/>
      <c r="CS541" s="385"/>
      <c r="CT541" s="385"/>
      <c r="CU541" s="385"/>
      <c r="CV541" s="384"/>
      <c r="CW541" s="385"/>
      <c r="CX541" s="385"/>
      <c r="CY541" s="385"/>
      <c r="CZ541" s="384"/>
      <c r="DA541" s="385"/>
      <c r="DB541" s="385"/>
      <c r="DC541" s="385"/>
      <c r="DD541" s="384"/>
      <c r="DE541" s="385"/>
      <c r="DF541" s="385"/>
      <c r="DG541" s="385"/>
      <c r="DH541" s="384"/>
      <c r="DI541" s="385"/>
      <c r="DJ541" s="385"/>
      <c r="DK541" s="385"/>
      <c r="DL541" s="384"/>
      <c r="DM541" s="385"/>
      <c r="DN541" s="385"/>
      <c r="DO541" s="385"/>
      <c r="DP541" s="384"/>
      <c r="DQ541" s="385"/>
      <c r="DR541" s="385"/>
      <c r="DS541" s="385"/>
      <c r="DT541" s="1"/>
      <c r="DU541" s="1"/>
      <c r="DV541" s="1"/>
      <c r="DW541" s="1"/>
      <c r="DX541" s="1"/>
      <c r="DY541" s="1"/>
      <c r="DZ541" s="1"/>
      <c r="EA541" s="1"/>
      <c r="EB541" s="1"/>
      <c r="EC541" s="1"/>
      <c r="ED541" s="1"/>
      <c r="EE541" s="1"/>
      <c r="EF541" s="1"/>
      <c r="EG541" s="1"/>
      <c r="EH541" s="1"/>
      <c r="EI541" s="1"/>
      <c r="EJ541" s="1"/>
      <c r="EK541" s="1"/>
      <c r="EL541" s="1"/>
      <c r="EM541" s="1"/>
      <c r="EN541" s="1"/>
      <c r="EO541" s="1"/>
      <c r="EP541" s="1"/>
      <c r="EQ541" s="1"/>
      <c r="ER541" s="1"/>
      <c r="ES541" s="1"/>
      <c r="ET541" s="1"/>
      <c r="EU541" s="1"/>
      <c r="EV541" s="1"/>
      <c r="EW541" s="1"/>
      <c r="EX541" s="1"/>
      <c r="EY541" s="1"/>
      <c r="EZ541" s="1"/>
      <c r="FA541" s="1"/>
      <c r="FB541" s="1"/>
      <c r="FC541" s="1"/>
      <c r="FD541" s="1"/>
      <c r="FE541" s="1"/>
      <c r="FF541" s="1"/>
      <c r="FG541" s="1"/>
      <c r="FH541" s="1"/>
      <c r="FI541" s="1"/>
      <c r="FJ541" s="1"/>
      <c r="FK541" s="1"/>
      <c r="FL541" s="1"/>
      <c r="FM541" s="1"/>
      <c r="FN541" s="1"/>
      <c r="FO541" s="1"/>
      <c r="FP541" s="1"/>
      <c r="FQ541" s="1"/>
      <c r="FR541" s="1"/>
      <c r="FS541" s="1"/>
      <c r="FT541" s="1"/>
      <c r="FU541" s="1"/>
      <c r="FV541" s="1"/>
      <c r="FW541" s="1"/>
      <c r="FX541" s="1"/>
      <c r="FY541" s="1"/>
      <c r="FZ541" s="1"/>
      <c r="GA541" s="1"/>
      <c r="GB541" s="1"/>
      <c r="GC541" s="1"/>
      <c r="GD541" s="1"/>
      <c r="GE541" s="1"/>
      <c r="GF541" s="1"/>
      <c r="GG541" s="1"/>
      <c r="GH541" s="1"/>
      <c r="GI541" s="1"/>
      <c r="GJ541" s="1"/>
      <c r="GK541" s="1"/>
      <c r="GL541" s="1"/>
      <c r="GM541" s="1"/>
      <c r="GN541" s="1"/>
      <c r="GO541" s="1"/>
      <c r="GP541" s="1"/>
      <c r="GQ541" s="1"/>
      <c r="GR541" s="1"/>
      <c r="GS541" s="1"/>
      <c r="GT541" s="1"/>
      <c r="GU541" s="1"/>
      <c r="GV541" s="1"/>
      <c r="GW541" s="1"/>
      <c r="GX541" s="1"/>
      <c r="GY541" s="1"/>
      <c r="GZ541" s="1"/>
      <c r="HA541" s="1"/>
      <c r="HB541" s="1"/>
      <c r="HC541" s="1"/>
      <c r="HD541" s="1"/>
      <c r="HE541" s="1"/>
      <c r="HF541" s="1"/>
      <c r="HG541" s="1"/>
      <c r="HH541" s="1"/>
      <c r="HI541" s="1"/>
      <c r="HJ541" s="1"/>
      <c r="HK541" s="1"/>
      <c r="HL541" s="1"/>
      <c r="HM541" s="1"/>
      <c r="HN541" s="1"/>
      <c r="HO541" s="1"/>
      <c r="HP541" s="1"/>
      <c r="HQ541" s="1"/>
      <c r="HR541" s="1"/>
      <c r="HS541" s="1"/>
      <c r="HT541" s="1"/>
      <c r="HU541" s="1"/>
      <c r="HV541" s="1"/>
      <c r="HW541" s="1"/>
      <c r="HX541" s="1"/>
      <c r="HY541" s="1"/>
      <c r="HZ541" s="1"/>
      <c r="IA541" s="1"/>
      <c r="IB541" s="1"/>
      <c r="IC541" s="1"/>
      <c r="ID541" s="1"/>
      <c r="IE541" s="1"/>
      <c r="IF541" s="1"/>
      <c r="IG541" s="1"/>
      <c r="IH541" s="1"/>
      <c r="II541" s="1"/>
      <c r="IJ541" s="1"/>
      <c r="IK541" s="1"/>
      <c r="IL541" s="1"/>
      <c r="IM541" s="1"/>
      <c r="IN541" s="1"/>
      <c r="IO541" s="1"/>
      <c r="IP541" s="1"/>
      <c r="IQ541" s="1"/>
      <c r="IR541" s="1"/>
      <c r="IS541" s="1"/>
      <c r="IT541" s="1"/>
      <c r="IU541" s="1"/>
      <c r="IV541" s="1"/>
      <c r="IW541" s="1"/>
      <c r="IX541" s="1"/>
      <c r="IY541" s="1"/>
      <c r="IZ541" s="1"/>
      <c r="JA541" s="1"/>
      <c r="JB541" s="1"/>
      <c r="JC541" s="1"/>
      <c r="JD541" s="1"/>
    </row>
    <row r="542" spans="1:264" s="347" customFormat="1" x14ac:dyDescent="0.2">
      <c r="B542" s="348"/>
      <c r="BH542" s="348"/>
      <c r="BI542" s="348"/>
      <c r="BJ542" s="348"/>
      <c r="BK542" s="348"/>
      <c r="BL542" s="348"/>
      <c r="BM542" s="348"/>
      <c r="BN542" s="348"/>
      <c r="BO542" s="348"/>
      <c r="BP542" s="348"/>
      <c r="BT542" s="348"/>
      <c r="BX542" s="348"/>
      <c r="CB542" s="348"/>
      <c r="CF542" s="348"/>
      <c r="CJ542" s="348"/>
      <c r="CN542" s="348"/>
      <c r="CR542" s="348"/>
      <c r="CV542" s="348"/>
      <c r="CZ542" s="348"/>
      <c r="DD542" s="348"/>
      <c r="DH542" s="348"/>
      <c r="DL542" s="348"/>
      <c r="DP542" s="348"/>
      <c r="DT542" s="1"/>
      <c r="DU542" s="1"/>
      <c r="DV542" s="1"/>
      <c r="DW542" s="1"/>
      <c r="DX542" s="1"/>
      <c r="DY542" s="1"/>
      <c r="DZ542" s="1"/>
      <c r="EA542" s="1"/>
      <c r="EB542" s="1"/>
      <c r="EC542" s="1"/>
      <c r="ED542" s="1"/>
      <c r="EE542" s="1"/>
      <c r="EF542" s="1"/>
      <c r="EG542" s="1"/>
      <c r="EH542" s="1"/>
      <c r="EI542" s="1"/>
      <c r="EJ542" s="1"/>
      <c r="EK542" s="1"/>
      <c r="EL542" s="1"/>
      <c r="EM542" s="1"/>
      <c r="EN542" s="1"/>
      <c r="EO542" s="1"/>
      <c r="EP542" s="1"/>
      <c r="EQ542" s="1"/>
      <c r="ER542" s="1"/>
      <c r="ES542" s="1"/>
      <c r="ET542" s="1"/>
      <c r="EU542" s="1"/>
      <c r="EV542" s="1"/>
      <c r="EW542" s="1"/>
      <c r="EX542" s="1"/>
      <c r="EY542" s="1"/>
      <c r="EZ542" s="1"/>
      <c r="FA542" s="1"/>
      <c r="FB542" s="1"/>
      <c r="FC542" s="1"/>
      <c r="FD542" s="1"/>
      <c r="FE542" s="1"/>
      <c r="FF542" s="1"/>
      <c r="FG542" s="1"/>
      <c r="FH542" s="1"/>
      <c r="FI542" s="1"/>
      <c r="FJ542" s="1"/>
      <c r="FK542" s="1"/>
      <c r="FL542" s="1"/>
      <c r="FM542" s="1"/>
      <c r="FN542" s="1"/>
      <c r="FO542" s="1"/>
      <c r="FP542" s="1"/>
      <c r="FQ542" s="1"/>
      <c r="FR542" s="1"/>
      <c r="FS542" s="1"/>
      <c r="FT542" s="1"/>
      <c r="FU542" s="1"/>
      <c r="FV542" s="1"/>
      <c r="FW542" s="1"/>
      <c r="FX542" s="1"/>
      <c r="FY542" s="1"/>
      <c r="FZ542" s="1"/>
      <c r="GA542" s="1"/>
      <c r="GB542" s="1"/>
      <c r="GC542" s="1"/>
      <c r="GD542" s="1"/>
      <c r="GE542" s="1"/>
      <c r="GF542" s="1"/>
      <c r="GG542" s="1"/>
      <c r="GH542" s="1"/>
      <c r="GI542" s="1"/>
      <c r="GJ542" s="1"/>
      <c r="GK542" s="1"/>
      <c r="GL542" s="1"/>
      <c r="GM542" s="1"/>
      <c r="GN542" s="1"/>
      <c r="GO542" s="1"/>
      <c r="GP542" s="1"/>
      <c r="GQ542" s="1"/>
      <c r="GR542" s="1"/>
      <c r="GS542" s="1"/>
      <c r="GT542" s="1"/>
      <c r="GU542" s="1"/>
      <c r="GV542" s="1"/>
      <c r="GW542" s="1"/>
      <c r="GX542" s="1"/>
      <c r="GY542" s="1"/>
      <c r="GZ542" s="1"/>
      <c r="HA542" s="1"/>
      <c r="HB542" s="1"/>
      <c r="HC542" s="1"/>
      <c r="HD542" s="1"/>
      <c r="HE542" s="1"/>
      <c r="HF542" s="1"/>
      <c r="HG542" s="1"/>
      <c r="HH542" s="1"/>
      <c r="HI542" s="1"/>
      <c r="HJ542" s="1"/>
      <c r="HK542" s="1"/>
      <c r="HL542" s="1"/>
      <c r="HM542" s="1"/>
      <c r="HN542" s="1"/>
      <c r="HO542" s="1"/>
      <c r="HP542" s="1"/>
      <c r="HQ542" s="1"/>
      <c r="HR542" s="1"/>
      <c r="HS542" s="1"/>
      <c r="HT542" s="1"/>
      <c r="HU542" s="1"/>
      <c r="HV542" s="1"/>
      <c r="HW542" s="1"/>
      <c r="HX542" s="1"/>
      <c r="HY542" s="1"/>
      <c r="HZ542" s="1"/>
      <c r="IA542" s="1"/>
      <c r="IB542" s="1"/>
      <c r="IC542" s="1"/>
      <c r="ID542" s="1"/>
      <c r="IE542" s="1"/>
      <c r="IF542" s="1"/>
      <c r="IG542" s="1"/>
      <c r="IH542" s="1"/>
      <c r="II542" s="1"/>
      <c r="IJ542" s="1"/>
      <c r="IK542" s="1"/>
      <c r="IL542" s="1"/>
      <c r="IM542" s="1"/>
      <c r="IN542" s="1"/>
      <c r="IO542" s="1"/>
      <c r="IP542" s="1"/>
      <c r="IQ542" s="1"/>
      <c r="IR542" s="1"/>
      <c r="IS542" s="1"/>
      <c r="IT542" s="1"/>
      <c r="IU542" s="1"/>
      <c r="IV542" s="1"/>
      <c r="IW542" s="1"/>
      <c r="IX542" s="1"/>
      <c r="IY542" s="1"/>
      <c r="IZ542" s="1"/>
      <c r="JA542" s="1"/>
      <c r="JB542" s="1"/>
      <c r="JC542" s="1"/>
      <c r="JD542" s="1"/>
    </row>
    <row r="543" spans="1:264" s="562" customFormat="1" x14ac:dyDescent="0.2">
      <c r="A543" s="562" t="s">
        <v>449</v>
      </c>
      <c r="B543" s="563"/>
      <c r="BH543" s="563"/>
      <c r="BI543" s="563"/>
      <c r="BJ543" s="563"/>
      <c r="BK543" s="563"/>
      <c r="BL543" s="563"/>
      <c r="BM543" s="563"/>
      <c r="BN543" s="563"/>
      <c r="BO543" s="563"/>
      <c r="BP543" s="563"/>
      <c r="BT543" s="563"/>
      <c r="BX543" s="563"/>
      <c r="CB543" s="563"/>
      <c r="CF543" s="563"/>
      <c r="CJ543" s="563"/>
      <c r="CN543" s="563"/>
      <c r="CR543" s="563"/>
      <c r="CV543" s="563"/>
      <c r="CZ543" s="563"/>
      <c r="DD543" s="563"/>
      <c r="DH543" s="563"/>
      <c r="DL543" s="563"/>
      <c r="DP543" s="563"/>
      <c r="DT543" s="387"/>
      <c r="DU543" s="387"/>
      <c r="DV543" s="387"/>
      <c r="DW543" s="387"/>
      <c r="DX543" s="387"/>
      <c r="DY543" s="387"/>
      <c r="DZ543" s="387"/>
      <c r="EA543" s="387"/>
      <c r="EB543" s="387"/>
      <c r="EC543" s="387"/>
      <c r="ED543" s="387"/>
      <c r="EE543" s="387"/>
      <c r="EF543" s="387"/>
      <c r="EG543" s="387"/>
      <c r="EH543" s="387"/>
      <c r="EI543" s="387"/>
      <c r="EJ543" s="387"/>
      <c r="EK543" s="387"/>
      <c r="EL543" s="387"/>
      <c r="EM543" s="387"/>
      <c r="EN543" s="387"/>
      <c r="EO543" s="387"/>
      <c r="EP543" s="387"/>
      <c r="EQ543" s="387"/>
      <c r="ER543" s="387"/>
      <c r="ES543" s="387"/>
      <c r="ET543" s="387"/>
      <c r="EU543" s="387"/>
      <c r="EV543" s="387"/>
      <c r="EW543" s="387"/>
      <c r="EX543" s="387"/>
      <c r="EY543" s="387"/>
      <c r="EZ543" s="387"/>
      <c r="FA543" s="387"/>
      <c r="FB543" s="387"/>
      <c r="FC543" s="387"/>
      <c r="FD543" s="387"/>
      <c r="FE543" s="387"/>
      <c r="FF543" s="387"/>
      <c r="FG543" s="387"/>
      <c r="FH543" s="387"/>
      <c r="FI543" s="387"/>
      <c r="FJ543" s="387"/>
      <c r="FK543" s="387"/>
      <c r="FL543" s="387"/>
      <c r="FM543" s="387"/>
      <c r="FN543" s="387"/>
      <c r="FO543" s="387"/>
      <c r="FP543" s="387"/>
      <c r="FQ543" s="387"/>
      <c r="FR543" s="387"/>
      <c r="FS543" s="387"/>
      <c r="FT543" s="387"/>
      <c r="FU543" s="387"/>
      <c r="FV543" s="387"/>
      <c r="FW543" s="387"/>
      <c r="FX543" s="387"/>
      <c r="FY543" s="387"/>
      <c r="FZ543" s="387"/>
      <c r="GA543" s="387"/>
      <c r="GB543" s="387"/>
      <c r="GC543" s="387"/>
      <c r="GD543" s="387"/>
      <c r="GE543" s="387"/>
      <c r="GF543" s="387"/>
      <c r="GG543" s="387"/>
      <c r="GH543" s="387"/>
      <c r="GI543" s="387"/>
      <c r="GJ543" s="387"/>
      <c r="GK543" s="387"/>
      <c r="GL543" s="387"/>
      <c r="GM543" s="387"/>
      <c r="GN543" s="387"/>
      <c r="GO543" s="387"/>
      <c r="GP543" s="387"/>
      <c r="GQ543" s="387"/>
      <c r="GR543" s="387"/>
      <c r="GS543" s="387"/>
      <c r="GT543" s="387"/>
      <c r="GU543" s="387"/>
      <c r="GV543" s="387"/>
      <c r="GW543" s="387"/>
      <c r="GX543" s="387"/>
      <c r="GY543" s="387"/>
      <c r="GZ543" s="387"/>
      <c r="HA543" s="387"/>
      <c r="HB543" s="387"/>
      <c r="HC543" s="387"/>
      <c r="HD543" s="387"/>
      <c r="HE543" s="387"/>
      <c r="HF543" s="387"/>
      <c r="HG543" s="387"/>
      <c r="HH543" s="387"/>
      <c r="HI543" s="387"/>
      <c r="HJ543" s="387"/>
      <c r="HK543" s="387"/>
      <c r="HL543" s="387"/>
      <c r="HM543" s="387"/>
      <c r="HN543" s="387"/>
      <c r="HO543" s="387"/>
      <c r="HP543" s="387"/>
      <c r="HQ543" s="387"/>
      <c r="HR543" s="387"/>
      <c r="HS543" s="387"/>
      <c r="HT543" s="387"/>
      <c r="HU543" s="387"/>
      <c r="HV543" s="387"/>
      <c r="HW543" s="387"/>
      <c r="HX543" s="387"/>
      <c r="HY543" s="387"/>
      <c r="HZ543" s="387"/>
      <c r="IA543" s="387"/>
      <c r="IB543" s="387"/>
      <c r="IC543" s="387"/>
      <c r="ID543" s="387"/>
      <c r="IE543" s="387"/>
      <c r="IF543" s="387"/>
      <c r="IG543" s="387"/>
      <c r="IH543" s="387"/>
      <c r="II543" s="387"/>
      <c r="IJ543" s="387"/>
      <c r="IK543" s="387"/>
      <c r="IL543" s="387"/>
      <c r="IM543" s="387"/>
      <c r="IN543" s="387"/>
      <c r="IO543" s="387"/>
      <c r="IP543" s="387"/>
      <c r="IQ543" s="387"/>
      <c r="IR543" s="387"/>
      <c r="IS543" s="387"/>
      <c r="IT543" s="387"/>
      <c r="IU543" s="387"/>
      <c r="IV543" s="387"/>
      <c r="IW543" s="387"/>
      <c r="IX543" s="387"/>
      <c r="IY543" s="387"/>
      <c r="IZ543" s="387"/>
      <c r="JA543" s="387"/>
      <c r="JB543" s="387"/>
      <c r="JC543" s="387"/>
      <c r="JD543" s="387"/>
    </row>
    <row r="544" spans="1:264" s="387" customFormat="1" x14ac:dyDescent="0.2">
      <c r="B544" s="388"/>
      <c r="BH544" s="388"/>
      <c r="BI544" s="388"/>
      <c r="BJ544" s="388"/>
      <c r="BK544" s="388"/>
      <c r="BL544" s="388"/>
      <c r="BM544" s="388"/>
      <c r="BN544" s="388"/>
      <c r="BO544" s="388"/>
      <c r="BP544" s="388"/>
      <c r="BT544" s="388"/>
      <c r="BX544" s="388"/>
      <c r="CB544" s="388"/>
      <c r="CF544" s="388"/>
      <c r="CJ544" s="388"/>
      <c r="CN544" s="388"/>
      <c r="CR544" s="388"/>
      <c r="CV544" s="388"/>
      <c r="CZ544" s="388"/>
      <c r="DD544" s="388"/>
      <c r="DH544" s="388"/>
      <c r="DL544" s="388"/>
      <c r="DP544" s="388"/>
    </row>
    <row r="545" spans="1:264" s="387" customFormat="1" x14ac:dyDescent="0.2">
      <c r="A545" s="387" t="s">
        <v>242</v>
      </c>
      <c r="B545" s="388"/>
      <c r="BD545" s="389">
        <f>BD25</f>
        <v>0</v>
      </c>
      <c r="BE545" s="389">
        <f>BE25</f>
        <v>0</v>
      </c>
      <c r="BF545" s="389">
        <f>BF25</f>
        <v>0</v>
      </c>
      <c r="BG545" s="388"/>
      <c r="BH545" s="389">
        <f>BH25</f>
        <v>10289</v>
      </c>
      <c r="BI545" s="389">
        <f>BI25</f>
        <v>10532</v>
      </c>
      <c r="BJ545" s="389">
        <f>BJ25</f>
        <v>20821</v>
      </c>
      <c r="BK545" s="388"/>
      <c r="BL545" s="389">
        <f>BL25</f>
        <v>11148</v>
      </c>
      <c r="BM545" s="389">
        <f>BM25</f>
        <v>11253</v>
      </c>
      <c r="BN545" s="389">
        <f>BN25</f>
        <v>22401</v>
      </c>
      <c r="BO545" s="388"/>
      <c r="BP545" s="389">
        <f>BP25</f>
        <v>11723</v>
      </c>
      <c r="BQ545" s="389">
        <f>BQ25</f>
        <v>11855</v>
      </c>
      <c r="BR545" s="389">
        <f>BR25</f>
        <v>23578</v>
      </c>
      <c r="BS545" s="388"/>
      <c r="BT545" s="389">
        <f>BT25</f>
        <v>12420</v>
      </c>
      <c r="BU545" s="389">
        <f>BU25</f>
        <v>12327</v>
      </c>
      <c r="BV545" s="389">
        <f>BV25</f>
        <v>24747</v>
      </c>
      <c r="BW545" s="388"/>
      <c r="BX545" s="389">
        <f>BX25</f>
        <v>12835</v>
      </c>
      <c r="BY545" s="389">
        <f>BY25</f>
        <v>12445</v>
      </c>
      <c r="BZ545" s="389">
        <f>BZ25</f>
        <v>25280</v>
      </c>
      <c r="CA545" s="388"/>
      <c r="CB545" s="389">
        <f>CB25</f>
        <v>12649</v>
      </c>
      <c r="CC545" s="389">
        <f>CC25</f>
        <v>12273</v>
      </c>
      <c r="CD545" s="389">
        <f>CD25</f>
        <v>24922</v>
      </c>
      <c r="CE545" s="388"/>
      <c r="CF545" s="389">
        <f>CF25</f>
        <v>11990</v>
      </c>
      <c r="CG545" s="389">
        <f>CG25</f>
        <v>11589</v>
      </c>
      <c r="CH545" s="389">
        <f>CH25</f>
        <v>23579</v>
      </c>
      <c r="CI545" s="388"/>
      <c r="CJ545" s="389">
        <f>CJ25</f>
        <v>12023</v>
      </c>
      <c r="CK545" s="389">
        <f>CK25</f>
        <v>11738</v>
      </c>
      <c r="CL545" s="389">
        <f>CL25</f>
        <v>23761</v>
      </c>
      <c r="CM545" s="388"/>
      <c r="CN545" s="389">
        <f>CN25</f>
        <v>11961</v>
      </c>
      <c r="CO545" s="389">
        <f>CO25</f>
        <v>12195</v>
      </c>
      <c r="CP545" s="389">
        <f>CP25</f>
        <v>24156</v>
      </c>
      <c r="CQ545" s="388"/>
      <c r="CR545" s="389">
        <f>CR25</f>
        <v>12107</v>
      </c>
      <c r="CS545" s="389">
        <f>CS25</f>
        <v>12582</v>
      </c>
      <c r="CT545" s="389">
        <f>CT25</f>
        <v>24689</v>
      </c>
      <c r="CV545" s="389">
        <f>CV25</f>
        <v>13623</v>
      </c>
      <c r="CW545" s="389">
        <f>CW25</f>
        <v>13512</v>
      </c>
      <c r="CX545" s="389">
        <f>CX25</f>
        <v>27135</v>
      </c>
      <c r="CZ545" s="389">
        <f>CZ25</f>
        <v>13649</v>
      </c>
      <c r="DA545" s="389">
        <f>DA25</f>
        <v>13525</v>
      </c>
      <c r="DB545" s="389">
        <f>DB25</f>
        <v>27174</v>
      </c>
      <c r="DD545" s="389">
        <f>DD25</f>
        <v>14097</v>
      </c>
      <c r="DE545" s="389">
        <f>DE25</f>
        <v>14368</v>
      </c>
      <c r="DF545" s="389">
        <f>DF25</f>
        <v>28465</v>
      </c>
      <c r="DH545" s="389">
        <f>DH25</f>
        <v>15021</v>
      </c>
      <c r="DI545" s="389">
        <f>DI25</f>
        <v>15221.786412194529</v>
      </c>
      <c r="DJ545" s="389">
        <f>DJ25</f>
        <v>30242.786412194531</v>
      </c>
      <c r="DL545" s="389">
        <f>DL25</f>
        <v>15973.425130904467</v>
      </c>
      <c r="DM545" s="389">
        <f>DM25</f>
        <v>16037.449253626672</v>
      </c>
      <c r="DN545" s="389">
        <f>DN25</f>
        <v>32010.87438453114</v>
      </c>
      <c r="DP545" s="389">
        <f>DP25</f>
        <v>16651.367635972674</v>
      </c>
      <c r="DQ545" s="389">
        <f>DQ25</f>
        <v>16727.137294992015</v>
      </c>
      <c r="DR545" s="389">
        <f>DR25</f>
        <v>33378.504930964686</v>
      </c>
    </row>
    <row r="546" spans="1:264" s="387" customFormat="1" x14ac:dyDescent="0.2">
      <c r="A546" s="564" t="s">
        <v>450</v>
      </c>
      <c r="B546" s="388"/>
      <c r="BD546" s="389">
        <f>BD545-BD555</f>
        <v>0</v>
      </c>
      <c r="BE546" s="389">
        <f>BE545-BE555</f>
        <v>0</v>
      </c>
      <c r="BF546" s="389">
        <f>BF545-BF555</f>
        <v>0</v>
      </c>
      <c r="BG546" s="388"/>
      <c r="BH546" s="389">
        <f>BH545-BH555</f>
        <v>10289</v>
      </c>
      <c r="BI546" s="389">
        <f>BI545-BI555</f>
        <v>10532</v>
      </c>
      <c r="BJ546" s="389">
        <f>BJ545-BJ555</f>
        <v>20821</v>
      </c>
      <c r="BK546" s="388"/>
      <c r="BL546" s="389">
        <f>BL545-BL555</f>
        <v>11148</v>
      </c>
      <c r="BM546" s="389">
        <f>BM545-BM555</f>
        <v>11253</v>
      </c>
      <c r="BN546" s="389">
        <f>BN545-BN555</f>
        <v>22401</v>
      </c>
      <c r="BO546" s="388"/>
      <c r="BP546" s="389">
        <f>BP545-BP555</f>
        <v>11723</v>
      </c>
      <c r="BQ546" s="389">
        <f>BQ545-BQ555</f>
        <v>11855</v>
      </c>
      <c r="BR546" s="389">
        <f>BR545-BR555</f>
        <v>23578</v>
      </c>
      <c r="BS546" s="388"/>
      <c r="BT546" s="389">
        <f>BT545-BT555</f>
        <v>12420</v>
      </c>
      <c r="BU546" s="389">
        <f>BU545-BU555</f>
        <v>12327</v>
      </c>
      <c r="BV546" s="389">
        <f>BV545-BV555</f>
        <v>24747</v>
      </c>
      <c r="BW546" s="388"/>
      <c r="BX546" s="389">
        <f>BX545-BX555</f>
        <v>12438</v>
      </c>
      <c r="BY546" s="389">
        <f>BY545-BY555</f>
        <v>12445</v>
      </c>
      <c r="BZ546" s="389">
        <f>BZ545-BZ555</f>
        <v>24883</v>
      </c>
      <c r="CA546" s="388"/>
      <c r="CB546" s="389">
        <f>CB545-CB555</f>
        <v>12558</v>
      </c>
      <c r="CC546" s="389">
        <f>CC545-CC555</f>
        <v>12136</v>
      </c>
      <c r="CD546" s="389">
        <f>CD545-CD555</f>
        <v>24694</v>
      </c>
      <c r="CE546" s="388"/>
      <c r="CF546" s="389">
        <f>CF545-CF555</f>
        <v>11990</v>
      </c>
      <c r="CG546" s="389">
        <f>CG545-CG555</f>
        <v>11589</v>
      </c>
      <c r="CH546" s="389">
        <f>CH545-CH555</f>
        <v>23579</v>
      </c>
      <c r="CI546" s="388"/>
      <c r="CJ546" s="389">
        <f>CJ545-CJ555</f>
        <v>12023</v>
      </c>
      <c r="CK546" s="389">
        <f>CK545-CK555</f>
        <v>11738</v>
      </c>
      <c r="CL546" s="389">
        <f>CL545-CL555</f>
        <v>23761</v>
      </c>
      <c r="CM546" s="388"/>
      <c r="CN546" s="389">
        <f>CN545-CN555</f>
        <v>11961</v>
      </c>
      <c r="CO546" s="389">
        <f>CO545-CO555</f>
        <v>12195</v>
      </c>
      <c r="CP546" s="389">
        <f>CP545-CP555</f>
        <v>24156</v>
      </c>
      <c r="CQ546" s="388"/>
      <c r="CR546" s="389">
        <f>CR545-CR555</f>
        <v>12107</v>
      </c>
      <c r="CS546" s="389">
        <f>CS545-CS555</f>
        <v>12066</v>
      </c>
      <c r="CT546" s="389">
        <f>CT545-CT555</f>
        <v>24173</v>
      </c>
      <c r="CV546" s="389">
        <f>CV545-CV555</f>
        <v>13623</v>
      </c>
      <c r="CW546" s="389">
        <f>CW545-CW555</f>
        <v>13512</v>
      </c>
      <c r="CX546" s="389">
        <f>CX545-CX555</f>
        <v>27135</v>
      </c>
      <c r="CZ546" s="389">
        <f>CZ545-CZ555</f>
        <v>13649</v>
      </c>
      <c r="DA546" s="389">
        <f>DA545-DA555</f>
        <v>13525</v>
      </c>
      <c r="DB546" s="389">
        <f>DB545-DB555</f>
        <v>27174</v>
      </c>
      <c r="DD546" s="389">
        <f>DD545-DD555</f>
        <v>14097</v>
      </c>
      <c r="DE546" s="389">
        <f>DE545-DE555</f>
        <v>14368</v>
      </c>
      <c r="DF546" s="389">
        <f>DF545-DF555</f>
        <v>28465</v>
      </c>
      <c r="DH546" s="389">
        <f>DH545-DH555</f>
        <v>15021</v>
      </c>
      <c r="DI546" s="389">
        <f>DI545-DI555</f>
        <v>15221.786412194529</v>
      </c>
      <c r="DJ546" s="389">
        <f>DJ545-DJ555</f>
        <v>30242.786412194531</v>
      </c>
      <c r="DL546" s="389">
        <f>DL545-DL555</f>
        <v>15973.425130904467</v>
      </c>
      <c r="DM546" s="389">
        <f>DM545-DM555</f>
        <v>16037.449253626672</v>
      </c>
      <c r="DN546" s="389">
        <f>DN545-DN555</f>
        <v>32010.87438453114</v>
      </c>
      <c r="DP546" s="389">
        <f>DP545-DP555</f>
        <v>16651.367635972674</v>
      </c>
      <c r="DQ546" s="389">
        <f>DQ545-DQ555</f>
        <v>16727.137294992015</v>
      </c>
      <c r="DR546" s="389">
        <f>DR545-DR555</f>
        <v>33378.504930964686</v>
      </c>
    </row>
    <row r="547" spans="1:264" s="387" customFormat="1" x14ac:dyDescent="0.2">
      <c r="A547" s="564"/>
      <c r="B547" s="388"/>
      <c r="BD547" s="388"/>
      <c r="BE547" s="388"/>
      <c r="BF547" s="388"/>
      <c r="BH547" s="388"/>
      <c r="BI547" s="388"/>
      <c r="BJ547" s="388"/>
      <c r="BK547" s="388"/>
      <c r="BL547" s="388"/>
      <c r="BM547" s="388"/>
      <c r="BN547" s="388"/>
      <c r="BO547" s="388"/>
      <c r="BP547" s="388"/>
      <c r="BQ547" s="388"/>
      <c r="BR547" s="388"/>
      <c r="BS547" s="388"/>
      <c r="BT547" s="388"/>
      <c r="BU547" s="388"/>
      <c r="BV547" s="388"/>
      <c r="BX547" s="388"/>
      <c r="BY547" s="388"/>
      <c r="BZ547" s="388"/>
      <c r="CA547" s="388"/>
      <c r="CB547" s="388"/>
      <c r="CC547" s="388"/>
      <c r="CD547" s="388"/>
      <c r="CF547" s="388"/>
      <c r="CG547" s="388"/>
      <c r="CH547" s="388"/>
      <c r="CI547" s="388"/>
      <c r="CJ547" s="388"/>
      <c r="CK547" s="388"/>
      <c r="CL547" s="388"/>
      <c r="CN547" s="388"/>
      <c r="CO547" s="388"/>
      <c r="CP547" s="388"/>
      <c r="CR547" s="388"/>
      <c r="CS547" s="388"/>
      <c r="CT547" s="388"/>
      <c r="CV547" s="388"/>
      <c r="CW547" s="388"/>
      <c r="CX547" s="388"/>
      <c r="CZ547" s="388"/>
      <c r="DA547" s="388"/>
      <c r="DB547" s="388"/>
      <c r="DD547" s="388"/>
      <c r="DE547" s="388"/>
      <c r="DF547" s="388"/>
      <c r="DH547" s="388"/>
      <c r="DI547" s="388"/>
      <c r="DJ547" s="388"/>
      <c r="DL547" s="388"/>
      <c r="DM547" s="388"/>
      <c r="DN547" s="388"/>
      <c r="DP547" s="388"/>
      <c r="DQ547" s="388"/>
      <c r="DR547" s="388"/>
    </row>
    <row r="548" spans="1:264" s="387" customFormat="1" x14ac:dyDescent="0.2">
      <c r="A548" s="565" t="s">
        <v>28</v>
      </c>
      <c r="B548" s="388"/>
      <c r="BD548" s="388"/>
      <c r="BE548" s="388"/>
      <c r="BF548" s="388"/>
      <c r="BH548" s="388"/>
      <c r="BI548" s="388"/>
      <c r="BJ548" s="388"/>
      <c r="BK548" s="388"/>
      <c r="BL548" s="388"/>
      <c r="BM548" s="388"/>
      <c r="BN548" s="388"/>
      <c r="BO548" s="388"/>
      <c r="BP548" s="388"/>
      <c r="BQ548" s="388"/>
      <c r="BR548" s="388"/>
      <c r="BS548" s="388"/>
      <c r="BT548" s="388"/>
      <c r="BU548" s="388"/>
      <c r="BV548" s="388"/>
      <c r="BX548" s="388"/>
      <c r="BY548" s="388"/>
      <c r="BZ548" s="388"/>
      <c r="CA548" s="388"/>
      <c r="CB548" s="388"/>
      <c r="CC548" s="388"/>
      <c r="CD548" s="388"/>
      <c r="CF548" s="388"/>
      <c r="CG548" s="388"/>
      <c r="CH548" s="388"/>
      <c r="CI548" s="388"/>
      <c r="CJ548" s="388"/>
      <c r="CK548" s="388"/>
      <c r="CL548" s="388"/>
      <c r="CN548" s="388"/>
      <c r="CO548" s="388"/>
      <c r="CP548" s="388"/>
      <c r="CR548" s="388"/>
      <c r="CS548" s="388"/>
      <c r="CT548" s="388"/>
      <c r="CV548" s="388"/>
      <c r="CW548" s="388"/>
      <c r="CX548" s="388"/>
      <c r="CZ548" s="388"/>
      <c r="DA548" s="388"/>
      <c r="DB548" s="388"/>
      <c r="DD548" s="388"/>
      <c r="DE548" s="388"/>
      <c r="DF548" s="388"/>
      <c r="DH548" s="388"/>
      <c r="DI548" s="388"/>
      <c r="DJ548" s="388"/>
      <c r="DL548" s="388"/>
      <c r="DM548" s="388"/>
      <c r="DN548" s="388"/>
      <c r="DP548" s="388"/>
      <c r="DQ548" s="388"/>
      <c r="DR548" s="388"/>
    </row>
    <row r="549" spans="1:264" s="387" customFormat="1" x14ac:dyDescent="0.2">
      <c r="A549" s="565" t="str">
        <f>A545</f>
        <v>Revenue</v>
      </c>
      <c r="B549" s="388"/>
      <c r="BD549" s="483"/>
      <c r="BE549" s="483"/>
      <c r="BF549" s="483"/>
      <c r="BG549" s="410"/>
      <c r="BH549" s="483"/>
      <c r="BI549" s="483"/>
      <c r="BJ549" s="483"/>
      <c r="BK549" s="483"/>
      <c r="BL549" s="483">
        <f t="shared" ref="BL549:BN550" si="490">BL545/BH545-1</f>
        <v>8.348721936048209E-2</v>
      </c>
      <c r="BM549" s="483">
        <f t="shared" si="490"/>
        <v>6.8458032662362278E-2</v>
      </c>
      <c r="BN549" s="483">
        <f t="shared" si="490"/>
        <v>7.5884923874933952E-2</v>
      </c>
      <c r="BO549" s="483"/>
      <c r="BP549" s="483">
        <f t="shared" ref="BP549:BR550" si="491">BP545/BL545-1</f>
        <v>5.1578758521708012E-2</v>
      </c>
      <c r="BQ549" s="483">
        <f t="shared" si="491"/>
        <v>5.3496845285701644E-2</v>
      </c>
      <c r="BR549" s="483">
        <f t="shared" si="491"/>
        <v>5.2542297218874268E-2</v>
      </c>
      <c r="BS549" s="483"/>
      <c r="BT549" s="483">
        <f t="shared" ref="BT549:BV550" si="492">BT545/BP545-1</f>
        <v>5.9455770707156796E-2</v>
      </c>
      <c r="BU549" s="483">
        <f t="shared" si="492"/>
        <v>3.9814424293546979E-2</v>
      </c>
      <c r="BV549" s="483">
        <f t="shared" si="492"/>
        <v>4.9580117058274586E-2</v>
      </c>
      <c r="BW549" s="410"/>
      <c r="BX549" s="483">
        <f t="shared" ref="BX549:BZ550" si="493">BX545/BT545-1</f>
        <v>3.3413848631239862E-2</v>
      </c>
      <c r="BY549" s="483">
        <f t="shared" si="493"/>
        <v>9.5724831670316313E-3</v>
      </c>
      <c r="BZ549" s="483">
        <f t="shared" si="493"/>
        <v>2.1537964197680504E-2</v>
      </c>
      <c r="CA549" s="483"/>
      <c r="CB549" s="483">
        <f t="shared" ref="CB549:CD550" si="494">CB545/BX545-1</f>
        <v>-1.4491624464355257E-2</v>
      </c>
      <c r="CC549" s="483">
        <f t="shared" si="494"/>
        <v>-1.3820811570911973E-2</v>
      </c>
      <c r="CD549" s="483">
        <f t="shared" si="494"/>
        <v>-1.4161392405063311E-2</v>
      </c>
      <c r="CE549" s="410"/>
      <c r="CF549" s="483">
        <f t="shared" ref="CF549:CJ550" si="495">CF545/CB545-1</f>
        <v>-5.2098980156534136E-2</v>
      </c>
      <c r="CG549" s="483">
        <f t="shared" si="495"/>
        <v>-5.5732094842336877E-2</v>
      </c>
      <c r="CH549" s="483">
        <f t="shared" si="495"/>
        <v>-5.3888130968622105E-2</v>
      </c>
      <c r="CI549" s="483"/>
      <c r="CJ549" s="483">
        <f t="shared" si="495"/>
        <v>2.7522935779815683E-3</v>
      </c>
      <c r="CK549" s="483">
        <f>CK545/CG545-1</f>
        <v>1.2857019587539931E-2</v>
      </c>
      <c r="CL549" s="483">
        <f>CL545/CH545-1</f>
        <v>7.7187327706857989E-3</v>
      </c>
      <c r="CM549" s="410"/>
      <c r="CN549" s="483">
        <f t="shared" ref="CN549:CN550" si="496">CN545/CJ545-1</f>
        <v>-5.1567828329035503E-3</v>
      </c>
      <c r="CO549" s="483">
        <f>CO545/CK545-1</f>
        <v>3.8933378769807403E-2</v>
      </c>
      <c r="CP549" s="483">
        <f>CP545/CL545-1</f>
        <v>1.6623879466352465E-2</v>
      </c>
      <c r="CQ549" s="410"/>
      <c r="CR549" s="483">
        <f t="shared" ref="CR549:CR550" si="497">CR545/CN545-1</f>
        <v>1.2206337262770761E-2</v>
      </c>
      <c r="CS549" s="483">
        <f>CS545/CO545-1</f>
        <v>3.1734317343173446E-2</v>
      </c>
      <c r="CT549" s="483">
        <f>CT545/CP545-1</f>
        <v>2.2064911409173771E-2</v>
      </c>
      <c r="CV549" s="483">
        <f t="shared" ref="CV549:CV550" si="498">CV545/CR545-1</f>
        <v>0.12521681671760132</v>
      </c>
      <c r="CW549" s="483">
        <f>CW545/CS545-1</f>
        <v>7.3915116833571659E-2</v>
      </c>
      <c r="CX549" s="483">
        <f>CX545/CT545-1</f>
        <v>9.9072461420065538E-2</v>
      </c>
      <c r="CZ549" s="483">
        <f t="shared" ref="CZ549:CZ550" si="499">CZ545/CV545-1</f>
        <v>1.9085370329590123E-3</v>
      </c>
      <c r="DA549" s="483">
        <f>DA545/CW545-1</f>
        <v>9.6210775606864196E-4</v>
      </c>
      <c r="DB549" s="483">
        <f>DB545/CX545-1</f>
        <v>1.4372581536761242E-3</v>
      </c>
      <c r="DD549" s="483">
        <f t="shared" ref="DD549:DD550" si="500">DD545/CZ545-1</f>
        <v>3.2822917429848442E-2</v>
      </c>
      <c r="DE549" s="483">
        <f>DE545/DA545-1</f>
        <v>6.2329020332717144E-2</v>
      </c>
      <c r="DF549" s="483">
        <f>DF545/DB545-1</f>
        <v>4.7508647972326568E-2</v>
      </c>
      <c r="DH549" s="483">
        <f t="shared" ref="DH549:DH550" si="501">DH545/DD545-1</f>
        <v>6.5545860821451418E-2</v>
      </c>
      <c r="DI549" s="483">
        <f t="shared" ref="DI549:DJ550" si="502">DI545/DE545-1</f>
        <v>5.942277367723614E-2</v>
      </c>
      <c r="DJ549" s="483">
        <f t="shared" si="502"/>
        <v>6.2455169934815702E-2</v>
      </c>
      <c r="DL549" s="483">
        <f t="shared" ref="DL549:DN550" si="503">DL545/DH545-1</f>
        <v>6.3406239990977165E-2</v>
      </c>
      <c r="DM549" s="483">
        <f t="shared" si="503"/>
        <v>5.358522445031122E-2</v>
      </c>
      <c r="DN549" s="483">
        <f t="shared" si="503"/>
        <v>5.846313062025521E-2</v>
      </c>
      <c r="DP549" s="483">
        <f t="shared" ref="DP549:DP550" si="504">DP545/DL545-1</f>
        <v>4.2441899562077223E-2</v>
      </c>
      <c r="DQ549" s="483">
        <f t="shared" ref="DQ549:DQ550" si="505">DQ545/DM545-1</f>
        <v>4.3004846372896699E-2</v>
      </c>
      <c r="DR549" s="483">
        <f t="shared" ref="DR549:DR550" si="506">DR545/DN545-1</f>
        <v>4.2723935935171875E-2</v>
      </c>
    </row>
    <row r="550" spans="1:264" s="387" customFormat="1" x14ac:dyDescent="0.2">
      <c r="A550" s="565" t="str">
        <f>A546</f>
        <v>Revenue ex Notable Items</v>
      </c>
      <c r="B550" s="388"/>
      <c r="BD550" s="483"/>
      <c r="BE550" s="483"/>
      <c r="BF550" s="483"/>
      <c r="BG550" s="410"/>
      <c r="BH550" s="483"/>
      <c r="BI550" s="483"/>
      <c r="BJ550" s="483"/>
      <c r="BK550" s="483"/>
      <c r="BL550" s="483">
        <f t="shared" si="490"/>
        <v>8.348721936048209E-2</v>
      </c>
      <c r="BM550" s="483">
        <f t="shared" si="490"/>
        <v>6.8458032662362278E-2</v>
      </c>
      <c r="BN550" s="483">
        <f t="shared" si="490"/>
        <v>7.5884923874933952E-2</v>
      </c>
      <c r="BO550" s="483"/>
      <c r="BP550" s="483">
        <f t="shared" si="491"/>
        <v>5.1578758521708012E-2</v>
      </c>
      <c r="BQ550" s="483">
        <f t="shared" si="491"/>
        <v>5.3496845285701644E-2</v>
      </c>
      <c r="BR550" s="483">
        <f t="shared" si="491"/>
        <v>5.2542297218874268E-2</v>
      </c>
      <c r="BS550" s="483"/>
      <c r="BT550" s="483">
        <f t="shared" si="492"/>
        <v>5.9455770707156796E-2</v>
      </c>
      <c r="BU550" s="483">
        <f t="shared" si="492"/>
        <v>3.9814424293546979E-2</v>
      </c>
      <c r="BV550" s="483">
        <f t="shared" si="492"/>
        <v>4.9580117058274586E-2</v>
      </c>
      <c r="BW550" s="410"/>
      <c r="BX550" s="483">
        <f t="shared" si="493"/>
        <v>1.4492753623187582E-3</v>
      </c>
      <c r="BY550" s="483">
        <f t="shared" si="493"/>
        <v>9.5724831670316313E-3</v>
      </c>
      <c r="BZ550" s="483">
        <f t="shared" si="493"/>
        <v>5.4956156301773085E-3</v>
      </c>
      <c r="CA550" s="483"/>
      <c r="CB550" s="483">
        <f t="shared" si="494"/>
        <v>9.6478533526289656E-3</v>
      </c>
      <c r="CC550" s="483">
        <f t="shared" si="494"/>
        <v>-2.4829248694254735E-2</v>
      </c>
      <c r="CD550" s="483">
        <f t="shared" si="494"/>
        <v>-7.5955471607120906E-3</v>
      </c>
      <c r="CE550" s="410"/>
      <c r="CF550" s="483">
        <f t="shared" si="495"/>
        <v>-4.5230132186653949E-2</v>
      </c>
      <c r="CG550" s="483">
        <f t="shared" si="495"/>
        <v>-4.5072511535926174E-2</v>
      </c>
      <c r="CH550" s="483">
        <f t="shared" si="495"/>
        <v>-4.5152668664452889E-2</v>
      </c>
      <c r="CI550" s="483"/>
      <c r="CJ550" s="483">
        <f t="shared" si="495"/>
        <v>2.7522935779815683E-3</v>
      </c>
      <c r="CK550" s="483">
        <f>CK546/CG546-1</f>
        <v>1.2857019587539931E-2</v>
      </c>
      <c r="CL550" s="483">
        <f>CL546/CH546-1</f>
        <v>7.7187327706857989E-3</v>
      </c>
      <c r="CM550" s="410"/>
      <c r="CN550" s="483">
        <f t="shared" si="496"/>
        <v>-5.1567828329035503E-3</v>
      </c>
      <c r="CO550" s="483">
        <f>CO546/CK546-1</f>
        <v>3.8933378769807403E-2</v>
      </c>
      <c r="CP550" s="483">
        <f>CP546/CL546-1</f>
        <v>1.6623879466352465E-2</v>
      </c>
      <c r="CQ550" s="410"/>
      <c r="CR550" s="483">
        <f t="shared" si="497"/>
        <v>1.2206337262770761E-2</v>
      </c>
      <c r="CS550" s="483">
        <f>CS546/CO546-1</f>
        <v>-1.0578105781057778E-2</v>
      </c>
      <c r="CT550" s="483">
        <f>CT546/CP546-1</f>
        <v>7.0375890048013368E-4</v>
      </c>
      <c r="CV550" s="483">
        <f t="shared" si="498"/>
        <v>0.12521681671760132</v>
      </c>
      <c r="CW550" s="483">
        <f>CW546/CS546-1</f>
        <v>0.11984087518647435</v>
      </c>
      <c r="CX550" s="483">
        <f>CX546/CT546-1</f>
        <v>0.12253340503867949</v>
      </c>
      <c r="CZ550" s="483">
        <f t="shared" si="499"/>
        <v>1.9085370329590123E-3</v>
      </c>
      <c r="DA550" s="483">
        <f>DA546/CW546-1</f>
        <v>9.6210775606864196E-4</v>
      </c>
      <c r="DB550" s="483">
        <f>DB546/CX546-1</f>
        <v>1.4372581536761242E-3</v>
      </c>
      <c r="DD550" s="483">
        <f t="shared" si="500"/>
        <v>3.2822917429848442E-2</v>
      </c>
      <c r="DE550" s="483">
        <f>DE546/DA546-1</f>
        <v>6.2329020332717144E-2</v>
      </c>
      <c r="DF550" s="483">
        <f>DF546/DB546-1</f>
        <v>4.7508647972326568E-2</v>
      </c>
      <c r="DH550" s="483">
        <f t="shared" si="501"/>
        <v>6.5545860821451418E-2</v>
      </c>
      <c r="DI550" s="483">
        <f t="shared" si="502"/>
        <v>5.942277367723614E-2</v>
      </c>
      <c r="DJ550" s="483">
        <f t="shared" si="502"/>
        <v>6.2455169934815702E-2</v>
      </c>
      <c r="DL550" s="483">
        <f t="shared" si="503"/>
        <v>6.3406239990977165E-2</v>
      </c>
      <c r="DM550" s="483">
        <f t="shared" si="503"/>
        <v>5.358522445031122E-2</v>
      </c>
      <c r="DN550" s="483">
        <f t="shared" si="503"/>
        <v>5.846313062025521E-2</v>
      </c>
      <c r="DP550" s="483">
        <f t="shared" si="504"/>
        <v>4.2441899562077223E-2</v>
      </c>
      <c r="DQ550" s="483">
        <f t="shared" si="505"/>
        <v>4.3004846372896699E-2</v>
      </c>
      <c r="DR550" s="483">
        <f t="shared" si="506"/>
        <v>4.2723935935171875E-2</v>
      </c>
    </row>
    <row r="551" spans="1:264" s="387" customFormat="1" x14ac:dyDescent="0.2">
      <c r="A551" s="564"/>
      <c r="B551" s="388"/>
      <c r="BD551" s="388"/>
      <c r="BE551" s="388"/>
      <c r="BF551" s="388"/>
      <c r="BH551" s="388"/>
      <c r="BI551" s="388"/>
      <c r="BJ551" s="388"/>
      <c r="BK551" s="388"/>
      <c r="BL551" s="388"/>
      <c r="BM551" s="388"/>
      <c r="BN551" s="388"/>
      <c r="BO551" s="388"/>
      <c r="BP551" s="388"/>
      <c r="BQ551" s="388"/>
      <c r="BR551" s="388"/>
      <c r="BS551" s="388"/>
      <c r="BT551" s="388"/>
      <c r="BU551" s="388"/>
      <c r="BV551" s="388"/>
      <c r="BX551" s="388"/>
      <c r="BY551" s="388"/>
      <c r="BZ551" s="388"/>
      <c r="CA551" s="388"/>
      <c r="CB551" s="388"/>
      <c r="CC551" s="388"/>
      <c r="CD551" s="388"/>
      <c r="CF551" s="388"/>
      <c r="CG551" s="388"/>
      <c r="CH551" s="388"/>
      <c r="CI551" s="388"/>
      <c r="CJ551" s="388"/>
      <c r="CK551" s="388"/>
      <c r="CL551" s="388"/>
      <c r="CN551" s="388"/>
      <c r="CO551" s="388"/>
      <c r="CP551" s="388"/>
      <c r="CR551" s="388"/>
      <c r="CS551" s="388"/>
      <c r="CT551" s="388"/>
      <c r="CV551" s="388"/>
      <c r="CW551" s="388"/>
      <c r="CX551" s="388"/>
      <c r="CZ551" s="388"/>
      <c r="DA551" s="388"/>
      <c r="DB551" s="388"/>
      <c r="DD551" s="388"/>
      <c r="DE551" s="388"/>
      <c r="DF551" s="388"/>
      <c r="DH551" s="388"/>
      <c r="DI551" s="388"/>
      <c r="DJ551" s="388"/>
      <c r="DL551" s="388"/>
      <c r="DM551" s="388"/>
      <c r="DN551" s="388"/>
      <c r="DP551" s="388"/>
      <c r="DQ551" s="388"/>
      <c r="DR551" s="388"/>
    </row>
    <row r="552" spans="1:264" s="387" customFormat="1" x14ac:dyDescent="0.2">
      <c r="A552" s="564" t="s">
        <v>451</v>
      </c>
      <c r="B552" s="388"/>
      <c r="BD552" s="388"/>
      <c r="BE552" s="388"/>
      <c r="BF552" s="388"/>
      <c r="BH552" s="388"/>
      <c r="BI552" s="388"/>
      <c r="BJ552" s="388"/>
      <c r="BK552" s="388"/>
      <c r="BL552" s="388"/>
      <c r="BM552" s="388"/>
      <c r="BN552" s="388"/>
      <c r="BO552" s="388"/>
      <c r="BP552" s="388"/>
      <c r="BQ552" s="388"/>
      <c r="BR552" s="388"/>
      <c r="BS552" s="388"/>
      <c r="BT552" s="388"/>
      <c r="BU552" s="388"/>
      <c r="BV552" s="388"/>
      <c r="BX552" s="388"/>
      <c r="BY552" s="388"/>
      <c r="BZ552" s="388"/>
      <c r="CA552" s="388"/>
      <c r="CB552" s="388"/>
      <c r="CC552" s="388"/>
      <c r="CD552" s="388"/>
      <c r="CF552" s="388"/>
      <c r="CG552" s="388"/>
      <c r="CH552" s="388"/>
      <c r="CI552" s="388"/>
      <c r="CJ552" s="388"/>
      <c r="CK552" s="388"/>
      <c r="CL552" s="388"/>
      <c r="CN552" s="388"/>
      <c r="CO552" s="388"/>
      <c r="CP552" s="388"/>
      <c r="CR552" s="388"/>
      <c r="CS552" s="388"/>
      <c r="CT552" s="388"/>
      <c r="CV552" s="388"/>
      <c r="CW552" s="388"/>
      <c r="CX552" s="388"/>
      <c r="CZ552" s="388"/>
      <c r="DA552" s="388"/>
      <c r="DB552" s="388"/>
      <c r="DD552" s="388"/>
      <c r="DE552" s="388"/>
      <c r="DF552" s="388"/>
      <c r="DH552" s="388"/>
      <c r="DI552" s="388"/>
      <c r="DJ552" s="388"/>
      <c r="DL552" s="388"/>
      <c r="DM552" s="388"/>
      <c r="DN552" s="388"/>
      <c r="DP552" s="388"/>
      <c r="DQ552" s="388"/>
      <c r="DR552" s="388"/>
    </row>
    <row r="553" spans="1:264" s="387" customFormat="1" x14ac:dyDescent="0.2">
      <c r="A553" s="387" t="s">
        <v>452</v>
      </c>
      <c r="B553" s="388"/>
      <c r="BD553" s="389">
        <f t="shared" ref="BD553:BF554" si="507">BD75</f>
        <v>0</v>
      </c>
      <c r="BE553" s="389">
        <f t="shared" si="507"/>
        <v>0</v>
      </c>
      <c r="BF553" s="389">
        <f t="shared" si="507"/>
        <v>0</v>
      </c>
      <c r="BH553" s="389">
        <f t="shared" ref="BH553:BJ554" si="508">BH75</f>
        <v>0</v>
      </c>
      <c r="BI553" s="389">
        <f t="shared" si="508"/>
        <v>0</v>
      </c>
      <c r="BJ553" s="389">
        <f t="shared" si="508"/>
        <v>0</v>
      </c>
      <c r="BK553" s="388"/>
      <c r="BL553" s="389">
        <f t="shared" ref="BL553:BN554" si="509">BL75</f>
        <v>0</v>
      </c>
      <c r="BM553" s="389">
        <f t="shared" si="509"/>
        <v>0</v>
      </c>
      <c r="BN553" s="389">
        <f t="shared" si="509"/>
        <v>0</v>
      </c>
      <c r="BO553" s="388"/>
      <c r="BP553" s="389">
        <f t="shared" ref="BP553:BR554" si="510">BP75</f>
        <v>0</v>
      </c>
      <c r="BQ553" s="389">
        <f t="shared" si="510"/>
        <v>0</v>
      </c>
      <c r="BR553" s="389">
        <f t="shared" si="510"/>
        <v>0</v>
      </c>
      <c r="BS553" s="388"/>
      <c r="BT553" s="389">
        <f t="shared" ref="BT553:BV554" si="511">BT75</f>
        <v>0</v>
      </c>
      <c r="BU553" s="389">
        <f t="shared" si="511"/>
        <v>0</v>
      </c>
      <c r="BV553" s="389">
        <f t="shared" si="511"/>
        <v>0</v>
      </c>
      <c r="BX553" s="389">
        <f t="shared" ref="BX553:BZ554" si="512">BX75</f>
        <v>397</v>
      </c>
      <c r="BY553" s="389">
        <f t="shared" si="512"/>
        <v>0</v>
      </c>
      <c r="BZ553" s="389">
        <f t="shared" si="512"/>
        <v>397</v>
      </c>
      <c r="CA553" s="388"/>
      <c r="CB553" s="389">
        <f t="shared" ref="CB553:CD554" si="513">CB75</f>
        <v>0</v>
      </c>
      <c r="CC553" s="389">
        <f t="shared" si="513"/>
        <v>0</v>
      </c>
      <c r="CD553" s="389">
        <f t="shared" si="513"/>
        <v>0</v>
      </c>
      <c r="CF553" s="389">
        <f>CF75</f>
        <v>0</v>
      </c>
      <c r="CG553" s="389">
        <f>CG75</f>
        <v>0</v>
      </c>
      <c r="CH553" s="389">
        <f t="shared" ref="CH553:CH555" si="514">CF553+CG553</f>
        <v>0</v>
      </c>
      <c r="CI553" s="388"/>
      <c r="CJ553" s="389">
        <f>CJ75</f>
        <v>0</v>
      </c>
      <c r="CK553" s="389">
        <f>CK75</f>
        <v>0</v>
      </c>
      <c r="CL553" s="389">
        <f t="shared" ref="CL553:CL555" si="515">CJ553+CK553</f>
        <v>0</v>
      </c>
      <c r="CN553" s="389">
        <f>CN75</f>
        <v>0</v>
      </c>
      <c r="CO553" s="389">
        <f>CO75</f>
        <v>0</v>
      </c>
      <c r="CP553" s="389">
        <f t="shared" ref="CP553:CP555" si="516">CN553+CO553</f>
        <v>0</v>
      </c>
      <c r="CR553" s="389">
        <f>CR75</f>
        <v>0</v>
      </c>
      <c r="CS553" s="389">
        <f>CS75</f>
        <v>516</v>
      </c>
      <c r="CT553" s="389">
        <f t="shared" ref="CT553:CT555" si="517">CR553+CS553</f>
        <v>516</v>
      </c>
      <c r="CV553" s="389">
        <f>CV75</f>
        <v>0</v>
      </c>
      <c r="CW553" s="389">
        <f>CW75</f>
        <v>0</v>
      </c>
      <c r="CX553" s="389">
        <f t="shared" ref="CX553:CX555" si="518">CV553+CW553</f>
        <v>0</v>
      </c>
      <c r="CZ553" s="389">
        <f>CZ75</f>
        <v>0</v>
      </c>
      <c r="DA553" s="389">
        <f>DA75</f>
        <v>0</v>
      </c>
      <c r="DB553" s="389">
        <f t="shared" ref="DB553:DB555" si="519">CZ553+DA553</f>
        <v>0</v>
      </c>
      <c r="DD553" s="389">
        <f>DD75</f>
        <v>0</v>
      </c>
      <c r="DE553" s="389">
        <f>DE75</f>
        <v>0</v>
      </c>
      <c r="DF553" s="389">
        <f t="shared" ref="DF553:DF555" si="520">DD553+DE553</f>
        <v>0</v>
      </c>
      <c r="DH553" s="389">
        <f>DH75</f>
        <v>0</v>
      </c>
      <c r="DI553" s="389">
        <f>DI75</f>
        <v>0</v>
      </c>
      <c r="DJ553" s="389">
        <f t="shared" ref="DJ553:DJ555" si="521">DH553+DI553</f>
        <v>0</v>
      </c>
      <c r="DL553" s="389">
        <f>DL75</f>
        <v>0</v>
      </c>
      <c r="DM553" s="389">
        <f>DM75</f>
        <v>0</v>
      </c>
      <c r="DN553" s="389">
        <f t="shared" ref="DN553:DN555" si="522">DL553+DM553</f>
        <v>0</v>
      </c>
      <c r="DP553" s="389">
        <f>DP75</f>
        <v>0</v>
      </c>
      <c r="DQ553" s="389">
        <f>DQ75</f>
        <v>0</v>
      </c>
      <c r="DR553" s="389">
        <f t="shared" ref="DR553:DR555" si="523">DP553+DQ553</f>
        <v>0</v>
      </c>
    </row>
    <row r="554" spans="1:264" s="387" customFormat="1" x14ac:dyDescent="0.2">
      <c r="A554" s="387" t="s">
        <v>453</v>
      </c>
      <c r="B554" s="388"/>
      <c r="BD554" s="389">
        <f t="shared" si="507"/>
        <v>0</v>
      </c>
      <c r="BE554" s="389">
        <f t="shared" si="507"/>
        <v>0</v>
      </c>
      <c r="BF554" s="389">
        <f t="shared" si="507"/>
        <v>0</v>
      </c>
      <c r="BH554" s="389">
        <f t="shared" si="508"/>
        <v>0</v>
      </c>
      <c r="BI554" s="389">
        <f t="shared" si="508"/>
        <v>0</v>
      </c>
      <c r="BJ554" s="389">
        <f t="shared" si="508"/>
        <v>0</v>
      </c>
      <c r="BK554" s="388"/>
      <c r="BL554" s="389">
        <f t="shared" si="509"/>
        <v>0</v>
      </c>
      <c r="BM554" s="389">
        <f t="shared" si="509"/>
        <v>0</v>
      </c>
      <c r="BN554" s="389">
        <f t="shared" si="509"/>
        <v>0</v>
      </c>
      <c r="BO554" s="388"/>
      <c r="BP554" s="389">
        <f t="shared" si="510"/>
        <v>0</v>
      </c>
      <c r="BQ554" s="389">
        <f t="shared" si="510"/>
        <v>0</v>
      </c>
      <c r="BR554" s="389">
        <f t="shared" si="510"/>
        <v>0</v>
      </c>
      <c r="BS554" s="388"/>
      <c r="BT554" s="389">
        <f t="shared" si="511"/>
        <v>0</v>
      </c>
      <c r="BU554" s="389">
        <f t="shared" si="511"/>
        <v>0</v>
      </c>
      <c r="BV554" s="389">
        <f t="shared" si="511"/>
        <v>0</v>
      </c>
      <c r="BX554" s="389">
        <f t="shared" si="512"/>
        <v>0</v>
      </c>
      <c r="BY554" s="389">
        <f t="shared" si="512"/>
        <v>0</v>
      </c>
      <c r="BZ554" s="389">
        <f t="shared" si="512"/>
        <v>0</v>
      </c>
      <c r="CA554" s="388"/>
      <c r="CB554" s="389">
        <f t="shared" si="513"/>
        <v>91</v>
      </c>
      <c r="CC554" s="389">
        <f t="shared" si="513"/>
        <v>137</v>
      </c>
      <c r="CD554" s="389">
        <f t="shared" si="513"/>
        <v>228</v>
      </c>
      <c r="CF554" s="389">
        <f>CF76</f>
        <v>0</v>
      </c>
      <c r="CG554" s="389">
        <f>CG76</f>
        <v>0</v>
      </c>
      <c r="CH554" s="389">
        <f t="shared" si="514"/>
        <v>0</v>
      </c>
      <c r="CI554" s="388"/>
      <c r="CJ554" s="389">
        <f>CJ76</f>
        <v>0</v>
      </c>
      <c r="CK554" s="389">
        <f>CK76</f>
        <v>0</v>
      </c>
      <c r="CL554" s="389">
        <f t="shared" si="515"/>
        <v>0</v>
      </c>
      <c r="CN554" s="389">
        <f>CN76</f>
        <v>0</v>
      </c>
      <c r="CO554" s="389">
        <f>CO76</f>
        <v>0</v>
      </c>
      <c r="CP554" s="389">
        <f t="shared" si="516"/>
        <v>0</v>
      </c>
      <c r="CR554" s="389">
        <f>CR76</f>
        <v>0</v>
      </c>
      <c r="CS554" s="389">
        <f>CS76</f>
        <v>0</v>
      </c>
      <c r="CT554" s="389">
        <f t="shared" si="517"/>
        <v>0</v>
      </c>
      <c r="CV554" s="389">
        <f>CV76</f>
        <v>0</v>
      </c>
      <c r="CW554" s="389">
        <f>CW76</f>
        <v>0</v>
      </c>
      <c r="CX554" s="389">
        <f t="shared" si="518"/>
        <v>0</v>
      </c>
      <c r="CZ554" s="389">
        <f>CZ76</f>
        <v>0</v>
      </c>
      <c r="DA554" s="389">
        <f>DA76</f>
        <v>0</v>
      </c>
      <c r="DB554" s="389">
        <f t="shared" si="519"/>
        <v>0</v>
      </c>
      <c r="DD554" s="389">
        <f>DD76</f>
        <v>0</v>
      </c>
      <c r="DE554" s="389">
        <f>DE76</f>
        <v>0</v>
      </c>
      <c r="DF554" s="389">
        <f t="shared" si="520"/>
        <v>0</v>
      </c>
      <c r="DH554" s="389">
        <f>DH76</f>
        <v>0</v>
      </c>
      <c r="DI554" s="389">
        <f>DI76</f>
        <v>0</v>
      </c>
      <c r="DJ554" s="389">
        <f t="shared" si="521"/>
        <v>0</v>
      </c>
      <c r="DL554" s="389">
        <f>DL76</f>
        <v>0</v>
      </c>
      <c r="DM554" s="389">
        <f>DM76</f>
        <v>0</v>
      </c>
      <c r="DN554" s="389">
        <f t="shared" si="522"/>
        <v>0</v>
      </c>
      <c r="DP554" s="389">
        <f>DP76</f>
        <v>0</v>
      </c>
      <c r="DQ554" s="389">
        <f>DQ76</f>
        <v>0</v>
      </c>
      <c r="DR554" s="389">
        <f t="shared" si="523"/>
        <v>0</v>
      </c>
    </row>
    <row r="555" spans="1:264" s="564" customFormat="1" x14ac:dyDescent="0.2">
      <c r="A555" s="564" t="s">
        <v>454</v>
      </c>
      <c r="B555" s="390"/>
      <c r="BD555" s="566">
        <f>SUM(BD553:BD554)</f>
        <v>0</v>
      </c>
      <c r="BE555" s="566">
        <f t="shared" ref="BE555:BF555" si="524">SUM(BE553:BE554)</f>
        <v>0</v>
      </c>
      <c r="BF555" s="566">
        <f t="shared" si="524"/>
        <v>0</v>
      </c>
      <c r="BH555" s="566">
        <f>SUM(BH553:BH554)</f>
        <v>0</v>
      </c>
      <c r="BI555" s="566">
        <f t="shared" ref="BI555:BJ555" si="525">SUM(BI553:BI554)</f>
        <v>0</v>
      </c>
      <c r="BJ555" s="566">
        <f t="shared" si="525"/>
        <v>0</v>
      </c>
      <c r="BK555" s="390"/>
      <c r="BL555" s="566">
        <f>SUM(BL553:BL554)</f>
        <v>0</v>
      </c>
      <c r="BM555" s="566">
        <f t="shared" ref="BM555:BN555" si="526">SUM(BM553:BM554)</f>
        <v>0</v>
      </c>
      <c r="BN555" s="566">
        <f t="shared" si="526"/>
        <v>0</v>
      </c>
      <c r="BO555" s="390"/>
      <c r="BP555" s="566">
        <f>SUM(BP553:BP554)</f>
        <v>0</v>
      </c>
      <c r="BQ555" s="566">
        <f t="shared" ref="BQ555:BR555" si="527">SUM(BQ553:BQ554)</f>
        <v>0</v>
      </c>
      <c r="BR555" s="566">
        <f t="shared" si="527"/>
        <v>0</v>
      </c>
      <c r="BS555" s="390"/>
      <c r="BT555" s="566">
        <f>SUM(BT553:BT554)</f>
        <v>0</v>
      </c>
      <c r="BU555" s="566">
        <f t="shared" ref="BU555:BV555" si="528">SUM(BU553:BU554)</f>
        <v>0</v>
      </c>
      <c r="BV555" s="566">
        <f t="shared" si="528"/>
        <v>0</v>
      </c>
      <c r="BX555" s="566">
        <f>SUM(BX553:BX554)</f>
        <v>397</v>
      </c>
      <c r="BY555" s="566">
        <f t="shared" ref="BY555:BZ555" si="529">SUM(BY553:BY554)</f>
        <v>0</v>
      </c>
      <c r="BZ555" s="566">
        <f t="shared" si="529"/>
        <v>397</v>
      </c>
      <c r="CA555" s="390"/>
      <c r="CB555" s="566">
        <f>SUM(CB553:CB554)</f>
        <v>91</v>
      </c>
      <c r="CC555" s="566">
        <f t="shared" ref="CC555:CD555" si="530">SUM(CC553:CC554)</f>
        <v>137</v>
      </c>
      <c r="CD555" s="566">
        <f t="shared" si="530"/>
        <v>228</v>
      </c>
      <c r="CF555" s="566">
        <f>SUM(CF553:CF554)</f>
        <v>0</v>
      </c>
      <c r="CG555" s="566">
        <f t="shared" ref="CG555" si="531">SUM(CG553:CG554)</f>
        <v>0</v>
      </c>
      <c r="CH555" s="566">
        <f t="shared" si="514"/>
        <v>0</v>
      </c>
      <c r="CI555" s="390"/>
      <c r="CJ555" s="566">
        <f>SUM(CJ553:CJ554)</f>
        <v>0</v>
      </c>
      <c r="CK555" s="566">
        <f t="shared" ref="CK555" si="532">SUM(CK553:CK554)</f>
        <v>0</v>
      </c>
      <c r="CL555" s="566">
        <f t="shared" si="515"/>
        <v>0</v>
      </c>
      <c r="CN555" s="566">
        <f>SUM(CN553:CN554)</f>
        <v>0</v>
      </c>
      <c r="CO555" s="566">
        <f t="shared" ref="CO555" si="533">SUM(CO553:CO554)</f>
        <v>0</v>
      </c>
      <c r="CP555" s="566">
        <f t="shared" si="516"/>
        <v>0</v>
      </c>
      <c r="CR555" s="566">
        <f>SUM(CR553:CR554)</f>
        <v>0</v>
      </c>
      <c r="CS555" s="566">
        <f t="shared" ref="CS555" si="534">SUM(CS553:CS554)</f>
        <v>516</v>
      </c>
      <c r="CT555" s="566">
        <f t="shared" si="517"/>
        <v>516</v>
      </c>
      <c r="CV555" s="566">
        <f>SUM(CV553:CV554)</f>
        <v>0</v>
      </c>
      <c r="CW555" s="566">
        <f t="shared" ref="CW555" si="535">SUM(CW553:CW554)</f>
        <v>0</v>
      </c>
      <c r="CX555" s="566">
        <f t="shared" si="518"/>
        <v>0</v>
      </c>
      <c r="CZ555" s="566">
        <f>SUM(CZ553:CZ554)</f>
        <v>0</v>
      </c>
      <c r="DA555" s="566">
        <f t="shared" ref="DA555" si="536">SUM(DA553:DA554)</f>
        <v>0</v>
      </c>
      <c r="DB555" s="566">
        <f t="shared" si="519"/>
        <v>0</v>
      </c>
      <c r="DD555" s="566">
        <f>SUM(DD553:DD554)</f>
        <v>0</v>
      </c>
      <c r="DE555" s="566">
        <f t="shared" ref="DE555" si="537">SUM(DE553:DE554)</f>
        <v>0</v>
      </c>
      <c r="DF555" s="566">
        <f t="shared" si="520"/>
        <v>0</v>
      </c>
      <c r="DH555" s="566">
        <f>SUM(DH553:DH554)</f>
        <v>0</v>
      </c>
      <c r="DI555" s="566">
        <f t="shared" ref="DI555" si="538">SUM(DI553:DI554)</f>
        <v>0</v>
      </c>
      <c r="DJ555" s="566">
        <f t="shared" si="521"/>
        <v>0</v>
      </c>
      <c r="DL555" s="566">
        <f>SUM(DL553:DL554)</f>
        <v>0</v>
      </c>
      <c r="DM555" s="566">
        <f t="shared" ref="DM555" si="539">SUM(DM553:DM554)</f>
        <v>0</v>
      </c>
      <c r="DN555" s="566">
        <f t="shared" si="522"/>
        <v>0</v>
      </c>
      <c r="DP555" s="566">
        <f>SUM(DP553:DP554)</f>
        <v>0</v>
      </c>
      <c r="DQ555" s="566">
        <f t="shared" ref="DQ555" si="540">SUM(DQ553:DQ554)</f>
        <v>0</v>
      </c>
      <c r="DR555" s="566">
        <f t="shared" si="523"/>
        <v>0</v>
      </c>
    </row>
    <row r="556" spans="1:264" s="564" customFormat="1" x14ac:dyDescent="0.2">
      <c r="A556" s="387" t="s">
        <v>455</v>
      </c>
      <c r="B556" s="390"/>
      <c r="BD556" s="566"/>
      <c r="BE556" s="566"/>
      <c r="BF556" s="566"/>
      <c r="BH556" s="566"/>
      <c r="BI556" s="566"/>
      <c r="BJ556" s="566"/>
      <c r="BK556" s="390"/>
      <c r="BL556" s="566"/>
      <c r="BM556" s="566"/>
      <c r="BN556" s="566"/>
      <c r="BO556" s="390"/>
      <c r="BP556" s="566"/>
      <c r="BQ556" s="566"/>
      <c r="BR556" s="566"/>
      <c r="BS556" s="390"/>
      <c r="BT556" s="566"/>
      <c r="BU556" s="566"/>
      <c r="BV556" s="566"/>
      <c r="BX556" s="566"/>
      <c r="BY556" s="566"/>
      <c r="BZ556" s="566"/>
      <c r="CA556" s="390"/>
      <c r="CB556" s="566"/>
      <c r="CC556" s="566"/>
      <c r="CD556" s="566"/>
      <c r="CF556" s="398">
        <f>CF555*-30%</f>
        <v>0</v>
      </c>
      <c r="CG556" s="398">
        <f>CG555*-30%</f>
        <v>0</v>
      </c>
      <c r="CH556" s="389">
        <f>CF556+CG556</f>
        <v>0</v>
      </c>
      <c r="CI556" s="390"/>
      <c r="CJ556" s="398">
        <f>CJ555*-30%</f>
        <v>0</v>
      </c>
      <c r="CK556" s="398">
        <f>CK555*-30%</f>
        <v>0</v>
      </c>
      <c r="CL556" s="389">
        <f>CJ556+CK556</f>
        <v>0</v>
      </c>
      <c r="CN556" s="398">
        <f>CN555*-30%</f>
        <v>0</v>
      </c>
      <c r="CO556" s="398">
        <f>CO555*-30%</f>
        <v>0</v>
      </c>
      <c r="CP556" s="389">
        <f>CN556+CO556</f>
        <v>0</v>
      </c>
      <c r="CR556" s="398">
        <f>CR555*-30%</f>
        <v>0</v>
      </c>
      <c r="CS556" s="567">
        <f>CS555*-30%</f>
        <v>-154.79999999999998</v>
      </c>
      <c r="CT556" s="389">
        <f>CR556+CS556</f>
        <v>-154.79999999999998</v>
      </c>
      <c r="CV556" s="398">
        <f>CV555*-30%</f>
        <v>0</v>
      </c>
      <c r="CW556" s="567">
        <f>CW555*-30%</f>
        <v>0</v>
      </c>
      <c r="CX556" s="389">
        <f>CV556+CW556</f>
        <v>0</v>
      </c>
      <c r="CZ556" s="398">
        <f>CZ555*-30%</f>
        <v>0</v>
      </c>
      <c r="DA556" s="567">
        <f>DA555*-30%</f>
        <v>0</v>
      </c>
      <c r="DB556" s="389">
        <f>CZ556+DA556</f>
        <v>0</v>
      </c>
      <c r="DD556" s="398">
        <f>DD555*-30%</f>
        <v>0</v>
      </c>
      <c r="DE556" s="567">
        <f>DE555*-30%</f>
        <v>0</v>
      </c>
      <c r="DF556" s="389">
        <f>DD556+DE556</f>
        <v>0</v>
      </c>
      <c r="DH556" s="398">
        <f>DH555*-30%</f>
        <v>0</v>
      </c>
      <c r="DI556" s="389">
        <f>DI555*-30%</f>
        <v>0</v>
      </c>
      <c r="DJ556" s="389">
        <f>DH556+DI556</f>
        <v>0</v>
      </c>
      <c r="DL556" s="389">
        <f>DL555*-30%</f>
        <v>0</v>
      </c>
      <c r="DM556" s="389">
        <f>DM555*-30%</f>
        <v>0</v>
      </c>
      <c r="DN556" s="389">
        <f>DL556+DM556</f>
        <v>0</v>
      </c>
      <c r="DP556" s="389">
        <f>DP555*-30%</f>
        <v>0</v>
      </c>
      <c r="DQ556" s="389">
        <f>DQ555*-30%</f>
        <v>0</v>
      </c>
      <c r="DR556" s="389">
        <f>DP556+DQ556</f>
        <v>0</v>
      </c>
    </row>
    <row r="557" spans="1:264" s="564" customFormat="1" x14ac:dyDescent="0.2">
      <c r="A557" s="564" t="s">
        <v>456</v>
      </c>
      <c r="B557" s="390"/>
      <c r="BD557" s="566"/>
      <c r="BE557" s="566"/>
      <c r="BF557" s="566"/>
      <c r="BH557" s="566"/>
      <c r="BI557" s="566"/>
      <c r="BJ557" s="566"/>
      <c r="BK557" s="390"/>
      <c r="BL557" s="566"/>
      <c r="BM557" s="566"/>
      <c r="BN557" s="566"/>
      <c r="BO557" s="390"/>
      <c r="BP557" s="566"/>
      <c r="BQ557" s="566"/>
      <c r="BR557" s="566"/>
      <c r="BS557" s="390"/>
      <c r="BT557" s="566"/>
      <c r="BU557" s="566"/>
      <c r="BV557" s="566"/>
      <c r="BX557" s="566"/>
      <c r="BY557" s="566"/>
      <c r="BZ557" s="566"/>
      <c r="CA557" s="390"/>
      <c r="CB557" s="566"/>
      <c r="CC557" s="566"/>
      <c r="CD557" s="566"/>
      <c r="CF557" s="566">
        <f>CF555+CF556</f>
        <v>0</v>
      </c>
      <c r="CG557" s="566">
        <f t="shared" ref="CG557" si="541">CG555+CG556</f>
        <v>0</v>
      </c>
      <c r="CH557" s="566">
        <f t="shared" ref="CH557" si="542">CF557+CG557</f>
        <v>0</v>
      </c>
      <c r="CI557" s="390"/>
      <c r="CJ557" s="566">
        <f>CJ555+CJ556</f>
        <v>0</v>
      </c>
      <c r="CK557" s="566">
        <f t="shared" ref="CK557" si="543">CK555+CK556</f>
        <v>0</v>
      </c>
      <c r="CL557" s="566">
        <f t="shared" ref="CL557" si="544">CJ557+CK557</f>
        <v>0</v>
      </c>
      <c r="CN557" s="566">
        <f>CN555+CN556</f>
        <v>0</v>
      </c>
      <c r="CO557" s="566">
        <f t="shared" ref="CO557" si="545">CO555+CO556</f>
        <v>0</v>
      </c>
      <c r="CP557" s="566">
        <f t="shared" ref="CP557" si="546">CN557+CO557</f>
        <v>0</v>
      </c>
      <c r="CR557" s="566">
        <f>CR555+CR556</f>
        <v>0</v>
      </c>
      <c r="CS557" s="566">
        <f t="shared" ref="CS557" si="547">CS555+CS556</f>
        <v>361.20000000000005</v>
      </c>
      <c r="CT557" s="566">
        <f t="shared" ref="CT557" si="548">CR557+CS557</f>
        <v>361.20000000000005</v>
      </c>
      <c r="CV557" s="566">
        <f>CV555+CV556</f>
        <v>0</v>
      </c>
      <c r="CW557" s="566">
        <f t="shared" ref="CW557" si="549">CW555+CW556</f>
        <v>0</v>
      </c>
      <c r="CX557" s="566">
        <f t="shared" ref="CX557" si="550">CV557+CW557</f>
        <v>0</v>
      </c>
      <c r="CZ557" s="566">
        <f>CZ555+CZ556</f>
        <v>0</v>
      </c>
      <c r="DA557" s="566">
        <f t="shared" ref="DA557" si="551">DA555+DA556</f>
        <v>0</v>
      </c>
      <c r="DB557" s="566">
        <f t="shared" ref="DB557" si="552">CZ557+DA557</f>
        <v>0</v>
      </c>
      <c r="DD557" s="566">
        <f>DD555+DD556</f>
        <v>0</v>
      </c>
      <c r="DE557" s="566">
        <f t="shared" ref="DE557" si="553">DE555+DE556</f>
        <v>0</v>
      </c>
      <c r="DF557" s="566">
        <f t="shared" ref="DF557" si="554">DD557+DE557</f>
        <v>0</v>
      </c>
      <c r="DH557" s="566">
        <f>DH555+DH556</f>
        <v>0</v>
      </c>
      <c r="DI557" s="566">
        <f t="shared" ref="DI557" si="555">DI555+DI556</f>
        <v>0</v>
      </c>
      <c r="DJ557" s="566">
        <f t="shared" ref="DJ557" si="556">DH557+DI557</f>
        <v>0</v>
      </c>
      <c r="DL557" s="566">
        <f>DL555+DL556</f>
        <v>0</v>
      </c>
      <c r="DM557" s="566">
        <f t="shared" ref="DM557" si="557">DM555+DM556</f>
        <v>0</v>
      </c>
      <c r="DN557" s="566">
        <f t="shared" ref="DN557" si="558">DL557+DM557</f>
        <v>0</v>
      </c>
      <c r="DP557" s="566">
        <f>DP555+DP556</f>
        <v>0</v>
      </c>
      <c r="DQ557" s="566">
        <f t="shared" ref="DQ557" si="559">DQ555+DQ556</f>
        <v>0</v>
      </c>
      <c r="DR557" s="566">
        <f t="shared" ref="DR557" si="560">DP557+DQ557</f>
        <v>0</v>
      </c>
    </row>
    <row r="558" spans="1:264" s="387" customFormat="1" x14ac:dyDescent="0.2">
      <c r="A558" s="564"/>
      <c r="B558" s="388"/>
      <c r="BD558" s="389"/>
      <c r="BE558" s="389"/>
      <c r="BF558" s="389"/>
      <c r="BH558" s="389"/>
      <c r="BI558" s="389"/>
      <c r="BJ558" s="389"/>
      <c r="BK558" s="388"/>
      <c r="BL558" s="389"/>
      <c r="BM558" s="389"/>
      <c r="BN558" s="389"/>
      <c r="BO558" s="388"/>
      <c r="BP558" s="389"/>
      <c r="BQ558" s="389"/>
      <c r="BR558" s="389"/>
      <c r="BS558" s="388"/>
      <c r="BT558" s="389"/>
      <c r="BU558" s="389"/>
      <c r="BV558" s="389"/>
      <c r="BX558" s="389"/>
      <c r="BY558" s="389"/>
      <c r="BZ558" s="389"/>
      <c r="CA558" s="388"/>
      <c r="CB558" s="389"/>
      <c r="CC558" s="389"/>
      <c r="CD558" s="389"/>
      <c r="CF558" s="389"/>
      <c r="CG558" s="389"/>
      <c r="CH558" s="389"/>
      <c r="CI558" s="388"/>
      <c r="CJ558" s="389"/>
      <c r="CK558" s="389"/>
      <c r="CL558" s="389"/>
      <c r="CN558" s="389"/>
      <c r="CO558" s="389"/>
      <c r="CP558" s="389"/>
      <c r="CR558" s="389"/>
      <c r="CS558" s="389"/>
      <c r="CT558" s="389"/>
      <c r="CV558" s="389"/>
      <c r="CW558" s="389"/>
      <c r="CX558" s="389"/>
      <c r="CZ558" s="389"/>
      <c r="DA558" s="389"/>
      <c r="DB558" s="389"/>
      <c r="DD558" s="389"/>
      <c r="DE558" s="389"/>
      <c r="DF558" s="389"/>
      <c r="DH558" s="389"/>
      <c r="DI558" s="389"/>
      <c r="DJ558" s="389"/>
      <c r="DL558" s="389"/>
      <c r="DM558" s="389"/>
      <c r="DN558" s="389"/>
      <c r="DP558" s="389"/>
      <c r="DQ558" s="389"/>
      <c r="DR558" s="389"/>
    </row>
    <row r="559" spans="1:264" s="460" customFormat="1" x14ac:dyDescent="0.2">
      <c r="A559" s="568" t="s">
        <v>457</v>
      </c>
      <c r="B559" s="569"/>
      <c r="C559" s="568"/>
      <c r="D559" s="568"/>
      <c r="E559" s="568"/>
      <c r="F559" s="568"/>
      <c r="G559" s="568"/>
      <c r="H559" s="568"/>
      <c r="I559" s="568"/>
      <c r="J559" s="568"/>
      <c r="K559" s="568"/>
      <c r="L559" s="568"/>
      <c r="M559" s="568"/>
      <c r="N559" s="568"/>
      <c r="O559" s="568"/>
      <c r="P559" s="568"/>
      <c r="Q559" s="568"/>
      <c r="R559" s="568"/>
      <c r="S559" s="568"/>
      <c r="T559" s="568"/>
      <c r="U559" s="568"/>
      <c r="V559" s="568"/>
      <c r="W559" s="568"/>
      <c r="X559" s="568"/>
      <c r="Y559" s="568"/>
      <c r="Z559" s="568"/>
      <c r="AA559" s="568"/>
      <c r="AB559" s="568"/>
      <c r="AC559" s="568"/>
      <c r="AD559" s="568"/>
      <c r="AE559" s="568"/>
      <c r="AF559" s="568"/>
      <c r="AG559" s="568"/>
      <c r="AH559" s="568"/>
      <c r="AI559" s="568"/>
      <c r="AJ559" s="568"/>
      <c r="AK559" s="568"/>
      <c r="AL559" s="568"/>
      <c r="AM559" s="568"/>
      <c r="AN559" s="568"/>
      <c r="AO559" s="568"/>
      <c r="AP559" s="568"/>
      <c r="AQ559" s="568"/>
      <c r="AR559" s="568"/>
      <c r="AS559" s="568"/>
      <c r="AT559" s="568"/>
      <c r="AU559" s="568"/>
      <c r="AV559" s="568"/>
      <c r="AW559" s="568"/>
      <c r="AX559" s="568"/>
      <c r="AY559" s="568"/>
      <c r="AZ559" s="568"/>
      <c r="BA559" s="568"/>
      <c r="BB559" s="568"/>
      <c r="BC559" s="568"/>
      <c r="BD559" s="568"/>
      <c r="BE559" s="568"/>
      <c r="BF559" s="568"/>
      <c r="BG559" s="568"/>
      <c r="BH559" s="569"/>
      <c r="BI559" s="569"/>
      <c r="BJ559" s="569"/>
      <c r="BK559" s="569"/>
      <c r="BL559" s="569"/>
      <c r="BM559" s="569"/>
      <c r="BN559" s="569"/>
      <c r="BO559" s="569"/>
      <c r="BP559" s="569"/>
      <c r="BQ559" s="568"/>
      <c r="BR559" s="568"/>
      <c r="BS559" s="568"/>
      <c r="BT559" s="569"/>
      <c r="BU559" s="568"/>
      <c r="BV559" s="568"/>
      <c r="BW559" s="568"/>
      <c r="BX559" s="569"/>
      <c r="BY559" s="568"/>
      <c r="BZ559" s="568"/>
      <c r="CA559" s="568"/>
      <c r="CB559" s="569"/>
      <c r="CC559" s="568"/>
      <c r="CD559" s="568"/>
      <c r="CE559" s="568"/>
      <c r="CF559" s="569"/>
      <c r="CG559" s="568"/>
      <c r="CH559" s="568"/>
      <c r="CI559" s="568"/>
      <c r="CJ559" s="569"/>
      <c r="CK559" s="568"/>
      <c r="CL559" s="568"/>
      <c r="CM559" s="568"/>
      <c r="CN559" s="569"/>
      <c r="CO559" s="568"/>
      <c r="CP559" s="568"/>
      <c r="CQ559" s="568"/>
      <c r="CR559" s="569"/>
      <c r="CS559" s="568"/>
      <c r="CT559" s="568"/>
      <c r="CU559" s="568"/>
      <c r="CV559" s="569"/>
      <c r="CW559" s="568"/>
      <c r="CX559" s="568"/>
      <c r="CY559" s="568"/>
      <c r="CZ559" s="569"/>
      <c r="DA559" s="568"/>
      <c r="DB559" s="568"/>
      <c r="DC559" s="568"/>
      <c r="DD559" s="569"/>
      <c r="DE559" s="568"/>
      <c r="DF559" s="568"/>
      <c r="DG559" s="568"/>
      <c r="DH559" s="569"/>
      <c r="DI559" s="568"/>
      <c r="DJ559" s="568"/>
      <c r="DK559" s="568"/>
      <c r="DL559" s="569"/>
      <c r="DM559" s="568"/>
      <c r="DN559" s="568"/>
      <c r="DO559" s="568"/>
      <c r="DP559" s="569"/>
      <c r="DQ559" s="568"/>
      <c r="DR559" s="568"/>
      <c r="DS559" s="568"/>
      <c r="DT559" s="1"/>
      <c r="DU559" s="1"/>
      <c r="DV559" s="1"/>
      <c r="DW559" s="1"/>
      <c r="DX559" s="1"/>
      <c r="DY559" s="1"/>
      <c r="DZ559" s="1"/>
      <c r="EA559" s="1"/>
      <c r="EB559" s="1"/>
      <c r="EC559" s="1"/>
      <c r="ED559" s="1"/>
      <c r="EE559" s="1"/>
      <c r="EF559" s="1"/>
      <c r="EG559" s="1"/>
      <c r="EH559" s="1"/>
      <c r="EI559" s="1"/>
      <c r="EJ559" s="1"/>
      <c r="EK559" s="1"/>
      <c r="EL559" s="1"/>
      <c r="EM559" s="1"/>
      <c r="EN559" s="1"/>
      <c r="EO559" s="1"/>
      <c r="EP559" s="1"/>
      <c r="EQ559" s="1"/>
      <c r="ER559" s="1"/>
      <c r="ES559" s="1"/>
      <c r="ET559" s="1"/>
      <c r="EU559" s="1"/>
      <c r="EV559" s="1"/>
      <c r="EW559" s="1"/>
      <c r="EX559" s="1"/>
      <c r="EY559" s="1"/>
      <c r="EZ559" s="1"/>
      <c r="FA559" s="1"/>
      <c r="FB559" s="1"/>
      <c r="FC559" s="1"/>
      <c r="FD559" s="1"/>
      <c r="FE559" s="1"/>
      <c r="FF559" s="1"/>
      <c r="FG559" s="1"/>
      <c r="FH559" s="1"/>
      <c r="FI559" s="1"/>
      <c r="FJ559" s="1"/>
      <c r="FK559" s="1"/>
      <c r="FL559" s="1"/>
      <c r="FM559" s="1"/>
      <c r="FN559" s="1"/>
      <c r="FO559" s="1"/>
      <c r="FP559" s="1"/>
      <c r="FQ559" s="1"/>
      <c r="FR559" s="1"/>
      <c r="FS559" s="1"/>
      <c r="FT559" s="1"/>
      <c r="FU559" s="1"/>
      <c r="FV559" s="1"/>
      <c r="FW559" s="1"/>
      <c r="FX559" s="1"/>
      <c r="FY559" s="1"/>
      <c r="FZ559" s="1"/>
      <c r="GA559" s="1"/>
      <c r="GB559" s="1"/>
      <c r="GC559" s="1"/>
      <c r="GD559" s="1"/>
      <c r="GE559" s="1"/>
      <c r="GF559" s="1"/>
      <c r="GG559" s="1"/>
      <c r="GH559" s="1"/>
      <c r="GI559" s="1"/>
      <c r="GJ559" s="1"/>
      <c r="GK559" s="1"/>
      <c r="GL559" s="1"/>
      <c r="GM559" s="1"/>
      <c r="GN559" s="1"/>
      <c r="GO559" s="1"/>
      <c r="GP559" s="1"/>
      <c r="GQ559" s="1"/>
      <c r="GR559" s="1"/>
      <c r="GS559" s="1"/>
      <c r="GT559" s="1"/>
      <c r="GU559" s="1"/>
      <c r="GV559" s="1"/>
      <c r="GW559" s="1"/>
      <c r="GX559" s="1"/>
      <c r="GY559" s="1"/>
      <c r="GZ559" s="1"/>
      <c r="HA559" s="1"/>
      <c r="HB559" s="1"/>
      <c r="HC559" s="1"/>
      <c r="HD559" s="1"/>
      <c r="HE559" s="1"/>
      <c r="HF559" s="1"/>
      <c r="HG559" s="1"/>
      <c r="HH559" s="1"/>
      <c r="HI559" s="1"/>
      <c r="HJ559" s="1"/>
      <c r="HK559" s="1"/>
      <c r="HL559" s="1"/>
      <c r="HM559" s="1"/>
      <c r="HN559" s="1"/>
      <c r="HO559" s="1"/>
      <c r="HP559" s="1"/>
      <c r="HQ559" s="1"/>
      <c r="HR559" s="1"/>
      <c r="HS559" s="1"/>
      <c r="HT559" s="1"/>
      <c r="HU559" s="1"/>
      <c r="HV559" s="1"/>
      <c r="HW559" s="1"/>
      <c r="HX559" s="1"/>
      <c r="HY559" s="1"/>
      <c r="HZ559" s="1"/>
      <c r="IA559" s="1"/>
      <c r="IB559" s="1"/>
      <c r="IC559" s="1"/>
      <c r="ID559" s="1"/>
      <c r="IE559" s="1"/>
      <c r="IF559" s="1"/>
      <c r="IG559" s="1"/>
      <c r="IH559" s="1"/>
      <c r="II559" s="1"/>
      <c r="IJ559" s="1"/>
      <c r="IK559" s="1"/>
      <c r="IL559" s="1"/>
      <c r="IM559" s="1"/>
      <c r="IN559" s="1"/>
      <c r="IO559" s="1"/>
      <c r="IP559" s="1"/>
      <c r="IQ559" s="1"/>
      <c r="IR559" s="1"/>
      <c r="IS559" s="1"/>
      <c r="IT559" s="1"/>
      <c r="IU559" s="1"/>
      <c r="IV559" s="1"/>
      <c r="IW559" s="1"/>
      <c r="IX559" s="1"/>
      <c r="IY559" s="1"/>
      <c r="IZ559" s="1"/>
      <c r="JA559" s="1"/>
      <c r="JB559" s="1"/>
      <c r="JC559" s="1"/>
      <c r="JD559" s="1"/>
    </row>
    <row r="560" spans="1:264" s="347" customFormat="1" x14ac:dyDescent="0.2">
      <c r="B560" s="348"/>
      <c r="BH560" s="348"/>
      <c r="BI560" s="348"/>
      <c r="BJ560" s="348"/>
      <c r="BK560" s="348"/>
      <c r="BL560" s="348"/>
      <c r="BM560" s="348"/>
      <c r="BN560" s="348"/>
      <c r="BO560" s="348"/>
      <c r="BP560" s="351"/>
      <c r="BT560" s="348"/>
      <c r="BX560" s="348"/>
      <c r="CB560" s="348"/>
      <c r="CF560" s="348"/>
      <c r="CG560" s="570"/>
      <c r="CI560" s="400"/>
      <c r="CJ560" s="348"/>
      <c r="CN560" s="348"/>
      <c r="CR560" s="500"/>
      <c r="CV560" s="500"/>
      <c r="CZ560" s="500"/>
      <c r="DD560" s="500"/>
      <c r="DH560" s="500"/>
      <c r="DL560" s="500"/>
      <c r="DP560" s="500"/>
      <c r="DT560" s="1"/>
      <c r="DU560" s="1"/>
      <c r="DV560" s="1"/>
      <c r="DW560" s="1"/>
      <c r="DX560" s="1"/>
      <c r="DY560" s="1"/>
      <c r="DZ560" s="1"/>
      <c r="EA560" s="1"/>
      <c r="EB560" s="1"/>
      <c r="EC560" s="1"/>
      <c r="ED560" s="1"/>
      <c r="EE560" s="1"/>
      <c r="EF560" s="1"/>
      <c r="EG560" s="1"/>
      <c r="EH560" s="1"/>
      <c r="EI560" s="1"/>
      <c r="EJ560" s="1"/>
      <c r="EK560" s="1"/>
      <c r="EL560" s="1"/>
      <c r="EM560" s="1"/>
      <c r="EN560" s="1"/>
      <c r="EO560" s="1"/>
      <c r="EP560" s="1"/>
      <c r="EQ560" s="1"/>
      <c r="ER560" s="1"/>
      <c r="ES560" s="1"/>
      <c r="ET560" s="1"/>
      <c r="EU560" s="1"/>
      <c r="EV560" s="1"/>
      <c r="EW560" s="1"/>
      <c r="EX560" s="1"/>
      <c r="EY560" s="1"/>
      <c r="EZ560" s="1"/>
      <c r="FA560" s="1"/>
      <c r="FB560" s="1"/>
      <c r="FC560" s="1"/>
      <c r="FD560" s="1"/>
      <c r="FE560" s="1"/>
      <c r="FF560" s="1"/>
      <c r="FG560" s="1"/>
      <c r="FH560" s="1"/>
      <c r="FI560" s="1"/>
      <c r="FJ560" s="1"/>
      <c r="FK560" s="1"/>
      <c r="FL560" s="1"/>
      <c r="FM560" s="1"/>
      <c r="FN560" s="1"/>
      <c r="FO560" s="1"/>
      <c r="FP560" s="1"/>
      <c r="FQ560" s="1"/>
      <c r="FR560" s="1"/>
      <c r="FS560" s="1"/>
      <c r="FT560" s="1"/>
      <c r="FU560" s="1"/>
      <c r="FV560" s="1"/>
      <c r="FW560" s="1"/>
      <c r="FX560" s="1"/>
      <c r="FY560" s="1"/>
      <c r="FZ560" s="1"/>
      <c r="GA560" s="1"/>
      <c r="GB560" s="1"/>
      <c r="GC560" s="1"/>
      <c r="GD560" s="1"/>
      <c r="GE560" s="1"/>
      <c r="GF560" s="1"/>
      <c r="GG560" s="1"/>
      <c r="GH560" s="1"/>
      <c r="GI560" s="1"/>
      <c r="GJ560" s="1"/>
      <c r="GK560" s="1"/>
      <c r="GL560" s="1"/>
      <c r="GM560" s="1"/>
      <c r="GN560" s="1"/>
      <c r="GO560" s="1"/>
      <c r="GP560" s="1"/>
      <c r="GQ560" s="1"/>
      <c r="GR560" s="1"/>
      <c r="GS560" s="1"/>
      <c r="GT560" s="1"/>
      <c r="GU560" s="1"/>
      <c r="GV560" s="1"/>
      <c r="GW560" s="1"/>
      <c r="GX560" s="1"/>
      <c r="GY560" s="1"/>
      <c r="GZ560" s="1"/>
      <c r="HA560" s="1"/>
      <c r="HB560" s="1"/>
      <c r="HC560" s="1"/>
      <c r="HD560" s="1"/>
      <c r="HE560" s="1"/>
      <c r="HF560" s="1"/>
      <c r="HG560" s="1"/>
      <c r="HH560" s="1"/>
      <c r="HI560" s="1"/>
      <c r="HJ560" s="1"/>
      <c r="HK560" s="1"/>
      <c r="HL560" s="1"/>
      <c r="HM560" s="1"/>
      <c r="HN560" s="1"/>
      <c r="HO560" s="1"/>
      <c r="HP560" s="1"/>
      <c r="HQ560" s="1"/>
      <c r="HR560" s="1"/>
      <c r="HS560" s="1"/>
      <c r="HT560" s="1"/>
      <c r="HU560" s="1"/>
      <c r="HV560" s="1"/>
      <c r="HW560" s="1"/>
      <c r="HX560" s="1"/>
      <c r="HY560" s="1"/>
      <c r="HZ560" s="1"/>
      <c r="IA560" s="1"/>
      <c r="IB560" s="1"/>
      <c r="IC560" s="1"/>
      <c r="ID560" s="1"/>
      <c r="IE560" s="1"/>
      <c r="IF560" s="1"/>
      <c r="IG560" s="1"/>
      <c r="IH560" s="1"/>
      <c r="II560" s="1"/>
      <c r="IJ560" s="1"/>
      <c r="IK560" s="1"/>
      <c r="IL560" s="1"/>
      <c r="IM560" s="1"/>
      <c r="IN560" s="1"/>
      <c r="IO560" s="1"/>
      <c r="IP560" s="1"/>
      <c r="IQ560" s="1"/>
      <c r="IR560" s="1"/>
      <c r="IS560" s="1"/>
      <c r="IT560" s="1"/>
      <c r="IU560" s="1"/>
      <c r="IV560" s="1"/>
      <c r="IW560" s="1"/>
      <c r="IX560" s="1"/>
      <c r="IY560" s="1"/>
      <c r="IZ560" s="1"/>
      <c r="JA560" s="1"/>
      <c r="JB560" s="1"/>
      <c r="JC560" s="1"/>
      <c r="JD560" s="1"/>
    </row>
    <row r="561" spans="1:264" s="347" customFormat="1" x14ac:dyDescent="0.2">
      <c r="A561" s="405" t="s">
        <v>458</v>
      </c>
      <c r="B561" s="348"/>
      <c r="BH561" s="398">
        <v>17794</v>
      </c>
      <c r="BI561" s="398">
        <v>16960</v>
      </c>
      <c r="BJ561" s="351">
        <f>+BI561+BH561</f>
        <v>34754</v>
      </c>
      <c r="BK561" s="348"/>
      <c r="BL561" s="398">
        <v>16829</v>
      </c>
      <c r="BM561" s="398">
        <v>16805</v>
      </c>
      <c r="BN561" s="351">
        <f>+BM561+BL561</f>
        <v>33634</v>
      </c>
      <c r="BO561" s="348"/>
      <c r="BP561" s="398">
        <f>34149-BQ561</f>
        <v>17314</v>
      </c>
      <c r="BQ561" s="398">
        <v>16835</v>
      </c>
      <c r="BR561" s="351">
        <f>+BQ561+BP561</f>
        <v>34149</v>
      </c>
      <c r="BT561" s="398">
        <v>16842</v>
      </c>
      <c r="BU561" s="398">
        <v>16975</v>
      </c>
      <c r="BV561" s="351">
        <f>+BU561+BT561</f>
        <v>33817</v>
      </c>
      <c r="BX561" s="398">
        <v>16674</v>
      </c>
      <c r="BY561" s="420">
        <f>BZ561-BX561</f>
        <v>16627</v>
      </c>
      <c r="BZ561" s="399">
        <f>33301</f>
        <v>33301</v>
      </c>
      <c r="CB561" s="398">
        <v>17181</v>
      </c>
      <c r="CC561" s="398">
        <v>17362</v>
      </c>
      <c r="CD561" s="351">
        <f>+CC561+CB561</f>
        <v>34543</v>
      </c>
      <c r="CF561" s="398">
        <f>17515+61</f>
        <v>17576</v>
      </c>
      <c r="CG561" s="398">
        <f>17073+60</f>
        <v>17133</v>
      </c>
      <c r="CH561" s="351">
        <f>+CG561+CF561</f>
        <v>34709</v>
      </c>
      <c r="CJ561" s="398">
        <v>15946</v>
      </c>
      <c r="CK561" s="398">
        <v>14216</v>
      </c>
      <c r="CL561" s="351">
        <f>+CK561+CJ561</f>
        <v>30162</v>
      </c>
      <c r="CN561" s="398">
        <v>12786</v>
      </c>
      <c r="CO561" s="398">
        <v>11872</v>
      </c>
      <c r="CP561" s="351">
        <f>+CO561+CN561</f>
        <v>24658</v>
      </c>
      <c r="CR561" s="398">
        <v>11999</v>
      </c>
      <c r="CS561" s="398">
        <v>12294</v>
      </c>
      <c r="CT561" s="351">
        <f>+CS561+CR561</f>
        <v>24293</v>
      </c>
      <c r="CV561" s="398">
        <v>19625</v>
      </c>
      <c r="CW561" s="398">
        <v>24850</v>
      </c>
      <c r="CX561" s="351">
        <f>+CW561+CV561</f>
        <v>44475</v>
      </c>
      <c r="CZ561" s="398">
        <v>29618</v>
      </c>
      <c r="DA561" s="398">
        <v>31426</v>
      </c>
      <c r="DB561" s="351">
        <f>+DA561+CZ561</f>
        <v>61044</v>
      </c>
      <c r="DD561" s="398">
        <v>32683</v>
      </c>
      <c r="DE561" s="398">
        <v>32427</v>
      </c>
      <c r="DF561" s="351">
        <f>+DE561+DD561</f>
        <v>65110</v>
      </c>
      <c r="DH561" s="398">
        <v>32366</v>
      </c>
      <c r="DI561" s="351">
        <f>+DI588+DI593</f>
        <v>34191.515922295497</v>
      </c>
      <c r="DJ561" s="351">
        <f>+DI561+DH561</f>
        <v>66557.515922295497</v>
      </c>
      <c r="DL561" s="351">
        <f>+DL588+DL593</f>
        <v>37479.140195731612</v>
      </c>
      <c r="DM561" s="351">
        <f>+DM588+DM593</f>
        <v>37931.955860255068</v>
      </c>
      <c r="DN561" s="351">
        <f>+DM561+DL561</f>
        <v>75411.09605598668</v>
      </c>
      <c r="DP561" s="351">
        <f>+DP588+DP593</f>
        <v>39448.037987291413</v>
      </c>
      <c r="DQ561" s="351">
        <f>+DQ588+DQ593</f>
        <v>39912.474068780517</v>
      </c>
      <c r="DR561" s="351">
        <f>+DQ561+DP561</f>
        <v>79360.512056071922</v>
      </c>
      <c r="DT561" s="1"/>
      <c r="DU561" s="1"/>
      <c r="DV561" s="1"/>
      <c r="DW561" s="1"/>
      <c r="DX561" s="1"/>
      <c r="DY561" s="1"/>
      <c r="DZ561" s="1"/>
      <c r="EA561" s="1"/>
      <c r="EB561" s="1"/>
      <c r="EC561" s="1"/>
      <c r="ED561" s="1"/>
      <c r="EE561" s="1"/>
      <c r="EF561" s="1"/>
      <c r="EG561" s="1"/>
      <c r="EH561" s="1"/>
      <c r="EI561" s="1"/>
      <c r="EJ561" s="1"/>
      <c r="EK561" s="1"/>
      <c r="EL561" s="1"/>
      <c r="EM561" s="1"/>
      <c r="EN561" s="1"/>
      <c r="EO561" s="1"/>
      <c r="EP561" s="1"/>
      <c r="EQ561" s="1"/>
      <c r="ER561" s="1"/>
      <c r="ES561" s="1"/>
      <c r="ET561" s="1"/>
      <c r="EU561" s="1"/>
      <c r="EV561" s="1"/>
      <c r="EW561" s="1"/>
      <c r="EX561" s="1"/>
      <c r="EY561" s="1"/>
      <c r="EZ561" s="1"/>
      <c r="FA561" s="1"/>
      <c r="FB561" s="1"/>
      <c r="FC561" s="1"/>
      <c r="FD561" s="1"/>
      <c r="FE561" s="1"/>
      <c r="FF561" s="1"/>
      <c r="FG561" s="1"/>
      <c r="FH561" s="1"/>
      <c r="FI561" s="1"/>
      <c r="FJ561" s="1"/>
      <c r="FK561" s="1"/>
      <c r="FL561" s="1"/>
      <c r="FM561" s="1"/>
      <c r="FN561" s="1"/>
      <c r="FO561" s="1"/>
      <c r="FP561" s="1"/>
      <c r="FQ561" s="1"/>
      <c r="FR561" s="1"/>
      <c r="FS561" s="1"/>
      <c r="FT561" s="1"/>
      <c r="FU561" s="1"/>
      <c r="FV561" s="1"/>
      <c r="FW561" s="1"/>
      <c r="FX561" s="1"/>
      <c r="FY561" s="1"/>
      <c r="FZ561" s="1"/>
      <c r="GA561" s="1"/>
      <c r="GB561" s="1"/>
      <c r="GC561" s="1"/>
      <c r="GD561" s="1"/>
      <c r="GE561" s="1"/>
      <c r="GF561" s="1"/>
      <c r="GG561" s="1"/>
      <c r="GH561" s="1"/>
      <c r="GI561" s="1"/>
      <c r="GJ561" s="1"/>
      <c r="GK561" s="1"/>
      <c r="GL561" s="1"/>
      <c r="GM561" s="1"/>
      <c r="GN561" s="1"/>
      <c r="GO561" s="1"/>
      <c r="GP561" s="1"/>
      <c r="GQ561" s="1"/>
      <c r="GR561" s="1"/>
      <c r="GS561" s="1"/>
      <c r="GT561" s="1"/>
      <c r="GU561" s="1"/>
      <c r="GV561" s="1"/>
      <c r="GW561" s="1"/>
      <c r="GX561" s="1"/>
      <c r="GY561" s="1"/>
      <c r="GZ561" s="1"/>
      <c r="HA561" s="1"/>
      <c r="HB561" s="1"/>
      <c r="HC561" s="1"/>
      <c r="HD561" s="1"/>
      <c r="HE561" s="1"/>
      <c r="HF561" s="1"/>
      <c r="HG561" s="1"/>
      <c r="HH561" s="1"/>
      <c r="HI561" s="1"/>
      <c r="HJ561" s="1"/>
      <c r="HK561" s="1"/>
      <c r="HL561" s="1"/>
      <c r="HM561" s="1"/>
      <c r="HN561" s="1"/>
      <c r="HO561" s="1"/>
      <c r="HP561" s="1"/>
      <c r="HQ561" s="1"/>
      <c r="HR561" s="1"/>
      <c r="HS561" s="1"/>
      <c r="HT561" s="1"/>
      <c r="HU561" s="1"/>
      <c r="HV561" s="1"/>
      <c r="HW561" s="1"/>
      <c r="HX561" s="1"/>
      <c r="HY561" s="1"/>
      <c r="HZ561" s="1"/>
      <c r="IA561" s="1"/>
      <c r="IB561" s="1"/>
      <c r="IC561" s="1"/>
      <c r="ID561" s="1"/>
      <c r="IE561" s="1"/>
      <c r="IF561" s="1"/>
      <c r="IG561" s="1"/>
      <c r="IH561" s="1"/>
      <c r="II561" s="1"/>
      <c r="IJ561" s="1"/>
      <c r="IK561" s="1"/>
      <c r="IL561" s="1"/>
      <c r="IM561" s="1"/>
      <c r="IN561" s="1"/>
      <c r="IO561" s="1"/>
      <c r="IP561" s="1"/>
      <c r="IQ561" s="1"/>
      <c r="IR561" s="1"/>
      <c r="IS561" s="1"/>
      <c r="IT561" s="1"/>
      <c r="IU561" s="1"/>
      <c r="IV561" s="1"/>
      <c r="IW561" s="1"/>
      <c r="IX561" s="1"/>
      <c r="IY561" s="1"/>
      <c r="IZ561" s="1"/>
      <c r="JA561" s="1"/>
      <c r="JB561" s="1"/>
      <c r="JC561" s="1"/>
      <c r="JD561" s="1"/>
    </row>
    <row r="562" spans="1:264" s="347" customFormat="1" x14ac:dyDescent="0.2">
      <c r="A562" s="405" t="s">
        <v>459</v>
      </c>
      <c r="B562" s="348"/>
      <c r="BH562" s="389">
        <f>BH565-BH561-BH564</f>
        <v>-10932</v>
      </c>
      <c r="BI562" s="389">
        <f>BI565-BI561-BI564</f>
        <v>-9878</v>
      </c>
      <c r="BJ562" s="389">
        <f>+BI562+BH562</f>
        <v>-20810</v>
      </c>
      <c r="BK562" s="348"/>
      <c r="BL562" s="389">
        <f>BL565-BL561-BL564</f>
        <v>-9385</v>
      </c>
      <c r="BM562" s="389">
        <f>BM565-BM561-BM564</f>
        <v>-9158</v>
      </c>
      <c r="BN562" s="389">
        <f>+BM562+BL562</f>
        <v>-18543</v>
      </c>
      <c r="BO562" s="348"/>
      <c r="BP562" s="389">
        <f>BP565-BP561-BP564</f>
        <v>-9413</v>
      </c>
      <c r="BQ562" s="389">
        <f>BQ565-BQ561-BQ564</f>
        <v>-8909</v>
      </c>
      <c r="BR562" s="389">
        <f>+BQ562+BP562</f>
        <v>-18322</v>
      </c>
      <c r="BT562" s="351">
        <f>BT563-BT561</f>
        <v>-8415</v>
      </c>
      <c r="BU562" s="351">
        <f>BU563-BU561</f>
        <v>-8467</v>
      </c>
      <c r="BV562" s="389">
        <f>+BU562+BT562</f>
        <v>-16882</v>
      </c>
      <c r="BX562" s="351">
        <f>BX563-BX561</f>
        <v>-7964</v>
      </c>
      <c r="BY562" s="351">
        <f>BY563-BY561</f>
        <v>-7794</v>
      </c>
      <c r="BZ562" s="389">
        <f>+BY562+BX562</f>
        <v>-15758</v>
      </c>
      <c r="CB562" s="351">
        <f>CB563-CB561</f>
        <v>-7743.9515131938351</v>
      </c>
      <c r="CC562" s="351">
        <f>CC563-CC561</f>
        <v>-8088.0091802630141</v>
      </c>
      <c r="CD562" s="389">
        <f>+CC562+CB562</f>
        <v>-15831.960693456849</v>
      </c>
      <c r="CF562" s="351">
        <f>CF563-CF561</f>
        <v>-8202.0442671254787</v>
      </c>
      <c r="CG562" s="351">
        <f>CG563-CG561</f>
        <v>-7912.9850236915063</v>
      </c>
      <c r="CH562" s="389">
        <f>+CG562+CF562</f>
        <v>-16115.029290816985</v>
      </c>
      <c r="CJ562" s="351">
        <f>CJ563-CJ561</f>
        <v>-6411.431928354099</v>
      </c>
      <c r="CK562" s="351">
        <f>CK563-CK561</f>
        <v>-4781.5843171278684</v>
      </c>
      <c r="CL562" s="389">
        <f>+CK562+CJ562</f>
        <v>-11193.016245481967</v>
      </c>
      <c r="CN562" s="351">
        <f>CN563-CN561</f>
        <v>-3004.5752667221914</v>
      </c>
      <c r="CO562" s="351">
        <f>CO563-CO561</f>
        <v>-2012.6416315764382</v>
      </c>
      <c r="CP562" s="389">
        <f>+CO562+CN562</f>
        <v>-5017.2168982986295</v>
      </c>
      <c r="CR562" s="351">
        <f>CR563-CR561</f>
        <v>-2086.2098789742467</v>
      </c>
      <c r="CS562" s="351">
        <f>CS563-CS561</f>
        <v>-2390.9653058421918</v>
      </c>
      <c r="CT562" s="389">
        <f>+CS562+CR562</f>
        <v>-4477.1751848164386</v>
      </c>
      <c r="CV562" s="351">
        <f>CV563-CV561</f>
        <v>-7785.8953389545204</v>
      </c>
      <c r="CW562" s="351">
        <f>CW563-CW561</f>
        <v>-13239.914415690411</v>
      </c>
      <c r="CX562" s="389">
        <f>+CW562+CV562</f>
        <v>-21025.809754644932</v>
      </c>
      <c r="CZ562" s="351">
        <f>CZ563-CZ561</f>
        <v>-18004.543746295079</v>
      </c>
      <c r="DA562" s="351">
        <f>DA563-DA561</f>
        <v>-19787.709800898359</v>
      </c>
      <c r="DB562" s="389">
        <f>+DA562+CZ562</f>
        <v>-37792.253547193439</v>
      </c>
      <c r="DD562" s="351">
        <f>DD563-DD561</f>
        <v>-20527.436696456767</v>
      </c>
      <c r="DE562" s="351">
        <f>DE563-DE561</f>
        <v>-20101.980145445479</v>
      </c>
      <c r="DF562" s="389">
        <f>+DE562+DD562</f>
        <v>-40629.416841902246</v>
      </c>
      <c r="DH562" s="351">
        <f>DH563-DH561</f>
        <v>-19413.832824157806</v>
      </c>
      <c r="DI562" s="351">
        <f ca="1">DI563-DI561</f>
        <v>-20955.107149995776</v>
      </c>
      <c r="DJ562" s="351">
        <f ca="1">+DI562+DH562</f>
        <v>-40368.939974153582</v>
      </c>
      <c r="DL562" s="351">
        <f ca="1">DL563-DL561</f>
        <v>-23591.605371393656</v>
      </c>
      <c r="DM562" s="351">
        <f ca="1">DM563-DM561</f>
        <v>-23923.397692280949</v>
      </c>
      <c r="DN562" s="351">
        <f ca="1">+DM562+DL562</f>
        <v>-47515.003063674609</v>
      </c>
      <c r="DP562" s="351">
        <f ca="1">DP563-DP561</f>
        <v>-24930.885612168116</v>
      </c>
      <c r="DQ562" s="351">
        <f ca="1">DQ563-DQ561</f>
        <v>-25275.016123427471</v>
      </c>
      <c r="DR562" s="351">
        <f ca="1">+DQ562+DP562</f>
        <v>-50205.901735595588</v>
      </c>
      <c r="DT562" s="1"/>
      <c r="DU562" s="1"/>
      <c r="DV562" s="1"/>
      <c r="DW562" s="1"/>
      <c r="DX562" s="1"/>
      <c r="DY562" s="1"/>
      <c r="DZ562" s="1"/>
      <c r="EA562" s="1"/>
      <c r="EB562" s="1"/>
      <c r="EC562" s="1"/>
      <c r="ED562" s="1"/>
      <c r="EE562" s="1"/>
      <c r="EF562" s="1"/>
      <c r="EG562" s="1"/>
      <c r="EH562" s="1"/>
      <c r="EI562" s="1"/>
      <c r="EJ562" s="1"/>
      <c r="EK562" s="1"/>
      <c r="EL562" s="1"/>
      <c r="EM562" s="1"/>
      <c r="EN562" s="1"/>
      <c r="EO562" s="1"/>
      <c r="EP562" s="1"/>
      <c r="EQ562" s="1"/>
      <c r="ER562" s="1"/>
      <c r="ES562" s="1"/>
      <c r="ET562" s="1"/>
      <c r="EU562" s="1"/>
      <c r="EV562" s="1"/>
      <c r="EW562" s="1"/>
      <c r="EX562" s="1"/>
      <c r="EY562" s="1"/>
      <c r="EZ562" s="1"/>
      <c r="FA562" s="1"/>
      <c r="FB562" s="1"/>
      <c r="FC562" s="1"/>
      <c r="FD562" s="1"/>
      <c r="FE562" s="1"/>
      <c r="FF562" s="1"/>
      <c r="FG562" s="1"/>
      <c r="FH562" s="1"/>
      <c r="FI562" s="1"/>
      <c r="FJ562" s="1"/>
      <c r="FK562" s="1"/>
      <c r="FL562" s="1"/>
      <c r="FM562" s="1"/>
      <c r="FN562" s="1"/>
      <c r="FO562" s="1"/>
      <c r="FP562" s="1"/>
      <c r="FQ562" s="1"/>
      <c r="FR562" s="1"/>
      <c r="FS562" s="1"/>
      <c r="FT562" s="1"/>
      <c r="FU562" s="1"/>
      <c r="FV562" s="1"/>
      <c r="FW562" s="1"/>
      <c r="FX562" s="1"/>
      <c r="FY562" s="1"/>
      <c r="FZ562" s="1"/>
      <c r="GA562" s="1"/>
      <c r="GB562" s="1"/>
      <c r="GC562" s="1"/>
      <c r="GD562" s="1"/>
      <c r="GE562" s="1"/>
      <c r="GF562" s="1"/>
      <c r="GG562" s="1"/>
      <c r="GH562" s="1"/>
      <c r="GI562" s="1"/>
      <c r="GJ562" s="1"/>
      <c r="GK562" s="1"/>
      <c r="GL562" s="1"/>
      <c r="GM562" s="1"/>
      <c r="GN562" s="1"/>
      <c r="GO562" s="1"/>
      <c r="GP562" s="1"/>
      <c r="GQ562" s="1"/>
      <c r="GR562" s="1"/>
      <c r="GS562" s="1"/>
      <c r="GT562" s="1"/>
      <c r="GU562" s="1"/>
      <c r="GV562" s="1"/>
      <c r="GW562" s="1"/>
      <c r="GX562" s="1"/>
      <c r="GY562" s="1"/>
      <c r="GZ562" s="1"/>
      <c r="HA562" s="1"/>
      <c r="HB562" s="1"/>
      <c r="HC562" s="1"/>
      <c r="HD562" s="1"/>
      <c r="HE562" s="1"/>
      <c r="HF562" s="1"/>
      <c r="HG562" s="1"/>
      <c r="HH562" s="1"/>
      <c r="HI562" s="1"/>
      <c r="HJ562" s="1"/>
      <c r="HK562" s="1"/>
      <c r="HL562" s="1"/>
      <c r="HM562" s="1"/>
      <c r="HN562" s="1"/>
      <c r="HO562" s="1"/>
      <c r="HP562" s="1"/>
      <c r="HQ562" s="1"/>
      <c r="HR562" s="1"/>
      <c r="HS562" s="1"/>
      <c r="HT562" s="1"/>
      <c r="HU562" s="1"/>
      <c r="HV562" s="1"/>
      <c r="HW562" s="1"/>
      <c r="HX562" s="1"/>
      <c r="HY562" s="1"/>
      <c r="HZ562" s="1"/>
      <c r="IA562" s="1"/>
      <c r="IB562" s="1"/>
      <c r="IC562" s="1"/>
      <c r="ID562" s="1"/>
      <c r="IE562" s="1"/>
      <c r="IF562" s="1"/>
      <c r="IG562" s="1"/>
      <c r="IH562" s="1"/>
      <c r="II562" s="1"/>
      <c r="IJ562" s="1"/>
      <c r="IK562" s="1"/>
      <c r="IL562" s="1"/>
      <c r="IM562" s="1"/>
      <c r="IN562" s="1"/>
      <c r="IO562" s="1"/>
      <c r="IP562" s="1"/>
      <c r="IQ562" s="1"/>
      <c r="IR562" s="1"/>
      <c r="IS562" s="1"/>
      <c r="IT562" s="1"/>
      <c r="IU562" s="1"/>
      <c r="IV562" s="1"/>
      <c r="IW562" s="1"/>
      <c r="IX562" s="1"/>
      <c r="IY562" s="1"/>
      <c r="IZ562" s="1"/>
      <c r="JA562" s="1"/>
      <c r="JB562" s="1"/>
      <c r="JC562" s="1"/>
      <c r="JD562" s="1"/>
    </row>
    <row r="563" spans="1:264" s="347" customFormat="1" x14ac:dyDescent="0.2">
      <c r="A563" s="564" t="s">
        <v>460</v>
      </c>
      <c r="B563" s="348"/>
      <c r="BH563" s="566">
        <f>+BH565-BH564</f>
        <v>6862</v>
      </c>
      <c r="BI563" s="566">
        <f>+BI565-BI564</f>
        <v>7082</v>
      </c>
      <c r="BJ563" s="566">
        <f>+BJ565-BJ564</f>
        <v>13944</v>
      </c>
      <c r="BK563" s="348"/>
      <c r="BL563" s="566">
        <f>+BL565-BL564</f>
        <v>7444</v>
      </c>
      <c r="BM563" s="566">
        <f>+BM565-BM564</f>
        <v>7647</v>
      </c>
      <c r="BN563" s="566">
        <f>+BN565-BN564</f>
        <v>15091</v>
      </c>
      <c r="BO563" s="348"/>
      <c r="BP563" s="566">
        <f>+BP565-BP564</f>
        <v>7901</v>
      </c>
      <c r="BQ563" s="566">
        <f>+BQ565-BQ564</f>
        <v>7926</v>
      </c>
      <c r="BR563" s="566">
        <f>+BR565-BR564</f>
        <v>15827</v>
      </c>
      <c r="BT563" s="566">
        <f>+BT565-BT564</f>
        <v>8427</v>
      </c>
      <c r="BU563" s="566">
        <f>+BU565-BU564</f>
        <v>8508</v>
      </c>
      <c r="BV563" s="566">
        <f>+BV565-BV564</f>
        <v>16935</v>
      </c>
      <c r="BX563" s="566">
        <f>+BX565-BX564</f>
        <v>8710</v>
      </c>
      <c r="BY563" s="566">
        <f>+BY565-BY564</f>
        <v>8833</v>
      </c>
      <c r="BZ563" s="566">
        <f>+BZ565-BZ564</f>
        <v>17543</v>
      </c>
      <c r="CB563" s="566">
        <f>+CB565-CB564</f>
        <v>9437.0484868061649</v>
      </c>
      <c r="CC563" s="566">
        <f>+CC565-CC564</f>
        <v>9273.9908197369859</v>
      </c>
      <c r="CD563" s="566">
        <f>+CD565-CD564</f>
        <v>18711.039306543153</v>
      </c>
      <c r="CF563" s="566">
        <f>+CF565-CF564</f>
        <v>9373.9557328745213</v>
      </c>
      <c r="CG563" s="566">
        <f>+CG565-CG564</f>
        <v>9220.0149763084937</v>
      </c>
      <c r="CH563" s="566">
        <f>+CH565-CH564</f>
        <v>18593.970709183013</v>
      </c>
      <c r="CJ563" s="566">
        <f>+CJ565-CJ564</f>
        <v>9534.568071645901</v>
      </c>
      <c r="CK563" s="566">
        <f>+CK565-CK564</f>
        <v>9434.4156828721316</v>
      </c>
      <c r="CL563" s="566">
        <f>+CL565-CL564</f>
        <v>18968.983754518034</v>
      </c>
      <c r="CN563" s="566">
        <f>+CN565-CN564</f>
        <v>9781.4247332778086</v>
      </c>
      <c r="CO563" s="566">
        <f>+CO565-CO564</f>
        <v>9859.3583684235618</v>
      </c>
      <c r="CP563" s="566">
        <f>+CP565-CP564</f>
        <v>19640.78310170137</v>
      </c>
      <c r="CR563" s="566">
        <f>+CR565-CR564</f>
        <v>9912.7901210257533</v>
      </c>
      <c r="CS563" s="566">
        <f>+CS565-CS564</f>
        <v>9903.0346941578082</v>
      </c>
      <c r="CT563" s="566">
        <f>+CT565-CT564</f>
        <v>19815.824815183561</v>
      </c>
      <c r="CV563" s="566">
        <f>+CV565-CV564</f>
        <v>11839.10466104548</v>
      </c>
      <c r="CW563" s="566">
        <f>+CW565-CW564</f>
        <v>11610.085584309589</v>
      </c>
      <c r="CX563" s="566">
        <f>+CX565-CX564</f>
        <v>23449.190245355068</v>
      </c>
      <c r="CZ563" s="566">
        <f>+CZ565-CZ564</f>
        <v>11613.456253704919</v>
      </c>
      <c r="DA563" s="566">
        <f>+DA565-DA564</f>
        <v>11638.290199101639</v>
      </c>
      <c r="DB563" s="566">
        <f>+DB565-DB564</f>
        <v>23251.746452806557</v>
      </c>
      <c r="DD563" s="566">
        <f>+DD565-DD564</f>
        <v>12155.563303543233</v>
      </c>
      <c r="DE563" s="566">
        <f>+DE565-DE564</f>
        <v>12325.019854554521</v>
      </c>
      <c r="DF563" s="566">
        <f>+DF565-DF564</f>
        <v>24480.583158097754</v>
      </c>
      <c r="DH563" s="566">
        <f>+DH565-DH564</f>
        <v>12952.167175842193</v>
      </c>
      <c r="DI563" s="566">
        <f t="shared" ref="DI563" ca="1" si="561">+DI565-DI564</f>
        <v>13236.408772299721</v>
      </c>
      <c r="DJ563" s="397">
        <f ca="1">+DI563+DH563</f>
        <v>26188.575948141915</v>
      </c>
      <c r="DL563" s="566">
        <f t="shared" ref="DL563:DM563" ca="1" si="562">+DL565-DL564</f>
        <v>13887.534824337958</v>
      </c>
      <c r="DM563" s="566">
        <f t="shared" ca="1" si="562"/>
        <v>14008.558167974119</v>
      </c>
      <c r="DN563" s="397">
        <f ca="1">+DM563+DL563</f>
        <v>27896.092992312078</v>
      </c>
      <c r="DP563" s="566">
        <f t="shared" ref="DP563:DQ563" ca="1" si="563">+DP565-DP564</f>
        <v>14517.152375123298</v>
      </c>
      <c r="DQ563" s="566">
        <f t="shared" ca="1" si="563"/>
        <v>14637.457945353048</v>
      </c>
      <c r="DR563" s="397">
        <f ca="1">+DQ563+DP563</f>
        <v>29154.610320476346</v>
      </c>
      <c r="DT563" s="1"/>
      <c r="DU563" s="1"/>
      <c r="DV563" s="1"/>
      <c r="DW563" s="1"/>
      <c r="DX563" s="1"/>
      <c r="DY563" s="1"/>
      <c r="DZ563" s="1"/>
      <c r="EA563" s="1"/>
      <c r="EB563" s="1"/>
      <c r="EC563" s="1"/>
      <c r="ED563" s="1"/>
      <c r="EE563" s="1"/>
      <c r="EF563" s="1"/>
      <c r="EG563" s="1"/>
      <c r="EH563" s="1"/>
      <c r="EI563" s="1"/>
      <c r="EJ563" s="1"/>
      <c r="EK563" s="1"/>
      <c r="EL563" s="1"/>
      <c r="EM563" s="1"/>
      <c r="EN563" s="1"/>
      <c r="EO563" s="1"/>
      <c r="EP563" s="1"/>
      <c r="EQ563" s="1"/>
      <c r="ER563" s="1"/>
      <c r="ES563" s="1"/>
      <c r="ET563" s="1"/>
      <c r="EU563" s="1"/>
      <c r="EV563" s="1"/>
      <c r="EW563" s="1"/>
      <c r="EX563" s="1"/>
      <c r="EY563" s="1"/>
      <c r="EZ563" s="1"/>
      <c r="FA563" s="1"/>
      <c r="FB563" s="1"/>
      <c r="FC563" s="1"/>
      <c r="FD563" s="1"/>
      <c r="FE563" s="1"/>
      <c r="FF563" s="1"/>
      <c r="FG563" s="1"/>
      <c r="FH563" s="1"/>
      <c r="FI563" s="1"/>
      <c r="FJ563" s="1"/>
      <c r="FK563" s="1"/>
      <c r="FL563" s="1"/>
      <c r="FM563" s="1"/>
      <c r="FN563" s="1"/>
      <c r="FO563" s="1"/>
      <c r="FP563" s="1"/>
      <c r="FQ563" s="1"/>
      <c r="FR563" s="1"/>
      <c r="FS563" s="1"/>
      <c r="FT563" s="1"/>
      <c r="FU563" s="1"/>
      <c r="FV563" s="1"/>
      <c r="FW563" s="1"/>
      <c r="FX563" s="1"/>
      <c r="FY563" s="1"/>
      <c r="FZ563" s="1"/>
      <c r="GA563" s="1"/>
      <c r="GB563" s="1"/>
      <c r="GC563" s="1"/>
      <c r="GD563" s="1"/>
      <c r="GE563" s="1"/>
      <c r="GF563" s="1"/>
      <c r="GG563" s="1"/>
      <c r="GH563" s="1"/>
      <c r="GI563" s="1"/>
      <c r="GJ563" s="1"/>
      <c r="GK563" s="1"/>
      <c r="GL563" s="1"/>
      <c r="GM563" s="1"/>
      <c r="GN563" s="1"/>
      <c r="GO563" s="1"/>
      <c r="GP563" s="1"/>
      <c r="GQ563" s="1"/>
      <c r="GR563" s="1"/>
      <c r="GS563" s="1"/>
      <c r="GT563" s="1"/>
      <c r="GU563" s="1"/>
      <c r="GV563" s="1"/>
      <c r="GW563" s="1"/>
      <c r="GX563" s="1"/>
      <c r="GY563" s="1"/>
      <c r="GZ563" s="1"/>
      <c r="HA563" s="1"/>
      <c r="HB563" s="1"/>
      <c r="HC563" s="1"/>
      <c r="HD563" s="1"/>
      <c r="HE563" s="1"/>
      <c r="HF563" s="1"/>
      <c r="HG563" s="1"/>
      <c r="HH563" s="1"/>
      <c r="HI563" s="1"/>
      <c r="HJ563" s="1"/>
      <c r="HK563" s="1"/>
      <c r="HL563" s="1"/>
      <c r="HM563" s="1"/>
      <c r="HN563" s="1"/>
      <c r="HO563" s="1"/>
      <c r="HP563" s="1"/>
      <c r="HQ563" s="1"/>
      <c r="HR563" s="1"/>
      <c r="HS563" s="1"/>
      <c r="HT563" s="1"/>
      <c r="HU563" s="1"/>
      <c r="HV563" s="1"/>
      <c r="HW563" s="1"/>
      <c r="HX563" s="1"/>
      <c r="HY563" s="1"/>
      <c r="HZ563" s="1"/>
      <c r="IA563" s="1"/>
      <c r="IB563" s="1"/>
      <c r="IC563" s="1"/>
      <c r="ID563" s="1"/>
      <c r="IE563" s="1"/>
      <c r="IF563" s="1"/>
      <c r="IG563" s="1"/>
      <c r="IH563" s="1"/>
      <c r="II563" s="1"/>
      <c r="IJ563" s="1"/>
      <c r="IK563" s="1"/>
      <c r="IL563" s="1"/>
      <c r="IM563" s="1"/>
      <c r="IN563" s="1"/>
      <c r="IO563" s="1"/>
      <c r="IP563" s="1"/>
      <c r="IQ563" s="1"/>
      <c r="IR563" s="1"/>
      <c r="IS563" s="1"/>
      <c r="IT563" s="1"/>
      <c r="IU563" s="1"/>
      <c r="IV563" s="1"/>
      <c r="IW563" s="1"/>
      <c r="IX563" s="1"/>
      <c r="IY563" s="1"/>
      <c r="IZ563" s="1"/>
      <c r="JA563" s="1"/>
      <c r="JB563" s="1"/>
      <c r="JC563" s="1"/>
      <c r="JD563" s="1"/>
    </row>
    <row r="564" spans="1:264" s="347" customFormat="1" x14ac:dyDescent="0.2">
      <c r="A564" s="405" t="s">
        <v>222</v>
      </c>
      <c r="B564" s="348"/>
      <c r="BH564" s="389">
        <f>BH905</f>
        <v>0</v>
      </c>
      <c r="BI564" s="389">
        <f>BI905</f>
        <v>0</v>
      </c>
      <c r="BJ564" s="389">
        <f>BJ905</f>
        <v>0</v>
      </c>
      <c r="BK564" s="348"/>
      <c r="BL564" s="389">
        <f>BL905</f>
        <v>0</v>
      </c>
      <c r="BM564" s="389">
        <f>BM905</f>
        <v>0</v>
      </c>
      <c r="BN564" s="389">
        <f>BN905</f>
        <v>0</v>
      </c>
      <c r="BO564" s="348"/>
      <c r="BP564" s="389">
        <f>BP905</f>
        <v>0</v>
      </c>
      <c r="BQ564" s="389">
        <f>BQ905</f>
        <v>0</v>
      </c>
      <c r="BR564" s="389">
        <f>BR905</f>
        <v>0</v>
      </c>
      <c r="BT564" s="389">
        <f>BT905</f>
        <v>0</v>
      </c>
      <c r="BU564" s="389">
        <f>BU905</f>
        <v>0</v>
      </c>
      <c r="BV564" s="389">
        <f>BV905</f>
        <v>0</v>
      </c>
      <c r="BX564" s="389">
        <f>BX905</f>
        <v>0</v>
      </c>
      <c r="BY564" s="567">
        <v>0</v>
      </c>
      <c r="BZ564" s="351">
        <f>+BY564+BX564</f>
        <v>0</v>
      </c>
      <c r="CB564" s="389">
        <f>CB905</f>
        <v>-180.0484868061653</v>
      </c>
      <c r="CC564" s="389">
        <f>CC905</f>
        <v>-188.99081973698631</v>
      </c>
      <c r="CD564" s="351">
        <f>+CC564+CB564</f>
        <v>-369.03930654315161</v>
      </c>
      <c r="CF564" s="389">
        <f>CF905</f>
        <v>-185.95573287452055</v>
      </c>
      <c r="CG564" s="389">
        <f>CG905</f>
        <v>-184.01497630849317</v>
      </c>
      <c r="CH564" s="351">
        <f>+CG564+CF564</f>
        <v>-369.9707091830137</v>
      </c>
      <c r="CJ564" s="389">
        <f>CJ905</f>
        <v>-184.5680716459016</v>
      </c>
      <c r="CK564" s="389">
        <f>CK905</f>
        <v>-174.41568287213116</v>
      </c>
      <c r="CL564" s="351">
        <f>+CK564+CJ564</f>
        <v>-358.98375451803275</v>
      </c>
      <c r="CN564" s="389">
        <f>CN905</f>
        <v>-181.42473327780823</v>
      </c>
      <c r="CO564" s="389">
        <f>CO905</f>
        <v>-157.35836842356161</v>
      </c>
      <c r="CP564" s="351">
        <f>+CO564+CN564</f>
        <v>-338.78310170136984</v>
      </c>
      <c r="CR564" s="389">
        <f>CR905</f>
        <v>-164.79012102575342</v>
      </c>
      <c r="CS564" s="389">
        <f>CS905</f>
        <v>-178.03469415780822</v>
      </c>
      <c r="CT564" s="351">
        <f>+CS564+CR564</f>
        <v>-342.82481518356167</v>
      </c>
      <c r="CV564" s="389">
        <f>CV905</f>
        <v>-202.10466104547942</v>
      </c>
      <c r="CW564" s="389">
        <f>CW905</f>
        <v>-191.08558430958902</v>
      </c>
      <c r="CX564" s="351">
        <f>+CW564+CV564</f>
        <v>-393.19024535506844</v>
      </c>
      <c r="CZ564" s="389">
        <f>CZ905</f>
        <v>-209.45625370491805</v>
      </c>
      <c r="DA564" s="389">
        <f>DA905</f>
        <v>-218.29019910163933</v>
      </c>
      <c r="DB564" s="351">
        <f>+DA564+CZ564</f>
        <v>-427.74645280655739</v>
      </c>
      <c r="DD564" s="389">
        <f>DD905</f>
        <v>-221.56330354323288</v>
      </c>
      <c r="DE564" s="389">
        <f>DE905</f>
        <v>-236.01985455452055</v>
      </c>
      <c r="DF564" s="351">
        <f>+DE564+DD564</f>
        <v>-457.58315809775343</v>
      </c>
      <c r="DH564" s="389">
        <f>DH905</f>
        <v>-257.16717584219174</v>
      </c>
      <c r="DI564" s="389">
        <f t="shared" ref="DI564" ca="1" si="564">DI905</f>
        <v>-263.80436010519225</v>
      </c>
      <c r="DJ564" s="351">
        <f ca="1">+DI564+DH564</f>
        <v>-520.97153594738393</v>
      </c>
      <c r="DL564" s="389">
        <f t="shared" ref="DL564:DM564" ca="1" si="565">DL905</f>
        <v>-277.20689343349181</v>
      </c>
      <c r="DM564" s="389">
        <f t="shared" ca="1" si="565"/>
        <v>-282.50698634744697</v>
      </c>
      <c r="DN564" s="351">
        <f ca="1">+DM564+DL564</f>
        <v>-559.71387978093878</v>
      </c>
      <c r="DP564" s="389">
        <f t="shared" ref="DP564:DQ564" ca="1" si="566">DP905</f>
        <v>-293.28899789062393</v>
      </c>
      <c r="DQ564" s="389">
        <f t="shared" ca="1" si="566"/>
        <v>-297.66501599583336</v>
      </c>
      <c r="DR564" s="351">
        <f ca="1">+DQ564+DP564</f>
        <v>-590.95401388645723</v>
      </c>
      <c r="DT564" s="1"/>
      <c r="DU564" s="1"/>
      <c r="DV564" s="1"/>
      <c r="DW564" s="1"/>
      <c r="DX564" s="1"/>
      <c r="DY564" s="1"/>
      <c r="DZ564" s="1"/>
      <c r="EA564" s="1"/>
      <c r="EB564" s="1"/>
      <c r="EC564" s="1"/>
      <c r="ED564" s="1"/>
      <c r="EE564" s="1"/>
      <c r="EF564" s="1"/>
      <c r="EG564" s="1"/>
      <c r="EH564" s="1"/>
      <c r="EI564" s="1"/>
      <c r="EJ564" s="1"/>
      <c r="EK564" s="1"/>
      <c r="EL564" s="1"/>
      <c r="EM564" s="1"/>
      <c r="EN564" s="1"/>
      <c r="EO564" s="1"/>
      <c r="EP564" s="1"/>
      <c r="EQ564" s="1"/>
      <c r="ER564" s="1"/>
      <c r="ES564" s="1"/>
      <c r="ET564" s="1"/>
      <c r="EU564" s="1"/>
      <c r="EV564" s="1"/>
      <c r="EW564" s="1"/>
      <c r="EX564" s="1"/>
      <c r="EY564" s="1"/>
      <c r="EZ564" s="1"/>
      <c r="FA564" s="1"/>
      <c r="FB564" s="1"/>
      <c r="FC564" s="1"/>
      <c r="FD564" s="1"/>
      <c r="FE564" s="1"/>
      <c r="FF564" s="1"/>
      <c r="FG564" s="1"/>
      <c r="FH564" s="1"/>
      <c r="FI564" s="1"/>
      <c r="FJ564" s="1"/>
      <c r="FK564" s="1"/>
      <c r="FL564" s="1"/>
      <c r="FM564" s="1"/>
      <c r="FN564" s="1"/>
      <c r="FO564" s="1"/>
      <c r="FP564" s="1"/>
      <c r="FQ564" s="1"/>
      <c r="FR564" s="1"/>
      <c r="FS564" s="1"/>
      <c r="FT564" s="1"/>
      <c r="FU564" s="1"/>
      <c r="FV564" s="1"/>
      <c r="FW564" s="1"/>
      <c r="FX564" s="1"/>
      <c r="FY564" s="1"/>
      <c r="FZ564" s="1"/>
      <c r="GA564" s="1"/>
      <c r="GB564" s="1"/>
      <c r="GC564" s="1"/>
      <c r="GD564" s="1"/>
      <c r="GE564" s="1"/>
      <c r="GF564" s="1"/>
      <c r="GG564" s="1"/>
      <c r="GH564" s="1"/>
      <c r="GI564" s="1"/>
      <c r="GJ564" s="1"/>
      <c r="GK564" s="1"/>
      <c r="GL564" s="1"/>
      <c r="GM564" s="1"/>
      <c r="GN564" s="1"/>
      <c r="GO564" s="1"/>
      <c r="GP564" s="1"/>
      <c r="GQ564" s="1"/>
      <c r="GR564" s="1"/>
      <c r="GS564" s="1"/>
      <c r="GT564" s="1"/>
      <c r="GU564" s="1"/>
      <c r="GV564" s="1"/>
      <c r="GW564" s="1"/>
      <c r="GX564" s="1"/>
      <c r="GY564" s="1"/>
      <c r="GZ564" s="1"/>
      <c r="HA564" s="1"/>
      <c r="HB564" s="1"/>
      <c r="HC564" s="1"/>
      <c r="HD564" s="1"/>
      <c r="HE564" s="1"/>
      <c r="HF564" s="1"/>
      <c r="HG564" s="1"/>
      <c r="HH564" s="1"/>
      <c r="HI564" s="1"/>
      <c r="HJ564" s="1"/>
      <c r="HK564" s="1"/>
      <c r="HL564" s="1"/>
      <c r="HM564" s="1"/>
      <c r="HN564" s="1"/>
      <c r="HO564" s="1"/>
      <c r="HP564" s="1"/>
      <c r="HQ564" s="1"/>
      <c r="HR564" s="1"/>
      <c r="HS564" s="1"/>
      <c r="HT564" s="1"/>
      <c r="HU564" s="1"/>
      <c r="HV564" s="1"/>
      <c r="HW564" s="1"/>
      <c r="HX564" s="1"/>
      <c r="HY564" s="1"/>
      <c r="HZ564" s="1"/>
      <c r="IA564" s="1"/>
      <c r="IB564" s="1"/>
      <c r="IC564" s="1"/>
      <c r="ID564" s="1"/>
      <c r="IE564" s="1"/>
      <c r="IF564" s="1"/>
      <c r="IG564" s="1"/>
      <c r="IH564" s="1"/>
      <c r="II564" s="1"/>
      <c r="IJ564" s="1"/>
      <c r="IK564" s="1"/>
      <c r="IL564" s="1"/>
      <c r="IM564" s="1"/>
      <c r="IN564" s="1"/>
      <c r="IO564" s="1"/>
      <c r="IP564" s="1"/>
      <c r="IQ564" s="1"/>
      <c r="IR564" s="1"/>
      <c r="IS564" s="1"/>
      <c r="IT564" s="1"/>
      <c r="IU564" s="1"/>
      <c r="IV564" s="1"/>
      <c r="IW564" s="1"/>
      <c r="IX564" s="1"/>
      <c r="IY564" s="1"/>
      <c r="IZ564" s="1"/>
      <c r="JA564" s="1"/>
      <c r="JB564" s="1"/>
      <c r="JC564" s="1"/>
      <c r="JD564" s="1"/>
    </row>
    <row r="565" spans="1:264" s="411" customFormat="1" x14ac:dyDescent="0.2">
      <c r="A565" s="411" t="s">
        <v>10</v>
      </c>
      <c r="B565" s="423"/>
      <c r="BH565" s="397">
        <f>BH14</f>
        <v>6862</v>
      </c>
      <c r="BI565" s="397">
        <f>BI14</f>
        <v>7082</v>
      </c>
      <c r="BJ565" s="397">
        <f>BJ14</f>
        <v>13944</v>
      </c>
      <c r="BK565" s="423"/>
      <c r="BL565" s="397">
        <f>BL14</f>
        <v>7444</v>
      </c>
      <c r="BM565" s="397">
        <f>BM14</f>
        <v>7647</v>
      </c>
      <c r="BN565" s="397">
        <f>BN14</f>
        <v>15091</v>
      </c>
      <c r="BO565" s="423"/>
      <c r="BP565" s="397">
        <f>BP14</f>
        <v>7901</v>
      </c>
      <c r="BQ565" s="397">
        <f>BQ14</f>
        <v>7926</v>
      </c>
      <c r="BR565" s="397">
        <f>BR14</f>
        <v>15827</v>
      </c>
      <c r="BT565" s="397">
        <f>BT14</f>
        <v>8427</v>
      </c>
      <c r="BU565" s="397">
        <f>BU14</f>
        <v>8508</v>
      </c>
      <c r="BV565" s="397">
        <f>BV14</f>
        <v>16935</v>
      </c>
      <c r="BX565" s="397">
        <f>BX14</f>
        <v>8710</v>
      </c>
      <c r="BY565" s="397">
        <f>BY14</f>
        <v>8833</v>
      </c>
      <c r="BZ565" s="397">
        <f>BZ14</f>
        <v>17543</v>
      </c>
      <c r="CB565" s="397">
        <f>CB14</f>
        <v>9257</v>
      </c>
      <c r="CC565" s="397">
        <f>CC14</f>
        <v>9085</v>
      </c>
      <c r="CD565" s="397">
        <f>CD14</f>
        <v>18342</v>
      </c>
      <c r="CF565" s="397">
        <f>CF14</f>
        <v>9188</v>
      </c>
      <c r="CG565" s="397">
        <f>CG14</f>
        <v>9036</v>
      </c>
      <c r="CH565" s="397">
        <f>CH14</f>
        <v>18224</v>
      </c>
      <c r="CJ565" s="397">
        <f>CJ14</f>
        <v>9350</v>
      </c>
      <c r="CK565" s="397">
        <f>CK14</f>
        <v>9260</v>
      </c>
      <c r="CL565" s="397">
        <f>CL14</f>
        <v>18610</v>
      </c>
      <c r="CN565" s="397">
        <f>CN14</f>
        <v>9600</v>
      </c>
      <c r="CO565" s="397">
        <f>CO14</f>
        <v>9702</v>
      </c>
      <c r="CP565" s="397">
        <f>CP14</f>
        <v>19302</v>
      </c>
      <c r="CR565" s="397">
        <f>CR14</f>
        <v>9748</v>
      </c>
      <c r="CS565" s="397">
        <f>CS14</f>
        <v>9725</v>
      </c>
      <c r="CT565" s="397">
        <f>CT14</f>
        <v>19473</v>
      </c>
      <c r="CV565" s="397">
        <f>CV14</f>
        <v>11637</v>
      </c>
      <c r="CW565" s="397">
        <f>CW14</f>
        <v>11419</v>
      </c>
      <c r="CX565" s="397">
        <f>CX14</f>
        <v>23056</v>
      </c>
      <c r="CZ565" s="397">
        <f>CZ14</f>
        <v>11404</v>
      </c>
      <c r="DA565" s="397">
        <f>DA14</f>
        <v>11420</v>
      </c>
      <c r="DB565" s="397">
        <f>DB14</f>
        <v>22824</v>
      </c>
      <c r="DD565" s="397">
        <f>DD14</f>
        <v>11934</v>
      </c>
      <c r="DE565" s="397">
        <f>DE14</f>
        <v>12089</v>
      </c>
      <c r="DF565" s="397">
        <f>DF14</f>
        <v>24023</v>
      </c>
      <c r="DH565" s="397">
        <f>DH14</f>
        <v>12695</v>
      </c>
      <c r="DI565" s="566">
        <f t="shared" ref="DI565" si="567">+DI566*DI567*(DI$3/DI$4)</f>
        <v>12972.604412194529</v>
      </c>
      <c r="DJ565" s="397">
        <f>+DI565+DH565</f>
        <v>25667.604412194531</v>
      </c>
      <c r="DL565" s="566">
        <f t="shared" ref="DL565:DM565" si="568">+DL566*DL567*(DL$3/DL$4)</f>
        <v>13610.327930904466</v>
      </c>
      <c r="DM565" s="566">
        <f t="shared" si="568"/>
        <v>13726.051181626672</v>
      </c>
      <c r="DN565" s="397">
        <f>+DM565+DL565</f>
        <v>27336.37911253114</v>
      </c>
      <c r="DP565" s="566">
        <f t="shared" ref="DP565:DQ565" si="569">+DP566*DP567*(DP$3/DP$4)</f>
        <v>14223.863377232674</v>
      </c>
      <c r="DQ565" s="566">
        <f t="shared" si="569"/>
        <v>14339.792929357214</v>
      </c>
      <c r="DR565" s="397">
        <f>+DQ565+DP565</f>
        <v>28563.656306589888</v>
      </c>
      <c r="DT565" s="1"/>
      <c r="DU565" s="1"/>
      <c r="DV565" s="1"/>
      <c r="DW565" s="1"/>
      <c r="DX565" s="1"/>
      <c r="DY565" s="1"/>
      <c r="DZ565" s="1"/>
      <c r="EA565" s="1"/>
      <c r="EB565" s="1"/>
      <c r="EC565" s="1"/>
      <c r="ED565" s="1"/>
      <c r="EE565" s="1"/>
      <c r="EF565" s="1"/>
      <c r="EG565" s="1"/>
      <c r="EH565" s="1"/>
      <c r="EI565" s="1"/>
      <c r="EJ565" s="1"/>
      <c r="EK565" s="1"/>
      <c r="EL565" s="1"/>
      <c r="EM565" s="1"/>
      <c r="EN565" s="1"/>
      <c r="EO565" s="1"/>
      <c r="EP565" s="1"/>
      <c r="EQ565" s="1"/>
      <c r="ER565" s="1"/>
      <c r="ES565" s="1"/>
      <c r="ET565" s="1"/>
      <c r="EU565" s="1"/>
      <c r="EV565" s="1"/>
      <c r="EW565" s="1"/>
      <c r="EX565" s="1"/>
      <c r="EY565" s="1"/>
      <c r="EZ565" s="1"/>
      <c r="FA565" s="1"/>
      <c r="FB565" s="1"/>
      <c r="FC565" s="1"/>
      <c r="FD565" s="1"/>
      <c r="FE565" s="1"/>
      <c r="FF565" s="1"/>
      <c r="FG565" s="1"/>
      <c r="FH565" s="1"/>
      <c r="FI565" s="1"/>
      <c r="FJ565" s="1"/>
      <c r="FK565" s="1"/>
      <c r="FL565" s="1"/>
      <c r="FM565" s="1"/>
      <c r="FN565" s="1"/>
      <c r="FO565" s="1"/>
      <c r="FP565" s="1"/>
      <c r="FQ565" s="1"/>
      <c r="FR565" s="1"/>
      <c r="FS565" s="1"/>
      <c r="FT565" s="1"/>
      <c r="FU565" s="1"/>
      <c r="FV565" s="1"/>
      <c r="FW565" s="1"/>
      <c r="FX565" s="1"/>
      <c r="FY565" s="1"/>
      <c r="FZ565" s="1"/>
      <c r="GA565" s="1"/>
      <c r="GB565" s="1"/>
      <c r="GC565" s="1"/>
      <c r="GD565" s="1"/>
      <c r="GE565" s="1"/>
      <c r="GF565" s="1"/>
      <c r="GG565" s="1"/>
      <c r="GH565" s="1"/>
      <c r="GI565" s="1"/>
      <c r="GJ565" s="1"/>
      <c r="GK565" s="1"/>
      <c r="GL565" s="1"/>
      <c r="GM565" s="1"/>
      <c r="GN565" s="1"/>
      <c r="GO565" s="1"/>
      <c r="GP565" s="1"/>
      <c r="GQ565" s="1"/>
      <c r="GR565" s="1"/>
      <c r="GS565" s="1"/>
      <c r="GT565" s="1"/>
      <c r="GU565" s="1"/>
      <c r="GV565" s="1"/>
      <c r="GW565" s="1"/>
      <c r="GX565" s="1"/>
      <c r="GY565" s="1"/>
      <c r="GZ565" s="1"/>
      <c r="HA565" s="1"/>
      <c r="HB565" s="1"/>
      <c r="HC565" s="1"/>
      <c r="HD565" s="1"/>
      <c r="HE565" s="1"/>
      <c r="HF565" s="1"/>
      <c r="HG565" s="1"/>
      <c r="HH565" s="1"/>
      <c r="HI565" s="1"/>
      <c r="HJ565" s="1"/>
      <c r="HK565" s="1"/>
      <c r="HL565" s="1"/>
      <c r="HM565" s="1"/>
      <c r="HN565" s="1"/>
      <c r="HO565" s="1"/>
      <c r="HP565" s="1"/>
      <c r="HQ565" s="1"/>
      <c r="HR565" s="1"/>
      <c r="HS565" s="1"/>
      <c r="HT565" s="1"/>
      <c r="HU565" s="1"/>
      <c r="HV565" s="1"/>
      <c r="HW565" s="1"/>
      <c r="HX565" s="1"/>
      <c r="HY565" s="1"/>
      <c r="HZ565" s="1"/>
      <c r="IA565" s="1"/>
      <c r="IB565" s="1"/>
      <c r="IC565" s="1"/>
      <c r="ID565" s="1"/>
      <c r="IE565" s="1"/>
      <c r="IF565" s="1"/>
      <c r="IG565" s="1"/>
      <c r="IH565" s="1"/>
      <c r="II565" s="1"/>
      <c r="IJ565" s="1"/>
      <c r="IK565" s="1"/>
      <c r="IL565" s="1"/>
      <c r="IM565" s="1"/>
      <c r="IN565" s="1"/>
      <c r="IO565" s="1"/>
      <c r="IP565" s="1"/>
      <c r="IQ565" s="1"/>
      <c r="IR565" s="1"/>
      <c r="IS565" s="1"/>
      <c r="IT565" s="1"/>
      <c r="IU565" s="1"/>
      <c r="IV565" s="1"/>
      <c r="IW565" s="1"/>
      <c r="IX565" s="1"/>
      <c r="IY565" s="1"/>
      <c r="IZ565" s="1"/>
      <c r="JA565" s="1"/>
      <c r="JB565" s="1"/>
      <c r="JC565" s="1"/>
      <c r="JD565" s="1"/>
    </row>
    <row r="566" spans="1:264" s="347" customFormat="1" x14ac:dyDescent="0.2">
      <c r="A566" s="347" t="s">
        <v>461</v>
      </c>
      <c r="B566" s="348"/>
      <c r="BH566" s="351">
        <f>BH488</f>
        <v>649394</v>
      </c>
      <c r="BI566" s="351">
        <f>BI488</f>
        <v>657951</v>
      </c>
      <c r="BJ566" s="351">
        <f>BJ488</f>
        <v>653637</v>
      </c>
      <c r="BK566" s="348"/>
      <c r="BL566" s="351">
        <f>BL488</f>
        <v>690106</v>
      </c>
      <c r="BM566" s="351">
        <f>BM488</f>
        <v>720889</v>
      </c>
      <c r="BN566" s="351">
        <f>BN488</f>
        <v>705371</v>
      </c>
      <c r="BO566" s="348"/>
      <c r="BP566" s="351">
        <f>BP488</f>
        <v>739272</v>
      </c>
      <c r="BQ566" s="351">
        <f>BQ488</f>
        <v>772747</v>
      </c>
      <c r="BR566" s="351">
        <f>BR488</f>
        <v>755914.5</v>
      </c>
      <c r="BT566" s="351">
        <f>BT488</f>
        <v>780921</v>
      </c>
      <c r="BU566" s="351">
        <f>BU488</f>
        <v>800379</v>
      </c>
      <c r="BV566" s="351">
        <f>BV488</f>
        <v>790650</v>
      </c>
      <c r="BX566" s="351">
        <f>BX488</f>
        <v>823058</v>
      </c>
      <c r="BY566" s="351">
        <f>BY488</f>
        <v>846619</v>
      </c>
      <c r="BZ566" s="351">
        <f>BZ488</f>
        <v>834741</v>
      </c>
      <c r="CB566" s="351">
        <f>CB488</f>
        <v>851522</v>
      </c>
      <c r="CC566" s="351">
        <f>CC488</f>
        <v>857050</v>
      </c>
      <c r="CD566" s="351">
        <f>CD488</f>
        <v>854264</v>
      </c>
      <c r="CF566" s="351">
        <f>CF488</f>
        <v>863664</v>
      </c>
      <c r="CG566" s="351">
        <f>CG488</f>
        <v>870912</v>
      </c>
      <c r="CH566" s="351">
        <f>CH488</f>
        <v>871418</v>
      </c>
      <c r="CJ566" s="351">
        <f>CJ488</f>
        <v>881850</v>
      </c>
      <c r="CK566" s="351">
        <f>CK488</f>
        <v>913139</v>
      </c>
      <c r="CL566" s="351">
        <f>CL488</f>
        <v>897409</v>
      </c>
      <c r="CN566" s="351">
        <f>CN488</f>
        <v>922924</v>
      </c>
      <c r="CO566" s="351">
        <f>CO488</f>
        <v>936883</v>
      </c>
      <c r="CP566" s="351">
        <f>CP488</f>
        <v>929846</v>
      </c>
      <c r="CR566" s="351">
        <f>CR488</f>
        <v>1008070</v>
      </c>
      <c r="CS566" s="351">
        <f>CS488</f>
        <v>1046062</v>
      </c>
      <c r="CT566" s="351">
        <f>CT488</f>
        <v>1026910</v>
      </c>
      <c r="CV566" s="351">
        <f>CV488</f>
        <v>1100027</v>
      </c>
      <c r="CW566" s="351">
        <f>CW488</f>
        <v>1122667</v>
      </c>
      <c r="CX566" s="351">
        <f>CX488</f>
        <v>1111254</v>
      </c>
      <c r="CZ566" s="351">
        <f>CZ488</f>
        <v>1140693</v>
      </c>
      <c r="DA566" s="351">
        <f>DA488</f>
        <v>1148062</v>
      </c>
      <c r="DB566" s="351">
        <f>DB488</f>
        <v>1144357</v>
      </c>
      <c r="DD566" s="351">
        <f>DD488</f>
        <v>1135859</v>
      </c>
      <c r="DE566" s="351">
        <f>DE488</f>
        <v>1171804</v>
      </c>
      <c r="DF566" s="351">
        <f>DF488</f>
        <v>1153684</v>
      </c>
      <c r="DH566" s="351">
        <f>DH488</f>
        <v>1232326</v>
      </c>
      <c r="DI566" s="351">
        <f>DI488</f>
        <v>1273911.6245676505</v>
      </c>
      <c r="DJ566" s="351">
        <f>DJ488</f>
        <v>1253118.8122838251</v>
      </c>
      <c r="DL566" s="351">
        <f>DL488</f>
        <v>1314744.8155620117</v>
      </c>
      <c r="DM566" s="351">
        <f>DM488</f>
        <v>1354496.1294261087</v>
      </c>
      <c r="DN566" s="351">
        <f>DN488</f>
        <v>1334620.4724940602</v>
      </c>
      <c r="DP566" s="351">
        <f>DP488</f>
        <v>1391326.7267720643</v>
      </c>
      <c r="DQ566" s="351">
        <f>DQ488</f>
        <v>1425088.3885422312</v>
      </c>
      <c r="DR566" s="351">
        <f>DR488</f>
        <v>1408207.5576571478</v>
      </c>
      <c r="DT566" s="1"/>
      <c r="DU566" s="1"/>
      <c r="DV566" s="1"/>
      <c r="DW566" s="1"/>
      <c r="DX566" s="1"/>
      <c r="DY566" s="1"/>
      <c r="DZ566" s="1"/>
      <c r="EA566" s="1"/>
      <c r="EB566" s="1"/>
      <c r="EC566" s="1"/>
      <c r="ED566" s="1"/>
      <c r="EE566" s="1"/>
      <c r="EF566" s="1"/>
      <c r="EG566" s="1"/>
      <c r="EH566" s="1"/>
      <c r="EI566" s="1"/>
      <c r="EJ566" s="1"/>
      <c r="EK566" s="1"/>
      <c r="EL566" s="1"/>
      <c r="EM566" s="1"/>
      <c r="EN566" s="1"/>
      <c r="EO566" s="1"/>
      <c r="EP566" s="1"/>
      <c r="EQ566" s="1"/>
      <c r="ER566" s="1"/>
      <c r="ES566" s="1"/>
      <c r="ET566" s="1"/>
      <c r="EU566" s="1"/>
      <c r="EV566" s="1"/>
      <c r="EW566" s="1"/>
      <c r="EX566" s="1"/>
      <c r="EY566" s="1"/>
      <c r="EZ566" s="1"/>
      <c r="FA566" s="1"/>
      <c r="FB566" s="1"/>
      <c r="FC566" s="1"/>
      <c r="FD566" s="1"/>
      <c r="FE566" s="1"/>
      <c r="FF566" s="1"/>
      <c r="FG566" s="1"/>
      <c r="FH566" s="1"/>
      <c r="FI566" s="1"/>
      <c r="FJ566" s="1"/>
      <c r="FK566" s="1"/>
      <c r="FL566" s="1"/>
      <c r="FM566" s="1"/>
      <c r="FN566" s="1"/>
      <c r="FO566" s="1"/>
      <c r="FP566" s="1"/>
      <c r="FQ566" s="1"/>
      <c r="FR566" s="1"/>
      <c r="FS566" s="1"/>
      <c r="FT566" s="1"/>
      <c r="FU566" s="1"/>
      <c r="FV566" s="1"/>
      <c r="FW566" s="1"/>
      <c r="FX566" s="1"/>
      <c r="FY566" s="1"/>
      <c r="FZ566" s="1"/>
      <c r="GA566" s="1"/>
      <c r="GB566" s="1"/>
      <c r="GC566" s="1"/>
      <c r="GD566" s="1"/>
      <c r="GE566" s="1"/>
      <c r="GF566" s="1"/>
      <c r="GG566" s="1"/>
      <c r="GH566" s="1"/>
      <c r="GI566" s="1"/>
      <c r="GJ566" s="1"/>
      <c r="GK566" s="1"/>
      <c r="GL566" s="1"/>
      <c r="GM566" s="1"/>
      <c r="GN566" s="1"/>
      <c r="GO566" s="1"/>
      <c r="GP566" s="1"/>
      <c r="GQ566" s="1"/>
      <c r="GR566" s="1"/>
      <c r="GS566" s="1"/>
      <c r="GT566" s="1"/>
      <c r="GU566" s="1"/>
      <c r="GV566" s="1"/>
      <c r="GW566" s="1"/>
      <c r="GX566" s="1"/>
      <c r="GY566" s="1"/>
      <c r="GZ566" s="1"/>
      <c r="HA566" s="1"/>
      <c r="HB566" s="1"/>
      <c r="HC566" s="1"/>
      <c r="HD566" s="1"/>
      <c r="HE566" s="1"/>
      <c r="HF566" s="1"/>
      <c r="HG566" s="1"/>
      <c r="HH566" s="1"/>
      <c r="HI566" s="1"/>
      <c r="HJ566" s="1"/>
      <c r="HK566" s="1"/>
      <c r="HL566" s="1"/>
      <c r="HM566" s="1"/>
      <c r="HN566" s="1"/>
      <c r="HO566" s="1"/>
      <c r="HP566" s="1"/>
      <c r="HQ566" s="1"/>
      <c r="HR566" s="1"/>
      <c r="HS566" s="1"/>
      <c r="HT566" s="1"/>
      <c r="HU566" s="1"/>
      <c r="HV566" s="1"/>
      <c r="HW566" s="1"/>
      <c r="HX566" s="1"/>
      <c r="HY566" s="1"/>
      <c r="HZ566" s="1"/>
      <c r="IA566" s="1"/>
      <c r="IB566" s="1"/>
      <c r="IC566" s="1"/>
      <c r="ID566" s="1"/>
      <c r="IE566" s="1"/>
      <c r="IF566" s="1"/>
      <c r="IG566" s="1"/>
      <c r="IH566" s="1"/>
      <c r="II566" s="1"/>
      <c r="IJ566" s="1"/>
      <c r="IK566" s="1"/>
      <c r="IL566" s="1"/>
      <c r="IM566" s="1"/>
      <c r="IN566" s="1"/>
      <c r="IO566" s="1"/>
      <c r="IP566" s="1"/>
      <c r="IQ566" s="1"/>
      <c r="IR566" s="1"/>
      <c r="IS566" s="1"/>
      <c r="IT566" s="1"/>
      <c r="IU566" s="1"/>
      <c r="IV566" s="1"/>
      <c r="IW566" s="1"/>
      <c r="IX566" s="1"/>
      <c r="IY566" s="1"/>
      <c r="IZ566" s="1"/>
      <c r="JA566" s="1"/>
      <c r="JB566" s="1"/>
      <c r="JC566" s="1"/>
      <c r="JD566" s="1"/>
    </row>
    <row r="567" spans="1:264" s="411" customFormat="1" ht="13.5" thickBot="1" x14ac:dyDescent="0.25">
      <c r="A567" s="411" t="s">
        <v>13</v>
      </c>
      <c r="B567" s="423"/>
      <c r="BH567" s="490">
        <f>+BH565*(BH$4/BH$3)/BH566</f>
        <v>2.0961264756399648E-2</v>
      </c>
      <c r="BI567" s="490">
        <f>+BI565*(BI$4/BI$3)/BI566</f>
        <v>2.1705843163806443E-2</v>
      </c>
      <c r="BJ567" s="490">
        <f>+BJ565*(BJ$4/BJ$3)/BJ566</f>
        <v>2.1332941678638143E-2</v>
      </c>
      <c r="BK567" s="423"/>
      <c r="BL567" s="490">
        <f>+BL565*(BL$4/BL$3)/BL566</f>
        <v>2.1397626501990435E-2</v>
      </c>
      <c r="BM567" s="490">
        <f>+BM565*(BM$4/BM$3)/BM566</f>
        <v>2.1391290276802102E-2</v>
      </c>
      <c r="BN567" s="490">
        <f>+BN565*(BN$4/BN$3)/BN566</f>
        <v>2.1394415137565907E-2</v>
      </c>
      <c r="BO567" s="423"/>
      <c r="BP567" s="490">
        <f>+BP565*(BP$4/BP$3)/BP566</f>
        <v>2.1200829123551396E-2</v>
      </c>
      <c r="BQ567" s="490">
        <f>+BQ565*(BQ$4/BQ$3)/BQ566</f>
        <v>2.0683833344866894E-2</v>
      </c>
      <c r="BR567" s="490">
        <f>+BR565*(BR$4/BR$3)/BR566</f>
        <v>2.0937553122740732E-2</v>
      </c>
      <c r="BT567" s="490">
        <f>+BT565*(BT$4/BT$3)/BT566</f>
        <v>2.1464914087229111E-2</v>
      </c>
      <c r="BU567" s="490">
        <f>+BU565*(BU$4/BU$3)/BU566</f>
        <v>2.1376740900866345E-2</v>
      </c>
      <c r="BV567" s="490">
        <f>+BV565*(BV$4/BV$3)/BV566</f>
        <v>2.1419085562511857E-2</v>
      </c>
      <c r="BW567" s="571"/>
      <c r="BX567" s="490">
        <f>+BX565*(BX$4/BX$3)/BX566</f>
        <v>2.0992432040554596E-2</v>
      </c>
      <c r="BY567" s="490">
        <f>+BY565*(BY$4/BY$3)/BY566</f>
        <v>2.103945613660587E-2</v>
      </c>
      <c r="BZ567" s="490">
        <f>+BZ565*(BZ$4/BZ$3)/BZ566</f>
        <v>2.1016099604547998E-2</v>
      </c>
      <c r="CA567" s="423"/>
      <c r="CB567" s="490">
        <f>+CB565*(CB$4/CB$3)/CB566</f>
        <v>2.1564998499362217E-2</v>
      </c>
      <c r="CC567" s="490">
        <f>+CC565*(CC$4/CC$3)/CC566</f>
        <v>2.1376325897552347E-2</v>
      </c>
      <c r="CD567" s="490">
        <f>+CD565*(CD$4/CD$3)/CD566</f>
        <v>2.1471114315949169E-2</v>
      </c>
      <c r="CF567" s="490">
        <f>+CF565*(CF$4/CF$3)/CF566</f>
        <v>2.1103340711403872E-2</v>
      </c>
      <c r="CG567" s="490">
        <f>+CG565*(CG$4/CG$3)/CG566</f>
        <v>2.0922628182641994E-2</v>
      </c>
      <c r="CH567" s="490">
        <f>+CH565*(CH$4/CH$3)/CH566</f>
        <v>2.0913040584426761E-2</v>
      </c>
      <c r="CJ567" s="490">
        <f>+CJ565*(CJ$4/CJ$3)/CJ566</f>
        <v>2.109017357284957E-2</v>
      </c>
      <c r="CK567" s="490">
        <f>+CK565*(CK$4/CK$3)/CK566</f>
        <v>2.0393125517317999E-2</v>
      </c>
      <c r="CL567" s="490">
        <f>+CL565*(CL$4/CL$3)/CL566</f>
        <v>2.0737478674717993E-2</v>
      </c>
      <c r="CN567" s="490">
        <f>+CN565*(CN$4/CN$3)/CN566</f>
        <v>2.0633853124276284E-2</v>
      </c>
      <c r="CO567" s="490">
        <f>+CO565*(CO$4/CO$3)/CO566</f>
        <v>2.0882870785182629E-2</v>
      </c>
      <c r="CP567" s="490">
        <f>+CP565*(CP$4/CP$3)/CP566</f>
        <v>2.0758276101634034E-2</v>
      </c>
      <c r="CR567" s="490">
        <f>+CR565*(CR$4/CR$3)/CR566</f>
        <v>1.9182264344134142E-2</v>
      </c>
      <c r="CS567" s="490">
        <f>+CS565*(CS$4/CS$3)/CS566</f>
        <v>1.8747634313552992E-2</v>
      </c>
      <c r="CT567" s="490">
        <f>+CT565*(CT$4/CT$3)/CT566</f>
        <v>1.8962713382867046E-2</v>
      </c>
      <c r="CV567" s="490">
        <f>+CV565*(CV$4/CV$3)/CV566</f>
        <v>2.0985181549496357E-2</v>
      </c>
      <c r="CW567" s="490">
        <f>+CW565*(CW$4/CW$3)/CW566</f>
        <v>2.0511215875562538E-2</v>
      </c>
      <c r="CX567" s="490">
        <f>+CX565*(CX$4/CX$3)/CX566</f>
        <v>2.0747731841685161E-2</v>
      </c>
      <c r="CZ567" s="490">
        <f>+CZ565*(CZ$4/CZ$3)/CZ566</f>
        <v>1.9886195039560045E-2</v>
      </c>
      <c r="DA567" s="490">
        <f>+DA565*(DA$4/DA$3)/DA566</f>
        <v>2.0003705815099276E-2</v>
      </c>
      <c r="DB567" s="490">
        <f>+DB565*(DB$4/DB$3)/DB566</f>
        <v>1.9944824910408204E-2</v>
      </c>
      <c r="DD567" s="490">
        <f>+DD565*(DD$4/DD$3)/DD566</f>
        <v>2.0841868500441937E-2</v>
      </c>
      <c r="DE567" s="490">
        <f>+DE565*(DE$4/DE$3)/DE566</f>
        <v>2.0804136328042795E-2</v>
      </c>
      <c r="DF567" s="490">
        <f>+DF565*(DF$4/DF$3)/DF566</f>
        <v>2.0822859639207963E-2</v>
      </c>
      <c r="DH567" s="490">
        <f>+DH565*(DH$4/DH$3)/DH566</f>
        <v>2.0435352580687113E-2</v>
      </c>
      <c r="DI567" s="572">
        <f>+DH567+DI568</f>
        <v>2.0535352580687113E-2</v>
      </c>
      <c r="DJ567" s="490">
        <f>+DJ565*(DJ$4/DJ$3)/DJ566</f>
        <v>2.0482977480335639E-2</v>
      </c>
      <c r="DL567" s="572">
        <f>+DI567+DL568</f>
        <v>2.0535352580687113E-2</v>
      </c>
      <c r="DM567" s="572">
        <f>+DL567+DM568</f>
        <v>2.0435352580687113E-2</v>
      </c>
      <c r="DN567" s="490">
        <f>+DN565*(DN$4/DN$3)/DN566</f>
        <v>2.0482511452447994E-2</v>
      </c>
      <c r="DP567" s="572">
        <f>+DM567+DP568</f>
        <v>2.0335352580687114E-2</v>
      </c>
      <c r="DQ567" s="572">
        <f>+DP567+DQ568</f>
        <v>2.0235352580687115E-2</v>
      </c>
      <c r="DR567" s="490">
        <f>+DR565*(DR$4/DR$3)/DR566</f>
        <v>2.0283697634822805E-2</v>
      </c>
      <c r="DT567" s="451"/>
      <c r="DU567" s="451"/>
      <c r="DV567" s="451"/>
      <c r="DW567" s="451"/>
      <c r="DX567" s="451"/>
      <c r="DY567" s="451"/>
      <c r="DZ567" s="451"/>
      <c r="EA567" s="451"/>
      <c r="EB567" s="451"/>
      <c r="EC567" s="451"/>
      <c r="ED567" s="451"/>
      <c r="EE567" s="451"/>
      <c r="EF567" s="451"/>
      <c r="EG567" s="451"/>
      <c r="EH567" s="451"/>
      <c r="EI567" s="451"/>
      <c r="EJ567" s="451"/>
      <c r="EK567" s="451"/>
      <c r="EL567" s="451"/>
      <c r="EM567" s="451"/>
      <c r="EN567" s="451"/>
      <c r="EO567" s="451"/>
      <c r="EP567" s="451"/>
      <c r="EQ567" s="451"/>
      <c r="ER567" s="451"/>
      <c r="ES567" s="451"/>
      <c r="ET567" s="451"/>
      <c r="EU567" s="451"/>
      <c r="EV567" s="451"/>
      <c r="EW567" s="451"/>
      <c r="EX567" s="451"/>
      <c r="EY567" s="451"/>
      <c r="EZ567" s="451"/>
      <c r="FA567" s="451"/>
      <c r="FB567" s="451"/>
      <c r="FC567" s="451"/>
      <c r="FD567" s="451"/>
      <c r="FE567" s="451"/>
      <c r="FF567" s="451"/>
      <c r="FG567" s="451"/>
      <c r="FH567" s="451"/>
      <c r="FI567" s="451"/>
      <c r="FJ567" s="451"/>
      <c r="FK567" s="451"/>
      <c r="FL567" s="451"/>
      <c r="FM567" s="451"/>
      <c r="FN567" s="451"/>
      <c r="FO567" s="451"/>
      <c r="FP567" s="451"/>
      <c r="FQ567" s="451"/>
      <c r="FR567" s="451"/>
      <c r="FS567" s="451"/>
      <c r="FT567" s="451"/>
      <c r="FU567" s="451"/>
      <c r="FV567" s="451"/>
      <c r="FW567" s="451"/>
      <c r="FX567" s="451"/>
      <c r="FY567" s="451"/>
      <c r="FZ567" s="451"/>
      <c r="GA567" s="451"/>
      <c r="GB567" s="451"/>
      <c r="GC567" s="451"/>
      <c r="GD567" s="451"/>
      <c r="GE567" s="451"/>
      <c r="GF567" s="451"/>
      <c r="GG567" s="451"/>
      <c r="GH567" s="451"/>
      <c r="GI567" s="451"/>
      <c r="GJ567" s="451"/>
      <c r="GK567" s="451"/>
      <c r="GL567" s="451"/>
      <c r="GM567" s="451"/>
      <c r="GN567" s="451"/>
      <c r="GO567" s="451"/>
      <c r="GP567" s="451"/>
      <c r="GQ567" s="451"/>
      <c r="GR567" s="451"/>
      <c r="GS567" s="451"/>
      <c r="GT567" s="451"/>
      <c r="GU567" s="451"/>
      <c r="GV567" s="451"/>
      <c r="GW567" s="451"/>
      <c r="GX567" s="451"/>
      <c r="GY567" s="451"/>
      <c r="GZ567" s="451"/>
      <c r="HA567" s="451"/>
      <c r="HB567" s="451"/>
      <c r="HC567" s="451"/>
      <c r="HD567" s="451"/>
      <c r="HE567" s="451"/>
      <c r="HF567" s="451"/>
      <c r="HG567" s="451"/>
      <c r="HH567" s="451"/>
      <c r="HI567" s="451"/>
      <c r="HJ567" s="451"/>
      <c r="HK567" s="451"/>
      <c r="HL567" s="451"/>
      <c r="HM567" s="451"/>
      <c r="HN567" s="451"/>
      <c r="HO567" s="451"/>
      <c r="HP567" s="451"/>
      <c r="HQ567" s="451"/>
      <c r="HR567" s="451"/>
      <c r="HS567" s="451"/>
      <c r="HT567" s="451"/>
      <c r="HU567" s="451"/>
      <c r="HV567" s="451"/>
      <c r="HW567" s="451"/>
      <c r="HX567" s="451"/>
      <c r="HY567" s="451"/>
      <c r="HZ567" s="451"/>
      <c r="IA567" s="451"/>
      <c r="IB567" s="451"/>
      <c r="IC567" s="451"/>
      <c r="ID567" s="451"/>
      <c r="IE567" s="451"/>
      <c r="IF567" s="451"/>
      <c r="IG567" s="451"/>
      <c r="IH567" s="451"/>
      <c r="II567" s="451"/>
      <c r="IJ567" s="451"/>
      <c r="IK567" s="451"/>
      <c r="IL567" s="451"/>
      <c r="IM567" s="451"/>
      <c r="IN567" s="451"/>
      <c r="IO567" s="451"/>
      <c r="IP567" s="451"/>
      <c r="IQ567" s="451"/>
      <c r="IR567" s="451"/>
      <c r="IS567" s="451"/>
      <c r="IT567" s="451"/>
      <c r="IU567" s="451"/>
      <c r="IV567" s="451"/>
      <c r="IW567" s="451"/>
      <c r="IX567" s="451"/>
      <c r="IY567" s="451"/>
      <c r="IZ567" s="451"/>
      <c r="JA567" s="451"/>
      <c r="JB567" s="451"/>
      <c r="JC567" s="451"/>
      <c r="JD567" s="451"/>
    </row>
    <row r="568" spans="1:264" s="429" customFormat="1" ht="13.5" thickBot="1" x14ac:dyDescent="0.25">
      <c r="A568" s="477" t="s">
        <v>462</v>
      </c>
      <c r="B568" s="540" t="s">
        <v>236</v>
      </c>
      <c r="C568" s="477"/>
      <c r="D568" s="477"/>
      <c r="E568" s="477"/>
      <c r="F568" s="477"/>
      <c r="G568" s="477"/>
      <c r="H568" s="477"/>
      <c r="I568" s="477"/>
      <c r="J568" s="477"/>
      <c r="K568" s="477"/>
      <c r="L568" s="477"/>
      <c r="M568" s="477"/>
      <c r="N568" s="477"/>
      <c r="O568" s="477"/>
      <c r="P568" s="477"/>
      <c r="Q568" s="477"/>
      <c r="R568" s="477"/>
      <c r="S568" s="477"/>
      <c r="T568" s="477"/>
      <c r="U568" s="477"/>
      <c r="V568" s="477"/>
      <c r="W568" s="477"/>
      <c r="X568" s="477"/>
      <c r="Y568" s="477"/>
      <c r="Z568" s="477"/>
      <c r="AA568" s="477"/>
      <c r="AB568" s="477"/>
      <c r="AC568" s="477"/>
      <c r="AD568" s="477"/>
      <c r="AE568" s="477"/>
      <c r="AF568" s="477"/>
      <c r="AG568" s="477"/>
      <c r="AH568" s="477"/>
      <c r="AI568" s="477"/>
      <c r="AJ568" s="477"/>
      <c r="AK568" s="477"/>
      <c r="AL568" s="477"/>
      <c r="AM568" s="477"/>
      <c r="AN568" s="477"/>
      <c r="AO568" s="477"/>
      <c r="AP568" s="477"/>
      <c r="AQ568" s="477"/>
      <c r="AR568" s="477"/>
      <c r="AS568" s="477"/>
      <c r="AT568" s="477"/>
      <c r="AU568" s="477"/>
      <c r="AV568" s="477"/>
      <c r="AW568" s="477"/>
      <c r="AX568" s="477"/>
      <c r="AY568" s="477"/>
      <c r="AZ568" s="477"/>
      <c r="BA568" s="477"/>
      <c r="BB568" s="477"/>
      <c r="BC568" s="477"/>
      <c r="BD568" s="477"/>
      <c r="BE568" s="477"/>
      <c r="BF568" s="477"/>
      <c r="BG568" s="477"/>
      <c r="BH568" s="573"/>
      <c r="BI568" s="574">
        <f>+BI567-BH567</f>
        <v>7.4457840740679501E-4</v>
      </c>
      <c r="BJ568" s="540"/>
      <c r="BK568" s="540"/>
      <c r="BL568" s="573">
        <f>+BL567-BI567</f>
        <v>-3.0821666181600829E-4</v>
      </c>
      <c r="BM568" s="574">
        <f>+BM567-BL567</f>
        <v>-6.3362251883324061E-6</v>
      </c>
      <c r="BN568" s="540"/>
      <c r="BO568" s="540"/>
      <c r="BP568" s="573">
        <f>+BP567-BM567</f>
        <v>-1.9046115325070667E-4</v>
      </c>
      <c r="BQ568" s="574">
        <f>+BQ567-BP567</f>
        <v>-5.1699577868450156E-4</v>
      </c>
      <c r="BR568" s="540"/>
      <c r="BS568" s="477"/>
      <c r="BT568" s="573">
        <f>+BT567-BQ567</f>
        <v>7.8108074236221681E-4</v>
      </c>
      <c r="BU568" s="574">
        <f>+BU567-BT567</f>
        <v>-8.8173186362765915E-5</v>
      </c>
      <c r="BV568" s="540"/>
      <c r="BW568" s="477"/>
      <c r="BX568" s="573">
        <f>+BX567-BU567</f>
        <v>-3.843088603117488E-4</v>
      </c>
      <c r="BY568" s="574">
        <f>+BY567-BX567</f>
        <v>4.702409605127425E-5</v>
      </c>
      <c r="BZ568" s="540"/>
      <c r="CA568" s="477"/>
      <c r="CB568" s="573">
        <f>+CB567-BY567</f>
        <v>5.2554236275634617E-4</v>
      </c>
      <c r="CC568" s="574">
        <f>+CC567-CB567</f>
        <v>-1.8867260180987014E-4</v>
      </c>
      <c r="CD568" s="540"/>
      <c r="CE568" s="477"/>
      <c r="CF568" s="573">
        <f>+CF567-CC567</f>
        <v>-2.72985186148475E-4</v>
      </c>
      <c r="CG568" s="574">
        <f>+CG567-CF567</f>
        <v>-1.8071252876187757E-4</v>
      </c>
      <c r="CH568" s="540"/>
      <c r="CI568" s="477"/>
      <c r="CJ568" s="573">
        <f>+CJ567-CG567</f>
        <v>1.6754539020757617E-4</v>
      </c>
      <c r="CK568" s="574">
        <f>+CK567-CJ567</f>
        <v>-6.9704805553157112E-4</v>
      </c>
      <c r="CL568" s="540"/>
      <c r="CM568" s="477"/>
      <c r="CN568" s="575">
        <f>+CN567-CK567</f>
        <v>2.4072760695828532E-4</v>
      </c>
      <c r="CO568" s="574">
        <f>+CO567-CN567</f>
        <v>2.4901766090634422E-4</v>
      </c>
      <c r="CP568" s="540"/>
      <c r="CQ568" s="576"/>
      <c r="CR568" s="575">
        <f>+CR567-CO567</f>
        <v>-1.7006064410484863E-3</v>
      </c>
      <c r="CS568" s="574">
        <f>+CS567-CR567</f>
        <v>-4.3463003058115054E-4</v>
      </c>
      <c r="CT568" s="540"/>
      <c r="CU568" s="576"/>
      <c r="CV568" s="575">
        <f>+CV567-CS567</f>
        <v>2.237547235943365E-3</v>
      </c>
      <c r="CW568" s="574">
        <f>+CW567-CV567</f>
        <v>-4.7396567393381828E-4</v>
      </c>
      <c r="CX568" s="540"/>
      <c r="CY568" s="576"/>
      <c r="CZ568" s="575">
        <f>+CZ567-CW567</f>
        <v>-6.2502083600249336E-4</v>
      </c>
      <c r="DA568" s="574">
        <f>+DA567-CZ567</f>
        <v>1.1751077553923128E-4</v>
      </c>
      <c r="DB568" s="540"/>
      <c r="DC568" s="576"/>
      <c r="DD568" s="575">
        <f>+DD567-DA567</f>
        <v>8.3816268534266103E-4</v>
      </c>
      <c r="DE568" s="574">
        <f>+DE567-DD567</f>
        <v>-3.7732172399142228E-5</v>
      </c>
      <c r="DF568" s="540"/>
      <c r="DG568" s="576"/>
      <c r="DH568" s="575">
        <f>+DH567-DE567</f>
        <v>-3.6878374735568181E-4</v>
      </c>
      <c r="DI568" s="577">
        <v>1E-4</v>
      </c>
      <c r="DJ568" s="1509"/>
      <c r="DK568" s="1509"/>
      <c r="DL568" s="577">
        <v>0</v>
      </c>
      <c r="DM568" s="577">
        <v>-1E-4</v>
      </c>
      <c r="DN568" s="1509"/>
      <c r="DO568" s="576"/>
      <c r="DP568" s="577">
        <v>-1E-4</v>
      </c>
      <c r="DQ568" s="577">
        <v>-1E-4</v>
      </c>
      <c r="DR568" s="576"/>
      <c r="DS568" s="576"/>
      <c r="DT568" s="1"/>
      <c r="DU568" s="1"/>
      <c r="DV568" s="1"/>
      <c r="DW568" s="1"/>
      <c r="DX568" s="1"/>
      <c r="DY568" s="1"/>
      <c r="DZ568" s="1"/>
      <c r="EA568" s="1"/>
      <c r="EB568" s="1"/>
      <c r="EC568" s="1"/>
      <c r="ED568" s="1"/>
      <c r="EE568" s="1"/>
      <c r="EF568" s="1"/>
      <c r="EG568" s="1"/>
      <c r="EH568" s="1"/>
      <c r="EI568" s="1"/>
      <c r="EJ568" s="1"/>
      <c r="EK568" s="1"/>
      <c r="EL568" s="1"/>
      <c r="EM568" s="1"/>
      <c r="EN568" s="1"/>
      <c r="EO568" s="1"/>
      <c r="EP568" s="1"/>
      <c r="EQ568" s="1"/>
      <c r="ER568" s="1"/>
      <c r="ES568" s="1"/>
      <c r="ET568" s="1"/>
      <c r="EU568" s="1"/>
      <c r="EV568" s="1"/>
      <c r="EW568" s="1"/>
      <c r="EX568" s="1"/>
      <c r="EY568" s="1"/>
      <c r="EZ568" s="1"/>
      <c r="FA568" s="1"/>
      <c r="FB568" s="1"/>
      <c r="FC568" s="1"/>
      <c r="FD568" s="1"/>
      <c r="FE568" s="1"/>
      <c r="FF568" s="1"/>
      <c r="FG568" s="1"/>
      <c r="FH568" s="1"/>
      <c r="FI568" s="1"/>
      <c r="FJ568" s="1"/>
      <c r="FK568" s="1"/>
      <c r="FL568" s="1"/>
      <c r="FM568" s="1"/>
      <c r="FN568" s="1"/>
      <c r="FO568" s="1"/>
      <c r="FP568" s="1"/>
      <c r="FQ568" s="1"/>
      <c r="FR568" s="1"/>
      <c r="FS568" s="1"/>
      <c r="FT568" s="1"/>
      <c r="FU568" s="1"/>
      <c r="FV568" s="1"/>
      <c r="FW568" s="1"/>
      <c r="FX568" s="1"/>
      <c r="FY568" s="1"/>
      <c r="FZ568" s="1"/>
      <c r="GA568" s="1"/>
      <c r="GB568" s="1"/>
      <c r="GC568" s="1"/>
      <c r="GD568" s="1"/>
      <c r="GE568" s="1"/>
      <c r="GF568" s="1"/>
      <c r="GG568" s="1"/>
      <c r="GH568" s="1"/>
      <c r="GI568" s="1"/>
      <c r="GJ568" s="1"/>
      <c r="GK568" s="1"/>
      <c r="GL568" s="1"/>
      <c r="GM568" s="1"/>
      <c r="GN568" s="1"/>
      <c r="GO568" s="1"/>
      <c r="GP568" s="1"/>
      <c r="GQ568" s="1"/>
      <c r="GR568" s="1"/>
      <c r="GS568" s="1"/>
      <c r="GT568" s="1"/>
      <c r="GU568" s="1"/>
      <c r="GV568" s="1"/>
      <c r="GW568" s="1"/>
      <c r="GX568" s="1"/>
      <c r="GY568" s="1"/>
      <c r="GZ568" s="1"/>
      <c r="HA568" s="1"/>
      <c r="HB568" s="1"/>
      <c r="HC568" s="1"/>
      <c r="HD568" s="1"/>
      <c r="HE568" s="1"/>
      <c r="HF568" s="1"/>
      <c r="HG568" s="1"/>
      <c r="HH568" s="1"/>
      <c r="HI568" s="1"/>
      <c r="HJ568" s="1"/>
      <c r="HK568" s="1"/>
      <c r="HL568" s="1"/>
      <c r="HM568" s="1"/>
      <c r="HN568" s="1"/>
      <c r="HO568" s="1"/>
      <c r="HP568" s="1"/>
      <c r="HQ568" s="1"/>
      <c r="HR568" s="1"/>
      <c r="HS568" s="1"/>
      <c r="HT568" s="1"/>
      <c r="HU568" s="1"/>
      <c r="HV568" s="1"/>
      <c r="HW568" s="1"/>
      <c r="HX568" s="1"/>
      <c r="HY568" s="1"/>
      <c r="HZ568" s="1"/>
      <c r="IA568" s="1"/>
      <c r="IB568" s="1"/>
      <c r="IC568" s="1"/>
      <c r="ID568" s="1"/>
      <c r="IE568" s="1"/>
      <c r="IF568" s="1"/>
      <c r="IG568" s="1"/>
      <c r="IH568" s="1"/>
      <c r="II568" s="1"/>
      <c r="IJ568" s="1"/>
      <c r="IK568" s="1"/>
      <c r="IL568" s="1"/>
      <c r="IM568" s="1"/>
      <c r="IN568" s="1"/>
      <c r="IO568" s="1"/>
      <c r="IP568" s="1"/>
      <c r="IQ568" s="1"/>
      <c r="IR568" s="1"/>
      <c r="IS568" s="1"/>
      <c r="IT568" s="1"/>
      <c r="IU568" s="1"/>
      <c r="IV568" s="1"/>
      <c r="IW568" s="1"/>
      <c r="IX568" s="1"/>
      <c r="IY568" s="1"/>
      <c r="IZ568" s="1"/>
      <c r="JA568" s="1"/>
      <c r="JB568" s="1"/>
      <c r="JC568" s="1"/>
      <c r="JD568" s="1"/>
    </row>
    <row r="569" spans="1:264" s="429" customFormat="1" x14ac:dyDescent="0.2">
      <c r="A569" s="429" t="s">
        <v>463</v>
      </c>
      <c r="B569" s="408"/>
      <c r="BH569" s="408"/>
      <c r="BI569" s="408"/>
      <c r="BJ569" s="408"/>
      <c r="BK569" s="408"/>
      <c r="BL569" s="502">
        <f>+BL567-BH567</f>
        <v>4.3636174559078672E-4</v>
      </c>
      <c r="BM569" s="408"/>
      <c r="BN569" s="408"/>
      <c r="BO569" s="408"/>
      <c r="BP569" s="502">
        <f>+BP567-BL567</f>
        <v>-1.9679737843903908E-4</v>
      </c>
      <c r="BQ569" s="502">
        <f>+BQ567-BM567</f>
        <v>-7.0745693193520823E-4</v>
      </c>
      <c r="BR569" s="502">
        <f>+BR567-BN567</f>
        <v>-4.5686201482517466E-4</v>
      </c>
      <c r="BT569" s="502">
        <f>+BT567-BP567</f>
        <v>2.6408496367771525E-4</v>
      </c>
      <c r="BU569" s="502">
        <f>+BU567-BQ567</f>
        <v>6.9290755599945089E-4</v>
      </c>
      <c r="BV569" s="502">
        <f>+BV567-BR567</f>
        <v>4.8153243977112556E-4</v>
      </c>
      <c r="BX569" s="502">
        <f>+BX567-BT567</f>
        <v>-4.7248204667451471E-4</v>
      </c>
      <c r="BY569" s="502">
        <f>+BY567-BU567</f>
        <v>-3.3728476426047455E-4</v>
      </c>
      <c r="BZ569" s="502">
        <f>+BZ567-BV567</f>
        <v>-4.0298595796385908E-4</v>
      </c>
      <c r="CB569" s="502">
        <f>+CB567-BX567</f>
        <v>5.7256645880762042E-4</v>
      </c>
      <c r="CC569" s="502">
        <f>+CC567-BY567</f>
        <v>3.3686976094647603E-4</v>
      </c>
      <c r="CD569" s="502">
        <f>+CD567-BZ567</f>
        <v>4.5501471140117072E-4</v>
      </c>
      <c r="CF569" s="502">
        <f>+CF567-CB567</f>
        <v>-4.6165778795834514E-4</v>
      </c>
      <c r="CG569" s="502">
        <f>+CG567-CC567</f>
        <v>-4.5369771491035257E-4</v>
      </c>
      <c r="CH569" s="502">
        <f>+CH567-CD567</f>
        <v>-5.5807373152240783E-4</v>
      </c>
      <c r="CJ569" s="502">
        <f>+CJ567-CF567</f>
        <v>-1.3167138554301405E-5</v>
      </c>
      <c r="CK569" s="502">
        <f>+CK567-CG567</f>
        <v>-5.2950266532399495E-4</v>
      </c>
      <c r="CL569" s="502">
        <f>+CL567-CH567</f>
        <v>-1.7556190970876781E-4</v>
      </c>
      <c r="CN569" s="502">
        <f>+CN567-CJ567</f>
        <v>-4.563204485732858E-4</v>
      </c>
      <c r="CO569" s="502">
        <f>+CO567-CK567</f>
        <v>4.8974526786462955E-4</v>
      </c>
      <c r="CP569" s="502">
        <f>+CP567-CL567</f>
        <v>2.0797426916040196E-5</v>
      </c>
      <c r="CR569" s="502">
        <f>+CR567-CN567</f>
        <v>-1.451588780142142E-3</v>
      </c>
      <c r="CS569" s="502">
        <f>+CS567-CO567</f>
        <v>-2.1352364716296368E-3</v>
      </c>
      <c r="CT569" s="502">
        <f>+CT567-CP567</f>
        <v>-1.7955627187669874E-3</v>
      </c>
      <c r="CV569" s="502">
        <f>+CV567-CR567</f>
        <v>1.8029172053622144E-3</v>
      </c>
      <c r="CW569" s="502">
        <f>+CW567-CS567</f>
        <v>1.7635815620095467E-3</v>
      </c>
      <c r="CX569" s="502">
        <f>+CX567-CT567</f>
        <v>1.7850184588181148E-3</v>
      </c>
      <c r="CZ569" s="502">
        <f>+CZ567-CV567</f>
        <v>-1.0989865099363116E-3</v>
      </c>
      <c r="DA569" s="502">
        <f>+DA567-CW567</f>
        <v>-5.0751006046326208E-4</v>
      </c>
      <c r="DB569" s="502">
        <f>+DB567-CX567</f>
        <v>-8.0290693127695739E-4</v>
      </c>
      <c r="DD569" s="502">
        <f>+DD567-CZ567</f>
        <v>9.5567346088189231E-4</v>
      </c>
      <c r="DE569" s="502">
        <f>+DE567-DA567</f>
        <v>8.004305129435188E-4</v>
      </c>
      <c r="DF569" s="502">
        <f>+DF567-DB567</f>
        <v>8.7803472879975988E-4</v>
      </c>
      <c r="DH569" s="502">
        <f>+DH567-DD567</f>
        <v>-4.0651591975482404E-4</v>
      </c>
      <c r="DI569" s="502">
        <f>+DI567-DE567</f>
        <v>-2.6878374735568242E-4</v>
      </c>
      <c r="DJ569" s="502">
        <f>+DJ567-DF567</f>
        <v>-3.398821588723247E-4</v>
      </c>
      <c r="DL569" s="502">
        <f>+DL567-DH567</f>
        <v>9.9999999999999395E-5</v>
      </c>
      <c r="DM569" s="502">
        <f>+DM567-DI567</f>
        <v>-9.9999999999999395E-5</v>
      </c>
      <c r="DN569" s="502">
        <f>+DN567-DJ567</f>
        <v>-4.6602788764463221E-7</v>
      </c>
      <c r="DP569" s="502">
        <f>+DP567-DL567</f>
        <v>-1.9999999999999879E-4</v>
      </c>
      <c r="DQ569" s="502">
        <f>+DQ567-DM567</f>
        <v>-1.9999999999999879E-4</v>
      </c>
      <c r="DR569" s="502">
        <f>+DR567-DN567</f>
        <v>-1.9881381762518885E-4</v>
      </c>
      <c r="DT569" s="1"/>
      <c r="DU569" s="1"/>
      <c r="DV569" s="1"/>
      <c r="DW569" s="1"/>
      <c r="DX569" s="1"/>
      <c r="DY569" s="1"/>
      <c r="DZ569" s="1"/>
      <c r="EA569" s="1"/>
      <c r="EB569" s="1"/>
      <c r="EC569" s="1"/>
      <c r="ED569" s="1"/>
      <c r="EE569" s="1"/>
      <c r="EF569" s="1"/>
      <c r="EG569" s="1"/>
      <c r="EH569" s="1"/>
      <c r="EI569" s="1"/>
      <c r="EJ569" s="1"/>
      <c r="EK569" s="1"/>
      <c r="EL569" s="1"/>
      <c r="EM569" s="1"/>
      <c r="EN569" s="1"/>
      <c r="EO569" s="1"/>
      <c r="EP569" s="1"/>
      <c r="EQ569" s="1"/>
      <c r="ER569" s="1"/>
      <c r="ES569" s="1"/>
      <c r="ET569" s="1"/>
      <c r="EU569" s="1"/>
      <c r="EV569" s="1"/>
      <c r="EW569" s="1"/>
      <c r="EX569" s="1"/>
      <c r="EY569" s="1"/>
      <c r="EZ569" s="1"/>
      <c r="FA569" s="1"/>
      <c r="FB569" s="1"/>
      <c r="FC569" s="1"/>
      <c r="FD569" s="1"/>
      <c r="FE569" s="1"/>
      <c r="FF569" s="1"/>
      <c r="FG569" s="1"/>
      <c r="FH569" s="1"/>
      <c r="FI569" s="1"/>
      <c r="FJ569" s="1"/>
      <c r="FK569" s="1"/>
      <c r="FL569" s="1"/>
      <c r="FM569" s="1"/>
      <c r="FN569" s="1"/>
      <c r="FO569" s="1"/>
      <c r="FP569" s="1"/>
      <c r="FQ569" s="1"/>
      <c r="FR569" s="1"/>
      <c r="FS569" s="1"/>
      <c r="FT569" s="1"/>
      <c r="FU569" s="1"/>
      <c r="FV569" s="1"/>
      <c r="FW569" s="1"/>
      <c r="FX569" s="1"/>
      <c r="FY569" s="1"/>
      <c r="FZ569" s="1"/>
      <c r="GA569" s="1"/>
      <c r="GB569" s="1"/>
      <c r="GC569" s="1"/>
      <c r="GD569" s="1"/>
      <c r="GE569" s="1"/>
      <c r="GF569" s="1"/>
      <c r="GG569" s="1"/>
      <c r="GH569" s="1"/>
      <c r="GI569" s="1"/>
      <c r="GJ569" s="1"/>
      <c r="GK569" s="1"/>
      <c r="GL569" s="1"/>
      <c r="GM569" s="1"/>
      <c r="GN569" s="1"/>
      <c r="GO569" s="1"/>
      <c r="GP569" s="1"/>
      <c r="GQ569" s="1"/>
      <c r="GR569" s="1"/>
      <c r="GS569" s="1"/>
      <c r="GT569" s="1"/>
      <c r="GU569" s="1"/>
      <c r="GV569" s="1"/>
      <c r="GW569" s="1"/>
      <c r="GX569" s="1"/>
      <c r="GY569" s="1"/>
      <c r="GZ569" s="1"/>
      <c r="HA569" s="1"/>
      <c r="HB569" s="1"/>
      <c r="HC569" s="1"/>
      <c r="HD569" s="1"/>
      <c r="HE569" s="1"/>
      <c r="HF569" s="1"/>
      <c r="HG569" s="1"/>
      <c r="HH569" s="1"/>
      <c r="HI569" s="1"/>
      <c r="HJ569" s="1"/>
      <c r="HK569" s="1"/>
      <c r="HL569" s="1"/>
      <c r="HM569" s="1"/>
      <c r="HN569" s="1"/>
      <c r="HO569" s="1"/>
      <c r="HP569" s="1"/>
      <c r="HQ569" s="1"/>
      <c r="HR569" s="1"/>
      <c r="HS569" s="1"/>
      <c r="HT569" s="1"/>
      <c r="HU569" s="1"/>
      <c r="HV569" s="1"/>
      <c r="HW569" s="1"/>
      <c r="HX569" s="1"/>
      <c r="HY569" s="1"/>
      <c r="HZ569" s="1"/>
      <c r="IA569" s="1"/>
      <c r="IB569" s="1"/>
      <c r="IC569" s="1"/>
      <c r="ID569" s="1"/>
      <c r="IE569" s="1"/>
      <c r="IF569" s="1"/>
      <c r="IG569" s="1"/>
      <c r="IH569" s="1"/>
      <c r="II569" s="1"/>
      <c r="IJ569" s="1"/>
      <c r="IK569" s="1"/>
      <c r="IL569" s="1"/>
      <c r="IM569" s="1"/>
      <c r="IN569" s="1"/>
      <c r="IO569" s="1"/>
      <c r="IP569" s="1"/>
      <c r="IQ569" s="1"/>
      <c r="IR569" s="1"/>
      <c r="IS569" s="1"/>
      <c r="IT569" s="1"/>
      <c r="IU569" s="1"/>
      <c r="IV569" s="1"/>
      <c r="IW569" s="1"/>
      <c r="IX569" s="1"/>
      <c r="IY569" s="1"/>
      <c r="IZ569" s="1"/>
      <c r="JA569" s="1"/>
      <c r="JB569" s="1"/>
      <c r="JC569" s="1"/>
      <c r="JD569" s="1"/>
    </row>
    <row r="570" spans="1:264" s="424" customFormat="1" x14ac:dyDescent="0.2">
      <c r="A570" s="578" t="s">
        <v>464</v>
      </c>
      <c r="B570" s="536"/>
      <c r="BH570" s="579"/>
      <c r="BI570" s="579"/>
      <c r="BJ570" s="579"/>
      <c r="BK570" s="579"/>
      <c r="BL570" s="491">
        <f>((BL565-BL564)*(BL$4/BL$3))/BL566</f>
        <v>2.1397626501990435E-2</v>
      </c>
      <c r="BM570" s="491">
        <f>((BM565-BM564)*(BM$4/BM$3))/BM566</f>
        <v>2.1391290276802102E-2</v>
      </c>
      <c r="BN570" s="491">
        <f>((BN565-BN564)*(BN$4/BN$3))/BN566</f>
        <v>2.1394415137565907E-2</v>
      </c>
      <c r="BO570" s="536"/>
      <c r="BP570" s="491">
        <f>((BP565-BP564)*(BP$4/BP$3))/BP566</f>
        <v>2.1200829123551396E-2</v>
      </c>
      <c r="BQ570" s="491">
        <f>((BQ565-BQ564)*(BQ$4/BQ$3))/BQ566</f>
        <v>2.0683833344866894E-2</v>
      </c>
      <c r="BR570" s="491">
        <f>((BR565-BR564)*(BR$4/BR$3))/BR566</f>
        <v>2.0937553122740732E-2</v>
      </c>
      <c r="BS570" s="536"/>
      <c r="BT570" s="491">
        <f>((BT565-BT564)*(BT$4/BT$3))/BT566</f>
        <v>2.1464914087229111E-2</v>
      </c>
      <c r="BU570" s="491">
        <f>((BU565-BU564)*(BU$4/BU$3))/BU566</f>
        <v>2.1376740900866345E-2</v>
      </c>
      <c r="BV570" s="491">
        <f>((BV565-BV564)*(BV$4/BV$3))/BV566</f>
        <v>2.1419085562511857E-2</v>
      </c>
      <c r="BX570" s="491">
        <f>((BX565-BX564)*(BX$4/BX$3))/BX566</f>
        <v>2.0992432040554596E-2</v>
      </c>
      <c r="BY570" s="491">
        <f>((BY565-BY564)*(BY$4/BY$3))/BY566</f>
        <v>2.103945613660587E-2</v>
      </c>
      <c r="BZ570" s="491">
        <f>((BZ565-BZ564)*(BZ$4/BZ$3))/BZ566</f>
        <v>2.1016099604547998E-2</v>
      </c>
      <c r="CA570" s="578"/>
      <c r="CB570" s="491">
        <f>((CB565-CB564)*(CB$4/CB$3))/CB566</f>
        <v>2.1984437340000371E-2</v>
      </c>
      <c r="CC570" s="491">
        <f>((CC565-CC564)*(CC$4/CC$3))/CC566</f>
        <v>2.1821007169356792E-2</v>
      </c>
      <c r="CD570" s="491">
        <f>((CD565-CD564)*(CD$4/CD$3))/CD566</f>
        <v>2.1903111106804398E-2</v>
      </c>
      <c r="CE570" s="578"/>
      <c r="CF570" s="491">
        <f>((CF565-CF564)*(CF$4/CF$3))/CF566</f>
        <v>2.1530450766703155E-2</v>
      </c>
      <c r="CG570" s="491">
        <f>((CG565-CG564)*(CG$4/CG$3))/CG566</f>
        <v>2.1348710180134279E-2</v>
      </c>
      <c r="CH570" s="491">
        <f>((CH565-CH564)*(CH$4/CH$3))/CH566</f>
        <v>2.1337602286368898E-2</v>
      </c>
      <c r="CJ570" s="491">
        <f>((CJ565-CJ564)*(CJ$4/CJ$3))/CJ566</f>
        <v>2.1506491505150979E-2</v>
      </c>
      <c r="CK570" s="491">
        <f>((CK565-CK564)*(CK$4/CK$3))/CK566</f>
        <v>2.0777237926929242E-2</v>
      </c>
      <c r="CL570" s="491">
        <f>((CL565-CL564)*(CL$4/CL$3))/CL566</f>
        <v>2.1137501133282634E-2</v>
      </c>
      <c r="CN570" s="491">
        <f>((CN565-CN564)*(CN$4/CN$3))/CN566</f>
        <v>2.102380013464767E-2</v>
      </c>
      <c r="CO570" s="491">
        <f>((CO565-CO564)*(CO$4/CO$3))/CO566</f>
        <v>2.122157357581924E-2</v>
      </c>
      <c r="CP570" s="491">
        <f>((CP565-CP564)*(CP$4/CP$3))/CP566</f>
        <v>2.1122619338795209E-2</v>
      </c>
      <c r="CR570" s="491">
        <f>((CR565-CR564)*(CR$4/CR$3))/CR566</f>
        <v>1.9506540879096989E-2</v>
      </c>
      <c r="CS570" s="491">
        <f>((CS565-CS564)*(CS$4/CS$3))/CS566</f>
        <v>1.9090845556863616E-2</v>
      </c>
      <c r="CT570" s="491">
        <f>((CT565-CT564)*(CT$4/CT$3))/CT566</f>
        <v>1.9296554532708378E-2</v>
      </c>
      <c r="CV570" s="491">
        <f>((CV565-CV564)*(CV$4/CV$3))/CV566</f>
        <v>2.1349640001334356E-2</v>
      </c>
      <c r="CW570" s="491">
        <f>((CW565-CW564)*(CW$4/CW$3))/CW566</f>
        <v>2.0854450630837254E-2</v>
      </c>
      <c r="CX570" s="491">
        <f>((CX565-CX564)*(CX$4/CX$3))/CX566</f>
        <v>2.1101557560517278E-2</v>
      </c>
      <c r="CZ570" s="491">
        <f>((CZ565-CZ564)*(CZ$4/CZ$3))/CZ566</f>
        <v>2.0251443015132792E-2</v>
      </c>
      <c r="DA570" s="491">
        <f>((DA565-DA564)*(DA$4/DA$3))/DA566</f>
        <v>2.0386071220103535E-2</v>
      </c>
      <c r="DB570" s="491">
        <f>((DB565-DB564)*(DB$4/DB$3))/DB566</f>
        <v>2.031861250711671E-2</v>
      </c>
      <c r="DD570" s="491">
        <f>((DD565-DD564)*(DD$4/DD$3))/DD566</f>
        <v>2.1228812797154824E-2</v>
      </c>
      <c r="DE570" s="491">
        <f>((DE565-DE564)*(DE$4/DE$3))/DE566</f>
        <v>2.1210306336337695E-2</v>
      </c>
      <c r="DF570" s="491">
        <f>((DF565-DF564)*(DF$4/DF$3))/DF566</f>
        <v>2.1219487448987551E-2</v>
      </c>
      <c r="DH570" s="491">
        <f>((DH565-DH564)*(DH$4/DH$3))/DH566</f>
        <v>2.0849318859577602E-2</v>
      </c>
      <c r="DI570" s="491">
        <f ca="1">((DI565-DI564)*(DI$4/DI$3))/DI566</f>
        <v>2.0952949184649711E-2</v>
      </c>
      <c r="DJ570" s="491">
        <f ca="1">((DJ565-DJ564)*(DJ$4/DJ$3))/DJ566</f>
        <v>2.0898717417235878E-2</v>
      </c>
      <c r="DL570" s="491">
        <f ca="1">((DL565-DL564)*(DL$4/DL$3))/DL566</f>
        <v>2.0953604170461659E-2</v>
      </c>
      <c r="DM570" s="491">
        <f ca="1">((DM565-DM564)*(DM$4/DM$3))/DM566</f>
        <v>2.085594913800181E-2</v>
      </c>
      <c r="DN570" s="491">
        <f ca="1">((DN565-DN564)*(DN$4/DN$3))/DN566</f>
        <v>2.0901892011428166E-2</v>
      </c>
      <c r="DP570" s="491">
        <f ca="1">((DP565-DP564)*(DP$4/DP$3))/DP566</f>
        <v>2.0754657450395626E-2</v>
      </c>
      <c r="DQ570" s="491">
        <f ca="1">((DQ565-DQ564)*(DQ$4/DQ$3))/DQ566</f>
        <v>2.0655397457156718E-2</v>
      </c>
      <c r="DR570" s="491">
        <f ca="1">((DR565-DR564)*(DR$4/DR$3))/DR566</f>
        <v>2.0703347430531639E-2</v>
      </c>
      <c r="DT570" s="451"/>
      <c r="DU570" s="451"/>
      <c r="DV570" s="451"/>
      <c r="DW570" s="451"/>
      <c r="DX570" s="451"/>
      <c r="DY570" s="451"/>
      <c r="DZ570" s="451"/>
      <c r="EA570" s="451"/>
      <c r="EB570" s="451"/>
      <c r="EC570" s="451"/>
      <c r="ED570" s="451"/>
      <c r="EE570" s="451"/>
      <c r="EF570" s="451"/>
      <c r="EG570" s="451"/>
      <c r="EH570" s="451"/>
      <c r="EI570" s="451"/>
      <c r="EJ570" s="451"/>
      <c r="EK570" s="451"/>
      <c r="EL570" s="451"/>
      <c r="EM570" s="451"/>
      <c r="EN570" s="451"/>
      <c r="EO570" s="451"/>
      <c r="EP570" s="451"/>
      <c r="EQ570" s="451"/>
      <c r="ER570" s="451"/>
      <c r="ES570" s="451"/>
      <c r="ET570" s="451"/>
      <c r="EU570" s="451"/>
      <c r="EV570" s="451"/>
      <c r="EW570" s="451"/>
      <c r="EX570" s="451"/>
      <c r="EY570" s="451"/>
      <c r="EZ570" s="451"/>
      <c r="FA570" s="451"/>
      <c r="FB570" s="451"/>
      <c r="FC570" s="451"/>
      <c r="FD570" s="451"/>
      <c r="FE570" s="451"/>
      <c r="FF570" s="451"/>
      <c r="FG570" s="451"/>
      <c r="FH570" s="451"/>
      <c r="FI570" s="451"/>
      <c r="FJ570" s="451"/>
      <c r="FK570" s="451"/>
      <c r="FL570" s="451"/>
      <c r="FM570" s="451"/>
      <c r="FN570" s="451"/>
      <c r="FO570" s="451"/>
      <c r="FP570" s="451"/>
      <c r="FQ570" s="451"/>
      <c r="FR570" s="451"/>
      <c r="FS570" s="451"/>
      <c r="FT570" s="451"/>
      <c r="FU570" s="451"/>
      <c r="FV570" s="451"/>
      <c r="FW570" s="451"/>
      <c r="FX570" s="451"/>
      <c r="FY570" s="451"/>
      <c r="FZ570" s="451"/>
      <c r="GA570" s="451"/>
      <c r="GB570" s="451"/>
      <c r="GC570" s="451"/>
      <c r="GD570" s="451"/>
      <c r="GE570" s="451"/>
      <c r="GF570" s="451"/>
      <c r="GG570" s="451"/>
      <c r="GH570" s="451"/>
      <c r="GI570" s="451"/>
      <c r="GJ570" s="451"/>
      <c r="GK570" s="451"/>
      <c r="GL570" s="451"/>
      <c r="GM570" s="451"/>
      <c r="GN570" s="451"/>
      <c r="GO570" s="451"/>
      <c r="GP570" s="451"/>
      <c r="GQ570" s="451"/>
      <c r="GR570" s="451"/>
      <c r="GS570" s="451"/>
      <c r="GT570" s="451"/>
      <c r="GU570" s="451"/>
      <c r="GV570" s="451"/>
      <c r="GW570" s="451"/>
      <c r="GX570" s="451"/>
      <c r="GY570" s="451"/>
      <c r="GZ570" s="451"/>
      <c r="HA570" s="451"/>
      <c r="HB570" s="451"/>
      <c r="HC570" s="451"/>
      <c r="HD570" s="451"/>
      <c r="HE570" s="451"/>
      <c r="HF570" s="451"/>
      <c r="HG570" s="451"/>
      <c r="HH570" s="451"/>
      <c r="HI570" s="451"/>
      <c r="HJ570" s="451"/>
      <c r="HK570" s="451"/>
      <c r="HL570" s="451"/>
      <c r="HM570" s="451"/>
      <c r="HN570" s="451"/>
      <c r="HO570" s="451"/>
      <c r="HP570" s="451"/>
      <c r="HQ570" s="451"/>
      <c r="HR570" s="451"/>
      <c r="HS570" s="451"/>
      <c r="HT570" s="451"/>
      <c r="HU570" s="451"/>
      <c r="HV570" s="451"/>
      <c r="HW570" s="451"/>
      <c r="HX570" s="451"/>
      <c r="HY570" s="451"/>
      <c r="HZ570" s="451"/>
      <c r="IA570" s="451"/>
      <c r="IB570" s="451"/>
      <c r="IC570" s="451"/>
      <c r="ID570" s="451"/>
      <c r="IE570" s="451"/>
      <c r="IF570" s="451"/>
      <c r="IG570" s="451"/>
      <c r="IH570" s="451"/>
      <c r="II570" s="451"/>
      <c r="IJ570" s="451"/>
      <c r="IK570" s="451"/>
      <c r="IL570" s="451"/>
      <c r="IM570" s="451"/>
      <c r="IN570" s="451"/>
      <c r="IO570" s="451"/>
      <c r="IP570" s="451"/>
      <c r="IQ570" s="451"/>
      <c r="IR570" s="451"/>
      <c r="IS570" s="451"/>
      <c r="IT570" s="451"/>
      <c r="IU570" s="451"/>
      <c r="IV570" s="451"/>
      <c r="IW570" s="451"/>
      <c r="IX570" s="451"/>
      <c r="IY570" s="451"/>
      <c r="IZ570" s="451"/>
      <c r="JA570" s="451"/>
      <c r="JB570" s="451"/>
      <c r="JC570" s="451"/>
      <c r="JD570" s="451"/>
    </row>
    <row r="571" spans="1:264" s="429" customFormat="1" x14ac:dyDescent="0.2">
      <c r="A571" s="578" t="s">
        <v>465</v>
      </c>
      <c r="B571" s="408"/>
      <c r="BH571" s="580"/>
      <c r="BI571" s="581"/>
      <c r="BJ571" s="579"/>
      <c r="BK571" s="579"/>
      <c r="BL571" s="581"/>
      <c r="BM571" s="581">
        <f>+BM570-BL570</f>
        <v>-6.3362251883324061E-6</v>
      </c>
      <c r="BN571" s="579"/>
      <c r="BO571" s="579"/>
      <c r="BP571" s="581">
        <f>+BP570-BM570</f>
        <v>-1.9046115325070667E-4</v>
      </c>
      <c r="BQ571" s="581">
        <f>+BQ570-BP570</f>
        <v>-5.1699577868450156E-4</v>
      </c>
      <c r="BR571" s="579"/>
      <c r="BS571" s="579"/>
      <c r="BT571" s="581">
        <f>+BT570-BQ570</f>
        <v>7.8108074236221681E-4</v>
      </c>
      <c r="BU571" s="581">
        <f>+BU570-BT570</f>
        <v>-8.8173186362765915E-5</v>
      </c>
      <c r="BV571" s="579"/>
      <c r="BW571" s="579"/>
      <c r="BX571" s="581">
        <f>+BX570-BU570</f>
        <v>-3.843088603117488E-4</v>
      </c>
      <c r="BY571" s="581">
        <f>+BY570-BX570</f>
        <v>4.702409605127425E-5</v>
      </c>
      <c r="BZ571" s="579"/>
      <c r="CA571" s="578"/>
      <c r="CB571" s="581">
        <f>+CB570-BY570</f>
        <v>9.4498120339450015E-4</v>
      </c>
      <c r="CC571" s="581">
        <f>+CC570-CB570</f>
        <v>-1.6343017064357826E-4</v>
      </c>
      <c r="CD571" s="579"/>
      <c r="CE571" s="578"/>
      <c r="CF571" s="581">
        <f>+CF570-CC570</f>
        <v>-2.9055640265363697E-4</v>
      </c>
      <c r="CG571" s="581">
        <f>+CG570-CF570</f>
        <v>-1.8174058656887648E-4</v>
      </c>
      <c r="CH571" s="579"/>
      <c r="CI571" s="579"/>
      <c r="CJ571" s="581">
        <f>+CJ570-CG570</f>
        <v>1.5778132501670025E-4</v>
      </c>
      <c r="CK571" s="581">
        <f>+CK570-CJ570</f>
        <v>-7.29253578221737E-4</v>
      </c>
      <c r="CL571" s="579"/>
      <c r="CM571" s="579"/>
      <c r="CN571" s="581">
        <f>+CN570-CK570</f>
        <v>2.4656220771842804E-4</v>
      </c>
      <c r="CO571" s="581">
        <f>+CO570-CN570</f>
        <v>1.9777344117156981E-4</v>
      </c>
      <c r="CP571" s="579"/>
      <c r="CQ571" s="579"/>
      <c r="CR571" s="581">
        <f>+CR570-CO570</f>
        <v>-1.7150326967222511E-3</v>
      </c>
      <c r="CS571" s="581">
        <f>+CS570-CR570</f>
        <v>-4.1569532223337258E-4</v>
      </c>
      <c r="CT571" s="579"/>
      <c r="CU571" s="579"/>
      <c r="CV571" s="581">
        <f>+CV570-CS570</f>
        <v>2.2587944444707395E-3</v>
      </c>
      <c r="CW571" s="581">
        <f>+CW570-CV570</f>
        <v>-4.9518937049710179E-4</v>
      </c>
      <c r="CX571" s="579"/>
      <c r="CY571" s="579"/>
      <c r="CZ571" s="581">
        <f>+CZ570-CW570</f>
        <v>-6.0300761570446226E-4</v>
      </c>
      <c r="DA571" s="581">
        <f>+DA570-CZ570</f>
        <v>1.3462820497074299E-4</v>
      </c>
      <c r="DB571" s="579"/>
      <c r="DC571" s="579"/>
      <c r="DD571" s="581">
        <f>+DD570-DA570</f>
        <v>8.4274157705128971E-4</v>
      </c>
      <c r="DE571" s="581">
        <f>+DE570-DD570</f>
        <v>-1.8506460817128978E-5</v>
      </c>
      <c r="DF571" s="579"/>
      <c r="DG571" s="579"/>
      <c r="DH571" s="581">
        <f>+DH570-DE570</f>
        <v>-3.6098747676009332E-4</v>
      </c>
      <c r="DI571" s="581">
        <f ca="1">+DI570-DH570</f>
        <v>1.0363032507210851E-4</v>
      </c>
      <c r="DJ571" s="579"/>
      <c r="DK571" s="579"/>
      <c r="DL571" s="581">
        <f ca="1">+DL570-DI570</f>
        <v>6.5498581194867178E-7</v>
      </c>
      <c r="DM571" s="581">
        <f ca="1">+DM570-DL570</f>
        <v>-9.7655032459849356E-5</v>
      </c>
      <c r="DN571" s="579"/>
      <c r="DO571" s="579"/>
      <c r="DP571" s="581">
        <f ca="1">+DP570-DM570</f>
        <v>-1.0129168760618368E-4</v>
      </c>
      <c r="DQ571" s="581">
        <f ca="1">+DQ570-DP570</f>
        <v>-9.9259993238908634E-5</v>
      </c>
      <c r="DR571" s="579"/>
      <c r="DS571" s="579"/>
      <c r="DT571" s="1"/>
      <c r="DU571" s="1"/>
      <c r="DV571" s="1"/>
      <c r="DW571" s="1"/>
      <c r="DX571" s="1"/>
      <c r="DY571" s="1"/>
      <c r="DZ571" s="1"/>
      <c r="EA571" s="1"/>
      <c r="EB571" s="1"/>
      <c r="EC571" s="1"/>
      <c r="ED571" s="1"/>
      <c r="EE571" s="1"/>
      <c r="EF571" s="1"/>
      <c r="EG571" s="1"/>
      <c r="EH571" s="1"/>
      <c r="EI571" s="1"/>
      <c r="EJ571" s="1"/>
      <c r="EK571" s="1"/>
      <c r="EL571" s="1"/>
      <c r="EM571" s="1"/>
      <c r="EN571" s="1"/>
      <c r="EO571" s="1"/>
      <c r="EP571" s="1"/>
      <c r="EQ571" s="1"/>
      <c r="ER571" s="1"/>
      <c r="ES571" s="1"/>
      <c r="ET571" s="1"/>
      <c r="EU571" s="1"/>
      <c r="EV571" s="1"/>
      <c r="EW571" s="1"/>
      <c r="EX571" s="1"/>
      <c r="EY571" s="1"/>
      <c r="EZ571" s="1"/>
      <c r="FA571" s="1"/>
      <c r="FB571" s="1"/>
      <c r="FC571" s="1"/>
      <c r="FD571" s="1"/>
      <c r="FE571" s="1"/>
      <c r="FF571" s="1"/>
      <c r="FG571" s="1"/>
      <c r="FH571" s="1"/>
      <c r="FI571" s="1"/>
      <c r="FJ571" s="1"/>
      <c r="FK571" s="1"/>
      <c r="FL571" s="1"/>
      <c r="FM571" s="1"/>
      <c r="FN571" s="1"/>
      <c r="FO571" s="1"/>
      <c r="FP571" s="1"/>
      <c r="FQ571" s="1"/>
      <c r="FR571" s="1"/>
      <c r="FS571" s="1"/>
      <c r="FT571" s="1"/>
      <c r="FU571" s="1"/>
      <c r="FV571" s="1"/>
      <c r="FW571" s="1"/>
      <c r="FX571" s="1"/>
      <c r="FY571" s="1"/>
      <c r="FZ571" s="1"/>
      <c r="GA571" s="1"/>
      <c r="GB571" s="1"/>
      <c r="GC571" s="1"/>
      <c r="GD571" s="1"/>
      <c r="GE571" s="1"/>
      <c r="GF571" s="1"/>
      <c r="GG571" s="1"/>
      <c r="GH571" s="1"/>
      <c r="GI571" s="1"/>
      <c r="GJ571" s="1"/>
      <c r="GK571" s="1"/>
      <c r="GL571" s="1"/>
      <c r="GM571" s="1"/>
      <c r="GN571" s="1"/>
      <c r="GO571" s="1"/>
      <c r="GP571" s="1"/>
      <c r="GQ571" s="1"/>
      <c r="GR571" s="1"/>
      <c r="GS571" s="1"/>
      <c r="GT571" s="1"/>
      <c r="GU571" s="1"/>
      <c r="GV571" s="1"/>
      <c r="GW571" s="1"/>
      <c r="GX571" s="1"/>
      <c r="GY571" s="1"/>
      <c r="GZ571" s="1"/>
      <c r="HA571" s="1"/>
      <c r="HB571" s="1"/>
      <c r="HC571" s="1"/>
      <c r="HD571" s="1"/>
      <c r="HE571" s="1"/>
      <c r="HF571" s="1"/>
      <c r="HG571" s="1"/>
      <c r="HH571" s="1"/>
      <c r="HI571" s="1"/>
      <c r="HJ571" s="1"/>
      <c r="HK571" s="1"/>
      <c r="HL571" s="1"/>
      <c r="HM571" s="1"/>
      <c r="HN571" s="1"/>
      <c r="HO571" s="1"/>
      <c r="HP571" s="1"/>
      <c r="HQ571" s="1"/>
      <c r="HR571" s="1"/>
      <c r="HS571" s="1"/>
      <c r="HT571" s="1"/>
      <c r="HU571" s="1"/>
      <c r="HV571" s="1"/>
      <c r="HW571" s="1"/>
      <c r="HX571" s="1"/>
      <c r="HY571" s="1"/>
      <c r="HZ571" s="1"/>
      <c r="IA571" s="1"/>
      <c r="IB571" s="1"/>
      <c r="IC571" s="1"/>
      <c r="ID571" s="1"/>
      <c r="IE571" s="1"/>
      <c r="IF571" s="1"/>
      <c r="IG571" s="1"/>
      <c r="IH571" s="1"/>
      <c r="II571" s="1"/>
      <c r="IJ571" s="1"/>
      <c r="IK571" s="1"/>
      <c r="IL571" s="1"/>
      <c r="IM571" s="1"/>
      <c r="IN571" s="1"/>
      <c r="IO571" s="1"/>
      <c r="IP571" s="1"/>
      <c r="IQ571" s="1"/>
      <c r="IR571" s="1"/>
      <c r="IS571" s="1"/>
      <c r="IT571" s="1"/>
      <c r="IU571" s="1"/>
      <c r="IV571" s="1"/>
      <c r="IW571" s="1"/>
      <c r="IX571" s="1"/>
      <c r="IY571" s="1"/>
      <c r="IZ571" s="1"/>
      <c r="JA571" s="1"/>
      <c r="JB571" s="1"/>
      <c r="JC571" s="1"/>
      <c r="JD571" s="1"/>
    </row>
    <row r="572" spans="1:264" s="429" customFormat="1" ht="15" x14ac:dyDescent="0.25">
      <c r="B572" s="408"/>
      <c r="BH572" s="408"/>
      <c r="BI572" s="408"/>
      <c r="BJ572" s="408"/>
      <c r="BK572" s="408"/>
      <c r="BL572" s="502"/>
      <c r="BM572" s="408"/>
      <c r="BN572" s="408"/>
      <c r="BO572" s="408"/>
      <c r="BP572" s="502"/>
      <c r="BQ572" s="502"/>
      <c r="BR572" s="502"/>
      <c r="BT572" s="502"/>
      <c r="BU572" s="502"/>
      <c r="BV572" s="502"/>
      <c r="BX572" s="502"/>
      <c r="BY572" s="502"/>
      <c r="BZ572" s="502"/>
      <c r="CB572" s="502"/>
      <c r="CC572" s="502"/>
      <c r="CD572" s="502"/>
      <c r="CF572" s="502"/>
      <c r="CG572" s="502"/>
      <c r="CH572" s="502"/>
      <c r="CK572" s="502"/>
      <c r="CL572" s="502"/>
      <c r="CN572" s="502"/>
      <c r="CO572" s="502"/>
      <c r="CP572" s="502"/>
      <c r="CR572" s="502"/>
      <c r="CS572" s="502"/>
      <c r="CT572" s="502"/>
      <c r="CV572" s="502"/>
      <c r="CW572" s="502"/>
      <c r="CX572" s="502"/>
      <c r="CZ572" s="502"/>
      <c r="DA572" s="502"/>
      <c r="DB572" s="502"/>
      <c r="DD572" s="502"/>
      <c r="DE572" s="502"/>
      <c r="DF572" s="502"/>
      <c r="DH572" s="502"/>
      <c r="DI572"/>
      <c r="DJ572"/>
      <c r="DK572"/>
      <c r="DL572"/>
      <c r="DM572"/>
      <c r="DN572"/>
      <c r="DO572"/>
      <c r="DP572"/>
      <c r="DQ572"/>
      <c r="DR572"/>
      <c r="DT572" s="1"/>
      <c r="DU572" s="1"/>
      <c r="DV572" s="1"/>
      <c r="DW572" s="1"/>
      <c r="DX572" s="1"/>
      <c r="DY572" s="1"/>
      <c r="DZ572" s="1"/>
      <c r="EA572" s="1"/>
      <c r="EB572" s="1"/>
      <c r="EC572" s="1"/>
      <c r="ED572" s="1"/>
      <c r="EE572" s="1"/>
      <c r="EF572" s="1"/>
      <c r="EG572" s="1"/>
      <c r="EH572" s="1"/>
      <c r="EI572" s="1"/>
      <c r="EJ572" s="1"/>
      <c r="EK572" s="1"/>
      <c r="EL572" s="1"/>
      <c r="EM572" s="1"/>
      <c r="EN572" s="1"/>
      <c r="EO572" s="1"/>
      <c r="EP572" s="1"/>
      <c r="EQ572" s="1"/>
      <c r="ER572" s="1"/>
      <c r="ES572" s="1"/>
      <c r="ET572" s="1"/>
      <c r="EU572" s="1"/>
      <c r="EV572" s="1"/>
      <c r="EW572" s="1"/>
      <c r="EX572" s="1"/>
      <c r="EY572" s="1"/>
      <c r="EZ572" s="1"/>
      <c r="FA572" s="1"/>
      <c r="FB572" s="1"/>
      <c r="FC572" s="1"/>
      <c r="FD572" s="1"/>
      <c r="FE572" s="1"/>
      <c r="FF572" s="1"/>
      <c r="FG572" s="1"/>
      <c r="FH572" s="1"/>
      <c r="FI572" s="1"/>
      <c r="FJ572" s="1"/>
      <c r="FK572" s="1"/>
      <c r="FL572" s="1"/>
      <c r="FM572" s="1"/>
      <c r="FN572" s="1"/>
      <c r="FO572" s="1"/>
      <c r="FP572" s="1"/>
      <c r="FQ572" s="1"/>
      <c r="FR572" s="1"/>
      <c r="FS572" s="1"/>
      <c r="FT572" s="1"/>
      <c r="FU572" s="1"/>
      <c r="FV572" s="1"/>
      <c r="FW572" s="1"/>
      <c r="FX572" s="1"/>
      <c r="FY572" s="1"/>
      <c r="FZ572" s="1"/>
      <c r="GA572" s="1"/>
      <c r="GB572" s="1"/>
      <c r="GC572" s="1"/>
      <c r="GD572" s="1"/>
      <c r="GE572" s="1"/>
      <c r="GF572" s="1"/>
      <c r="GG572" s="1"/>
      <c r="GH572" s="1"/>
      <c r="GI572" s="1"/>
      <c r="GJ572" s="1"/>
      <c r="GK572" s="1"/>
      <c r="GL572" s="1"/>
      <c r="GM572" s="1"/>
      <c r="GN572" s="1"/>
      <c r="GO572" s="1"/>
      <c r="GP572" s="1"/>
      <c r="GQ572" s="1"/>
      <c r="GR572" s="1"/>
      <c r="GS572" s="1"/>
      <c r="GT572" s="1"/>
      <c r="GU572" s="1"/>
      <c r="GV572" s="1"/>
      <c r="GW572" s="1"/>
      <c r="GX572" s="1"/>
      <c r="GY572" s="1"/>
      <c r="GZ572" s="1"/>
      <c r="HA572" s="1"/>
      <c r="HB572" s="1"/>
      <c r="HC572" s="1"/>
      <c r="HD572" s="1"/>
      <c r="HE572" s="1"/>
      <c r="HF572" s="1"/>
      <c r="HG572" s="1"/>
      <c r="HH572" s="1"/>
      <c r="HI572" s="1"/>
      <c r="HJ572" s="1"/>
      <c r="HK572" s="1"/>
      <c r="HL572" s="1"/>
      <c r="HM572" s="1"/>
      <c r="HN572" s="1"/>
      <c r="HO572" s="1"/>
      <c r="HP572" s="1"/>
      <c r="HQ572" s="1"/>
      <c r="HR572" s="1"/>
      <c r="HS572" s="1"/>
      <c r="HT572" s="1"/>
      <c r="HU572" s="1"/>
      <c r="HV572" s="1"/>
      <c r="HW572" s="1"/>
      <c r="HX572" s="1"/>
      <c r="HY572" s="1"/>
      <c r="HZ572" s="1"/>
      <c r="IA572" s="1"/>
      <c r="IB572" s="1"/>
      <c r="IC572" s="1"/>
      <c r="ID572" s="1"/>
      <c r="IE572" s="1"/>
      <c r="IF572" s="1"/>
      <c r="IG572" s="1"/>
      <c r="IH572" s="1"/>
      <c r="II572" s="1"/>
      <c r="IJ572" s="1"/>
      <c r="IK572" s="1"/>
      <c r="IL572" s="1"/>
      <c r="IM572" s="1"/>
      <c r="IN572" s="1"/>
      <c r="IO572" s="1"/>
      <c r="IP572" s="1"/>
      <c r="IQ572" s="1"/>
      <c r="IR572" s="1"/>
      <c r="IS572" s="1"/>
      <c r="IT572" s="1"/>
      <c r="IU572" s="1"/>
      <c r="IV572" s="1"/>
      <c r="IW572" s="1"/>
      <c r="IX572" s="1"/>
      <c r="IY572" s="1"/>
      <c r="IZ572" s="1"/>
      <c r="JA572" s="1"/>
      <c r="JB572" s="1"/>
      <c r="JC572" s="1"/>
      <c r="JD572" s="1"/>
    </row>
    <row r="573" spans="1:264" s="347" customFormat="1" x14ac:dyDescent="0.2">
      <c r="B573" s="348"/>
      <c r="BH573" s="348"/>
      <c r="BI573" s="348"/>
      <c r="BJ573" s="348"/>
      <c r="BK573" s="348"/>
      <c r="BL573" s="348"/>
      <c r="BM573" s="348"/>
      <c r="BN573" s="348"/>
      <c r="BO573" s="348"/>
      <c r="BP573" s="348"/>
      <c r="BQ573" s="348"/>
      <c r="BR573" s="348"/>
      <c r="BS573" s="348"/>
      <c r="BT573" s="348"/>
      <c r="BU573" s="348"/>
      <c r="BV573" s="348"/>
      <c r="BW573" s="348"/>
      <c r="BX573" s="348"/>
      <c r="BY573" s="348"/>
      <c r="BZ573" s="348"/>
      <c r="CA573" s="348"/>
      <c r="CB573" s="348"/>
      <c r="CC573" s="348"/>
      <c r="CD573" s="348"/>
      <c r="CE573" s="348"/>
      <c r="CF573" s="348"/>
      <c r="CG573" s="348"/>
      <c r="CH573" s="348"/>
      <c r="CI573" s="348"/>
      <c r="CJ573" s="348"/>
      <c r="CK573" s="348"/>
      <c r="CL573" s="348"/>
      <c r="CM573" s="348"/>
      <c r="CN573" s="348"/>
      <c r="CO573" s="348"/>
      <c r="CP573" s="348"/>
      <c r="CQ573" s="348"/>
      <c r="CR573" s="348"/>
      <c r="CS573" s="348"/>
      <c r="CT573" s="348"/>
      <c r="CU573" s="348"/>
      <c r="CV573" s="348"/>
      <c r="CW573" s="348"/>
      <c r="CX573" s="348"/>
      <c r="CY573" s="348"/>
      <c r="CZ573" s="348"/>
      <c r="DA573" s="348"/>
      <c r="DB573" s="348"/>
      <c r="DC573" s="348"/>
      <c r="DD573" s="348"/>
      <c r="DE573" s="348"/>
      <c r="DF573" s="348"/>
      <c r="DG573" s="348"/>
      <c r="DH573" s="348"/>
      <c r="DI573" s="348"/>
      <c r="DJ573" s="348"/>
      <c r="DK573" s="348"/>
      <c r="DL573" s="348"/>
      <c r="DM573" s="348"/>
      <c r="DN573" s="348"/>
      <c r="DO573" s="348"/>
      <c r="DP573" s="348"/>
      <c r="DQ573" s="348"/>
      <c r="DR573" s="348"/>
      <c r="DS573" s="348"/>
      <c r="DT573" s="1"/>
      <c r="DU573" s="1"/>
      <c r="DV573" s="1"/>
      <c r="DW573" s="1"/>
      <c r="DX573" s="1"/>
      <c r="DY573" s="1"/>
      <c r="DZ573" s="1"/>
      <c r="EA573" s="1"/>
      <c r="EB573" s="1"/>
      <c r="EC573" s="1"/>
      <c r="ED573" s="1"/>
      <c r="EE573" s="1"/>
      <c r="EF573" s="1"/>
      <c r="EG573" s="1"/>
      <c r="EH573" s="1"/>
      <c r="EI573" s="1"/>
      <c r="EJ573" s="1"/>
      <c r="EK573" s="1"/>
      <c r="EL573" s="1"/>
      <c r="EM573" s="1"/>
      <c r="EN573" s="1"/>
      <c r="EO573" s="1"/>
      <c r="EP573" s="1"/>
      <c r="EQ573" s="1"/>
      <c r="ER573" s="1"/>
      <c r="ES573" s="1"/>
      <c r="ET573" s="1"/>
      <c r="EU573" s="1"/>
      <c r="EV573" s="1"/>
      <c r="EW573" s="1"/>
      <c r="EX573" s="1"/>
      <c r="EY573" s="1"/>
      <c r="EZ573" s="1"/>
      <c r="FA573" s="1"/>
      <c r="FB573" s="1"/>
      <c r="FC573" s="1"/>
      <c r="FD573" s="1"/>
      <c r="FE573" s="1"/>
      <c r="FF573" s="1"/>
      <c r="FG573" s="1"/>
      <c r="FH573" s="1"/>
      <c r="FI573" s="1"/>
      <c r="FJ573" s="1"/>
      <c r="FK573" s="1"/>
      <c r="FL573" s="1"/>
      <c r="FM573" s="1"/>
      <c r="FN573" s="1"/>
      <c r="FO573" s="1"/>
      <c r="FP573" s="1"/>
      <c r="FQ573" s="1"/>
      <c r="FR573" s="1"/>
      <c r="FS573" s="1"/>
      <c r="FT573" s="1"/>
      <c r="FU573" s="1"/>
      <c r="FV573" s="1"/>
      <c r="FW573" s="1"/>
      <c r="FX573" s="1"/>
      <c r="FY573" s="1"/>
      <c r="FZ573" s="1"/>
      <c r="GA573" s="1"/>
      <c r="GB573" s="1"/>
      <c r="GC573" s="1"/>
      <c r="GD573" s="1"/>
      <c r="GE573" s="1"/>
      <c r="GF573" s="1"/>
      <c r="GG573" s="1"/>
      <c r="GH573" s="1"/>
      <c r="GI573" s="1"/>
      <c r="GJ573" s="1"/>
      <c r="GK573" s="1"/>
      <c r="GL573" s="1"/>
      <c r="GM573" s="1"/>
      <c r="GN573" s="1"/>
      <c r="GO573" s="1"/>
      <c r="GP573" s="1"/>
      <c r="GQ573" s="1"/>
      <c r="GR573" s="1"/>
      <c r="GS573" s="1"/>
      <c r="GT573" s="1"/>
      <c r="GU573" s="1"/>
      <c r="GV573" s="1"/>
      <c r="GW573" s="1"/>
      <c r="GX573" s="1"/>
      <c r="GY573" s="1"/>
      <c r="GZ573" s="1"/>
      <c r="HA573" s="1"/>
      <c r="HB573" s="1"/>
      <c r="HC573" s="1"/>
      <c r="HD573" s="1"/>
      <c r="HE573" s="1"/>
      <c r="HF573" s="1"/>
      <c r="HG573" s="1"/>
      <c r="HH573" s="1"/>
      <c r="HI573" s="1"/>
      <c r="HJ573" s="1"/>
      <c r="HK573" s="1"/>
      <c r="HL573" s="1"/>
      <c r="HM573" s="1"/>
      <c r="HN573" s="1"/>
      <c r="HO573" s="1"/>
      <c r="HP573" s="1"/>
      <c r="HQ573" s="1"/>
      <c r="HR573" s="1"/>
      <c r="HS573" s="1"/>
      <c r="HT573" s="1"/>
      <c r="HU573" s="1"/>
      <c r="HV573" s="1"/>
      <c r="HW573" s="1"/>
      <c r="HX573" s="1"/>
      <c r="HY573" s="1"/>
      <c r="HZ573" s="1"/>
      <c r="IA573" s="1"/>
      <c r="IB573" s="1"/>
      <c r="IC573" s="1"/>
      <c r="ID573" s="1"/>
      <c r="IE573" s="1"/>
      <c r="IF573" s="1"/>
      <c r="IG573" s="1"/>
      <c r="IH573" s="1"/>
      <c r="II573" s="1"/>
      <c r="IJ573" s="1"/>
      <c r="IK573" s="1"/>
      <c r="IL573" s="1"/>
      <c r="IM573" s="1"/>
      <c r="IN573" s="1"/>
      <c r="IO573" s="1"/>
      <c r="IP573" s="1"/>
      <c r="IQ573" s="1"/>
      <c r="IR573" s="1"/>
      <c r="IS573" s="1"/>
      <c r="IT573" s="1"/>
      <c r="IU573" s="1"/>
      <c r="IV573" s="1"/>
      <c r="IW573" s="1"/>
      <c r="IX573" s="1"/>
      <c r="IY573" s="1"/>
      <c r="IZ573" s="1"/>
      <c r="JA573" s="1"/>
      <c r="JB573" s="1"/>
      <c r="JC573" s="1"/>
      <c r="JD573" s="1"/>
    </row>
    <row r="574" spans="1:264" s="347" customFormat="1" x14ac:dyDescent="0.2">
      <c r="A574" s="347" t="s">
        <v>466</v>
      </c>
      <c r="B574" s="348"/>
      <c r="BH574" s="500">
        <f>BH589</f>
        <v>5.9470572724110306E-2</v>
      </c>
      <c r="BI574" s="500">
        <f>BI589</f>
        <v>5.7018604598347344E-2</v>
      </c>
      <c r="BJ574" s="500">
        <f>BJ589</f>
        <v>5.824439555644443E-2</v>
      </c>
      <c r="BK574" s="348"/>
      <c r="BL574" s="500">
        <f>BL589</f>
        <v>5.3807458162901979E-2</v>
      </c>
      <c r="BM574" s="500">
        <f>BM589</f>
        <v>5.2508005081836229E-2</v>
      </c>
      <c r="BN574" s="500">
        <f>BN589</f>
        <v>5.3151689343719492E-2</v>
      </c>
      <c r="BO574" s="348"/>
      <c r="BP574" s="500">
        <f>BP589</f>
        <v>5.1560672811005633E-2</v>
      </c>
      <c r="BQ574" s="500">
        <f>BQ589</f>
        <v>4.929819553343244E-2</v>
      </c>
      <c r="BR574" s="500">
        <f>BR589</f>
        <v>5.0417731818735143E-2</v>
      </c>
      <c r="BT574" s="500">
        <f>BT589</f>
        <v>4.8350677839963566E-2</v>
      </c>
      <c r="BU574" s="500">
        <f>BU589</f>
        <v>4.7710738437987239E-2</v>
      </c>
      <c r="BV574" s="500">
        <f>BV589</f>
        <v>4.8024491467068657E-2</v>
      </c>
      <c r="BX574" s="500">
        <f>BX589</f>
        <v>4.5434095027748547E-2</v>
      </c>
      <c r="BY574" s="500">
        <f>BY589</f>
        <v>4.4939691385480783E-2</v>
      </c>
      <c r="BZ574" s="500">
        <f>BZ589</f>
        <v>4.5186825336614944E-2</v>
      </c>
      <c r="CB574" s="500">
        <f>CB589</f>
        <v>4.503396756660534E-2</v>
      </c>
      <c r="CC574" s="500">
        <f>CC589</f>
        <v>4.5592066135435913E-2</v>
      </c>
      <c r="CD574" s="500">
        <f>CD589</f>
        <v>4.5311604794337552E-2</v>
      </c>
      <c r="CF574" s="500">
        <f>CF589</f>
        <v>4.4540733098919615E-2</v>
      </c>
      <c r="CG574" s="500">
        <f>CG589</f>
        <v>4.4104206605869278E-2</v>
      </c>
      <c r="CH574" s="500">
        <f>CH589</f>
        <v>4.4323457367793508E-2</v>
      </c>
      <c r="CJ574" s="500">
        <f>CJ589</f>
        <v>4.0954218823534547E-2</v>
      </c>
      <c r="CK574" s="500">
        <f>CK589</f>
        <v>3.6908146045107858E-2</v>
      </c>
      <c r="CL574" s="500">
        <f>CL589</f>
        <v>3.8926102092499283E-2</v>
      </c>
      <c r="CN574" s="500">
        <f>CN589</f>
        <v>3.3605990738715327E-2</v>
      </c>
      <c r="CO574" s="500">
        <f>CO589</f>
        <v>3.1453244357085283E-2</v>
      </c>
      <c r="CP574" s="500">
        <f>CP589</f>
        <v>3.2528341094042387E-2</v>
      </c>
      <c r="CR574" s="500">
        <f>CR589</f>
        <v>2.9837505910647457E-2</v>
      </c>
      <c r="CS574" s="500">
        <f>CS589</f>
        <v>2.9241224334216814E-2</v>
      </c>
      <c r="CT574" s="500">
        <f>CT589</f>
        <v>2.9536978262476705E-2</v>
      </c>
      <c r="CV574" s="500">
        <f>CV589</f>
        <v>3.8802977746003733E-2</v>
      </c>
      <c r="CW574" s="500">
        <f>CW589</f>
        <v>4.6917778972929813E-2</v>
      </c>
      <c r="CX574" s="500">
        <f>CX589</f>
        <v>4.2879461057302108E-2</v>
      </c>
      <c r="CZ574" s="500">
        <f>CZ589</f>
        <v>5.3063816037112806E-2</v>
      </c>
      <c r="DA574" s="500">
        <f>DA589</f>
        <v>5.7188165737404886E-2</v>
      </c>
      <c r="DB574" s="500">
        <f>DB589</f>
        <v>5.5120741901286227E-2</v>
      </c>
      <c r="DD574" s="500">
        <f>DD589</f>
        <v>6.0007778396947861E-2</v>
      </c>
      <c r="DE574" s="500">
        <f>DE589</f>
        <v>5.9468276649558921E-2</v>
      </c>
      <c r="DF574" s="500">
        <f>DF589</f>
        <v>5.973570886231612E-2</v>
      </c>
      <c r="DH574" s="500">
        <f>DH589</f>
        <v>5.6395379121762852E-2</v>
      </c>
      <c r="DI574" s="500">
        <f>DI589</f>
        <v>5.8395379121762847E-2</v>
      </c>
      <c r="DJ574" s="500">
        <f>DJ589</f>
        <v>5.739592523537862E-2</v>
      </c>
      <c r="DL574" s="500">
        <f>DL589</f>
        <v>6.0795379121762853E-2</v>
      </c>
      <c r="DM574" s="500">
        <f>DM589</f>
        <v>6.0695379121762857E-2</v>
      </c>
      <c r="DN574" s="500">
        <f>DN589</f>
        <v>6.0737610045068773E-2</v>
      </c>
      <c r="DP574" s="500">
        <f>DP589</f>
        <v>6.0595379121762855E-2</v>
      </c>
      <c r="DQ574" s="500">
        <f>DQ589</f>
        <v>6.0495379121762852E-2</v>
      </c>
      <c r="DR574" s="500">
        <f>DR589</f>
        <v>6.0541086933098079E-2</v>
      </c>
      <c r="DT574" s="1"/>
      <c r="DU574" s="1"/>
      <c r="DV574" s="1"/>
      <c r="DW574" s="1"/>
      <c r="DX574" s="1"/>
      <c r="DY574" s="1"/>
      <c r="DZ574" s="1"/>
      <c r="EA574" s="1"/>
      <c r="EB574" s="1"/>
      <c r="EC574" s="1"/>
      <c r="ED574" s="1"/>
      <c r="EE574" s="1"/>
      <c r="EF574" s="1"/>
      <c r="EG574" s="1"/>
      <c r="EH574" s="1"/>
      <c r="EI574" s="1"/>
      <c r="EJ574" s="1"/>
      <c r="EK574" s="1"/>
      <c r="EL574" s="1"/>
      <c r="EM574" s="1"/>
      <c r="EN574" s="1"/>
      <c r="EO574" s="1"/>
      <c r="EP574" s="1"/>
      <c r="EQ574" s="1"/>
      <c r="ER574" s="1"/>
      <c r="ES574" s="1"/>
      <c r="ET574" s="1"/>
      <c r="EU574" s="1"/>
      <c r="EV574" s="1"/>
      <c r="EW574" s="1"/>
      <c r="EX574" s="1"/>
      <c r="EY574" s="1"/>
      <c r="EZ574" s="1"/>
      <c r="FA574" s="1"/>
      <c r="FB574" s="1"/>
      <c r="FC574" s="1"/>
      <c r="FD574" s="1"/>
      <c r="FE574" s="1"/>
      <c r="FF574" s="1"/>
      <c r="FG574" s="1"/>
      <c r="FH574" s="1"/>
      <c r="FI574" s="1"/>
      <c r="FJ574" s="1"/>
      <c r="FK574" s="1"/>
      <c r="FL574" s="1"/>
      <c r="FM574" s="1"/>
      <c r="FN574" s="1"/>
      <c r="FO574" s="1"/>
      <c r="FP574" s="1"/>
      <c r="FQ574" s="1"/>
      <c r="FR574" s="1"/>
      <c r="FS574" s="1"/>
      <c r="FT574" s="1"/>
      <c r="FU574" s="1"/>
      <c r="FV574" s="1"/>
      <c r="FW574" s="1"/>
      <c r="FX574" s="1"/>
      <c r="FY574" s="1"/>
      <c r="FZ574" s="1"/>
      <c r="GA574" s="1"/>
      <c r="GB574" s="1"/>
      <c r="GC574" s="1"/>
      <c r="GD574" s="1"/>
      <c r="GE574" s="1"/>
      <c r="GF574" s="1"/>
      <c r="GG574" s="1"/>
      <c r="GH574" s="1"/>
      <c r="GI574" s="1"/>
      <c r="GJ574" s="1"/>
      <c r="GK574" s="1"/>
      <c r="GL574" s="1"/>
      <c r="GM574" s="1"/>
      <c r="GN574" s="1"/>
      <c r="GO574" s="1"/>
      <c r="GP574" s="1"/>
      <c r="GQ574" s="1"/>
      <c r="GR574" s="1"/>
      <c r="GS574" s="1"/>
      <c r="GT574" s="1"/>
      <c r="GU574" s="1"/>
      <c r="GV574" s="1"/>
      <c r="GW574" s="1"/>
      <c r="GX574" s="1"/>
      <c r="GY574" s="1"/>
      <c r="GZ574" s="1"/>
      <c r="HA574" s="1"/>
      <c r="HB574" s="1"/>
      <c r="HC574" s="1"/>
      <c r="HD574" s="1"/>
      <c r="HE574" s="1"/>
      <c r="HF574" s="1"/>
      <c r="HG574" s="1"/>
      <c r="HH574" s="1"/>
      <c r="HI574" s="1"/>
      <c r="HJ574" s="1"/>
      <c r="HK574" s="1"/>
      <c r="HL574" s="1"/>
      <c r="HM574" s="1"/>
      <c r="HN574" s="1"/>
      <c r="HO574" s="1"/>
      <c r="HP574" s="1"/>
      <c r="HQ574" s="1"/>
      <c r="HR574" s="1"/>
      <c r="HS574" s="1"/>
      <c r="HT574" s="1"/>
      <c r="HU574" s="1"/>
      <c r="HV574" s="1"/>
      <c r="HW574" s="1"/>
      <c r="HX574" s="1"/>
      <c r="HY574" s="1"/>
      <c r="HZ574" s="1"/>
      <c r="IA574" s="1"/>
      <c r="IB574" s="1"/>
      <c r="IC574" s="1"/>
      <c r="ID574" s="1"/>
      <c r="IE574" s="1"/>
      <c r="IF574" s="1"/>
      <c r="IG574" s="1"/>
      <c r="IH574" s="1"/>
      <c r="II574" s="1"/>
      <c r="IJ574" s="1"/>
      <c r="IK574" s="1"/>
      <c r="IL574" s="1"/>
      <c r="IM574" s="1"/>
      <c r="IN574" s="1"/>
      <c r="IO574" s="1"/>
      <c r="IP574" s="1"/>
      <c r="IQ574" s="1"/>
      <c r="IR574" s="1"/>
      <c r="IS574" s="1"/>
      <c r="IT574" s="1"/>
      <c r="IU574" s="1"/>
      <c r="IV574" s="1"/>
      <c r="IW574" s="1"/>
      <c r="IX574" s="1"/>
      <c r="IY574" s="1"/>
      <c r="IZ574" s="1"/>
      <c r="JA574" s="1"/>
      <c r="JB574" s="1"/>
      <c r="JC574" s="1"/>
      <c r="JD574" s="1"/>
    </row>
    <row r="575" spans="1:264" s="347" customFormat="1" x14ac:dyDescent="0.2">
      <c r="A575" s="347" t="s">
        <v>467</v>
      </c>
      <c r="B575" s="348"/>
      <c r="BH575" s="500">
        <f>BH562*(BH$4/BH$3)/BH497</f>
        <v>-3.582007649315043E-2</v>
      </c>
      <c r="BI575" s="500">
        <f>BI562*(BI$4/BI$3)/BI497</f>
        <v>-3.2454228243237515E-2</v>
      </c>
      <c r="BJ575" s="500">
        <f>BJ562*(BJ$4/BJ$3)/BJ497</f>
        <v>-3.4137503106578398E-2</v>
      </c>
      <c r="BK575" s="348"/>
      <c r="BL575" s="500">
        <f>BL562*(BL$4/BL$3)/BL497</f>
        <v>-2.8732396157155827E-2</v>
      </c>
      <c r="BM575" s="500">
        <f>BM562*(BM$4/BM$3)/BM497</f>
        <v>-2.7329363499241022E-2</v>
      </c>
      <c r="BN575" s="500">
        <f>BN562*(BN$4/BN$3)/BN497</f>
        <v>-2.8021875892542764E-2</v>
      </c>
      <c r="BO575" s="348"/>
      <c r="BP575" s="500">
        <f>BP562*(BP$4/BP$3)/BP497</f>
        <v>-2.6891244425053206E-2</v>
      </c>
      <c r="BQ575" s="500">
        <f>BQ562*(BQ$4/BQ$3)/BQ497</f>
        <v>-2.4539567801867775E-2</v>
      </c>
      <c r="BR575" s="500">
        <f>BR562*(BR$4/BR$3)/BR497</f>
        <v>-2.5688371812613128E-2</v>
      </c>
      <c r="BT575" s="500">
        <f>BT562*(BT$4/BT$3)/BT497</f>
        <v>-2.2704750793780541E-2</v>
      </c>
      <c r="BU575" s="500">
        <f>BU562*(BU$4/BU$3)/BU497</f>
        <v>-2.3316860285498252E-2</v>
      </c>
      <c r="BV575" s="500">
        <f>BV562*(BV$4/BV$3)/BV497</f>
        <v>-2.3008275456022329E-2</v>
      </c>
      <c r="BX575" s="500">
        <f>BX562*(BX$4/BX$3)/BX497</f>
        <v>-2.1142118653160506E-2</v>
      </c>
      <c r="BY575" s="500">
        <f>BY562*(BY$4/BY$3)/BY497</f>
        <v>-2.0568835925543677E-2</v>
      </c>
      <c r="BZ575" s="500">
        <f>BZ562*(BZ$4/BZ$3)/BZ497</f>
        <v>-2.0854618507911468E-2</v>
      </c>
      <c r="CB575" s="500">
        <f>CB562*(CB$4/CB$3)/CB497</f>
        <v>-2.0280762067635186E-2</v>
      </c>
      <c r="CC575" s="500">
        <f>CC562*(CC$4/CC$3)/CC497</f>
        <v>-2.1411264770297773E-2</v>
      </c>
      <c r="CD575" s="500">
        <f>CD562*(CD$4/CD$3)/CD497</f>
        <v>-2.0842963433169055E-2</v>
      </c>
      <c r="CF575" s="500">
        <f>CF562*(CF$4/CF$3)/CF497</f>
        <v>-2.1278067664113155E-2</v>
      </c>
      <c r="CG575" s="500">
        <f>CG562*(CG$4/CG$3)/CG497</f>
        <v>-2.1065010330169713E-2</v>
      </c>
      <c r="CH575" s="500">
        <f>CH562*(CH$4/CH$3)/CH497</f>
        <v>-2.1172923002196756E-2</v>
      </c>
      <c r="CJ575" s="500">
        <f>CJ562*(CJ$4/CJ$3)/CJ497</f>
        <v>-1.6713966618690197E-2</v>
      </c>
      <c r="CK575" s="500">
        <f>CK562*(CK$4/CK$3)/CK497</f>
        <v>-1.2311469900736505E-2</v>
      </c>
      <c r="CL575" s="500">
        <f>CL562*(CL$4/CL$3)/CL497</f>
        <v>-1.4499063767655163E-2</v>
      </c>
      <c r="CN575" s="500">
        <f>CN562*(CN$4/CN$3)/CN497</f>
        <v>-7.6767937809701691E-3</v>
      </c>
      <c r="CO575" s="500">
        <f>CO562*(CO$4/CO$3)/CO497</f>
        <v>-5.2196886227098083E-3</v>
      </c>
      <c r="CP575" s="500">
        <f>CP562*(CP$4/CP$3)/CP497</f>
        <v>-6.4574388594349948E-3</v>
      </c>
      <c r="CR575" s="500">
        <f>CR562*(CR$4/CR$3)/CR497</f>
        <v>-5.000199923691568E-3</v>
      </c>
      <c r="CS575" s="500">
        <f>CS562*(CS$4/CS$3)/CS497</f>
        <v>-5.6328213301508889E-3</v>
      </c>
      <c r="CT575" s="500">
        <f>CT562*(CT$4/CT$3)/CT497</f>
        <v>-5.3192369977443591E-3</v>
      </c>
      <c r="CV575" s="500">
        <f>CV562*(CV$4/CV$3)/CV497</f>
        <v>-1.7121883893923325E-2</v>
      </c>
      <c r="CW575" s="500">
        <f>CW562*(CW$4/CW$3)/CW497</f>
        <v>-2.8538769877919701E-2</v>
      </c>
      <c r="CX575" s="500">
        <f>CX562*(CX$4/CX$3)/CX497</f>
        <v>-2.2887327662768547E-2</v>
      </c>
      <c r="CZ575" s="500">
        <f>CZ562*(CZ$4/CZ$3)/CZ497</f>
        <v>-3.7123627229570903E-2</v>
      </c>
      <c r="DA575" s="500">
        <f>DA562*(DA$4/DA$3)/DA497</f>
        <v>-4.0675484295984728E-2</v>
      </c>
      <c r="DB575" s="500">
        <f>DB562*(DB$4/DB$3)/DB497</f>
        <v>-3.8902291533819446E-2</v>
      </c>
      <c r="DD575" s="500">
        <f>DD562*(DD$4/DD$3)/DD497</f>
        <v>-4.2258567828256363E-2</v>
      </c>
      <c r="DE575" s="500">
        <f>DE562*(DE$4/DE$3)/DE497</f>
        <v>-4.0490173680782234E-2</v>
      </c>
      <c r="DF575" s="500">
        <f>DF562*(DF$4/DF$3)/DF497</f>
        <v>-4.1364716034124852E-2</v>
      </c>
      <c r="DH575" s="500">
        <f>DH562*(DH$4/DH$3)/DH497</f>
        <v>-3.6558648048962118E-2</v>
      </c>
      <c r="DI575" s="500">
        <f ca="1">DI562*(DI$4/DI$3)/DI497</f>
        <v>-3.8576650911519732E-2</v>
      </c>
      <c r="DJ575" s="500">
        <f ca="1">DJ562*(DJ$4/DJ$3)/DJ497</f>
        <v>-3.7573046043857063E-2</v>
      </c>
      <c r="DL575" s="500">
        <f ca="1">DL562*(DL$4/DL$3)/DL497</f>
        <v>-4.1363002295506351E-2</v>
      </c>
      <c r="DM575" s="500">
        <f ca="1">DM562*(DM$4/DM$3)/DM497</f>
        <v>-4.135846303475306E-2</v>
      </c>
      <c r="DN575" s="500">
        <f ca="1">DN562*(DN$4/DN$3)/DN497</f>
        <v>-4.1355530376708749E-2</v>
      </c>
      <c r="DP575" s="500">
        <f ca="1">DP562*(DP$4/DP$3)/DP497</f>
        <v>-4.1365377575306554E-2</v>
      </c>
      <c r="DQ575" s="500">
        <f ca="1">DQ562*(DQ$4/DQ$3)/DQ497</f>
        <v>-4.1379373868200633E-2</v>
      </c>
      <c r="DR575" s="500">
        <f ca="1">DR562*(DR$4/DR$3)/DR497</f>
        <v>-4.1369675811671641E-2</v>
      </c>
      <c r="DT575" s="1"/>
      <c r="DU575" s="1"/>
      <c r="DV575" s="1"/>
      <c r="DW575" s="1"/>
      <c r="DX575" s="1"/>
      <c r="DY575" s="1"/>
      <c r="DZ575" s="1"/>
      <c r="EA575" s="1"/>
      <c r="EB575" s="1"/>
      <c r="EC575" s="1"/>
      <c r="ED575" s="1"/>
      <c r="EE575" s="1"/>
      <c r="EF575" s="1"/>
      <c r="EG575" s="1"/>
      <c r="EH575" s="1"/>
      <c r="EI575" s="1"/>
      <c r="EJ575" s="1"/>
      <c r="EK575" s="1"/>
      <c r="EL575" s="1"/>
      <c r="EM575" s="1"/>
      <c r="EN575" s="1"/>
      <c r="EO575" s="1"/>
      <c r="EP575" s="1"/>
      <c r="EQ575" s="1"/>
      <c r="ER575" s="1"/>
      <c r="ES575" s="1"/>
      <c r="ET575" s="1"/>
      <c r="EU575" s="1"/>
      <c r="EV575" s="1"/>
      <c r="EW575" s="1"/>
      <c r="EX575" s="1"/>
      <c r="EY575" s="1"/>
      <c r="EZ575" s="1"/>
      <c r="FA575" s="1"/>
      <c r="FB575" s="1"/>
      <c r="FC575" s="1"/>
      <c r="FD575" s="1"/>
      <c r="FE575" s="1"/>
      <c r="FF575" s="1"/>
      <c r="FG575" s="1"/>
      <c r="FH575" s="1"/>
      <c r="FI575" s="1"/>
      <c r="FJ575" s="1"/>
      <c r="FK575" s="1"/>
      <c r="FL575" s="1"/>
      <c r="FM575" s="1"/>
      <c r="FN575" s="1"/>
      <c r="FO575" s="1"/>
      <c r="FP575" s="1"/>
      <c r="FQ575" s="1"/>
      <c r="FR575" s="1"/>
      <c r="FS575" s="1"/>
      <c r="FT575" s="1"/>
      <c r="FU575" s="1"/>
      <c r="FV575" s="1"/>
      <c r="FW575" s="1"/>
      <c r="FX575" s="1"/>
      <c r="FY575" s="1"/>
      <c r="FZ575" s="1"/>
      <c r="GA575" s="1"/>
      <c r="GB575" s="1"/>
      <c r="GC575" s="1"/>
      <c r="GD575" s="1"/>
      <c r="GE575" s="1"/>
      <c r="GF575" s="1"/>
      <c r="GG575" s="1"/>
      <c r="GH575" s="1"/>
      <c r="GI575" s="1"/>
      <c r="GJ575" s="1"/>
      <c r="GK575" s="1"/>
      <c r="GL575" s="1"/>
      <c r="GM575" s="1"/>
      <c r="GN575" s="1"/>
      <c r="GO575" s="1"/>
      <c r="GP575" s="1"/>
      <c r="GQ575" s="1"/>
      <c r="GR575" s="1"/>
      <c r="GS575" s="1"/>
      <c r="GT575" s="1"/>
      <c r="GU575" s="1"/>
      <c r="GV575" s="1"/>
      <c r="GW575" s="1"/>
      <c r="GX575" s="1"/>
      <c r="GY575" s="1"/>
      <c r="GZ575" s="1"/>
      <c r="HA575" s="1"/>
      <c r="HB575" s="1"/>
      <c r="HC575" s="1"/>
      <c r="HD575" s="1"/>
      <c r="HE575" s="1"/>
      <c r="HF575" s="1"/>
      <c r="HG575" s="1"/>
      <c r="HH575" s="1"/>
      <c r="HI575" s="1"/>
      <c r="HJ575" s="1"/>
      <c r="HK575" s="1"/>
      <c r="HL575" s="1"/>
      <c r="HM575" s="1"/>
      <c r="HN575" s="1"/>
      <c r="HO575" s="1"/>
      <c r="HP575" s="1"/>
      <c r="HQ575" s="1"/>
      <c r="HR575" s="1"/>
      <c r="HS575" s="1"/>
      <c r="HT575" s="1"/>
      <c r="HU575" s="1"/>
      <c r="HV575" s="1"/>
      <c r="HW575" s="1"/>
      <c r="HX575" s="1"/>
      <c r="HY575" s="1"/>
      <c r="HZ575" s="1"/>
      <c r="IA575" s="1"/>
      <c r="IB575" s="1"/>
      <c r="IC575" s="1"/>
      <c r="ID575" s="1"/>
      <c r="IE575" s="1"/>
      <c r="IF575" s="1"/>
      <c r="IG575" s="1"/>
      <c r="IH575" s="1"/>
      <c r="II575" s="1"/>
      <c r="IJ575" s="1"/>
      <c r="IK575" s="1"/>
      <c r="IL575" s="1"/>
      <c r="IM575" s="1"/>
      <c r="IN575" s="1"/>
      <c r="IO575" s="1"/>
      <c r="IP575" s="1"/>
      <c r="IQ575" s="1"/>
      <c r="IR575" s="1"/>
      <c r="IS575" s="1"/>
      <c r="IT575" s="1"/>
      <c r="IU575" s="1"/>
      <c r="IV575" s="1"/>
      <c r="IW575" s="1"/>
      <c r="IX575" s="1"/>
      <c r="IY575" s="1"/>
      <c r="IZ575" s="1"/>
      <c r="JA575" s="1"/>
      <c r="JB575" s="1"/>
      <c r="JC575" s="1"/>
      <c r="JD575" s="1"/>
    </row>
    <row r="576" spans="1:264" s="411" customFormat="1" x14ac:dyDescent="0.2">
      <c r="A576" s="411" t="s">
        <v>468</v>
      </c>
      <c r="B576" s="423"/>
      <c r="BH576" s="582">
        <f>+BH574+BH575</f>
        <v>2.3650496230959876E-2</v>
      </c>
      <c r="BI576" s="582">
        <f>+BI574+BI575</f>
        <v>2.4564376355109829E-2</v>
      </c>
      <c r="BJ576" s="582">
        <f>+BJ574+BJ575</f>
        <v>2.4106892449866031E-2</v>
      </c>
      <c r="BK576" s="423"/>
      <c r="BL576" s="582">
        <f>+BL574+BL575</f>
        <v>2.5075062005746152E-2</v>
      </c>
      <c r="BM576" s="582">
        <f>+BM574+BM575</f>
        <v>2.5178641582595206E-2</v>
      </c>
      <c r="BN576" s="582">
        <f>+BN574+BN575</f>
        <v>2.5129813451176729E-2</v>
      </c>
      <c r="BO576" s="423"/>
      <c r="BP576" s="582">
        <f>+BP574+BP575</f>
        <v>2.4669428385952426E-2</v>
      </c>
      <c r="BQ576" s="582">
        <f>+BQ574+BQ575</f>
        <v>2.4758627731564665E-2</v>
      </c>
      <c r="BR576" s="582">
        <f>+BR574+BR575</f>
        <v>2.4729360006122015E-2</v>
      </c>
      <c r="BT576" s="582">
        <f>+BT574+BT575</f>
        <v>2.5645927046183025E-2</v>
      </c>
      <c r="BU576" s="582">
        <f>+BU574+BU575</f>
        <v>2.4393878152488987E-2</v>
      </c>
      <c r="BV576" s="582">
        <f>+BV574+BV575</f>
        <v>2.5016216011046328E-2</v>
      </c>
      <c r="BX576" s="582">
        <f>+BX574+BX575</f>
        <v>2.4291976374588041E-2</v>
      </c>
      <c r="BY576" s="582">
        <f>+BY574+BY575</f>
        <v>2.4370855459937106E-2</v>
      </c>
      <c r="BZ576" s="582">
        <f>+BZ574+BZ575</f>
        <v>2.4332206828703476E-2</v>
      </c>
      <c r="CB576" s="582">
        <f>+CB574+CB575</f>
        <v>2.4753205498970154E-2</v>
      </c>
      <c r="CC576" s="582">
        <f>+CC574+CC575</f>
        <v>2.418080136513814E-2</v>
      </c>
      <c r="CD576" s="582">
        <f>+CD574+CD575</f>
        <v>2.4468641361168497E-2</v>
      </c>
      <c r="CF576" s="582">
        <f>+CF574+CF575</f>
        <v>2.326266543480646E-2</v>
      </c>
      <c r="CG576" s="582">
        <f>+CG574+CG575</f>
        <v>2.3039196275699565E-2</v>
      </c>
      <c r="CH576" s="582">
        <f>+CH574+CH575</f>
        <v>2.3150534365596751E-2</v>
      </c>
      <c r="CJ576" s="582">
        <f>+CJ574+CJ575</f>
        <v>2.424025220484435E-2</v>
      </c>
      <c r="CK576" s="582">
        <f>+CK574+CK575</f>
        <v>2.4596676144371353E-2</v>
      </c>
      <c r="CL576" s="582">
        <f>+CL574+CL575</f>
        <v>2.4427038324844122E-2</v>
      </c>
      <c r="CN576" s="582">
        <f>+CN574+CN575</f>
        <v>2.5929196957745159E-2</v>
      </c>
      <c r="CO576" s="582">
        <f>+CO574+CO575</f>
        <v>2.6233555734375476E-2</v>
      </c>
      <c r="CP576" s="582">
        <f>+CP574+CP575</f>
        <v>2.6070902234607393E-2</v>
      </c>
      <c r="CR576" s="582">
        <f>+CR574+CR575</f>
        <v>2.4837305986955889E-2</v>
      </c>
      <c r="CS576" s="582">
        <f>+CS574+CS575</f>
        <v>2.3608403004065925E-2</v>
      </c>
      <c r="CT576" s="582">
        <f>+CT574+CT575</f>
        <v>2.4217741264732348E-2</v>
      </c>
      <c r="CV576" s="582">
        <f>+CV574+CV575</f>
        <v>2.1681093852080408E-2</v>
      </c>
      <c r="CW576" s="582">
        <f>+CW574+CW575</f>
        <v>1.8379009095010113E-2</v>
      </c>
      <c r="CX576" s="582">
        <f>+CX574+CX575</f>
        <v>1.9992133394533561E-2</v>
      </c>
      <c r="CZ576" s="582">
        <f>+CZ574+CZ575</f>
        <v>1.5940188807541902E-2</v>
      </c>
      <c r="DA576" s="582">
        <f>+DA574+DA575</f>
        <v>1.6512681441420159E-2</v>
      </c>
      <c r="DB576" s="582">
        <f>+DB574+DB575</f>
        <v>1.6218450367466782E-2</v>
      </c>
      <c r="DD576" s="582">
        <f>+DD574+DD575</f>
        <v>1.7749210568691498E-2</v>
      </c>
      <c r="DE576" s="582">
        <f>+DE574+DE575</f>
        <v>1.8978102968776688E-2</v>
      </c>
      <c r="DF576" s="582">
        <f>+DF574+DF575</f>
        <v>1.8370992828191268E-2</v>
      </c>
      <c r="DH576" s="582">
        <f>+DH574+DH575</f>
        <v>1.9836731072800734E-2</v>
      </c>
      <c r="DI576" s="582">
        <f ca="1">+DI574+DI575</f>
        <v>1.9818728210243115E-2</v>
      </c>
      <c r="DJ576" s="582">
        <f ca="1">+DJ574+DJ575</f>
        <v>1.9822879191521557E-2</v>
      </c>
      <c r="DL576" s="582">
        <f ca="1">+DL574+DL575</f>
        <v>1.9432376826256502E-2</v>
      </c>
      <c r="DM576" s="582">
        <f ca="1">+DM574+DM575</f>
        <v>1.9336916087009798E-2</v>
      </c>
      <c r="DN576" s="582">
        <f ca="1">+DN574+DN575</f>
        <v>1.9382079668360024E-2</v>
      </c>
      <c r="DP576" s="582">
        <f ca="1">+DP574+DP575</f>
        <v>1.92300015464563E-2</v>
      </c>
      <c r="DQ576" s="582">
        <f ca="1">+DQ574+DQ575</f>
        <v>1.9116005253562218E-2</v>
      </c>
      <c r="DR576" s="582">
        <f ca="1">+DR574+DR575</f>
        <v>1.9171411121426438E-2</v>
      </c>
      <c r="DT576" s="1"/>
      <c r="DU576" s="1"/>
      <c r="DV576" s="1"/>
      <c r="DW576" s="1"/>
      <c r="DX576" s="1"/>
      <c r="DY576" s="1"/>
      <c r="DZ576" s="1"/>
      <c r="EA576" s="1"/>
      <c r="EB576" s="1"/>
      <c r="EC576" s="1"/>
      <c r="ED576" s="1"/>
      <c r="EE576" s="1"/>
      <c r="EF576" s="1"/>
      <c r="EG576" s="1"/>
      <c r="EH576" s="1"/>
      <c r="EI576" s="1"/>
      <c r="EJ576" s="1"/>
      <c r="EK576" s="1"/>
      <c r="EL576" s="1"/>
      <c r="EM576" s="1"/>
      <c r="EN576" s="1"/>
      <c r="EO576" s="1"/>
      <c r="EP576" s="1"/>
      <c r="EQ576" s="1"/>
      <c r="ER576" s="1"/>
      <c r="ES576" s="1"/>
      <c r="ET576" s="1"/>
      <c r="EU576" s="1"/>
      <c r="EV576" s="1"/>
      <c r="EW576" s="1"/>
      <c r="EX576" s="1"/>
      <c r="EY576" s="1"/>
      <c r="EZ576" s="1"/>
      <c r="FA576" s="1"/>
      <c r="FB576" s="1"/>
      <c r="FC576" s="1"/>
      <c r="FD576" s="1"/>
      <c r="FE576" s="1"/>
      <c r="FF576" s="1"/>
      <c r="FG576" s="1"/>
      <c r="FH576" s="1"/>
      <c r="FI576" s="1"/>
      <c r="FJ576" s="1"/>
      <c r="FK576" s="1"/>
      <c r="FL576" s="1"/>
      <c r="FM576" s="1"/>
      <c r="FN576" s="1"/>
      <c r="FO576" s="1"/>
      <c r="FP576" s="1"/>
      <c r="FQ576" s="1"/>
      <c r="FR576" s="1"/>
      <c r="FS576" s="1"/>
      <c r="FT576" s="1"/>
      <c r="FU576" s="1"/>
      <c r="FV576" s="1"/>
      <c r="FW576" s="1"/>
      <c r="FX576" s="1"/>
      <c r="FY576" s="1"/>
      <c r="FZ576" s="1"/>
      <c r="GA576" s="1"/>
      <c r="GB576" s="1"/>
      <c r="GC576" s="1"/>
      <c r="GD576" s="1"/>
      <c r="GE576" s="1"/>
      <c r="GF576" s="1"/>
      <c r="GG576" s="1"/>
      <c r="GH576" s="1"/>
      <c r="GI576" s="1"/>
      <c r="GJ576" s="1"/>
      <c r="GK576" s="1"/>
      <c r="GL576" s="1"/>
      <c r="GM576" s="1"/>
      <c r="GN576" s="1"/>
      <c r="GO576" s="1"/>
      <c r="GP576" s="1"/>
      <c r="GQ576" s="1"/>
      <c r="GR576" s="1"/>
      <c r="GS576" s="1"/>
      <c r="GT576" s="1"/>
      <c r="GU576" s="1"/>
      <c r="GV576" s="1"/>
      <c r="GW576" s="1"/>
      <c r="GX576" s="1"/>
      <c r="GY576" s="1"/>
      <c r="GZ576" s="1"/>
      <c r="HA576" s="1"/>
      <c r="HB576" s="1"/>
      <c r="HC576" s="1"/>
      <c r="HD576" s="1"/>
      <c r="HE576" s="1"/>
      <c r="HF576" s="1"/>
      <c r="HG576" s="1"/>
      <c r="HH576" s="1"/>
      <c r="HI576" s="1"/>
      <c r="HJ576" s="1"/>
      <c r="HK576" s="1"/>
      <c r="HL576" s="1"/>
      <c r="HM576" s="1"/>
      <c r="HN576" s="1"/>
      <c r="HO576" s="1"/>
      <c r="HP576" s="1"/>
      <c r="HQ576" s="1"/>
      <c r="HR576" s="1"/>
      <c r="HS576" s="1"/>
      <c r="HT576" s="1"/>
      <c r="HU576" s="1"/>
      <c r="HV576" s="1"/>
      <c r="HW576" s="1"/>
      <c r="HX576" s="1"/>
      <c r="HY576" s="1"/>
      <c r="HZ576" s="1"/>
      <c r="IA576" s="1"/>
      <c r="IB576" s="1"/>
      <c r="IC576" s="1"/>
      <c r="ID576" s="1"/>
      <c r="IE576" s="1"/>
      <c r="IF576" s="1"/>
      <c r="IG576" s="1"/>
      <c r="IH576" s="1"/>
      <c r="II576" s="1"/>
      <c r="IJ576" s="1"/>
      <c r="IK576" s="1"/>
      <c r="IL576" s="1"/>
      <c r="IM576" s="1"/>
      <c r="IN576" s="1"/>
      <c r="IO576" s="1"/>
      <c r="IP576" s="1"/>
      <c r="IQ576" s="1"/>
      <c r="IR576" s="1"/>
      <c r="IS576" s="1"/>
      <c r="IT576" s="1"/>
      <c r="IU576" s="1"/>
      <c r="IV576" s="1"/>
      <c r="IW576" s="1"/>
      <c r="IX576" s="1"/>
      <c r="IY576" s="1"/>
      <c r="IZ576" s="1"/>
      <c r="JA576" s="1"/>
      <c r="JB576" s="1"/>
      <c r="JC576" s="1"/>
      <c r="JD576" s="1"/>
    </row>
    <row r="577" spans="1:264" s="347" customFormat="1" x14ac:dyDescent="0.2">
      <c r="A577" s="347" t="s">
        <v>469</v>
      </c>
      <c r="B577" s="348"/>
      <c r="BH577" s="500">
        <f>+BH578-BH576</f>
        <v>-5.1154656014965952E-3</v>
      </c>
      <c r="BI577" s="500">
        <f>+BI578-BI576</f>
        <v>-5.0373704754784754E-3</v>
      </c>
      <c r="BJ577" s="500">
        <f>+BJ578-BJ576</f>
        <v>-5.074210882076241E-3</v>
      </c>
      <c r="BK577" s="348"/>
      <c r="BL577" s="500">
        <f>+BL578-BL576</f>
        <v>-5.4328401615590174E-3</v>
      </c>
      <c r="BM577" s="500">
        <f>+BM578-BM576</f>
        <v>-5.4986376041771048E-3</v>
      </c>
      <c r="BN577" s="500">
        <f>+BN578-BN576</f>
        <v>-5.468980528074957E-3</v>
      </c>
      <c r="BO577" s="348"/>
      <c r="BP577" s="500">
        <f>+BP578-BP576</f>
        <v>-5.1018504536877174E-3</v>
      </c>
      <c r="BQ577" s="500">
        <f>+BQ578-BQ576</f>
        <v>-5.3652742161432454E-3</v>
      </c>
      <c r="BR577" s="500">
        <f>+BR578-BR576</f>
        <v>-5.2419877365671164E-3</v>
      </c>
      <c r="BT577" s="500">
        <f>+BT578-BT576</f>
        <v>-5.4514155809018972E-3</v>
      </c>
      <c r="BU577" s="500">
        <f>+BU578-BU576</f>
        <v>-5.0602710200034345E-3</v>
      </c>
      <c r="BV577" s="500">
        <f>+BV578-BV576</f>
        <v>-5.2533537955325796E-3</v>
      </c>
      <c r="BX577" s="500">
        <f>+BX578-BX576</f>
        <v>-5.2472050341541426E-3</v>
      </c>
      <c r="BY577" s="500">
        <f>+BY578-BY576</f>
        <v>-5.3355889080273916E-3</v>
      </c>
      <c r="BZ577" s="500">
        <f>+BZ578-BZ576</f>
        <v>-5.2930139627876127E-3</v>
      </c>
      <c r="CB577" s="500">
        <f>+CB578-CB576</f>
        <v>-5.0093117150830091E-3</v>
      </c>
      <c r="CC577" s="500">
        <f>+CC578-CC576</f>
        <v>-4.7405779424470468E-3</v>
      </c>
      <c r="CD577" s="500">
        <f>+CD578-CD576</f>
        <v>-4.8756271574477844E-3</v>
      </c>
      <c r="CF577" s="500">
        <f>+CF578-CF576</f>
        <v>-4.1715214811971005E-3</v>
      </c>
      <c r="CG577" s="500">
        <f>+CG578-CG576</f>
        <v>-4.4331808585025972E-3</v>
      </c>
      <c r="CH577" s="500">
        <f>+CH578-CH576</f>
        <v>-4.4929741783253097E-3</v>
      </c>
      <c r="CJ577" s="500">
        <f>+CJ578-CJ576</f>
        <v>-4.9858864392929234E-3</v>
      </c>
      <c r="CK577" s="500">
        <f>+CK578-CK576</f>
        <v>-5.6005140414153443E-3</v>
      </c>
      <c r="CL577" s="500">
        <f>+CL578-CL576</f>
        <v>-5.3160090357102369E-3</v>
      </c>
      <c r="CN577" s="500">
        <f>+CN578-CN576</f>
        <v>-6.1242776088198531E-3</v>
      </c>
      <c r="CO577" s="500">
        <f>+CO578-CO576</f>
        <v>-5.8996016069628177E-3</v>
      </c>
      <c r="CP577" s="500">
        <f>+CP578-CP576</f>
        <v>-6.0099713855100052E-3</v>
      </c>
      <c r="CR577" s="500">
        <f>+CR578-CR576</f>
        <v>-6.225689141539377E-3</v>
      </c>
      <c r="CS577" s="500">
        <f>+CS578-CS576</f>
        <v>-5.5411301181941472E-3</v>
      </c>
      <c r="CT577" s="500">
        <f>+CT578-CT576</f>
        <v>-5.880572150938207E-3</v>
      </c>
      <c r="CV577" s="500">
        <f>+CV578-CV576</f>
        <v>-3.4129126167723178E-3</v>
      </c>
      <c r="CW577" s="500">
        <f>+CW578-CW576</f>
        <v>-2.2813209198840959E-3</v>
      </c>
      <c r="CX577" s="500">
        <f>+CX578-CX576</f>
        <v>-2.8571079319140297E-3</v>
      </c>
      <c r="CZ577" s="500">
        <f>+CZ578-CZ576</f>
        <v>-1.4162077696900158E-3</v>
      </c>
      <c r="DA577" s="500">
        <f>+DA578-DA576</f>
        <v>-2.1411903481483308E-3</v>
      </c>
      <c r="DB577" s="500">
        <f>+DB578-DB576</f>
        <v>-1.7772485683490435E-3</v>
      </c>
      <c r="DD577" s="500">
        <f>+DD578-DD576</f>
        <v>-2.929280977813975E-3</v>
      </c>
      <c r="DE577" s="500">
        <f>+DE578-DE576</f>
        <v>-3.664179643235517E-3</v>
      </c>
      <c r="DF577" s="500">
        <f>+DF578-DF576</f>
        <v>-3.2991109724259948E-3</v>
      </c>
      <c r="DH577" s="500">
        <f>+DH578-DH576</f>
        <v>-4.2952907699299187E-3</v>
      </c>
      <c r="DI577" s="500">
        <f ca="1">+DI578-DI576</f>
        <v>-4.2709479418146304E-3</v>
      </c>
      <c r="DJ577" s="500">
        <f ca="1">+DJ578-DJ576</f>
        <v>-4.28243330639419E-3</v>
      </c>
      <c r="DL577" s="500">
        <f ca="1">+DL578-DL576</f>
        <v>-4.2466051136993352E-3</v>
      </c>
      <c r="DM577" s="500">
        <f ca="1">+DM578-DM576</f>
        <v>-4.2222622855840608E-3</v>
      </c>
      <c r="DN577" s="500">
        <f ca="1">+DN578-DN576</f>
        <v>-4.23383417007199E-3</v>
      </c>
      <c r="DP577" s="500">
        <f ca="1">+DP578-DP576</f>
        <v>-4.1979194574687587E-3</v>
      </c>
      <c r="DQ577" s="500">
        <f ca="1">+DQ578-DQ576</f>
        <v>-4.1735766293534912E-3</v>
      </c>
      <c r="DR577" s="500">
        <f ca="1">+DR578-DR576</f>
        <v>-4.1853944610984392E-3</v>
      </c>
      <c r="DT577" s="1"/>
      <c r="DU577" s="1"/>
      <c r="DV577" s="1"/>
      <c r="DW577" s="1"/>
      <c r="DX577" s="1"/>
      <c r="DY577" s="1"/>
      <c r="DZ577" s="1"/>
      <c r="EA577" s="1"/>
      <c r="EB577" s="1"/>
      <c r="EC577" s="1"/>
      <c r="ED577" s="1"/>
      <c r="EE577" s="1"/>
      <c r="EF577" s="1"/>
      <c r="EG577" s="1"/>
      <c r="EH577" s="1"/>
      <c r="EI577" s="1"/>
      <c r="EJ577" s="1"/>
      <c r="EK577" s="1"/>
      <c r="EL577" s="1"/>
      <c r="EM577" s="1"/>
      <c r="EN577" s="1"/>
      <c r="EO577" s="1"/>
      <c r="EP577" s="1"/>
      <c r="EQ577" s="1"/>
      <c r="ER577" s="1"/>
      <c r="ES577" s="1"/>
      <c r="ET577" s="1"/>
      <c r="EU577" s="1"/>
      <c r="EV577" s="1"/>
      <c r="EW577" s="1"/>
      <c r="EX577" s="1"/>
      <c r="EY577" s="1"/>
      <c r="EZ577" s="1"/>
      <c r="FA577" s="1"/>
      <c r="FB577" s="1"/>
      <c r="FC577" s="1"/>
      <c r="FD577" s="1"/>
      <c r="FE577" s="1"/>
      <c r="FF577" s="1"/>
      <c r="FG577" s="1"/>
      <c r="FH577" s="1"/>
      <c r="FI577" s="1"/>
      <c r="FJ577" s="1"/>
      <c r="FK577" s="1"/>
      <c r="FL577" s="1"/>
      <c r="FM577" s="1"/>
      <c r="FN577" s="1"/>
      <c r="FO577" s="1"/>
      <c r="FP577" s="1"/>
      <c r="FQ577" s="1"/>
      <c r="FR577" s="1"/>
      <c r="FS577" s="1"/>
      <c r="FT577" s="1"/>
      <c r="FU577" s="1"/>
      <c r="FV577" s="1"/>
      <c r="FW577" s="1"/>
      <c r="FX577" s="1"/>
      <c r="FY577" s="1"/>
      <c r="FZ577" s="1"/>
      <c r="GA577" s="1"/>
      <c r="GB577" s="1"/>
      <c r="GC577" s="1"/>
      <c r="GD577" s="1"/>
      <c r="GE577" s="1"/>
      <c r="GF577" s="1"/>
      <c r="GG577" s="1"/>
      <c r="GH577" s="1"/>
      <c r="GI577" s="1"/>
      <c r="GJ577" s="1"/>
      <c r="GK577" s="1"/>
      <c r="GL577" s="1"/>
      <c r="GM577" s="1"/>
      <c r="GN577" s="1"/>
      <c r="GO577" s="1"/>
      <c r="GP577" s="1"/>
      <c r="GQ577" s="1"/>
      <c r="GR577" s="1"/>
      <c r="GS577" s="1"/>
      <c r="GT577" s="1"/>
      <c r="GU577" s="1"/>
      <c r="GV577" s="1"/>
      <c r="GW577" s="1"/>
      <c r="GX577" s="1"/>
      <c r="GY577" s="1"/>
      <c r="GZ577" s="1"/>
      <c r="HA577" s="1"/>
      <c r="HB577" s="1"/>
      <c r="HC577" s="1"/>
      <c r="HD577" s="1"/>
      <c r="HE577" s="1"/>
      <c r="HF577" s="1"/>
      <c r="HG577" s="1"/>
      <c r="HH577" s="1"/>
      <c r="HI577" s="1"/>
      <c r="HJ577" s="1"/>
      <c r="HK577" s="1"/>
      <c r="HL577" s="1"/>
      <c r="HM577" s="1"/>
      <c r="HN577" s="1"/>
      <c r="HO577" s="1"/>
      <c r="HP577" s="1"/>
      <c r="HQ577" s="1"/>
      <c r="HR577" s="1"/>
      <c r="HS577" s="1"/>
      <c r="HT577" s="1"/>
      <c r="HU577" s="1"/>
      <c r="HV577" s="1"/>
      <c r="HW577" s="1"/>
      <c r="HX577" s="1"/>
      <c r="HY577" s="1"/>
      <c r="HZ577" s="1"/>
      <c r="IA577" s="1"/>
      <c r="IB577" s="1"/>
      <c r="IC577" s="1"/>
      <c r="ID577" s="1"/>
      <c r="IE577" s="1"/>
      <c r="IF577" s="1"/>
      <c r="IG577" s="1"/>
      <c r="IH577" s="1"/>
      <c r="II577" s="1"/>
      <c r="IJ577" s="1"/>
      <c r="IK577" s="1"/>
      <c r="IL577" s="1"/>
      <c r="IM577" s="1"/>
      <c r="IN577" s="1"/>
      <c r="IO577" s="1"/>
      <c r="IP577" s="1"/>
      <c r="IQ577" s="1"/>
      <c r="IR577" s="1"/>
      <c r="IS577" s="1"/>
      <c r="IT577" s="1"/>
      <c r="IU577" s="1"/>
      <c r="IV577" s="1"/>
      <c r="IW577" s="1"/>
      <c r="IX577" s="1"/>
      <c r="IY577" s="1"/>
      <c r="IZ577" s="1"/>
      <c r="JA577" s="1"/>
      <c r="JB577" s="1"/>
      <c r="JC577" s="1"/>
      <c r="JD577" s="1"/>
    </row>
    <row r="578" spans="1:264" s="411" customFormat="1" x14ac:dyDescent="0.2">
      <c r="A578" s="411" t="s">
        <v>470</v>
      </c>
      <c r="B578" s="423"/>
      <c r="BH578" s="582">
        <f>+BH597+BH575</f>
        <v>1.8535030629463281E-2</v>
      </c>
      <c r="BI578" s="582">
        <f>+BI597+BI575</f>
        <v>1.9527005879631354E-2</v>
      </c>
      <c r="BJ578" s="582">
        <f>+BJ597+BJ575</f>
        <v>1.903268156778979E-2</v>
      </c>
      <c r="BK578" s="423"/>
      <c r="BL578" s="582">
        <f>+BL597+BL575</f>
        <v>1.9642221844187135E-2</v>
      </c>
      <c r="BM578" s="582">
        <f>+BM597+BM575</f>
        <v>1.9680003978418101E-2</v>
      </c>
      <c r="BN578" s="582">
        <f>+BN597+BN575</f>
        <v>1.9660832923101772E-2</v>
      </c>
      <c r="BO578" s="423"/>
      <c r="BP578" s="582">
        <f>+BP597+BP575</f>
        <v>1.9567577932264709E-2</v>
      </c>
      <c r="BQ578" s="582">
        <f>+BQ597+BQ575</f>
        <v>1.9393353515421419E-2</v>
      </c>
      <c r="BR578" s="582">
        <f>+BR597+BR575</f>
        <v>1.9487372269554899E-2</v>
      </c>
      <c r="BT578" s="582">
        <f>+BT597+BT575</f>
        <v>2.0194511465281128E-2</v>
      </c>
      <c r="BU578" s="582">
        <f>+BU597+BU575</f>
        <v>1.9333607132485553E-2</v>
      </c>
      <c r="BV578" s="582">
        <f>+BV597+BV575</f>
        <v>1.9762862215513748E-2</v>
      </c>
      <c r="BX578" s="582">
        <f>+BX597+BX575</f>
        <v>1.9044771340433898E-2</v>
      </c>
      <c r="BY578" s="582">
        <f>+BY597+BY575</f>
        <v>1.9035266551909714E-2</v>
      </c>
      <c r="BZ578" s="582">
        <f>+BZ597+BZ575</f>
        <v>1.9039192865915863E-2</v>
      </c>
      <c r="CB578" s="582">
        <f>+CB597+CB575</f>
        <v>1.9743893783887145E-2</v>
      </c>
      <c r="CC578" s="582">
        <f>+CC597+CC575</f>
        <v>1.9440223422691093E-2</v>
      </c>
      <c r="CD578" s="582">
        <f>+CD597+CD575</f>
        <v>1.9593014203720713E-2</v>
      </c>
      <c r="CF578" s="582">
        <f>+CF597+CF575</f>
        <v>1.909114395360936E-2</v>
      </c>
      <c r="CG578" s="582">
        <f>+CG597+CG575</f>
        <v>1.8606015417196968E-2</v>
      </c>
      <c r="CH578" s="582">
        <f>+CH597+CH575</f>
        <v>1.8657560187271442E-2</v>
      </c>
      <c r="CJ578" s="582">
        <f>+CJ597+CJ575</f>
        <v>1.9254365765551427E-2</v>
      </c>
      <c r="CK578" s="582">
        <f>+CK597+CK575</f>
        <v>1.8996162102956009E-2</v>
      </c>
      <c r="CL578" s="582">
        <f>+CL597+CL575</f>
        <v>1.9111029289133885E-2</v>
      </c>
      <c r="CN578" s="582">
        <f>+CN597+CN575</f>
        <v>1.9804919348925306E-2</v>
      </c>
      <c r="CO578" s="582">
        <f>+CO597+CO575</f>
        <v>2.0333954127412658E-2</v>
      </c>
      <c r="CP578" s="582">
        <f>+CP597+CP575</f>
        <v>2.0060930849097387E-2</v>
      </c>
      <c r="CR578" s="582">
        <f>+CR597+CR575</f>
        <v>1.8611616845416512E-2</v>
      </c>
      <c r="CS578" s="582">
        <f>+CS597+CS575</f>
        <v>1.8067272885871778E-2</v>
      </c>
      <c r="CT578" s="582">
        <f>+CT597+CT575</f>
        <v>1.8337169113794141E-2</v>
      </c>
      <c r="CV578" s="582">
        <f>+CV597+CV575</f>
        <v>1.826818123530809E-2</v>
      </c>
      <c r="CW578" s="582">
        <f>+CW597+CW575</f>
        <v>1.6097688175126017E-2</v>
      </c>
      <c r="CX578" s="582">
        <f>+CX597+CX575</f>
        <v>1.7135025462619531E-2</v>
      </c>
      <c r="CZ578" s="582">
        <f>+CZ597+CZ575</f>
        <v>1.4523981037851887E-2</v>
      </c>
      <c r="DA578" s="582">
        <f>+DA597+DA575</f>
        <v>1.4371491093271828E-2</v>
      </c>
      <c r="DB578" s="582">
        <f>+DB597+DB575</f>
        <v>1.4441201799117738E-2</v>
      </c>
      <c r="DD578" s="582">
        <f>+DD597+DD575</f>
        <v>1.4819929590877523E-2</v>
      </c>
      <c r="DE578" s="582">
        <f>+DE597+DE575</f>
        <v>1.5313923325541171E-2</v>
      </c>
      <c r="DF578" s="582">
        <f>+DF597+DF575</f>
        <v>1.5071881855765273E-2</v>
      </c>
      <c r="DH578" s="582">
        <f>+DH597+DH575</f>
        <v>1.5541440302870815E-2</v>
      </c>
      <c r="DI578" s="582">
        <f ca="1">+DI597+DI575</f>
        <v>1.5547780268428485E-2</v>
      </c>
      <c r="DJ578" s="582">
        <f ca="1">+DJ597+DJ575</f>
        <v>1.5540445885127367E-2</v>
      </c>
      <c r="DL578" s="582">
        <f ca="1">+DL597+DL575</f>
        <v>1.5185771712557167E-2</v>
      </c>
      <c r="DM578" s="582">
        <f ca="1">+DM597+DM575</f>
        <v>1.5114653801425737E-2</v>
      </c>
      <c r="DN578" s="582">
        <f ca="1">+DN597+DN575</f>
        <v>1.5148245498288034E-2</v>
      </c>
      <c r="DP578" s="582">
        <f ca="1">+DP597+DP575</f>
        <v>1.5032082088987542E-2</v>
      </c>
      <c r="DQ578" s="582">
        <f ca="1">+DQ597+DQ575</f>
        <v>1.4942428624208727E-2</v>
      </c>
      <c r="DR578" s="582">
        <f ca="1">+DR597+DR575</f>
        <v>1.4986016660327998E-2</v>
      </c>
      <c r="DT578" s="1"/>
      <c r="DU578" s="1"/>
      <c r="DV578" s="1"/>
      <c r="DW578" s="1"/>
      <c r="DX578" s="1"/>
      <c r="DY578" s="1"/>
      <c r="DZ578" s="1"/>
      <c r="EA578" s="1"/>
      <c r="EB578" s="1"/>
      <c r="EC578" s="1"/>
      <c r="ED578" s="1"/>
      <c r="EE578" s="1"/>
      <c r="EF578" s="1"/>
      <c r="EG578" s="1"/>
      <c r="EH578" s="1"/>
      <c r="EI578" s="1"/>
      <c r="EJ578" s="1"/>
      <c r="EK578" s="1"/>
      <c r="EL578" s="1"/>
      <c r="EM578" s="1"/>
      <c r="EN578" s="1"/>
      <c r="EO578" s="1"/>
      <c r="EP578" s="1"/>
      <c r="EQ578" s="1"/>
      <c r="ER578" s="1"/>
      <c r="ES578" s="1"/>
      <c r="ET578" s="1"/>
      <c r="EU578" s="1"/>
      <c r="EV578" s="1"/>
      <c r="EW578" s="1"/>
      <c r="EX578" s="1"/>
      <c r="EY578" s="1"/>
      <c r="EZ578" s="1"/>
      <c r="FA578" s="1"/>
      <c r="FB578" s="1"/>
      <c r="FC578" s="1"/>
      <c r="FD578" s="1"/>
      <c r="FE578" s="1"/>
      <c r="FF578" s="1"/>
      <c r="FG578" s="1"/>
      <c r="FH578" s="1"/>
      <c r="FI578" s="1"/>
      <c r="FJ578" s="1"/>
      <c r="FK578" s="1"/>
      <c r="FL578" s="1"/>
      <c r="FM578" s="1"/>
      <c r="FN578" s="1"/>
      <c r="FO578" s="1"/>
      <c r="FP578" s="1"/>
      <c r="FQ578" s="1"/>
      <c r="FR578" s="1"/>
      <c r="FS578" s="1"/>
      <c r="FT578" s="1"/>
      <c r="FU578" s="1"/>
      <c r="FV578" s="1"/>
      <c r="FW578" s="1"/>
      <c r="FX578" s="1"/>
      <c r="FY578" s="1"/>
      <c r="FZ578" s="1"/>
      <c r="GA578" s="1"/>
      <c r="GB578" s="1"/>
      <c r="GC578" s="1"/>
      <c r="GD578" s="1"/>
      <c r="GE578" s="1"/>
      <c r="GF578" s="1"/>
      <c r="GG578" s="1"/>
      <c r="GH578" s="1"/>
      <c r="GI578" s="1"/>
      <c r="GJ578" s="1"/>
      <c r="GK578" s="1"/>
      <c r="GL578" s="1"/>
      <c r="GM578" s="1"/>
      <c r="GN578" s="1"/>
      <c r="GO578" s="1"/>
      <c r="GP578" s="1"/>
      <c r="GQ578" s="1"/>
      <c r="GR578" s="1"/>
      <c r="GS578" s="1"/>
      <c r="GT578" s="1"/>
      <c r="GU578" s="1"/>
      <c r="GV578" s="1"/>
      <c r="GW578" s="1"/>
      <c r="GX578" s="1"/>
      <c r="GY578" s="1"/>
      <c r="GZ578" s="1"/>
      <c r="HA578" s="1"/>
      <c r="HB578" s="1"/>
      <c r="HC578" s="1"/>
      <c r="HD578" s="1"/>
      <c r="HE578" s="1"/>
      <c r="HF578" s="1"/>
      <c r="HG578" s="1"/>
      <c r="HH578" s="1"/>
      <c r="HI578" s="1"/>
      <c r="HJ578" s="1"/>
      <c r="HK578" s="1"/>
      <c r="HL578" s="1"/>
      <c r="HM578" s="1"/>
      <c r="HN578" s="1"/>
      <c r="HO578" s="1"/>
      <c r="HP578" s="1"/>
      <c r="HQ578" s="1"/>
      <c r="HR578" s="1"/>
      <c r="HS578" s="1"/>
      <c r="HT578" s="1"/>
      <c r="HU578" s="1"/>
      <c r="HV578" s="1"/>
      <c r="HW578" s="1"/>
      <c r="HX578" s="1"/>
      <c r="HY578" s="1"/>
      <c r="HZ578" s="1"/>
      <c r="IA578" s="1"/>
      <c r="IB578" s="1"/>
      <c r="IC578" s="1"/>
      <c r="ID578" s="1"/>
      <c r="IE578" s="1"/>
      <c r="IF578" s="1"/>
      <c r="IG578" s="1"/>
      <c r="IH578" s="1"/>
      <c r="II578" s="1"/>
      <c r="IJ578" s="1"/>
      <c r="IK578" s="1"/>
      <c r="IL578" s="1"/>
      <c r="IM578" s="1"/>
      <c r="IN578" s="1"/>
      <c r="IO578" s="1"/>
      <c r="IP578" s="1"/>
      <c r="IQ578" s="1"/>
      <c r="IR578" s="1"/>
      <c r="IS578" s="1"/>
      <c r="IT578" s="1"/>
      <c r="IU578" s="1"/>
      <c r="IV578" s="1"/>
      <c r="IW578" s="1"/>
      <c r="IX578" s="1"/>
      <c r="IY578" s="1"/>
      <c r="IZ578" s="1"/>
      <c r="JA578" s="1"/>
      <c r="JB578" s="1"/>
      <c r="JC578" s="1"/>
      <c r="JD578" s="1"/>
    </row>
    <row r="579" spans="1:264" s="347" customFormat="1" x14ac:dyDescent="0.2">
      <c r="A579" s="347" t="s">
        <v>471</v>
      </c>
      <c r="B579" s="348"/>
      <c r="BH579" s="500">
        <f>+BH580-BH578</f>
        <v>2.426234126936367E-3</v>
      </c>
      <c r="BI579" s="500">
        <f>+BI580-BI578</f>
        <v>2.1788372841750892E-3</v>
      </c>
      <c r="BJ579" s="500">
        <f>+BJ580-BJ578</f>
        <v>2.3002601108483532E-3</v>
      </c>
      <c r="BK579" s="348"/>
      <c r="BL579" s="500">
        <f>+BL580-BL578</f>
        <v>1.7554046578033E-3</v>
      </c>
      <c r="BM579" s="500">
        <f>+BM580-BM578</f>
        <v>1.7112862983840009E-3</v>
      </c>
      <c r="BN579" s="500">
        <f>+BN580-BN578</f>
        <v>1.7335822144641348E-3</v>
      </c>
      <c r="BO579" s="348"/>
      <c r="BP579" s="500">
        <f>+BP580-BP578</f>
        <v>1.6332511912866866E-3</v>
      </c>
      <c r="BQ579" s="500">
        <f>+BQ580-BQ578</f>
        <v>1.2904798294454747E-3</v>
      </c>
      <c r="BR579" s="500">
        <f>+BR580-BR578</f>
        <v>1.4501808531858333E-3</v>
      </c>
      <c r="BT579" s="500">
        <f>+BT580-BT578</f>
        <v>1.270402621947983E-3</v>
      </c>
      <c r="BU579" s="500">
        <f>+BU580-BU578</f>
        <v>2.0431337683807921E-3</v>
      </c>
      <c r="BV579" s="500">
        <f>+BV580-BV578</f>
        <v>1.6562233469981091E-3</v>
      </c>
      <c r="BX579" s="500">
        <f>+BX580-BX578</f>
        <v>1.9476607001206979E-3</v>
      </c>
      <c r="BY579" s="500">
        <f>+BY580-BY578</f>
        <v>2.004189584696156E-3</v>
      </c>
      <c r="BZ579" s="500">
        <f>+BZ580-BZ578</f>
        <v>1.9769067386321351E-3</v>
      </c>
      <c r="CB579" s="500">
        <f>+CB580-CB578</f>
        <v>1.821104715475072E-3</v>
      </c>
      <c r="CC579" s="500">
        <f>+CC580-CC578</f>
        <v>1.9361024748612531E-3</v>
      </c>
      <c r="CD579" s="500">
        <f>+CD580-CD578</f>
        <v>1.8781001122284563E-3</v>
      </c>
      <c r="CF579" s="500">
        <f>+CF580-CF578</f>
        <v>2.012196757794512E-3</v>
      </c>
      <c r="CG579" s="500">
        <f>+CG580-CG578</f>
        <v>2.316612765445026E-3</v>
      </c>
      <c r="CH579" s="500">
        <f>+CH580-CH578</f>
        <v>2.2554803971553197E-3</v>
      </c>
      <c r="CJ579" s="500">
        <f>+CJ580-CJ578</f>
        <v>1.8358078072981433E-3</v>
      </c>
      <c r="CK579" s="500">
        <f>+CK580-CK578</f>
        <v>1.3969634143619902E-3</v>
      </c>
      <c r="CL579" s="500">
        <f>+CL580-CL578</f>
        <v>1.6264493855841083E-3</v>
      </c>
      <c r="CN579" s="500">
        <f>+CN580-CN578</f>
        <v>8.2893377535097831E-4</v>
      </c>
      <c r="CO579" s="500">
        <f>+CO580-CO578</f>
        <v>5.4891665776997042E-4</v>
      </c>
      <c r="CP579" s="500">
        <f>+CP580-CP578</f>
        <v>6.9734525253664637E-4</v>
      </c>
      <c r="CR579" s="500">
        <f>+CR580-CR578</f>
        <v>5.7064749871763021E-4</v>
      </c>
      <c r="CS579" s="500">
        <f>+CS580-CS578</f>
        <v>6.8036142768121421E-4</v>
      </c>
      <c r="CT579" s="500">
        <f>+CT580-CT578</f>
        <v>6.2554426907290503E-4</v>
      </c>
      <c r="CV579" s="500">
        <f>+CV580-CV578</f>
        <v>2.7170003141882663E-3</v>
      </c>
      <c r="CW579" s="500">
        <f>+CW580-CW578</f>
        <v>4.4135277004365217E-3</v>
      </c>
      <c r="CX579" s="500">
        <f>+CX580-CX578</f>
        <v>3.6127063790656298E-3</v>
      </c>
      <c r="CZ579" s="500">
        <f>+CZ580-CZ578</f>
        <v>5.3622140017081585E-3</v>
      </c>
      <c r="DA579" s="500">
        <f>+DA580-DA578</f>
        <v>5.6322147218274485E-3</v>
      </c>
      <c r="DB579" s="500">
        <f>+DB580-DB578</f>
        <v>5.5036231112904656E-3</v>
      </c>
      <c r="DD579" s="500">
        <f>+DD580-DD578</f>
        <v>6.0219389095644144E-3</v>
      </c>
      <c r="DE579" s="500">
        <f>+DE580-DE578</f>
        <v>5.4902130025016246E-3</v>
      </c>
      <c r="DF579" s="500">
        <f>+DF580-DF578</f>
        <v>5.7509777834426901E-3</v>
      </c>
      <c r="DH579" s="500">
        <f>+DH580-DH578</f>
        <v>4.893912277816298E-3</v>
      </c>
      <c r="DI579" s="500">
        <f ca="1">+DI580-DI578</f>
        <v>4.9875723122586278E-3</v>
      </c>
      <c r="DJ579" s="500">
        <f ca="1">+DJ580-DJ578</f>
        <v>4.9425315952082716E-3</v>
      </c>
      <c r="DL579" s="500">
        <f ca="1">+DL580-DL578</f>
        <v>5.349580868129946E-3</v>
      </c>
      <c r="DM579" s="500">
        <f ca="1">+DM580-DM578</f>
        <v>5.3206987792613764E-3</v>
      </c>
      <c r="DN579" s="500">
        <f ca="1">+DN580-DN578</f>
        <v>5.3342659541599606E-3</v>
      </c>
      <c r="DP579" s="500">
        <f ca="1">+DP580-DP578</f>
        <v>5.3032704916995722E-3</v>
      </c>
      <c r="DQ579" s="500">
        <f ca="1">+DQ580-DQ578</f>
        <v>5.2929239564783875E-3</v>
      </c>
      <c r="DR579" s="500">
        <f ca="1">+DR580-DR578</f>
        <v>5.2976809744948068E-3</v>
      </c>
      <c r="DT579" s="1"/>
      <c r="DU579" s="1"/>
      <c r="DV579" s="1"/>
      <c r="DW579" s="1"/>
      <c r="DX579" s="1"/>
      <c r="DY579" s="1"/>
      <c r="DZ579" s="1"/>
      <c r="EA579" s="1"/>
      <c r="EB579" s="1"/>
      <c r="EC579" s="1"/>
      <c r="ED579" s="1"/>
      <c r="EE579" s="1"/>
      <c r="EF579" s="1"/>
      <c r="EG579" s="1"/>
      <c r="EH579" s="1"/>
      <c r="EI579" s="1"/>
      <c r="EJ579" s="1"/>
      <c r="EK579" s="1"/>
      <c r="EL579" s="1"/>
      <c r="EM579" s="1"/>
      <c r="EN579" s="1"/>
      <c r="EO579" s="1"/>
      <c r="EP579" s="1"/>
      <c r="EQ579" s="1"/>
      <c r="ER579" s="1"/>
      <c r="ES579" s="1"/>
      <c r="ET579" s="1"/>
      <c r="EU579" s="1"/>
      <c r="EV579" s="1"/>
      <c r="EW579" s="1"/>
      <c r="EX579" s="1"/>
      <c r="EY579" s="1"/>
      <c r="EZ579" s="1"/>
      <c r="FA579" s="1"/>
      <c r="FB579" s="1"/>
      <c r="FC579" s="1"/>
      <c r="FD579" s="1"/>
      <c r="FE579" s="1"/>
      <c r="FF579" s="1"/>
      <c r="FG579" s="1"/>
      <c r="FH579" s="1"/>
      <c r="FI579" s="1"/>
      <c r="FJ579" s="1"/>
      <c r="FK579" s="1"/>
      <c r="FL579" s="1"/>
      <c r="FM579" s="1"/>
      <c r="FN579" s="1"/>
      <c r="FO579" s="1"/>
      <c r="FP579" s="1"/>
      <c r="FQ579" s="1"/>
      <c r="FR579" s="1"/>
      <c r="FS579" s="1"/>
      <c r="FT579" s="1"/>
      <c r="FU579" s="1"/>
      <c r="FV579" s="1"/>
      <c r="FW579" s="1"/>
      <c r="FX579" s="1"/>
      <c r="FY579" s="1"/>
      <c r="FZ579" s="1"/>
      <c r="GA579" s="1"/>
      <c r="GB579" s="1"/>
      <c r="GC579" s="1"/>
      <c r="GD579" s="1"/>
      <c r="GE579" s="1"/>
      <c r="GF579" s="1"/>
      <c r="GG579" s="1"/>
      <c r="GH579" s="1"/>
      <c r="GI579" s="1"/>
      <c r="GJ579" s="1"/>
      <c r="GK579" s="1"/>
      <c r="GL579" s="1"/>
      <c r="GM579" s="1"/>
      <c r="GN579" s="1"/>
      <c r="GO579" s="1"/>
      <c r="GP579" s="1"/>
      <c r="GQ579" s="1"/>
      <c r="GR579" s="1"/>
      <c r="GS579" s="1"/>
      <c r="GT579" s="1"/>
      <c r="GU579" s="1"/>
      <c r="GV579" s="1"/>
      <c r="GW579" s="1"/>
      <c r="GX579" s="1"/>
      <c r="GY579" s="1"/>
      <c r="GZ579" s="1"/>
      <c r="HA579" s="1"/>
      <c r="HB579" s="1"/>
      <c r="HC579" s="1"/>
      <c r="HD579" s="1"/>
      <c r="HE579" s="1"/>
      <c r="HF579" s="1"/>
      <c r="HG579" s="1"/>
      <c r="HH579" s="1"/>
      <c r="HI579" s="1"/>
      <c r="HJ579" s="1"/>
      <c r="HK579" s="1"/>
      <c r="HL579" s="1"/>
      <c r="HM579" s="1"/>
      <c r="HN579" s="1"/>
      <c r="HO579" s="1"/>
      <c r="HP579" s="1"/>
      <c r="HQ579" s="1"/>
      <c r="HR579" s="1"/>
      <c r="HS579" s="1"/>
      <c r="HT579" s="1"/>
      <c r="HU579" s="1"/>
      <c r="HV579" s="1"/>
      <c r="HW579" s="1"/>
      <c r="HX579" s="1"/>
      <c r="HY579" s="1"/>
      <c r="HZ579" s="1"/>
      <c r="IA579" s="1"/>
      <c r="IB579" s="1"/>
      <c r="IC579" s="1"/>
      <c r="ID579" s="1"/>
      <c r="IE579" s="1"/>
      <c r="IF579" s="1"/>
      <c r="IG579" s="1"/>
      <c r="IH579" s="1"/>
      <c r="II579" s="1"/>
      <c r="IJ579" s="1"/>
      <c r="IK579" s="1"/>
      <c r="IL579" s="1"/>
      <c r="IM579" s="1"/>
      <c r="IN579" s="1"/>
      <c r="IO579" s="1"/>
      <c r="IP579" s="1"/>
      <c r="IQ579" s="1"/>
      <c r="IR579" s="1"/>
      <c r="IS579" s="1"/>
      <c r="IT579" s="1"/>
      <c r="IU579" s="1"/>
      <c r="IV579" s="1"/>
      <c r="IW579" s="1"/>
      <c r="IX579" s="1"/>
      <c r="IY579" s="1"/>
      <c r="IZ579" s="1"/>
      <c r="JA579" s="1"/>
      <c r="JB579" s="1"/>
      <c r="JC579" s="1"/>
      <c r="JD579" s="1"/>
    </row>
    <row r="580" spans="1:264" s="411" customFormat="1" x14ac:dyDescent="0.2">
      <c r="A580" s="411" t="s">
        <v>13</v>
      </c>
      <c r="B580" s="423"/>
      <c r="BH580" s="582">
        <f>BH567</f>
        <v>2.0961264756399648E-2</v>
      </c>
      <c r="BI580" s="582">
        <f>BI567</f>
        <v>2.1705843163806443E-2</v>
      </c>
      <c r="BJ580" s="582">
        <f>BJ567</f>
        <v>2.1332941678638143E-2</v>
      </c>
      <c r="BK580" s="423"/>
      <c r="BL580" s="582">
        <f>BL567</f>
        <v>2.1397626501990435E-2</v>
      </c>
      <c r="BM580" s="582">
        <f>BM567</f>
        <v>2.1391290276802102E-2</v>
      </c>
      <c r="BN580" s="582">
        <f>BN567</f>
        <v>2.1394415137565907E-2</v>
      </c>
      <c r="BO580" s="423"/>
      <c r="BP580" s="582">
        <f>BP567</f>
        <v>2.1200829123551396E-2</v>
      </c>
      <c r="BQ580" s="582">
        <f>BQ567</f>
        <v>2.0683833344866894E-2</v>
      </c>
      <c r="BR580" s="582">
        <f>BR567</f>
        <v>2.0937553122740732E-2</v>
      </c>
      <c r="BT580" s="582">
        <f>BT567</f>
        <v>2.1464914087229111E-2</v>
      </c>
      <c r="BU580" s="582">
        <f>BU567</f>
        <v>2.1376740900866345E-2</v>
      </c>
      <c r="BV580" s="582">
        <f>BV567</f>
        <v>2.1419085562511857E-2</v>
      </c>
      <c r="BX580" s="582">
        <f>BX567</f>
        <v>2.0992432040554596E-2</v>
      </c>
      <c r="BY580" s="582">
        <f>BY567</f>
        <v>2.103945613660587E-2</v>
      </c>
      <c r="BZ580" s="582">
        <f>BZ567</f>
        <v>2.1016099604547998E-2</v>
      </c>
      <c r="CB580" s="582">
        <f>CB567</f>
        <v>2.1564998499362217E-2</v>
      </c>
      <c r="CC580" s="582">
        <f>CC567</f>
        <v>2.1376325897552347E-2</v>
      </c>
      <c r="CD580" s="582">
        <f>CD567</f>
        <v>2.1471114315949169E-2</v>
      </c>
      <c r="CF580" s="582">
        <f>CF567</f>
        <v>2.1103340711403872E-2</v>
      </c>
      <c r="CG580" s="582">
        <f>CG567</f>
        <v>2.0922628182641994E-2</v>
      </c>
      <c r="CH580" s="582">
        <f>CH567</f>
        <v>2.0913040584426761E-2</v>
      </c>
      <c r="CJ580" s="582">
        <f>CJ567</f>
        <v>2.109017357284957E-2</v>
      </c>
      <c r="CK580" s="582">
        <f>CK567</f>
        <v>2.0393125517317999E-2</v>
      </c>
      <c r="CL580" s="582">
        <f>CL567</f>
        <v>2.0737478674717993E-2</v>
      </c>
      <c r="CN580" s="582">
        <f>CN567</f>
        <v>2.0633853124276284E-2</v>
      </c>
      <c r="CO580" s="582">
        <f>CO567</f>
        <v>2.0882870785182629E-2</v>
      </c>
      <c r="CP580" s="582">
        <f>CP567</f>
        <v>2.0758276101634034E-2</v>
      </c>
      <c r="CR580" s="582">
        <f>CR567</f>
        <v>1.9182264344134142E-2</v>
      </c>
      <c r="CS580" s="582">
        <f>CS567</f>
        <v>1.8747634313552992E-2</v>
      </c>
      <c r="CT580" s="582">
        <f>CT567</f>
        <v>1.8962713382867046E-2</v>
      </c>
      <c r="CV580" s="582">
        <f>CV567</f>
        <v>2.0985181549496357E-2</v>
      </c>
      <c r="CW580" s="582">
        <f>CW567</f>
        <v>2.0511215875562538E-2</v>
      </c>
      <c r="CX580" s="582">
        <f>CX567</f>
        <v>2.0747731841685161E-2</v>
      </c>
      <c r="CZ580" s="582">
        <f>CZ567</f>
        <v>1.9886195039560045E-2</v>
      </c>
      <c r="DA580" s="582">
        <f>DA567</f>
        <v>2.0003705815099276E-2</v>
      </c>
      <c r="DB580" s="582">
        <f>DB567</f>
        <v>1.9944824910408204E-2</v>
      </c>
      <c r="DD580" s="582">
        <f>DD567</f>
        <v>2.0841868500441937E-2</v>
      </c>
      <c r="DE580" s="582">
        <f>DE567</f>
        <v>2.0804136328042795E-2</v>
      </c>
      <c r="DF580" s="582">
        <f>DF567</f>
        <v>2.0822859639207963E-2</v>
      </c>
      <c r="DH580" s="582">
        <f>DH567</f>
        <v>2.0435352580687113E-2</v>
      </c>
      <c r="DI580" s="582">
        <f>DI567</f>
        <v>2.0535352580687113E-2</v>
      </c>
      <c r="DJ580" s="582">
        <f>DJ567</f>
        <v>2.0482977480335639E-2</v>
      </c>
      <c r="DL580" s="582">
        <f>DL567</f>
        <v>2.0535352580687113E-2</v>
      </c>
      <c r="DM580" s="582">
        <f>DM567</f>
        <v>2.0435352580687113E-2</v>
      </c>
      <c r="DN580" s="582">
        <f>DN567</f>
        <v>2.0482511452447994E-2</v>
      </c>
      <c r="DP580" s="582">
        <f>DP567</f>
        <v>2.0335352580687114E-2</v>
      </c>
      <c r="DQ580" s="582">
        <f>DQ567</f>
        <v>2.0235352580687115E-2</v>
      </c>
      <c r="DR580" s="582">
        <f>DR567</f>
        <v>2.0283697634822805E-2</v>
      </c>
      <c r="DT580" s="1"/>
      <c r="DU580" s="1"/>
      <c r="DV580" s="1"/>
      <c r="DW580" s="1"/>
      <c r="DX580" s="1"/>
      <c r="DY580" s="1"/>
      <c r="DZ580" s="1"/>
      <c r="EA580" s="1"/>
      <c r="EB580" s="1"/>
      <c r="EC580" s="1"/>
      <c r="ED580" s="1"/>
      <c r="EE580" s="1"/>
      <c r="EF580" s="1"/>
      <c r="EG580" s="1"/>
      <c r="EH580" s="1"/>
      <c r="EI580" s="1"/>
      <c r="EJ580" s="1"/>
      <c r="EK580" s="1"/>
      <c r="EL580" s="1"/>
      <c r="EM580" s="1"/>
      <c r="EN580" s="1"/>
      <c r="EO580" s="1"/>
      <c r="EP580" s="1"/>
      <c r="EQ580" s="1"/>
      <c r="ER580" s="1"/>
      <c r="ES580" s="1"/>
      <c r="ET580" s="1"/>
      <c r="EU580" s="1"/>
      <c r="EV580" s="1"/>
      <c r="EW580" s="1"/>
      <c r="EX580" s="1"/>
      <c r="EY580" s="1"/>
      <c r="EZ580" s="1"/>
      <c r="FA580" s="1"/>
      <c r="FB580" s="1"/>
      <c r="FC580" s="1"/>
      <c r="FD580" s="1"/>
      <c r="FE580" s="1"/>
      <c r="FF580" s="1"/>
      <c r="FG580" s="1"/>
      <c r="FH580" s="1"/>
      <c r="FI580" s="1"/>
      <c r="FJ580" s="1"/>
      <c r="FK580" s="1"/>
      <c r="FL580" s="1"/>
      <c r="FM580" s="1"/>
      <c r="FN580" s="1"/>
      <c r="FO580" s="1"/>
      <c r="FP580" s="1"/>
      <c r="FQ580" s="1"/>
      <c r="FR580" s="1"/>
      <c r="FS580" s="1"/>
      <c r="FT580" s="1"/>
      <c r="FU580" s="1"/>
      <c r="FV580" s="1"/>
      <c r="FW580" s="1"/>
      <c r="FX580" s="1"/>
      <c r="FY580" s="1"/>
      <c r="FZ580" s="1"/>
      <c r="GA580" s="1"/>
      <c r="GB580" s="1"/>
      <c r="GC580" s="1"/>
      <c r="GD580" s="1"/>
      <c r="GE580" s="1"/>
      <c r="GF580" s="1"/>
      <c r="GG580" s="1"/>
      <c r="GH580" s="1"/>
      <c r="GI580" s="1"/>
      <c r="GJ580" s="1"/>
      <c r="GK580" s="1"/>
      <c r="GL580" s="1"/>
      <c r="GM580" s="1"/>
      <c r="GN580" s="1"/>
      <c r="GO580" s="1"/>
      <c r="GP580" s="1"/>
      <c r="GQ580" s="1"/>
      <c r="GR580" s="1"/>
      <c r="GS580" s="1"/>
      <c r="GT580" s="1"/>
      <c r="GU580" s="1"/>
      <c r="GV580" s="1"/>
      <c r="GW580" s="1"/>
      <c r="GX580" s="1"/>
      <c r="GY580" s="1"/>
      <c r="GZ580" s="1"/>
      <c r="HA580" s="1"/>
      <c r="HB580" s="1"/>
      <c r="HC580" s="1"/>
      <c r="HD580" s="1"/>
      <c r="HE580" s="1"/>
      <c r="HF580" s="1"/>
      <c r="HG580" s="1"/>
      <c r="HH580" s="1"/>
      <c r="HI580" s="1"/>
      <c r="HJ580" s="1"/>
      <c r="HK580" s="1"/>
      <c r="HL580" s="1"/>
      <c r="HM580" s="1"/>
      <c r="HN580" s="1"/>
      <c r="HO580" s="1"/>
      <c r="HP580" s="1"/>
      <c r="HQ580" s="1"/>
      <c r="HR580" s="1"/>
      <c r="HS580" s="1"/>
      <c r="HT580" s="1"/>
      <c r="HU580" s="1"/>
      <c r="HV580" s="1"/>
      <c r="HW580" s="1"/>
      <c r="HX580" s="1"/>
      <c r="HY580" s="1"/>
      <c r="HZ580" s="1"/>
      <c r="IA580" s="1"/>
      <c r="IB580" s="1"/>
      <c r="IC580" s="1"/>
      <c r="ID580" s="1"/>
      <c r="IE580" s="1"/>
      <c r="IF580" s="1"/>
      <c r="IG580" s="1"/>
      <c r="IH580" s="1"/>
      <c r="II580" s="1"/>
      <c r="IJ580" s="1"/>
      <c r="IK580" s="1"/>
      <c r="IL580" s="1"/>
      <c r="IM580" s="1"/>
      <c r="IN580" s="1"/>
      <c r="IO580" s="1"/>
      <c r="IP580" s="1"/>
      <c r="IQ580" s="1"/>
      <c r="IR580" s="1"/>
      <c r="IS580" s="1"/>
      <c r="IT580" s="1"/>
      <c r="IU580" s="1"/>
      <c r="IV580" s="1"/>
      <c r="IW580" s="1"/>
      <c r="IX580" s="1"/>
      <c r="IY580" s="1"/>
      <c r="IZ580" s="1"/>
      <c r="JA580" s="1"/>
      <c r="JB580" s="1"/>
      <c r="JC580" s="1"/>
      <c r="JD580" s="1"/>
    </row>
    <row r="581" spans="1:264" s="347" customFormat="1" x14ac:dyDescent="0.2">
      <c r="B581" s="348"/>
      <c r="BH581" s="348"/>
      <c r="BI581" s="348"/>
      <c r="BJ581" s="348"/>
      <c r="BK581" s="348"/>
      <c r="BL581" s="348"/>
      <c r="BM581" s="348"/>
      <c r="BN581" s="348"/>
      <c r="BO581" s="348"/>
      <c r="BP581" s="348"/>
      <c r="BR581" s="348"/>
      <c r="BT581" s="348"/>
      <c r="BV581" s="348"/>
      <c r="BX581" s="348"/>
      <c r="BZ581" s="348"/>
      <c r="CB581" s="348"/>
      <c r="CD581" s="348"/>
      <c r="CF581" s="348"/>
      <c r="CH581" s="348"/>
      <c r="CJ581" s="348"/>
      <c r="CL581" s="348"/>
      <c r="CN581" s="348"/>
      <c r="CP581" s="348"/>
      <c r="CR581" s="348"/>
      <c r="CT581" s="348"/>
      <c r="CV581" s="348"/>
      <c r="CX581" s="348"/>
      <c r="CZ581" s="348"/>
      <c r="DB581" s="348"/>
      <c r="DD581" s="348"/>
      <c r="DF581" s="348"/>
      <c r="DH581" s="348"/>
      <c r="DJ581" s="348"/>
      <c r="DL581" s="348"/>
      <c r="DN581" s="348"/>
      <c r="DP581" s="348"/>
      <c r="DR581" s="348"/>
      <c r="DT581" s="1"/>
      <c r="DU581" s="1"/>
      <c r="DV581" s="1"/>
      <c r="DW581" s="1"/>
      <c r="DX581" s="1"/>
      <c r="DY581" s="1"/>
      <c r="DZ581" s="1"/>
      <c r="EA581" s="1"/>
      <c r="EB581" s="1"/>
      <c r="EC581" s="1"/>
      <c r="ED581" s="1"/>
      <c r="EE581" s="1"/>
      <c r="EF581" s="1"/>
      <c r="EG581" s="1"/>
      <c r="EH581" s="1"/>
      <c r="EI581" s="1"/>
      <c r="EJ581" s="1"/>
      <c r="EK581" s="1"/>
      <c r="EL581" s="1"/>
      <c r="EM581" s="1"/>
      <c r="EN581" s="1"/>
      <c r="EO581" s="1"/>
      <c r="EP581" s="1"/>
      <c r="EQ581" s="1"/>
      <c r="ER581" s="1"/>
      <c r="ES581" s="1"/>
      <c r="ET581" s="1"/>
      <c r="EU581" s="1"/>
      <c r="EV581" s="1"/>
      <c r="EW581" s="1"/>
      <c r="EX581" s="1"/>
      <c r="EY581" s="1"/>
      <c r="EZ581" s="1"/>
      <c r="FA581" s="1"/>
      <c r="FB581" s="1"/>
      <c r="FC581" s="1"/>
      <c r="FD581" s="1"/>
      <c r="FE581" s="1"/>
      <c r="FF581" s="1"/>
      <c r="FG581" s="1"/>
      <c r="FH581" s="1"/>
      <c r="FI581" s="1"/>
      <c r="FJ581" s="1"/>
      <c r="FK581" s="1"/>
      <c r="FL581" s="1"/>
      <c r="FM581" s="1"/>
      <c r="FN581" s="1"/>
      <c r="FO581" s="1"/>
      <c r="FP581" s="1"/>
      <c r="FQ581" s="1"/>
      <c r="FR581" s="1"/>
      <c r="FS581" s="1"/>
      <c r="FT581" s="1"/>
      <c r="FU581" s="1"/>
      <c r="FV581" s="1"/>
      <c r="FW581" s="1"/>
      <c r="FX581" s="1"/>
      <c r="FY581" s="1"/>
      <c r="FZ581" s="1"/>
      <c r="GA581" s="1"/>
      <c r="GB581" s="1"/>
      <c r="GC581" s="1"/>
      <c r="GD581" s="1"/>
      <c r="GE581" s="1"/>
      <c r="GF581" s="1"/>
      <c r="GG581" s="1"/>
      <c r="GH581" s="1"/>
      <c r="GI581" s="1"/>
      <c r="GJ581" s="1"/>
      <c r="GK581" s="1"/>
      <c r="GL581" s="1"/>
      <c r="GM581" s="1"/>
      <c r="GN581" s="1"/>
      <c r="GO581" s="1"/>
      <c r="GP581" s="1"/>
      <c r="GQ581" s="1"/>
      <c r="GR581" s="1"/>
      <c r="GS581" s="1"/>
      <c r="GT581" s="1"/>
      <c r="GU581" s="1"/>
      <c r="GV581" s="1"/>
      <c r="GW581" s="1"/>
      <c r="GX581" s="1"/>
      <c r="GY581" s="1"/>
      <c r="GZ581" s="1"/>
      <c r="HA581" s="1"/>
      <c r="HB581" s="1"/>
      <c r="HC581" s="1"/>
      <c r="HD581" s="1"/>
      <c r="HE581" s="1"/>
      <c r="HF581" s="1"/>
      <c r="HG581" s="1"/>
      <c r="HH581" s="1"/>
      <c r="HI581" s="1"/>
      <c r="HJ581" s="1"/>
      <c r="HK581" s="1"/>
      <c r="HL581" s="1"/>
      <c r="HM581" s="1"/>
      <c r="HN581" s="1"/>
      <c r="HO581" s="1"/>
      <c r="HP581" s="1"/>
      <c r="HQ581" s="1"/>
      <c r="HR581" s="1"/>
      <c r="HS581" s="1"/>
      <c r="HT581" s="1"/>
      <c r="HU581" s="1"/>
      <c r="HV581" s="1"/>
      <c r="HW581" s="1"/>
      <c r="HX581" s="1"/>
      <c r="HY581" s="1"/>
      <c r="HZ581" s="1"/>
      <c r="IA581" s="1"/>
      <c r="IB581" s="1"/>
      <c r="IC581" s="1"/>
      <c r="ID581" s="1"/>
      <c r="IE581" s="1"/>
      <c r="IF581" s="1"/>
      <c r="IG581" s="1"/>
      <c r="IH581" s="1"/>
      <c r="II581" s="1"/>
      <c r="IJ581" s="1"/>
      <c r="IK581" s="1"/>
      <c r="IL581" s="1"/>
      <c r="IM581" s="1"/>
      <c r="IN581" s="1"/>
      <c r="IO581" s="1"/>
      <c r="IP581" s="1"/>
      <c r="IQ581" s="1"/>
      <c r="IR581" s="1"/>
      <c r="IS581" s="1"/>
      <c r="IT581" s="1"/>
      <c r="IU581" s="1"/>
      <c r="IV581" s="1"/>
      <c r="IW581" s="1"/>
      <c r="IX581" s="1"/>
      <c r="IY581" s="1"/>
      <c r="IZ581" s="1"/>
      <c r="JA581" s="1"/>
      <c r="JB581" s="1"/>
      <c r="JC581" s="1"/>
      <c r="JD581" s="1"/>
    </row>
    <row r="582" spans="1:264" s="347" customFormat="1" x14ac:dyDescent="0.2">
      <c r="A582" s="583" t="s">
        <v>472</v>
      </c>
      <c r="B582" s="584" t="s">
        <v>473</v>
      </c>
      <c r="C582" s="583"/>
      <c r="D582" s="583"/>
      <c r="E582" s="583"/>
      <c r="F582" s="583"/>
      <c r="G582" s="583"/>
      <c r="H582" s="583"/>
      <c r="I582" s="583"/>
      <c r="J582" s="583"/>
      <c r="K582" s="583"/>
      <c r="L582" s="583"/>
      <c r="M582" s="583"/>
      <c r="N582" s="583"/>
      <c r="O582" s="583"/>
      <c r="P582" s="583"/>
      <c r="Q582" s="583"/>
      <c r="R582" s="583"/>
      <c r="S582" s="583"/>
      <c r="T582" s="583"/>
      <c r="U582" s="583"/>
      <c r="V582" s="583"/>
      <c r="W582" s="583"/>
      <c r="X582" s="583"/>
      <c r="Y582" s="583"/>
      <c r="Z582" s="583"/>
      <c r="AA582" s="583"/>
      <c r="AB582" s="583"/>
      <c r="AC582" s="583"/>
      <c r="AD582" s="583"/>
      <c r="AE582" s="583"/>
      <c r="AF582" s="583"/>
      <c r="AG582" s="583"/>
      <c r="AH582" s="583"/>
      <c r="AI582" s="583"/>
      <c r="AJ582" s="583"/>
      <c r="AK582" s="583"/>
      <c r="AL582" s="583"/>
      <c r="AM582" s="583"/>
      <c r="AN582" s="583"/>
      <c r="AO582" s="583"/>
      <c r="AP582" s="583"/>
      <c r="AQ582" s="583"/>
      <c r="AR582" s="583"/>
      <c r="AS582" s="583"/>
      <c r="AT582" s="583"/>
      <c r="AU582" s="583"/>
      <c r="AV582" s="583"/>
      <c r="AW582" s="583"/>
      <c r="AX582" s="583"/>
      <c r="AY582" s="583"/>
      <c r="AZ582" s="583"/>
      <c r="BA582" s="583"/>
      <c r="BB582" s="583"/>
      <c r="BC582" s="583"/>
      <c r="BD582" s="585">
        <v>4.2500000000000003E-2</v>
      </c>
      <c r="BE582" s="585">
        <v>3.5000000000000003E-2</v>
      </c>
      <c r="BF582" s="586">
        <f>BE582</f>
        <v>3.5000000000000003E-2</v>
      </c>
      <c r="BG582" s="583"/>
      <c r="BH582" s="585">
        <v>0.03</v>
      </c>
      <c r="BI582" s="585">
        <v>2.75E-2</v>
      </c>
      <c r="BJ582" s="586">
        <f>BI582</f>
        <v>2.75E-2</v>
      </c>
      <c r="BK582" s="587"/>
      <c r="BL582" s="585">
        <v>2.5000000000000001E-2</v>
      </c>
      <c r="BM582" s="585">
        <v>2.5000000000000001E-2</v>
      </c>
      <c r="BN582" s="586">
        <f>BM582</f>
        <v>2.5000000000000001E-2</v>
      </c>
      <c r="BO582" s="587"/>
      <c r="BP582" s="585">
        <v>2.5000000000000001E-2</v>
      </c>
      <c r="BQ582" s="585">
        <v>0.02</v>
      </c>
      <c r="BR582" s="586">
        <f>BQ582</f>
        <v>0.02</v>
      </c>
      <c r="BS582" s="583"/>
      <c r="BT582" s="585">
        <v>0.02</v>
      </c>
      <c r="BU582" s="585">
        <v>1.7500000000000002E-2</v>
      </c>
      <c r="BV582" s="586">
        <f>BU582</f>
        <v>1.7500000000000002E-2</v>
      </c>
      <c r="BW582" s="583"/>
      <c r="BX582" s="585">
        <v>1.4999999999999999E-2</v>
      </c>
      <c r="BY582" s="585">
        <v>1.4999999999999999E-2</v>
      </c>
      <c r="BZ582" s="586">
        <f>BY582</f>
        <v>1.4999999999999999E-2</v>
      </c>
      <c r="CA582" s="583"/>
      <c r="CB582" s="585">
        <v>1.4999999999999999E-2</v>
      </c>
      <c r="CC582" s="585">
        <v>1.4999999999999999E-2</v>
      </c>
      <c r="CD582" s="586">
        <f>CC582</f>
        <v>1.4999999999999999E-2</v>
      </c>
      <c r="CE582" s="583"/>
      <c r="CF582" s="585">
        <v>1.4999999999999999E-2</v>
      </c>
      <c r="CG582" s="585">
        <v>0.01</v>
      </c>
      <c r="CH582" s="586">
        <f>CG582</f>
        <v>0.01</v>
      </c>
      <c r="CI582" s="583"/>
      <c r="CJ582" s="585">
        <v>7.4999999999999997E-3</v>
      </c>
      <c r="CK582" s="585">
        <v>2.5000000000000001E-3</v>
      </c>
      <c r="CL582" s="586">
        <f>CK582</f>
        <v>2.5000000000000001E-3</v>
      </c>
      <c r="CM582" s="583"/>
      <c r="CN582" s="585">
        <v>1E-3</v>
      </c>
      <c r="CO582" s="585">
        <v>1E-3</v>
      </c>
      <c r="CP582" s="586">
        <f>CO582</f>
        <v>1E-3</v>
      </c>
      <c r="CQ582" s="583"/>
      <c r="CR582" s="585">
        <v>1E-3</v>
      </c>
      <c r="CS582" s="585">
        <v>8.5000000000000006E-3</v>
      </c>
      <c r="CT582" s="586">
        <f>CS582</f>
        <v>8.5000000000000006E-3</v>
      </c>
      <c r="CU582" s="583"/>
      <c r="CV582" s="585">
        <v>3.1E-2</v>
      </c>
      <c r="CW582" s="585">
        <v>4.1000000000000002E-2</v>
      </c>
      <c r="CX582" s="586">
        <f>CW582</f>
        <v>4.1000000000000002E-2</v>
      </c>
      <c r="CY582" s="583"/>
      <c r="CZ582" s="585">
        <v>4.3499999999999997E-2</v>
      </c>
      <c r="DA582" s="585">
        <v>4.3499999999999997E-2</v>
      </c>
      <c r="DB582" s="586">
        <f>DA582</f>
        <v>4.3499999999999997E-2</v>
      </c>
      <c r="DC582" s="583"/>
      <c r="DD582" s="585">
        <v>4.3499999999999997E-2</v>
      </c>
      <c r="DE582" s="585">
        <v>3.85E-2</v>
      </c>
      <c r="DF582" s="586">
        <f>DE582</f>
        <v>3.85E-2</v>
      </c>
      <c r="DG582" s="583"/>
      <c r="DH582" s="585">
        <v>3.5999999999999997E-2</v>
      </c>
      <c r="DI582" s="588">
        <v>4.1000000000000002E-2</v>
      </c>
      <c r="DJ582" s="586">
        <f>DI582</f>
        <v>4.1000000000000002E-2</v>
      </c>
      <c r="DK582" s="583"/>
      <c r="DL582" s="588">
        <f>DI582</f>
        <v>4.1000000000000002E-2</v>
      </c>
      <c r="DM582" s="588">
        <f>DL582</f>
        <v>4.1000000000000002E-2</v>
      </c>
      <c r="DN582" s="586">
        <f>DM582</f>
        <v>4.1000000000000002E-2</v>
      </c>
      <c r="DO582" s="583"/>
      <c r="DP582" s="588">
        <f>DM582</f>
        <v>4.1000000000000002E-2</v>
      </c>
      <c r="DQ582" s="588">
        <f>DP582</f>
        <v>4.1000000000000002E-2</v>
      </c>
      <c r="DR582" s="586">
        <f>DQ582</f>
        <v>4.1000000000000002E-2</v>
      </c>
      <c r="DS582" s="583"/>
      <c r="DT582" s="1"/>
      <c r="DU582" s="1"/>
      <c r="DV582" s="1"/>
      <c r="DW582" s="1"/>
      <c r="DX582" s="1"/>
      <c r="DY582" s="1"/>
      <c r="DZ582" s="1"/>
      <c r="EA582" s="1"/>
      <c r="EB582" s="1"/>
      <c r="EC582" s="1"/>
      <c r="ED582" s="1"/>
      <c r="EE582" s="1"/>
      <c r="EF582" s="1"/>
      <c r="EG582" s="1"/>
      <c r="EH582" s="1"/>
      <c r="EI582" s="1"/>
      <c r="EJ582" s="1"/>
      <c r="EK582" s="1"/>
      <c r="EL582" s="1"/>
      <c r="EM582" s="1"/>
      <c r="EN582" s="1"/>
      <c r="EO582" s="1"/>
      <c r="EP582" s="1"/>
      <c r="EQ582" s="1"/>
      <c r="ER582" s="1"/>
      <c r="ES582" s="1"/>
      <c r="ET582" s="1"/>
      <c r="EU582" s="1"/>
      <c r="EV582" s="1"/>
      <c r="EW582" s="1"/>
      <c r="EX582" s="1"/>
      <c r="EY582" s="1"/>
      <c r="EZ582" s="1"/>
      <c r="FA582" s="1"/>
      <c r="FB582" s="1"/>
      <c r="FC582" s="1"/>
      <c r="FD582" s="1"/>
      <c r="FE582" s="1"/>
      <c r="FF582" s="1"/>
      <c r="FG582" s="1"/>
      <c r="FH582" s="1"/>
      <c r="FI582" s="1"/>
      <c r="FJ582" s="1"/>
      <c r="FK582" s="1"/>
      <c r="FL582" s="1"/>
      <c r="FM582" s="1"/>
      <c r="FN582" s="1"/>
      <c r="FO582" s="1"/>
      <c r="FP582" s="1"/>
      <c r="FQ582" s="1"/>
      <c r="FR582" s="1"/>
      <c r="FS582" s="1"/>
      <c r="FT582" s="1"/>
      <c r="FU582" s="1"/>
      <c r="FV582" s="1"/>
      <c r="FW582" s="1"/>
      <c r="FX582" s="1"/>
      <c r="FY582" s="1"/>
      <c r="FZ582" s="1"/>
      <c r="GA582" s="1"/>
      <c r="GB582" s="1"/>
      <c r="GC582" s="1"/>
      <c r="GD582" s="1"/>
      <c r="GE582" s="1"/>
      <c r="GF582" s="1"/>
      <c r="GG582" s="1"/>
      <c r="GH582" s="1"/>
      <c r="GI582" s="1"/>
      <c r="GJ582" s="1"/>
      <c r="GK582" s="1"/>
      <c r="GL582" s="1"/>
      <c r="GM582" s="1"/>
      <c r="GN582" s="1"/>
      <c r="GO582" s="1"/>
      <c r="GP582" s="1"/>
      <c r="GQ582" s="1"/>
      <c r="GR582" s="1"/>
      <c r="GS582" s="1"/>
      <c r="GT582" s="1"/>
      <c r="GU582" s="1"/>
      <c r="GV582" s="1"/>
      <c r="GW582" s="1"/>
      <c r="GX582" s="1"/>
      <c r="GY582" s="1"/>
      <c r="GZ582" s="1"/>
      <c r="HA582" s="1"/>
      <c r="HB582" s="1"/>
      <c r="HC582" s="1"/>
      <c r="HD582" s="1"/>
      <c r="HE582" s="1"/>
      <c r="HF582" s="1"/>
      <c r="HG582" s="1"/>
      <c r="HH582" s="1"/>
      <c r="HI582" s="1"/>
      <c r="HJ582" s="1"/>
      <c r="HK582" s="1"/>
      <c r="HL582" s="1"/>
      <c r="HM582" s="1"/>
      <c r="HN582" s="1"/>
      <c r="HO582" s="1"/>
      <c r="HP582" s="1"/>
      <c r="HQ582" s="1"/>
      <c r="HR582" s="1"/>
      <c r="HS582" s="1"/>
      <c r="HT582" s="1"/>
      <c r="HU582" s="1"/>
      <c r="HV582" s="1"/>
      <c r="HW582" s="1"/>
      <c r="HX582" s="1"/>
      <c r="HY582" s="1"/>
      <c r="HZ582" s="1"/>
      <c r="IA582" s="1"/>
      <c r="IB582" s="1"/>
      <c r="IC582" s="1"/>
      <c r="ID582" s="1"/>
      <c r="IE582" s="1"/>
      <c r="IF582" s="1"/>
      <c r="IG582" s="1"/>
      <c r="IH582" s="1"/>
      <c r="II582" s="1"/>
      <c r="IJ582" s="1"/>
      <c r="IK582" s="1"/>
      <c r="IL582" s="1"/>
      <c r="IM582" s="1"/>
      <c r="IN582" s="1"/>
      <c r="IO582" s="1"/>
      <c r="IP582" s="1"/>
      <c r="IQ582" s="1"/>
      <c r="IR582" s="1"/>
      <c r="IS582" s="1"/>
      <c r="IT582" s="1"/>
      <c r="IU582" s="1"/>
      <c r="IV582" s="1"/>
      <c r="IW582" s="1"/>
      <c r="IX582" s="1"/>
      <c r="IY582" s="1"/>
      <c r="IZ582" s="1"/>
      <c r="JA582" s="1"/>
      <c r="JB582" s="1"/>
      <c r="JC582" s="1"/>
      <c r="JD582" s="1"/>
    </row>
    <row r="583" spans="1:264" s="347" customFormat="1" x14ac:dyDescent="0.2">
      <c r="A583" s="347" t="s">
        <v>474</v>
      </c>
      <c r="B583" s="348"/>
      <c r="BH583" s="589">
        <v>3.3399999999999999E-2</v>
      </c>
      <c r="BI583" s="589">
        <v>2.924419E-2</v>
      </c>
      <c r="BJ583" s="500">
        <f>AVERAGE(BH583:BI583)</f>
        <v>3.1322095000000001E-2</v>
      </c>
      <c r="BK583" s="348"/>
      <c r="BL583" s="589">
        <v>2.5510999999999999E-2</v>
      </c>
      <c r="BM583" s="590">
        <v>2.5000000000000001E-2</v>
      </c>
      <c r="BN583" s="500">
        <f>AVERAGE(BL583:BM583)</f>
        <v>2.52555E-2</v>
      </c>
      <c r="BO583" s="348"/>
      <c r="BP583" s="589">
        <v>2.5000000000000001E-2</v>
      </c>
      <c r="BQ583" s="591">
        <v>2.2200000000000001E-2</v>
      </c>
      <c r="BR583" s="500">
        <f>AVERAGE(BP583:BQ583)</f>
        <v>2.3600000000000003E-2</v>
      </c>
      <c r="BT583" s="591">
        <v>0.02</v>
      </c>
      <c r="BU583" s="591">
        <v>1.9199999999999998E-2</v>
      </c>
      <c r="BV583" s="500">
        <f>AVERAGE(BT583:BU583)</f>
        <v>1.9599999999999999E-2</v>
      </c>
      <c r="BX583" s="500">
        <f>AVERAGE(BU582,BX582)</f>
        <v>1.6250000000000001E-2</v>
      </c>
      <c r="BY583" s="591">
        <v>1.4999999999999999E-2</v>
      </c>
      <c r="BZ583" s="500">
        <f>AVERAGE(BX583:BY583)</f>
        <v>1.5625E-2</v>
      </c>
      <c r="CB583" s="591">
        <f>AVERAGE(BY582,CB582)</f>
        <v>1.4999999999999999E-2</v>
      </c>
      <c r="CC583" s="591">
        <v>1.4999999999999999E-2</v>
      </c>
      <c r="CD583" s="500">
        <f>AVERAGE(CB583:CC583)</f>
        <v>1.4999999999999999E-2</v>
      </c>
      <c r="CF583" s="591">
        <f>AVERAGE(CC582,CF582)</f>
        <v>1.4999999999999999E-2</v>
      </c>
      <c r="CG583" s="591">
        <v>1.4999999999999999E-2</v>
      </c>
      <c r="CH583" s="500">
        <f>AVERAGE(CF583:CG583)</f>
        <v>1.4999999999999999E-2</v>
      </c>
      <c r="CJ583" s="591">
        <f>AVERAGE(CG582,CJ582)</f>
        <v>8.7500000000000008E-3</v>
      </c>
      <c r="CK583" s="591">
        <v>4.4999999999999997E-3</v>
      </c>
      <c r="CL583" s="500">
        <f>AVERAGE(CJ583:CK583)</f>
        <v>6.6250000000000007E-3</v>
      </c>
      <c r="CN583" s="591">
        <v>2.0219999999999999E-3</v>
      </c>
      <c r="CO583" s="591">
        <v>1E-3</v>
      </c>
      <c r="CP583" s="500">
        <f>AVERAGE(CN583:CO583)</f>
        <v>1.511E-3</v>
      </c>
      <c r="CR583" s="591">
        <v>1E-3</v>
      </c>
      <c r="CS583" s="591">
        <v>2.7000000000000001E-3</v>
      </c>
      <c r="CT583" s="500">
        <f>AVERAGE(CR583:CS583)</f>
        <v>1.8500000000000001E-3</v>
      </c>
      <c r="CV583" s="591">
        <v>2.35E-2</v>
      </c>
      <c r="CW583" s="591">
        <v>3.5999999999999997E-2</v>
      </c>
      <c r="CX583" s="500">
        <f>AVERAGE(CV583:CW583)</f>
        <v>2.9749999999999999E-2</v>
      </c>
      <c r="CZ583" s="591">
        <v>4.1799999999999997E-2</v>
      </c>
      <c r="DA583" s="591">
        <v>4.3499999999999997E-2</v>
      </c>
      <c r="DB583" s="500">
        <f>AVERAGE(CZ583:DA583)</f>
        <v>4.2649999999999993E-2</v>
      </c>
      <c r="DD583" s="591">
        <v>4.3499999999999997E-2</v>
      </c>
      <c r="DE583" s="591">
        <v>4.0599999999999997E-2</v>
      </c>
      <c r="DF583" s="500">
        <f>AVERAGE(DD583:DE583)</f>
        <v>4.2049999999999997E-2</v>
      </c>
      <c r="DH583" s="591">
        <v>3.6400000000000002E-2</v>
      </c>
      <c r="DI583" s="500">
        <f>AVERAGE(DH582,DI582)</f>
        <v>3.85E-2</v>
      </c>
      <c r="DJ583" s="500">
        <f>AVERAGE(DH583:DI583)</f>
        <v>3.7449999999999997E-2</v>
      </c>
      <c r="DL583" s="500">
        <f>AVERAGE(DI582,DL582)</f>
        <v>4.1000000000000002E-2</v>
      </c>
      <c r="DM583" s="500">
        <f>AVERAGE(DL582,DM582)</f>
        <v>4.1000000000000002E-2</v>
      </c>
      <c r="DN583" s="500">
        <f>AVERAGE(DL583:DM583)</f>
        <v>4.1000000000000002E-2</v>
      </c>
      <c r="DP583" s="500">
        <f>AVERAGE(DM582,DP582)</f>
        <v>4.1000000000000002E-2</v>
      </c>
      <c r="DQ583" s="500">
        <f>AVERAGE(DP582,DQ582)</f>
        <v>4.1000000000000002E-2</v>
      </c>
      <c r="DR583" s="500">
        <f>AVERAGE(DP583:DQ583)</f>
        <v>4.1000000000000002E-2</v>
      </c>
      <c r="DT583" s="1"/>
      <c r="DU583" s="1"/>
      <c r="DV583" s="1"/>
      <c r="DW583" s="1"/>
      <c r="DX583" s="1"/>
      <c r="DY583" s="1"/>
      <c r="DZ583" s="1"/>
      <c r="EA583" s="1"/>
      <c r="EB583" s="1"/>
      <c r="EC583" s="1"/>
      <c r="ED583" s="1"/>
      <c r="EE583" s="1"/>
      <c r="EF583" s="1"/>
      <c r="EG583" s="1"/>
      <c r="EH583" s="1"/>
      <c r="EI583" s="1"/>
      <c r="EJ583" s="1"/>
      <c r="EK583" s="1"/>
      <c r="EL583" s="1"/>
      <c r="EM583" s="1"/>
      <c r="EN583" s="1"/>
      <c r="EO583" s="1"/>
      <c r="EP583" s="1"/>
      <c r="EQ583" s="1"/>
      <c r="ER583" s="1"/>
      <c r="ES583" s="1"/>
      <c r="ET583" s="1"/>
      <c r="EU583" s="1"/>
      <c r="EV583" s="1"/>
      <c r="EW583" s="1"/>
      <c r="EX583" s="1"/>
      <c r="EY583" s="1"/>
      <c r="EZ583" s="1"/>
      <c r="FA583" s="1"/>
      <c r="FB583" s="1"/>
      <c r="FC583" s="1"/>
      <c r="FD583" s="1"/>
      <c r="FE583" s="1"/>
      <c r="FF583" s="1"/>
      <c r="FG583" s="1"/>
      <c r="FH583" s="1"/>
      <c r="FI583" s="1"/>
      <c r="FJ583" s="1"/>
      <c r="FK583" s="1"/>
      <c r="FL583" s="1"/>
      <c r="FM583" s="1"/>
      <c r="FN583" s="1"/>
      <c r="FO583" s="1"/>
      <c r="FP583" s="1"/>
      <c r="FQ583" s="1"/>
      <c r="FR583" s="1"/>
      <c r="FS583" s="1"/>
      <c r="FT583" s="1"/>
      <c r="FU583" s="1"/>
      <c r="FV583" s="1"/>
      <c r="FW583" s="1"/>
      <c r="FX583" s="1"/>
      <c r="FY583" s="1"/>
      <c r="FZ583" s="1"/>
      <c r="GA583" s="1"/>
      <c r="GB583" s="1"/>
      <c r="GC583" s="1"/>
      <c r="GD583" s="1"/>
      <c r="GE583" s="1"/>
      <c r="GF583" s="1"/>
      <c r="GG583" s="1"/>
      <c r="GH583" s="1"/>
      <c r="GI583" s="1"/>
      <c r="GJ583" s="1"/>
      <c r="GK583" s="1"/>
      <c r="GL583" s="1"/>
      <c r="GM583" s="1"/>
      <c r="GN583" s="1"/>
      <c r="GO583" s="1"/>
      <c r="GP583" s="1"/>
      <c r="GQ583" s="1"/>
      <c r="GR583" s="1"/>
      <c r="GS583" s="1"/>
      <c r="GT583" s="1"/>
      <c r="GU583" s="1"/>
      <c r="GV583" s="1"/>
      <c r="GW583" s="1"/>
      <c r="GX583" s="1"/>
      <c r="GY583" s="1"/>
      <c r="GZ583" s="1"/>
      <c r="HA583" s="1"/>
      <c r="HB583" s="1"/>
      <c r="HC583" s="1"/>
      <c r="HD583" s="1"/>
      <c r="HE583" s="1"/>
      <c r="HF583" s="1"/>
      <c r="HG583" s="1"/>
      <c r="HH583" s="1"/>
      <c r="HI583" s="1"/>
      <c r="HJ583" s="1"/>
      <c r="HK583" s="1"/>
      <c r="HL583" s="1"/>
      <c r="HM583" s="1"/>
      <c r="HN583" s="1"/>
      <c r="HO583" s="1"/>
      <c r="HP583" s="1"/>
      <c r="HQ583" s="1"/>
      <c r="HR583" s="1"/>
      <c r="HS583" s="1"/>
      <c r="HT583" s="1"/>
      <c r="HU583" s="1"/>
      <c r="HV583" s="1"/>
      <c r="HW583" s="1"/>
      <c r="HX583" s="1"/>
      <c r="HY583" s="1"/>
      <c r="HZ583" s="1"/>
      <c r="IA583" s="1"/>
      <c r="IB583" s="1"/>
      <c r="IC583" s="1"/>
      <c r="ID583" s="1"/>
      <c r="IE583" s="1"/>
      <c r="IF583" s="1"/>
      <c r="IG583" s="1"/>
      <c r="IH583" s="1"/>
      <c r="II583" s="1"/>
      <c r="IJ583" s="1"/>
      <c r="IK583" s="1"/>
      <c r="IL583" s="1"/>
      <c r="IM583" s="1"/>
      <c r="IN583" s="1"/>
      <c r="IO583" s="1"/>
      <c r="IP583" s="1"/>
      <c r="IQ583" s="1"/>
      <c r="IR583" s="1"/>
      <c r="IS583" s="1"/>
      <c r="IT583" s="1"/>
      <c r="IU583" s="1"/>
      <c r="IV583" s="1"/>
      <c r="IW583" s="1"/>
      <c r="IX583" s="1"/>
      <c r="IY583" s="1"/>
      <c r="IZ583" s="1"/>
      <c r="JA583" s="1"/>
      <c r="JB583" s="1"/>
      <c r="JC583" s="1"/>
      <c r="JD583" s="1"/>
    </row>
    <row r="584" spans="1:264" s="347" customFormat="1" x14ac:dyDescent="0.2">
      <c r="A584" s="347" t="s">
        <v>475</v>
      </c>
      <c r="B584" s="348"/>
      <c r="BH584" s="589">
        <v>3.3599999999999998E-2</v>
      </c>
      <c r="BI584" s="589">
        <v>2.9361267999999999E-2</v>
      </c>
      <c r="BJ584" s="500">
        <f>AVERAGE(BH584:BI584)</f>
        <v>3.1480634E-2</v>
      </c>
      <c r="BK584" s="348"/>
      <c r="BL584" s="589">
        <v>2.6224000000000001E-2</v>
      </c>
      <c r="BM584" s="590">
        <v>2.6623999999999998E-2</v>
      </c>
      <c r="BN584" s="500">
        <f>AVERAGE(BL584:BM584)</f>
        <v>2.6424E-2</v>
      </c>
      <c r="BO584" s="348"/>
      <c r="BP584" s="589">
        <v>2.6929999999999999E-2</v>
      </c>
      <c r="BQ584" s="589">
        <v>2.6929999999999999E-2</v>
      </c>
      <c r="BR584" s="500">
        <f>AVERAGE(BP584:BQ584)</f>
        <v>2.6929999999999999E-2</v>
      </c>
      <c r="BT584" s="592">
        <v>2.1899999999999999E-2</v>
      </c>
      <c r="BU584" s="592">
        <v>2.1899999999999999E-2</v>
      </c>
      <c r="BV584" s="500">
        <f>AVERAGE(BT584:BU584)</f>
        <v>2.1899999999999999E-2</v>
      </c>
      <c r="BX584" s="592">
        <v>1.78E-2</v>
      </c>
      <c r="BY584" s="592">
        <v>1.7613306451612937E-2</v>
      </c>
      <c r="BZ584" s="500">
        <f>AVERAGE(BX584:BY584)</f>
        <v>1.7706653225806467E-2</v>
      </c>
      <c r="CB584" s="592">
        <v>1.72E-2</v>
      </c>
      <c r="CC584" s="592">
        <v>1.9199999999999998E-2</v>
      </c>
      <c r="CD584" s="500">
        <f>AVERAGE(CB584:CC584)</f>
        <v>1.8200000000000001E-2</v>
      </c>
      <c r="CF584" s="592">
        <v>1.9599999999999999E-2</v>
      </c>
      <c r="CG584" s="592">
        <v>1.7299999999999999E-2</v>
      </c>
      <c r="CH584" s="500">
        <f>AVERAGE(CF584:CG584)</f>
        <v>1.8450000000000001E-2</v>
      </c>
      <c r="CJ584" s="592">
        <v>8.7170000000000008E-3</v>
      </c>
      <c r="CK584" s="592">
        <v>1.2099999999999999E-3</v>
      </c>
      <c r="CL584" s="500">
        <f>AVERAGE(CJ584:CK584)</f>
        <v>4.9635E-3</v>
      </c>
      <c r="CN584" s="592">
        <v>6.7000000000000002E-4</v>
      </c>
      <c r="CO584" s="592">
        <v>2.7980000000000002E-4</v>
      </c>
      <c r="CP584" s="500">
        <f>AVERAGE(CN584:CO584)</f>
        <v>4.749E-4</v>
      </c>
      <c r="CR584" s="592">
        <v>2.9999999999999997E-4</v>
      </c>
      <c r="CS584" s="592">
        <v>5.5974878048780496E-3</v>
      </c>
      <c r="CT584" s="500">
        <f>AVERAGE(CR584:CS584)</f>
        <v>2.9487439024390247E-3</v>
      </c>
      <c r="CV584" s="592">
        <v>2.7199999999999998E-2</v>
      </c>
      <c r="CW584" s="592">
        <v>3.6999999999999998E-2</v>
      </c>
      <c r="CX584" s="500">
        <f>AVERAGE(CV584:CW584)</f>
        <v>3.2099999999999997E-2</v>
      </c>
      <c r="CZ584" s="592">
        <v>4.2500000000000003E-2</v>
      </c>
      <c r="DA584" s="592">
        <v>4.36E-2</v>
      </c>
      <c r="DB584" s="500">
        <f>AVERAGE(CZ584:DA584)</f>
        <v>4.3050000000000005E-2</v>
      </c>
      <c r="DD584" s="592">
        <v>4.4200000000000003E-2</v>
      </c>
      <c r="DE584" s="592">
        <v>3.95E-2</v>
      </c>
      <c r="DF584" s="500">
        <f>AVERAGE(DD584:DE584)</f>
        <v>4.1849999999999998E-2</v>
      </c>
      <c r="DH584" s="592">
        <v>3.6299999999999999E-2</v>
      </c>
      <c r="DI584" s="500">
        <f>+DI583+DI585</f>
        <v>3.8399999999999997E-2</v>
      </c>
      <c r="DJ584" s="500">
        <f>AVERAGE(DH584:DI584)</f>
        <v>3.7349999999999994E-2</v>
      </c>
      <c r="DL584" s="500">
        <f>+DL583+DL585</f>
        <v>4.0899999999999999E-2</v>
      </c>
      <c r="DM584" s="500">
        <f>+DM583+DM585</f>
        <v>4.0899999999999999E-2</v>
      </c>
      <c r="DN584" s="500">
        <f>AVERAGE(DL584:DM584)</f>
        <v>4.0899999999999999E-2</v>
      </c>
      <c r="DP584" s="500">
        <f>+DP583+DP585</f>
        <v>4.0899999999999999E-2</v>
      </c>
      <c r="DQ584" s="500">
        <f>+DQ583+DQ585</f>
        <v>4.0899999999999999E-2</v>
      </c>
      <c r="DR584" s="500">
        <f>AVERAGE(DP584:DQ584)</f>
        <v>4.0899999999999999E-2</v>
      </c>
      <c r="DT584" s="1"/>
      <c r="DU584" s="1"/>
      <c r="DV584" s="1"/>
      <c r="DW584" s="1"/>
      <c r="DX584" s="1"/>
      <c r="DY584" s="1"/>
      <c r="DZ584" s="1"/>
      <c r="EA584" s="1"/>
      <c r="EB584" s="1"/>
      <c r="EC584" s="1"/>
      <c r="ED584" s="1"/>
      <c r="EE584" s="1"/>
      <c r="EF584" s="1"/>
      <c r="EG584" s="1"/>
      <c r="EH584" s="1"/>
      <c r="EI584" s="1"/>
      <c r="EJ584" s="1"/>
      <c r="EK584" s="1"/>
      <c r="EL584" s="1"/>
      <c r="EM584" s="1"/>
      <c r="EN584" s="1"/>
      <c r="EO584" s="1"/>
      <c r="EP584" s="1"/>
      <c r="EQ584" s="1"/>
      <c r="ER584" s="1"/>
      <c r="ES584" s="1"/>
      <c r="ET584" s="1"/>
      <c r="EU584" s="1"/>
      <c r="EV584" s="1"/>
      <c r="EW584" s="1"/>
      <c r="EX584" s="1"/>
      <c r="EY584" s="1"/>
      <c r="EZ584" s="1"/>
      <c r="FA584" s="1"/>
      <c r="FB584" s="1"/>
      <c r="FC584" s="1"/>
      <c r="FD584" s="1"/>
      <c r="FE584" s="1"/>
      <c r="FF584" s="1"/>
      <c r="FG584" s="1"/>
      <c r="FH584" s="1"/>
      <c r="FI584" s="1"/>
      <c r="FJ584" s="1"/>
      <c r="FK584" s="1"/>
      <c r="FL584" s="1"/>
      <c r="FM584" s="1"/>
      <c r="FN584" s="1"/>
      <c r="FO584" s="1"/>
      <c r="FP584" s="1"/>
      <c r="FQ584" s="1"/>
      <c r="FR584" s="1"/>
      <c r="FS584" s="1"/>
      <c r="FT584" s="1"/>
      <c r="FU584" s="1"/>
      <c r="FV584" s="1"/>
      <c r="FW584" s="1"/>
      <c r="FX584" s="1"/>
      <c r="FY584" s="1"/>
      <c r="FZ584" s="1"/>
      <c r="GA584" s="1"/>
      <c r="GB584" s="1"/>
      <c r="GC584" s="1"/>
      <c r="GD584" s="1"/>
      <c r="GE584" s="1"/>
      <c r="GF584" s="1"/>
      <c r="GG584" s="1"/>
      <c r="GH584" s="1"/>
      <c r="GI584" s="1"/>
      <c r="GJ584" s="1"/>
      <c r="GK584" s="1"/>
      <c r="GL584" s="1"/>
      <c r="GM584" s="1"/>
      <c r="GN584" s="1"/>
      <c r="GO584" s="1"/>
      <c r="GP584" s="1"/>
      <c r="GQ584" s="1"/>
      <c r="GR584" s="1"/>
      <c r="GS584" s="1"/>
      <c r="GT584" s="1"/>
      <c r="GU584" s="1"/>
      <c r="GV584" s="1"/>
      <c r="GW584" s="1"/>
      <c r="GX584" s="1"/>
      <c r="GY584" s="1"/>
      <c r="GZ584" s="1"/>
      <c r="HA584" s="1"/>
      <c r="HB584" s="1"/>
      <c r="HC584" s="1"/>
      <c r="HD584" s="1"/>
      <c r="HE584" s="1"/>
      <c r="HF584" s="1"/>
      <c r="HG584" s="1"/>
      <c r="HH584" s="1"/>
      <c r="HI584" s="1"/>
      <c r="HJ584" s="1"/>
      <c r="HK584" s="1"/>
      <c r="HL584" s="1"/>
      <c r="HM584" s="1"/>
      <c r="HN584" s="1"/>
      <c r="HO584" s="1"/>
      <c r="HP584" s="1"/>
      <c r="HQ584" s="1"/>
      <c r="HR584" s="1"/>
      <c r="HS584" s="1"/>
      <c r="HT584" s="1"/>
      <c r="HU584" s="1"/>
      <c r="HV584" s="1"/>
      <c r="HW584" s="1"/>
      <c r="HX584" s="1"/>
      <c r="HY584" s="1"/>
      <c r="HZ584" s="1"/>
      <c r="IA584" s="1"/>
      <c r="IB584" s="1"/>
      <c r="IC584" s="1"/>
      <c r="ID584" s="1"/>
      <c r="IE584" s="1"/>
      <c r="IF584" s="1"/>
      <c r="IG584" s="1"/>
      <c r="IH584" s="1"/>
      <c r="II584" s="1"/>
      <c r="IJ584" s="1"/>
      <c r="IK584" s="1"/>
      <c r="IL584" s="1"/>
      <c r="IM584" s="1"/>
      <c r="IN584" s="1"/>
      <c r="IO584" s="1"/>
      <c r="IP584" s="1"/>
      <c r="IQ584" s="1"/>
      <c r="IR584" s="1"/>
      <c r="IS584" s="1"/>
      <c r="IT584" s="1"/>
      <c r="IU584" s="1"/>
      <c r="IV584" s="1"/>
      <c r="IW584" s="1"/>
      <c r="IX584" s="1"/>
      <c r="IY584" s="1"/>
      <c r="IZ584" s="1"/>
      <c r="JA584" s="1"/>
      <c r="JB584" s="1"/>
      <c r="JC584" s="1"/>
      <c r="JD584" s="1"/>
    </row>
    <row r="585" spans="1:264" s="347" customFormat="1" x14ac:dyDescent="0.2">
      <c r="A585" s="583" t="s">
        <v>476</v>
      </c>
      <c r="B585" s="584" t="s">
        <v>473</v>
      </c>
      <c r="C585" s="583"/>
      <c r="D585" s="583"/>
      <c r="E585" s="583"/>
      <c r="F585" s="583"/>
      <c r="G585" s="583"/>
      <c r="H585" s="583"/>
      <c r="I585" s="583"/>
      <c r="J585" s="583"/>
      <c r="K585" s="583"/>
      <c r="L585" s="583"/>
      <c r="M585" s="583"/>
      <c r="N585" s="583"/>
      <c r="O585" s="583"/>
      <c r="P585" s="583"/>
      <c r="Q585" s="583"/>
      <c r="R585" s="583"/>
      <c r="S585" s="583"/>
      <c r="T585" s="583"/>
      <c r="U585" s="583"/>
      <c r="V585" s="583"/>
      <c r="W585" s="583"/>
      <c r="X585" s="583"/>
      <c r="Y585" s="583"/>
      <c r="Z585" s="583"/>
      <c r="AA585" s="583"/>
      <c r="AB585" s="583"/>
      <c r="AC585" s="583"/>
      <c r="AD585" s="583"/>
      <c r="AE585" s="583"/>
      <c r="AF585" s="583"/>
      <c r="AG585" s="583"/>
      <c r="AH585" s="583"/>
      <c r="AI585" s="583"/>
      <c r="AJ585" s="583"/>
      <c r="AK585" s="583"/>
      <c r="AL585" s="583"/>
      <c r="AM585" s="583"/>
      <c r="AN585" s="583"/>
      <c r="AO585" s="583"/>
      <c r="AP585" s="583"/>
      <c r="AQ585" s="583"/>
      <c r="AR585" s="583"/>
      <c r="AS585" s="583"/>
      <c r="AT585" s="583"/>
      <c r="AU585" s="583"/>
      <c r="AV585" s="583"/>
      <c r="AW585" s="583"/>
      <c r="AX585" s="583"/>
      <c r="AY585" s="583"/>
      <c r="AZ585" s="583"/>
      <c r="BA585" s="583"/>
      <c r="BB585" s="583"/>
      <c r="BC585" s="583"/>
      <c r="BD585" s="583"/>
      <c r="BE585" s="583"/>
      <c r="BF585" s="583"/>
      <c r="BG585" s="583"/>
      <c r="BH585" s="593">
        <f>+BH584-BH583</f>
        <v>1.9999999999999879E-4</v>
      </c>
      <c r="BI585" s="593">
        <f>+BI584-BI583</f>
        <v>1.1707799999999963E-4</v>
      </c>
      <c r="BJ585" s="593">
        <f>+BJ584-BJ583</f>
        <v>1.5853899999999921E-4</v>
      </c>
      <c r="BK585" s="587"/>
      <c r="BL585" s="593">
        <f>+BL584-BL583</f>
        <v>7.1300000000000183E-4</v>
      </c>
      <c r="BM585" s="593">
        <f>+BM584-BM583</f>
        <v>1.623999999999997E-3</v>
      </c>
      <c r="BN585" s="593">
        <f>+BN584-BN583</f>
        <v>1.1684999999999994E-3</v>
      </c>
      <c r="BO585" s="587"/>
      <c r="BP585" s="593">
        <f>+BP584-BP583</f>
        <v>1.9299999999999977E-3</v>
      </c>
      <c r="BQ585" s="593">
        <f>+BQ584-BQ583</f>
        <v>4.7299999999999981E-3</v>
      </c>
      <c r="BR585" s="586"/>
      <c r="BS585" s="583"/>
      <c r="BT585" s="593">
        <f>+BT584-BT583</f>
        <v>1.8999999999999989E-3</v>
      </c>
      <c r="BU585" s="593">
        <f>+BU584-BU583</f>
        <v>2.700000000000001E-3</v>
      </c>
      <c r="BV585" s="586"/>
      <c r="BW585" s="583"/>
      <c r="BX585" s="593">
        <f>+BX584-BX583</f>
        <v>1.5499999999999993E-3</v>
      </c>
      <c r="BY585" s="593">
        <f>+BY584-BY583</f>
        <v>2.6133064516129373E-3</v>
      </c>
      <c r="BZ585" s="586"/>
      <c r="CA585" s="583"/>
      <c r="CB585" s="593">
        <f>+CB584-CB583</f>
        <v>2.2000000000000006E-3</v>
      </c>
      <c r="CC585" s="593">
        <f>+CC584-CC583</f>
        <v>4.1999999999999989E-3</v>
      </c>
      <c r="CD585" s="586"/>
      <c r="CE585" s="583"/>
      <c r="CF585" s="593">
        <f>+CF584-CF583</f>
        <v>4.5999999999999999E-3</v>
      </c>
      <c r="CG585" s="593">
        <f>+CG584-CG583</f>
        <v>2.3E-3</v>
      </c>
      <c r="CH585" s="586"/>
      <c r="CI585" s="583"/>
      <c r="CJ585" s="593">
        <f>+CJ584-CJ583</f>
        <v>-3.3000000000000043E-5</v>
      </c>
      <c r="CK585" s="593">
        <f>+CK584-CK583</f>
        <v>-3.2899999999999995E-3</v>
      </c>
      <c r="CL585" s="586"/>
      <c r="CM585" s="583"/>
      <c r="CN585" s="593">
        <f>+CN584-CN583</f>
        <v>-1.3519999999999999E-3</v>
      </c>
      <c r="CO585" s="593">
        <f>+CO584-CO583</f>
        <v>-7.2020000000000005E-4</v>
      </c>
      <c r="CP585" s="586"/>
      <c r="CQ585" s="583"/>
      <c r="CR585" s="593">
        <f>+CR584-CR583</f>
        <v>-7.000000000000001E-4</v>
      </c>
      <c r="CS585" s="593">
        <f>+CS584-CS583</f>
        <v>2.8974878048780494E-3</v>
      </c>
      <c r="CT585" s="586"/>
      <c r="CU585" s="583"/>
      <c r="CV585" s="593">
        <f>+CV584-CV583</f>
        <v>3.6999999999999984E-3</v>
      </c>
      <c r="CW585" s="593">
        <f>+CW584-CW583</f>
        <v>1.0000000000000009E-3</v>
      </c>
      <c r="CX585" s="586"/>
      <c r="CY585" s="583"/>
      <c r="CZ585" s="593">
        <f>+CZ584-CZ583</f>
        <v>7.0000000000000617E-4</v>
      </c>
      <c r="DA585" s="593">
        <f>+DA584-DA583</f>
        <v>1.0000000000000286E-4</v>
      </c>
      <c r="DB585" s="586"/>
      <c r="DC585" s="583"/>
      <c r="DD585" s="593">
        <f>+DD584-DD583</f>
        <v>7.0000000000000617E-4</v>
      </c>
      <c r="DE585" s="593">
        <f>+DE584-DE583</f>
        <v>-1.0999999999999968E-3</v>
      </c>
      <c r="DF585" s="586"/>
      <c r="DG585" s="583"/>
      <c r="DH585" s="593">
        <f>+DH584-DH583</f>
        <v>-1.0000000000000286E-4</v>
      </c>
      <c r="DI585" s="593">
        <f>DH585</f>
        <v>-1.0000000000000286E-4</v>
      </c>
      <c r="DJ585" s="586"/>
      <c r="DK585" s="583"/>
      <c r="DL585" s="593">
        <f>DI585</f>
        <v>-1.0000000000000286E-4</v>
      </c>
      <c r="DM585" s="593">
        <f>DL585</f>
        <v>-1.0000000000000286E-4</v>
      </c>
      <c r="DN585" s="586"/>
      <c r="DO585" s="583"/>
      <c r="DP585" s="593">
        <f>DM585</f>
        <v>-1.0000000000000286E-4</v>
      </c>
      <c r="DQ585" s="593">
        <f>DP585</f>
        <v>-1.0000000000000286E-4</v>
      </c>
      <c r="DR585" s="586"/>
      <c r="DS585" s="583"/>
      <c r="DT585" s="1"/>
      <c r="DU585" s="1"/>
      <c r="DV585" s="1"/>
      <c r="DW585" s="1"/>
      <c r="DX585" s="1"/>
      <c r="DY585" s="1"/>
      <c r="DZ585" s="1"/>
      <c r="EA585" s="1"/>
      <c r="EB585" s="1"/>
      <c r="EC585" s="1"/>
      <c r="ED585" s="1"/>
      <c r="EE585" s="1"/>
      <c r="EF585" s="1"/>
      <c r="EG585" s="1"/>
      <c r="EH585" s="1"/>
      <c r="EI585" s="1"/>
      <c r="EJ585" s="1"/>
      <c r="EK585" s="1"/>
      <c r="EL585" s="1"/>
      <c r="EM585" s="1"/>
      <c r="EN585" s="1"/>
      <c r="EO585" s="1"/>
      <c r="EP585" s="1"/>
      <c r="EQ585" s="1"/>
      <c r="ER585" s="1"/>
      <c r="ES585" s="1"/>
      <c r="ET585" s="1"/>
      <c r="EU585" s="1"/>
      <c r="EV585" s="1"/>
      <c r="EW585" s="1"/>
      <c r="EX585" s="1"/>
      <c r="EY585" s="1"/>
      <c r="EZ585" s="1"/>
      <c r="FA585" s="1"/>
      <c r="FB585" s="1"/>
      <c r="FC585" s="1"/>
      <c r="FD585" s="1"/>
      <c r="FE585" s="1"/>
      <c r="FF585" s="1"/>
      <c r="FG585" s="1"/>
      <c r="FH585" s="1"/>
      <c r="FI585" s="1"/>
      <c r="FJ585" s="1"/>
      <c r="FK585" s="1"/>
      <c r="FL585" s="1"/>
      <c r="FM585" s="1"/>
      <c r="FN585" s="1"/>
      <c r="FO585" s="1"/>
      <c r="FP585" s="1"/>
      <c r="FQ585" s="1"/>
      <c r="FR585" s="1"/>
      <c r="FS585" s="1"/>
      <c r="FT585" s="1"/>
      <c r="FU585" s="1"/>
      <c r="FV585" s="1"/>
      <c r="FW585" s="1"/>
      <c r="FX585" s="1"/>
      <c r="FY585" s="1"/>
      <c r="FZ585" s="1"/>
      <c r="GA585" s="1"/>
      <c r="GB585" s="1"/>
      <c r="GC585" s="1"/>
      <c r="GD585" s="1"/>
      <c r="GE585" s="1"/>
      <c r="GF585" s="1"/>
      <c r="GG585" s="1"/>
      <c r="GH585" s="1"/>
      <c r="GI585" s="1"/>
      <c r="GJ585" s="1"/>
      <c r="GK585" s="1"/>
      <c r="GL585" s="1"/>
      <c r="GM585" s="1"/>
      <c r="GN585" s="1"/>
      <c r="GO585" s="1"/>
      <c r="GP585" s="1"/>
      <c r="GQ585" s="1"/>
      <c r="GR585" s="1"/>
      <c r="GS585" s="1"/>
      <c r="GT585" s="1"/>
      <c r="GU585" s="1"/>
      <c r="GV585" s="1"/>
      <c r="GW585" s="1"/>
      <c r="GX585" s="1"/>
      <c r="GY585" s="1"/>
      <c r="GZ585" s="1"/>
      <c r="HA585" s="1"/>
      <c r="HB585" s="1"/>
      <c r="HC585" s="1"/>
      <c r="HD585" s="1"/>
      <c r="HE585" s="1"/>
      <c r="HF585" s="1"/>
      <c r="HG585" s="1"/>
      <c r="HH585" s="1"/>
      <c r="HI585" s="1"/>
      <c r="HJ585" s="1"/>
      <c r="HK585" s="1"/>
      <c r="HL585" s="1"/>
      <c r="HM585" s="1"/>
      <c r="HN585" s="1"/>
      <c r="HO585" s="1"/>
      <c r="HP585" s="1"/>
      <c r="HQ585" s="1"/>
      <c r="HR585" s="1"/>
      <c r="HS585" s="1"/>
      <c r="HT585" s="1"/>
      <c r="HU585" s="1"/>
      <c r="HV585" s="1"/>
      <c r="HW585" s="1"/>
      <c r="HX585" s="1"/>
      <c r="HY585" s="1"/>
      <c r="HZ585" s="1"/>
      <c r="IA585" s="1"/>
      <c r="IB585" s="1"/>
      <c r="IC585" s="1"/>
      <c r="ID585" s="1"/>
      <c r="IE585" s="1"/>
      <c r="IF585" s="1"/>
      <c r="IG585" s="1"/>
      <c r="IH585" s="1"/>
      <c r="II585" s="1"/>
      <c r="IJ585" s="1"/>
      <c r="IK585" s="1"/>
      <c r="IL585" s="1"/>
      <c r="IM585" s="1"/>
      <c r="IN585" s="1"/>
      <c r="IO585" s="1"/>
      <c r="IP585" s="1"/>
      <c r="IQ585" s="1"/>
      <c r="IR585" s="1"/>
      <c r="IS585" s="1"/>
      <c r="IT585" s="1"/>
      <c r="IU585" s="1"/>
      <c r="IV585" s="1"/>
      <c r="IW585" s="1"/>
      <c r="IX585" s="1"/>
      <c r="IY585" s="1"/>
      <c r="IZ585" s="1"/>
      <c r="JA585" s="1"/>
      <c r="JB585" s="1"/>
      <c r="JC585" s="1"/>
      <c r="JD585" s="1"/>
    </row>
    <row r="586" spans="1:264" s="347" customFormat="1" x14ac:dyDescent="0.2">
      <c r="B586" s="348"/>
      <c r="BH586" s="348"/>
      <c r="BI586" s="348"/>
      <c r="BJ586" s="348"/>
      <c r="BK586" s="348"/>
      <c r="BL586" s="348"/>
      <c r="BM586" s="348"/>
      <c r="BN586" s="348"/>
      <c r="BO586" s="348"/>
      <c r="BP586" s="348"/>
      <c r="BR586" s="348"/>
      <c r="BT586" s="348"/>
      <c r="BV586" s="348"/>
      <c r="BX586" s="348"/>
      <c r="BZ586" s="348"/>
      <c r="CB586" s="348"/>
      <c r="CD586" s="348"/>
      <c r="CF586" s="348"/>
      <c r="CH586" s="348"/>
      <c r="CJ586" s="348"/>
      <c r="CL586" s="348"/>
      <c r="CN586" s="348"/>
      <c r="CP586" s="348"/>
      <c r="CR586" s="348"/>
      <c r="CT586" s="348"/>
      <c r="CV586" s="348"/>
      <c r="CX586" s="348"/>
      <c r="CZ586" s="348"/>
      <c r="DB586" s="348"/>
      <c r="DD586" s="348"/>
      <c r="DF586" s="348"/>
      <c r="DH586" s="348"/>
      <c r="DJ586" s="348"/>
      <c r="DL586" s="348"/>
      <c r="DN586" s="348"/>
      <c r="DP586" s="348"/>
      <c r="DR586" s="348"/>
      <c r="DT586" s="1"/>
      <c r="DU586" s="1"/>
      <c r="DV586" s="1"/>
      <c r="DW586" s="1"/>
      <c r="DX586" s="1"/>
      <c r="DY586" s="1"/>
      <c r="DZ586" s="1"/>
      <c r="EA586" s="1"/>
      <c r="EB586" s="1"/>
      <c r="EC586" s="1"/>
      <c r="ED586" s="1"/>
      <c r="EE586" s="1"/>
      <c r="EF586" s="1"/>
      <c r="EG586" s="1"/>
      <c r="EH586" s="1"/>
      <c r="EI586" s="1"/>
      <c r="EJ586" s="1"/>
      <c r="EK586" s="1"/>
      <c r="EL586" s="1"/>
      <c r="EM586" s="1"/>
      <c r="EN586" s="1"/>
      <c r="EO586" s="1"/>
      <c r="EP586" s="1"/>
      <c r="EQ586" s="1"/>
      <c r="ER586" s="1"/>
      <c r="ES586" s="1"/>
      <c r="ET586" s="1"/>
      <c r="EU586" s="1"/>
      <c r="EV586" s="1"/>
      <c r="EW586" s="1"/>
      <c r="EX586" s="1"/>
      <c r="EY586" s="1"/>
      <c r="EZ586" s="1"/>
      <c r="FA586" s="1"/>
      <c r="FB586" s="1"/>
      <c r="FC586" s="1"/>
      <c r="FD586" s="1"/>
      <c r="FE586" s="1"/>
      <c r="FF586" s="1"/>
      <c r="FG586" s="1"/>
      <c r="FH586" s="1"/>
      <c r="FI586" s="1"/>
      <c r="FJ586" s="1"/>
      <c r="FK586" s="1"/>
      <c r="FL586" s="1"/>
      <c r="FM586" s="1"/>
      <c r="FN586" s="1"/>
      <c r="FO586" s="1"/>
      <c r="FP586" s="1"/>
      <c r="FQ586" s="1"/>
      <c r="FR586" s="1"/>
      <c r="FS586" s="1"/>
      <c r="FT586" s="1"/>
      <c r="FU586" s="1"/>
      <c r="FV586" s="1"/>
      <c r="FW586" s="1"/>
      <c r="FX586" s="1"/>
      <c r="FY586" s="1"/>
      <c r="FZ586" s="1"/>
      <c r="GA586" s="1"/>
      <c r="GB586" s="1"/>
      <c r="GC586" s="1"/>
      <c r="GD586" s="1"/>
      <c r="GE586" s="1"/>
      <c r="GF586" s="1"/>
      <c r="GG586" s="1"/>
      <c r="GH586" s="1"/>
      <c r="GI586" s="1"/>
      <c r="GJ586" s="1"/>
      <c r="GK586" s="1"/>
      <c r="GL586" s="1"/>
      <c r="GM586" s="1"/>
      <c r="GN586" s="1"/>
      <c r="GO586" s="1"/>
      <c r="GP586" s="1"/>
      <c r="GQ586" s="1"/>
      <c r="GR586" s="1"/>
      <c r="GS586" s="1"/>
      <c r="GT586" s="1"/>
      <c r="GU586" s="1"/>
      <c r="GV586" s="1"/>
      <c r="GW586" s="1"/>
      <c r="GX586" s="1"/>
      <c r="GY586" s="1"/>
      <c r="GZ586" s="1"/>
      <c r="HA586" s="1"/>
      <c r="HB586" s="1"/>
      <c r="HC586" s="1"/>
      <c r="HD586" s="1"/>
      <c r="HE586" s="1"/>
      <c r="HF586" s="1"/>
      <c r="HG586" s="1"/>
      <c r="HH586" s="1"/>
      <c r="HI586" s="1"/>
      <c r="HJ586" s="1"/>
      <c r="HK586" s="1"/>
      <c r="HL586" s="1"/>
      <c r="HM586" s="1"/>
      <c r="HN586" s="1"/>
      <c r="HO586" s="1"/>
      <c r="HP586" s="1"/>
      <c r="HQ586" s="1"/>
      <c r="HR586" s="1"/>
      <c r="HS586" s="1"/>
      <c r="HT586" s="1"/>
      <c r="HU586" s="1"/>
      <c r="HV586" s="1"/>
      <c r="HW586" s="1"/>
      <c r="HX586" s="1"/>
      <c r="HY586" s="1"/>
      <c r="HZ586" s="1"/>
      <c r="IA586" s="1"/>
      <c r="IB586" s="1"/>
      <c r="IC586" s="1"/>
      <c r="ID586" s="1"/>
      <c r="IE586" s="1"/>
      <c r="IF586" s="1"/>
      <c r="IG586" s="1"/>
      <c r="IH586" s="1"/>
      <c r="II586" s="1"/>
      <c r="IJ586" s="1"/>
      <c r="IK586" s="1"/>
      <c r="IL586" s="1"/>
      <c r="IM586" s="1"/>
      <c r="IN586" s="1"/>
      <c r="IO586" s="1"/>
      <c r="IP586" s="1"/>
      <c r="IQ586" s="1"/>
      <c r="IR586" s="1"/>
      <c r="IS586" s="1"/>
      <c r="IT586" s="1"/>
      <c r="IU586" s="1"/>
      <c r="IV586" s="1"/>
      <c r="IW586" s="1"/>
      <c r="IX586" s="1"/>
      <c r="IY586" s="1"/>
      <c r="IZ586" s="1"/>
      <c r="JA586" s="1"/>
      <c r="JB586" s="1"/>
      <c r="JC586" s="1"/>
      <c r="JD586" s="1"/>
    </row>
    <row r="587" spans="1:264" s="347" customFormat="1" x14ac:dyDescent="0.2">
      <c r="A587" s="347" t="s">
        <v>423</v>
      </c>
      <c r="B587" s="348"/>
      <c r="BH587" s="351">
        <f>BH486</f>
        <v>545436</v>
      </c>
      <c r="BI587" s="351">
        <f>BI486</f>
        <v>554660</v>
      </c>
      <c r="BJ587" s="351">
        <f>BJ486</f>
        <v>550010</v>
      </c>
      <c r="BK587" s="348"/>
      <c r="BL587" s="351">
        <f>BL486</f>
        <v>575745</v>
      </c>
      <c r="BM587" s="351">
        <f>BM486</f>
        <v>596239</v>
      </c>
      <c r="BN587" s="351">
        <f>BN486</f>
        <v>585908</v>
      </c>
      <c r="BO587" s="348"/>
      <c r="BP587" s="351">
        <f>BP486</f>
        <v>612837</v>
      </c>
      <c r="BQ587" s="351">
        <f>BQ486</f>
        <v>636001</v>
      </c>
      <c r="BR587" s="351">
        <f>BR486</f>
        <v>624324</v>
      </c>
      <c r="BT587" s="351">
        <f>BT486</f>
        <v>635978</v>
      </c>
      <c r="BU587" s="351">
        <f>BU486</f>
        <v>653614</v>
      </c>
      <c r="BV587" s="351">
        <f>BV486</f>
        <v>644796</v>
      </c>
      <c r="BX587" s="351">
        <f>BX486</f>
        <v>674387</v>
      </c>
      <c r="BY587" s="351">
        <f>BY486</f>
        <v>686017</v>
      </c>
      <c r="BZ587" s="351">
        <f>BZ486</f>
        <v>680154</v>
      </c>
      <c r="CB587" s="351">
        <f>CB486</f>
        <v>697558</v>
      </c>
      <c r="CC587" s="351">
        <f>CC486</f>
        <v>702297</v>
      </c>
      <c r="CD587" s="351">
        <f>CD486</f>
        <v>699909</v>
      </c>
      <c r="CF587" s="351">
        <f>CF486</f>
        <v>706975</v>
      </c>
      <c r="CG587" s="351">
        <f>CG486</f>
        <v>712135</v>
      </c>
      <c r="CH587" s="351">
        <f>CH486</f>
        <v>709534</v>
      </c>
      <c r="CJ587" s="351">
        <f>CJ486</f>
        <v>717276</v>
      </c>
      <c r="CK587" s="351">
        <f>CK486</f>
        <v>728809</v>
      </c>
      <c r="CL587" s="351">
        <f>CL486</f>
        <v>723011</v>
      </c>
      <c r="CN587" s="351">
        <f>CN486</f>
        <v>728465</v>
      </c>
      <c r="CO587" s="351">
        <f>CO486</f>
        <v>742305</v>
      </c>
      <c r="CP587" s="351">
        <f>CP486</f>
        <v>735328</v>
      </c>
      <c r="CR587" s="351">
        <f>CR486</f>
        <v>772004</v>
      </c>
      <c r="CS587" s="351">
        <f>CS486</f>
        <v>797286</v>
      </c>
      <c r="CT587" s="351">
        <f>CT486</f>
        <v>784542</v>
      </c>
      <c r="CV587" s="351">
        <f>CV486</f>
        <v>825880</v>
      </c>
      <c r="CW587" s="351">
        <f>CW486</f>
        <v>847500</v>
      </c>
      <c r="CX587" s="351">
        <f>CX486</f>
        <v>836601</v>
      </c>
      <c r="CZ587" s="351">
        <f>CZ486</f>
        <v>850249</v>
      </c>
      <c r="DA587" s="351">
        <f>DA486</f>
        <v>855234</v>
      </c>
      <c r="DB587" s="351">
        <f>DB486</f>
        <v>852728</v>
      </c>
      <c r="DD587" s="351">
        <f>DD486</f>
        <v>871589</v>
      </c>
      <c r="DE587" s="351">
        <f>DE486</f>
        <v>901398</v>
      </c>
      <c r="DF587" s="351">
        <f>DF486</f>
        <v>886371</v>
      </c>
      <c r="DH587" s="351">
        <f>DH486</f>
        <v>932343</v>
      </c>
      <c r="DI587" s="351">
        <f>DI486</f>
        <v>963805.50745847845</v>
      </c>
      <c r="DJ587" s="351">
        <f>DJ486</f>
        <v>948074.25372923922</v>
      </c>
      <c r="DL587" s="351">
        <f>DL486</f>
        <v>994698.74495509511</v>
      </c>
      <c r="DM587" s="351">
        <f>DM486</f>
        <v>1024773.4648116865</v>
      </c>
      <c r="DN587" s="351">
        <f>DN486</f>
        <v>1009736.1048833908</v>
      </c>
      <c r="DP587" s="351">
        <f>DP486</f>
        <v>1052638.4531518826</v>
      </c>
      <c r="DQ587" s="351">
        <f>DQ486</f>
        <v>1078181.5716284728</v>
      </c>
      <c r="DR587" s="351">
        <f>DR486</f>
        <v>1065410.0123901777</v>
      </c>
      <c r="DT587" s="1"/>
      <c r="DU587" s="1"/>
      <c r="DV587" s="1"/>
      <c r="DW587" s="1"/>
      <c r="DX587" s="1"/>
      <c r="DY587" s="1"/>
      <c r="DZ587" s="1"/>
      <c r="EA587" s="1"/>
      <c r="EB587" s="1"/>
      <c r="EC587" s="1"/>
      <c r="ED587" s="1"/>
      <c r="EE587" s="1"/>
      <c r="EF587" s="1"/>
      <c r="EG587" s="1"/>
      <c r="EH587" s="1"/>
      <c r="EI587" s="1"/>
      <c r="EJ587" s="1"/>
      <c r="EK587" s="1"/>
      <c r="EL587" s="1"/>
      <c r="EM587" s="1"/>
      <c r="EN587" s="1"/>
      <c r="EO587" s="1"/>
      <c r="EP587" s="1"/>
      <c r="EQ587" s="1"/>
      <c r="ER587" s="1"/>
      <c r="ES587" s="1"/>
      <c r="ET587" s="1"/>
      <c r="EU587" s="1"/>
      <c r="EV587" s="1"/>
      <c r="EW587" s="1"/>
      <c r="EX587" s="1"/>
      <c r="EY587" s="1"/>
      <c r="EZ587" s="1"/>
      <c r="FA587" s="1"/>
      <c r="FB587" s="1"/>
      <c r="FC587" s="1"/>
      <c r="FD587" s="1"/>
      <c r="FE587" s="1"/>
      <c r="FF587" s="1"/>
      <c r="FG587" s="1"/>
      <c r="FH587" s="1"/>
      <c r="FI587" s="1"/>
      <c r="FJ587" s="1"/>
      <c r="FK587" s="1"/>
      <c r="FL587" s="1"/>
      <c r="FM587" s="1"/>
      <c r="FN587" s="1"/>
      <c r="FO587" s="1"/>
      <c r="FP587" s="1"/>
      <c r="FQ587" s="1"/>
      <c r="FR587" s="1"/>
      <c r="FS587" s="1"/>
      <c r="FT587" s="1"/>
      <c r="FU587" s="1"/>
      <c r="FV587" s="1"/>
      <c r="FW587" s="1"/>
      <c r="FX587" s="1"/>
      <c r="FY587" s="1"/>
      <c r="FZ587" s="1"/>
      <c r="GA587" s="1"/>
      <c r="GB587" s="1"/>
      <c r="GC587" s="1"/>
      <c r="GD587" s="1"/>
      <c r="GE587" s="1"/>
      <c r="GF587" s="1"/>
      <c r="GG587" s="1"/>
      <c r="GH587" s="1"/>
      <c r="GI587" s="1"/>
      <c r="GJ587" s="1"/>
      <c r="GK587" s="1"/>
      <c r="GL587" s="1"/>
      <c r="GM587" s="1"/>
      <c r="GN587" s="1"/>
      <c r="GO587" s="1"/>
      <c r="GP587" s="1"/>
      <c r="GQ587" s="1"/>
      <c r="GR587" s="1"/>
      <c r="GS587" s="1"/>
      <c r="GT587" s="1"/>
      <c r="GU587" s="1"/>
      <c r="GV587" s="1"/>
      <c r="GW587" s="1"/>
      <c r="GX587" s="1"/>
      <c r="GY587" s="1"/>
      <c r="GZ587" s="1"/>
      <c r="HA587" s="1"/>
      <c r="HB587" s="1"/>
      <c r="HC587" s="1"/>
      <c r="HD587" s="1"/>
      <c r="HE587" s="1"/>
      <c r="HF587" s="1"/>
      <c r="HG587" s="1"/>
      <c r="HH587" s="1"/>
      <c r="HI587" s="1"/>
      <c r="HJ587" s="1"/>
      <c r="HK587" s="1"/>
      <c r="HL587" s="1"/>
      <c r="HM587" s="1"/>
      <c r="HN587" s="1"/>
      <c r="HO587" s="1"/>
      <c r="HP587" s="1"/>
      <c r="HQ587" s="1"/>
      <c r="HR587" s="1"/>
      <c r="HS587" s="1"/>
      <c r="HT587" s="1"/>
      <c r="HU587" s="1"/>
      <c r="HV587" s="1"/>
      <c r="HW587" s="1"/>
      <c r="HX587" s="1"/>
      <c r="HY587" s="1"/>
      <c r="HZ587" s="1"/>
      <c r="IA587" s="1"/>
      <c r="IB587" s="1"/>
      <c r="IC587" s="1"/>
      <c r="ID587" s="1"/>
      <c r="IE587" s="1"/>
      <c r="IF587" s="1"/>
      <c r="IG587" s="1"/>
      <c r="IH587" s="1"/>
      <c r="II587" s="1"/>
      <c r="IJ587" s="1"/>
      <c r="IK587" s="1"/>
      <c r="IL587" s="1"/>
      <c r="IM587" s="1"/>
      <c r="IN587" s="1"/>
      <c r="IO587" s="1"/>
      <c r="IP587" s="1"/>
      <c r="IQ587" s="1"/>
      <c r="IR587" s="1"/>
      <c r="IS587" s="1"/>
      <c r="IT587" s="1"/>
      <c r="IU587" s="1"/>
      <c r="IV587" s="1"/>
      <c r="IW587" s="1"/>
      <c r="IX587" s="1"/>
      <c r="IY587" s="1"/>
      <c r="IZ587" s="1"/>
      <c r="JA587" s="1"/>
      <c r="JB587" s="1"/>
      <c r="JC587" s="1"/>
      <c r="JD587" s="1"/>
    </row>
    <row r="588" spans="1:264" s="411" customFormat="1" x14ac:dyDescent="0.2">
      <c r="A588" s="411" t="s">
        <v>477</v>
      </c>
      <c r="B588" s="423"/>
      <c r="BH588" s="396">
        <v>16352</v>
      </c>
      <c r="BI588" s="396">
        <v>15683</v>
      </c>
      <c r="BJ588" s="397">
        <f>+BI588+BH588</f>
        <v>32035</v>
      </c>
      <c r="BK588" s="423"/>
      <c r="BL588" s="396">
        <v>15617</v>
      </c>
      <c r="BM588" s="396">
        <v>15525</v>
      </c>
      <c r="BN588" s="397">
        <f>+BM588+BL588</f>
        <v>31142</v>
      </c>
      <c r="BO588" s="423"/>
      <c r="BP588" s="396">
        <f>31477-BQ588</f>
        <v>15929</v>
      </c>
      <c r="BQ588" s="396">
        <v>15548</v>
      </c>
      <c r="BR588" s="397">
        <f>+BQ588+BP588</f>
        <v>31477</v>
      </c>
      <c r="BT588" s="396">
        <v>15459</v>
      </c>
      <c r="BU588" s="396">
        <v>15507</v>
      </c>
      <c r="BV588" s="397">
        <f>+BU588+BT588</f>
        <v>30966</v>
      </c>
      <c r="BX588" s="396">
        <v>15446</v>
      </c>
      <c r="BY588" s="420">
        <f>BZ588-BX588</f>
        <v>15288</v>
      </c>
      <c r="BZ588" s="399">
        <f>30734</f>
        <v>30734</v>
      </c>
      <c r="CB588" s="396">
        <v>15836</v>
      </c>
      <c r="CC588" s="396">
        <v>15878</v>
      </c>
      <c r="CD588" s="397">
        <f>+CC588+CB588</f>
        <v>31714</v>
      </c>
      <c r="CF588" s="524">
        <v>15874</v>
      </c>
      <c r="CG588" s="396">
        <v>15575</v>
      </c>
      <c r="CH588" s="397">
        <f>+CG588+CF588</f>
        <v>31449</v>
      </c>
      <c r="CJ588" s="524">
        <v>14768</v>
      </c>
      <c r="CK588" s="396">
        <v>13376</v>
      </c>
      <c r="CL588" s="397">
        <f>+CK588+CJ588</f>
        <v>28144</v>
      </c>
      <c r="CN588" s="524">
        <v>12341</v>
      </c>
      <c r="CO588" s="396">
        <v>11578</v>
      </c>
      <c r="CP588" s="397">
        <f>+CO588+CN588</f>
        <v>23919</v>
      </c>
      <c r="CR588" s="524">
        <v>11612</v>
      </c>
      <c r="CS588" s="396">
        <v>11561</v>
      </c>
      <c r="CT588" s="397">
        <f>+CS588+CR588</f>
        <v>23173</v>
      </c>
      <c r="CV588" s="524">
        <v>16155</v>
      </c>
      <c r="CW588" s="396">
        <v>19718</v>
      </c>
      <c r="CX588" s="397">
        <f>+CW588+CV588</f>
        <v>35873</v>
      </c>
      <c r="CZ588" s="524">
        <v>22682</v>
      </c>
      <c r="DA588" s="396">
        <v>24321</v>
      </c>
      <c r="DB588" s="397">
        <f>+DA588+CZ588</f>
        <v>47003</v>
      </c>
      <c r="DD588" s="524">
        <v>26366</v>
      </c>
      <c r="DE588" s="396">
        <v>26582</v>
      </c>
      <c r="DF588" s="397">
        <f>+DE588+DD588</f>
        <v>52948</v>
      </c>
      <c r="DH588" s="524">
        <v>26506</v>
      </c>
      <c r="DI588" s="397">
        <f>+DI587*DI589*(DI$3/DI$4)</f>
        <v>27909.598984630793</v>
      </c>
      <c r="DJ588" s="397">
        <f>+DI588+DH588</f>
        <v>54415.598984630793</v>
      </c>
      <c r="DL588" s="397">
        <f>+DL587*DL589*(DL$3/DL$4)</f>
        <v>30485.063192639875</v>
      </c>
      <c r="DM588" s="397">
        <f>+DM587*DM589*(DM$3/DM$4)</f>
        <v>30843.894594194182</v>
      </c>
      <c r="DN588" s="397">
        <f>+DM588+DL588</f>
        <v>61328.957786834057</v>
      </c>
      <c r="DP588" s="397">
        <f>+DP587*DP589*(DP$3/DP$4)</f>
        <v>32066.789101165898</v>
      </c>
      <c r="DQ588" s="397">
        <f>+DQ587*DQ589*(DQ$3/DQ$4)</f>
        <v>32434.29107834095</v>
      </c>
      <c r="DR588" s="397">
        <f>+DQ588+DP588</f>
        <v>64501.080179506847</v>
      </c>
      <c r="DT588" s="1"/>
      <c r="DU588" s="1"/>
      <c r="DV588" s="1"/>
      <c r="DW588" s="1"/>
      <c r="DX588" s="1"/>
      <c r="DY588" s="1"/>
      <c r="DZ588" s="1"/>
      <c r="EA588" s="1"/>
      <c r="EB588" s="1"/>
      <c r="EC588" s="1"/>
      <c r="ED588" s="1"/>
      <c r="EE588" s="1"/>
      <c r="EF588" s="1"/>
      <c r="EG588" s="1"/>
      <c r="EH588" s="1"/>
      <c r="EI588" s="1"/>
      <c r="EJ588" s="1"/>
      <c r="EK588" s="1"/>
      <c r="EL588" s="1"/>
      <c r="EM588" s="1"/>
      <c r="EN588" s="1"/>
      <c r="EO588" s="1"/>
      <c r="EP588" s="1"/>
      <c r="EQ588" s="1"/>
      <c r="ER588" s="1"/>
      <c r="ES588" s="1"/>
      <c r="ET588" s="1"/>
      <c r="EU588" s="1"/>
      <c r="EV588" s="1"/>
      <c r="EW588" s="1"/>
      <c r="EX588" s="1"/>
      <c r="EY588" s="1"/>
      <c r="EZ588" s="1"/>
      <c r="FA588" s="1"/>
      <c r="FB588" s="1"/>
      <c r="FC588" s="1"/>
      <c r="FD588" s="1"/>
      <c r="FE588" s="1"/>
      <c r="FF588" s="1"/>
      <c r="FG588" s="1"/>
      <c r="FH588" s="1"/>
      <c r="FI588" s="1"/>
      <c r="FJ588" s="1"/>
      <c r="FK588" s="1"/>
      <c r="FL588" s="1"/>
      <c r="FM588" s="1"/>
      <c r="FN588" s="1"/>
      <c r="FO588" s="1"/>
      <c r="FP588" s="1"/>
      <c r="FQ588" s="1"/>
      <c r="FR588" s="1"/>
      <c r="FS588" s="1"/>
      <c r="FT588" s="1"/>
      <c r="FU588" s="1"/>
      <c r="FV588" s="1"/>
      <c r="FW588" s="1"/>
      <c r="FX588" s="1"/>
      <c r="FY588" s="1"/>
      <c r="FZ588" s="1"/>
      <c r="GA588" s="1"/>
      <c r="GB588" s="1"/>
      <c r="GC588" s="1"/>
      <c r="GD588" s="1"/>
      <c r="GE588" s="1"/>
      <c r="GF588" s="1"/>
      <c r="GG588" s="1"/>
      <c r="GH588" s="1"/>
      <c r="GI588" s="1"/>
      <c r="GJ588" s="1"/>
      <c r="GK588" s="1"/>
      <c r="GL588" s="1"/>
      <c r="GM588" s="1"/>
      <c r="GN588" s="1"/>
      <c r="GO588" s="1"/>
      <c r="GP588" s="1"/>
      <c r="GQ588" s="1"/>
      <c r="GR588" s="1"/>
      <c r="GS588" s="1"/>
      <c r="GT588" s="1"/>
      <c r="GU588" s="1"/>
      <c r="GV588" s="1"/>
      <c r="GW588" s="1"/>
      <c r="GX588" s="1"/>
      <c r="GY588" s="1"/>
      <c r="GZ588" s="1"/>
      <c r="HA588" s="1"/>
      <c r="HB588" s="1"/>
      <c r="HC588" s="1"/>
      <c r="HD588" s="1"/>
      <c r="HE588" s="1"/>
      <c r="HF588" s="1"/>
      <c r="HG588" s="1"/>
      <c r="HH588" s="1"/>
      <c r="HI588" s="1"/>
      <c r="HJ588" s="1"/>
      <c r="HK588" s="1"/>
      <c r="HL588" s="1"/>
      <c r="HM588" s="1"/>
      <c r="HN588" s="1"/>
      <c r="HO588" s="1"/>
      <c r="HP588" s="1"/>
      <c r="HQ588" s="1"/>
      <c r="HR588" s="1"/>
      <c r="HS588" s="1"/>
      <c r="HT588" s="1"/>
      <c r="HU588" s="1"/>
      <c r="HV588" s="1"/>
      <c r="HW588" s="1"/>
      <c r="HX588" s="1"/>
      <c r="HY588" s="1"/>
      <c r="HZ588" s="1"/>
      <c r="IA588" s="1"/>
      <c r="IB588" s="1"/>
      <c r="IC588" s="1"/>
      <c r="ID588" s="1"/>
      <c r="IE588" s="1"/>
      <c r="IF588" s="1"/>
      <c r="IG588" s="1"/>
      <c r="IH588" s="1"/>
      <c r="II588" s="1"/>
      <c r="IJ588" s="1"/>
      <c r="IK588" s="1"/>
      <c r="IL588" s="1"/>
      <c r="IM588" s="1"/>
      <c r="IN588" s="1"/>
      <c r="IO588" s="1"/>
      <c r="IP588" s="1"/>
      <c r="IQ588" s="1"/>
      <c r="IR588" s="1"/>
      <c r="IS588" s="1"/>
      <c r="IT588" s="1"/>
      <c r="IU588" s="1"/>
      <c r="IV588" s="1"/>
      <c r="IW588" s="1"/>
      <c r="IX588" s="1"/>
      <c r="IY588" s="1"/>
      <c r="IZ588" s="1"/>
      <c r="JA588" s="1"/>
      <c r="JB588" s="1"/>
      <c r="JC588" s="1"/>
      <c r="JD588" s="1"/>
    </row>
    <row r="589" spans="1:264" s="411" customFormat="1" x14ac:dyDescent="0.2">
      <c r="A589" s="411" t="s">
        <v>466</v>
      </c>
      <c r="B589" s="423"/>
      <c r="BH589" s="490">
        <f>+BH588*(BH$4/BH$3)/BH587</f>
        <v>5.9470572724110306E-2</v>
      </c>
      <c r="BI589" s="490">
        <f>+BI588*(BI$4/BI$3)/BI587</f>
        <v>5.7018604598347344E-2</v>
      </c>
      <c r="BJ589" s="490">
        <f>+BJ588*(BJ$4/BJ$3)/BJ587</f>
        <v>5.824439555644443E-2</v>
      </c>
      <c r="BK589" s="423"/>
      <c r="BL589" s="490">
        <f>+BL588*(BL$4/BL$3)/BL587</f>
        <v>5.3807458162901979E-2</v>
      </c>
      <c r="BM589" s="490">
        <f>+BM588*(BM$4/BM$3)/BM587</f>
        <v>5.2508005081836229E-2</v>
      </c>
      <c r="BN589" s="490">
        <f>+BN588*(BN$4/BN$3)/BN587</f>
        <v>5.3151689343719492E-2</v>
      </c>
      <c r="BO589" s="423"/>
      <c r="BP589" s="490">
        <f>+BP588*(BP$4/BP$3)/BP587</f>
        <v>5.1560672811005633E-2</v>
      </c>
      <c r="BQ589" s="490">
        <f>+BQ588*(BQ$4/BQ$3)/BQ587</f>
        <v>4.929819553343244E-2</v>
      </c>
      <c r="BR589" s="490">
        <f>+BR588*(BR$4/BR$3)/BR587</f>
        <v>5.0417731818735143E-2</v>
      </c>
      <c r="BT589" s="490">
        <f>+BT588*(BT$4/BT$3)/BT587</f>
        <v>4.8350677839963566E-2</v>
      </c>
      <c r="BU589" s="490">
        <f>+BU588*(BU$4/BU$3)/BU587</f>
        <v>4.7710738437987239E-2</v>
      </c>
      <c r="BV589" s="490">
        <f>+BV588*(BV$4/BV$3)/BV587</f>
        <v>4.8024491467068657E-2</v>
      </c>
      <c r="BX589" s="490">
        <f>+BX588*(BX$4/BX$3)/BX587</f>
        <v>4.5434095027748547E-2</v>
      </c>
      <c r="BY589" s="490">
        <f>+BY588*(BY$4/BY$3)/BY587</f>
        <v>4.4939691385480783E-2</v>
      </c>
      <c r="BZ589" s="490">
        <f>+BZ588*(BZ$4/BZ$3)/BZ587</f>
        <v>4.5186825336614944E-2</v>
      </c>
      <c r="CB589" s="490">
        <f>+CB588*(CB$4/CB$3)/CB587</f>
        <v>4.503396756660534E-2</v>
      </c>
      <c r="CC589" s="490">
        <f>+CC588*(CC$4/CC$3)/CC587</f>
        <v>4.5592066135435913E-2</v>
      </c>
      <c r="CD589" s="490">
        <f>+CD588*(CD$4/CD$3)/CD587</f>
        <v>4.5311604794337552E-2</v>
      </c>
      <c r="CF589" s="490">
        <f>+CF588*(CF$4/CF$3)/CF587</f>
        <v>4.4540733098919615E-2</v>
      </c>
      <c r="CG589" s="490">
        <f>+CG588*(CG$4/CG$3)/CG587</f>
        <v>4.4104206605869278E-2</v>
      </c>
      <c r="CH589" s="490">
        <f>+CH588*(CH$4/CH$3)/CH587</f>
        <v>4.4323457367793508E-2</v>
      </c>
      <c r="CJ589" s="490">
        <f>+CJ588*(CJ$4/CJ$3)/CJ587</f>
        <v>4.0954218823534547E-2</v>
      </c>
      <c r="CK589" s="490">
        <f>+CK588*(CK$4/CK$3)/CK587</f>
        <v>3.6908146045107858E-2</v>
      </c>
      <c r="CL589" s="490">
        <f>+CL588*(CL$4/CL$3)/CL587</f>
        <v>3.8926102092499283E-2</v>
      </c>
      <c r="CN589" s="490">
        <f>+CN588*(CN$4/CN$3)/CN587</f>
        <v>3.3605990738715327E-2</v>
      </c>
      <c r="CO589" s="490">
        <f>+CO588*(CO$4/CO$3)/CO587</f>
        <v>3.1453244357085283E-2</v>
      </c>
      <c r="CP589" s="490">
        <f>+CP588*(CP$4/CP$3)/CP587</f>
        <v>3.2528341094042387E-2</v>
      </c>
      <c r="CR589" s="490">
        <f>+CR588*(CR$4/CR$3)/CR587</f>
        <v>2.9837505910647457E-2</v>
      </c>
      <c r="CS589" s="490">
        <f>+CS588*(CS$4/CS$3)/CS587</f>
        <v>2.9241224334216814E-2</v>
      </c>
      <c r="CT589" s="490">
        <f>+CT588*(CT$4/CT$3)/CT587</f>
        <v>2.9536978262476705E-2</v>
      </c>
      <c r="CV589" s="490">
        <f>+CV588*(CV$4/CV$3)/CV587</f>
        <v>3.8802977746003733E-2</v>
      </c>
      <c r="CW589" s="490">
        <f>+CW588*(CW$4/CW$3)/CW587</f>
        <v>4.6917778972929813E-2</v>
      </c>
      <c r="CX589" s="490">
        <f>+CX588*(CX$4/CX$3)/CX587</f>
        <v>4.2879461057302108E-2</v>
      </c>
      <c r="CZ589" s="490">
        <f>+CZ588*(CZ$4/CZ$3)/CZ587</f>
        <v>5.3063816037112806E-2</v>
      </c>
      <c r="DA589" s="490">
        <f>+DA588*(DA$4/DA$3)/DA587</f>
        <v>5.7188165737404886E-2</v>
      </c>
      <c r="DB589" s="490">
        <f>+DB588*(DB$4/DB$3)/DB587</f>
        <v>5.5120741901286227E-2</v>
      </c>
      <c r="DD589" s="490">
        <f>+DD588*(DD$4/DD$3)/DD587</f>
        <v>6.0007778396947861E-2</v>
      </c>
      <c r="DE589" s="490">
        <f>+DE588*(DE$4/DE$3)/DE587</f>
        <v>5.9468276649558921E-2</v>
      </c>
      <c r="DF589" s="490">
        <f>+DF588*(DF$4/DF$3)/DF587</f>
        <v>5.973570886231612E-2</v>
      </c>
      <c r="DH589" s="490">
        <f>+DH588*(DH$4/DH$3)/DH587</f>
        <v>5.6395379121762852E-2</v>
      </c>
      <c r="DI589" s="582">
        <f>+DI583+DI590</f>
        <v>5.8395379121762847E-2</v>
      </c>
      <c r="DJ589" s="490">
        <f>+DJ588*(DJ$4/DJ$3)/DJ587</f>
        <v>5.739592523537862E-2</v>
      </c>
      <c r="DL589" s="582">
        <f>+DL583+DL590</f>
        <v>6.0795379121762853E-2</v>
      </c>
      <c r="DM589" s="582">
        <f>+DM583+DM590</f>
        <v>6.0695379121762857E-2</v>
      </c>
      <c r="DN589" s="490">
        <f>+DN588*(DN$4/DN$3)/DN587</f>
        <v>6.0737610045068773E-2</v>
      </c>
      <c r="DP589" s="582">
        <f>+DP583+DP590</f>
        <v>6.0595379121762855E-2</v>
      </c>
      <c r="DQ589" s="582">
        <f>+DQ583+DQ590</f>
        <v>6.0495379121762852E-2</v>
      </c>
      <c r="DR589" s="490">
        <f>+DR588*(DR$4/DR$3)/DR587</f>
        <v>6.0541086933098079E-2</v>
      </c>
      <c r="DT589" s="1"/>
      <c r="DU589" s="1"/>
      <c r="DV589" s="1"/>
      <c r="DW589" s="1"/>
      <c r="DX589" s="1"/>
      <c r="DY589" s="1"/>
      <c r="DZ589" s="1"/>
      <c r="EA589" s="1"/>
      <c r="EB589" s="1"/>
      <c r="EC589" s="1"/>
      <c r="ED589" s="1"/>
      <c r="EE589" s="1"/>
      <c r="EF589" s="1"/>
      <c r="EG589" s="1"/>
      <c r="EH589" s="1"/>
      <c r="EI589" s="1"/>
      <c r="EJ589" s="1"/>
      <c r="EK589" s="1"/>
      <c r="EL589" s="1"/>
      <c r="EM589" s="1"/>
      <c r="EN589" s="1"/>
      <c r="EO589" s="1"/>
      <c r="EP589" s="1"/>
      <c r="EQ589" s="1"/>
      <c r="ER589" s="1"/>
      <c r="ES589" s="1"/>
      <c r="ET589" s="1"/>
      <c r="EU589" s="1"/>
      <c r="EV589" s="1"/>
      <c r="EW589" s="1"/>
      <c r="EX589" s="1"/>
      <c r="EY589" s="1"/>
      <c r="EZ589" s="1"/>
      <c r="FA589" s="1"/>
      <c r="FB589" s="1"/>
      <c r="FC589" s="1"/>
      <c r="FD589" s="1"/>
      <c r="FE589" s="1"/>
      <c r="FF589" s="1"/>
      <c r="FG589" s="1"/>
      <c r="FH589" s="1"/>
      <c r="FI589" s="1"/>
      <c r="FJ589" s="1"/>
      <c r="FK589" s="1"/>
      <c r="FL589" s="1"/>
      <c r="FM589" s="1"/>
      <c r="FN589" s="1"/>
      <c r="FO589" s="1"/>
      <c r="FP589" s="1"/>
      <c r="FQ589" s="1"/>
      <c r="FR589" s="1"/>
      <c r="FS589" s="1"/>
      <c r="FT589" s="1"/>
      <c r="FU589" s="1"/>
      <c r="FV589" s="1"/>
      <c r="FW589" s="1"/>
      <c r="FX589" s="1"/>
      <c r="FY589" s="1"/>
      <c r="FZ589" s="1"/>
      <c r="GA589" s="1"/>
      <c r="GB589" s="1"/>
      <c r="GC589" s="1"/>
      <c r="GD589" s="1"/>
      <c r="GE589" s="1"/>
      <c r="GF589" s="1"/>
      <c r="GG589" s="1"/>
      <c r="GH589" s="1"/>
      <c r="GI589" s="1"/>
      <c r="GJ589" s="1"/>
      <c r="GK589" s="1"/>
      <c r="GL589" s="1"/>
      <c r="GM589" s="1"/>
      <c r="GN589" s="1"/>
      <c r="GO589" s="1"/>
      <c r="GP589" s="1"/>
      <c r="GQ589" s="1"/>
      <c r="GR589" s="1"/>
      <c r="GS589" s="1"/>
      <c r="GT589" s="1"/>
      <c r="GU589" s="1"/>
      <c r="GV589" s="1"/>
      <c r="GW589" s="1"/>
      <c r="GX589" s="1"/>
      <c r="GY589" s="1"/>
      <c r="GZ589" s="1"/>
      <c r="HA589" s="1"/>
      <c r="HB589" s="1"/>
      <c r="HC589" s="1"/>
      <c r="HD589" s="1"/>
      <c r="HE589" s="1"/>
      <c r="HF589" s="1"/>
      <c r="HG589" s="1"/>
      <c r="HH589" s="1"/>
      <c r="HI589" s="1"/>
      <c r="HJ589" s="1"/>
      <c r="HK589" s="1"/>
      <c r="HL589" s="1"/>
      <c r="HM589" s="1"/>
      <c r="HN589" s="1"/>
      <c r="HO589" s="1"/>
      <c r="HP589" s="1"/>
      <c r="HQ589" s="1"/>
      <c r="HR589" s="1"/>
      <c r="HS589" s="1"/>
      <c r="HT589" s="1"/>
      <c r="HU589" s="1"/>
      <c r="HV589" s="1"/>
      <c r="HW589" s="1"/>
      <c r="HX589" s="1"/>
      <c r="HY589" s="1"/>
      <c r="HZ589" s="1"/>
      <c r="IA589" s="1"/>
      <c r="IB589" s="1"/>
      <c r="IC589" s="1"/>
      <c r="ID589" s="1"/>
      <c r="IE589" s="1"/>
      <c r="IF589" s="1"/>
      <c r="IG589" s="1"/>
      <c r="IH589" s="1"/>
      <c r="II589" s="1"/>
      <c r="IJ589" s="1"/>
      <c r="IK589" s="1"/>
      <c r="IL589" s="1"/>
      <c r="IM589" s="1"/>
      <c r="IN589" s="1"/>
      <c r="IO589" s="1"/>
      <c r="IP589" s="1"/>
      <c r="IQ589" s="1"/>
      <c r="IR589" s="1"/>
      <c r="IS589" s="1"/>
      <c r="IT589" s="1"/>
      <c r="IU589" s="1"/>
      <c r="IV589" s="1"/>
      <c r="IW589" s="1"/>
      <c r="IX589" s="1"/>
      <c r="IY589" s="1"/>
      <c r="IZ589" s="1"/>
      <c r="JA589" s="1"/>
      <c r="JB589" s="1"/>
      <c r="JC589" s="1"/>
      <c r="JD589" s="1"/>
    </row>
    <row r="590" spans="1:264" s="347" customFormat="1" x14ac:dyDescent="0.2">
      <c r="A590" s="347" t="s">
        <v>478</v>
      </c>
      <c r="B590" s="348"/>
      <c r="BH590" s="500">
        <f>BH589-BH583</f>
        <v>2.6070572724110307E-2</v>
      </c>
      <c r="BI590" s="500">
        <f>BI589-BI583</f>
        <v>2.7774414598347345E-2</v>
      </c>
      <c r="BJ590" s="500">
        <f>BJ589-BJ583</f>
        <v>2.6922300556444428E-2</v>
      </c>
      <c r="BK590" s="348"/>
      <c r="BL590" s="500">
        <f>BL589-BL583</f>
        <v>2.829645816290198E-2</v>
      </c>
      <c r="BM590" s="500">
        <f>BM589-BM583</f>
        <v>2.7508005081836227E-2</v>
      </c>
      <c r="BN590" s="500">
        <f>BN589-BN583</f>
        <v>2.7896189343719492E-2</v>
      </c>
      <c r="BO590" s="348"/>
      <c r="BP590" s="500">
        <f>BP589-BP583</f>
        <v>2.6560672811005631E-2</v>
      </c>
      <c r="BQ590" s="500">
        <f>BQ589-BQ583</f>
        <v>2.7098195533432439E-2</v>
      </c>
      <c r="BR590" s="500">
        <f>BR589-BR583</f>
        <v>2.681773181873514E-2</v>
      </c>
      <c r="BT590" s="500">
        <f>BT589-BT583</f>
        <v>2.8350677839963565E-2</v>
      </c>
      <c r="BU590" s="500">
        <f>BU589-BU583</f>
        <v>2.8510738437987241E-2</v>
      </c>
      <c r="BV590" s="500">
        <f>BV589-BV583</f>
        <v>2.8424491467068658E-2</v>
      </c>
      <c r="BX590" s="500">
        <f>BX589-BX583</f>
        <v>2.9184095027748547E-2</v>
      </c>
      <c r="BY590" s="500">
        <f>BY589-BY583</f>
        <v>2.9939691385480784E-2</v>
      </c>
      <c r="BZ590" s="500">
        <f>BZ589-BZ583</f>
        <v>2.9561825336614944E-2</v>
      </c>
      <c r="CB590" s="500">
        <f>CB589-CB583</f>
        <v>3.0033967566605341E-2</v>
      </c>
      <c r="CC590" s="500">
        <f>CC589-CC583</f>
        <v>3.0592066135435914E-2</v>
      </c>
      <c r="CD590" s="500">
        <f>CD589-CD583</f>
        <v>3.0311604794337553E-2</v>
      </c>
      <c r="CF590" s="500">
        <f>CF589-CF583</f>
        <v>2.9540733098919615E-2</v>
      </c>
      <c r="CG590" s="500">
        <f>CG589-CG583</f>
        <v>2.9104206605869279E-2</v>
      </c>
      <c r="CH590" s="500">
        <f>CH589-CH583</f>
        <v>2.9323457367793508E-2</v>
      </c>
      <c r="CJ590" s="500">
        <f>CJ589-CJ583</f>
        <v>3.2204218823534546E-2</v>
      </c>
      <c r="CK590" s="500">
        <f>CK589-CK583</f>
        <v>3.2408146045107861E-2</v>
      </c>
      <c r="CL590" s="500">
        <f>CL589-CL583</f>
        <v>3.2301102092499284E-2</v>
      </c>
      <c r="CN590" s="500">
        <f>CN589-CN583</f>
        <v>3.1583990738715324E-2</v>
      </c>
      <c r="CO590" s="500">
        <f>CO589-CO583</f>
        <v>3.0453244357085282E-2</v>
      </c>
      <c r="CP590" s="500">
        <f>CP589-CP583</f>
        <v>3.1017341094042389E-2</v>
      </c>
      <c r="CR590" s="500">
        <f>CR589-CR583</f>
        <v>2.8837505910647456E-2</v>
      </c>
      <c r="CS590" s="500">
        <f>CS589-CS583</f>
        <v>2.6541224334216813E-2</v>
      </c>
      <c r="CT590" s="500">
        <f>CT589-CT583</f>
        <v>2.7686978262476705E-2</v>
      </c>
      <c r="CV590" s="500">
        <f>CV589-CV583</f>
        <v>1.5302977746003733E-2</v>
      </c>
      <c r="CW590" s="500">
        <f>CW589-CW583</f>
        <v>1.0917778972929816E-2</v>
      </c>
      <c r="CX590" s="500">
        <f>CX589-CX583</f>
        <v>1.3129461057302109E-2</v>
      </c>
      <c r="CZ590" s="500">
        <f>CZ589-CZ583</f>
        <v>1.1263816037112809E-2</v>
      </c>
      <c r="DA590" s="500">
        <f>DA589-DA583</f>
        <v>1.3688165737404889E-2</v>
      </c>
      <c r="DB590" s="500">
        <f>DB589-DB583</f>
        <v>1.2470741901286234E-2</v>
      </c>
      <c r="DD590" s="500">
        <f>DD589-DD583</f>
        <v>1.6507778396947864E-2</v>
      </c>
      <c r="DE590" s="500">
        <f>DE589-DE583</f>
        <v>1.8868276649558924E-2</v>
      </c>
      <c r="DF590" s="500">
        <f>DF589-DF583</f>
        <v>1.7685708862316123E-2</v>
      </c>
      <c r="DH590" s="500">
        <f>DH589-DH583</f>
        <v>1.999537912176285E-2</v>
      </c>
      <c r="DI590" s="500">
        <f>+DH590+DI591</f>
        <v>1.9895379121762851E-2</v>
      </c>
      <c r="DJ590" s="500">
        <f>DJ589-DJ583</f>
        <v>1.9945925235378623E-2</v>
      </c>
      <c r="DL590" s="500">
        <f>+DI590+DL591</f>
        <v>1.9795379121762852E-2</v>
      </c>
      <c r="DM590" s="500">
        <f>+DL590+DM591</f>
        <v>1.9695379121762852E-2</v>
      </c>
      <c r="DN590" s="500">
        <f>DN589-DN583</f>
        <v>1.9737610045068771E-2</v>
      </c>
      <c r="DP590" s="500">
        <f>+DM590+DP591</f>
        <v>1.9595379121762853E-2</v>
      </c>
      <c r="DQ590" s="500">
        <f>+DP590+DQ591</f>
        <v>1.9495379121762853E-2</v>
      </c>
      <c r="DR590" s="500">
        <f>DR589-DR583</f>
        <v>1.9541086933098077E-2</v>
      </c>
      <c r="DT590" s="1"/>
      <c r="DU590" s="1"/>
      <c r="DV590" s="1"/>
      <c r="DW590" s="1"/>
      <c r="DX590" s="1"/>
      <c r="DY590" s="1"/>
      <c r="DZ590" s="1"/>
      <c r="EA590" s="1"/>
      <c r="EB590" s="1"/>
      <c r="EC590" s="1"/>
      <c r="ED590" s="1"/>
      <c r="EE590" s="1"/>
      <c r="EF590" s="1"/>
      <c r="EG590" s="1"/>
      <c r="EH590" s="1"/>
      <c r="EI590" s="1"/>
      <c r="EJ590" s="1"/>
      <c r="EK590" s="1"/>
      <c r="EL590" s="1"/>
      <c r="EM590" s="1"/>
      <c r="EN590" s="1"/>
      <c r="EO590" s="1"/>
      <c r="EP590" s="1"/>
      <c r="EQ590" s="1"/>
      <c r="ER590" s="1"/>
      <c r="ES590" s="1"/>
      <c r="ET590" s="1"/>
      <c r="EU590" s="1"/>
      <c r="EV590" s="1"/>
      <c r="EW590" s="1"/>
      <c r="EX590" s="1"/>
      <c r="EY590" s="1"/>
      <c r="EZ590" s="1"/>
      <c r="FA590" s="1"/>
      <c r="FB590" s="1"/>
      <c r="FC590" s="1"/>
      <c r="FD590" s="1"/>
      <c r="FE590" s="1"/>
      <c r="FF590" s="1"/>
      <c r="FG590" s="1"/>
      <c r="FH590" s="1"/>
      <c r="FI590" s="1"/>
      <c r="FJ590" s="1"/>
      <c r="FK590" s="1"/>
      <c r="FL590" s="1"/>
      <c r="FM590" s="1"/>
      <c r="FN590" s="1"/>
      <c r="FO590" s="1"/>
      <c r="FP590" s="1"/>
      <c r="FQ590" s="1"/>
      <c r="FR590" s="1"/>
      <c r="FS590" s="1"/>
      <c r="FT590" s="1"/>
      <c r="FU590" s="1"/>
      <c r="FV590" s="1"/>
      <c r="FW590" s="1"/>
      <c r="FX590" s="1"/>
      <c r="FY590" s="1"/>
      <c r="FZ590" s="1"/>
      <c r="GA590" s="1"/>
      <c r="GB590" s="1"/>
      <c r="GC590" s="1"/>
      <c r="GD590" s="1"/>
      <c r="GE590" s="1"/>
      <c r="GF590" s="1"/>
      <c r="GG590" s="1"/>
      <c r="GH590" s="1"/>
      <c r="GI590" s="1"/>
      <c r="GJ590" s="1"/>
      <c r="GK590" s="1"/>
      <c r="GL590" s="1"/>
      <c r="GM590" s="1"/>
      <c r="GN590" s="1"/>
      <c r="GO590" s="1"/>
      <c r="GP590" s="1"/>
      <c r="GQ590" s="1"/>
      <c r="GR590" s="1"/>
      <c r="GS590" s="1"/>
      <c r="GT590" s="1"/>
      <c r="GU590" s="1"/>
      <c r="GV590" s="1"/>
      <c r="GW590" s="1"/>
      <c r="GX590" s="1"/>
      <c r="GY590" s="1"/>
      <c r="GZ590" s="1"/>
      <c r="HA590" s="1"/>
      <c r="HB590" s="1"/>
      <c r="HC590" s="1"/>
      <c r="HD590" s="1"/>
      <c r="HE590" s="1"/>
      <c r="HF590" s="1"/>
      <c r="HG590" s="1"/>
      <c r="HH590" s="1"/>
      <c r="HI590" s="1"/>
      <c r="HJ590" s="1"/>
      <c r="HK590" s="1"/>
      <c r="HL590" s="1"/>
      <c r="HM590" s="1"/>
      <c r="HN590" s="1"/>
      <c r="HO590" s="1"/>
      <c r="HP590" s="1"/>
      <c r="HQ590" s="1"/>
      <c r="HR590" s="1"/>
      <c r="HS590" s="1"/>
      <c r="HT590" s="1"/>
      <c r="HU590" s="1"/>
      <c r="HV590" s="1"/>
      <c r="HW590" s="1"/>
      <c r="HX590" s="1"/>
      <c r="HY590" s="1"/>
      <c r="HZ590" s="1"/>
      <c r="IA590" s="1"/>
      <c r="IB590" s="1"/>
      <c r="IC590" s="1"/>
      <c r="ID590" s="1"/>
      <c r="IE590" s="1"/>
      <c r="IF590" s="1"/>
      <c r="IG590" s="1"/>
      <c r="IH590" s="1"/>
      <c r="II590" s="1"/>
      <c r="IJ590" s="1"/>
      <c r="IK590" s="1"/>
      <c r="IL590" s="1"/>
      <c r="IM590" s="1"/>
      <c r="IN590" s="1"/>
      <c r="IO590" s="1"/>
      <c r="IP590" s="1"/>
      <c r="IQ590" s="1"/>
      <c r="IR590" s="1"/>
      <c r="IS590" s="1"/>
      <c r="IT590" s="1"/>
      <c r="IU590" s="1"/>
      <c r="IV590" s="1"/>
      <c r="IW590" s="1"/>
      <c r="IX590" s="1"/>
      <c r="IY590" s="1"/>
      <c r="IZ590" s="1"/>
      <c r="JA590" s="1"/>
      <c r="JB590" s="1"/>
      <c r="JC590" s="1"/>
      <c r="JD590" s="1"/>
    </row>
    <row r="591" spans="1:264" s="429" customFormat="1" x14ac:dyDescent="0.2">
      <c r="A591" s="594" t="s">
        <v>479</v>
      </c>
      <c r="B591" s="584" t="s">
        <v>473</v>
      </c>
      <c r="C591" s="594"/>
      <c r="D591" s="594"/>
      <c r="E591" s="594"/>
      <c r="F591" s="594"/>
      <c r="G591" s="594"/>
      <c r="H591" s="594"/>
      <c r="I591" s="594"/>
      <c r="J591" s="594"/>
      <c r="K591" s="594"/>
      <c r="L591" s="594"/>
      <c r="M591" s="594"/>
      <c r="N591" s="594"/>
      <c r="O591" s="594"/>
      <c r="P591" s="594"/>
      <c r="Q591" s="594"/>
      <c r="R591" s="594"/>
      <c r="S591" s="594"/>
      <c r="T591" s="594"/>
      <c r="U591" s="594"/>
      <c r="V591" s="594"/>
      <c r="W591" s="594"/>
      <c r="X591" s="594"/>
      <c r="Y591" s="594"/>
      <c r="Z591" s="594"/>
      <c r="AA591" s="594"/>
      <c r="AB591" s="594"/>
      <c r="AC591" s="594"/>
      <c r="AD591" s="594"/>
      <c r="AE591" s="594"/>
      <c r="AF591" s="594"/>
      <c r="AG591" s="594"/>
      <c r="AH591" s="594"/>
      <c r="AI591" s="594"/>
      <c r="AJ591" s="594"/>
      <c r="AK591" s="594"/>
      <c r="AL591" s="594"/>
      <c r="AM591" s="594"/>
      <c r="AN591" s="594"/>
      <c r="AO591" s="594"/>
      <c r="AP591" s="594"/>
      <c r="AQ591" s="594"/>
      <c r="AR591" s="594"/>
      <c r="AS591" s="594"/>
      <c r="AT591" s="594"/>
      <c r="AU591" s="594"/>
      <c r="AV591" s="594"/>
      <c r="AW591" s="594"/>
      <c r="AX591" s="594"/>
      <c r="AY591" s="594"/>
      <c r="AZ591" s="594"/>
      <c r="BA591" s="594"/>
      <c r="BB591" s="594"/>
      <c r="BC591" s="594"/>
      <c r="BD591" s="594"/>
      <c r="BE591" s="594"/>
      <c r="BF591" s="594"/>
      <c r="BG591" s="594"/>
      <c r="BH591" s="595"/>
      <c r="BI591" s="596">
        <f>+BI590-BH590</f>
        <v>1.703841874237038E-3</v>
      </c>
      <c r="BJ591" s="584"/>
      <c r="BK591" s="584"/>
      <c r="BL591" s="595">
        <f>+BL590-BI590</f>
        <v>5.2204356455463549E-4</v>
      </c>
      <c r="BM591" s="596">
        <f>+BM590-BL590</f>
        <v>-7.8845308106575279E-4</v>
      </c>
      <c r="BN591" s="584"/>
      <c r="BO591" s="584"/>
      <c r="BP591" s="595">
        <f>+BP590-BM590</f>
        <v>-9.4733227083059618E-4</v>
      </c>
      <c r="BQ591" s="596">
        <f>+BQ590-BP590</f>
        <v>5.3752272242680796E-4</v>
      </c>
      <c r="BR591" s="584"/>
      <c r="BS591" s="594"/>
      <c r="BT591" s="595">
        <f>+BT590-BQ590</f>
        <v>1.2524823065311261E-3</v>
      </c>
      <c r="BU591" s="596">
        <f>+BU590-BT590</f>
        <v>1.6006059802367578E-4</v>
      </c>
      <c r="BV591" s="584"/>
      <c r="BW591" s="594"/>
      <c r="BX591" s="595">
        <f>+BX590-BU590</f>
        <v>6.7335658976130572E-4</v>
      </c>
      <c r="BY591" s="596">
        <f>+BY590-BX590</f>
        <v>7.5559635773223693E-4</v>
      </c>
      <c r="BZ591" s="584"/>
      <c r="CA591" s="594"/>
      <c r="CB591" s="595">
        <f>+CB590-BY590</f>
        <v>9.4276181124557101E-5</v>
      </c>
      <c r="CC591" s="596">
        <f>+CC590-CB590</f>
        <v>5.5809856883057285E-4</v>
      </c>
      <c r="CD591" s="584"/>
      <c r="CE591" s="594"/>
      <c r="CF591" s="595">
        <f>+CF590-CC590</f>
        <v>-1.0513330365162984E-3</v>
      </c>
      <c r="CG591" s="596">
        <f>+CG590-CF590</f>
        <v>-4.3652649305033625E-4</v>
      </c>
      <c r="CH591" s="584"/>
      <c r="CI591" s="594"/>
      <c r="CJ591" s="595">
        <f>+CJ590-CG590</f>
        <v>3.100012217665267E-3</v>
      </c>
      <c r="CK591" s="596">
        <f>+CK590-CJ590</f>
        <v>2.0392722157331483E-4</v>
      </c>
      <c r="CL591" s="584"/>
      <c r="CM591" s="594"/>
      <c r="CN591" s="595">
        <f>+CN590-CK590</f>
        <v>-8.2415530639253637E-4</v>
      </c>
      <c r="CO591" s="596">
        <f>+CO590-CN590</f>
        <v>-1.130746381630042E-3</v>
      </c>
      <c r="CP591" s="584"/>
      <c r="CQ591" s="594"/>
      <c r="CR591" s="595">
        <f>+CR590-CO590</f>
        <v>-1.6157384464378262E-3</v>
      </c>
      <c r="CS591" s="596">
        <f>+CS590-CR590</f>
        <v>-2.2962815764306435E-3</v>
      </c>
      <c r="CT591" s="584"/>
      <c r="CU591" s="594"/>
      <c r="CV591" s="595">
        <f>+CV590-CS590</f>
        <v>-1.1238246588213079E-2</v>
      </c>
      <c r="CW591" s="596">
        <f>+CW590-CV590</f>
        <v>-4.3851987730739173E-3</v>
      </c>
      <c r="CX591" s="584"/>
      <c r="CY591" s="594"/>
      <c r="CZ591" s="595">
        <f>+CZ590-CW590</f>
        <v>3.4603706418299268E-4</v>
      </c>
      <c r="DA591" s="596">
        <f>+DA590-CZ590</f>
        <v>2.4243497002920805E-3</v>
      </c>
      <c r="DB591" s="584"/>
      <c r="DC591" s="594"/>
      <c r="DD591" s="595">
        <f>+DD590-DA590</f>
        <v>2.8196126595429749E-3</v>
      </c>
      <c r="DE591" s="596">
        <f>+DE590-DD590</f>
        <v>2.3604982526110596E-3</v>
      </c>
      <c r="DF591" s="584"/>
      <c r="DG591" s="594"/>
      <c r="DH591" s="595">
        <f>+DH590-DE590</f>
        <v>1.1271024722039266E-3</v>
      </c>
      <c r="DI591" s="597">
        <v>-1E-4</v>
      </c>
      <c r="DJ591" s="595">
        <f>+DJ590-DG590</f>
        <v>1.9945925235378623E-2</v>
      </c>
      <c r="DK591" s="594"/>
      <c r="DL591" s="597">
        <v>-1E-4</v>
      </c>
      <c r="DM591" s="597">
        <v>-1E-4</v>
      </c>
      <c r="DN591" s="595">
        <f>+DN590-DK590</f>
        <v>1.9737610045068771E-2</v>
      </c>
      <c r="DO591" s="594"/>
      <c r="DP591" s="597">
        <v>-1E-4</v>
      </c>
      <c r="DQ591" s="597">
        <v>-1E-4</v>
      </c>
      <c r="DR591" s="595">
        <f>+DR590-DO590</f>
        <v>1.9541086933098077E-2</v>
      </c>
      <c r="DS591" s="594"/>
      <c r="DT591" s="1"/>
      <c r="DU591" s="1"/>
      <c r="DV591" s="1"/>
      <c r="DW591" s="1"/>
      <c r="DX591" s="1"/>
      <c r="DY591" s="1"/>
      <c r="DZ591" s="1"/>
      <c r="EA591" s="1"/>
      <c r="EB591" s="1"/>
      <c r="EC591" s="1"/>
      <c r="ED591" s="1"/>
      <c r="EE591" s="1"/>
      <c r="EF591" s="1"/>
      <c r="EG591" s="1"/>
      <c r="EH591" s="1"/>
      <c r="EI591" s="1"/>
      <c r="EJ591" s="1"/>
      <c r="EK591" s="1"/>
      <c r="EL591" s="1"/>
      <c r="EM591" s="1"/>
      <c r="EN591" s="1"/>
      <c r="EO591" s="1"/>
      <c r="EP591" s="1"/>
      <c r="EQ591" s="1"/>
      <c r="ER591" s="1"/>
      <c r="ES591" s="1"/>
      <c r="ET591" s="1"/>
      <c r="EU591" s="1"/>
      <c r="EV591" s="1"/>
      <c r="EW591" s="1"/>
      <c r="EX591" s="1"/>
      <c r="EY591" s="1"/>
      <c r="EZ591" s="1"/>
      <c r="FA591" s="1"/>
      <c r="FB591" s="1"/>
      <c r="FC591" s="1"/>
      <c r="FD591" s="1"/>
      <c r="FE591" s="1"/>
      <c r="FF591" s="1"/>
      <c r="FG591" s="1"/>
      <c r="FH591" s="1"/>
      <c r="FI591" s="1"/>
      <c r="FJ591" s="1"/>
      <c r="FK591" s="1"/>
      <c r="FL591" s="1"/>
      <c r="FM591" s="1"/>
      <c r="FN591" s="1"/>
      <c r="FO591" s="1"/>
      <c r="FP591" s="1"/>
      <c r="FQ591" s="1"/>
      <c r="FR591" s="1"/>
      <c r="FS591" s="1"/>
      <c r="FT591" s="1"/>
      <c r="FU591" s="1"/>
      <c r="FV591" s="1"/>
      <c r="FW591" s="1"/>
      <c r="FX591" s="1"/>
      <c r="FY591" s="1"/>
      <c r="FZ591" s="1"/>
      <c r="GA591" s="1"/>
      <c r="GB591" s="1"/>
      <c r="GC591" s="1"/>
      <c r="GD591" s="1"/>
      <c r="GE591" s="1"/>
      <c r="GF591" s="1"/>
      <c r="GG591" s="1"/>
      <c r="GH591" s="1"/>
      <c r="GI591" s="1"/>
      <c r="GJ591" s="1"/>
      <c r="GK591" s="1"/>
      <c r="GL591" s="1"/>
      <c r="GM591" s="1"/>
      <c r="GN591" s="1"/>
      <c r="GO591" s="1"/>
      <c r="GP591" s="1"/>
      <c r="GQ591" s="1"/>
      <c r="GR591" s="1"/>
      <c r="GS591" s="1"/>
      <c r="GT591" s="1"/>
      <c r="GU591" s="1"/>
      <c r="GV591" s="1"/>
      <c r="GW591" s="1"/>
      <c r="GX591" s="1"/>
      <c r="GY591" s="1"/>
      <c r="GZ591" s="1"/>
      <c r="HA591" s="1"/>
      <c r="HB591" s="1"/>
      <c r="HC591" s="1"/>
      <c r="HD591" s="1"/>
      <c r="HE591" s="1"/>
      <c r="HF591" s="1"/>
      <c r="HG591" s="1"/>
      <c r="HH591" s="1"/>
      <c r="HI591" s="1"/>
      <c r="HJ591" s="1"/>
      <c r="HK591" s="1"/>
      <c r="HL591" s="1"/>
      <c r="HM591" s="1"/>
      <c r="HN591" s="1"/>
      <c r="HO591" s="1"/>
      <c r="HP591" s="1"/>
      <c r="HQ591" s="1"/>
      <c r="HR591" s="1"/>
      <c r="HS591" s="1"/>
      <c r="HT591" s="1"/>
      <c r="HU591" s="1"/>
      <c r="HV591" s="1"/>
      <c r="HW591" s="1"/>
      <c r="HX591" s="1"/>
      <c r="HY591" s="1"/>
      <c r="HZ591" s="1"/>
      <c r="IA591" s="1"/>
      <c r="IB591" s="1"/>
      <c r="IC591" s="1"/>
      <c r="ID591" s="1"/>
      <c r="IE591" s="1"/>
      <c r="IF591" s="1"/>
      <c r="IG591" s="1"/>
      <c r="IH591" s="1"/>
      <c r="II591" s="1"/>
      <c r="IJ591" s="1"/>
      <c r="IK591" s="1"/>
      <c r="IL591" s="1"/>
      <c r="IM591" s="1"/>
      <c r="IN591" s="1"/>
      <c r="IO591" s="1"/>
      <c r="IP591" s="1"/>
      <c r="IQ591" s="1"/>
      <c r="IR591" s="1"/>
      <c r="IS591" s="1"/>
      <c r="IT591" s="1"/>
      <c r="IU591" s="1"/>
      <c r="IV591" s="1"/>
      <c r="IW591" s="1"/>
      <c r="IX591" s="1"/>
      <c r="IY591" s="1"/>
      <c r="IZ591" s="1"/>
      <c r="JA591" s="1"/>
      <c r="JB591" s="1"/>
      <c r="JC591" s="1"/>
      <c r="JD591" s="1"/>
    </row>
    <row r="592" spans="1:264" s="347" customFormat="1" x14ac:dyDescent="0.2">
      <c r="A592" s="347" t="s">
        <v>480</v>
      </c>
      <c r="B592" s="348"/>
      <c r="BH592" s="351">
        <f>BH487</f>
        <v>103958</v>
      </c>
      <c r="BI592" s="351">
        <f>BI487</f>
        <v>103291</v>
      </c>
      <c r="BJ592" s="351">
        <f>BJ487</f>
        <v>103627</v>
      </c>
      <c r="BK592" s="348"/>
      <c r="BL592" s="351">
        <f>BL487</f>
        <v>114361</v>
      </c>
      <c r="BM592" s="351">
        <f>BM487</f>
        <v>124650</v>
      </c>
      <c r="BN592" s="351">
        <f>BN487</f>
        <v>119463</v>
      </c>
      <c r="BO592" s="348"/>
      <c r="BP592" s="351">
        <f>BP487</f>
        <v>126435</v>
      </c>
      <c r="BQ592" s="351">
        <f>BQ487</f>
        <v>136746</v>
      </c>
      <c r="BR592" s="351">
        <f>BR487</f>
        <v>131590.5</v>
      </c>
      <c r="BT592" s="351">
        <f>BT487</f>
        <v>144943</v>
      </c>
      <c r="BU592" s="351">
        <f>BU487</f>
        <v>146765</v>
      </c>
      <c r="BV592" s="351">
        <f>BV487</f>
        <v>145854</v>
      </c>
      <c r="BX592" s="351">
        <f>BX487</f>
        <v>148671</v>
      </c>
      <c r="BY592" s="351">
        <f>BY487</f>
        <v>160602</v>
      </c>
      <c r="BZ592" s="351">
        <f>BZ487</f>
        <v>154587</v>
      </c>
      <c r="CB592" s="351">
        <f>CB487</f>
        <v>153964</v>
      </c>
      <c r="CC592" s="351">
        <f>CC487</f>
        <v>154753</v>
      </c>
      <c r="CD592" s="351">
        <f>CD487</f>
        <v>154355</v>
      </c>
      <c r="CF592" s="351">
        <f>CF487</f>
        <v>156689</v>
      </c>
      <c r="CG592" s="351">
        <f>CG487</f>
        <v>158777</v>
      </c>
      <c r="CH592" s="351">
        <f>CH487</f>
        <v>161884</v>
      </c>
      <c r="CJ592" s="351">
        <f>CJ487</f>
        <v>164574</v>
      </c>
      <c r="CK592" s="351">
        <f>CK487</f>
        <v>184330</v>
      </c>
      <c r="CL592" s="351">
        <f>CL487</f>
        <v>174398</v>
      </c>
      <c r="CN592" s="351">
        <f>CN487</f>
        <v>194459</v>
      </c>
      <c r="CO592" s="351">
        <f>CO487</f>
        <v>194578</v>
      </c>
      <c r="CP592" s="351">
        <f>CP487</f>
        <v>194518</v>
      </c>
      <c r="CR592" s="351">
        <f>CR487</f>
        <v>236066</v>
      </c>
      <c r="CS592" s="351">
        <f>CS487</f>
        <v>248776</v>
      </c>
      <c r="CT592" s="351">
        <f>CT487</f>
        <v>242368</v>
      </c>
      <c r="CV592" s="351">
        <f>CV487</f>
        <v>274147</v>
      </c>
      <c r="CW592" s="351">
        <f>CW487</f>
        <v>275167</v>
      </c>
      <c r="CX592" s="351">
        <f>CX487</f>
        <v>274653</v>
      </c>
      <c r="CZ592" s="351">
        <f>CZ487</f>
        <v>290444</v>
      </c>
      <c r="DA592" s="351">
        <f>DA487</f>
        <v>292828</v>
      </c>
      <c r="DB592" s="351">
        <f>DB487</f>
        <v>291629</v>
      </c>
      <c r="DD592" s="351">
        <f>DD487</f>
        <v>264270</v>
      </c>
      <c r="DE592" s="351">
        <f>DE487</f>
        <v>270406</v>
      </c>
      <c r="DF592" s="351">
        <f>DF487</f>
        <v>267313</v>
      </c>
      <c r="DH592" s="351">
        <f>DH487</f>
        <v>299983</v>
      </c>
      <c r="DI592" s="351">
        <f>DI487</f>
        <v>310106.11710917199</v>
      </c>
      <c r="DJ592" s="351">
        <f>DJ487</f>
        <v>305044.55855458602</v>
      </c>
      <c r="DL592" s="351">
        <f>DL487</f>
        <v>320046.07060691644</v>
      </c>
      <c r="DM592" s="351">
        <f>DM487</f>
        <v>329722.66461442213</v>
      </c>
      <c r="DN592" s="351">
        <f>DN487</f>
        <v>324884.36761066929</v>
      </c>
      <c r="DP592" s="351">
        <f>DP487</f>
        <v>338688.27362018183</v>
      </c>
      <c r="DQ592" s="351">
        <f>DQ487</f>
        <v>346906.81691375829</v>
      </c>
      <c r="DR592" s="351">
        <f>DR487</f>
        <v>342797.54526697006</v>
      </c>
      <c r="DT592" s="1"/>
      <c r="DU592" s="1"/>
      <c r="DV592" s="1"/>
      <c r="DW592" s="1"/>
      <c r="DX592" s="1"/>
      <c r="DY592" s="1"/>
      <c r="DZ592" s="1"/>
      <c r="EA592" s="1"/>
      <c r="EB592" s="1"/>
      <c r="EC592" s="1"/>
      <c r="ED592" s="1"/>
      <c r="EE592" s="1"/>
      <c r="EF592" s="1"/>
      <c r="EG592" s="1"/>
      <c r="EH592" s="1"/>
      <c r="EI592" s="1"/>
      <c r="EJ592" s="1"/>
      <c r="EK592" s="1"/>
      <c r="EL592" s="1"/>
      <c r="EM592" s="1"/>
      <c r="EN592" s="1"/>
      <c r="EO592" s="1"/>
      <c r="EP592" s="1"/>
      <c r="EQ592" s="1"/>
      <c r="ER592" s="1"/>
      <c r="ES592" s="1"/>
      <c r="ET592" s="1"/>
      <c r="EU592" s="1"/>
      <c r="EV592" s="1"/>
      <c r="EW592" s="1"/>
      <c r="EX592" s="1"/>
      <c r="EY592" s="1"/>
      <c r="EZ592" s="1"/>
      <c r="FA592" s="1"/>
      <c r="FB592" s="1"/>
      <c r="FC592" s="1"/>
      <c r="FD592" s="1"/>
      <c r="FE592" s="1"/>
      <c r="FF592" s="1"/>
      <c r="FG592" s="1"/>
      <c r="FH592" s="1"/>
      <c r="FI592" s="1"/>
      <c r="FJ592" s="1"/>
      <c r="FK592" s="1"/>
      <c r="FL592" s="1"/>
      <c r="FM592" s="1"/>
      <c r="FN592" s="1"/>
      <c r="FO592" s="1"/>
      <c r="FP592" s="1"/>
      <c r="FQ592" s="1"/>
      <c r="FR592" s="1"/>
      <c r="FS592" s="1"/>
      <c r="FT592" s="1"/>
      <c r="FU592" s="1"/>
      <c r="FV592" s="1"/>
      <c r="FW592" s="1"/>
      <c r="FX592" s="1"/>
      <c r="FY592" s="1"/>
      <c r="FZ592" s="1"/>
      <c r="GA592" s="1"/>
      <c r="GB592" s="1"/>
      <c r="GC592" s="1"/>
      <c r="GD592" s="1"/>
      <c r="GE592" s="1"/>
      <c r="GF592" s="1"/>
      <c r="GG592" s="1"/>
      <c r="GH592" s="1"/>
      <c r="GI592" s="1"/>
      <c r="GJ592" s="1"/>
      <c r="GK592" s="1"/>
      <c r="GL592" s="1"/>
      <c r="GM592" s="1"/>
      <c r="GN592" s="1"/>
      <c r="GO592" s="1"/>
      <c r="GP592" s="1"/>
      <c r="GQ592" s="1"/>
      <c r="GR592" s="1"/>
      <c r="GS592" s="1"/>
      <c r="GT592" s="1"/>
      <c r="GU592" s="1"/>
      <c r="GV592" s="1"/>
      <c r="GW592" s="1"/>
      <c r="GX592" s="1"/>
      <c r="GY592" s="1"/>
      <c r="GZ592" s="1"/>
      <c r="HA592" s="1"/>
      <c r="HB592" s="1"/>
      <c r="HC592" s="1"/>
      <c r="HD592" s="1"/>
      <c r="HE592" s="1"/>
      <c r="HF592" s="1"/>
      <c r="HG592" s="1"/>
      <c r="HH592" s="1"/>
      <c r="HI592" s="1"/>
      <c r="HJ592" s="1"/>
      <c r="HK592" s="1"/>
      <c r="HL592" s="1"/>
      <c r="HM592" s="1"/>
      <c r="HN592" s="1"/>
      <c r="HO592" s="1"/>
      <c r="HP592" s="1"/>
      <c r="HQ592" s="1"/>
      <c r="HR592" s="1"/>
      <c r="HS592" s="1"/>
      <c r="HT592" s="1"/>
      <c r="HU592" s="1"/>
      <c r="HV592" s="1"/>
      <c r="HW592" s="1"/>
      <c r="HX592" s="1"/>
      <c r="HY592" s="1"/>
      <c r="HZ592" s="1"/>
      <c r="IA592" s="1"/>
      <c r="IB592" s="1"/>
      <c r="IC592" s="1"/>
      <c r="ID592" s="1"/>
      <c r="IE592" s="1"/>
      <c r="IF592" s="1"/>
      <c r="IG592" s="1"/>
      <c r="IH592" s="1"/>
      <c r="II592" s="1"/>
      <c r="IJ592" s="1"/>
      <c r="IK592" s="1"/>
      <c r="IL592" s="1"/>
      <c r="IM592" s="1"/>
      <c r="IN592" s="1"/>
      <c r="IO592" s="1"/>
      <c r="IP592" s="1"/>
      <c r="IQ592" s="1"/>
      <c r="IR592" s="1"/>
      <c r="IS592" s="1"/>
      <c r="IT592" s="1"/>
      <c r="IU592" s="1"/>
      <c r="IV592" s="1"/>
      <c r="IW592" s="1"/>
      <c r="IX592" s="1"/>
      <c r="IY592" s="1"/>
      <c r="IZ592" s="1"/>
      <c r="JA592" s="1"/>
      <c r="JB592" s="1"/>
      <c r="JC592" s="1"/>
      <c r="JD592" s="1"/>
    </row>
    <row r="593" spans="1:264" s="411" customFormat="1" x14ac:dyDescent="0.2">
      <c r="A593" s="411" t="s">
        <v>481</v>
      </c>
      <c r="B593" s="423"/>
      <c r="BH593" s="396">
        <v>1442</v>
      </c>
      <c r="BI593" s="396">
        <v>1277</v>
      </c>
      <c r="BJ593" s="397">
        <f>+BI593+BH593</f>
        <v>2719</v>
      </c>
      <c r="BK593" s="423"/>
      <c r="BL593" s="396">
        <v>1212</v>
      </c>
      <c r="BM593" s="396">
        <v>1280</v>
      </c>
      <c r="BN593" s="397">
        <f>+BM593+BL593</f>
        <v>2492</v>
      </c>
      <c r="BO593" s="423"/>
      <c r="BP593" s="397">
        <f>BP561-BP588</f>
        <v>1385</v>
      </c>
      <c r="BQ593" s="397">
        <f>BQ561-BQ588</f>
        <v>1287</v>
      </c>
      <c r="BR593" s="397">
        <f>+BQ593+BP593</f>
        <v>2672</v>
      </c>
      <c r="BT593" s="397">
        <f>BT561-BT588</f>
        <v>1383</v>
      </c>
      <c r="BU593" s="397">
        <f>BU561-BU588</f>
        <v>1468</v>
      </c>
      <c r="BV593" s="397">
        <f>+BU593+BT593</f>
        <v>2851</v>
      </c>
      <c r="BX593" s="397">
        <f>BX561-BX588</f>
        <v>1228</v>
      </c>
      <c r="BY593" s="397">
        <f>BY561-BY588</f>
        <v>1339</v>
      </c>
      <c r="BZ593" s="397">
        <f>+BY593+BX593</f>
        <v>2567</v>
      </c>
      <c r="CB593" s="397">
        <f>CB561-CB588</f>
        <v>1345</v>
      </c>
      <c r="CC593" s="397">
        <f>CC561-CC588</f>
        <v>1484</v>
      </c>
      <c r="CD593" s="397">
        <f>+CC593+CB593</f>
        <v>2829</v>
      </c>
      <c r="CF593" s="397">
        <f>CF561-CF588</f>
        <v>1702</v>
      </c>
      <c r="CG593" s="397">
        <f>CG561-CG588</f>
        <v>1558</v>
      </c>
      <c r="CH593" s="397">
        <f>+CG593+CF593</f>
        <v>3260</v>
      </c>
      <c r="CJ593" s="397">
        <f>CJ561-CJ588</f>
        <v>1178</v>
      </c>
      <c r="CK593" s="397">
        <f>CK561-CK588</f>
        <v>840</v>
      </c>
      <c r="CL593" s="397">
        <f>+CK593+CJ593</f>
        <v>2018</v>
      </c>
      <c r="CN593" s="397">
        <f>CN561-CN588</f>
        <v>445</v>
      </c>
      <c r="CO593" s="397">
        <f>CO561-CO588</f>
        <v>294</v>
      </c>
      <c r="CP593" s="397">
        <f>+CO593+CN593</f>
        <v>739</v>
      </c>
      <c r="CR593" s="397">
        <f>CR561-CR588</f>
        <v>387</v>
      </c>
      <c r="CS593" s="397">
        <f>CS561-CS588</f>
        <v>733</v>
      </c>
      <c r="CT593" s="397">
        <f>+CS593+CR593</f>
        <v>1120</v>
      </c>
      <c r="CV593" s="397">
        <f>CV561-CV588</f>
        <v>3470</v>
      </c>
      <c r="CW593" s="397">
        <f>CW561-CW588</f>
        <v>5132</v>
      </c>
      <c r="CX593" s="397">
        <f>+CW593+CV593</f>
        <v>8602</v>
      </c>
      <c r="CZ593" s="397">
        <f>CZ561-CZ588</f>
        <v>6936</v>
      </c>
      <c r="DA593" s="397">
        <f>DA561-DA588</f>
        <v>7105</v>
      </c>
      <c r="DB593" s="397">
        <f>+DA593+CZ593</f>
        <v>14041</v>
      </c>
      <c r="DD593" s="397">
        <f>DD561-DD588</f>
        <v>6317</v>
      </c>
      <c r="DE593" s="397">
        <f>DE561-DE588</f>
        <v>5845</v>
      </c>
      <c r="DF593" s="397">
        <f>+DE593+DD593</f>
        <v>12162</v>
      </c>
      <c r="DH593" s="397">
        <f>DH561-DH588</f>
        <v>5860</v>
      </c>
      <c r="DI593" s="397">
        <f>+DI592*DI594*(DI$3/DI$4)</f>
        <v>6281.9169376647069</v>
      </c>
      <c r="DJ593" s="397">
        <f>+DI593+DH593</f>
        <v>12141.916937664708</v>
      </c>
      <c r="DL593" s="397">
        <f>+DL592*DL594*(DL$3/DL$4)</f>
        <v>6994.0770030917383</v>
      </c>
      <c r="DM593" s="397">
        <f>+DM592*DM594*(DM$3/DM$4)</f>
        <v>7088.0612660608895</v>
      </c>
      <c r="DN593" s="397">
        <f>+DM593+DL593</f>
        <v>14082.138269152627</v>
      </c>
      <c r="DP593" s="397">
        <f>+DP592*DP594*(DP$3/DP$4)</f>
        <v>7381.2488861255142</v>
      </c>
      <c r="DQ593" s="397">
        <f>+DQ592*DQ594*(DQ$3/DQ$4)</f>
        <v>7478.1829904395699</v>
      </c>
      <c r="DR593" s="397">
        <f>+DQ593+DP593</f>
        <v>14859.431876565084</v>
      </c>
      <c r="DT593" s="1"/>
      <c r="DU593" s="1"/>
      <c r="DV593" s="1"/>
      <c r="DW593" s="1"/>
      <c r="DX593" s="1"/>
      <c r="DY593" s="1"/>
      <c r="DZ593" s="1"/>
      <c r="EA593" s="1"/>
      <c r="EB593" s="1"/>
      <c r="EC593" s="1"/>
      <c r="ED593" s="1"/>
      <c r="EE593" s="1"/>
      <c r="EF593" s="1"/>
      <c r="EG593" s="1"/>
      <c r="EH593" s="1"/>
      <c r="EI593" s="1"/>
      <c r="EJ593" s="1"/>
      <c r="EK593" s="1"/>
      <c r="EL593" s="1"/>
      <c r="EM593" s="1"/>
      <c r="EN593" s="1"/>
      <c r="EO593" s="1"/>
      <c r="EP593" s="1"/>
      <c r="EQ593" s="1"/>
      <c r="ER593" s="1"/>
      <c r="ES593" s="1"/>
      <c r="ET593" s="1"/>
      <c r="EU593" s="1"/>
      <c r="EV593" s="1"/>
      <c r="EW593" s="1"/>
      <c r="EX593" s="1"/>
      <c r="EY593" s="1"/>
      <c r="EZ593" s="1"/>
      <c r="FA593" s="1"/>
      <c r="FB593" s="1"/>
      <c r="FC593" s="1"/>
      <c r="FD593" s="1"/>
      <c r="FE593" s="1"/>
      <c r="FF593" s="1"/>
      <c r="FG593" s="1"/>
      <c r="FH593" s="1"/>
      <c r="FI593" s="1"/>
      <c r="FJ593" s="1"/>
      <c r="FK593" s="1"/>
      <c r="FL593" s="1"/>
      <c r="FM593" s="1"/>
      <c r="FN593" s="1"/>
      <c r="FO593" s="1"/>
      <c r="FP593" s="1"/>
      <c r="FQ593" s="1"/>
      <c r="FR593" s="1"/>
      <c r="FS593" s="1"/>
      <c r="FT593" s="1"/>
      <c r="FU593" s="1"/>
      <c r="FV593" s="1"/>
      <c r="FW593" s="1"/>
      <c r="FX593" s="1"/>
      <c r="FY593" s="1"/>
      <c r="FZ593" s="1"/>
      <c r="GA593" s="1"/>
      <c r="GB593" s="1"/>
      <c r="GC593" s="1"/>
      <c r="GD593" s="1"/>
      <c r="GE593" s="1"/>
      <c r="GF593" s="1"/>
      <c r="GG593" s="1"/>
      <c r="GH593" s="1"/>
      <c r="GI593" s="1"/>
      <c r="GJ593" s="1"/>
      <c r="GK593" s="1"/>
      <c r="GL593" s="1"/>
      <c r="GM593" s="1"/>
      <c r="GN593" s="1"/>
      <c r="GO593" s="1"/>
      <c r="GP593" s="1"/>
      <c r="GQ593" s="1"/>
      <c r="GR593" s="1"/>
      <c r="GS593" s="1"/>
      <c r="GT593" s="1"/>
      <c r="GU593" s="1"/>
      <c r="GV593" s="1"/>
      <c r="GW593" s="1"/>
      <c r="GX593" s="1"/>
      <c r="GY593" s="1"/>
      <c r="GZ593" s="1"/>
      <c r="HA593" s="1"/>
      <c r="HB593" s="1"/>
      <c r="HC593" s="1"/>
      <c r="HD593" s="1"/>
      <c r="HE593" s="1"/>
      <c r="HF593" s="1"/>
      <c r="HG593" s="1"/>
      <c r="HH593" s="1"/>
      <c r="HI593" s="1"/>
      <c r="HJ593" s="1"/>
      <c r="HK593" s="1"/>
      <c r="HL593" s="1"/>
      <c r="HM593" s="1"/>
      <c r="HN593" s="1"/>
      <c r="HO593" s="1"/>
      <c r="HP593" s="1"/>
      <c r="HQ593" s="1"/>
      <c r="HR593" s="1"/>
      <c r="HS593" s="1"/>
      <c r="HT593" s="1"/>
      <c r="HU593" s="1"/>
      <c r="HV593" s="1"/>
      <c r="HW593" s="1"/>
      <c r="HX593" s="1"/>
      <c r="HY593" s="1"/>
      <c r="HZ593" s="1"/>
      <c r="IA593" s="1"/>
      <c r="IB593" s="1"/>
      <c r="IC593" s="1"/>
      <c r="ID593" s="1"/>
      <c r="IE593" s="1"/>
      <c r="IF593" s="1"/>
      <c r="IG593" s="1"/>
      <c r="IH593" s="1"/>
      <c r="II593" s="1"/>
      <c r="IJ593" s="1"/>
      <c r="IK593" s="1"/>
      <c r="IL593" s="1"/>
      <c r="IM593" s="1"/>
      <c r="IN593" s="1"/>
      <c r="IO593" s="1"/>
      <c r="IP593" s="1"/>
      <c r="IQ593" s="1"/>
      <c r="IR593" s="1"/>
      <c r="IS593" s="1"/>
      <c r="IT593" s="1"/>
      <c r="IU593" s="1"/>
      <c r="IV593" s="1"/>
      <c r="IW593" s="1"/>
      <c r="IX593" s="1"/>
      <c r="IY593" s="1"/>
      <c r="IZ593" s="1"/>
      <c r="JA593" s="1"/>
      <c r="JB593" s="1"/>
      <c r="JC593" s="1"/>
      <c r="JD593" s="1"/>
    </row>
    <row r="594" spans="1:264" s="347" customFormat="1" x14ac:dyDescent="0.2">
      <c r="A594" s="411" t="s">
        <v>482</v>
      </c>
      <c r="B594" s="348"/>
      <c r="BH594" s="489">
        <f>+BH593*(BH$4/BH$3)/BH592</f>
        <v>2.7515815333449878E-2</v>
      </c>
      <c r="BI594" s="489">
        <f>+BI593*(BI$4/BI$3)/BI592</f>
        <v>2.4931172569307623E-2</v>
      </c>
      <c r="BJ594" s="489">
        <f>+BJ593*(BJ$4/BJ$3)/BJ592</f>
        <v>2.6238335568915437E-2</v>
      </c>
      <c r="BK594" s="348"/>
      <c r="BL594" s="489">
        <f>+BL593*(BL$4/BL$3)/BL592</f>
        <v>2.1023243329760868E-2</v>
      </c>
      <c r="BM594" s="489">
        <f>+BM593*(BM$4/BM$3)/BM592</f>
        <v>2.0707705331835215E-2</v>
      </c>
      <c r="BN594" s="489">
        <f>+BN593*(BN$4/BN$3)/BN592</f>
        <v>2.0860015234842589E-2</v>
      </c>
      <c r="BO594" s="348"/>
      <c r="BP594" s="489">
        <f>+BP593*(BP$4/BP$3)/BP592</f>
        <v>2.1729888703767703E-2</v>
      </c>
      <c r="BQ594" s="489">
        <f>+BQ593*(BQ$4/BQ$3)/BQ592</f>
        <v>1.8979213225342659E-2</v>
      </c>
      <c r="BR594" s="489">
        <f>+BR593*(BR$4/BR$3)/BR592</f>
        <v>2.0305417184371212E-2</v>
      </c>
      <c r="BT594" s="489">
        <f>+BT593*(BT$4/BT$3)/BT592</f>
        <v>1.8979649871358726E-2</v>
      </c>
      <c r="BU594" s="489">
        <f>+BU593*(BU$4/BU$3)/BU592</f>
        <v>2.0114685845616244E-2</v>
      </c>
      <c r="BV594" s="489">
        <f>+BV593*(BV$4/BV$3)/BV592</f>
        <v>1.9546944204478452E-2</v>
      </c>
      <c r="BX594" s="489">
        <f>+BX593*(BX$4/BX$3)/BX592</f>
        <v>1.6385026406424693E-2</v>
      </c>
      <c r="BY594" s="489">
        <f>+BY593*(BY$4/BY$3)/BY592</f>
        <v>1.6812949839763801E-2</v>
      </c>
      <c r="BZ594" s="489">
        <f>+BZ593*(BZ$4/BZ$3)/BZ592</f>
        <v>1.6605536041193632E-2</v>
      </c>
      <c r="CB594" s="489">
        <f>+CB593*(CB$4/CB$3)/CB592</f>
        <v>1.7329185083356582E-2</v>
      </c>
      <c r="CC594" s="489">
        <f>+CC593*(CC$4/CC$3)/CC592</f>
        <v>1.9337891253047586E-2</v>
      </c>
      <c r="CD594" s="489">
        <f>+CD593*(CD$4/CD$3)/CD592</f>
        <v>1.8327880535130056E-2</v>
      </c>
      <c r="CF594" s="489">
        <f>+CF593*(CF$4/CF$3)/CF592</f>
        <v>2.1547460255665681E-2</v>
      </c>
      <c r="CG594" s="489">
        <f>+CG593*(CG$4/CG$3)/CG592</f>
        <v>1.9787646853258907E-2</v>
      </c>
      <c r="CH594" s="489">
        <f>+CH593*(CH$4/CH$3)/CH592</f>
        <v>2.0137876504163474E-2</v>
      </c>
      <c r="CJ594" s="489">
        <f>+CJ593*(CJ$4/CJ$3)/CJ592</f>
        <v>1.4237945557462984E-2</v>
      </c>
      <c r="CK594" s="489">
        <f>+CK593*(CK$4/CK$3)/CK592</f>
        <v>9.1641662736980916E-3</v>
      </c>
      <c r="CL594" s="489">
        <f>+CL593*(CL$4/CL$3)/CL592</f>
        <v>1.1571233615064394E-2</v>
      </c>
      <c r="CN594" s="489">
        <f>+CN593*(CN$4/CN$3)/CN592</f>
        <v>4.5394893793416161E-3</v>
      </c>
      <c r="CO594" s="489">
        <f>+CO593*(CO$4/CO$3)/CO592</f>
        <v>3.0469679417857911E-3</v>
      </c>
      <c r="CP594" s="489">
        <f>+CP593*(CP$4/CP$3)/CP592</f>
        <v>3.7991342703503016E-3</v>
      </c>
      <c r="CR594" s="489">
        <f>+CR593*(CR$4/CR$3)/CR592</f>
        <v>3.2520151880885192E-3</v>
      </c>
      <c r="CS594" s="489">
        <f>+CS593*(CS$4/CS$3)/CS592</f>
        <v>5.9416871855432927E-3</v>
      </c>
      <c r="CT594" s="489">
        <f>+CT593*(CT$4/CT$3)/CT592</f>
        <v>4.6210720887245845E-3</v>
      </c>
      <c r="CV594" s="489">
        <f>+CV593*(CV$4/CV$3)/CV592</f>
        <v>2.5108514457730626E-2</v>
      </c>
      <c r="CW594" s="489">
        <f>+CW593*(CW$4/CW$3)/CW592</f>
        <v>3.7610108673934967E-2</v>
      </c>
      <c r="CX594" s="489">
        <f>+CX593*(CX$4/CX$3)/CX592</f>
        <v>3.1319519539200376E-2</v>
      </c>
      <c r="CZ594" s="489">
        <f>+CZ593*(CZ$4/CZ$3)/CZ592</f>
        <v>4.7501785871466355E-2</v>
      </c>
      <c r="DA594" s="489">
        <f>+DA593*(DA$4/DA$3)/DA592</f>
        <v>4.879341088651673E-2</v>
      </c>
      <c r="DB594" s="489">
        <f>+DB593*(DB$4/DB$3)/DB592</f>
        <v>4.8146789242496463E-2</v>
      </c>
      <c r="DD594" s="489">
        <f>+DD593*(DD$4/DD$3)/DD592</f>
        <v>4.7417434573665602E-2</v>
      </c>
      <c r="DE594" s="489">
        <f>+DE593*(DE$4/DE$3)/DE592</f>
        <v>4.358955959941227E-2</v>
      </c>
      <c r="DF594" s="489">
        <f>+DF593*(DF$4/DF$3)/DF592</f>
        <v>4.549722609824438E-2</v>
      </c>
      <c r="DH594" s="489">
        <f>+DH593*(DH$4/DH$3)/DH592</f>
        <v>3.875038426090522E-2</v>
      </c>
      <c r="DI594" s="500">
        <f>+DI583+DI595</f>
        <v>4.0850384260905218E-2</v>
      </c>
      <c r="DJ594" s="489">
        <f>+DJ593*(DJ$4/DJ$3)/DJ592</f>
        <v>3.980374865625403E-2</v>
      </c>
      <c r="DL594" s="500">
        <f>+DL583+DL595</f>
        <v>4.335038426090522E-2</v>
      </c>
      <c r="DM594" s="500">
        <f>+DM583+DM595</f>
        <v>4.335038426090522E-2</v>
      </c>
      <c r="DN594" s="489">
        <f>+DN593*(DN$4/DN$3)/DN592</f>
        <v>4.334507804336156E-2</v>
      </c>
      <c r="DP594" s="500">
        <f>+DP583+DP595</f>
        <v>4.335038426090522E-2</v>
      </c>
      <c r="DQ594" s="500">
        <f>+DQ583+DQ595</f>
        <v>4.335038426090522E-2</v>
      </c>
      <c r="DR594" s="489">
        <f>+DR593*(DR$4/DR$3)/DR592</f>
        <v>4.3347544583472987E-2</v>
      </c>
      <c r="DT594" s="1"/>
      <c r="DU594" s="1"/>
      <c r="DV594" s="1"/>
      <c r="DW594" s="1"/>
      <c r="DX594" s="1"/>
      <c r="DY594" s="1"/>
      <c r="DZ594" s="1"/>
      <c r="EA594" s="1"/>
      <c r="EB594" s="1"/>
      <c r="EC594" s="1"/>
      <c r="ED594" s="1"/>
      <c r="EE594" s="1"/>
      <c r="EF594" s="1"/>
      <c r="EG594" s="1"/>
      <c r="EH594" s="1"/>
      <c r="EI594" s="1"/>
      <c r="EJ594" s="1"/>
      <c r="EK594" s="1"/>
      <c r="EL594" s="1"/>
      <c r="EM594" s="1"/>
      <c r="EN594" s="1"/>
      <c r="EO594" s="1"/>
      <c r="EP594" s="1"/>
      <c r="EQ594" s="1"/>
      <c r="ER594" s="1"/>
      <c r="ES594" s="1"/>
      <c r="ET594" s="1"/>
      <c r="EU594" s="1"/>
      <c r="EV594" s="1"/>
      <c r="EW594" s="1"/>
      <c r="EX594" s="1"/>
      <c r="EY594" s="1"/>
      <c r="EZ594" s="1"/>
      <c r="FA594" s="1"/>
      <c r="FB594" s="1"/>
      <c r="FC594" s="1"/>
      <c r="FD594" s="1"/>
      <c r="FE594" s="1"/>
      <c r="FF594" s="1"/>
      <c r="FG594" s="1"/>
      <c r="FH594" s="1"/>
      <c r="FI594" s="1"/>
      <c r="FJ594" s="1"/>
      <c r="FK594" s="1"/>
      <c r="FL594" s="1"/>
      <c r="FM594" s="1"/>
      <c r="FN594" s="1"/>
      <c r="FO594" s="1"/>
      <c r="FP594" s="1"/>
      <c r="FQ594" s="1"/>
      <c r="FR594" s="1"/>
      <c r="FS594" s="1"/>
      <c r="FT594" s="1"/>
      <c r="FU594" s="1"/>
      <c r="FV594" s="1"/>
      <c r="FW594" s="1"/>
      <c r="FX594" s="1"/>
      <c r="FY594" s="1"/>
      <c r="FZ594" s="1"/>
      <c r="GA594" s="1"/>
      <c r="GB594" s="1"/>
      <c r="GC594" s="1"/>
      <c r="GD594" s="1"/>
      <c r="GE594" s="1"/>
      <c r="GF594" s="1"/>
      <c r="GG594" s="1"/>
      <c r="GH594" s="1"/>
      <c r="GI594" s="1"/>
      <c r="GJ594" s="1"/>
      <c r="GK594" s="1"/>
      <c r="GL594" s="1"/>
      <c r="GM594" s="1"/>
      <c r="GN594" s="1"/>
      <c r="GO594" s="1"/>
      <c r="GP594" s="1"/>
      <c r="GQ594" s="1"/>
      <c r="GR594" s="1"/>
      <c r="GS594" s="1"/>
      <c r="GT594" s="1"/>
      <c r="GU594" s="1"/>
      <c r="GV594" s="1"/>
      <c r="GW594" s="1"/>
      <c r="GX594" s="1"/>
      <c r="GY594" s="1"/>
      <c r="GZ594" s="1"/>
      <c r="HA594" s="1"/>
      <c r="HB594" s="1"/>
      <c r="HC594" s="1"/>
      <c r="HD594" s="1"/>
      <c r="HE594" s="1"/>
      <c r="HF594" s="1"/>
      <c r="HG594" s="1"/>
      <c r="HH594" s="1"/>
      <c r="HI594" s="1"/>
      <c r="HJ594" s="1"/>
      <c r="HK594" s="1"/>
      <c r="HL594" s="1"/>
      <c r="HM594" s="1"/>
      <c r="HN594" s="1"/>
      <c r="HO594" s="1"/>
      <c r="HP594" s="1"/>
      <c r="HQ594" s="1"/>
      <c r="HR594" s="1"/>
      <c r="HS594" s="1"/>
      <c r="HT594" s="1"/>
      <c r="HU594" s="1"/>
      <c r="HV594" s="1"/>
      <c r="HW594" s="1"/>
      <c r="HX594" s="1"/>
      <c r="HY594" s="1"/>
      <c r="HZ594" s="1"/>
      <c r="IA594" s="1"/>
      <c r="IB594" s="1"/>
      <c r="IC594" s="1"/>
      <c r="ID594" s="1"/>
      <c r="IE594" s="1"/>
      <c r="IF594" s="1"/>
      <c r="IG594" s="1"/>
      <c r="IH594" s="1"/>
      <c r="II594" s="1"/>
      <c r="IJ594" s="1"/>
      <c r="IK594" s="1"/>
      <c r="IL594" s="1"/>
      <c r="IM594" s="1"/>
      <c r="IN594" s="1"/>
      <c r="IO594" s="1"/>
      <c r="IP594" s="1"/>
      <c r="IQ594" s="1"/>
      <c r="IR594" s="1"/>
      <c r="IS594" s="1"/>
      <c r="IT594" s="1"/>
      <c r="IU594" s="1"/>
      <c r="IV594" s="1"/>
      <c r="IW594" s="1"/>
      <c r="IX594" s="1"/>
      <c r="IY594" s="1"/>
      <c r="IZ594" s="1"/>
      <c r="JA594" s="1"/>
      <c r="JB594" s="1"/>
      <c r="JC594" s="1"/>
      <c r="JD594" s="1"/>
    </row>
    <row r="595" spans="1:264" s="347" customFormat="1" x14ac:dyDescent="0.2">
      <c r="A595" s="347" t="s">
        <v>478</v>
      </c>
      <c r="B595" s="348"/>
      <c r="BH595" s="500">
        <f>BH594-BH583</f>
        <v>-5.8841846665501213E-3</v>
      </c>
      <c r="BI595" s="500">
        <f>BI594-BI583</f>
        <v>-4.3130174306923764E-3</v>
      </c>
      <c r="BJ595" s="500">
        <f>BJ594-BJ583</f>
        <v>-5.0837594310845641E-3</v>
      </c>
      <c r="BK595" s="348"/>
      <c r="BL595" s="500">
        <f>BL594-BL583</f>
        <v>-4.4877566702391306E-3</v>
      </c>
      <c r="BM595" s="500">
        <f>BM594-BM583</f>
        <v>-4.292294668164786E-3</v>
      </c>
      <c r="BN595" s="500">
        <f>BN594-BN583</f>
        <v>-4.3954847651574112E-3</v>
      </c>
      <c r="BO595" s="348"/>
      <c r="BP595" s="500">
        <f>BP594-BP583</f>
        <v>-3.2701112962322983E-3</v>
      </c>
      <c r="BQ595" s="500">
        <f>BQ594-BQ583</f>
        <v>-3.2207867746573415E-3</v>
      </c>
      <c r="BR595" s="500">
        <f>BR594-BR583</f>
        <v>-3.294582815628791E-3</v>
      </c>
      <c r="BT595" s="500">
        <f>BT594-BT583</f>
        <v>-1.0203501286412744E-3</v>
      </c>
      <c r="BU595" s="500">
        <f>BU594-BU583</f>
        <v>9.1468584561624558E-4</v>
      </c>
      <c r="BV595" s="500">
        <f>BV594-BV583</f>
        <v>-5.3055795521547711E-5</v>
      </c>
      <c r="BX595" s="500">
        <f>BX594-BX583</f>
        <v>1.3502640642469241E-4</v>
      </c>
      <c r="BY595" s="500">
        <f>BY594-BY583</f>
        <v>1.8129498397638014E-3</v>
      </c>
      <c r="BZ595" s="500">
        <f>BZ594-BZ583</f>
        <v>9.8053604119363244E-4</v>
      </c>
      <c r="CB595" s="500">
        <f>CB594-CB583</f>
        <v>2.329185083356583E-3</v>
      </c>
      <c r="CC595" s="500">
        <f>CC594-CC583</f>
        <v>4.3378912530475863E-3</v>
      </c>
      <c r="CD595" s="500">
        <f>CD594-CD583</f>
        <v>3.3278805351300567E-3</v>
      </c>
      <c r="CF595" s="500">
        <f>CF594-CF583</f>
        <v>6.5474602556656811E-3</v>
      </c>
      <c r="CG595" s="500">
        <f>CG594-CG583</f>
        <v>4.7876468532589075E-3</v>
      </c>
      <c r="CH595" s="500">
        <f>CH594-CH583</f>
        <v>5.1378765041634744E-3</v>
      </c>
      <c r="CJ595" s="500">
        <f>CJ594-CJ583</f>
        <v>5.487945557462983E-3</v>
      </c>
      <c r="CK595" s="500">
        <f>CK594-CK583</f>
        <v>4.6641662736980919E-3</v>
      </c>
      <c r="CL595" s="500">
        <f>CL594-CL583</f>
        <v>4.946233615064393E-3</v>
      </c>
      <c r="CN595" s="500">
        <f>CN594-CN583</f>
        <v>2.5174893793416162E-3</v>
      </c>
      <c r="CO595" s="500">
        <f>CO594-CO583</f>
        <v>2.0469679417857911E-3</v>
      </c>
      <c r="CP595" s="500">
        <f>CP594-CP583</f>
        <v>2.2881342703503019E-3</v>
      </c>
      <c r="CR595" s="500">
        <f>CR594-CR583</f>
        <v>2.2520151880885192E-3</v>
      </c>
      <c r="CS595" s="500">
        <f>CS594-CS583</f>
        <v>3.2416871855432926E-3</v>
      </c>
      <c r="CT595" s="500">
        <f>CT594-CT583</f>
        <v>2.7710720887245844E-3</v>
      </c>
      <c r="CV595" s="500">
        <f>CV594-CV583</f>
        <v>1.6085144577306261E-3</v>
      </c>
      <c r="CW595" s="500">
        <f>CW594-CW583</f>
        <v>1.6101086739349693E-3</v>
      </c>
      <c r="CX595" s="500">
        <f>CX594-CX583</f>
        <v>1.5695195392003772E-3</v>
      </c>
      <c r="CZ595" s="500">
        <f>CZ594-CZ583</f>
        <v>5.7017858714663583E-3</v>
      </c>
      <c r="DA595" s="500">
        <f>DA594-DA583</f>
        <v>5.2934108865167334E-3</v>
      </c>
      <c r="DB595" s="500">
        <f>DB594-DB583</f>
        <v>5.4967892424964693E-3</v>
      </c>
      <c r="DD595" s="500">
        <f>DD594-DD583</f>
        <v>3.9174345736656055E-3</v>
      </c>
      <c r="DE595" s="500">
        <f>DE594-DE583</f>
        <v>2.9895595994122726E-3</v>
      </c>
      <c r="DF595" s="500">
        <f>DF594-DF583</f>
        <v>3.4472260982443825E-3</v>
      </c>
      <c r="DH595" s="500">
        <f>DH594-DH583</f>
        <v>2.3503842609052181E-3</v>
      </c>
      <c r="DI595" s="500">
        <f>+DH595+DI596</f>
        <v>2.3503842609052181E-3</v>
      </c>
      <c r="DJ595" s="500">
        <f>DJ594-DJ590</f>
        <v>1.9857823420875408E-2</v>
      </c>
      <c r="DL595" s="500">
        <f>+DI595+DL596</f>
        <v>2.3503842609052181E-3</v>
      </c>
      <c r="DM595" s="500">
        <f>+DL595+DM596</f>
        <v>2.3503842609052181E-3</v>
      </c>
      <c r="DN595" s="500">
        <f>DN594-DN590</f>
        <v>2.3607467998292789E-2</v>
      </c>
      <c r="DP595" s="500">
        <f>+DM595+DP596</f>
        <v>2.3503842609052181E-3</v>
      </c>
      <c r="DQ595" s="500">
        <f>+DP595+DQ596</f>
        <v>2.3503842609052181E-3</v>
      </c>
      <c r="DR595" s="500">
        <f>DR594-DR590</f>
        <v>2.380645765037491E-2</v>
      </c>
      <c r="DT595" s="1"/>
      <c r="DU595" s="1"/>
      <c r="DV595" s="1"/>
      <c r="DW595" s="1"/>
      <c r="DX595" s="1"/>
      <c r="DY595" s="1"/>
      <c r="DZ595" s="1"/>
      <c r="EA595" s="1"/>
      <c r="EB595" s="1"/>
      <c r="EC595" s="1"/>
      <c r="ED595" s="1"/>
      <c r="EE595" s="1"/>
      <c r="EF595" s="1"/>
      <c r="EG595" s="1"/>
      <c r="EH595" s="1"/>
      <c r="EI595" s="1"/>
      <c r="EJ595" s="1"/>
      <c r="EK595" s="1"/>
      <c r="EL595" s="1"/>
      <c r="EM595" s="1"/>
      <c r="EN595" s="1"/>
      <c r="EO595" s="1"/>
      <c r="EP595" s="1"/>
      <c r="EQ595" s="1"/>
      <c r="ER595" s="1"/>
      <c r="ES595" s="1"/>
      <c r="ET595" s="1"/>
      <c r="EU595" s="1"/>
      <c r="EV595" s="1"/>
      <c r="EW595" s="1"/>
      <c r="EX595" s="1"/>
      <c r="EY595" s="1"/>
      <c r="EZ595" s="1"/>
      <c r="FA595" s="1"/>
      <c r="FB595" s="1"/>
      <c r="FC595" s="1"/>
      <c r="FD595" s="1"/>
      <c r="FE595" s="1"/>
      <c r="FF595" s="1"/>
      <c r="FG595" s="1"/>
      <c r="FH595" s="1"/>
      <c r="FI595" s="1"/>
      <c r="FJ595" s="1"/>
      <c r="FK595" s="1"/>
      <c r="FL595" s="1"/>
      <c r="FM595" s="1"/>
      <c r="FN595" s="1"/>
      <c r="FO595" s="1"/>
      <c r="FP595" s="1"/>
      <c r="FQ595" s="1"/>
      <c r="FR595" s="1"/>
      <c r="FS595" s="1"/>
      <c r="FT595" s="1"/>
      <c r="FU595" s="1"/>
      <c r="FV595" s="1"/>
      <c r="FW595" s="1"/>
      <c r="FX595" s="1"/>
      <c r="FY595" s="1"/>
      <c r="FZ595" s="1"/>
      <c r="GA595" s="1"/>
      <c r="GB595" s="1"/>
      <c r="GC595" s="1"/>
      <c r="GD595" s="1"/>
      <c r="GE595" s="1"/>
      <c r="GF595" s="1"/>
      <c r="GG595" s="1"/>
      <c r="GH595" s="1"/>
      <c r="GI595" s="1"/>
      <c r="GJ595" s="1"/>
      <c r="GK595" s="1"/>
      <c r="GL595" s="1"/>
      <c r="GM595" s="1"/>
      <c r="GN595" s="1"/>
      <c r="GO595" s="1"/>
      <c r="GP595" s="1"/>
      <c r="GQ595" s="1"/>
      <c r="GR595" s="1"/>
      <c r="GS595" s="1"/>
      <c r="GT595" s="1"/>
      <c r="GU595" s="1"/>
      <c r="GV595" s="1"/>
      <c r="GW595" s="1"/>
      <c r="GX595" s="1"/>
      <c r="GY595" s="1"/>
      <c r="GZ595" s="1"/>
      <c r="HA595" s="1"/>
      <c r="HB595" s="1"/>
      <c r="HC595" s="1"/>
      <c r="HD595" s="1"/>
      <c r="HE595" s="1"/>
      <c r="HF595" s="1"/>
      <c r="HG595" s="1"/>
      <c r="HH595" s="1"/>
      <c r="HI595" s="1"/>
      <c r="HJ595" s="1"/>
      <c r="HK595" s="1"/>
      <c r="HL595" s="1"/>
      <c r="HM595" s="1"/>
      <c r="HN595" s="1"/>
      <c r="HO595" s="1"/>
      <c r="HP595" s="1"/>
      <c r="HQ595" s="1"/>
      <c r="HR595" s="1"/>
      <c r="HS595" s="1"/>
      <c r="HT595" s="1"/>
      <c r="HU595" s="1"/>
      <c r="HV595" s="1"/>
      <c r="HW595" s="1"/>
      <c r="HX595" s="1"/>
      <c r="HY595" s="1"/>
      <c r="HZ595" s="1"/>
      <c r="IA595" s="1"/>
      <c r="IB595" s="1"/>
      <c r="IC595" s="1"/>
      <c r="ID595" s="1"/>
      <c r="IE595" s="1"/>
      <c r="IF595" s="1"/>
      <c r="IG595" s="1"/>
      <c r="IH595" s="1"/>
      <c r="II595" s="1"/>
      <c r="IJ595" s="1"/>
      <c r="IK595" s="1"/>
      <c r="IL595" s="1"/>
      <c r="IM595" s="1"/>
      <c r="IN595" s="1"/>
      <c r="IO595" s="1"/>
      <c r="IP595" s="1"/>
      <c r="IQ595" s="1"/>
      <c r="IR595" s="1"/>
      <c r="IS595" s="1"/>
      <c r="IT595" s="1"/>
      <c r="IU595" s="1"/>
      <c r="IV595" s="1"/>
      <c r="IW595" s="1"/>
      <c r="IX595" s="1"/>
      <c r="IY595" s="1"/>
      <c r="IZ595" s="1"/>
      <c r="JA595" s="1"/>
      <c r="JB595" s="1"/>
      <c r="JC595" s="1"/>
      <c r="JD595" s="1"/>
    </row>
    <row r="596" spans="1:264" s="429" customFormat="1" x14ac:dyDescent="0.2">
      <c r="A596" s="594" t="s">
        <v>479</v>
      </c>
      <c r="B596" s="584" t="s">
        <v>473</v>
      </c>
      <c r="C596" s="594"/>
      <c r="D596" s="594"/>
      <c r="E596" s="594"/>
      <c r="F596" s="594"/>
      <c r="G596" s="594"/>
      <c r="H596" s="594"/>
      <c r="I596" s="594"/>
      <c r="J596" s="594"/>
      <c r="K596" s="594"/>
      <c r="L596" s="594"/>
      <c r="M596" s="594"/>
      <c r="N596" s="594"/>
      <c r="O596" s="594"/>
      <c r="P596" s="594"/>
      <c r="Q596" s="594"/>
      <c r="R596" s="594"/>
      <c r="S596" s="594"/>
      <c r="T596" s="594"/>
      <c r="U596" s="594"/>
      <c r="V596" s="594"/>
      <c r="W596" s="594"/>
      <c r="X596" s="594"/>
      <c r="Y596" s="594"/>
      <c r="Z596" s="594"/>
      <c r="AA596" s="594"/>
      <c r="AB596" s="594"/>
      <c r="AC596" s="594"/>
      <c r="AD596" s="594"/>
      <c r="AE596" s="594"/>
      <c r="AF596" s="594"/>
      <c r="AG596" s="594"/>
      <c r="AH596" s="594"/>
      <c r="AI596" s="594"/>
      <c r="AJ596" s="594"/>
      <c r="AK596" s="594"/>
      <c r="AL596" s="594"/>
      <c r="AM596" s="594"/>
      <c r="AN596" s="594"/>
      <c r="AO596" s="594"/>
      <c r="AP596" s="594"/>
      <c r="AQ596" s="594"/>
      <c r="AR596" s="594"/>
      <c r="AS596" s="594"/>
      <c r="AT596" s="594"/>
      <c r="AU596" s="594"/>
      <c r="AV596" s="594"/>
      <c r="AW596" s="594"/>
      <c r="AX596" s="594"/>
      <c r="AY596" s="594"/>
      <c r="AZ596" s="594"/>
      <c r="BA596" s="594"/>
      <c r="BB596" s="594"/>
      <c r="BC596" s="594"/>
      <c r="BD596" s="594"/>
      <c r="BE596" s="594"/>
      <c r="BF596" s="594"/>
      <c r="BG596" s="594"/>
      <c r="BH596" s="595"/>
      <c r="BI596" s="596">
        <f>+BI595-BH595</f>
        <v>1.5711672358577448E-3</v>
      </c>
      <c r="BJ596" s="584"/>
      <c r="BK596" s="584"/>
      <c r="BL596" s="595">
        <f>+BL595-BI595</f>
        <v>-1.747392395467541E-4</v>
      </c>
      <c r="BM596" s="596">
        <f>+BM595-BL595</f>
        <v>1.9546200207434458E-4</v>
      </c>
      <c r="BN596" s="584"/>
      <c r="BO596" s="584"/>
      <c r="BP596" s="595">
        <f>+BP595-BM595</f>
        <v>1.0221833719324877E-3</v>
      </c>
      <c r="BQ596" s="596">
        <f>+BQ595-BP595</f>
        <v>4.9324521574956731E-5</v>
      </c>
      <c r="BR596" s="584"/>
      <c r="BS596" s="594"/>
      <c r="BT596" s="595">
        <f>+BT595-BQ595</f>
        <v>2.2004366460160671E-3</v>
      </c>
      <c r="BU596" s="596">
        <f>+BU595-BT595</f>
        <v>1.93503597425752E-3</v>
      </c>
      <c r="BV596" s="584"/>
      <c r="BW596" s="594"/>
      <c r="BX596" s="595">
        <f>+BX595-BU595</f>
        <v>-7.7965943919155317E-4</v>
      </c>
      <c r="BY596" s="596">
        <f>+BY595-BX595</f>
        <v>1.677923433339109E-3</v>
      </c>
      <c r="BZ596" s="584"/>
      <c r="CA596" s="594"/>
      <c r="CB596" s="595">
        <f>+CB595-BY595</f>
        <v>5.1623524359278167E-4</v>
      </c>
      <c r="CC596" s="596">
        <f>+CC595-CB595</f>
        <v>2.0087061696910033E-3</v>
      </c>
      <c r="CD596" s="584"/>
      <c r="CE596" s="594"/>
      <c r="CF596" s="595">
        <f>+CF595-CC595</f>
        <v>2.2095690026180947E-3</v>
      </c>
      <c r="CG596" s="596">
        <f>+CG595-CF595</f>
        <v>-1.7598134024067735E-3</v>
      </c>
      <c r="CH596" s="584"/>
      <c r="CI596" s="594"/>
      <c r="CJ596" s="595">
        <f>+CJ595-CG595</f>
        <v>7.002987042040755E-4</v>
      </c>
      <c r="CK596" s="596">
        <f>+CK595-CJ595</f>
        <v>-8.237792837648911E-4</v>
      </c>
      <c r="CL596" s="584"/>
      <c r="CM596" s="594"/>
      <c r="CN596" s="595">
        <f>+CN595-CK595</f>
        <v>-2.1466768943564757E-3</v>
      </c>
      <c r="CO596" s="596">
        <f>+CO595-CN595</f>
        <v>-4.7052143755582513E-4</v>
      </c>
      <c r="CP596" s="584"/>
      <c r="CQ596" s="594"/>
      <c r="CR596" s="595">
        <f>+CR595-CO595</f>
        <v>2.0504724630272808E-4</v>
      </c>
      <c r="CS596" s="596">
        <f>+CS595-CR595</f>
        <v>9.8967199745477342E-4</v>
      </c>
      <c r="CT596" s="584"/>
      <c r="CU596" s="594"/>
      <c r="CV596" s="595">
        <f>+CV595-CS595</f>
        <v>-1.6331727278126665E-3</v>
      </c>
      <c r="CW596" s="596">
        <f>+CW595-CV595</f>
        <v>1.5942162043432184E-6</v>
      </c>
      <c r="CX596" s="584"/>
      <c r="CY596" s="594"/>
      <c r="CZ596" s="595">
        <f>+CZ595-CW595</f>
        <v>4.091677197531389E-3</v>
      </c>
      <c r="DA596" s="596">
        <f>+DA595-CZ595</f>
        <v>-4.0837498494962488E-4</v>
      </c>
      <c r="DB596" s="584"/>
      <c r="DC596" s="594"/>
      <c r="DD596" s="595">
        <f>+DD595-DA595</f>
        <v>-1.3759763128511279E-3</v>
      </c>
      <c r="DE596" s="596">
        <f>+DE595-DD595</f>
        <v>-9.2787497425333293E-4</v>
      </c>
      <c r="DF596" s="584"/>
      <c r="DG596" s="594"/>
      <c r="DH596" s="595">
        <f>+DH595-DE595</f>
        <v>-6.3917533850705449E-4</v>
      </c>
      <c r="DI596" s="597">
        <v>0</v>
      </c>
      <c r="DJ596" s="595"/>
      <c r="DK596" s="594"/>
      <c r="DL596" s="597">
        <v>0</v>
      </c>
      <c r="DM596" s="597">
        <v>0</v>
      </c>
      <c r="DN596" s="595"/>
      <c r="DO596" s="594"/>
      <c r="DP596" s="597">
        <v>0</v>
      </c>
      <c r="DQ596" s="597">
        <v>0</v>
      </c>
      <c r="DR596" s="595"/>
      <c r="DS596" s="594"/>
      <c r="DT596" s="1"/>
      <c r="DU596" s="1"/>
      <c r="DV596" s="1"/>
      <c r="DW596" s="1"/>
      <c r="DX596" s="1"/>
      <c r="DY596" s="1"/>
      <c r="DZ596" s="1"/>
      <c r="EA596" s="1"/>
      <c r="EB596" s="1"/>
      <c r="EC596" s="1"/>
      <c r="ED596" s="1"/>
      <c r="EE596" s="1"/>
      <c r="EF596" s="1"/>
      <c r="EG596" s="1"/>
      <c r="EH596" s="1"/>
      <c r="EI596" s="1"/>
      <c r="EJ596" s="1"/>
      <c r="EK596" s="1"/>
      <c r="EL596" s="1"/>
      <c r="EM596" s="1"/>
      <c r="EN596" s="1"/>
      <c r="EO596" s="1"/>
      <c r="EP596" s="1"/>
      <c r="EQ596" s="1"/>
      <c r="ER596" s="1"/>
      <c r="ES596" s="1"/>
      <c r="ET596" s="1"/>
      <c r="EU596" s="1"/>
      <c r="EV596" s="1"/>
      <c r="EW596" s="1"/>
      <c r="EX596" s="1"/>
      <c r="EY596" s="1"/>
      <c r="EZ596" s="1"/>
      <c r="FA596" s="1"/>
      <c r="FB596" s="1"/>
      <c r="FC596" s="1"/>
      <c r="FD596" s="1"/>
      <c r="FE596" s="1"/>
      <c r="FF596" s="1"/>
      <c r="FG596" s="1"/>
      <c r="FH596" s="1"/>
      <c r="FI596" s="1"/>
      <c r="FJ596" s="1"/>
      <c r="FK596" s="1"/>
      <c r="FL596" s="1"/>
      <c r="FM596" s="1"/>
      <c r="FN596" s="1"/>
      <c r="FO596" s="1"/>
      <c r="FP596" s="1"/>
      <c r="FQ596" s="1"/>
      <c r="FR596" s="1"/>
      <c r="FS596" s="1"/>
      <c r="FT596" s="1"/>
      <c r="FU596" s="1"/>
      <c r="FV596" s="1"/>
      <c r="FW596" s="1"/>
      <c r="FX596" s="1"/>
      <c r="FY596" s="1"/>
      <c r="FZ596" s="1"/>
      <c r="GA596" s="1"/>
      <c r="GB596" s="1"/>
      <c r="GC596" s="1"/>
      <c r="GD596" s="1"/>
      <c r="GE596" s="1"/>
      <c r="GF596" s="1"/>
      <c r="GG596" s="1"/>
      <c r="GH596" s="1"/>
      <c r="GI596" s="1"/>
      <c r="GJ596" s="1"/>
      <c r="GK596" s="1"/>
      <c r="GL596" s="1"/>
      <c r="GM596" s="1"/>
      <c r="GN596" s="1"/>
      <c r="GO596" s="1"/>
      <c r="GP596" s="1"/>
      <c r="GQ596" s="1"/>
      <c r="GR596" s="1"/>
      <c r="GS596" s="1"/>
      <c r="GT596" s="1"/>
      <c r="GU596" s="1"/>
      <c r="GV596" s="1"/>
      <c r="GW596" s="1"/>
      <c r="GX596" s="1"/>
      <c r="GY596" s="1"/>
      <c r="GZ596" s="1"/>
      <c r="HA596" s="1"/>
      <c r="HB596" s="1"/>
      <c r="HC596" s="1"/>
      <c r="HD596" s="1"/>
      <c r="HE596" s="1"/>
      <c r="HF596" s="1"/>
      <c r="HG596" s="1"/>
      <c r="HH596" s="1"/>
      <c r="HI596" s="1"/>
      <c r="HJ596" s="1"/>
      <c r="HK596" s="1"/>
      <c r="HL596" s="1"/>
      <c r="HM596" s="1"/>
      <c r="HN596" s="1"/>
      <c r="HO596" s="1"/>
      <c r="HP596" s="1"/>
      <c r="HQ596" s="1"/>
      <c r="HR596" s="1"/>
      <c r="HS596" s="1"/>
      <c r="HT596" s="1"/>
      <c r="HU596" s="1"/>
      <c r="HV596" s="1"/>
      <c r="HW596" s="1"/>
      <c r="HX596" s="1"/>
      <c r="HY596" s="1"/>
      <c r="HZ596" s="1"/>
      <c r="IA596" s="1"/>
      <c r="IB596" s="1"/>
      <c r="IC596" s="1"/>
      <c r="ID596" s="1"/>
      <c r="IE596" s="1"/>
      <c r="IF596" s="1"/>
      <c r="IG596" s="1"/>
      <c r="IH596" s="1"/>
      <c r="II596" s="1"/>
      <c r="IJ596" s="1"/>
      <c r="IK596" s="1"/>
      <c r="IL596" s="1"/>
      <c r="IM596" s="1"/>
      <c r="IN596" s="1"/>
      <c r="IO596" s="1"/>
      <c r="IP596" s="1"/>
      <c r="IQ596" s="1"/>
      <c r="IR596" s="1"/>
      <c r="IS596" s="1"/>
      <c r="IT596" s="1"/>
      <c r="IU596" s="1"/>
      <c r="IV596" s="1"/>
      <c r="IW596" s="1"/>
      <c r="IX596" s="1"/>
      <c r="IY596" s="1"/>
      <c r="IZ596" s="1"/>
      <c r="JA596" s="1"/>
      <c r="JB596" s="1"/>
      <c r="JC596" s="1"/>
      <c r="JD596" s="1"/>
    </row>
    <row r="597" spans="1:264" s="411" customFormat="1" x14ac:dyDescent="0.2">
      <c r="A597" s="411" t="s">
        <v>483</v>
      </c>
      <c r="B597" s="423"/>
      <c r="BH597" s="490">
        <f>+BH561*(BH4/BH3)/BH566</f>
        <v>5.4355107122613711E-2</v>
      </c>
      <c r="BI597" s="490">
        <f>+BI561*(BI4/BI3)/BI566</f>
        <v>5.1981234122868869E-2</v>
      </c>
      <c r="BJ597" s="490">
        <f>+BJ561*(BJ4/BJ3)/BJ566</f>
        <v>5.3170184674368189E-2</v>
      </c>
      <c r="BK597" s="423"/>
      <c r="BL597" s="490">
        <f>+BL561*(BL4/BL3)/BL566</f>
        <v>4.8374618001342962E-2</v>
      </c>
      <c r="BM597" s="490">
        <f>+BM561*(BM4/BM3)/BM566</f>
        <v>4.7009367477659124E-2</v>
      </c>
      <c r="BN597" s="490">
        <f>+BN561*(BN4/BN3)/BN566</f>
        <v>4.7682708815644535E-2</v>
      </c>
      <c r="BO597" s="423"/>
      <c r="BP597" s="490">
        <f>+BP561*(BP4/BP3)/BP566</f>
        <v>4.6458822357317915E-2</v>
      </c>
      <c r="BQ597" s="490">
        <f>+BQ561*(BQ4/BQ3)/BQ566</f>
        <v>4.3932921317289195E-2</v>
      </c>
      <c r="BR597" s="490">
        <f>+BR561*(BR4/BR3)/BR566</f>
        <v>4.5175744082168026E-2</v>
      </c>
      <c r="BT597" s="490">
        <f>+BT561*(BT4/BT3)/BT566</f>
        <v>4.2899262259061668E-2</v>
      </c>
      <c r="BU597" s="490">
        <f>+BU561*(BU4/BU3)/BU566</f>
        <v>4.2650467417983805E-2</v>
      </c>
      <c r="BV597" s="490">
        <f>+BV561*(BV4/BV3)/BV566</f>
        <v>4.2771137671536077E-2</v>
      </c>
      <c r="BX597" s="490">
        <f>+BX561*(BX4/BX3)/BX566</f>
        <v>4.0186889993594405E-2</v>
      </c>
      <c r="BY597" s="490">
        <f>+BY561*(BY4/BY3)/BY566</f>
        <v>3.9604102477453391E-2</v>
      </c>
      <c r="BZ597" s="490">
        <f>+BZ561*(BZ4/BZ3)/BZ566</f>
        <v>3.9893811373827331E-2</v>
      </c>
      <c r="CB597" s="490">
        <f>+CB561*(CB4/CB3)/CB566</f>
        <v>4.0024655851522331E-2</v>
      </c>
      <c r="CC597" s="490">
        <f>+CC561*(CC4/CC3)/CC566</f>
        <v>4.0851488192988866E-2</v>
      </c>
      <c r="CD597" s="490">
        <f>+CD561*(CD4/CD3)/CD566</f>
        <v>4.0435977636889768E-2</v>
      </c>
      <c r="CF597" s="490">
        <f>+CF561*(CF4/CF3)/CF566</f>
        <v>4.0369211617722514E-2</v>
      </c>
      <c r="CG597" s="490">
        <f>+CG561*(CG4/CG3)/CG566</f>
        <v>3.9671025747366681E-2</v>
      </c>
      <c r="CH597" s="490">
        <f>+CH561*(CH4/CH3)/CH566</f>
        <v>3.9830483189468198E-2</v>
      </c>
      <c r="CJ597" s="490">
        <f>+CJ561*(CJ4/CJ3)/CJ566</f>
        <v>3.5968332384241623E-2</v>
      </c>
      <c r="CK597" s="490">
        <f>+CK561*(CK4/CK3)/CK566</f>
        <v>3.1307632003692513E-2</v>
      </c>
      <c r="CL597" s="490">
        <f>+CL561*(CL4/CL3)/CL566</f>
        <v>3.3610093056789046E-2</v>
      </c>
      <c r="CN597" s="490">
        <f>+CN561*(CN4/CN3)/CN566</f>
        <v>2.7481713129895474E-2</v>
      </c>
      <c r="CO597" s="490">
        <f>+CO561*(CO4/CO3)/CO566</f>
        <v>2.5553642750122466E-2</v>
      </c>
      <c r="CP597" s="490">
        <f>+CP561*(CP4/CP3)/CP566</f>
        <v>2.6518369708532382E-2</v>
      </c>
      <c r="CR597" s="490">
        <f>+CR561*(CR4/CR3)/CR566</f>
        <v>2.361181676910808E-2</v>
      </c>
      <c r="CS597" s="490">
        <f>+CS561*(CS4/CS3)/CS566</f>
        <v>2.3700094216022666E-2</v>
      </c>
      <c r="CT597" s="490">
        <f>+CT561*(CT4/CT3)/CT566</f>
        <v>2.3656406111538499E-2</v>
      </c>
      <c r="CV597" s="490">
        <f>+CV561*(CV4/CV3)/CV566</f>
        <v>3.5390065129231416E-2</v>
      </c>
      <c r="CW597" s="490">
        <f>+CW561*(CW4/CW3)/CW566</f>
        <v>4.4636458053045718E-2</v>
      </c>
      <c r="CX597" s="490">
        <f>+CX561*(CX4/CX3)/CX566</f>
        <v>4.0022353125388078E-2</v>
      </c>
      <c r="CZ597" s="490">
        <f>+CZ561*(CZ4/CZ3)/CZ566</f>
        <v>5.164760826742279E-2</v>
      </c>
      <c r="DA597" s="490">
        <f>+DA561*(DA4/DA3)/DA566</f>
        <v>5.5046975389256556E-2</v>
      </c>
      <c r="DB597" s="490">
        <f>+DB561*(DB4/DB3)/DB566</f>
        <v>5.3343493332937184E-2</v>
      </c>
      <c r="DD597" s="490">
        <f>+DD561*(DD4/DD3)/DD566</f>
        <v>5.7078497419133886E-2</v>
      </c>
      <c r="DE597" s="490">
        <f>+DE561*(DE4/DE3)/DE566</f>
        <v>5.5804097006323404E-2</v>
      </c>
      <c r="DF597" s="490">
        <f>+DF561*(DF4/DF3)/DF566</f>
        <v>5.6436597889890125E-2</v>
      </c>
      <c r="DH597" s="490">
        <f>+DH561*(DH4/DH3)/DH566</f>
        <v>5.2100088351832934E-2</v>
      </c>
      <c r="DI597" s="490">
        <f>+DI561*(DI4/DI3)/DI566</f>
        <v>5.4124431179948217E-2</v>
      </c>
      <c r="DJ597" s="490">
        <f>+DJ561*(DJ4/DJ3)/DJ566</f>
        <v>5.311349192898443E-2</v>
      </c>
      <c r="DL597" s="490">
        <f>+DL561*(DL4/DL3)/DL566</f>
        <v>5.6548774008063518E-2</v>
      </c>
      <c r="DM597" s="490">
        <f>+DM561*(DM4/DM3)/DM566</f>
        <v>5.6473116836178797E-2</v>
      </c>
      <c r="DN597" s="490">
        <f>+DN561*(DN4/DN3)/DN566</f>
        <v>5.6503775874996783E-2</v>
      </c>
      <c r="DP597" s="490">
        <f>+DP561*(DP4/DP3)/DP566</f>
        <v>5.6397459664294096E-2</v>
      </c>
      <c r="DQ597" s="490">
        <f>+DQ561*(DQ4/DQ3)/DQ566</f>
        <v>5.632180249240936E-2</v>
      </c>
      <c r="DR597" s="490">
        <f>+DR561*(DR4/DR3)/DR566</f>
        <v>5.635569247199964E-2</v>
      </c>
      <c r="DT597" s="1"/>
      <c r="DU597" s="1"/>
      <c r="DV597" s="1"/>
      <c r="DW597" s="1"/>
      <c r="DX597" s="1"/>
      <c r="DY597" s="1"/>
      <c r="DZ597" s="1"/>
      <c r="EA597" s="1"/>
      <c r="EB597" s="1"/>
      <c r="EC597" s="1"/>
      <c r="ED597" s="1"/>
      <c r="EE597" s="1"/>
      <c r="EF597" s="1"/>
      <c r="EG597" s="1"/>
      <c r="EH597" s="1"/>
      <c r="EI597" s="1"/>
      <c r="EJ597" s="1"/>
      <c r="EK597" s="1"/>
      <c r="EL597" s="1"/>
      <c r="EM597" s="1"/>
      <c r="EN597" s="1"/>
      <c r="EO597" s="1"/>
      <c r="EP597" s="1"/>
      <c r="EQ597" s="1"/>
      <c r="ER597" s="1"/>
      <c r="ES597" s="1"/>
      <c r="ET597" s="1"/>
      <c r="EU597" s="1"/>
      <c r="EV597" s="1"/>
      <c r="EW597" s="1"/>
      <c r="EX597" s="1"/>
      <c r="EY597" s="1"/>
      <c r="EZ597" s="1"/>
      <c r="FA597" s="1"/>
      <c r="FB597" s="1"/>
      <c r="FC597" s="1"/>
      <c r="FD597" s="1"/>
      <c r="FE597" s="1"/>
      <c r="FF597" s="1"/>
      <c r="FG597" s="1"/>
      <c r="FH597" s="1"/>
      <c r="FI597" s="1"/>
      <c r="FJ597" s="1"/>
      <c r="FK597" s="1"/>
      <c r="FL597" s="1"/>
      <c r="FM597" s="1"/>
      <c r="FN597" s="1"/>
      <c r="FO597" s="1"/>
      <c r="FP597" s="1"/>
      <c r="FQ597" s="1"/>
      <c r="FR597" s="1"/>
      <c r="FS597" s="1"/>
      <c r="FT597" s="1"/>
      <c r="FU597" s="1"/>
      <c r="FV597" s="1"/>
      <c r="FW597" s="1"/>
      <c r="FX597" s="1"/>
      <c r="FY597" s="1"/>
      <c r="FZ597" s="1"/>
      <c r="GA597" s="1"/>
      <c r="GB597" s="1"/>
      <c r="GC597" s="1"/>
      <c r="GD597" s="1"/>
      <c r="GE597" s="1"/>
      <c r="GF597" s="1"/>
      <c r="GG597" s="1"/>
      <c r="GH597" s="1"/>
      <c r="GI597" s="1"/>
      <c r="GJ597" s="1"/>
      <c r="GK597" s="1"/>
      <c r="GL597" s="1"/>
      <c r="GM597" s="1"/>
      <c r="GN597" s="1"/>
      <c r="GO597" s="1"/>
      <c r="GP597" s="1"/>
      <c r="GQ597" s="1"/>
      <c r="GR597" s="1"/>
      <c r="GS597" s="1"/>
      <c r="GT597" s="1"/>
      <c r="GU597" s="1"/>
      <c r="GV597" s="1"/>
      <c r="GW597" s="1"/>
      <c r="GX597" s="1"/>
      <c r="GY597" s="1"/>
      <c r="GZ597" s="1"/>
      <c r="HA597" s="1"/>
      <c r="HB597" s="1"/>
      <c r="HC597" s="1"/>
      <c r="HD597" s="1"/>
      <c r="HE597" s="1"/>
      <c r="HF597" s="1"/>
      <c r="HG597" s="1"/>
      <c r="HH597" s="1"/>
      <c r="HI597" s="1"/>
      <c r="HJ597" s="1"/>
      <c r="HK597" s="1"/>
      <c r="HL597" s="1"/>
      <c r="HM597" s="1"/>
      <c r="HN597" s="1"/>
      <c r="HO597" s="1"/>
      <c r="HP597" s="1"/>
      <c r="HQ597" s="1"/>
      <c r="HR597" s="1"/>
      <c r="HS597" s="1"/>
      <c r="HT597" s="1"/>
      <c r="HU597" s="1"/>
      <c r="HV597" s="1"/>
      <c r="HW597" s="1"/>
      <c r="HX597" s="1"/>
      <c r="HY597" s="1"/>
      <c r="HZ597" s="1"/>
      <c r="IA597" s="1"/>
      <c r="IB597" s="1"/>
      <c r="IC597" s="1"/>
      <c r="ID597" s="1"/>
      <c r="IE597" s="1"/>
      <c r="IF597" s="1"/>
      <c r="IG597" s="1"/>
      <c r="IH597" s="1"/>
      <c r="II597" s="1"/>
      <c r="IJ597" s="1"/>
      <c r="IK597" s="1"/>
      <c r="IL597" s="1"/>
      <c r="IM597" s="1"/>
      <c r="IN597" s="1"/>
      <c r="IO597" s="1"/>
      <c r="IP597" s="1"/>
      <c r="IQ597" s="1"/>
      <c r="IR597" s="1"/>
      <c r="IS597" s="1"/>
      <c r="IT597" s="1"/>
      <c r="IU597" s="1"/>
      <c r="IV597" s="1"/>
      <c r="IW597" s="1"/>
      <c r="IX597" s="1"/>
      <c r="IY597" s="1"/>
      <c r="IZ597" s="1"/>
      <c r="JA597" s="1"/>
      <c r="JB597" s="1"/>
      <c r="JC597" s="1"/>
      <c r="JD597" s="1"/>
    </row>
    <row r="598" spans="1:264" s="347" customFormat="1" x14ac:dyDescent="0.2">
      <c r="B598" s="348"/>
      <c r="BH598" s="348"/>
      <c r="BI598" s="348"/>
      <c r="BJ598" s="348"/>
      <c r="BK598" s="348"/>
      <c r="BL598" s="348"/>
      <c r="BM598" s="348"/>
      <c r="BN598" s="348"/>
      <c r="BO598" s="348"/>
      <c r="BP598" s="348"/>
      <c r="BQ598" s="348"/>
      <c r="BR598" s="348"/>
      <c r="BT598" s="348"/>
      <c r="BU598" s="348"/>
      <c r="BV598" s="348"/>
      <c r="BX598" s="348"/>
      <c r="CB598" s="348"/>
      <c r="CF598" s="348"/>
      <c r="CJ598" s="348"/>
      <c r="CN598" s="348"/>
      <c r="CR598" s="348"/>
      <c r="CV598" s="348"/>
      <c r="CZ598" s="348"/>
      <c r="DD598" s="348"/>
      <c r="DH598" s="348"/>
      <c r="DL598" s="348"/>
      <c r="DP598" s="348"/>
      <c r="DT598" s="1"/>
      <c r="DU598" s="1"/>
      <c r="DV598" s="1"/>
      <c r="DW598" s="1"/>
      <c r="DX598" s="1"/>
      <c r="DY598" s="1"/>
      <c r="DZ598" s="1"/>
      <c r="EA598" s="1"/>
      <c r="EB598" s="1"/>
      <c r="EC598" s="1"/>
      <c r="ED598" s="1"/>
      <c r="EE598" s="1"/>
      <c r="EF598" s="1"/>
      <c r="EG598" s="1"/>
      <c r="EH598" s="1"/>
      <c r="EI598" s="1"/>
      <c r="EJ598" s="1"/>
      <c r="EK598" s="1"/>
      <c r="EL598" s="1"/>
      <c r="EM598" s="1"/>
      <c r="EN598" s="1"/>
      <c r="EO598" s="1"/>
      <c r="EP598" s="1"/>
      <c r="EQ598" s="1"/>
      <c r="ER598" s="1"/>
      <c r="ES598" s="1"/>
      <c r="ET598" s="1"/>
      <c r="EU598" s="1"/>
      <c r="EV598" s="1"/>
      <c r="EW598" s="1"/>
      <c r="EX598" s="1"/>
      <c r="EY598" s="1"/>
      <c r="EZ598" s="1"/>
      <c r="FA598" s="1"/>
      <c r="FB598" s="1"/>
      <c r="FC598" s="1"/>
      <c r="FD598" s="1"/>
      <c r="FE598" s="1"/>
      <c r="FF598" s="1"/>
      <c r="FG598" s="1"/>
      <c r="FH598" s="1"/>
      <c r="FI598" s="1"/>
      <c r="FJ598" s="1"/>
      <c r="FK598" s="1"/>
      <c r="FL598" s="1"/>
      <c r="FM598" s="1"/>
      <c r="FN598" s="1"/>
      <c r="FO598" s="1"/>
      <c r="FP598" s="1"/>
      <c r="FQ598" s="1"/>
      <c r="FR598" s="1"/>
      <c r="FS598" s="1"/>
      <c r="FT598" s="1"/>
      <c r="FU598" s="1"/>
      <c r="FV598" s="1"/>
      <c r="FW598" s="1"/>
      <c r="FX598" s="1"/>
      <c r="FY598" s="1"/>
      <c r="FZ598" s="1"/>
      <c r="GA598" s="1"/>
      <c r="GB598" s="1"/>
      <c r="GC598" s="1"/>
      <c r="GD598" s="1"/>
      <c r="GE598" s="1"/>
      <c r="GF598" s="1"/>
      <c r="GG598" s="1"/>
      <c r="GH598" s="1"/>
      <c r="GI598" s="1"/>
      <c r="GJ598" s="1"/>
      <c r="GK598" s="1"/>
      <c r="GL598" s="1"/>
      <c r="GM598" s="1"/>
      <c r="GN598" s="1"/>
      <c r="GO598" s="1"/>
      <c r="GP598" s="1"/>
      <c r="GQ598" s="1"/>
      <c r="GR598" s="1"/>
      <c r="GS598" s="1"/>
      <c r="GT598" s="1"/>
      <c r="GU598" s="1"/>
      <c r="GV598" s="1"/>
      <c r="GW598" s="1"/>
      <c r="GX598" s="1"/>
      <c r="GY598" s="1"/>
      <c r="GZ598" s="1"/>
      <c r="HA598" s="1"/>
      <c r="HB598" s="1"/>
      <c r="HC598" s="1"/>
      <c r="HD598" s="1"/>
      <c r="HE598" s="1"/>
      <c r="HF598" s="1"/>
      <c r="HG598" s="1"/>
      <c r="HH598" s="1"/>
      <c r="HI598" s="1"/>
      <c r="HJ598" s="1"/>
      <c r="HK598" s="1"/>
      <c r="HL598" s="1"/>
      <c r="HM598" s="1"/>
      <c r="HN598" s="1"/>
      <c r="HO598" s="1"/>
      <c r="HP598" s="1"/>
      <c r="HQ598" s="1"/>
      <c r="HR598" s="1"/>
      <c r="HS598" s="1"/>
      <c r="HT598" s="1"/>
      <c r="HU598" s="1"/>
      <c r="HV598" s="1"/>
      <c r="HW598" s="1"/>
      <c r="HX598" s="1"/>
      <c r="HY598" s="1"/>
      <c r="HZ598" s="1"/>
      <c r="IA598" s="1"/>
      <c r="IB598" s="1"/>
      <c r="IC598" s="1"/>
      <c r="ID598" s="1"/>
      <c r="IE598" s="1"/>
      <c r="IF598" s="1"/>
      <c r="IG598" s="1"/>
      <c r="IH598" s="1"/>
      <c r="II598" s="1"/>
      <c r="IJ598" s="1"/>
      <c r="IK598" s="1"/>
      <c r="IL598" s="1"/>
      <c r="IM598" s="1"/>
      <c r="IN598" s="1"/>
      <c r="IO598" s="1"/>
      <c r="IP598" s="1"/>
      <c r="IQ598" s="1"/>
      <c r="IR598" s="1"/>
      <c r="IS598" s="1"/>
      <c r="IT598" s="1"/>
      <c r="IU598" s="1"/>
      <c r="IV598" s="1"/>
      <c r="IW598" s="1"/>
      <c r="IX598" s="1"/>
      <c r="IY598" s="1"/>
      <c r="IZ598" s="1"/>
      <c r="JA598" s="1"/>
      <c r="JB598" s="1"/>
      <c r="JC598" s="1"/>
      <c r="JD598" s="1"/>
    </row>
    <row r="599" spans="1:264" s="347" customFormat="1" x14ac:dyDescent="0.2">
      <c r="A599" s="347" t="s">
        <v>484</v>
      </c>
      <c r="B599" s="348"/>
      <c r="BH599" s="351">
        <f>BH497</f>
        <v>605408</v>
      </c>
      <c r="BI599" s="351">
        <f>BI497</f>
        <v>613779</v>
      </c>
      <c r="BJ599" s="351">
        <f>BJ497</f>
        <v>609593.5</v>
      </c>
      <c r="BK599" s="348"/>
      <c r="BL599" s="351">
        <f>BL497</f>
        <v>647944</v>
      </c>
      <c r="BM599" s="351">
        <f>BM497</f>
        <v>675749</v>
      </c>
      <c r="BN599" s="351">
        <f>BN497</f>
        <v>661733</v>
      </c>
      <c r="BO599" s="348"/>
      <c r="BP599" s="351">
        <f>BP497</f>
        <v>694372</v>
      </c>
      <c r="BQ599" s="351">
        <f>BQ497</f>
        <v>732110</v>
      </c>
      <c r="BR599" s="351">
        <f>BR497</f>
        <v>713241</v>
      </c>
      <c r="BT599" s="351">
        <f>BT497</f>
        <v>737226</v>
      </c>
      <c r="BU599" s="351">
        <f>BU497</f>
        <v>730246</v>
      </c>
      <c r="BV599" s="351">
        <f>BV497</f>
        <v>733736</v>
      </c>
      <c r="BX599" s="351">
        <f>BX497</f>
        <v>747236</v>
      </c>
      <c r="BY599" s="351">
        <f>BY497</f>
        <v>764126</v>
      </c>
      <c r="BZ599" s="351">
        <f>BZ497</f>
        <v>755612</v>
      </c>
      <c r="CB599" s="351">
        <f>CB497</f>
        <v>757449</v>
      </c>
      <c r="CC599" s="351">
        <f>CC497</f>
        <v>761752</v>
      </c>
      <c r="CD599" s="351">
        <f>CD497</f>
        <v>759583</v>
      </c>
      <c r="CF599" s="351">
        <f>CF497</f>
        <v>764654</v>
      </c>
      <c r="CG599" s="351">
        <f>CG497</f>
        <v>757518</v>
      </c>
      <c r="CH599" s="351">
        <f>CH497</f>
        <v>761115</v>
      </c>
      <c r="CJ599" s="351">
        <f>CJ497</f>
        <v>763025</v>
      </c>
      <c r="CK599" s="351">
        <f>CK497</f>
        <v>781037</v>
      </c>
      <c r="CL599" s="351">
        <f>CL497</f>
        <v>771982</v>
      </c>
      <c r="CN599" s="351">
        <f>CN497</f>
        <v>776387</v>
      </c>
      <c r="CO599" s="351">
        <f>CO497</f>
        <v>777564</v>
      </c>
      <c r="CP599" s="351">
        <f>CP497</f>
        <v>776967</v>
      </c>
      <c r="CR599" s="351">
        <f>CR497</f>
        <v>827648</v>
      </c>
      <c r="CS599" s="351">
        <f>CS497</f>
        <v>855976</v>
      </c>
      <c r="CT599" s="351">
        <f>CT497</f>
        <v>841695</v>
      </c>
      <c r="CV599" s="351">
        <f>CV497</f>
        <v>902053</v>
      </c>
      <c r="CW599" s="351">
        <f>CW497</f>
        <v>935544</v>
      </c>
      <c r="CX599" s="351">
        <f>CX497</f>
        <v>918666</v>
      </c>
      <c r="CZ599" s="351">
        <f>CZ497</f>
        <v>964706</v>
      </c>
      <c r="DA599" s="351">
        <f>DA497</f>
        <v>978301</v>
      </c>
      <c r="DB599" s="351">
        <f>DB497</f>
        <v>971466</v>
      </c>
      <c r="DD599" s="351">
        <f>DD497</f>
        <v>963596</v>
      </c>
      <c r="DE599" s="351">
        <f>DE497</f>
        <v>1001160</v>
      </c>
      <c r="DF599" s="351">
        <f>DF497</f>
        <v>982224</v>
      </c>
      <c r="DH599" s="351">
        <f>DH497</f>
        <v>1053407</v>
      </c>
      <c r="DI599" s="351">
        <f ca="1">DI497</f>
        <v>1095417.4486237832</v>
      </c>
      <c r="DJ599" s="351">
        <f ca="1">DJ497</f>
        <v>1074412.2243118915</v>
      </c>
      <c r="DL599" s="351">
        <f ca="1">DL497</f>
        <v>1131411.2227322652</v>
      </c>
      <c r="DM599" s="351">
        <f ca="1">DM497</f>
        <v>1166467.8096901965</v>
      </c>
      <c r="DN599" s="351">
        <f ca="1">DN497</f>
        <v>1148939.5162112308</v>
      </c>
      <c r="DP599" s="351">
        <f ca="1">DP497</f>
        <v>1198847.5929408928</v>
      </c>
      <c r="DQ599" s="351">
        <f ca="1">DQ497</f>
        <v>1228336.1231776159</v>
      </c>
      <c r="DR599" s="351">
        <f ca="1">DR497</f>
        <v>1213591.8580592545</v>
      </c>
      <c r="DT599" s="1"/>
      <c r="DU599" s="1"/>
      <c r="DV599" s="1"/>
      <c r="DW599" s="1"/>
      <c r="DX599" s="1"/>
      <c r="DY599" s="1"/>
      <c r="DZ599" s="1"/>
      <c r="EA599" s="1"/>
      <c r="EB599" s="1"/>
      <c r="EC599" s="1"/>
      <c r="ED599" s="1"/>
      <c r="EE599" s="1"/>
      <c r="EF599" s="1"/>
      <c r="EG599" s="1"/>
      <c r="EH599" s="1"/>
      <c r="EI599" s="1"/>
      <c r="EJ599" s="1"/>
      <c r="EK599" s="1"/>
      <c r="EL599" s="1"/>
      <c r="EM599" s="1"/>
      <c r="EN599" s="1"/>
      <c r="EO599" s="1"/>
      <c r="EP599" s="1"/>
      <c r="EQ599" s="1"/>
      <c r="ER599" s="1"/>
      <c r="ES599" s="1"/>
      <c r="ET599" s="1"/>
      <c r="EU599" s="1"/>
      <c r="EV599" s="1"/>
      <c r="EW599" s="1"/>
      <c r="EX599" s="1"/>
      <c r="EY599" s="1"/>
      <c r="EZ599" s="1"/>
      <c r="FA599" s="1"/>
      <c r="FB599" s="1"/>
      <c r="FC599" s="1"/>
      <c r="FD599" s="1"/>
      <c r="FE599" s="1"/>
      <c r="FF599" s="1"/>
      <c r="FG599" s="1"/>
      <c r="FH599" s="1"/>
      <c r="FI599" s="1"/>
      <c r="FJ599" s="1"/>
      <c r="FK599" s="1"/>
      <c r="FL599" s="1"/>
      <c r="FM599" s="1"/>
      <c r="FN599" s="1"/>
      <c r="FO599" s="1"/>
      <c r="FP599" s="1"/>
      <c r="FQ599" s="1"/>
      <c r="FR599" s="1"/>
      <c r="FS599" s="1"/>
      <c r="FT599" s="1"/>
      <c r="FU599" s="1"/>
      <c r="FV599" s="1"/>
      <c r="FW599" s="1"/>
      <c r="FX599" s="1"/>
      <c r="FY599" s="1"/>
      <c r="FZ599" s="1"/>
      <c r="GA599" s="1"/>
      <c r="GB599" s="1"/>
      <c r="GC599" s="1"/>
      <c r="GD599" s="1"/>
      <c r="GE599" s="1"/>
      <c r="GF599" s="1"/>
      <c r="GG599" s="1"/>
      <c r="GH599" s="1"/>
      <c r="GI599" s="1"/>
      <c r="GJ599" s="1"/>
      <c r="GK599" s="1"/>
      <c r="GL599" s="1"/>
      <c r="GM599" s="1"/>
      <c r="GN599" s="1"/>
      <c r="GO599" s="1"/>
      <c r="GP599" s="1"/>
      <c r="GQ599" s="1"/>
      <c r="GR599" s="1"/>
      <c r="GS599" s="1"/>
      <c r="GT599" s="1"/>
      <c r="GU599" s="1"/>
      <c r="GV599" s="1"/>
      <c r="GW599" s="1"/>
      <c r="GX599" s="1"/>
      <c r="GY599" s="1"/>
      <c r="GZ599" s="1"/>
      <c r="HA599" s="1"/>
      <c r="HB599" s="1"/>
      <c r="HC599" s="1"/>
      <c r="HD599" s="1"/>
      <c r="HE599" s="1"/>
      <c r="HF599" s="1"/>
      <c r="HG599" s="1"/>
      <c r="HH599" s="1"/>
      <c r="HI599" s="1"/>
      <c r="HJ599" s="1"/>
      <c r="HK599" s="1"/>
      <c r="HL599" s="1"/>
      <c r="HM599" s="1"/>
      <c r="HN599" s="1"/>
      <c r="HO599" s="1"/>
      <c r="HP599" s="1"/>
      <c r="HQ599" s="1"/>
      <c r="HR599" s="1"/>
      <c r="HS599" s="1"/>
      <c r="HT599" s="1"/>
      <c r="HU599" s="1"/>
      <c r="HV599" s="1"/>
      <c r="HW599" s="1"/>
      <c r="HX599" s="1"/>
      <c r="HY599" s="1"/>
      <c r="HZ599" s="1"/>
      <c r="IA599" s="1"/>
      <c r="IB599" s="1"/>
      <c r="IC599" s="1"/>
      <c r="ID599" s="1"/>
      <c r="IE599" s="1"/>
      <c r="IF599" s="1"/>
      <c r="IG599" s="1"/>
      <c r="IH599" s="1"/>
      <c r="II599" s="1"/>
      <c r="IJ599" s="1"/>
      <c r="IK599" s="1"/>
      <c r="IL599" s="1"/>
      <c r="IM599" s="1"/>
      <c r="IN599" s="1"/>
      <c r="IO599" s="1"/>
      <c r="IP599" s="1"/>
      <c r="IQ599" s="1"/>
      <c r="IR599" s="1"/>
      <c r="IS599" s="1"/>
      <c r="IT599" s="1"/>
      <c r="IU599" s="1"/>
      <c r="IV599" s="1"/>
      <c r="IW599" s="1"/>
      <c r="IX599" s="1"/>
      <c r="IY599" s="1"/>
      <c r="IZ599" s="1"/>
      <c r="JA599" s="1"/>
      <c r="JB599" s="1"/>
      <c r="JC599" s="1"/>
      <c r="JD599" s="1"/>
    </row>
    <row r="600" spans="1:264" s="411" customFormat="1" x14ac:dyDescent="0.2">
      <c r="A600" s="411" t="s">
        <v>459</v>
      </c>
      <c r="B600" s="423"/>
      <c r="BH600" s="397">
        <f>BH562</f>
        <v>-10932</v>
      </c>
      <c r="BI600" s="397">
        <f>BI562</f>
        <v>-9878</v>
      </c>
      <c r="BJ600" s="397">
        <f>BJ562</f>
        <v>-20810</v>
      </c>
      <c r="BK600" s="423"/>
      <c r="BL600" s="397">
        <f>BL562</f>
        <v>-9385</v>
      </c>
      <c r="BM600" s="397">
        <f>BM562</f>
        <v>-9158</v>
      </c>
      <c r="BN600" s="397">
        <f>BN562</f>
        <v>-18543</v>
      </c>
      <c r="BO600" s="423"/>
      <c r="BP600" s="397">
        <f>BP562</f>
        <v>-9413</v>
      </c>
      <c r="BQ600" s="397">
        <f>BQ562</f>
        <v>-8909</v>
      </c>
      <c r="BR600" s="397">
        <f>BR562</f>
        <v>-18322</v>
      </c>
      <c r="BT600" s="397">
        <f>BT562</f>
        <v>-8415</v>
      </c>
      <c r="BU600" s="397">
        <f>BU562</f>
        <v>-8467</v>
      </c>
      <c r="BV600" s="397">
        <f>BV562</f>
        <v>-16882</v>
      </c>
      <c r="BX600" s="397">
        <f>BX562</f>
        <v>-7964</v>
      </c>
      <c r="BY600" s="397">
        <f>BY562</f>
        <v>-7794</v>
      </c>
      <c r="BZ600" s="397">
        <f>BZ562</f>
        <v>-15758</v>
      </c>
      <c r="CB600" s="397">
        <f>CB562</f>
        <v>-7743.9515131938351</v>
      </c>
      <c r="CC600" s="397">
        <f>CC562</f>
        <v>-8088.0091802630141</v>
      </c>
      <c r="CD600" s="397">
        <f>CD562</f>
        <v>-15831.960693456849</v>
      </c>
      <c r="CF600" s="397">
        <f>CF562</f>
        <v>-8202.0442671254787</v>
      </c>
      <c r="CG600" s="397">
        <f>CG562</f>
        <v>-7912.9850236915063</v>
      </c>
      <c r="CH600" s="397">
        <f>CH562</f>
        <v>-16115.029290816985</v>
      </c>
      <c r="CJ600" s="397">
        <f>CJ562</f>
        <v>-6411.431928354099</v>
      </c>
      <c r="CK600" s="397">
        <f>CK562</f>
        <v>-4781.5843171278684</v>
      </c>
      <c r="CL600" s="397">
        <f>CL562</f>
        <v>-11193.016245481967</v>
      </c>
      <c r="CN600" s="397">
        <f>CN562</f>
        <v>-3004.5752667221914</v>
      </c>
      <c r="CO600" s="397">
        <f>CO562</f>
        <v>-2012.6416315764382</v>
      </c>
      <c r="CP600" s="397">
        <f>CP562</f>
        <v>-5017.2168982986295</v>
      </c>
      <c r="CR600" s="397">
        <f>CR562</f>
        <v>-2086.2098789742467</v>
      </c>
      <c r="CS600" s="397">
        <f>CS562</f>
        <v>-2390.9653058421918</v>
      </c>
      <c r="CT600" s="397">
        <f>CT562</f>
        <v>-4477.1751848164386</v>
      </c>
      <c r="CV600" s="397">
        <f>CV562</f>
        <v>-7785.8953389545204</v>
      </c>
      <c r="CW600" s="397">
        <f>CW562</f>
        <v>-13239.914415690411</v>
      </c>
      <c r="CX600" s="397">
        <f>CX562</f>
        <v>-21025.809754644932</v>
      </c>
      <c r="CZ600" s="397">
        <f>CZ562</f>
        <v>-18004.543746295079</v>
      </c>
      <c r="DA600" s="397">
        <f>DA562</f>
        <v>-19787.709800898359</v>
      </c>
      <c r="DB600" s="397">
        <f>DB562</f>
        <v>-37792.253547193439</v>
      </c>
      <c r="DD600" s="397">
        <f>DD562</f>
        <v>-20527.436696456767</v>
      </c>
      <c r="DE600" s="397">
        <f>DE562</f>
        <v>-20101.980145445479</v>
      </c>
      <c r="DF600" s="397">
        <f>DF562</f>
        <v>-40629.416841902246</v>
      </c>
      <c r="DH600" s="397">
        <f>DH562</f>
        <v>-19413.832824157806</v>
      </c>
      <c r="DI600" s="397">
        <f ca="1">DI562</f>
        <v>-20955.107149995776</v>
      </c>
      <c r="DJ600" s="397">
        <f ca="1">DJ562</f>
        <v>-40368.939974153582</v>
      </c>
      <c r="DL600" s="397">
        <f ca="1">DL562</f>
        <v>-23591.605371393656</v>
      </c>
      <c r="DM600" s="397">
        <f ca="1">DM562</f>
        <v>-23923.397692280949</v>
      </c>
      <c r="DN600" s="397">
        <f ca="1">DN562</f>
        <v>-47515.003063674609</v>
      </c>
      <c r="DP600" s="397">
        <f ca="1">DP562</f>
        <v>-24930.885612168116</v>
      </c>
      <c r="DQ600" s="397">
        <f ca="1">DQ562</f>
        <v>-25275.016123427471</v>
      </c>
      <c r="DR600" s="397">
        <f ca="1">DR562</f>
        <v>-50205.901735595588</v>
      </c>
      <c r="DT600" s="1"/>
      <c r="DU600" s="1"/>
      <c r="DV600" s="1"/>
      <c r="DW600" s="1"/>
      <c r="DX600" s="1"/>
      <c r="DY600" s="1"/>
      <c r="DZ600" s="1"/>
      <c r="EA600" s="1"/>
      <c r="EB600" s="1"/>
      <c r="EC600" s="1"/>
      <c r="ED600" s="1"/>
      <c r="EE600" s="1"/>
      <c r="EF600" s="1"/>
      <c r="EG600" s="1"/>
      <c r="EH600" s="1"/>
      <c r="EI600" s="1"/>
      <c r="EJ600" s="1"/>
      <c r="EK600" s="1"/>
      <c r="EL600" s="1"/>
      <c r="EM600" s="1"/>
      <c r="EN600" s="1"/>
      <c r="EO600" s="1"/>
      <c r="EP600" s="1"/>
      <c r="EQ600" s="1"/>
      <c r="ER600" s="1"/>
      <c r="ES600" s="1"/>
      <c r="ET600" s="1"/>
      <c r="EU600" s="1"/>
      <c r="EV600" s="1"/>
      <c r="EW600" s="1"/>
      <c r="EX600" s="1"/>
      <c r="EY600" s="1"/>
      <c r="EZ600" s="1"/>
      <c r="FA600" s="1"/>
      <c r="FB600" s="1"/>
      <c r="FC600" s="1"/>
      <c r="FD600" s="1"/>
      <c r="FE600" s="1"/>
      <c r="FF600" s="1"/>
      <c r="FG600" s="1"/>
      <c r="FH600" s="1"/>
      <c r="FI600" s="1"/>
      <c r="FJ600" s="1"/>
      <c r="FK600" s="1"/>
      <c r="FL600" s="1"/>
      <c r="FM600" s="1"/>
      <c r="FN600" s="1"/>
      <c r="FO600" s="1"/>
      <c r="FP600" s="1"/>
      <c r="FQ600" s="1"/>
      <c r="FR600" s="1"/>
      <c r="FS600" s="1"/>
      <c r="FT600" s="1"/>
      <c r="FU600" s="1"/>
      <c r="FV600" s="1"/>
      <c r="FW600" s="1"/>
      <c r="FX600" s="1"/>
      <c r="FY600" s="1"/>
      <c r="FZ600" s="1"/>
      <c r="GA600" s="1"/>
      <c r="GB600" s="1"/>
      <c r="GC600" s="1"/>
      <c r="GD600" s="1"/>
      <c r="GE600" s="1"/>
      <c r="GF600" s="1"/>
      <c r="GG600" s="1"/>
      <c r="GH600" s="1"/>
      <c r="GI600" s="1"/>
      <c r="GJ600" s="1"/>
      <c r="GK600" s="1"/>
      <c r="GL600" s="1"/>
      <c r="GM600" s="1"/>
      <c r="GN600" s="1"/>
      <c r="GO600" s="1"/>
      <c r="GP600" s="1"/>
      <c r="GQ600" s="1"/>
      <c r="GR600" s="1"/>
      <c r="GS600" s="1"/>
      <c r="GT600" s="1"/>
      <c r="GU600" s="1"/>
      <c r="GV600" s="1"/>
      <c r="GW600" s="1"/>
      <c r="GX600" s="1"/>
      <c r="GY600" s="1"/>
      <c r="GZ600" s="1"/>
      <c r="HA600" s="1"/>
      <c r="HB600" s="1"/>
      <c r="HC600" s="1"/>
      <c r="HD600" s="1"/>
      <c r="HE600" s="1"/>
      <c r="HF600" s="1"/>
      <c r="HG600" s="1"/>
      <c r="HH600" s="1"/>
      <c r="HI600" s="1"/>
      <c r="HJ600" s="1"/>
      <c r="HK600" s="1"/>
      <c r="HL600" s="1"/>
      <c r="HM600" s="1"/>
      <c r="HN600" s="1"/>
      <c r="HO600" s="1"/>
      <c r="HP600" s="1"/>
      <c r="HQ600" s="1"/>
      <c r="HR600" s="1"/>
      <c r="HS600" s="1"/>
      <c r="HT600" s="1"/>
      <c r="HU600" s="1"/>
      <c r="HV600" s="1"/>
      <c r="HW600" s="1"/>
      <c r="HX600" s="1"/>
      <c r="HY600" s="1"/>
      <c r="HZ600" s="1"/>
      <c r="IA600" s="1"/>
      <c r="IB600" s="1"/>
      <c r="IC600" s="1"/>
      <c r="ID600" s="1"/>
      <c r="IE600" s="1"/>
      <c r="IF600" s="1"/>
      <c r="IG600" s="1"/>
      <c r="IH600" s="1"/>
      <c r="II600" s="1"/>
      <c r="IJ600" s="1"/>
      <c r="IK600" s="1"/>
      <c r="IL600" s="1"/>
      <c r="IM600" s="1"/>
      <c r="IN600" s="1"/>
      <c r="IO600" s="1"/>
      <c r="IP600" s="1"/>
      <c r="IQ600" s="1"/>
      <c r="IR600" s="1"/>
      <c r="IS600" s="1"/>
      <c r="IT600" s="1"/>
      <c r="IU600" s="1"/>
      <c r="IV600" s="1"/>
      <c r="IW600" s="1"/>
      <c r="IX600" s="1"/>
      <c r="IY600" s="1"/>
      <c r="IZ600" s="1"/>
      <c r="JA600" s="1"/>
      <c r="JB600" s="1"/>
      <c r="JC600" s="1"/>
      <c r="JD600" s="1"/>
    </row>
    <row r="601" spans="1:264" s="411" customFormat="1" x14ac:dyDescent="0.2">
      <c r="A601" s="411" t="s">
        <v>467</v>
      </c>
      <c r="B601" s="423"/>
      <c r="BH601" s="490">
        <f>-BH600*(BH$4/BH$3)/BH599</f>
        <v>3.582007649315043E-2</v>
      </c>
      <c r="BI601" s="490">
        <f>-BI600*(BI$4/BI$3)/BI599</f>
        <v>3.2454228243237515E-2</v>
      </c>
      <c r="BJ601" s="490">
        <f>-BJ600*(BJ$4/BJ$3)/BJ599</f>
        <v>3.4137503106578398E-2</v>
      </c>
      <c r="BK601" s="423"/>
      <c r="BL601" s="490">
        <f>-BL600*(BL$4/BL$3)/BL599</f>
        <v>2.8732396157155827E-2</v>
      </c>
      <c r="BM601" s="490">
        <f>-BM600*(BM$4/BM$3)/BM599</f>
        <v>2.7329363499241022E-2</v>
      </c>
      <c r="BN601" s="490">
        <f>-BN600*(BN$4/BN$3)/BN599</f>
        <v>2.8021875892542764E-2</v>
      </c>
      <c r="BO601" s="423"/>
      <c r="BP601" s="490">
        <f>-BP600*(BP$4/BP$3)/BP599</f>
        <v>2.6891244425053206E-2</v>
      </c>
      <c r="BQ601" s="490">
        <f>-BQ600*(BQ$4/BQ$3)/BQ599</f>
        <v>2.4539567801867775E-2</v>
      </c>
      <c r="BR601" s="490">
        <f>-BR600*(BR$4/BR$3)/BR599</f>
        <v>2.5688371812613128E-2</v>
      </c>
      <c r="BT601" s="490">
        <f>-BT600*(BT$4/BT$3)/BT599</f>
        <v>2.2704750793780541E-2</v>
      </c>
      <c r="BU601" s="490">
        <f>-BU600*(BU$4/BU$3)/BU599</f>
        <v>2.3316860285498252E-2</v>
      </c>
      <c r="BV601" s="490">
        <f>-BV600*(BV$4/BV$3)/BV599</f>
        <v>2.3008275456022329E-2</v>
      </c>
      <c r="BX601" s="490">
        <f>-BX600*(BX$4/BX$3)/BX599</f>
        <v>2.1142118653160506E-2</v>
      </c>
      <c r="BY601" s="490">
        <f>-BY600*(BY$4/BY$3)/BY599</f>
        <v>2.0568835925543677E-2</v>
      </c>
      <c r="BZ601" s="490">
        <f>-BZ600*(BZ$4/BZ$3)/BZ599</f>
        <v>2.0854618507911468E-2</v>
      </c>
      <c r="CB601" s="490">
        <f>-CB600*(CB$4/CB$3)/CB599</f>
        <v>2.0280762067635186E-2</v>
      </c>
      <c r="CC601" s="490">
        <f>-CC600*(CC$4/CC$3)/CC599</f>
        <v>2.1411264770297773E-2</v>
      </c>
      <c r="CD601" s="490">
        <f>-CD600*(CD$4/CD$3)/CD599</f>
        <v>2.0842963433169055E-2</v>
      </c>
      <c r="CF601" s="490">
        <f>-CF600*(CF$4/CF$3)/CF599</f>
        <v>2.1278067664113155E-2</v>
      </c>
      <c r="CG601" s="490">
        <f>-CG600*(CG$4/CG$3)/CG599</f>
        <v>2.1065010330169713E-2</v>
      </c>
      <c r="CH601" s="490">
        <f>-CH600*(CH$4/CH$3)/CH599</f>
        <v>2.1172923002196756E-2</v>
      </c>
      <c r="CJ601" s="490">
        <f>-CJ600*(CJ$4/CJ$3)/CJ599</f>
        <v>1.6713966618690197E-2</v>
      </c>
      <c r="CK601" s="490">
        <f>-CK600*(CK$4/CK$3)/CK599</f>
        <v>1.2311469900736505E-2</v>
      </c>
      <c r="CL601" s="490">
        <f>-CL600*(CL$4/CL$3)/CL599</f>
        <v>1.4499063767655163E-2</v>
      </c>
      <c r="CN601" s="490">
        <f>-CN600*(CN$4/CN$3)/CN599</f>
        <v>7.6767937809701691E-3</v>
      </c>
      <c r="CO601" s="490">
        <f>-CO600*(CO$4/CO$3)/CO599</f>
        <v>5.2196886227098083E-3</v>
      </c>
      <c r="CP601" s="490">
        <f>-CP600*(CP$4/CP$3)/CP599</f>
        <v>6.4574388594349948E-3</v>
      </c>
      <c r="CR601" s="490">
        <f>-CR600*(CR$4/CR$3)/CR599</f>
        <v>5.000199923691568E-3</v>
      </c>
      <c r="CS601" s="490">
        <f>-CS600*(CS$4/CS$3)/CS599</f>
        <v>5.6328213301508889E-3</v>
      </c>
      <c r="CT601" s="490">
        <f>-CT600*(CT$4/CT$3)/CT599</f>
        <v>5.3192369977443591E-3</v>
      </c>
      <c r="CV601" s="490">
        <f>-CV600*(CV$4/CV$3)/CV599</f>
        <v>1.7121883893923325E-2</v>
      </c>
      <c r="CW601" s="490">
        <f>-CW600*(CW$4/CW$3)/CW599</f>
        <v>2.8538769877919701E-2</v>
      </c>
      <c r="CX601" s="490">
        <f>-CX600*(CX$4/CX$3)/CX599</f>
        <v>2.2887327662768547E-2</v>
      </c>
      <c r="CZ601" s="490">
        <f>-CZ600*(CZ$4/CZ$3)/CZ599</f>
        <v>3.7123627229570903E-2</v>
      </c>
      <c r="DA601" s="490">
        <f>-DA600*(DA$4/DA$3)/DA599</f>
        <v>4.0675484295984728E-2</v>
      </c>
      <c r="DB601" s="490">
        <f>-DB600*(DB$4/DB$3)/DB599</f>
        <v>3.8902291533819446E-2</v>
      </c>
      <c r="DD601" s="490">
        <f>-DD600*(DD$4/DD$3)/DD599</f>
        <v>4.2258567828256363E-2</v>
      </c>
      <c r="DE601" s="490">
        <f>-DE600*(DE$4/DE$3)/DE599</f>
        <v>4.0490173680782234E-2</v>
      </c>
      <c r="DF601" s="490">
        <f>-DF600*(DF$4/DF$3)/DF599</f>
        <v>4.1364716034124852E-2</v>
      </c>
      <c r="DH601" s="490">
        <f>-DH600*(DH$4/DH$3)/DH599</f>
        <v>3.6558648048962118E-2</v>
      </c>
      <c r="DI601" s="490">
        <f ca="1">-DI600*(DI$4/DI$3)/DI599</f>
        <v>3.8576650911519732E-2</v>
      </c>
      <c r="DJ601" s="490">
        <f ca="1">-DJ600*(DJ$4/DJ$3)/DJ599</f>
        <v>3.7573046043857063E-2</v>
      </c>
      <c r="DL601" s="490">
        <f ca="1">-DL600*(DL$4/DL$3)/DL599</f>
        <v>4.1363002295506351E-2</v>
      </c>
      <c r="DM601" s="490">
        <f ca="1">-DM600*(DM$4/DM$3)/DM599</f>
        <v>4.135846303475306E-2</v>
      </c>
      <c r="DN601" s="490">
        <f ca="1">-DN600*(DN$4/DN$3)/DN599</f>
        <v>4.1355530376708749E-2</v>
      </c>
      <c r="DP601" s="490">
        <f ca="1">-DP600*(DP$4/DP$3)/DP599</f>
        <v>4.1365377575306554E-2</v>
      </c>
      <c r="DQ601" s="490">
        <f ca="1">-DQ600*(DQ$4/DQ$3)/DQ599</f>
        <v>4.1379373868200633E-2</v>
      </c>
      <c r="DR601" s="490">
        <f ca="1">-DR600*(DR$4/DR$3)/DR599</f>
        <v>4.1369675811671641E-2</v>
      </c>
      <c r="DT601" s="1"/>
      <c r="DU601" s="1"/>
      <c r="DV601" s="1"/>
      <c r="DW601" s="1"/>
      <c r="DX601" s="1"/>
      <c r="DY601" s="1"/>
      <c r="DZ601" s="1"/>
      <c r="EA601" s="1"/>
      <c r="EB601" s="1"/>
      <c r="EC601" s="1"/>
      <c r="ED601" s="1"/>
      <c r="EE601" s="1"/>
      <c r="EF601" s="1"/>
      <c r="EG601" s="1"/>
      <c r="EH601" s="1"/>
      <c r="EI601" s="1"/>
      <c r="EJ601" s="1"/>
      <c r="EK601" s="1"/>
      <c r="EL601" s="1"/>
      <c r="EM601" s="1"/>
      <c r="EN601" s="1"/>
      <c r="EO601" s="1"/>
      <c r="EP601" s="1"/>
      <c r="EQ601" s="1"/>
      <c r="ER601" s="1"/>
      <c r="ES601" s="1"/>
      <c r="ET601" s="1"/>
      <c r="EU601" s="1"/>
      <c r="EV601" s="1"/>
      <c r="EW601" s="1"/>
      <c r="EX601" s="1"/>
      <c r="EY601" s="1"/>
      <c r="EZ601" s="1"/>
      <c r="FA601" s="1"/>
      <c r="FB601" s="1"/>
      <c r="FC601" s="1"/>
      <c r="FD601" s="1"/>
      <c r="FE601" s="1"/>
      <c r="FF601" s="1"/>
      <c r="FG601" s="1"/>
      <c r="FH601" s="1"/>
      <c r="FI601" s="1"/>
      <c r="FJ601" s="1"/>
      <c r="FK601" s="1"/>
      <c r="FL601" s="1"/>
      <c r="FM601" s="1"/>
      <c r="FN601" s="1"/>
      <c r="FO601" s="1"/>
      <c r="FP601" s="1"/>
      <c r="FQ601" s="1"/>
      <c r="FR601" s="1"/>
      <c r="FS601" s="1"/>
      <c r="FT601" s="1"/>
      <c r="FU601" s="1"/>
      <c r="FV601" s="1"/>
      <c r="FW601" s="1"/>
      <c r="FX601" s="1"/>
      <c r="FY601" s="1"/>
      <c r="FZ601" s="1"/>
      <c r="GA601" s="1"/>
      <c r="GB601" s="1"/>
      <c r="GC601" s="1"/>
      <c r="GD601" s="1"/>
      <c r="GE601" s="1"/>
      <c r="GF601" s="1"/>
      <c r="GG601" s="1"/>
      <c r="GH601" s="1"/>
      <c r="GI601" s="1"/>
      <c r="GJ601" s="1"/>
      <c r="GK601" s="1"/>
      <c r="GL601" s="1"/>
      <c r="GM601" s="1"/>
      <c r="GN601" s="1"/>
      <c r="GO601" s="1"/>
      <c r="GP601" s="1"/>
      <c r="GQ601" s="1"/>
      <c r="GR601" s="1"/>
      <c r="GS601" s="1"/>
      <c r="GT601" s="1"/>
      <c r="GU601" s="1"/>
      <c r="GV601" s="1"/>
      <c r="GW601" s="1"/>
      <c r="GX601" s="1"/>
      <c r="GY601" s="1"/>
      <c r="GZ601" s="1"/>
      <c r="HA601" s="1"/>
      <c r="HB601" s="1"/>
      <c r="HC601" s="1"/>
      <c r="HD601" s="1"/>
      <c r="HE601" s="1"/>
      <c r="HF601" s="1"/>
      <c r="HG601" s="1"/>
      <c r="HH601" s="1"/>
      <c r="HI601" s="1"/>
      <c r="HJ601" s="1"/>
      <c r="HK601" s="1"/>
      <c r="HL601" s="1"/>
      <c r="HM601" s="1"/>
      <c r="HN601" s="1"/>
      <c r="HO601" s="1"/>
      <c r="HP601" s="1"/>
      <c r="HQ601" s="1"/>
      <c r="HR601" s="1"/>
      <c r="HS601" s="1"/>
      <c r="HT601" s="1"/>
      <c r="HU601" s="1"/>
      <c r="HV601" s="1"/>
      <c r="HW601" s="1"/>
      <c r="HX601" s="1"/>
      <c r="HY601" s="1"/>
      <c r="HZ601" s="1"/>
      <c r="IA601" s="1"/>
      <c r="IB601" s="1"/>
      <c r="IC601" s="1"/>
      <c r="ID601" s="1"/>
      <c r="IE601" s="1"/>
      <c r="IF601" s="1"/>
      <c r="IG601" s="1"/>
      <c r="IH601" s="1"/>
      <c r="II601" s="1"/>
      <c r="IJ601" s="1"/>
      <c r="IK601" s="1"/>
      <c r="IL601" s="1"/>
      <c r="IM601" s="1"/>
      <c r="IN601" s="1"/>
      <c r="IO601" s="1"/>
      <c r="IP601" s="1"/>
      <c r="IQ601" s="1"/>
      <c r="IR601" s="1"/>
      <c r="IS601" s="1"/>
      <c r="IT601" s="1"/>
      <c r="IU601" s="1"/>
      <c r="IV601" s="1"/>
      <c r="IW601" s="1"/>
      <c r="IX601" s="1"/>
      <c r="IY601" s="1"/>
      <c r="IZ601" s="1"/>
      <c r="JA601" s="1"/>
      <c r="JB601" s="1"/>
      <c r="JC601" s="1"/>
      <c r="JD601" s="1"/>
    </row>
    <row r="602" spans="1:264" s="347" customFormat="1" x14ac:dyDescent="0.2">
      <c r="A602" s="347" t="s">
        <v>485</v>
      </c>
      <c r="B602" s="348"/>
      <c r="BH602" s="500">
        <f>BH601-BH583</f>
        <v>2.4200764931504304E-3</v>
      </c>
      <c r="BI602" s="500">
        <f>BI601-BI583</f>
        <v>3.2100382432375153E-3</v>
      </c>
      <c r="BJ602" s="500">
        <f>BJ601-BJ583</f>
        <v>2.8154081065783973E-3</v>
      </c>
      <c r="BK602" s="348"/>
      <c r="BL602" s="500">
        <f>BL601-BL583</f>
        <v>3.2213961571558279E-3</v>
      </c>
      <c r="BM602" s="500">
        <f>BM601-BM583</f>
        <v>2.329363499241021E-3</v>
      </c>
      <c r="BN602" s="500">
        <f>BN601-BN583</f>
        <v>2.7663758925427634E-3</v>
      </c>
      <c r="BO602" s="348"/>
      <c r="BP602" s="500">
        <f>BP601-BP583</f>
        <v>1.8912444250532047E-3</v>
      </c>
      <c r="BQ602" s="500">
        <f>BQ601-BQ583</f>
        <v>2.3395678018677743E-3</v>
      </c>
      <c r="BR602" s="500">
        <f>BR601-BR583</f>
        <v>2.0883718126131247E-3</v>
      </c>
      <c r="BT602" s="500">
        <f>BT601-BT583</f>
        <v>2.7047507937805401E-3</v>
      </c>
      <c r="BU602" s="500">
        <f>BU601-BU583</f>
        <v>4.1168602854982535E-3</v>
      </c>
      <c r="BV602" s="500">
        <f>BV601-BV583</f>
        <v>3.4082754560223298E-3</v>
      </c>
      <c r="BX602" s="500">
        <f>BX601-BX583</f>
        <v>4.8921186531605057E-3</v>
      </c>
      <c r="BY602" s="500">
        <f>BY601-BY583</f>
        <v>5.5688359255436776E-3</v>
      </c>
      <c r="BZ602" s="500">
        <f>BZ601-BZ583</f>
        <v>5.2296185079114682E-3</v>
      </c>
      <c r="CB602" s="500">
        <f>CB601-CB583</f>
        <v>5.280762067635187E-3</v>
      </c>
      <c r="CC602" s="500">
        <f>CC601-CC583</f>
        <v>6.4112647702977733E-3</v>
      </c>
      <c r="CD602" s="500">
        <f>CD601-CD583</f>
        <v>5.8429634331690558E-3</v>
      </c>
      <c r="CF602" s="500">
        <f>CF601-CF583</f>
        <v>6.2780676641131551E-3</v>
      </c>
      <c r="CG602" s="500">
        <f>CG601-CG583</f>
        <v>6.0650103301697136E-3</v>
      </c>
      <c r="CH602" s="500">
        <f>CH601-CH583</f>
        <v>6.172923002196757E-3</v>
      </c>
      <c r="CJ602" s="500">
        <f>CJ601-CJ583</f>
        <v>7.9639666186901957E-3</v>
      </c>
      <c r="CK602" s="500">
        <f>CK601-CK583</f>
        <v>7.8114699007365051E-3</v>
      </c>
      <c r="CL602" s="500">
        <f>CL601-CL583</f>
        <v>7.8740637676551622E-3</v>
      </c>
      <c r="CN602" s="500">
        <f>CN601-CN583</f>
        <v>5.6547937809701687E-3</v>
      </c>
      <c r="CO602" s="500">
        <f>CO601-CO583</f>
        <v>4.2196886227098083E-3</v>
      </c>
      <c r="CP602" s="500">
        <f>CP601-CP583</f>
        <v>4.9464388594349946E-3</v>
      </c>
      <c r="CR602" s="500">
        <f>CR601-CR583</f>
        <v>4.000199923691568E-3</v>
      </c>
      <c r="CS602" s="500">
        <f>CS601-CS583</f>
        <v>2.9328213301508888E-3</v>
      </c>
      <c r="CT602" s="500">
        <f>CT601-CT583</f>
        <v>3.469236997744359E-3</v>
      </c>
      <c r="CV602" s="500">
        <f>CV601-CV583</f>
        <v>-6.3781161060766749E-3</v>
      </c>
      <c r="CW602" s="500">
        <f>CW601-CW583</f>
        <v>-7.4612301220802965E-3</v>
      </c>
      <c r="CX602" s="500">
        <f>CX601-CX583</f>
        <v>-6.8626723372314513E-3</v>
      </c>
      <c r="CZ602" s="500">
        <f>CZ601-CZ583</f>
        <v>-4.6763727704290936E-3</v>
      </c>
      <c r="DA602" s="500">
        <f>DA601-DA583</f>
        <v>-2.8245157040152694E-3</v>
      </c>
      <c r="DB602" s="500">
        <f>DB601-DB583</f>
        <v>-3.7477084661805479E-3</v>
      </c>
      <c r="DD602" s="500">
        <f>DD601-DD583</f>
        <v>-1.2414321717436338E-3</v>
      </c>
      <c r="DE602" s="500">
        <f>DE601-DE583</f>
        <v>-1.098263192177637E-4</v>
      </c>
      <c r="DF602" s="500">
        <f>DF601-DF583</f>
        <v>-6.8528396587514556E-4</v>
      </c>
      <c r="DH602" s="500">
        <f>DH601-DH583</f>
        <v>1.5864804896211643E-4</v>
      </c>
      <c r="DI602" s="500">
        <f ca="1">DI601-DI583</f>
        <v>7.6650911519732245E-5</v>
      </c>
      <c r="DJ602" s="500">
        <f ca="1">DJ601-DJ583</f>
        <v>1.2304604385706547E-4</v>
      </c>
      <c r="DL602" s="500">
        <f ca="1">DL601-DL583</f>
        <v>3.6300229550634971E-4</v>
      </c>
      <c r="DM602" s="500">
        <f ca="1">DM601-DM583</f>
        <v>3.5846303475305791E-4</v>
      </c>
      <c r="DN602" s="500">
        <f ca="1">DN601-DN583</f>
        <v>3.5553037670874726E-4</v>
      </c>
      <c r="DP602" s="500">
        <f ca="1">DP601-DP583</f>
        <v>3.6537757530655246E-4</v>
      </c>
      <c r="DQ602" s="500">
        <f ca="1">DQ601-DQ583</f>
        <v>3.7937386820063174E-4</v>
      </c>
      <c r="DR602" s="500">
        <f ca="1">DR601-DR583</f>
        <v>3.6967581167163949E-4</v>
      </c>
      <c r="DT602" s="1"/>
      <c r="DU602" s="1"/>
      <c r="DV602" s="1"/>
      <c r="DW602" s="1"/>
      <c r="DX602" s="1"/>
      <c r="DY602" s="1"/>
      <c r="DZ602" s="1"/>
      <c r="EA602" s="1"/>
      <c r="EB602" s="1"/>
      <c r="EC602" s="1"/>
      <c r="ED602" s="1"/>
      <c r="EE602" s="1"/>
      <c r="EF602" s="1"/>
      <c r="EG602" s="1"/>
      <c r="EH602" s="1"/>
      <c r="EI602" s="1"/>
      <c r="EJ602" s="1"/>
      <c r="EK602" s="1"/>
      <c r="EL602" s="1"/>
      <c r="EM602" s="1"/>
      <c r="EN602" s="1"/>
      <c r="EO602" s="1"/>
      <c r="EP602" s="1"/>
      <c r="EQ602" s="1"/>
      <c r="ER602" s="1"/>
      <c r="ES602" s="1"/>
      <c r="ET602" s="1"/>
      <c r="EU602" s="1"/>
      <c r="EV602" s="1"/>
      <c r="EW602" s="1"/>
      <c r="EX602" s="1"/>
      <c r="EY602" s="1"/>
      <c r="EZ602" s="1"/>
      <c r="FA602" s="1"/>
      <c r="FB602" s="1"/>
      <c r="FC602" s="1"/>
      <c r="FD602" s="1"/>
      <c r="FE602" s="1"/>
      <c r="FF602" s="1"/>
      <c r="FG602" s="1"/>
      <c r="FH602" s="1"/>
      <c r="FI602" s="1"/>
      <c r="FJ602" s="1"/>
      <c r="FK602" s="1"/>
      <c r="FL602" s="1"/>
      <c r="FM602" s="1"/>
      <c r="FN602" s="1"/>
      <c r="FO602" s="1"/>
      <c r="FP602" s="1"/>
      <c r="FQ602" s="1"/>
      <c r="FR602" s="1"/>
      <c r="FS602" s="1"/>
      <c r="FT602" s="1"/>
      <c r="FU602" s="1"/>
      <c r="FV602" s="1"/>
      <c r="FW602" s="1"/>
      <c r="FX602" s="1"/>
      <c r="FY602" s="1"/>
      <c r="FZ602" s="1"/>
      <c r="GA602" s="1"/>
      <c r="GB602" s="1"/>
      <c r="GC602" s="1"/>
      <c r="GD602" s="1"/>
      <c r="GE602" s="1"/>
      <c r="GF602" s="1"/>
      <c r="GG602" s="1"/>
      <c r="GH602" s="1"/>
      <c r="GI602" s="1"/>
      <c r="GJ602" s="1"/>
      <c r="GK602" s="1"/>
      <c r="GL602" s="1"/>
      <c r="GM602" s="1"/>
      <c r="GN602" s="1"/>
      <c r="GO602" s="1"/>
      <c r="GP602" s="1"/>
      <c r="GQ602" s="1"/>
      <c r="GR602" s="1"/>
      <c r="GS602" s="1"/>
      <c r="GT602" s="1"/>
      <c r="GU602" s="1"/>
      <c r="GV602" s="1"/>
      <c r="GW602" s="1"/>
      <c r="GX602" s="1"/>
      <c r="GY602" s="1"/>
      <c r="GZ602" s="1"/>
      <c r="HA602" s="1"/>
      <c r="HB602" s="1"/>
      <c r="HC602" s="1"/>
      <c r="HD602" s="1"/>
      <c r="HE602" s="1"/>
      <c r="HF602" s="1"/>
      <c r="HG602" s="1"/>
      <c r="HH602" s="1"/>
      <c r="HI602" s="1"/>
      <c r="HJ602" s="1"/>
      <c r="HK602" s="1"/>
      <c r="HL602" s="1"/>
      <c r="HM602" s="1"/>
      <c r="HN602" s="1"/>
      <c r="HO602" s="1"/>
      <c r="HP602" s="1"/>
      <c r="HQ602" s="1"/>
      <c r="HR602" s="1"/>
      <c r="HS602" s="1"/>
      <c r="HT602" s="1"/>
      <c r="HU602" s="1"/>
      <c r="HV602" s="1"/>
      <c r="HW602" s="1"/>
      <c r="HX602" s="1"/>
      <c r="HY602" s="1"/>
      <c r="HZ602" s="1"/>
      <c r="IA602" s="1"/>
      <c r="IB602" s="1"/>
      <c r="IC602" s="1"/>
      <c r="ID602" s="1"/>
      <c r="IE602" s="1"/>
      <c r="IF602" s="1"/>
      <c r="IG602" s="1"/>
      <c r="IH602" s="1"/>
      <c r="II602" s="1"/>
      <c r="IJ602" s="1"/>
      <c r="IK602" s="1"/>
      <c r="IL602" s="1"/>
      <c r="IM602" s="1"/>
      <c r="IN602" s="1"/>
      <c r="IO602" s="1"/>
      <c r="IP602" s="1"/>
      <c r="IQ602" s="1"/>
      <c r="IR602" s="1"/>
      <c r="IS602" s="1"/>
      <c r="IT602" s="1"/>
      <c r="IU602" s="1"/>
      <c r="IV602" s="1"/>
      <c r="IW602" s="1"/>
      <c r="IX602" s="1"/>
      <c r="IY602" s="1"/>
      <c r="IZ602" s="1"/>
      <c r="JA602" s="1"/>
      <c r="JB602" s="1"/>
      <c r="JC602" s="1"/>
      <c r="JD602" s="1"/>
    </row>
    <row r="603" spans="1:264" s="429" customFormat="1" x14ac:dyDescent="0.2">
      <c r="A603" s="429" t="s">
        <v>479</v>
      </c>
      <c r="B603" s="408" t="s">
        <v>354</v>
      </c>
      <c r="BH603" s="408"/>
      <c r="BI603" s="502">
        <f>+BI602-BH602</f>
        <v>7.8996175008708494E-4</v>
      </c>
      <c r="BJ603" s="408"/>
      <c r="BK603" s="408"/>
      <c r="BL603" s="502">
        <f>+BL602-BI602</f>
        <v>1.135791391831259E-5</v>
      </c>
      <c r="BM603" s="502">
        <f>+BM602-BL602</f>
        <v>-8.920326579148069E-4</v>
      </c>
      <c r="BN603" s="408"/>
      <c r="BO603" s="408"/>
      <c r="BP603" s="502">
        <f>+BP602-BM602</f>
        <v>-4.3811907418781632E-4</v>
      </c>
      <c r="BQ603" s="502">
        <f>+BQ602-BP602</f>
        <v>4.483233768145696E-4</v>
      </c>
      <c r="BR603" s="408"/>
      <c r="BT603" s="502">
        <f>+BT602-BQ602</f>
        <v>3.6518299191276582E-4</v>
      </c>
      <c r="BU603" s="502">
        <f>+BU602-BT602</f>
        <v>1.4121094917177134E-3</v>
      </c>
      <c r="BV603" s="408"/>
      <c r="BX603" s="502">
        <f>+BX602-BU602</f>
        <v>7.7525836766225223E-4</v>
      </c>
      <c r="BY603" s="502">
        <f>+BY602-BX602</f>
        <v>6.7671727238317186E-4</v>
      </c>
      <c r="BZ603" s="408"/>
      <c r="CB603" s="502">
        <f>+CB602-BY602</f>
        <v>-2.8807385790849058E-4</v>
      </c>
      <c r="CC603" s="502">
        <f>+CC602-CB602</f>
        <v>1.1305027026625863E-3</v>
      </c>
      <c r="CD603" s="408"/>
      <c r="CF603" s="502">
        <f>+CF602-CC602</f>
        <v>-1.3319710618461822E-4</v>
      </c>
      <c r="CG603" s="502">
        <f>+CG602-CF602</f>
        <v>-2.1305733394344148E-4</v>
      </c>
      <c r="CH603" s="408"/>
      <c r="CJ603" s="502">
        <f>+CJ602-CG602</f>
        <v>1.8989562885204821E-3</v>
      </c>
      <c r="CK603" s="502">
        <f>+CK602-CJ602</f>
        <v>-1.5249671795369065E-4</v>
      </c>
      <c r="CL603" s="408"/>
      <c r="CN603" s="502">
        <f>+CN602-CK602</f>
        <v>-2.1566761197663363E-3</v>
      </c>
      <c r="CO603" s="502">
        <f>+CO602-CN602</f>
        <v>-1.4351051582603604E-3</v>
      </c>
      <c r="CP603" s="408"/>
      <c r="CR603" s="502">
        <f>+CR602-CO602</f>
        <v>-2.1948869901824031E-4</v>
      </c>
      <c r="CS603" s="502">
        <f>+CS602-CR602</f>
        <v>-1.0673785935406792E-3</v>
      </c>
      <c r="CT603" s="408"/>
      <c r="CV603" s="502">
        <f>+CV602-CS602</f>
        <v>-9.3109374362275628E-3</v>
      </c>
      <c r="CW603" s="502">
        <f>+CW602-CV602</f>
        <v>-1.0831140160036216E-3</v>
      </c>
      <c r="CX603" s="408"/>
      <c r="CZ603" s="502">
        <f>+CZ602-CW602</f>
        <v>2.7848573516512029E-3</v>
      </c>
      <c r="DA603" s="502">
        <f>+DA602-CZ602</f>
        <v>1.8518570664138242E-3</v>
      </c>
      <c r="DB603" s="408"/>
      <c r="DD603" s="502">
        <f>+DD602-DA602</f>
        <v>1.5830835322716355E-3</v>
      </c>
      <c r="DE603" s="502">
        <f>+DE602-DD602</f>
        <v>1.1316058525258701E-3</v>
      </c>
      <c r="DF603" s="408"/>
      <c r="DH603" s="502">
        <f>+DH602-DE602</f>
        <v>2.6847436817988013E-4</v>
      </c>
      <c r="DI603" s="502">
        <f ca="1">+DI602-DF602</f>
        <v>7.6193487739487781E-4</v>
      </c>
      <c r="DJ603" s="502">
        <f ca="1">+DJ602-DG602</f>
        <v>1.2304604385706547E-4</v>
      </c>
      <c r="DL603" s="502">
        <f ca="1">+DL602-DI602</f>
        <v>2.8635138398661747E-4</v>
      </c>
      <c r="DM603" s="502">
        <f ca="1">+DM602-DJ602</f>
        <v>2.3541699089599244E-4</v>
      </c>
      <c r="DN603" s="502">
        <f ca="1">+DN602-DK602</f>
        <v>3.5553037670874726E-4</v>
      </c>
      <c r="DP603" s="502">
        <f ca="1">+DP602-DM602</f>
        <v>6.9145405534945525E-6</v>
      </c>
      <c r="DQ603" s="502">
        <f ca="1">+DQ602-DN602</f>
        <v>2.3843491491884472E-5</v>
      </c>
      <c r="DR603" s="502">
        <f ca="1">+DR602-DO602</f>
        <v>3.6967581167163949E-4</v>
      </c>
      <c r="DT603" s="1"/>
      <c r="DU603" s="1"/>
      <c r="DV603" s="1"/>
      <c r="DW603" s="1"/>
      <c r="DX603" s="1"/>
      <c r="DY603" s="1"/>
      <c r="DZ603" s="1"/>
      <c r="EA603" s="1"/>
      <c r="EB603" s="1"/>
      <c r="EC603" s="1"/>
      <c r="ED603" s="1"/>
      <c r="EE603" s="1"/>
      <c r="EF603" s="1"/>
      <c r="EG603" s="1"/>
      <c r="EH603" s="1"/>
      <c r="EI603" s="1"/>
      <c r="EJ603" s="1"/>
      <c r="EK603" s="1"/>
      <c r="EL603" s="1"/>
      <c r="EM603" s="1"/>
      <c r="EN603" s="1"/>
      <c r="EO603" s="1"/>
      <c r="EP603" s="1"/>
      <c r="EQ603" s="1"/>
      <c r="ER603" s="1"/>
      <c r="ES603" s="1"/>
      <c r="ET603" s="1"/>
      <c r="EU603" s="1"/>
      <c r="EV603" s="1"/>
      <c r="EW603" s="1"/>
      <c r="EX603" s="1"/>
      <c r="EY603" s="1"/>
      <c r="EZ603" s="1"/>
      <c r="FA603" s="1"/>
      <c r="FB603" s="1"/>
      <c r="FC603" s="1"/>
      <c r="FD603" s="1"/>
      <c r="FE603" s="1"/>
      <c r="FF603" s="1"/>
      <c r="FG603" s="1"/>
      <c r="FH603" s="1"/>
      <c r="FI603" s="1"/>
      <c r="FJ603" s="1"/>
      <c r="FK603" s="1"/>
      <c r="FL603" s="1"/>
      <c r="FM603" s="1"/>
      <c r="FN603" s="1"/>
      <c r="FO603" s="1"/>
      <c r="FP603" s="1"/>
      <c r="FQ603" s="1"/>
      <c r="FR603" s="1"/>
      <c r="FS603" s="1"/>
      <c r="FT603" s="1"/>
      <c r="FU603" s="1"/>
      <c r="FV603" s="1"/>
      <c r="FW603" s="1"/>
      <c r="FX603" s="1"/>
      <c r="FY603" s="1"/>
      <c r="FZ603" s="1"/>
      <c r="GA603" s="1"/>
      <c r="GB603" s="1"/>
      <c r="GC603" s="1"/>
      <c r="GD603" s="1"/>
      <c r="GE603" s="1"/>
      <c r="GF603" s="1"/>
      <c r="GG603" s="1"/>
      <c r="GH603" s="1"/>
      <c r="GI603" s="1"/>
      <c r="GJ603" s="1"/>
      <c r="GK603" s="1"/>
      <c r="GL603" s="1"/>
      <c r="GM603" s="1"/>
      <c r="GN603" s="1"/>
      <c r="GO603" s="1"/>
      <c r="GP603" s="1"/>
      <c r="GQ603" s="1"/>
      <c r="GR603" s="1"/>
      <c r="GS603" s="1"/>
      <c r="GT603" s="1"/>
      <c r="GU603" s="1"/>
      <c r="GV603" s="1"/>
      <c r="GW603" s="1"/>
      <c r="GX603" s="1"/>
      <c r="GY603" s="1"/>
      <c r="GZ603" s="1"/>
      <c r="HA603" s="1"/>
      <c r="HB603" s="1"/>
      <c r="HC603" s="1"/>
      <c r="HD603" s="1"/>
      <c r="HE603" s="1"/>
      <c r="HF603" s="1"/>
      <c r="HG603" s="1"/>
      <c r="HH603" s="1"/>
      <c r="HI603" s="1"/>
      <c r="HJ603" s="1"/>
      <c r="HK603" s="1"/>
      <c r="HL603" s="1"/>
      <c r="HM603" s="1"/>
      <c r="HN603" s="1"/>
      <c r="HO603" s="1"/>
      <c r="HP603" s="1"/>
      <c r="HQ603" s="1"/>
      <c r="HR603" s="1"/>
      <c r="HS603" s="1"/>
      <c r="HT603" s="1"/>
      <c r="HU603" s="1"/>
      <c r="HV603" s="1"/>
      <c r="HW603" s="1"/>
      <c r="HX603" s="1"/>
      <c r="HY603" s="1"/>
      <c r="HZ603" s="1"/>
      <c r="IA603" s="1"/>
      <c r="IB603" s="1"/>
      <c r="IC603" s="1"/>
      <c r="ID603" s="1"/>
      <c r="IE603" s="1"/>
      <c r="IF603" s="1"/>
      <c r="IG603" s="1"/>
      <c r="IH603" s="1"/>
      <c r="II603" s="1"/>
      <c r="IJ603" s="1"/>
      <c r="IK603" s="1"/>
      <c r="IL603" s="1"/>
      <c r="IM603" s="1"/>
      <c r="IN603" s="1"/>
      <c r="IO603" s="1"/>
      <c r="IP603" s="1"/>
      <c r="IQ603" s="1"/>
      <c r="IR603" s="1"/>
      <c r="IS603" s="1"/>
      <c r="IT603" s="1"/>
      <c r="IU603" s="1"/>
      <c r="IV603" s="1"/>
      <c r="IW603" s="1"/>
      <c r="IX603" s="1"/>
      <c r="IY603" s="1"/>
      <c r="IZ603" s="1"/>
      <c r="JA603" s="1"/>
      <c r="JB603" s="1"/>
      <c r="JC603" s="1"/>
      <c r="JD603" s="1"/>
    </row>
    <row r="604" spans="1:264" s="347" customFormat="1" x14ac:dyDescent="0.2">
      <c r="A604" s="347" t="s">
        <v>486</v>
      </c>
      <c r="B604" s="348"/>
      <c r="BH604" s="500">
        <f>+BH601-BH584</f>
        <v>2.2200764931504316E-3</v>
      </c>
      <c r="BI604" s="500">
        <f>+BI601-BI584</f>
        <v>3.0929602432375157E-3</v>
      </c>
      <c r="BJ604" s="500">
        <f>+BJ601-BJ584</f>
        <v>2.6568691065783981E-3</v>
      </c>
      <c r="BK604" s="348"/>
      <c r="BL604" s="500">
        <f>+BL601-BL584</f>
        <v>2.5083961571558261E-3</v>
      </c>
      <c r="BM604" s="500">
        <f>+BM601-BM584</f>
        <v>7.0536349924102404E-4</v>
      </c>
      <c r="BN604" s="500">
        <f>+BN601-BN584</f>
        <v>1.597875892542764E-3</v>
      </c>
      <c r="BO604" s="348"/>
      <c r="BP604" s="500">
        <f>+BP601-BP584</f>
        <v>-3.8755574946792992E-5</v>
      </c>
      <c r="BQ604" s="500">
        <f>+BQ601-BQ584</f>
        <v>-2.3904321981322238E-3</v>
      </c>
      <c r="BR604" s="500">
        <f>+BR601-BR584</f>
        <v>-1.2416281873868715E-3</v>
      </c>
      <c r="BT604" s="500">
        <f>+BT601-BT584</f>
        <v>8.0475079378054121E-4</v>
      </c>
      <c r="BU604" s="500">
        <f>+BU601-BU584</f>
        <v>1.4168602854982525E-3</v>
      </c>
      <c r="BV604" s="500">
        <f>+BV601-BV584</f>
        <v>1.1082754560223299E-3</v>
      </c>
      <c r="BX604" s="500">
        <f>+BX601-BX584</f>
        <v>3.3421186531605064E-3</v>
      </c>
      <c r="BY604" s="500">
        <f>+BY601-BY584</f>
        <v>2.9555294739307403E-3</v>
      </c>
      <c r="BZ604" s="500">
        <f>+BZ601-BZ584</f>
        <v>3.1479652821050016E-3</v>
      </c>
      <c r="CB604" s="500">
        <f>+CB601-CB584</f>
        <v>3.0807620676351864E-3</v>
      </c>
      <c r="CC604" s="500">
        <f>+CC601-CC584</f>
        <v>2.2112647702977745E-3</v>
      </c>
      <c r="CD604" s="500">
        <f>+CD601-CD584</f>
        <v>2.6429634331690544E-3</v>
      </c>
      <c r="CF604" s="500">
        <f>+CF601-CF584</f>
        <v>1.6780676641131552E-3</v>
      </c>
      <c r="CG604" s="500">
        <f>+CG601-CG584</f>
        <v>3.7650103301697137E-3</v>
      </c>
      <c r="CH604" s="500">
        <f>+CH601-CH584</f>
        <v>2.7229230021967553E-3</v>
      </c>
      <c r="CJ604" s="500">
        <f>+CJ601-CJ584</f>
        <v>7.9969666186901957E-3</v>
      </c>
      <c r="CK604" s="500">
        <f>+CK601-CK584</f>
        <v>1.1101469900736505E-2</v>
      </c>
      <c r="CL604" s="500">
        <f>+CL601-CL584</f>
        <v>9.535563767655162E-3</v>
      </c>
      <c r="CN604" s="500">
        <f>+CN601-CN584</f>
        <v>7.0067937809701695E-3</v>
      </c>
      <c r="CO604" s="500">
        <f>+CO601-CO584</f>
        <v>4.9398886227098081E-3</v>
      </c>
      <c r="CP604" s="500">
        <f>+CP601-CP584</f>
        <v>5.9825388594349944E-3</v>
      </c>
      <c r="CR604" s="500">
        <f>+CR601-CR584</f>
        <v>4.7001999236915681E-3</v>
      </c>
      <c r="CS604" s="500">
        <f>+CS601-CS584</f>
        <v>3.5333525272839353E-5</v>
      </c>
      <c r="CT604" s="500">
        <f>+CT601-CT584</f>
        <v>2.3704930953053344E-3</v>
      </c>
      <c r="CV604" s="500">
        <f>+CV601-CV584</f>
        <v>-1.0078116106076673E-2</v>
      </c>
      <c r="CW604" s="500">
        <f>+CW601-CW584</f>
        <v>-8.4612301220802974E-3</v>
      </c>
      <c r="CX604" s="500">
        <f>+CX601-CX584</f>
        <v>-9.2126723372314492E-3</v>
      </c>
      <c r="CZ604" s="500">
        <f>+CZ601-CZ584</f>
        <v>-5.3763727704290998E-3</v>
      </c>
      <c r="DA604" s="500">
        <f>+DA601-DA584</f>
        <v>-2.9245157040152722E-3</v>
      </c>
      <c r="DB604" s="500">
        <f>+DB601-DB584</f>
        <v>-4.1477084661805594E-3</v>
      </c>
      <c r="DD604" s="500">
        <f>+DD601-DD584</f>
        <v>-1.94143217174364E-3</v>
      </c>
      <c r="DE604" s="500">
        <f>+DE601-DE584</f>
        <v>9.9017368078223311E-4</v>
      </c>
      <c r="DF604" s="500">
        <f>+DF601-DF584</f>
        <v>-4.8528396587514677E-4</v>
      </c>
      <c r="DH604" s="500">
        <f>+DH601-DH584</f>
        <v>2.5864804896211929E-4</v>
      </c>
      <c r="DI604" s="500">
        <f ca="1">+DI601-DI584</f>
        <v>1.7665091151973511E-4</v>
      </c>
      <c r="DJ604" s="500">
        <f ca="1">+DJ601-DJ584</f>
        <v>2.2304604385706833E-4</v>
      </c>
      <c r="DL604" s="500">
        <f ca="1">+DL601-DL584</f>
        <v>4.6300229550635258E-4</v>
      </c>
      <c r="DM604" s="500">
        <f ca="1">+DM601-DM584</f>
        <v>4.5846303475306077E-4</v>
      </c>
      <c r="DN604" s="500">
        <f ca="1">+DN601-DN584</f>
        <v>4.5553037670875013E-4</v>
      </c>
      <c r="DP604" s="500">
        <f ca="1">+DP601-DP584</f>
        <v>4.6537757530655532E-4</v>
      </c>
      <c r="DQ604" s="500">
        <f ca="1">+DQ601-DQ584</f>
        <v>4.793738682006346E-4</v>
      </c>
      <c r="DR604" s="500">
        <f ca="1">+DR601-DR584</f>
        <v>4.6967581167164235E-4</v>
      </c>
      <c r="DT604" s="1"/>
      <c r="DU604" s="1"/>
      <c r="DV604" s="1"/>
      <c r="DW604" s="1"/>
      <c r="DX604" s="1"/>
      <c r="DY604" s="1"/>
      <c r="DZ604" s="1"/>
      <c r="EA604" s="1"/>
      <c r="EB604" s="1"/>
      <c r="EC604" s="1"/>
      <c r="ED604" s="1"/>
      <c r="EE604" s="1"/>
      <c r="EF604" s="1"/>
      <c r="EG604" s="1"/>
      <c r="EH604" s="1"/>
      <c r="EI604" s="1"/>
      <c r="EJ604" s="1"/>
      <c r="EK604" s="1"/>
      <c r="EL604" s="1"/>
      <c r="EM604" s="1"/>
      <c r="EN604" s="1"/>
      <c r="EO604" s="1"/>
      <c r="EP604" s="1"/>
      <c r="EQ604" s="1"/>
      <c r="ER604" s="1"/>
      <c r="ES604" s="1"/>
      <c r="ET604" s="1"/>
      <c r="EU604" s="1"/>
      <c r="EV604" s="1"/>
      <c r="EW604" s="1"/>
      <c r="EX604" s="1"/>
      <c r="EY604" s="1"/>
      <c r="EZ604" s="1"/>
      <c r="FA604" s="1"/>
      <c r="FB604" s="1"/>
      <c r="FC604" s="1"/>
      <c r="FD604" s="1"/>
      <c r="FE604" s="1"/>
      <c r="FF604" s="1"/>
      <c r="FG604" s="1"/>
      <c r="FH604" s="1"/>
      <c r="FI604" s="1"/>
      <c r="FJ604" s="1"/>
      <c r="FK604" s="1"/>
      <c r="FL604" s="1"/>
      <c r="FM604" s="1"/>
      <c r="FN604" s="1"/>
      <c r="FO604" s="1"/>
      <c r="FP604" s="1"/>
      <c r="FQ604" s="1"/>
      <c r="FR604" s="1"/>
      <c r="FS604" s="1"/>
      <c r="FT604" s="1"/>
      <c r="FU604" s="1"/>
      <c r="FV604" s="1"/>
      <c r="FW604" s="1"/>
      <c r="FX604" s="1"/>
      <c r="FY604" s="1"/>
      <c r="FZ604" s="1"/>
      <c r="GA604" s="1"/>
      <c r="GB604" s="1"/>
      <c r="GC604" s="1"/>
      <c r="GD604" s="1"/>
      <c r="GE604" s="1"/>
      <c r="GF604" s="1"/>
      <c r="GG604" s="1"/>
      <c r="GH604" s="1"/>
      <c r="GI604" s="1"/>
      <c r="GJ604" s="1"/>
      <c r="GK604" s="1"/>
      <c r="GL604" s="1"/>
      <c r="GM604" s="1"/>
      <c r="GN604" s="1"/>
      <c r="GO604" s="1"/>
      <c r="GP604" s="1"/>
      <c r="GQ604" s="1"/>
      <c r="GR604" s="1"/>
      <c r="GS604" s="1"/>
      <c r="GT604" s="1"/>
      <c r="GU604" s="1"/>
      <c r="GV604" s="1"/>
      <c r="GW604" s="1"/>
      <c r="GX604" s="1"/>
      <c r="GY604" s="1"/>
      <c r="GZ604" s="1"/>
      <c r="HA604" s="1"/>
      <c r="HB604" s="1"/>
      <c r="HC604" s="1"/>
      <c r="HD604" s="1"/>
      <c r="HE604" s="1"/>
      <c r="HF604" s="1"/>
      <c r="HG604" s="1"/>
      <c r="HH604" s="1"/>
      <c r="HI604" s="1"/>
      <c r="HJ604" s="1"/>
      <c r="HK604" s="1"/>
      <c r="HL604" s="1"/>
      <c r="HM604" s="1"/>
      <c r="HN604" s="1"/>
      <c r="HO604" s="1"/>
      <c r="HP604" s="1"/>
      <c r="HQ604" s="1"/>
      <c r="HR604" s="1"/>
      <c r="HS604" s="1"/>
      <c r="HT604" s="1"/>
      <c r="HU604" s="1"/>
      <c r="HV604" s="1"/>
      <c r="HW604" s="1"/>
      <c r="HX604" s="1"/>
      <c r="HY604" s="1"/>
      <c r="HZ604" s="1"/>
      <c r="IA604" s="1"/>
      <c r="IB604" s="1"/>
      <c r="IC604" s="1"/>
      <c r="ID604" s="1"/>
      <c r="IE604" s="1"/>
      <c r="IF604" s="1"/>
      <c r="IG604" s="1"/>
      <c r="IH604" s="1"/>
      <c r="II604" s="1"/>
      <c r="IJ604" s="1"/>
      <c r="IK604" s="1"/>
      <c r="IL604" s="1"/>
      <c r="IM604" s="1"/>
      <c r="IN604" s="1"/>
      <c r="IO604" s="1"/>
      <c r="IP604" s="1"/>
      <c r="IQ604" s="1"/>
      <c r="IR604" s="1"/>
      <c r="IS604" s="1"/>
      <c r="IT604" s="1"/>
      <c r="IU604" s="1"/>
      <c r="IV604" s="1"/>
      <c r="IW604" s="1"/>
      <c r="IX604" s="1"/>
      <c r="IY604" s="1"/>
      <c r="IZ604" s="1"/>
      <c r="JA604" s="1"/>
      <c r="JB604" s="1"/>
      <c r="JC604" s="1"/>
      <c r="JD604" s="1"/>
    </row>
    <row r="605" spans="1:264" s="424" customFormat="1" x14ac:dyDescent="0.2">
      <c r="A605" s="424" t="s">
        <v>479</v>
      </c>
      <c r="B605" s="536" t="s">
        <v>354</v>
      </c>
      <c r="BH605" s="536"/>
      <c r="BI605" s="491">
        <f>+BI604-BH604</f>
        <v>8.728837500870841E-4</v>
      </c>
      <c r="BJ605" s="536"/>
      <c r="BK605" s="536"/>
      <c r="BL605" s="491">
        <f>+BL604-BI604</f>
        <v>-5.8456408608168961E-4</v>
      </c>
      <c r="BM605" s="491">
        <f>+BM604-BL604</f>
        <v>-1.8030326579148021E-3</v>
      </c>
      <c r="BN605" s="536"/>
      <c r="BO605" s="536"/>
      <c r="BP605" s="491">
        <f>+BP604-BM604</f>
        <v>-7.4411907418781703E-4</v>
      </c>
      <c r="BQ605" s="491">
        <f>+BQ604-BP604</f>
        <v>-2.3516766231854308E-3</v>
      </c>
      <c r="BR605" s="536"/>
      <c r="BT605" s="491">
        <f>+BT604-BQ604</f>
        <v>3.195182991912765E-3</v>
      </c>
      <c r="BU605" s="491">
        <f>+BU604-BT604</f>
        <v>6.1210949171771126E-4</v>
      </c>
      <c r="BV605" s="536"/>
      <c r="BX605" s="491">
        <f>+BX604-BU604</f>
        <v>1.9252583676622539E-3</v>
      </c>
      <c r="BY605" s="491">
        <f>+BY604-BX604</f>
        <v>-3.8658917922976613E-4</v>
      </c>
      <c r="BZ605" s="536"/>
      <c r="CB605" s="491">
        <f>+CB604-BY604</f>
        <v>1.2523259370444614E-4</v>
      </c>
      <c r="CC605" s="491">
        <f>+CC604-CB604</f>
        <v>-8.6949729733741196E-4</v>
      </c>
      <c r="CD605" s="536"/>
      <c r="CF605" s="491">
        <f>+CF604-CC604</f>
        <v>-5.3319710618461927E-4</v>
      </c>
      <c r="CG605" s="491">
        <f>+CG604-CF604</f>
        <v>2.0869426660565585E-3</v>
      </c>
      <c r="CH605" s="536"/>
      <c r="CJ605" s="491">
        <f>+CJ604-CG604</f>
        <v>4.2319562885204821E-3</v>
      </c>
      <c r="CK605" s="491">
        <f>+CK604-CJ604</f>
        <v>3.1045032820463097E-3</v>
      </c>
      <c r="CL605" s="536"/>
      <c r="CN605" s="491">
        <f>+CN604-CK604</f>
        <v>-4.094676119766336E-3</v>
      </c>
      <c r="CO605" s="491">
        <f>+CO604-CN604</f>
        <v>-2.0669051582603614E-3</v>
      </c>
      <c r="CP605" s="536"/>
      <c r="CR605" s="491">
        <f>+CR604-CO604</f>
        <v>-2.3968869901824005E-4</v>
      </c>
      <c r="CS605" s="491">
        <f>+CS604-CR604</f>
        <v>-4.6648663984187287E-3</v>
      </c>
      <c r="CT605" s="536"/>
      <c r="CV605" s="491">
        <f>+CV604-CS604</f>
        <v>-1.0113449631349513E-2</v>
      </c>
      <c r="CW605" s="491">
        <f>+CW604-CV604</f>
        <v>1.6168859839963759E-3</v>
      </c>
      <c r="CX605" s="536"/>
      <c r="CZ605" s="491">
        <f>+CZ604-CW604</f>
        <v>3.0848573516511976E-3</v>
      </c>
      <c r="DA605" s="491">
        <f>+DA604-CZ604</f>
        <v>2.4518570664138276E-3</v>
      </c>
      <c r="DB605" s="536"/>
      <c r="DD605" s="491">
        <f>+DD604-DA604</f>
        <v>9.830835322716322E-4</v>
      </c>
      <c r="DE605" s="491">
        <f>+DE604-DD604</f>
        <v>2.9316058525258731E-3</v>
      </c>
      <c r="DF605" s="536"/>
      <c r="DH605" s="491">
        <f>+DH604-DE604</f>
        <v>-7.3152563182011382E-4</v>
      </c>
      <c r="DI605" s="491">
        <f ca="1">+DI604-DF604</f>
        <v>6.6193487739488188E-4</v>
      </c>
      <c r="DJ605" s="491">
        <f ca="1">+DJ604-DG604</f>
        <v>2.2304604385706833E-4</v>
      </c>
      <c r="DL605" s="491">
        <f ca="1">+DL604-DI604</f>
        <v>2.8635138398661747E-4</v>
      </c>
      <c r="DM605" s="491">
        <f ca="1">+DM604-DJ604</f>
        <v>2.3541699089599244E-4</v>
      </c>
      <c r="DN605" s="491">
        <f ca="1">+DN604-DK604</f>
        <v>4.5553037670875013E-4</v>
      </c>
      <c r="DP605" s="491">
        <f ca="1">+DP604-DM604</f>
        <v>6.9145405534945525E-6</v>
      </c>
      <c r="DQ605" s="491">
        <f ca="1">+DQ604-DN604</f>
        <v>2.3843491491884472E-5</v>
      </c>
      <c r="DR605" s="491">
        <f ca="1">+DR604-DO604</f>
        <v>4.6967581167164235E-4</v>
      </c>
      <c r="DT605" s="1"/>
      <c r="DU605" s="1"/>
      <c r="DV605" s="1"/>
      <c r="DW605" s="1"/>
      <c r="DX605" s="1"/>
      <c r="DY605" s="1"/>
      <c r="DZ605" s="1"/>
      <c r="EA605" s="1"/>
      <c r="EB605" s="1"/>
      <c r="EC605" s="1"/>
      <c r="ED605" s="1"/>
      <c r="EE605" s="1"/>
      <c r="EF605" s="1"/>
      <c r="EG605" s="1"/>
      <c r="EH605" s="1"/>
      <c r="EI605" s="1"/>
      <c r="EJ605" s="1"/>
      <c r="EK605" s="1"/>
      <c r="EL605" s="1"/>
      <c r="EM605" s="1"/>
      <c r="EN605" s="1"/>
      <c r="EO605" s="1"/>
      <c r="EP605" s="1"/>
      <c r="EQ605" s="1"/>
      <c r="ER605" s="1"/>
      <c r="ES605" s="1"/>
      <c r="ET605" s="1"/>
      <c r="EU605" s="1"/>
      <c r="EV605" s="1"/>
      <c r="EW605" s="1"/>
      <c r="EX605" s="1"/>
      <c r="EY605" s="1"/>
      <c r="EZ605" s="1"/>
      <c r="FA605" s="1"/>
      <c r="FB605" s="1"/>
      <c r="FC605" s="1"/>
      <c r="FD605" s="1"/>
      <c r="FE605" s="1"/>
      <c r="FF605" s="1"/>
      <c r="FG605" s="1"/>
      <c r="FH605" s="1"/>
      <c r="FI605" s="1"/>
      <c r="FJ605" s="1"/>
      <c r="FK605" s="1"/>
      <c r="FL605" s="1"/>
      <c r="FM605" s="1"/>
      <c r="FN605" s="1"/>
      <c r="FO605" s="1"/>
      <c r="FP605" s="1"/>
      <c r="FQ605" s="1"/>
      <c r="FR605" s="1"/>
      <c r="FS605" s="1"/>
      <c r="FT605" s="1"/>
      <c r="FU605" s="1"/>
      <c r="FV605" s="1"/>
      <c r="FW605" s="1"/>
      <c r="FX605" s="1"/>
      <c r="FY605" s="1"/>
      <c r="FZ605" s="1"/>
      <c r="GA605" s="1"/>
      <c r="GB605" s="1"/>
      <c r="GC605" s="1"/>
      <c r="GD605" s="1"/>
      <c r="GE605" s="1"/>
      <c r="GF605" s="1"/>
      <c r="GG605" s="1"/>
      <c r="GH605" s="1"/>
      <c r="GI605" s="1"/>
      <c r="GJ605" s="1"/>
      <c r="GK605" s="1"/>
      <c r="GL605" s="1"/>
      <c r="GM605" s="1"/>
      <c r="GN605" s="1"/>
      <c r="GO605" s="1"/>
      <c r="GP605" s="1"/>
      <c r="GQ605" s="1"/>
      <c r="GR605" s="1"/>
      <c r="GS605" s="1"/>
      <c r="GT605" s="1"/>
      <c r="GU605" s="1"/>
      <c r="GV605" s="1"/>
      <c r="GW605" s="1"/>
      <c r="GX605" s="1"/>
      <c r="GY605" s="1"/>
      <c r="GZ605" s="1"/>
      <c r="HA605" s="1"/>
      <c r="HB605" s="1"/>
      <c r="HC605" s="1"/>
      <c r="HD605" s="1"/>
      <c r="HE605" s="1"/>
      <c r="HF605" s="1"/>
      <c r="HG605" s="1"/>
      <c r="HH605" s="1"/>
      <c r="HI605" s="1"/>
      <c r="HJ605" s="1"/>
      <c r="HK605" s="1"/>
      <c r="HL605" s="1"/>
      <c r="HM605" s="1"/>
      <c r="HN605" s="1"/>
      <c r="HO605" s="1"/>
      <c r="HP605" s="1"/>
      <c r="HQ605" s="1"/>
      <c r="HR605" s="1"/>
      <c r="HS605" s="1"/>
      <c r="HT605" s="1"/>
      <c r="HU605" s="1"/>
      <c r="HV605" s="1"/>
      <c r="HW605" s="1"/>
      <c r="HX605" s="1"/>
      <c r="HY605" s="1"/>
      <c r="HZ605" s="1"/>
      <c r="IA605" s="1"/>
      <c r="IB605" s="1"/>
      <c r="IC605" s="1"/>
      <c r="ID605" s="1"/>
      <c r="IE605" s="1"/>
      <c r="IF605" s="1"/>
      <c r="IG605" s="1"/>
      <c r="IH605" s="1"/>
      <c r="II605" s="1"/>
      <c r="IJ605" s="1"/>
      <c r="IK605" s="1"/>
      <c r="IL605" s="1"/>
      <c r="IM605" s="1"/>
      <c r="IN605" s="1"/>
      <c r="IO605" s="1"/>
      <c r="IP605" s="1"/>
      <c r="IQ605" s="1"/>
      <c r="IR605" s="1"/>
      <c r="IS605" s="1"/>
      <c r="IT605" s="1"/>
      <c r="IU605" s="1"/>
      <c r="IV605" s="1"/>
      <c r="IW605" s="1"/>
      <c r="IX605" s="1"/>
      <c r="IY605" s="1"/>
      <c r="IZ605" s="1"/>
      <c r="JA605" s="1"/>
      <c r="JB605" s="1"/>
      <c r="JC605" s="1"/>
      <c r="JD605" s="1"/>
    </row>
    <row r="606" spans="1:264" s="347" customFormat="1" x14ac:dyDescent="0.2">
      <c r="B606" s="348"/>
      <c r="BH606" s="348"/>
      <c r="BI606" s="348"/>
      <c r="BJ606" s="348"/>
      <c r="BK606" s="348"/>
      <c r="BL606" s="348"/>
      <c r="BM606" s="348"/>
      <c r="BN606" s="348"/>
      <c r="BO606" s="348"/>
      <c r="BP606" s="348"/>
      <c r="BQ606" s="348"/>
      <c r="BR606" s="348"/>
      <c r="BT606" s="348"/>
      <c r="BU606" s="348"/>
      <c r="BV606" s="348"/>
      <c r="BX606" s="348"/>
      <c r="CB606" s="348"/>
      <c r="CF606" s="348"/>
      <c r="CJ606" s="348"/>
      <c r="CN606" s="348"/>
      <c r="CR606" s="348"/>
      <c r="CV606" s="348"/>
      <c r="CY606" s="1"/>
      <c r="CZ606" s="348"/>
      <c r="DC606" s="1"/>
      <c r="DD606" s="348"/>
      <c r="DG606" s="1"/>
      <c r="DH606" s="348"/>
      <c r="DI606" s="1"/>
      <c r="DJ606" s="1"/>
      <c r="DL606" s="1"/>
      <c r="DM606" s="1"/>
      <c r="DN606" s="1"/>
      <c r="DP606" s="1"/>
      <c r="DQ606" s="1"/>
      <c r="DR606" s="1"/>
      <c r="DT606" s="1"/>
      <c r="DU606" s="1"/>
      <c r="DV606" s="1"/>
      <c r="DW606" s="1"/>
      <c r="DX606" s="1"/>
      <c r="DY606" s="1"/>
      <c r="DZ606" s="1"/>
      <c r="EA606" s="1"/>
      <c r="EB606" s="1"/>
      <c r="EC606" s="1"/>
      <c r="ED606" s="1"/>
      <c r="EE606" s="1"/>
      <c r="EF606" s="1"/>
      <c r="EG606" s="1"/>
      <c r="EH606" s="1"/>
      <c r="EI606" s="1"/>
      <c r="EJ606" s="1"/>
      <c r="EK606" s="1"/>
      <c r="EL606" s="1"/>
      <c r="EM606" s="1"/>
      <c r="EN606" s="1"/>
      <c r="EO606" s="1"/>
      <c r="EP606" s="1"/>
      <c r="EQ606" s="1"/>
      <c r="ER606" s="1"/>
      <c r="ES606" s="1"/>
      <c r="ET606" s="1"/>
      <c r="EU606" s="1"/>
      <c r="EV606" s="1"/>
      <c r="EW606" s="1"/>
      <c r="EX606" s="1"/>
      <c r="EY606" s="1"/>
      <c r="EZ606" s="1"/>
      <c r="FA606" s="1"/>
      <c r="FB606" s="1"/>
      <c r="FC606" s="1"/>
      <c r="FD606" s="1"/>
      <c r="FE606" s="1"/>
      <c r="FF606" s="1"/>
      <c r="FG606" s="1"/>
      <c r="FH606" s="1"/>
      <c r="FI606" s="1"/>
      <c r="FJ606" s="1"/>
      <c r="FK606" s="1"/>
      <c r="FL606" s="1"/>
      <c r="FM606" s="1"/>
      <c r="FN606" s="1"/>
      <c r="FO606" s="1"/>
      <c r="FP606" s="1"/>
      <c r="FQ606" s="1"/>
      <c r="FR606" s="1"/>
      <c r="FS606" s="1"/>
      <c r="FT606" s="1"/>
      <c r="FU606" s="1"/>
      <c r="FV606" s="1"/>
      <c r="FW606" s="1"/>
      <c r="FX606" s="1"/>
      <c r="FY606" s="1"/>
      <c r="FZ606" s="1"/>
      <c r="GA606" s="1"/>
      <c r="GB606" s="1"/>
      <c r="GC606" s="1"/>
      <c r="GD606" s="1"/>
      <c r="GE606" s="1"/>
      <c r="GF606" s="1"/>
      <c r="GG606" s="1"/>
      <c r="GH606" s="1"/>
      <c r="GI606" s="1"/>
      <c r="GJ606" s="1"/>
      <c r="GK606" s="1"/>
      <c r="GL606" s="1"/>
      <c r="GM606" s="1"/>
      <c r="GN606" s="1"/>
      <c r="GO606" s="1"/>
      <c r="GP606" s="1"/>
      <c r="GQ606" s="1"/>
      <c r="GR606" s="1"/>
      <c r="GS606" s="1"/>
      <c r="GT606" s="1"/>
      <c r="GU606" s="1"/>
      <c r="GV606" s="1"/>
      <c r="GW606" s="1"/>
      <c r="GX606" s="1"/>
      <c r="GY606" s="1"/>
      <c r="GZ606" s="1"/>
      <c r="HA606" s="1"/>
      <c r="HB606" s="1"/>
      <c r="HC606" s="1"/>
      <c r="HD606" s="1"/>
      <c r="HE606" s="1"/>
      <c r="HF606" s="1"/>
      <c r="HG606" s="1"/>
      <c r="HH606" s="1"/>
      <c r="HI606" s="1"/>
      <c r="HJ606" s="1"/>
      <c r="HK606" s="1"/>
      <c r="HL606" s="1"/>
      <c r="HM606" s="1"/>
      <c r="HN606" s="1"/>
      <c r="HO606" s="1"/>
      <c r="HP606" s="1"/>
      <c r="HQ606" s="1"/>
      <c r="HR606" s="1"/>
      <c r="HS606" s="1"/>
      <c r="HT606" s="1"/>
      <c r="HU606" s="1"/>
      <c r="HV606" s="1"/>
      <c r="HW606" s="1"/>
      <c r="HX606" s="1"/>
      <c r="HY606" s="1"/>
      <c r="HZ606" s="1"/>
      <c r="IA606" s="1"/>
      <c r="IB606" s="1"/>
      <c r="IC606" s="1"/>
      <c r="ID606" s="1"/>
      <c r="IE606" s="1"/>
      <c r="IF606" s="1"/>
      <c r="IG606" s="1"/>
      <c r="IH606" s="1"/>
      <c r="II606" s="1"/>
      <c r="IJ606" s="1"/>
      <c r="IK606" s="1"/>
      <c r="IL606" s="1"/>
      <c r="IM606" s="1"/>
      <c r="IN606" s="1"/>
      <c r="IO606" s="1"/>
      <c r="IP606" s="1"/>
      <c r="IQ606" s="1"/>
      <c r="IR606" s="1"/>
      <c r="IS606" s="1"/>
      <c r="IT606" s="1"/>
      <c r="IU606" s="1"/>
      <c r="IV606" s="1"/>
      <c r="IW606" s="1"/>
      <c r="IX606" s="1"/>
      <c r="IY606" s="1"/>
      <c r="IZ606" s="1"/>
      <c r="JA606" s="1"/>
      <c r="JB606" s="1"/>
      <c r="JC606" s="1"/>
      <c r="JD606" s="1"/>
    </row>
    <row r="607" spans="1:264" s="347" customFormat="1" x14ac:dyDescent="0.2">
      <c r="A607" s="347" t="s">
        <v>487</v>
      </c>
      <c r="B607" s="348"/>
      <c r="BH607" s="398">
        <v>993</v>
      </c>
      <c r="BI607" s="398">
        <v>997</v>
      </c>
      <c r="BJ607" s="351">
        <f>+BH607+BI607</f>
        <v>1990</v>
      </c>
      <c r="BK607" s="348"/>
      <c r="BL607" s="398">
        <v>1081</v>
      </c>
      <c r="BM607" s="398">
        <v>1049</v>
      </c>
      <c r="BN607" s="351">
        <f>+BL607+BM607</f>
        <v>2130</v>
      </c>
      <c r="BO607" s="348"/>
      <c r="BP607" s="398">
        <v>1127</v>
      </c>
      <c r="BQ607" s="398">
        <v>1099</v>
      </c>
      <c r="BR607" s="351">
        <f>+BP607+BQ607</f>
        <v>2226</v>
      </c>
      <c r="BT607" s="398">
        <v>1151</v>
      </c>
      <c r="BU607" s="398">
        <v>1064</v>
      </c>
      <c r="BV607" s="351">
        <f>+BT607+BU607</f>
        <v>2215</v>
      </c>
      <c r="BW607" s="483">
        <f>BV607/BR607-1</f>
        <v>-4.9415992812219534E-3</v>
      </c>
      <c r="BX607" s="398">
        <v>1286</v>
      </c>
      <c r="BY607" s="420">
        <f>BZ607-BX607</f>
        <v>1275</v>
      </c>
      <c r="BZ607" s="399">
        <f>2561</f>
        <v>2561</v>
      </c>
      <c r="CA607" s="483">
        <f>BZ607/BV607-1</f>
        <v>0.15620767494356658</v>
      </c>
      <c r="CB607" s="398">
        <v>1303</v>
      </c>
      <c r="CC607" s="398">
        <v>1265</v>
      </c>
      <c r="CD607" s="351">
        <f>+CB607+CC607</f>
        <v>2568</v>
      </c>
      <c r="CE607" s="393">
        <f t="shared" ref="CE607:CE612" si="570">+CD607/BZ607-1</f>
        <v>2.7333073018351861E-3</v>
      </c>
      <c r="CF607" s="398">
        <f>1360+2</f>
        <v>1362</v>
      </c>
      <c r="CG607" s="398">
        <f>1313+2</f>
        <v>1315</v>
      </c>
      <c r="CH607" s="351">
        <f>+CF607+CG607</f>
        <v>2677</v>
      </c>
      <c r="CI607" s="393">
        <f t="shared" ref="CI607:CI612" si="571">+CH607/CD607-1</f>
        <v>4.244548286604366E-2</v>
      </c>
      <c r="CJ607" s="398">
        <v>1321</v>
      </c>
      <c r="CK607" s="398">
        <v>1236</v>
      </c>
      <c r="CL607" s="351">
        <f>+CJ607+CK607</f>
        <v>2557</v>
      </c>
      <c r="CM607" s="393">
        <f t="shared" ref="CM607:CM612" si="572">+CL607/CH607-1</f>
        <v>-4.4826298094882366E-2</v>
      </c>
      <c r="CN607" s="398">
        <v>1299</v>
      </c>
      <c r="CO607" s="398">
        <v>1265</v>
      </c>
      <c r="CP607" s="351">
        <f>+CN607+CO607</f>
        <v>2564</v>
      </c>
      <c r="CQ607" s="393">
        <f t="shared" ref="CQ607:CQ612" si="573">+CP607/CL607-1</f>
        <v>2.7375831052014465E-3</v>
      </c>
      <c r="CR607" s="398">
        <v>1067</v>
      </c>
      <c r="CS607" s="398">
        <v>1011</v>
      </c>
      <c r="CT607" s="351">
        <f>+CR607+CS607</f>
        <v>2078</v>
      </c>
      <c r="CU607" s="393">
        <f t="shared" ref="CU607:CU612" si="574">+CT607/CP607-1</f>
        <v>-0.18954758190327614</v>
      </c>
      <c r="CV607" s="398">
        <v>1013</v>
      </c>
      <c r="CW607" s="398">
        <v>967</v>
      </c>
      <c r="CX607" s="351">
        <f>+CV607+CW607</f>
        <v>1980</v>
      </c>
      <c r="CY607" s="393">
        <f t="shared" ref="CY607:CY612" si="575">+CX607/CT607-1</f>
        <v>-4.7160731472569828E-2</v>
      </c>
      <c r="CZ607" s="398">
        <v>1047</v>
      </c>
      <c r="DA607" s="398">
        <v>1069</v>
      </c>
      <c r="DB607" s="351">
        <f>+CZ607+DA607</f>
        <v>2116</v>
      </c>
      <c r="DC607" s="393">
        <f t="shared" ref="DC607:DC612" si="576">+DB607/CX607-1</f>
        <v>6.8686868686868685E-2</v>
      </c>
      <c r="DD607" s="398">
        <v>1085</v>
      </c>
      <c r="DE607" s="398">
        <v>1014</v>
      </c>
      <c r="DF607" s="351">
        <f>+DD607+DE607</f>
        <v>2099</v>
      </c>
      <c r="DG607" s="393">
        <f t="shared" ref="DG607:DG612" si="577">+DF607/DB607-1</f>
        <v>-8.0340264650283766E-3</v>
      </c>
      <c r="DH607" s="398">
        <v>1146</v>
      </c>
      <c r="DI607" s="351">
        <f>+DH607*(1+DI614)</f>
        <v>1065.78</v>
      </c>
      <c r="DJ607" s="351">
        <f t="shared" ref="DJ607:DJ612" si="578">+DI607+DH607</f>
        <v>2211.7799999999997</v>
      </c>
      <c r="DK607" s="393">
        <f t="shared" ref="DK607:DK612" si="579">+DJ607/DF607-1</f>
        <v>5.3730347784659349E-2</v>
      </c>
      <c r="DL607" s="351">
        <f>+DI607*(1+DL614)</f>
        <v>1140.3846000000001</v>
      </c>
      <c r="DM607" s="351">
        <f>+DL607*(1+DM614)</f>
        <v>1083.36537</v>
      </c>
      <c r="DN607" s="351">
        <f t="shared" ref="DN607:DN612" si="580">+DM607+DL607</f>
        <v>2223.7499699999998</v>
      </c>
      <c r="DO607" s="393">
        <f t="shared" ref="DO607:DO612" si="581">+DN607/DJ607-1</f>
        <v>5.4119170984456844E-3</v>
      </c>
      <c r="DP607" s="351">
        <f>+DM607*(1+DP614)</f>
        <v>1159.2009459000001</v>
      </c>
      <c r="DQ607" s="351">
        <f>+DP607*(1+DQ614)</f>
        <v>1112.8329080640001</v>
      </c>
      <c r="DR607" s="351">
        <f t="shared" ref="DR607:DR612" si="582">+DQ607+DP607</f>
        <v>2272.0338539640002</v>
      </c>
      <c r="DS607" s="393">
        <f t="shared" ref="DS607:DS612" si="583">+DR607/DN607-1</f>
        <v>2.1712820512820752E-2</v>
      </c>
      <c r="DT607" s="1"/>
      <c r="DU607" s="1"/>
      <c r="DV607" s="1"/>
      <c r="DW607" s="1"/>
      <c r="DX607" s="1"/>
      <c r="DY607" s="1"/>
      <c r="DZ607" s="1"/>
      <c r="EA607" s="1"/>
      <c r="EB607" s="1"/>
      <c r="EC607" s="1"/>
      <c r="ED607" s="1"/>
      <c r="EE607" s="1"/>
      <c r="EF607" s="1"/>
      <c r="EG607" s="1"/>
      <c r="EH607" s="1"/>
      <c r="EI607" s="1"/>
      <c r="EJ607" s="1"/>
      <c r="EK607" s="1"/>
      <c r="EL607" s="1"/>
      <c r="EM607" s="1"/>
      <c r="EN607" s="1"/>
      <c r="EO607" s="1"/>
      <c r="EP607" s="1"/>
      <c r="EQ607" s="1"/>
      <c r="ER607" s="1"/>
      <c r="ES607" s="1"/>
      <c r="ET607" s="1"/>
      <c r="EU607" s="1"/>
      <c r="EV607" s="1"/>
      <c r="EW607" s="1"/>
      <c r="EX607" s="1"/>
      <c r="EY607" s="1"/>
      <c r="EZ607" s="1"/>
      <c r="FA607" s="1"/>
      <c r="FB607" s="1"/>
      <c r="FC607" s="1"/>
      <c r="FD607" s="1"/>
      <c r="FE607" s="1"/>
      <c r="FF607" s="1"/>
      <c r="FG607" s="1"/>
      <c r="FH607" s="1"/>
      <c r="FI607" s="1"/>
      <c r="FJ607" s="1"/>
      <c r="FK607" s="1"/>
      <c r="FL607" s="1"/>
      <c r="FM607" s="1"/>
      <c r="FN607" s="1"/>
      <c r="FO607" s="1"/>
      <c r="FP607" s="1"/>
      <c r="FQ607" s="1"/>
      <c r="FR607" s="1"/>
      <c r="FS607" s="1"/>
      <c r="FT607" s="1"/>
      <c r="FU607" s="1"/>
      <c r="FV607" s="1"/>
      <c r="FW607" s="1"/>
      <c r="FX607" s="1"/>
      <c r="FY607" s="1"/>
      <c r="FZ607" s="1"/>
      <c r="GA607" s="1"/>
      <c r="GB607" s="1"/>
      <c r="GC607" s="1"/>
      <c r="GD607" s="1"/>
      <c r="GE607" s="1"/>
      <c r="GF607" s="1"/>
      <c r="GG607" s="1"/>
      <c r="GH607" s="1"/>
      <c r="GI607" s="1"/>
      <c r="GJ607" s="1"/>
      <c r="GK607" s="1"/>
      <c r="GL607" s="1"/>
      <c r="GM607" s="1"/>
      <c r="GN607" s="1"/>
      <c r="GO607" s="1"/>
      <c r="GP607" s="1"/>
      <c r="GQ607" s="1"/>
      <c r="GR607" s="1"/>
      <c r="GS607" s="1"/>
      <c r="GT607" s="1"/>
      <c r="GU607" s="1"/>
      <c r="GV607" s="1"/>
      <c r="GW607" s="1"/>
      <c r="GX607" s="1"/>
      <c r="GY607" s="1"/>
      <c r="GZ607" s="1"/>
      <c r="HA607" s="1"/>
      <c r="HB607" s="1"/>
      <c r="HC607" s="1"/>
      <c r="HD607" s="1"/>
      <c r="HE607" s="1"/>
      <c r="HF607" s="1"/>
      <c r="HG607" s="1"/>
      <c r="HH607" s="1"/>
      <c r="HI607" s="1"/>
      <c r="HJ607" s="1"/>
      <c r="HK607" s="1"/>
      <c r="HL607" s="1"/>
      <c r="HM607" s="1"/>
      <c r="HN607" s="1"/>
      <c r="HO607" s="1"/>
      <c r="HP607" s="1"/>
      <c r="HQ607" s="1"/>
      <c r="HR607" s="1"/>
      <c r="HS607" s="1"/>
      <c r="HT607" s="1"/>
      <c r="HU607" s="1"/>
      <c r="HV607" s="1"/>
      <c r="HW607" s="1"/>
      <c r="HX607" s="1"/>
      <c r="HY607" s="1"/>
      <c r="HZ607" s="1"/>
      <c r="IA607" s="1"/>
      <c r="IB607" s="1"/>
      <c r="IC607" s="1"/>
      <c r="ID607" s="1"/>
      <c r="IE607" s="1"/>
      <c r="IF607" s="1"/>
      <c r="IG607" s="1"/>
      <c r="IH607" s="1"/>
      <c r="II607" s="1"/>
      <c r="IJ607" s="1"/>
      <c r="IK607" s="1"/>
      <c r="IL607" s="1"/>
      <c r="IM607" s="1"/>
      <c r="IN607" s="1"/>
      <c r="IO607" s="1"/>
      <c r="IP607" s="1"/>
      <c r="IQ607" s="1"/>
      <c r="IR607" s="1"/>
      <c r="IS607" s="1"/>
      <c r="IT607" s="1"/>
      <c r="IU607" s="1"/>
      <c r="IV607" s="1"/>
      <c r="IW607" s="1"/>
      <c r="IX607" s="1"/>
      <c r="IY607" s="1"/>
      <c r="IZ607" s="1"/>
      <c r="JA607" s="1"/>
      <c r="JB607" s="1"/>
      <c r="JC607" s="1"/>
      <c r="JD607" s="1"/>
    </row>
    <row r="608" spans="1:264" s="347" customFormat="1" x14ac:dyDescent="0.2">
      <c r="A608" s="347" t="s">
        <v>488</v>
      </c>
      <c r="B608" s="348"/>
      <c r="BH608" s="351">
        <f>BH609-BH607</f>
        <v>509</v>
      </c>
      <c r="BI608" s="351">
        <f>BI609-BI607</f>
        <v>544</v>
      </c>
      <c r="BJ608" s="351">
        <f>BJ609-BJ607</f>
        <v>1053</v>
      </c>
      <c r="BK608" s="348"/>
      <c r="BL608" s="351">
        <f>BL609-BL607</f>
        <v>537</v>
      </c>
      <c r="BM608" s="351">
        <f>BM609-BM607</f>
        <v>546</v>
      </c>
      <c r="BN608" s="351">
        <f>BN609-BN607</f>
        <v>1083</v>
      </c>
      <c r="BO608" s="348"/>
      <c r="BP608" s="351">
        <f>BP609-BP607</f>
        <v>498</v>
      </c>
      <c r="BQ608" s="351">
        <f>BQ609-BQ607</f>
        <v>490</v>
      </c>
      <c r="BR608" s="351">
        <f>BR609-BR607</f>
        <v>988</v>
      </c>
      <c r="BT608" s="351">
        <f>BT609-BT607</f>
        <v>507</v>
      </c>
      <c r="BU608" s="351">
        <f>BU609-BU607</f>
        <v>503</v>
      </c>
      <c r="BV608" s="351">
        <f>BV609-BV607</f>
        <v>1010</v>
      </c>
      <c r="BW608" s="483">
        <f>BV608/BR608-1</f>
        <v>2.2267206477732726E-2</v>
      </c>
      <c r="BX608" s="351">
        <f>BX609-BX607</f>
        <v>533</v>
      </c>
      <c r="BY608" s="351">
        <f>BY609-BY607</f>
        <v>545</v>
      </c>
      <c r="BZ608" s="351">
        <f>BZ609-BZ607</f>
        <v>1078</v>
      </c>
      <c r="CA608" s="483">
        <f>BZ608/BV608-1</f>
        <v>6.7326732673267387E-2</v>
      </c>
      <c r="CB608" s="351">
        <f>CB609-CB607</f>
        <v>558</v>
      </c>
      <c r="CC608" s="351">
        <f>CC609-CC607</f>
        <v>551</v>
      </c>
      <c r="CD608" s="351">
        <f>CD609-CD607</f>
        <v>1109</v>
      </c>
      <c r="CE608" s="393">
        <f t="shared" si="570"/>
        <v>2.8756957328385901E-2</v>
      </c>
      <c r="CF608" s="351">
        <f>CF609-CF607</f>
        <v>507</v>
      </c>
      <c r="CG608" s="351">
        <f>CG609-CG607</f>
        <v>485</v>
      </c>
      <c r="CH608" s="351">
        <f>CH609-CH607</f>
        <v>992</v>
      </c>
      <c r="CI608" s="393">
        <f t="shared" si="571"/>
        <v>-0.10550045085662763</v>
      </c>
      <c r="CJ608" s="351">
        <f>CJ609-CJ607</f>
        <v>483</v>
      </c>
      <c r="CK608" s="351">
        <f>CK609-CK607</f>
        <v>503</v>
      </c>
      <c r="CL608" s="351">
        <f>CL609-CL607</f>
        <v>986</v>
      </c>
      <c r="CM608" s="393">
        <f t="shared" si="572"/>
        <v>-6.0483870967742437E-3</v>
      </c>
      <c r="CN608" s="351">
        <f>CN609-CN607</f>
        <v>296</v>
      </c>
      <c r="CO608" s="351">
        <f>CO609-CO607</f>
        <v>369</v>
      </c>
      <c r="CP608" s="351">
        <f>CP609-CP607</f>
        <v>665</v>
      </c>
      <c r="CQ608" s="393">
        <f t="shared" si="573"/>
        <v>-0.32555780933062883</v>
      </c>
      <c r="CR608" s="351">
        <f>CR609-CR607</f>
        <v>377</v>
      </c>
      <c r="CS608" s="351">
        <f>CS609-CS607</f>
        <v>359</v>
      </c>
      <c r="CT608" s="351">
        <f>CT609-CT607</f>
        <v>736</v>
      </c>
      <c r="CU608" s="393">
        <f t="shared" si="574"/>
        <v>0.10676691729323307</v>
      </c>
      <c r="CV608" s="351">
        <f>CV609-CV607</f>
        <v>357</v>
      </c>
      <c r="CW608" s="351">
        <f>CW609-CW607</f>
        <v>396</v>
      </c>
      <c r="CX608" s="351">
        <f>CX609-CX607</f>
        <v>753</v>
      </c>
      <c r="CY608" s="393">
        <f t="shared" si="575"/>
        <v>2.3097826086956541E-2</v>
      </c>
      <c r="CZ608" s="351">
        <f>CZ609-CZ607</f>
        <v>404</v>
      </c>
      <c r="DA608" s="351">
        <f>DA609-DA607</f>
        <v>417</v>
      </c>
      <c r="DB608" s="351">
        <f>DB609-DB607</f>
        <v>821</v>
      </c>
      <c r="DC608" s="393">
        <f t="shared" si="576"/>
        <v>9.0305444887118114E-2</v>
      </c>
      <c r="DD608" s="351">
        <f>DD609-DD607</f>
        <v>449</v>
      </c>
      <c r="DE608" s="351">
        <f>DE609-DE607</f>
        <v>463</v>
      </c>
      <c r="DF608" s="351">
        <f>DF609-DF607</f>
        <v>912</v>
      </c>
      <c r="DG608" s="393">
        <f t="shared" si="577"/>
        <v>0.11084043848964686</v>
      </c>
      <c r="DH608" s="351">
        <f>DH609-DH607</f>
        <v>465</v>
      </c>
      <c r="DI608" s="351">
        <f>+DH608*(1+DI615)</f>
        <v>478.95</v>
      </c>
      <c r="DJ608" s="351">
        <f t="shared" si="578"/>
        <v>943.95</v>
      </c>
      <c r="DK608" s="393">
        <f t="shared" si="579"/>
        <v>3.5032894736842124E-2</v>
      </c>
      <c r="DL608" s="351">
        <f>+DI608*(1+DL615)</f>
        <v>488.529</v>
      </c>
      <c r="DM608" s="351">
        <f>+DL608*(1+DM615)</f>
        <v>503.18486999999999</v>
      </c>
      <c r="DN608" s="351">
        <f t="shared" si="580"/>
        <v>991.71387000000004</v>
      </c>
      <c r="DO608" s="393">
        <f t="shared" si="581"/>
        <v>5.0599999999999978E-2</v>
      </c>
      <c r="DP608" s="351">
        <f>+DM608*(1+DP615)</f>
        <v>513.24856739999996</v>
      </c>
      <c r="DQ608" s="351">
        <f>+DP608*(1+DQ615)</f>
        <v>528.64602442199998</v>
      </c>
      <c r="DR608" s="351">
        <f t="shared" si="582"/>
        <v>1041.8945918219999</v>
      </c>
      <c r="DS608" s="393">
        <f t="shared" si="583"/>
        <v>5.0599999999999978E-2</v>
      </c>
      <c r="DT608" s="1"/>
      <c r="DU608" s="1"/>
      <c r="DV608" s="1"/>
      <c r="DW608" s="1"/>
      <c r="DX608" s="1"/>
      <c r="DY608" s="1"/>
      <c r="DZ608" s="1"/>
      <c r="EA608" s="1"/>
      <c r="EB608" s="1"/>
      <c r="EC608" s="1"/>
      <c r="ED608" s="1"/>
      <c r="EE608" s="1"/>
      <c r="EF608" s="1"/>
      <c r="EG608" s="1"/>
      <c r="EH608" s="1"/>
      <c r="EI608" s="1"/>
      <c r="EJ608" s="1"/>
      <c r="EK608" s="1"/>
      <c r="EL608" s="1"/>
      <c r="EM608" s="1"/>
      <c r="EN608" s="1"/>
      <c r="EO608" s="1"/>
      <c r="EP608" s="1"/>
      <c r="EQ608" s="1"/>
      <c r="ER608" s="1"/>
      <c r="ES608" s="1"/>
      <c r="ET608" s="1"/>
      <c r="EU608" s="1"/>
      <c r="EV608" s="1"/>
      <c r="EW608" s="1"/>
      <c r="EX608" s="1"/>
      <c r="EY608" s="1"/>
      <c r="EZ608" s="1"/>
      <c r="FA608" s="1"/>
      <c r="FB608" s="1"/>
      <c r="FC608" s="1"/>
      <c r="FD608" s="1"/>
      <c r="FE608" s="1"/>
      <c r="FF608" s="1"/>
      <c r="FG608" s="1"/>
      <c r="FH608" s="1"/>
      <c r="FI608" s="1"/>
      <c r="FJ608" s="1"/>
      <c r="FK608" s="1"/>
      <c r="FL608" s="1"/>
      <c r="FM608" s="1"/>
      <c r="FN608" s="1"/>
      <c r="FO608" s="1"/>
      <c r="FP608" s="1"/>
      <c r="FQ608" s="1"/>
      <c r="FR608" s="1"/>
      <c r="FS608" s="1"/>
      <c r="FT608" s="1"/>
      <c r="FU608" s="1"/>
      <c r="FV608" s="1"/>
      <c r="FW608" s="1"/>
      <c r="FX608" s="1"/>
      <c r="FY608" s="1"/>
      <c r="FZ608" s="1"/>
      <c r="GA608" s="1"/>
      <c r="GB608" s="1"/>
      <c r="GC608" s="1"/>
      <c r="GD608" s="1"/>
      <c r="GE608" s="1"/>
      <c r="GF608" s="1"/>
      <c r="GG608" s="1"/>
      <c r="GH608" s="1"/>
      <c r="GI608" s="1"/>
      <c r="GJ608" s="1"/>
      <c r="GK608" s="1"/>
      <c r="GL608" s="1"/>
      <c r="GM608" s="1"/>
      <c r="GN608" s="1"/>
      <c r="GO608" s="1"/>
      <c r="GP608" s="1"/>
      <c r="GQ608" s="1"/>
      <c r="GR608" s="1"/>
      <c r="GS608" s="1"/>
      <c r="GT608" s="1"/>
      <c r="GU608" s="1"/>
      <c r="GV608" s="1"/>
      <c r="GW608" s="1"/>
      <c r="GX608" s="1"/>
      <c r="GY608" s="1"/>
      <c r="GZ608" s="1"/>
      <c r="HA608" s="1"/>
      <c r="HB608" s="1"/>
      <c r="HC608" s="1"/>
      <c r="HD608" s="1"/>
      <c r="HE608" s="1"/>
      <c r="HF608" s="1"/>
      <c r="HG608" s="1"/>
      <c r="HH608" s="1"/>
      <c r="HI608" s="1"/>
      <c r="HJ608" s="1"/>
      <c r="HK608" s="1"/>
      <c r="HL608" s="1"/>
      <c r="HM608" s="1"/>
      <c r="HN608" s="1"/>
      <c r="HO608" s="1"/>
      <c r="HP608" s="1"/>
      <c r="HQ608" s="1"/>
      <c r="HR608" s="1"/>
      <c r="HS608" s="1"/>
      <c r="HT608" s="1"/>
      <c r="HU608" s="1"/>
      <c r="HV608" s="1"/>
      <c r="HW608" s="1"/>
      <c r="HX608" s="1"/>
      <c r="HY608" s="1"/>
      <c r="HZ608" s="1"/>
      <c r="IA608" s="1"/>
      <c r="IB608" s="1"/>
      <c r="IC608" s="1"/>
      <c r="ID608" s="1"/>
      <c r="IE608" s="1"/>
      <c r="IF608" s="1"/>
      <c r="IG608" s="1"/>
      <c r="IH608" s="1"/>
      <c r="II608" s="1"/>
      <c r="IJ608" s="1"/>
      <c r="IK608" s="1"/>
      <c r="IL608" s="1"/>
      <c r="IM608" s="1"/>
      <c r="IN608" s="1"/>
      <c r="IO608" s="1"/>
      <c r="IP608" s="1"/>
      <c r="IQ608" s="1"/>
      <c r="IR608" s="1"/>
      <c r="IS608" s="1"/>
      <c r="IT608" s="1"/>
      <c r="IU608" s="1"/>
      <c r="IV608" s="1"/>
      <c r="IW608" s="1"/>
      <c r="IX608" s="1"/>
      <c r="IY608" s="1"/>
      <c r="IZ608" s="1"/>
      <c r="JA608" s="1"/>
      <c r="JB608" s="1"/>
      <c r="JC608" s="1"/>
      <c r="JD608" s="1"/>
    </row>
    <row r="609" spans="1:264" s="411" customFormat="1" x14ac:dyDescent="0.2">
      <c r="A609" s="411" t="s">
        <v>489</v>
      </c>
      <c r="B609" s="423"/>
      <c r="BH609" s="397">
        <f t="shared" ref="BH609:BJ612" si="584">BH15</f>
        <v>1502</v>
      </c>
      <c r="BI609" s="397">
        <f t="shared" si="584"/>
        <v>1541</v>
      </c>
      <c r="BJ609" s="397">
        <f t="shared" si="584"/>
        <v>3043</v>
      </c>
      <c r="BK609" s="423"/>
      <c r="BL609" s="397">
        <f t="shared" ref="BL609:BN612" si="585">BL15</f>
        <v>1618</v>
      </c>
      <c r="BM609" s="397">
        <f t="shared" si="585"/>
        <v>1595</v>
      </c>
      <c r="BN609" s="397">
        <f t="shared" si="585"/>
        <v>3213</v>
      </c>
      <c r="BO609" s="423"/>
      <c r="BP609" s="397">
        <f t="shared" ref="BP609:BR612" si="586">BP15</f>
        <v>1625</v>
      </c>
      <c r="BQ609" s="397">
        <f t="shared" si="586"/>
        <v>1589</v>
      </c>
      <c r="BR609" s="397">
        <f t="shared" si="586"/>
        <v>3214</v>
      </c>
      <c r="BT609" s="397">
        <f t="shared" ref="BT609:BV612" si="587">BT15</f>
        <v>1658</v>
      </c>
      <c r="BU609" s="397">
        <f t="shared" si="587"/>
        <v>1567</v>
      </c>
      <c r="BV609" s="397">
        <f t="shared" si="587"/>
        <v>3225</v>
      </c>
      <c r="BW609" s="483">
        <f>BV609/BR609-1</f>
        <v>3.4225264467953043E-3</v>
      </c>
      <c r="BX609" s="397">
        <f t="shared" ref="BX609:BZ612" si="588">BX15</f>
        <v>1819</v>
      </c>
      <c r="BY609" s="397">
        <f t="shared" si="588"/>
        <v>1820</v>
      </c>
      <c r="BZ609" s="397">
        <f t="shared" si="588"/>
        <v>3639</v>
      </c>
      <c r="CA609" s="483">
        <f>BZ609/BV609-1</f>
        <v>0.12837209302325592</v>
      </c>
      <c r="CB609" s="397">
        <f t="shared" ref="CB609:CD612" si="589">CB15</f>
        <v>1861</v>
      </c>
      <c r="CC609" s="397">
        <f t="shared" si="589"/>
        <v>1816</v>
      </c>
      <c r="CD609" s="397">
        <f t="shared" si="589"/>
        <v>3677</v>
      </c>
      <c r="CE609" s="393">
        <f t="shared" si="570"/>
        <v>1.0442429238801898E-2</v>
      </c>
      <c r="CF609" s="397">
        <f t="shared" ref="CF609:CH612" si="590">CF15</f>
        <v>1869</v>
      </c>
      <c r="CG609" s="397">
        <f t="shared" si="590"/>
        <v>1800</v>
      </c>
      <c r="CH609" s="397">
        <f t="shared" si="590"/>
        <v>3669</v>
      </c>
      <c r="CI609" s="393">
        <f t="shared" si="571"/>
        <v>-2.1756867011150094E-3</v>
      </c>
      <c r="CJ609" s="397">
        <f t="shared" ref="CJ609:CL612" si="591">CJ15</f>
        <v>1804</v>
      </c>
      <c r="CK609" s="397">
        <f t="shared" si="591"/>
        <v>1739</v>
      </c>
      <c r="CL609" s="397">
        <f t="shared" si="591"/>
        <v>3543</v>
      </c>
      <c r="CM609" s="393">
        <f t="shared" si="572"/>
        <v>-3.4341782502044116E-2</v>
      </c>
      <c r="CN609" s="397">
        <f t="shared" ref="CN609:CP612" si="592">CN15</f>
        <v>1595</v>
      </c>
      <c r="CO609" s="397">
        <f t="shared" si="592"/>
        <v>1634</v>
      </c>
      <c r="CP609" s="397">
        <f t="shared" si="592"/>
        <v>3229</v>
      </c>
      <c r="CQ609" s="393">
        <f t="shared" si="573"/>
        <v>-8.86254586508608E-2</v>
      </c>
      <c r="CR609" s="397">
        <f t="shared" ref="CR609:CT612" si="593">CR15</f>
        <v>1444</v>
      </c>
      <c r="CS609" s="397">
        <f t="shared" si="593"/>
        <v>1370</v>
      </c>
      <c r="CT609" s="397">
        <f t="shared" si="593"/>
        <v>2814</v>
      </c>
      <c r="CU609" s="393">
        <f t="shared" si="574"/>
        <v>-0.12852276246515948</v>
      </c>
      <c r="CV609" s="397">
        <f t="shared" ref="CV609:CX612" si="594">CV15</f>
        <v>1370</v>
      </c>
      <c r="CW609" s="397">
        <f t="shared" si="594"/>
        <v>1363</v>
      </c>
      <c r="CX609" s="397">
        <f t="shared" si="594"/>
        <v>2733</v>
      </c>
      <c r="CY609" s="393">
        <f t="shared" si="575"/>
        <v>-2.8784648187633266E-2</v>
      </c>
      <c r="CZ609" s="397">
        <f t="shared" ref="CZ609:DB612" si="595">CZ15</f>
        <v>1451</v>
      </c>
      <c r="DA609" s="397">
        <f t="shared" si="595"/>
        <v>1486</v>
      </c>
      <c r="DB609" s="397">
        <f t="shared" si="595"/>
        <v>2937</v>
      </c>
      <c r="DC609" s="393">
        <f t="shared" si="576"/>
        <v>7.4643249176728821E-2</v>
      </c>
      <c r="DD609" s="397">
        <f>DD15</f>
        <v>1534</v>
      </c>
      <c r="DE609" s="397">
        <f t="shared" ref="DE609:DF609" si="596">DE15</f>
        <v>1477</v>
      </c>
      <c r="DF609" s="397">
        <f t="shared" si="596"/>
        <v>3011</v>
      </c>
      <c r="DG609" s="393">
        <f t="shared" si="577"/>
        <v>2.5195778004766689E-2</v>
      </c>
      <c r="DH609" s="397">
        <f>DH15</f>
        <v>1611</v>
      </c>
      <c r="DI609" s="397">
        <f>SUM(DI607:DI608)</f>
        <v>1544.73</v>
      </c>
      <c r="DJ609" s="397">
        <f t="shared" si="578"/>
        <v>3155.73</v>
      </c>
      <c r="DK609" s="393">
        <f t="shared" si="579"/>
        <v>4.8067087346396642E-2</v>
      </c>
      <c r="DL609" s="397">
        <f>SUM(DL607:DL608)</f>
        <v>1628.9136000000001</v>
      </c>
      <c r="DM609" s="397">
        <f>SUM(DM607:DM608)</f>
        <v>1586.55024</v>
      </c>
      <c r="DN609" s="397">
        <f t="shared" si="580"/>
        <v>3215.4638400000003</v>
      </c>
      <c r="DO609" s="393">
        <f t="shared" si="581"/>
        <v>1.8928691618104398E-2</v>
      </c>
      <c r="DP609" s="397">
        <f>SUM(DP607:DP608)</f>
        <v>1672.4495133</v>
      </c>
      <c r="DQ609" s="397">
        <f>SUM(DQ607:DQ608)</f>
        <v>1641.4789324860001</v>
      </c>
      <c r="DR609" s="397">
        <f t="shared" si="582"/>
        <v>3313.9284457860003</v>
      </c>
      <c r="DS609" s="393">
        <f t="shared" si="583"/>
        <v>3.062220901417434E-2</v>
      </c>
      <c r="DT609" s="1"/>
      <c r="DU609" s="1"/>
      <c r="DV609" s="1"/>
      <c r="DW609" s="1"/>
      <c r="DX609" s="1"/>
      <c r="DY609" s="1"/>
      <c r="DZ609" s="1"/>
      <c r="EA609" s="1"/>
      <c r="EB609" s="1"/>
      <c r="EC609" s="1"/>
      <c r="ED609" s="1"/>
      <c r="EE609" s="1"/>
      <c r="EF609" s="1"/>
      <c r="EG609" s="1"/>
      <c r="EH609" s="1"/>
      <c r="EI609" s="1"/>
      <c r="EJ609" s="1"/>
      <c r="EK609" s="1"/>
      <c r="EL609" s="1"/>
      <c r="EM609" s="1"/>
      <c r="EN609" s="1"/>
      <c r="EO609" s="1"/>
      <c r="EP609" s="1"/>
      <c r="EQ609" s="1"/>
      <c r="ER609" s="1"/>
      <c r="ES609" s="1"/>
      <c r="ET609" s="1"/>
      <c r="EU609" s="1"/>
      <c r="EV609" s="1"/>
      <c r="EW609" s="1"/>
      <c r="EX609" s="1"/>
      <c r="EY609" s="1"/>
      <c r="EZ609" s="1"/>
      <c r="FA609" s="1"/>
      <c r="FB609" s="1"/>
      <c r="FC609" s="1"/>
      <c r="FD609" s="1"/>
      <c r="FE609" s="1"/>
      <c r="FF609" s="1"/>
      <c r="FG609" s="1"/>
      <c r="FH609" s="1"/>
      <c r="FI609" s="1"/>
      <c r="FJ609" s="1"/>
      <c r="FK609" s="1"/>
      <c r="FL609" s="1"/>
      <c r="FM609" s="1"/>
      <c r="FN609" s="1"/>
      <c r="FO609" s="1"/>
      <c r="FP609" s="1"/>
      <c r="FQ609" s="1"/>
      <c r="FR609" s="1"/>
      <c r="FS609" s="1"/>
      <c r="FT609" s="1"/>
      <c r="FU609" s="1"/>
      <c r="FV609" s="1"/>
      <c r="FW609" s="1"/>
      <c r="FX609" s="1"/>
      <c r="FY609" s="1"/>
      <c r="FZ609" s="1"/>
      <c r="GA609" s="1"/>
      <c r="GB609" s="1"/>
      <c r="GC609" s="1"/>
      <c r="GD609" s="1"/>
      <c r="GE609" s="1"/>
      <c r="GF609" s="1"/>
      <c r="GG609" s="1"/>
      <c r="GH609" s="1"/>
      <c r="GI609" s="1"/>
      <c r="GJ609" s="1"/>
      <c r="GK609" s="1"/>
      <c r="GL609" s="1"/>
      <c r="GM609" s="1"/>
      <c r="GN609" s="1"/>
      <c r="GO609" s="1"/>
      <c r="GP609" s="1"/>
      <c r="GQ609" s="1"/>
      <c r="GR609" s="1"/>
      <c r="GS609" s="1"/>
      <c r="GT609" s="1"/>
      <c r="GU609" s="1"/>
      <c r="GV609" s="1"/>
      <c r="GW609" s="1"/>
      <c r="GX609" s="1"/>
      <c r="GY609" s="1"/>
      <c r="GZ609" s="1"/>
      <c r="HA609" s="1"/>
      <c r="HB609" s="1"/>
      <c r="HC609" s="1"/>
      <c r="HD609" s="1"/>
      <c r="HE609" s="1"/>
      <c r="HF609" s="1"/>
      <c r="HG609" s="1"/>
      <c r="HH609" s="1"/>
      <c r="HI609" s="1"/>
      <c r="HJ609" s="1"/>
      <c r="HK609" s="1"/>
      <c r="HL609" s="1"/>
      <c r="HM609" s="1"/>
      <c r="HN609" s="1"/>
      <c r="HO609" s="1"/>
      <c r="HP609" s="1"/>
      <c r="HQ609" s="1"/>
      <c r="HR609" s="1"/>
      <c r="HS609" s="1"/>
      <c r="HT609" s="1"/>
      <c r="HU609" s="1"/>
      <c r="HV609" s="1"/>
      <c r="HW609" s="1"/>
      <c r="HX609" s="1"/>
      <c r="HY609" s="1"/>
      <c r="HZ609" s="1"/>
      <c r="IA609" s="1"/>
      <c r="IB609" s="1"/>
      <c r="IC609" s="1"/>
      <c r="ID609" s="1"/>
      <c r="IE609" s="1"/>
      <c r="IF609" s="1"/>
      <c r="IG609" s="1"/>
      <c r="IH609" s="1"/>
      <c r="II609" s="1"/>
      <c r="IJ609" s="1"/>
      <c r="IK609" s="1"/>
      <c r="IL609" s="1"/>
      <c r="IM609" s="1"/>
      <c r="IN609" s="1"/>
      <c r="IO609" s="1"/>
      <c r="IP609" s="1"/>
      <c r="IQ609" s="1"/>
      <c r="IR609" s="1"/>
      <c r="IS609" s="1"/>
      <c r="IT609" s="1"/>
      <c r="IU609" s="1"/>
      <c r="IV609" s="1"/>
      <c r="IW609" s="1"/>
      <c r="IX609" s="1"/>
      <c r="IY609" s="1"/>
      <c r="IZ609" s="1"/>
      <c r="JA609" s="1"/>
      <c r="JB609" s="1"/>
      <c r="JC609" s="1"/>
      <c r="JD609" s="1"/>
    </row>
    <row r="610" spans="1:264" s="347" customFormat="1" x14ac:dyDescent="0.2">
      <c r="A610" s="347" t="s">
        <v>19</v>
      </c>
      <c r="B610" s="348"/>
      <c r="BH610" s="351">
        <f t="shared" si="584"/>
        <v>443</v>
      </c>
      <c r="BI610" s="351">
        <f t="shared" si="584"/>
        <v>420</v>
      </c>
      <c r="BJ610" s="351">
        <f t="shared" si="584"/>
        <v>863</v>
      </c>
      <c r="BK610" s="348"/>
      <c r="BL610" s="351">
        <f t="shared" si="585"/>
        <v>508</v>
      </c>
      <c r="BM610" s="351">
        <f t="shared" si="585"/>
        <v>414</v>
      </c>
      <c r="BN610" s="351">
        <f t="shared" si="585"/>
        <v>922</v>
      </c>
      <c r="BO610" s="348"/>
      <c r="BP610" s="351">
        <f t="shared" si="586"/>
        <v>529</v>
      </c>
      <c r="BQ610" s="351">
        <f t="shared" si="586"/>
        <v>510</v>
      </c>
      <c r="BR610" s="351">
        <f t="shared" si="586"/>
        <v>1039</v>
      </c>
      <c r="BT610" s="351">
        <f t="shared" si="587"/>
        <v>496</v>
      </c>
      <c r="BU610" s="351">
        <f t="shared" si="587"/>
        <v>591</v>
      </c>
      <c r="BV610" s="351">
        <f t="shared" si="587"/>
        <v>1087</v>
      </c>
      <c r="BW610" s="413"/>
      <c r="BX610" s="351">
        <f t="shared" si="588"/>
        <v>600</v>
      </c>
      <c r="BY610" s="351">
        <f t="shared" si="588"/>
        <v>549</v>
      </c>
      <c r="BZ610" s="351">
        <f t="shared" si="588"/>
        <v>1149</v>
      </c>
      <c r="CA610" s="413"/>
      <c r="CB610" s="351">
        <f t="shared" si="589"/>
        <v>556</v>
      </c>
      <c r="CC610" s="351">
        <f t="shared" si="589"/>
        <v>469</v>
      </c>
      <c r="CD610" s="351">
        <f t="shared" si="589"/>
        <v>1025</v>
      </c>
      <c r="CE610" s="393">
        <f t="shared" si="570"/>
        <v>-0.10791993037423842</v>
      </c>
      <c r="CF610" s="351">
        <f t="shared" si="590"/>
        <v>432</v>
      </c>
      <c r="CG610" s="351">
        <f t="shared" si="590"/>
        <v>421</v>
      </c>
      <c r="CH610" s="351">
        <f t="shared" si="590"/>
        <v>853</v>
      </c>
      <c r="CI610" s="393">
        <f t="shared" si="571"/>
        <v>-0.16780487804878053</v>
      </c>
      <c r="CJ610" s="351">
        <f t="shared" si="591"/>
        <v>508</v>
      </c>
      <c r="CK610" s="351">
        <f t="shared" si="591"/>
        <v>432</v>
      </c>
      <c r="CL610" s="351">
        <f t="shared" si="591"/>
        <v>940</v>
      </c>
      <c r="CM610" s="393">
        <f t="shared" si="572"/>
        <v>0.10199296600234464</v>
      </c>
      <c r="CN610" s="351">
        <f t="shared" si="592"/>
        <v>535</v>
      </c>
      <c r="CO610" s="351">
        <f t="shared" si="592"/>
        <v>317</v>
      </c>
      <c r="CP610" s="351">
        <f t="shared" si="592"/>
        <v>852</v>
      </c>
      <c r="CQ610" s="393">
        <f t="shared" si="573"/>
        <v>-9.3617021276595769E-2</v>
      </c>
      <c r="CR610" s="351">
        <f t="shared" si="593"/>
        <v>368</v>
      </c>
      <c r="CS610" s="351">
        <f t="shared" si="593"/>
        <v>438</v>
      </c>
      <c r="CT610" s="351">
        <f t="shared" si="593"/>
        <v>806</v>
      </c>
      <c r="CU610" s="393">
        <f t="shared" si="574"/>
        <v>-5.39906103286385E-2</v>
      </c>
      <c r="CV610" s="351">
        <f t="shared" si="594"/>
        <v>513</v>
      </c>
      <c r="CW610" s="351">
        <f t="shared" si="594"/>
        <v>582</v>
      </c>
      <c r="CX610" s="351">
        <f t="shared" si="594"/>
        <v>1095</v>
      </c>
      <c r="CY610" s="393">
        <f t="shared" si="575"/>
        <v>0.35856079404466512</v>
      </c>
      <c r="CZ610" s="351">
        <f t="shared" si="595"/>
        <v>639</v>
      </c>
      <c r="DA610" s="351">
        <f t="shared" si="595"/>
        <v>538</v>
      </c>
      <c r="DB610" s="351">
        <f t="shared" si="595"/>
        <v>1177</v>
      </c>
      <c r="DC610" s="393">
        <f t="shared" si="576"/>
        <v>7.488584474885851E-2</v>
      </c>
      <c r="DD610" s="351">
        <f>DD16</f>
        <v>519</v>
      </c>
      <c r="DE610" s="351">
        <f t="shared" ref="DE610:DF610" si="597">DE16</f>
        <v>680</v>
      </c>
      <c r="DF610" s="351">
        <f t="shared" si="597"/>
        <v>1199</v>
      </c>
      <c r="DG610" s="393">
        <f t="shared" si="577"/>
        <v>1.8691588785046731E-2</v>
      </c>
      <c r="DH610" s="351">
        <f>DH16</f>
        <v>603</v>
      </c>
      <c r="DI610" s="351">
        <f>DI640</f>
        <v>588.27199999999993</v>
      </c>
      <c r="DJ610" s="351">
        <f t="shared" si="578"/>
        <v>1191.2719999999999</v>
      </c>
      <c r="DK610" s="393">
        <f t="shared" si="579"/>
        <v>-6.4453711426188942E-3</v>
      </c>
      <c r="DL610" s="351">
        <f>DL640</f>
        <v>615.68000000000006</v>
      </c>
      <c r="DM610" s="351">
        <f>DM640</f>
        <v>603.97415999999998</v>
      </c>
      <c r="DN610" s="351">
        <f t="shared" si="580"/>
        <v>1219.65416</v>
      </c>
      <c r="DO610" s="393">
        <f t="shared" si="581"/>
        <v>2.3825087805303902E-2</v>
      </c>
      <c r="DP610" s="351">
        <f>DP640</f>
        <v>631.7636</v>
      </c>
      <c r="DQ610" s="351">
        <f>DQ640</f>
        <v>620.10846479999998</v>
      </c>
      <c r="DR610" s="351">
        <f t="shared" si="582"/>
        <v>1251.8720647999999</v>
      </c>
      <c r="DS610" s="393">
        <f t="shared" si="583"/>
        <v>2.6415606863506191E-2</v>
      </c>
      <c r="DT610" s="1"/>
      <c r="DU610" s="1"/>
      <c r="DV610" s="1"/>
      <c r="DW610" s="1"/>
      <c r="DX610" s="1"/>
      <c r="DY610" s="1"/>
      <c r="DZ610" s="1"/>
      <c r="EA610" s="1"/>
      <c r="EB610" s="1"/>
      <c r="EC610" s="1"/>
      <c r="ED610" s="1"/>
      <c r="EE610" s="1"/>
      <c r="EF610" s="1"/>
      <c r="EG610" s="1"/>
      <c r="EH610" s="1"/>
      <c r="EI610" s="1"/>
      <c r="EJ610" s="1"/>
      <c r="EK610" s="1"/>
      <c r="EL610" s="1"/>
      <c r="EM610" s="1"/>
      <c r="EN610" s="1"/>
      <c r="EO610" s="1"/>
      <c r="EP610" s="1"/>
      <c r="EQ610" s="1"/>
      <c r="ER610" s="1"/>
      <c r="ES610" s="1"/>
      <c r="ET610" s="1"/>
      <c r="EU610" s="1"/>
      <c r="EV610" s="1"/>
      <c r="EW610" s="1"/>
      <c r="EX610" s="1"/>
      <c r="EY610" s="1"/>
      <c r="EZ610" s="1"/>
      <c r="FA610" s="1"/>
      <c r="FB610" s="1"/>
      <c r="FC610" s="1"/>
      <c r="FD610" s="1"/>
      <c r="FE610" s="1"/>
      <c r="FF610" s="1"/>
      <c r="FG610" s="1"/>
      <c r="FH610" s="1"/>
      <c r="FI610" s="1"/>
      <c r="FJ610" s="1"/>
      <c r="FK610" s="1"/>
      <c r="FL610" s="1"/>
      <c r="FM610" s="1"/>
      <c r="FN610" s="1"/>
      <c r="FO610" s="1"/>
      <c r="FP610" s="1"/>
      <c r="FQ610" s="1"/>
      <c r="FR610" s="1"/>
      <c r="FS610" s="1"/>
      <c r="FT610" s="1"/>
      <c r="FU610" s="1"/>
      <c r="FV610" s="1"/>
      <c r="FW610" s="1"/>
      <c r="FX610" s="1"/>
      <c r="FY610" s="1"/>
      <c r="FZ610" s="1"/>
      <c r="GA610" s="1"/>
      <c r="GB610" s="1"/>
      <c r="GC610" s="1"/>
      <c r="GD610" s="1"/>
      <c r="GE610" s="1"/>
      <c r="GF610" s="1"/>
      <c r="GG610" s="1"/>
      <c r="GH610" s="1"/>
      <c r="GI610" s="1"/>
      <c r="GJ610" s="1"/>
      <c r="GK610" s="1"/>
      <c r="GL610" s="1"/>
      <c r="GM610" s="1"/>
      <c r="GN610" s="1"/>
      <c r="GO610" s="1"/>
      <c r="GP610" s="1"/>
      <c r="GQ610" s="1"/>
      <c r="GR610" s="1"/>
      <c r="GS610" s="1"/>
      <c r="GT610" s="1"/>
      <c r="GU610" s="1"/>
      <c r="GV610" s="1"/>
      <c r="GW610" s="1"/>
      <c r="GX610" s="1"/>
      <c r="GY610" s="1"/>
      <c r="GZ610" s="1"/>
      <c r="HA610" s="1"/>
      <c r="HB610" s="1"/>
      <c r="HC610" s="1"/>
      <c r="HD610" s="1"/>
      <c r="HE610" s="1"/>
      <c r="HF610" s="1"/>
      <c r="HG610" s="1"/>
      <c r="HH610" s="1"/>
      <c r="HI610" s="1"/>
      <c r="HJ610" s="1"/>
      <c r="HK610" s="1"/>
      <c r="HL610" s="1"/>
      <c r="HM610" s="1"/>
      <c r="HN610" s="1"/>
      <c r="HO610" s="1"/>
      <c r="HP610" s="1"/>
      <c r="HQ610" s="1"/>
      <c r="HR610" s="1"/>
      <c r="HS610" s="1"/>
      <c r="HT610" s="1"/>
      <c r="HU610" s="1"/>
      <c r="HV610" s="1"/>
      <c r="HW610" s="1"/>
      <c r="HX610" s="1"/>
      <c r="HY610" s="1"/>
      <c r="HZ610" s="1"/>
      <c r="IA610" s="1"/>
      <c r="IB610" s="1"/>
      <c r="IC610" s="1"/>
      <c r="ID610" s="1"/>
      <c r="IE610" s="1"/>
      <c r="IF610" s="1"/>
      <c r="IG610" s="1"/>
      <c r="IH610" s="1"/>
      <c r="II610" s="1"/>
      <c r="IJ610" s="1"/>
      <c r="IK610" s="1"/>
      <c r="IL610" s="1"/>
      <c r="IM610" s="1"/>
      <c r="IN610" s="1"/>
      <c r="IO610" s="1"/>
      <c r="IP610" s="1"/>
      <c r="IQ610" s="1"/>
      <c r="IR610" s="1"/>
      <c r="IS610" s="1"/>
      <c r="IT610" s="1"/>
      <c r="IU610" s="1"/>
      <c r="IV610" s="1"/>
      <c r="IW610" s="1"/>
      <c r="IX610" s="1"/>
      <c r="IY610" s="1"/>
      <c r="IZ610" s="1"/>
      <c r="JA610" s="1"/>
      <c r="JB610" s="1"/>
      <c r="JC610" s="1"/>
      <c r="JD610" s="1"/>
    </row>
    <row r="611" spans="1:264" s="347" customFormat="1" x14ac:dyDescent="0.2">
      <c r="A611" s="347" t="s">
        <v>490</v>
      </c>
      <c r="B611" s="348"/>
      <c r="BH611" s="351">
        <f t="shared" si="584"/>
        <v>160</v>
      </c>
      <c r="BI611" s="351">
        <f t="shared" si="584"/>
        <v>90</v>
      </c>
      <c r="BJ611" s="351">
        <f t="shared" si="584"/>
        <v>250</v>
      </c>
      <c r="BK611" s="348"/>
      <c r="BL611" s="351">
        <f t="shared" si="585"/>
        <v>108</v>
      </c>
      <c r="BM611" s="351">
        <f t="shared" si="585"/>
        <v>80</v>
      </c>
      <c r="BN611" s="351">
        <f t="shared" si="585"/>
        <v>188</v>
      </c>
      <c r="BO611" s="348"/>
      <c r="BP611" s="351">
        <f t="shared" si="586"/>
        <v>202</v>
      </c>
      <c r="BQ611" s="351">
        <f t="shared" si="586"/>
        <v>356</v>
      </c>
      <c r="BR611" s="351">
        <f t="shared" si="586"/>
        <v>558</v>
      </c>
      <c r="BT611" s="351">
        <f t="shared" si="587"/>
        <v>262</v>
      </c>
      <c r="BU611" s="351">
        <f t="shared" si="587"/>
        <v>286</v>
      </c>
      <c r="BV611" s="351">
        <f t="shared" si="587"/>
        <v>548</v>
      </c>
      <c r="BW611" s="598"/>
      <c r="BX611" s="351">
        <f t="shared" si="588"/>
        <v>599</v>
      </c>
      <c r="BY611" s="351">
        <f t="shared" si="588"/>
        <v>191</v>
      </c>
      <c r="BZ611" s="351">
        <f t="shared" si="588"/>
        <v>790</v>
      </c>
      <c r="CA611" s="413"/>
      <c r="CB611" s="351">
        <f t="shared" si="589"/>
        <v>289</v>
      </c>
      <c r="CC611" s="351">
        <f t="shared" si="589"/>
        <v>224</v>
      </c>
      <c r="CD611" s="351">
        <f t="shared" si="589"/>
        <v>513</v>
      </c>
      <c r="CE611" s="393">
        <f t="shared" si="570"/>
        <v>-0.35063291139240504</v>
      </c>
      <c r="CF611" s="351">
        <f t="shared" si="590"/>
        <v>275</v>
      </c>
      <c r="CG611" s="351">
        <f t="shared" si="590"/>
        <v>154</v>
      </c>
      <c r="CH611" s="351">
        <f t="shared" si="590"/>
        <v>429</v>
      </c>
      <c r="CI611" s="393">
        <f t="shared" si="571"/>
        <v>-0.16374269005847952</v>
      </c>
      <c r="CJ611" s="351">
        <f t="shared" si="591"/>
        <v>231</v>
      </c>
      <c r="CK611" s="351">
        <f t="shared" si="591"/>
        <v>123</v>
      </c>
      <c r="CL611" s="351">
        <f t="shared" si="591"/>
        <v>354</v>
      </c>
      <c r="CM611" s="393">
        <f t="shared" si="572"/>
        <v>-0.17482517482517479</v>
      </c>
      <c r="CN611" s="351">
        <f t="shared" si="592"/>
        <v>60</v>
      </c>
      <c r="CO611" s="351">
        <f t="shared" si="592"/>
        <v>403</v>
      </c>
      <c r="CP611" s="351">
        <f t="shared" si="592"/>
        <v>463</v>
      </c>
      <c r="CQ611" s="393">
        <f t="shared" si="573"/>
        <v>0.30790960451977401</v>
      </c>
      <c r="CR611" s="351">
        <f t="shared" si="593"/>
        <v>449</v>
      </c>
      <c r="CS611" s="351">
        <f t="shared" si="593"/>
        <v>939</v>
      </c>
      <c r="CT611" s="351">
        <f t="shared" si="593"/>
        <v>1388</v>
      </c>
      <c r="CU611" s="393">
        <f t="shared" si="574"/>
        <v>1.997840172786177</v>
      </c>
      <c r="CV611" s="351">
        <f t="shared" si="594"/>
        <v>75</v>
      </c>
      <c r="CW611" s="351">
        <f t="shared" si="594"/>
        <v>94</v>
      </c>
      <c r="CX611" s="351">
        <f t="shared" si="594"/>
        <v>169</v>
      </c>
      <c r="CY611" s="393">
        <f t="shared" si="575"/>
        <v>-0.87824207492795392</v>
      </c>
      <c r="CZ611" s="351">
        <f t="shared" si="595"/>
        <v>100</v>
      </c>
      <c r="DA611" s="351">
        <f t="shared" si="595"/>
        <v>25</v>
      </c>
      <c r="DB611" s="351">
        <f t="shared" si="595"/>
        <v>125</v>
      </c>
      <c r="DC611" s="393">
        <f t="shared" si="576"/>
        <v>-0.26035502958579881</v>
      </c>
      <c r="DD611" s="351">
        <f>DD17</f>
        <v>50</v>
      </c>
      <c r="DE611" s="351">
        <f t="shared" ref="DE611:DF611" si="598">DE17</f>
        <v>60</v>
      </c>
      <c r="DF611" s="351">
        <f t="shared" si="598"/>
        <v>110</v>
      </c>
      <c r="DG611" s="393">
        <f t="shared" si="577"/>
        <v>-0.12</v>
      </c>
      <c r="DH611" s="351">
        <f>DH17</f>
        <v>45</v>
      </c>
      <c r="DI611" s="351">
        <f>DI630</f>
        <v>47.840000000000011</v>
      </c>
      <c r="DJ611" s="351">
        <f t="shared" si="578"/>
        <v>92.84</v>
      </c>
      <c r="DK611" s="393">
        <f t="shared" si="579"/>
        <v>-0.15599999999999992</v>
      </c>
      <c r="DL611" s="351">
        <f>DL630</f>
        <v>48.796800000000005</v>
      </c>
      <c r="DM611" s="351">
        <f>DM630</f>
        <v>49.772736000000009</v>
      </c>
      <c r="DN611" s="351">
        <f t="shared" si="580"/>
        <v>98.569536000000014</v>
      </c>
      <c r="DO611" s="393">
        <f t="shared" si="581"/>
        <v>6.1714088754847074E-2</v>
      </c>
      <c r="DP611" s="351">
        <f>DP630</f>
        <v>50.768190720000007</v>
      </c>
      <c r="DQ611" s="351">
        <f>DQ630</f>
        <v>51.783554534400011</v>
      </c>
      <c r="DR611" s="351">
        <f t="shared" si="582"/>
        <v>102.55174525440002</v>
      </c>
      <c r="DS611" s="393">
        <f t="shared" si="583"/>
        <v>4.0399999999999991E-2</v>
      </c>
      <c r="DT611" s="1"/>
      <c r="DU611" s="1"/>
      <c r="DV611" s="1"/>
      <c r="DW611" s="1"/>
      <c r="DX611" s="1"/>
      <c r="DY611" s="1"/>
      <c r="DZ611" s="1"/>
      <c r="EA611" s="1"/>
      <c r="EB611" s="1"/>
      <c r="EC611" s="1"/>
      <c r="ED611" s="1"/>
      <c r="EE611" s="1"/>
      <c r="EF611" s="1"/>
      <c r="EG611" s="1"/>
      <c r="EH611" s="1"/>
      <c r="EI611" s="1"/>
      <c r="EJ611" s="1"/>
      <c r="EK611" s="1"/>
      <c r="EL611" s="1"/>
      <c r="EM611" s="1"/>
      <c r="EN611" s="1"/>
      <c r="EO611" s="1"/>
      <c r="EP611" s="1"/>
      <c r="EQ611" s="1"/>
      <c r="ER611" s="1"/>
      <c r="ES611" s="1"/>
      <c r="ET611" s="1"/>
      <c r="EU611" s="1"/>
      <c r="EV611" s="1"/>
      <c r="EW611" s="1"/>
      <c r="EX611" s="1"/>
      <c r="EY611" s="1"/>
      <c r="EZ611" s="1"/>
      <c r="FA611" s="1"/>
      <c r="FB611" s="1"/>
      <c r="FC611" s="1"/>
      <c r="FD611" s="1"/>
      <c r="FE611" s="1"/>
      <c r="FF611" s="1"/>
      <c r="FG611" s="1"/>
      <c r="FH611" s="1"/>
      <c r="FI611" s="1"/>
      <c r="FJ611" s="1"/>
      <c r="FK611" s="1"/>
      <c r="FL611" s="1"/>
      <c r="FM611" s="1"/>
      <c r="FN611" s="1"/>
      <c r="FO611" s="1"/>
      <c r="FP611" s="1"/>
      <c r="FQ611" s="1"/>
      <c r="FR611" s="1"/>
      <c r="FS611" s="1"/>
      <c r="FT611" s="1"/>
      <c r="FU611" s="1"/>
      <c r="FV611" s="1"/>
      <c r="FW611" s="1"/>
      <c r="FX611" s="1"/>
      <c r="FY611" s="1"/>
      <c r="FZ611" s="1"/>
      <c r="GA611" s="1"/>
      <c r="GB611" s="1"/>
      <c r="GC611" s="1"/>
      <c r="GD611" s="1"/>
      <c r="GE611" s="1"/>
      <c r="GF611" s="1"/>
      <c r="GG611" s="1"/>
      <c r="GH611" s="1"/>
      <c r="GI611" s="1"/>
      <c r="GJ611" s="1"/>
      <c r="GK611" s="1"/>
      <c r="GL611" s="1"/>
      <c r="GM611" s="1"/>
      <c r="GN611" s="1"/>
      <c r="GO611" s="1"/>
      <c r="GP611" s="1"/>
      <c r="GQ611" s="1"/>
      <c r="GR611" s="1"/>
      <c r="GS611" s="1"/>
      <c r="GT611" s="1"/>
      <c r="GU611" s="1"/>
      <c r="GV611" s="1"/>
      <c r="GW611" s="1"/>
      <c r="GX611" s="1"/>
      <c r="GY611" s="1"/>
      <c r="GZ611" s="1"/>
      <c r="HA611" s="1"/>
      <c r="HB611" s="1"/>
      <c r="HC611" s="1"/>
      <c r="HD611" s="1"/>
      <c r="HE611" s="1"/>
      <c r="HF611" s="1"/>
      <c r="HG611" s="1"/>
      <c r="HH611" s="1"/>
      <c r="HI611" s="1"/>
      <c r="HJ611" s="1"/>
      <c r="HK611" s="1"/>
      <c r="HL611" s="1"/>
      <c r="HM611" s="1"/>
      <c r="HN611" s="1"/>
      <c r="HO611" s="1"/>
      <c r="HP611" s="1"/>
      <c r="HQ611" s="1"/>
      <c r="HR611" s="1"/>
      <c r="HS611" s="1"/>
      <c r="HT611" s="1"/>
      <c r="HU611" s="1"/>
      <c r="HV611" s="1"/>
      <c r="HW611" s="1"/>
      <c r="HX611" s="1"/>
      <c r="HY611" s="1"/>
      <c r="HZ611" s="1"/>
      <c r="IA611" s="1"/>
      <c r="IB611" s="1"/>
      <c r="IC611" s="1"/>
      <c r="ID611" s="1"/>
      <c r="IE611" s="1"/>
      <c r="IF611" s="1"/>
      <c r="IG611" s="1"/>
      <c r="IH611" s="1"/>
      <c r="II611" s="1"/>
      <c r="IJ611" s="1"/>
      <c r="IK611" s="1"/>
      <c r="IL611" s="1"/>
      <c r="IM611" s="1"/>
      <c r="IN611" s="1"/>
      <c r="IO611" s="1"/>
      <c r="IP611" s="1"/>
      <c r="IQ611" s="1"/>
      <c r="IR611" s="1"/>
      <c r="IS611" s="1"/>
      <c r="IT611" s="1"/>
      <c r="IU611" s="1"/>
      <c r="IV611" s="1"/>
      <c r="IW611" s="1"/>
      <c r="IX611" s="1"/>
      <c r="IY611" s="1"/>
      <c r="IZ611" s="1"/>
      <c r="JA611" s="1"/>
      <c r="JB611" s="1"/>
      <c r="JC611" s="1"/>
      <c r="JD611" s="1"/>
    </row>
    <row r="612" spans="1:264" s="347" customFormat="1" x14ac:dyDescent="0.2">
      <c r="A612" s="407" t="s">
        <v>26</v>
      </c>
      <c r="B612" s="348"/>
      <c r="BH612" s="397">
        <f t="shared" si="584"/>
        <v>2105</v>
      </c>
      <c r="BI612" s="397">
        <f t="shared" si="584"/>
        <v>2051</v>
      </c>
      <c r="BJ612" s="397">
        <f t="shared" si="584"/>
        <v>4156</v>
      </c>
      <c r="BK612" s="348"/>
      <c r="BL612" s="397">
        <f t="shared" si="585"/>
        <v>2234</v>
      </c>
      <c r="BM612" s="397">
        <f t="shared" si="585"/>
        <v>2089</v>
      </c>
      <c r="BN612" s="397">
        <f t="shared" si="585"/>
        <v>4323</v>
      </c>
      <c r="BO612" s="348"/>
      <c r="BP612" s="397">
        <f t="shared" si="586"/>
        <v>2356</v>
      </c>
      <c r="BQ612" s="397">
        <f t="shared" si="586"/>
        <v>2455</v>
      </c>
      <c r="BR612" s="397">
        <f t="shared" si="586"/>
        <v>4811</v>
      </c>
      <c r="BT612" s="397">
        <f t="shared" si="587"/>
        <v>2416</v>
      </c>
      <c r="BU612" s="397">
        <f t="shared" si="587"/>
        <v>2444</v>
      </c>
      <c r="BV612" s="397">
        <f t="shared" si="587"/>
        <v>4860</v>
      </c>
      <c r="BW612" s="483">
        <f>BV612/BR612-1</f>
        <v>1.0184992725005282E-2</v>
      </c>
      <c r="BX612" s="397">
        <f t="shared" si="588"/>
        <v>3018</v>
      </c>
      <c r="BY612" s="397">
        <f t="shared" si="588"/>
        <v>2560</v>
      </c>
      <c r="BZ612" s="397">
        <f t="shared" si="588"/>
        <v>5578</v>
      </c>
      <c r="CA612" s="483">
        <f>BZ612/BV612-1</f>
        <v>0.14773662551440325</v>
      </c>
      <c r="CB612" s="397">
        <f t="shared" si="589"/>
        <v>2706</v>
      </c>
      <c r="CC612" s="397">
        <f t="shared" si="589"/>
        <v>2509</v>
      </c>
      <c r="CD612" s="397">
        <f t="shared" si="589"/>
        <v>5215</v>
      </c>
      <c r="CE612" s="393">
        <f t="shared" si="570"/>
        <v>-6.5077088562208729E-2</v>
      </c>
      <c r="CF612" s="397">
        <f t="shared" si="590"/>
        <v>2576</v>
      </c>
      <c r="CG612" s="397">
        <f t="shared" si="590"/>
        <v>2375</v>
      </c>
      <c r="CH612" s="397">
        <f t="shared" si="590"/>
        <v>4951</v>
      </c>
      <c r="CI612" s="393">
        <f t="shared" si="571"/>
        <v>-5.0623202301054659E-2</v>
      </c>
      <c r="CJ612" s="397">
        <f t="shared" si="591"/>
        <v>2543</v>
      </c>
      <c r="CK612" s="397">
        <f t="shared" si="591"/>
        <v>2294</v>
      </c>
      <c r="CL612" s="397">
        <f t="shared" si="591"/>
        <v>4837</v>
      </c>
      <c r="CM612" s="393">
        <f t="shared" si="572"/>
        <v>-2.3025651383558832E-2</v>
      </c>
      <c r="CN612" s="397">
        <f t="shared" si="592"/>
        <v>2190</v>
      </c>
      <c r="CO612" s="397">
        <f t="shared" si="592"/>
        <v>2354</v>
      </c>
      <c r="CP612" s="397">
        <f t="shared" si="592"/>
        <v>4544</v>
      </c>
      <c r="CQ612" s="393">
        <f t="shared" si="573"/>
        <v>-6.0574736406863727E-2</v>
      </c>
      <c r="CR612" s="397">
        <f t="shared" si="593"/>
        <v>2261</v>
      </c>
      <c r="CS612" s="397">
        <f t="shared" si="593"/>
        <v>2747</v>
      </c>
      <c r="CT612" s="397">
        <f t="shared" si="593"/>
        <v>5008</v>
      </c>
      <c r="CU612" s="393">
        <f t="shared" si="574"/>
        <v>0.102112676056338</v>
      </c>
      <c r="CV612" s="397">
        <f t="shared" si="594"/>
        <v>1958</v>
      </c>
      <c r="CW612" s="397">
        <f t="shared" si="594"/>
        <v>2039</v>
      </c>
      <c r="CX612" s="397">
        <f t="shared" si="594"/>
        <v>3997</v>
      </c>
      <c r="CY612" s="393">
        <f t="shared" si="575"/>
        <v>-0.20187699680511184</v>
      </c>
      <c r="CZ612" s="397">
        <f t="shared" si="595"/>
        <v>2190</v>
      </c>
      <c r="DA612" s="397">
        <f t="shared" si="595"/>
        <v>2049</v>
      </c>
      <c r="DB612" s="397">
        <f t="shared" si="595"/>
        <v>4239</v>
      </c>
      <c r="DC612" s="393">
        <f t="shared" si="576"/>
        <v>6.054540905679251E-2</v>
      </c>
      <c r="DD612" s="397">
        <f>DD18</f>
        <v>2103</v>
      </c>
      <c r="DE612" s="397">
        <f t="shared" ref="DE612:DF612" si="599">DE18</f>
        <v>2217</v>
      </c>
      <c r="DF612" s="397">
        <f t="shared" si="599"/>
        <v>4320</v>
      </c>
      <c r="DG612" s="393">
        <f t="shared" si="577"/>
        <v>1.9108280254777066E-2</v>
      </c>
      <c r="DH612" s="397">
        <f>DH18</f>
        <v>2259</v>
      </c>
      <c r="DI612" s="397">
        <f>SUM(DI609:DI611)</f>
        <v>2180.8420000000001</v>
      </c>
      <c r="DJ612" s="397">
        <f t="shared" si="578"/>
        <v>4439.8420000000006</v>
      </c>
      <c r="DK612" s="393">
        <f t="shared" si="579"/>
        <v>2.7741203703703921E-2</v>
      </c>
      <c r="DL612" s="397">
        <f>SUM(DL609:DL611)</f>
        <v>2293.3904000000002</v>
      </c>
      <c r="DM612" s="397">
        <f>SUM(DM609:DM611)</f>
        <v>2240.2971360000001</v>
      </c>
      <c r="DN612" s="397">
        <f t="shared" si="580"/>
        <v>4533.6875360000004</v>
      </c>
      <c r="DO612" s="393">
        <f t="shared" si="581"/>
        <v>2.1137134159278537E-2</v>
      </c>
      <c r="DP612" s="397">
        <f>SUM(DP609:DP611)</f>
        <v>2354.9813040200002</v>
      </c>
      <c r="DQ612" s="397">
        <f>SUM(DQ609:DQ611)</f>
        <v>2313.3709518204</v>
      </c>
      <c r="DR612" s="397">
        <f t="shared" si="582"/>
        <v>4668.3522558404002</v>
      </c>
      <c r="DS612" s="393">
        <f t="shared" si="583"/>
        <v>2.9703132112896435E-2</v>
      </c>
      <c r="DT612" s="1"/>
      <c r="DU612" s="1"/>
      <c r="DV612" s="1"/>
      <c r="DW612" s="1"/>
      <c r="DX612" s="1"/>
      <c r="DY612" s="1"/>
      <c r="DZ612" s="1"/>
      <c r="EA612" s="1"/>
      <c r="EB612" s="1"/>
      <c r="EC612" s="1"/>
      <c r="ED612" s="1"/>
      <c r="EE612" s="1"/>
      <c r="EF612" s="1"/>
      <c r="EG612" s="1"/>
      <c r="EH612" s="1"/>
      <c r="EI612" s="1"/>
      <c r="EJ612" s="1"/>
      <c r="EK612" s="1"/>
      <c r="EL612" s="1"/>
      <c r="EM612" s="1"/>
      <c r="EN612" s="1"/>
      <c r="EO612" s="1"/>
      <c r="EP612" s="1"/>
      <c r="EQ612" s="1"/>
      <c r="ER612" s="1"/>
      <c r="ES612" s="1"/>
      <c r="ET612" s="1"/>
      <c r="EU612" s="1"/>
      <c r="EV612" s="1"/>
      <c r="EW612" s="1"/>
      <c r="EX612" s="1"/>
      <c r="EY612" s="1"/>
      <c r="EZ612" s="1"/>
      <c r="FA612" s="1"/>
      <c r="FB612" s="1"/>
      <c r="FC612" s="1"/>
      <c r="FD612" s="1"/>
      <c r="FE612" s="1"/>
      <c r="FF612" s="1"/>
      <c r="FG612" s="1"/>
      <c r="FH612" s="1"/>
      <c r="FI612" s="1"/>
      <c r="FJ612" s="1"/>
      <c r="FK612" s="1"/>
      <c r="FL612" s="1"/>
      <c r="FM612" s="1"/>
      <c r="FN612" s="1"/>
      <c r="FO612" s="1"/>
      <c r="FP612" s="1"/>
      <c r="FQ612" s="1"/>
      <c r="FR612" s="1"/>
      <c r="FS612" s="1"/>
      <c r="FT612" s="1"/>
      <c r="FU612" s="1"/>
      <c r="FV612" s="1"/>
      <c r="FW612" s="1"/>
      <c r="FX612" s="1"/>
      <c r="FY612" s="1"/>
      <c r="FZ612" s="1"/>
      <c r="GA612" s="1"/>
      <c r="GB612" s="1"/>
      <c r="GC612" s="1"/>
      <c r="GD612" s="1"/>
      <c r="GE612" s="1"/>
      <c r="GF612" s="1"/>
      <c r="GG612" s="1"/>
      <c r="GH612" s="1"/>
      <c r="GI612" s="1"/>
      <c r="GJ612" s="1"/>
      <c r="GK612" s="1"/>
      <c r="GL612" s="1"/>
      <c r="GM612" s="1"/>
      <c r="GN612" s="1"/>
      <c r="GO612" s="1"/>
      <c r="GP612" s="1"/>
      <c r="GQ612" s="1"/>
      <c r="GR612" s="1"/>
      <c r="GS612" s="1"/>
      <c r="GT612" s="1"/>
      <c r="GU612" s="1"/>
      <c r="GV612" s="1"/>
      <c r="GW612" s="1"/>
      <c r="GX612" s="1"/>
      <c r="GY612" s="1"/>
      <c r="GZ612" s="1"/>
      <c r="HA612" s="1"/>
      <c r="HB612" s="1"/>
      <c r="HC612" s="1"/>
      <c r="HD612" s="1"/>
      <c r="HE612" s="1"/>
      <c r="HF612" s="1"/>
      <c r="HG612" s="1"/>
      <c r="HH612" s="1"/>
      <c r="HI612" s="1"/>
      <c r="HJ612" s="1"/>
      <c r="HK612" s="1"/>
      <c r="HL612" s="1"/>
      <c r="HM612" s="1"/>
      <c r="HN612" s="1"/>
      <c r="HO612" s="1"/>
      <c r="HP612" s="1"/>
      <c r="HQ612" s="1"/>
      <c r="HR612" s="1"/>
      <c r="HS612" s="1"/>
      <c r="HT612" s="1"/>
      <c r="HU612" s="1"/>
      <c r="HV612" s="1"/>
      <c r="HW612" s="1"/>
      <c r="HX612" s="1"/>
      <c r="HY612" s="1"/>
      <c r="HZ612" s="1"/>
      <c r="IA612" s="1"/>
      <c r="IB612" s="1"/>
      <c r="IC612" s="1"/>
      <c r="ID612" s="1"/>
      <c r="IE612" s="1"/>
      <c r="IF612" s="1"/>
      <c r="IG612" s="1"/>
      <c r="IH612" s="1"/>
      <c r="II612" s="1"/>
      <c r="IJ612" s="1"/>
      <c r="IK612" s="1"/>
      <c r="IL612" s="1"/>
      <c r="IM612" s="1"/>
      <c r="IN612" s="1"/>
      <c r="IO612" s="1"/>
      <c r="IP612" s="1"/>
      <c r="IQ612" s="1"/>
      <c r="IR612" s="1"/>
      <c r="IS612" s="1"/>
      <c r="IT612" s="1"/>
      <c r="IU612" s="1"/>
      <c r="IV612" s="1"/>
      <c r="IW612" s="1"/>
      <c r="IX612" s="1"/>
      <c r="IY612" s="1"/>
      <c r="IZ612" s="1"/>
      <c r="JA612" s="1"/>
      <c r="JB612" s="1"/>
      <c r="JC612" s="1"/>
      <c r="JD612" s="1"/>
    </row>
    <row r="613" spans="1:264" s="347" customFormat="1" x14ac:dyDescent="0.2">
      <c r="A613" s="424" t="s">
        <v>273</v>
      </c>
      <c r="B613" s="348"/>
      <c r="BH613" s="348"/>
      <c r="BI613" s="348"/>
      <c r="BJ613" s="348"/>
      <c r="BK613" s="348"/>
      <c r="BL613" s="348"/>
      <c r="BM613" s="348"/>
      <c r="BN613" s="348"/>
      <c r="BO613" s="348"/>
      <c r="BP613" s="348"/>
      <c r="BQ613" s="348"/>
      <c r="BR613" s="348"/>
      <c r="BT613" s="348"/>
      <c r="BU613" s="348"/>
      <c r="BV613" s="348"/>
      <c r="BX613" s="348"/>
      <c r="BY613" s="348">
        <v>590</v>
      </c>
      <c r="CB613" s="348"/>
      <c r="CC613" s="348">
        <v>590</v>
      </c>
      <c r="CF613" s="348"/>
      <c r="CG613" s="348"/>
      <c r="CJ613" s="348"/>
      <c r="CN613" s="348"/>
      <c r="CR613" s="348"/>
      <c r="CU613" s="599"/>
      <c r="CV613" s="348"/>
      <c r="CY613" s="1"/>
      <c r="CZ613" s="348"/>
      <c r="DC613" s="1"/>
      <c r="DD613" s="348"/>
      <c r="DG613" s="1"/>
      <c r="DH613" s="348"/>
      <c r="DI613" s="1"/>
      <c r="DJ613" s="1"/>
      <c r="DL613" s="1"/>
      <c r="DM613" s="1"/>
      <c r="DN613" s="1"/>
      <c r="DP613" s="1"/>
      <c r="DQ613" s="1"/>
      <c r="DR613" s="1"/>
      <c r="DT613" s="1"/>
      <c r="DU613" s="1"/>
      <c r="DV613" s="1"/>
      <c r="DW613" s="1"/>
      <c r="DX613" s="1"/>
      <c r="DY613" s="1"/>
      <c r="DZ613" s="1"/>
      <c r="EA613" s="1"/>
      <c r="EB613" s="1"/>
      <c r="EC613" s="1"/>
      <c r="ED613" s="1"/>
      <c r="EE613" s="1"/>
      <c r="EF613" s="1"/>
      <c r="EG613" s="1"/>
      <c r="EH613" s="1"/>
      <c r="EI613" s="1"/>
      <c r="EJ613" s="1"/>
      <c r="EK613" s="1"/>
      <c r="EL613" s="1"/>
      <c r="EM613" s="1"/>
      <c r="EN613" s="1"/>
      <c r="EO613" s="1"/>
      <c r="EP613" s="1"/>
      <c r="EQ613" s="1"/>
      <c r="ER613" s="1"/>
      <c r="ES613" s="1"/>
      <c r="ET613" s="1"/>
      <c r="EU613" s="1"/>
      <c r="EV613" s="1"/>
      <c r="EW613" s="1"/>
      <c r="EX613" s="1"/>
      <c r="EY613" s="1"/>
      <c r="EZ613" s="1"/>
      <c r="FA613" s="1"/>
      <c r="FB613" s="1"/>
      <c r="FC613" s="1"/>
      <c r="FD613" s="1"/>
      <c r="FE613" s="1"/>
      <c r="FF613" s="1"/>
      <c r="FG613" s="1"/>
      <c r="FH613" s="1"/>
      <c r="FI613" s="1"/>
      <c r="FJ613" s="1"/>
      <c r="FK613" s="1"/>
      <c r="FL613" s="1"/>
      <c r="FM613" s="1"/>
      <c r="FN613" s="1"/>
      <c r="FO613" s="1"/>
      <c r="FP613" s="1"/>
      <c r="FQ613" s="1"/>
      <c r="FR613" s="1"/>
      <c r="FS613" s="1"/>
      <c r="FT613" s="1"/>
      <c r="FU613" s="1"/>
      <c r="FV613" s="1"/>
      <c r="FW613" s="1"/>
      <c r="FX613" s="1"/>
      <c r="FY613" s="1"/>
      <c r="FZ613" s="1"/>
      <c r="GA613" s="1"/>
      <c r="GB613" s="1"/>
      <c r="GC613" s="1"/>
      <c r="GD613" s="1"/>
      <c r="GE613" s="1"/>
      <c r="GF613" s="1"/>
      <c r="GG613" s="1"/>
      <c r="GH613" s="1"/>
      <c r="GI613" s="1"/>
      <c r="GJ613" s="1"/>
      <c r="GK613" s="1"/>
      <c r="GL613" s="1"/>
      <c r="GM613" s="1"/>
      <c r="GN613" s="1"/>
      <c r="GO613" s="1"/>
      <c r="GP613" s="1"/>
      <c r="GQ613" s="1"/>
      <c r="GR613" s="1"/>
      <c r="GS613" s="1"/>
      <c r="GT613" s="1"/>
      <c r="GU613" s="1"/>
      <c r="GV613" s="1"/>
      <c r="GW613" s="1"/>
      <c r="GX613" s="1"/>
      <c r="GY613" s="1"/>
      <c r="GZ613" s="1"/>
      <c r="HA613" s="1"/>
      <c r="HB613" s="1"/>
      <c r="HC613" s="1"/>
      <c r="HD613" s="1"/>
      <c r="HE613" s="1"/>
      <c r="HF613" s="1"/>
      <c r="HG613" s="1"/>
      <c r="HH613" s="1"/>
      <c r="HI613" s="1"/>
      <c r="HJ613" s="1"/>
      <c r="HK613" s="1"/>
      <c r="HL613" s="1"/>
      <c r="HM613" s="1"/>
      <c r="HN613" s="1"/>
      <c r="HO613" s="1"/>
      <c r="HP613" s="1"/>
      <c r="HQ613" s="1"/>
      <c r="HR613" s="1"/>
      <c r="HS613" s="1"/>
      <c r="HT613" s="1"/>
      <c r="HU613" s="1"/>
      <c r="HV613" s="1"/>
      <c r="HW613" s="1"/>
      <c r="HX613" s="1"/>
      <c r="HY613" s="1"/>
      <c r="HZ613" s="1"/>
      <c r="IA613" s="1"/>
      <c r="IB613" s="1"/>
      <c r="IC613" s="1"/>
      <c r="ID613" s="1"/>
      <c r="IE613" s="1"/>
      <c r="IF613" s="1"/>
      <c r="IG613" s="1"/>
      <c r="IH613" s="1"/>
      <c r="II613" s="1"/>
      <c r="IJ613" s="1"/>
      <c r="IK613" s="1"/>
      <c r="IL613" s="1"/>
      <c r="IM613" s="1"/>
      <c r="IN613" s="1"/>
      <c r="IO613" s="1"/>
      <c r="IP613" s="1"/>
      <c r="IQ613" s="1"/>
      <c r="IR613" s="1"/>
      <c r="IS613" s="1"/>
      <c r="IT613" s="1"/>
      <c r="IU613" s="1"/>
      <c r="IV613" s="1"/>
      <c r="IW613" s="1"/>
      <c r="IX613" s="1"/>
      <c r="IY613" s="1"/>
      <c r="IZ613" s="1"/>
      <c r="JA613" s="1"/>
      <c r="JB613" s="1"/>
      <c r="JC613" s="1"/>
      <c r="JD613" s="1"/>
    </row>
    <row r="614" spans="1:264" s="347" customFormat="1" x14ac:dyDescent="0.2">
      <c r="A614" s="436" t="str">
        <f>+A607</f>
        <v>Commissions</v>
      </c>
      <c r="B614" s="466"/>
      <c r="C614" s="463"/>
      <c r="D614" s="463"/>
      <c r="E614" s="463"/>
      <c r="F614" s="463"/>
      <c r="G614" s="463"/>
      <c r="H614" s="463"/>
      <c r="I614" s="463"/>
      <c r="J614" s="463"/>
      <c r="K614" s="463"/>
      <c r="L614" s="463"/>
      <c r="M614" s="463"/>
      <c r="N614" s="463"/>
      <c r="O614" s="463"/>
      <c r="P614" s="463"/>
      <c r="Q614" s="463"/>
      <c r="R614" s="463"/>
      <c r="S614" s="463"/>
      <c r="T614" s="463"/>
      <c r="U614" s="463"/>
      <c r="V614" s="463"/>
      <c r="W614" s="463"/>
      <c r="X614" s="463"/>
      <c r="Y614" s="463"/>
      <c r="Z614" s="463"/>
      <c r="AA614" s="463"/>
      <c r="AB614" s="463"/>
      <c r="AC614" s="463"/>
      <c r="AD614" s="463"/>
      <c r="AE614" s="463"/>
      <c r="AF614" s="463"/>
      <c r="AG614" s="463"/>
      <c r="AH614" s="463"/>
      <c r="AI614" s="463"/>
      <c r="AJ614" s="463"/>
      <c r="AK614" s="463"/>
      <c r="AL614" s="463"/>
      <c r="AM614" s="463"/>
      <c r="AN614" s="463"/>
      <c r="AO614" s="463"/>
      <c r="AP614" s="463"/>
      <c r="AQ614" s="463"/>
      <c r="AR614" s="463"/>
      <c r="AS614" s="463"/>
      <c r="AT614" s="463"/>
      <c r="AU614" s="463"/>
      <c r="AV614" s="463"/>
      <c r="AW614" s="463"/>
      <c r="AX614" s="463"/>
      <c r="AY614" s="463"/>
      <c r="AZ614" s="463"/>
      <c r="BA614" s="463"/>
      <c r="BB614" s="463"/>
      <c r="BC614" s="463"/>
      <c r="BD614" s="463"/>
      <c r="BE614" s="463"/>
      <c r="BF614" s="463"/>
      <c r="BG614" s="463"/>
      <c r="BH614" s="466"/>
      <c r="BI614" s="465">
        <f t="shared" ref="BI614:BI619" si="600">+BI607/BH607-1</f>
        <v>4.0281973816715944E-3</v>
      </c>
      <c r="BJ614" s="466"/>
      <c r="BK614" s="466"/>
      <c r="BL614" s="465">
        <f t="shared" ref="BL614:BL619" si="601">+BL607/BI607-1</f>
        <v>8.425275827482448E-2</v>
      </c>
      <c r="BM614" s="465">
        <f t="shared" ref="BM614:BM619" si="602">+BM607/BL607-1</f>
        <v>-2.9602220166512483E-2</v>
      </c>
      <c r="BN614" s="466"/>
      <c r="BO614" s="466"/>
      <c r="BP614" s="465">
        <f t="shared" ref="BP614:BP619" si="603">+BP607/BM607-1</f>
        <v>7.4356530028598655E-2</v>
      </c>
      <c r="BQ614" s="465">
        <f t="shared" ref="BQ614:BQ619" si="604">+BQ607/BP607-1</f>
        <v>-2.4844720496894457E-2</v>
      </c>
      <c r="BR614" s="466"/>
      <c r="BS614" s="463"/>
      <c r="BT614" s="465">
        <f t="shared" ref="BT614:BT619" si="605">+BT607/BQ607-1</f>
        <v>4.7315741583257465E-2</v>
      </c>
      <c r="BU614" s="465">
        <f t="shared" ref="BU614:BU619" si="606">+BU607/BT607-1</f>
        <v>-7.5586446568201571E-2</v>
      </c>
      <c r="BV614" s="466"/>
      <c r="BW614" s="463"/>
      <c r="BX614" s="465">
        <f t="shared" ref="BX614:BX619" si="607">+BX607/BU607-1</f>
        <v>0.20864661654135341</v>
      </c>
      <c r="BY614" s="465">
        <f t="shared" ref="BY614:BY619" si="608">+BY607/BX607-1</f>
        <v>-8.5536547433903154E-3</v>
      </c>
      <c r="BZ614" s="466"/>
      <c r="CA614" s="463"/>
      <c r="CB614" s="465">
        <f t="shared" ref="CB614:CB619" si="609">+CB607/BY607-1</f>
        <v>2.1960784313725501E-2</v>
      </c>
      <c r="CC614" s="465">
        <f t="shared" ref="CC614:CC619" si="610">+CC607/CB607-1</f>
        <v>-2.9163468917881796E-2</v>
      </c>
      <c r="CD614" s="466"/>
      <c r="CE614" s="463"/>
      <c r="CF614" s="465">
        <f t="shared" ref="CF614:CF619" si="611">+CF607/CC607-1</f>
        <v>7.6679841897233203E-2</v>
      </c>
      <c r="CG614" s="465">
        <f t="shared" ref="CG614:CG619" si="612">+CG607/CF607-1</f>
        <v>-3.4508076358296669E-2</v>
      </c>
      <c r="CH614" s="466"/>
      <c r="CI614" s="463"/>
      <c r="CJ614" s="465">
        <f t="shared" ref="CJ614:CJ619" si="613">+CJ607/CG607-1</f>
        <v>4.5627376425856347E-3</v>
      </c>
      <c r="CK614" s="465">
        <f t="shared" ref="CK614:CK619" si="614">+CK607/CJ607-1</f>
        <v>-6.4345193035579062E-2</v>
      </c>
      <c r="CL614" s="466"/>
      <c r="CM614" s="463"/>
      <c r="CN614" s="465">
        <f t="shared" ref="CN614:CN619" si="615">+CN607/CK607-1</f>
        <v>5.0970873786407855E-2</v>
      </c>
      <c r="CO614" s="465">
        <f t="shared" ref="CO614:CO619" si="616">+CO607/CN607-1</f>
        <v>-2.6173979984603579E-2</v>
      </c>
      <c r="CP614" s="466"/>
      <c r="CQ614" s="463"/>
      <c r="CR614" s="465">
        <f t="shared" ref="CR614:CR619" si="617">+CR607/CO607-1</f>
        <v>-0.15652173913043477</v>
      </c>
      <c r="CS614" s="465">
        <f t="shared" ref="CS614:CS619" si="618">+CS607/CR607-1</f>
        <v>-5.2483598875351478E-2</v>
      </c>
      <c r="CT614" s="466"/>
      <c r="CU614" s="463"/>
      <c r="CV614" s="465">
        <f t="shared" ref="CV614:CV619" si="619">+CV607/CS607-1</f>
        <v>1.9782393669633969E-3</v>
      </c>
      <c r="CW614" s="465">
        <f t="shared" ref="CW614:CW619" si="620">+CW607/CV607-1</f>
        <v>-4.5409674234945685E-2</v>
      </c>
      <c r="CX614" s="466"/>
      <c r="CY614" s="463"/>
      <c r="CZ614" s="465">
        <f t="shared" ref="CZ614:CZ619" si="621">+CZ607/CW607-1</f>
        <v>8.2730093071354815E-2</v>
      </c>
      <c r="DA614" s="465">
        <f t="shared" ref="DA614:DA619" si="622">+DA607/CZ607-1</f>
        <v>2.1012416427889313E-2</v>
      </c>
      <c r="DB614" s="466"/>
      <c r="DC614" s="463"/>
      <c r="DD614" s="465">
        <f t="shared" ref="DD614:DD619" si="623">+DD607/DA607-1</f>
        <v>1.4967259120673537E-2</v>
      </c>
      <c r="DE614" s="465">
        <f t="shared" ref="DE614:DE619" si="624">+DE607/DD607-1</f>
        <v>-6.5437788018433141E-2</v>
      </c>
      <c r="DF614" s="466"/>
      <c r="DG614" s="463"/>
      <c r="DH614" s="465">
        <f t="shared" ref="DH614:DH619" si="625">+DH607/DE607-1</f>
        <v>0.13017751479289941</v>
      </c>
      <c r="DI614" s="482">
        <v>-7.0000000000000007E-2</v>
      </c>
      <c r="DJ614" s="463"/>
      <c r="DK614" s="463"/>
      <c r="DL614" s="482">
        <v>7.0000000000000007E-2</v>
      </c>
      <c r="DM614" s="482">
        <v>-0.05</v>
      </c>
      <c r="DN614" s="463"/>
      <c r="DO614" s="463"/>
      <c r="DP614" s="482">
        <v>7.0000000000000007E-2</v>
      </c>
      <c r="DQ614" s="482">
        <v>-0.04</v>
      </c>
      <c r="DR614" s="463"/>
      <c r="DS614" s="463"/>
      <c r="DT614" s="1"/>
      <c r="DU614" s="1"/>
      <c r="DV614" s="1"/>
      <c r="DW614" s="1"/>
      <c r="DX614" s="1"/>
      <c r="DY614" s="1"/>
      <c r="DZ614" s="1"/>
      <c r="EA614" s="1"/>
      <c r="EB614" s="1"/>
      <c r="EC614" s="1"/>
      <c r="ED614" s="1"/>
      <c r="EE614" s="1"/>
      <c r="EF614" s="1"/>
      <c r="EG614" s="1"/>
      <c r="EH614" s="1"/>
      <c r="EI614" s="1"/>
      <c r="EJ614" s="1"/>
      <c r="EK614" s="1"/>
      <c r="EL614" s="1"/>
      <c r="EM614" s="1"/>
      <c r="EN614" s="1"/>
      <c r="EO614" s="1"/>
      <c r="EP614" s="1"/>
      <c r="EQ614" s="1"/>
      <c r="ER614" s="1"/>
      <c r="ES614" s="1"/>
      <c r="ET614" s="1"/>
      <c r="EU614" s="1"/>
      <c r="EV614" s="1"/>
      <c r="EW614" s="1"/>
      <c r="EX614" s="1"/>
      <c r="EY614" s="1"/>
      <c r="EZ614" s="1"/>
      <c r="FA614" s="1"/>
      <c r="FB614" s="1"/>
      <c r="FC614" s="1"/>
      <c r="FD614" s="1"/>
      <c r="FE614" s="1"/>
      <c r="FF614" s="1"/>
      <c r="FG614" s="1"/>
      <c r="FH614" s="1"/>
      <c r="FI614" s="1"/>
      <c r="FJ614" s="1"/>
      <c r="FK614" s="1"/>
      <c r="FL614" s="1"/>
      <c r="FM614" s="1"/>
      <c r="FN614" s="1"/>
      <c r="FO614" s="1"/>
      <c r="FP614" s="1"/>
      <c r="FQ614" s="1"/>
      <c r="FR614" s="1"/>
      <c r="FS614" s="1"/>
      <c r="FT614" s="1"/>
      <c r="FU614" s="1"/>
      <c r="FV614" s="1"/>
      <c r="FW614" s="1"/>
      <c r="FX614" s="1"/>
      <c r="FY614" s="1"/>
      <c r="FZ614" s="1"/>
      <c r="GA614" s="1"/>
      <c r="GB614" s="1"/>
      <c r="GC614" s="1"/>
      <c r="GD614" s="1"/>
      <c r="GE614" s="1"/>
      <c r="GF614" s="1"/>
      <c r="GG614" s="1"/>
      <c r="GH614" s="1"/>
      <c r="GI614" s="1"/>
      <c r="GJ614" s="1"/>
      <c r="GK614" s="1"/>
      <c r="GL614" s="1"/>
      <c r="GM614" s="1"/>
      <c r="GN614" s="1"/>
      <c r="GO614" s="1"/>
      <c r="GP614" s="1"/>
      <c r="GQ614" s="1"/>
      <c r="GR614" s="1"/>
      <c r="GS614" s="1"/>
      <c r="GT614" s="1"/>
      <c r="GU614" s="1"/>
      <c r="GV614" s="1"/>
      <c r="GW614" s="1"/>
      <c r="GX614" s="1"/>
      <c r="GY614" s="1"/>
      <c r="GZ614" s="1"/>
      <c r="HA614" s="1"/>
      <c r="HB614" s="1"/>
      <c r="HC614" s="1"/>
      <c r="HD614" s="1"/>
      <c r="HE614" s="1"/>
      <c r="HF614" s="1"/>
      <c r="HG614" s="1"/>
      <c r="HH614" s="1"/>
      <c r="HI614" s="1"/>
      <c r="HJ614" s="1"/>
      <c r="HK614" s="1"/>
      <c r="HL614" s="1"/>
      <c r="HM614" s="1"/>
      <c r="HN614" s="1"/>
      <c r="HO614" s="1"/>
      <c r="HP614" s="1"/>
      <c r="HQ614" s="1"/>
      <c r="HR614" s="1"/>
      <c r="HS614" s="1"/>
      <c r="HT614" s="1"/>
      <c r="HU614" s="1"/>
      <c r="HV614" s="1"/>
      <c r="HW614" s="1"/>
      <c r="HX614" s="1"/>
      <c r="HY614" s="1"/>
      <c r="HZ614" s="1"/>
      <c r="IA614" s="1"/>
      <c r="IB614" s="1"/>
      <c r="IC614" s="1"/>
      <c r="ID614" s="1"/>
      <c r="IE614" s="1"/>
      <c r="IF614" s="1"/>
      <c r="IG614" s="1"/>
      <c r="IH614" s="1"/>
      <c r="II614" s="1"/>
      <c r="IJ614" s="1"/>
      <c r="IK614" s="1"/>
      <c r="IL614" s="1"/>
      <c r="IM614" s="1"/>
      <c r="IN614" s="1"/>
      <c r="IO614" s="1"/>
      <c r="IP614" s="1"/>
      <c r="IQ614" s="1"/>
      <c r="IR614" s="1"/>
      <c r="IS614" s="1"/>
      <c r="IT614" s="1"/>
      <c r="IU614" s="1"/>
      <c r="IV614" s="1"/>
      <c r="IW614" s="1"/>
      <c r="IX614" s="1"/>
      <c r="IY614" s="1"/>
      <c r="IZ614" s="1"/>
      <c r="JA614" s="1"/>
      <c r="JB614" s="1"/>
      <c r="JC614" s="1"/>
      <c r="JD614" s="1"/>
    </row>
    <row r="615" spans="1:264" s="347" customFormat="1" x14ac:dyDescent="0.2">
      <c r="A615" s="436" t="str">
        <f>+A608</f>
        <v>Lending Fees</v>
      </c>
      <c r="B615" s="466"/>
      <c r="C615" s="463"/>
      <c r="D615" s="463"/>
      <c r="E615" s="463"/>
      <c r="F615" s="463"/>
      <c r="G615" s="463"/>
      <c r="H615" s="463"/>
      <c r="I615" s="463"/>
      <c r="J615" s="463"/>
      <c r="K615" s="463"/>
      <c r="L615" s="463"/>
      <c r="M615" s="463"/>
      <c r="N615" s="463"/>
      <c r="O615" s="463"/>
      <c r="P615" s="463"/>
      <c r="Q615" s="463"/>
      <c r="R615" s="463"/>
      <c r="S615" s="463"/>
      <c r="T615" s="463"/>
      <c r="U615" s="463"/>
      <c r="V615" s="463"/>
      <c r="W615" s="463"/>
      <c r="X615" s="463"/>
      <c r="Y615" s="463"/>
      <c r="Z615" s="463"/>
      <c r="AA615" s="463"/>
      <c r="AB615" s="463"/>
      <c r="AC615" s="463"/>
      <c r="AD615" s="463"/>
      <c r="AE615" s="463"/>
      <c r="AF615" s="463"/>
      <c r="AG615" s="463"/>
      <c r="AH615" s="463"/>
      <c r="AI615" s="463"/>
      <c r="AJ615" s="463"/>
      <c r="AK615" s="463"/>
      <c r="AL615" s="463"/>
      <c r="AM615" s="463"/>
      <c r="AN615" s="463"/>
      <c r="AO615" s="463"/>
      <c r="AP615" s="463"/>
      <c r="AQ615" s="463"/>
      <c r="AR615" s="463"/>
      <c r="AS615" s="463"/>
      <c r="AT615" s="463"/>
      <c r="AU615" s="463"/>
      <c r="AV615" s="463"/>
      <c r="AW615" s="463"/>
      <c r="AX615" s="463"/>
      <c r="AY615" s="463"/>
      <c r="AZ615" s="463"/>
      <c r="BA615" s="463"/>
      <c r="BB615" s="463"/>
      <c r="BC615" s="463"/>
      <c r="BD615" s="463"/>
      <c r="BE615" s="463"/>
      <c r="BF615" s="463"/>
      <c r="BG615" s="463"/>
      <c r="BH615" s="466"/>
      <c r="BI615" s="465">
        <f t="shared" si="600"/>
        <v>6.8762278978389046E-2</v>
      </c>
      <c r="BJ615" s="466"/>
      <c r="BK615" s="466"/>
      <c r="BL615" s="465">
        <f t="shared" si="601"/>
        <v>-1.2867647058823484E-2</v>
      </c>
      <c r="BM615" s="465">
        <f t="shared" si="602"/>
        <v>1.6759776536312776E-2</v>
      </c>
      <c r="BN615" s="466"/>
      <c r="BO615" s="466"/>
      <c r="BP615" s="465">
        <f t="shared" si="603"/>
        <v>-8.7912087912087933E-2</v>
      </c>
      <c r="BQ615" s="465">
        <f t="shared" si="604"/>
        <v>-1.6064257028112428E-2</v>
      </c>
      <c r="BR615" s="466"/>
      <c r="BS615" s="463"/>
      <c r="BT615" s="465">
        <f t="shared" si="605"/>
        <v>3.469387755102038E-2</v>
      </c>
      <c r="BU615" s="465">
        <f t="shared" si="606"/>
        <v>-7.8895463510848529E-3</v>
      </c>
      <c r="BV615" s="466"/>
      <c r="BW615" s="463"/>
      <c r="BX615" s="465">
        <f t="shared" si="607"/>
        <v>5.9642147117296318E-2</v>
      </c>
      <c r="BY615" s="465">
        <f t="shared" si="608"/>
        <v>2.2514071294559068E-2</v>
      </c>
      <c r="BZ615" s="466"/>
      <c r="CA615" s="463"/>
      <c r="CB615" s="465">
        <f t="shared" si="609"/>
        <v>2.3853211009174258E-2</v>
      </c>
      <c r="CC615" s="465">
        <f t="shared" si="610"/>
        <v>-1.2544802867383464E-2</v>
      </c>
      <c r="CD615" s="466"/>
      <c r="CE615" s="463"/>
      <c r="CF615" s="465">
        <f t="shared" si="611"/>
        <v>-7.9854809437386542E-2</v>
      </c>
      <c r="CG615" s="465">
        <f t="shared" si="612"/>
        <v>-4.3392504930966469E-2</v>
      </c>
      <c r="CH615" s="466"/>
      <c r="CI615" s="463"/>
      <c r="CJ615" s="465">
        <f t="shared" si="613"/>
        <v>-4.1237113402061709E-3</v>
      </c>
      <c r="CK615" s="465">
        <f t="shared" si="614"/>
        <v>4.1407867494823947E-2</v>
      </c>
      <c r="CL615" s="466"/>
      <c r="CM615" s="463"/>
      <c r="CN615" s="465">
        <f t="shared" si="615"/>
        <v>-0.41153081510934397</v>
      </c>
      <c r="CO615" s="465">
        <f t="shared" si="616"/>
        <v>0.24662162162162171</v>
      </c>
      <c r="CP615" s="466"/>
      <c r="CQ615" s="463"/>
      <c r="CR615" s="465">
        <f t="shared" si="617"/>
        <v>2.1680216802167918E-2</v>
      </c>
      <c r="CS615" s="465">
        <f t="shared" si="618"/>
        <v>-4.7745358090185652E-2</v>
      </c>
      <c r="CT615" s="466"/>
      <c r="CU615" s="463"/>
      <c r="CV615" s="465">
        <f t="shared" si="619"/>
        <v>-5.5710306406685506E-3</v>
      </c>
      <c r="CW615" s="465">
        <f t="shared" si="620"/>
        <v>0.10924369747899165</v>
      </c>
      <c r="CX615" s="466"/>
      <c r="CY615" s="463"/>
      <c r="CZ615" s="465">
        <f t="shared" si="621"/>
        <v>2.020202020202011E-2</v>
      </c>
      <c r="DA615" s="465">
        <f t="shared" si="622"/>
        <v>3.2178217821782207E-2</v>
      </c>
      <c r="DB615" s="466"/>
      <c r="DC615" s="463"/>
      <c r="DD615" s="465">
        <f t="shared" si="623"/>
        <v>7.6738609112709799E-2</v>
      </c>
      <c r="DE615" s="465">
        <f t="shared" si="624"/>
        <v>3.1180400890868487E-2</v>
      </c>
      <c r="DF615" s="466"/>
      <c r="DG615" s="463"/>
      <c r="DH615" s="465">
        <f t="shared" si="625"/>
        <v>4.3196544276458138E-3</v>
      </c>
      <c r="DI615" s="482">
        <v>0.03</v>
      </c>
      <c r="DJ615" s="463"/>
      <c r="DK615" s="463"/>
      <c r="DL615" s="482">
        <v>0.02</v>
      </c>
      <c r="DM615" s="482">
        <v>0.03</v>
      </c>
      <c r="DN615" s="463"/>
      <c r="DO615" s="463"/>
      <c r="DP615" s="482">
        <v>0.02</v>
      </c>
      <c r="DQ615" s="482">
        <v>0.03</v>
      </c>
      <c r="DR615" s="463"/>
      <c r="DS615" s="463"/>
      <c r="DT615" s="1"/>
      <c r="DU615" s="1"/>
      <c r="DV615" s="1"/>
      <c r="DW615" s="1"/>
      <c r="DX615" s="1"/>
      <c r="DY615" s="1"/>
      <c r="DZ615" s="1"/>
      <c r="EA615" s="1"/>
      <c r="EB615" s="1"/>
      <c r="EC615" s="1"/>
      <c r="ED615" s="1"/>
      <c r="EE615" s="1"/>
      <c r="EF615" s="1"/>
      <c r="EG615" s="1"/>
      <c r="EH615" s="1"/>
      <c r="EI615" s="1"/>
      <c r="EJ615" s="1"/>
      <c r="EK615" s="1"/>
      <c r="EL615" s="1"/>
      <c r="EM615" s="1"/>
      <c r="EN615" s="1"/>
      <c r="EO615" s="1"/>
      <c r="EP615" s="1"/>
      <c r="EQ615" s="1"/>
      <c r="ER615" s="1"/>
      <c r="ES615" s="1"/>
      <c r="ET615" s="1"/>
      <c r="EU615" s="1"/>
      <c r="EV615" s="1"/>
      <c r="EW615" s="1"/>
      <c r="EX615" s="1"/>
      <c r="EY615" s="1"/>
      <c r="EZ615" s="1"/>
      <c r="FA615" s="1"/>
      <c r="FB615" s="1"/>
      <c r="FC615" s="1"/>
      <c r="FD615" s="1"/>
      <c r="FE615" s="1"/>
      <c r="FF615" s="1"/>
      <c r="FG615" s="1"/>
      <c r="FH615" s="1"/>
      <c r="FI615" s="1"/>
      <c r="FJ615" s="1"/>
      <c r="FK615" s="1"/>
      <c r="FL615" s="1"/>
      <c r="FM615" s="1"/>
      <c r="FN615" s="1"/>
      <c r="FO615" s="1"/>
      <c r="FP615" s="1"/>
      <c r="FQ615" s="1"/>
      <c r="FR615" s="1"/>
      <c r="FS615" s="1"/>
      <c r="FT615" s="1"/>
      <c r="FU615" s="1"/>
      <c r="FV615" s="1"/>
      <c r="FW615" s="1"/>
      <c r="FX615" s="1"/>
      <c r="FY615" s="1"/>
      <c r="FZ615" s="1"/>
      <c r="GA615" s="1"/>
      <c r="GB615" s="1"/>
      <c r="GC615" s="1"/>
      <c r="GD615" s="1"/>
      <c r="GE615" s="1"/>
      <c r="GF615" s="1"/>
      <c r="GG615" s="1"/>
      <c r="GH615" s="1"/>
      <c r="GI615" s="1"/>
      <c r="GJ615" s="1"/>
      <c r="GK615" s="1"/>
      <c r="GL615" s="1"/>
      <c r="GM615" s="1"/>
      <c r="GN615" s="1"/>
      <c r="GO615" s="1"/>
      <c r="GP615" s="1"/>
      <c r="GQ615" s="1"/>
      <c r="GR615" s="1"/>
      <c r="GS615" s="1"/>
      <c r="GT615" s="1"/>
      <c r="GU615" s="1"/>
      <c r="GV615" s="1"/>
      <c r="GW615" s="1"/>
      <c r="GX615" s="1"/>
      <c r="GY615" s="1"/>
      <c r="GZ615" s="1"/>
      <c r="HA615" s="1"/>
      <c r="HB615" s="1"/>
      <c r="HC615" s="1"/>
      <c r="HD615" s="1"/>
      <c r="HE615" s="1"/>
      <c r="HF615" s="1"/>
      <c r="HG615" s="1"/>
      <c r="HH615" s="1"/>
      <c r="HI615" s="1"/>
      <c r="HJ615" s="1"/>
      <c r="HK615" s="1"/>
      <c r="HL615" s="1"/>
      <c r="HM615" s="1"/>
      <c r="HN615" s="1"/>
      <c r="HO615" s="1"/>
      <c r="HP615" s="1"/>
      <c r="HQ615" s="1"/>
      <c r="HR615" s="1"/>
      <c r="HS615" s="1"/>
      <c r="HT615" s="1"/>
      <c r="HU615" s="1"/>
      <c r="HV615" s="1"/>
      <c r="HW615" s="1"/>
      <c r="HX615" s="1"/>
      <c r="HY615" s="1"/>
      <c r="HZ615" s="1"/>
      <c r="IA615" s="1"/>
      <c r="IB615" s="1"/>
      <c r="IC615" s="1"/>
      <c r="ID615" s="1"/>
      <c r="IE615" s="1"/>
      <c r="IF615" s="1"/>
      <c r="IG615" s="1"/>
      <c r="IH615" s="1"/>
      <c r="II615" s="1"/>
      <c r="IJ615" s="1"/>
      <c r="IK615" s="1"/>
      <c r="IL615" s="1"/>
      <c r="IM615" s="1"/>
      <c r="IN615" s="1"/>
      <c r="IO615" s="1"/>
      <c r="IP615" s="1"/>
      <c r="IQ615" s="1"/>
      <c r="IR615" s="1"/>
      <c r="IS615" s="1"/>
      <c r="IT615" s="1"/>
      <c r="IU615" s="1"/>
      <c r="IV615" s="1"/>
      <c r="IW615" s="1"/>
      <c r="IX615" s="1"/>
      <c r="IY615" s="1"/>
      <c r="IZ615" s="1"/>
      <c r="JA615" s="1"/>
      <c r="JB615" s="1"/>
      <c r="JC615" s="1"/>
      <c r="JD615" s="1"/>
    </row>
    <row r="616" spans="1:264" s="347" customFormat="1" x14ac:dyDescent="0.2">
      <c r="A616" s="424" t="str">
        <f>A609</f>
        <v>Fees and Commission</v>
      </c>
      <c r="B616" s="348"/>
      <c r="BH616" s="348"/>
      <c r="BI616" s="481">
        <f t="shared" si="600"/>
        <v>2.5965379494008012E-2</v>
      </c>
      <c r="BJ616" s="348"/>
      <c r="BK616" s="348"/>
      <c r="BL616" s="481">
        <f t="shared" si="601"/>
        <v>4.99675535366646E-2</v>
      </c>
      <c r="BM616" s="481">
        <f t="shared" si="602"/>
        <v>-1.4215080346106301E-2</v>
      </c>
      <c r="BN616" s="348"/>
      <c r="BO616" s="348"/>
      <c r="BP616" s="481">
        <f t="shared" si="603"/>
        <v>1.8808777429467183E-2</v>
      </c>
      <c r="BQ616" s="481">
        <f t="shared" si="604"/>
        <v>-2.2153846153846191E-2</v>
      </c>
      <c r="BR616" s="348"/>
      <c r="BT616" s="481">
        <f t="shared" si="605"/>
        <v>4.3423536815607289E-2</v>
      </c>
      <c r="BU616" s="481">
        <f t="shared" si="606"/>
        <v>-5.4885404101326918E-2</v>
      </c>
      <c r="BV616" s="348"/>
      <c r="BX616" s="481">
        <f t="shared" si="607"/>
        <v>0.16081684747925973</v>
      </c>
      <c r="BY616" s="481">
        <f t="shared" si="608"/>
        <v>5.4975261132494957E-4</v>
      </c>
      <c r="BZ616" s="348"/>
      <c r="CB616" s="481">
        <f t="shared" si="609"/>
        <v>2.2527472527472447E-2</v>
      </c>
      <c r="CC616" s="481">
        <f t="shared" si="610"/>
        <v>-2.4180548092423426E-2</v>
      </c>
      <c r="CD616" s="348"/>
      <c r="CF616" s="481">
        <f t="shared" si="611"/>
        <v>2.9185022026431806E-2</v>
      </c>
      <c r="CG616" s="481">
        <f t="shared" si="612"/>
        <v>-3.6918138041733495E-2</v>
      </c>
      <c r="CH616" s="348"/>
      <c r="CJ616" s="481">
        <f t="shared" si="613"/>
        <v>2.2222222222221255E-3</v>
      </c>
      <c r="CK616" s="481">
        <f t="shared" si="614"/>
        <v>-3.6031042128603086E-2</v>
      </c>
      <c r="CL616" s="348"/>
      <c r="CN616" s="481">
        <f t="shared" si="615"/>
        <v>-8.2806210465784957E-2</v>
      </c>
      <c r="CO616" s="481">
        <f t="shared" si="616"/>
        <v>2.4451410658307138E-2</v>
      </c>
      <c r="CP616" s="348"/>
      <c r="CR616" s="481">
        <f t="shared" si="617"/>
        <v>-0.11627906976744184</v>
      </c>
      <c r="CS616" s="481">
        <f t="shared" si="618"/>
        <v>-5.1246537396121838E-2</v>
      </c>
      <c r="CT616" s="348"/>
      <c r="CV616" s="481">
        <f t="shared" si="619"/>
        <v>0</v>
      </c>
      <c r="CW616" s="481">
        <f t="shared" si="620"/>
        <v>-5.1094890510948732E-3</v>
      </c>
      <c r="CX616" s="348"/>
      <c r="CZ616" s="481">
        <f t="shared" si="621"/>
        <v>6.4563462949376316E-2</v>
      </c>
      <c r="DA616" s="481">
        <f t="shared" si="622"/>
        <v>2.4121295658166675E-2</v>
      </c>
      <c r="DB616" s="348"/>
      <c r="DD616" s="481">
        <f t="shared" si="623"/>
        <v>3.2301480484522305E-2</v>
      </c>
      <c r="DE616" s="481">
        <f t="shared" si="624"/>
        <v>-3.7157757496740551E-2</v>
      </c>
      <c r="DF616" s="348"/>
      <c r="DH616" s="481">
        <f t="shared" si="625"/>
        <v>9.0724441435341863E-2</v>
      </c>
      <c r="DI616" s="481">
        <f>+DI609/DH609-1</f>
        <v>-4.113594040968338E-2</v>
      </c>
      <c r="DL616" s="481">
        <f>+DL609/DI609-1</f>
        <v>5.4497290788681596E-2</v>
      </c>
      <c r="DM616" s="481">
        <f>+DM609/DL609-1</f>
        <v>-2.6007125239791762E-2</v>
      </c>
      <c r="DP616" s="481">
        <f>+DP609/DM609-1</f>
        <v>5.4142170310345739E-2</v>
      </c>
      <c r="DQ616" s="481">
        <f>+DQ609/DP609-1</f>
        <v>-1.8518096102578485E-2</v>
      </c>
      <c r="DT616" s="1"/>
      <c r="DU616" s="1"/>
      <c r="DV616" s="1"/>
      <c r="DW616" s="1"/>
      <c r="DX616" s="1"/>
      <c r="DY616" s="1"/>
      <c r="DZ616" s="1"/>
      <c r="EA616" s="1"/>
      <c r="EB616" s="1"/>
      <c r="EC616" s="1"/>
      <c r="ED616" s="1"/>
      <c r="EE616" s="1"/>
      <c r="EF616" s="1"/>
      <c r="EG616" s="1"/>
      <c r="EH616" s="1"/>
      <c r="EI616" s="1"/>
      <c r="EJ616" s="1"/>
      <c r="EK616" s="1"/>
      <c r="EL616" s="1"/>
      <c r="EM616" s="1"/>
      <c r="EN616" s="1"/>
      <c r="EO616" s="1"/>
      <c r="EP616" s="1"/>
      <c r="EQ616" s="1"/>
      <c r="ER616" s="1"/>
      <c r="ES616" s="1"/>
      <c r="ET616" s="1"/>
      <c r="EU616" s="1"/>
      <c r="EV616" s="1"/>
      <c r="EW616" s="1"/>
      <c r="EX616" s="1"/>
      <c r="EY616" s="1"/>
      <c r="EZ616" s="1"/>
      <c r="FA616" s="1"/>
      <c r="FB616" s="1"/>
      <c r="FC616" s="1"/>
      <c r="FD616" s="1"/>
      <c r="FE616" s="1"/>
      <c r="FF616" s="1"/>
      <c r="FG616" s="1"/>
      <c r="FH616" s="1"/>
      <c r="FI616" s="1"/>
      <c r="FJ616" s="1"/>
      <c r="FK616" s="1"/>
      <c r="FL616" s="1"/>
      <c r="FM616" s="1"/>
      <c r="FN616" s="1"/>
      <c r="FO616" s="1"/>
      <c r="FP616" s="1"/>
      <c r="FQ616" s="1"/>
      <c r="FR616" s="1"/>
      <c r="FS616" s="1"/>
      <c r="FT616" s="1"/>
      <c r="FU616" s="1"/>
      <c r="FV616" s="1"/>
      <c r="FW616" s="1"/>
      <c r="FX616" s="1"/>
      <c r="FY616" s="1"/>
      <c r="FZ616" s="1"/>
      <c r="GA616" s="1"/>
      <c r="GB616" s="1"/>
      <c r="GC616" s="1"/>
      <c r="GD616" s="1"/>
      <c r="GE616" s="1"/>
      <c r="GF616" s="1"/>
      <c r="GG616" s="1"/>
      <c r="GH616" s="1"/>
      <c r="GI616" s="1"/>
      <c r="GJ616" s="1"/>
      <c r="GK616" s="1"/>
      <c r="GL616" s="1"/>
      <c r="GM616" s="1"/>
      <c r="GN616" s="1"/>
      <c r="GO616" s="1"/>
      <c r="GP616" s="1"/>
      <c r="GQ616" s="1"/>
      <c r="GR616" s="1"/>
      <c r="GS616" s="1"/>
      <c r="GT616" s="1"/>
      <c r="GU616" s="1"/>
      <c r="GV616" s="1"/>
      <c r="GW616" s="1"/>
      <c r="GX616" s="1"/>
      <c r="GY616" s="1"/>
      <c r="GZ616" s="1"/>
      <c r="HA616" s="1"/>
      <c r="HB616" s="1"/>
      <c r="HC616" s="1"/>
      <c r="HD616" s="1"/>
      <c r="HE616" s="1"/>
      <c r="HF616" s="1"/>
      <c r="HG616" s="1"/>
      <c r="HH616" s="1"/>
      <c r="HI616" s="1"/>
      <c r="HJ616" s="1"/>
      <c r="HK616" s="1"/>
      <c r="HL616" s="1"/>
      <c r="HM616" s="1"/>
      <c r="HN616" s="1"/>
      <c r="HO616" s="1"/>
      <c r="HP616" s="1"/>
      <c r="HQ616" s="1"/>
      <c r="HR616" s="1"/>
      <c r="HS616" s="1"/>
      <c r="HT616" s="1"/>
      <c r="HU616" s="1"/>
      <c r="HV616" s="1"/>
      <c r="HW616" s="1"/>
      <c r="HX616" s="1"/>
      <c r="HY616" s="1"/>
      <c r="HZ616" s="1"/>
      <c r="IA616" s="1"/>
      <c r="IB616" s="1"/>
      <c r="IC616" s="1"/>
      <c r="ID616" s="1"/>
      <c r="IE616" s="1"/>
      <c r="IF616" s="1"/>
      <c r="IG616" s="1"/>
      <c r="IH616" s="1"/>
      <c r="II616" s="1"/>
      <c r="IJ616" s="1"/>
      <c r="IK616" s="1"/>
      <c r="IL616" s="1"/>
      <c r="IM616" s="1"/>
      <c r="IN616" s="1"/>
      <c r="IO616" s="1"/>
      <c r="IP616" s="1"/>
      <c r="IQ616" s="1"/>
      <c r="IR616" s="1"/>
      <c r="IS616" s="1"/>
      <c r="IT616" s="1"/>
      <c r="IU616" s="1"/>
      <c r="IV616" s="1"/>
      <c r="IW616" s="1"/>
      <c r="IX616" s="1"/>
      <c r="IY616" s="1"/>
      <c r="IZ616" s="1"/>
      <c r="JA616" s="1"/>
      <c r="JB616" s="1"/>
      <c r="JC616" s="1"/>
      <c r="JD616" s="1"/>
    </row>
    <row r="617" spans="1:264" s="347" customFormat="1" x14ac:dyDescent="0.2">
      <c r="A617" s="600" t="str">
        <f>+A610</f>
        <v>Trading Income</v>
      </c>
      <c r="B617" s="558"/>
      <c r="C617" s="557"/>
      <c r="D617" s="557"/>
      <c r="E617" s="557"/>
      <c r="F617" s="557"/>
      <c r="G617" s="557"/>
      <c r="H617" s="557"/>
      <c r="I617" s="557"/>
      <c r="J617" s="557"/>
      <c r="K617" s="557"/>
      <c r="L617" s="557"/>
      <c r="M617" s="557"/>
      <c r="N617" s="557"/>
      <c r="O617" s="557"/>
      <c r="P617" s="557"/>
      <c r="Q617" s="557"/>
      <c r="R617" s="557"/>
      <c r="S617" s="557"/>
      <c r="T617" s="557"/>
      <c r="U617" s="557"/>
      <c r="V617" s="557"/>
      <c r="W617" s="557"/>
      <c r="X617" s="557"/>
      <c r="Y617" s="557"/>
      <c r="Z617" s="557"/>
      <c r="AA617" s="557"/>
      <c r="AB617" s="557"/>
      <c r="AC617" s="557"/>
      <c r="AD617" s="557"/>
      <c r="AE617" s="557"/>
      <c r="AF617" s="557"/>
      <c r="AG617" s="557"/>
      <c r="AH617" s="557"/>
      <c r="AI617" s="557"/>
      <c r="AJ617" s="557"/>
      <c r="AK617" s="557"/>
      <c r="AL617" s="557"/>
      <c r="AM617" s="557"/>
      <c r="AN617" s="557"/>
      <c r="AO617" s="557"/>
      <c r="AP617" s="557"/>
      <c r="AQ617" s="557"/>
      <c r="AR617" s="557"/>
      <c r="AS617" s="557"/>
      <c r="AT617" s="557"/>
      <c r="AU617" s="557"/>
      <c r="AV617" s="557"/>
      <c r="AW617" s="557"/>
      <c r="AX617" s="557"/>
      <c r="AY617" s="557"/>
      <c r="AZ617" s="557"/>
      <c r="BA617" s="557"/>
      <c r="BB617" s="557"/>
      <c r="BC617" s="557"/>
      <c r="BD617" s="557"/>
      <c r="BE617" s="557"/>
      <c r="BF617" s="557"/>
      <c r="BG617" s="557"/>
      <c r="BH617" s="558"/>
      <c r="BI617" s="559">
        <f t="shared" si="600"/>
        <v>-5.191873589164786E-2</v>
      </c>
      <c r="BJ617" s="558"/>
      <c r="BK617" s="558"/>
      <c r="BL617" s="559">
        <f t="shared" si="601"/>
        <v>0.20952380952380945</v>
      </c>
      <c r="BM617" s="559">
        <f t="shared" si="602"/>
        <v>-0.18503937007874016</v>
      </c>
      <c r="BN617" s="558"/>
      <c r="BO617" s="558"/>
      <c r="BP617" s="559">
        <f t="shared" si="603"/>
        <v>0.27777777777777768</v>
      </c>
      <c r="BQ617" s="559">
        <f t="shared" si="604"/>
        <v>-3.5916824196597363E-2</v>
      </c>
      <c r="BR617" s="558"/>
      <c r="BS617" s="557"/>
      <c r="BT617" s="559">
        <f t="shared" si="605"/>
        <v>-2.7450980392156876E-2</v>
      </c>
      <c r="BU617" s="559">
        <f t="shared" si="606"/>
        <v>0.19153225806451624</v>
      </c>
      <c r="BV617" s="558"/>
      <c r="BW617" s="557"/>
      <c r="BX617" s="559">
        <f t="shared" si="607"/>
        <v>1.5228426395939021E-2</v>
      </c>
      <c r="BY617" s="559">
        <f t="shared" si="608"/>
        <v>-8.4999999999999964E-2</v>
      </c>
      <c r="BZ617" s="558"/>
      <c r="CA617" s="557"/>
      <c r="CB617" s="559">
        <f t="shared" si="609"/>
        <v>1.2750455373406133E-2</v>
      </c>
      <c r="CC617" s="559">
        <f t="shared" si="610"/>
        <v>-0.15647482014388492</v>
      </c>
      <c r="CD617" s="558"/>
      <c r="CE617" s="557"/>
      <c r="CF617" s="559">
        <f t="shared" si="611"/>
        <v>-7.8891257995735597E-2</v>
      </c>
      <c r="CG617" s="559">
        <f t="shared" si="612"/>
        <v>-2.546296296296291E-2</v>
      </c>
      <c r="CH617" s="558"/>
      <c r="CI617" s="557"/>
      <c r="CJ617" s="559">
        <f t="shared" si="613"/>
        <v>0.20665083135391926</v>
      </c>
      <c r="CK617" s="559">
        <f t="shared" si="614"/>
        <v>-0.14960629921259838</v>
      </c>
      <c r="CL617" s="558"/>
      <c r="CM617" s="557"/>
      <c r="CN617" s="559">
        <f t="shared" si="615"/>
        <v>0.23842592592592582</v>
      </c>
      <c r="CO617" s="559">
        <f t="shared" si="616"/>
        <v>-0.40747663551401869</v>
      </c>
      <c r="CP617" s="558"/>
      <c r="CQ617" s="557"/>
      <c r="CR617" s="559">
        <f t="shared" si="617"/>
        <v>0.1608832807570979</v>
      </c>
      <c r="CS617" s="559">
        <f t="shared" si="618"/>
        <v>0.19021739130434789</v>
      </c>
      <c r="CT617" s="558"/>
      <c r="CU617" s="557"/>
      <c r="CV617" s="559">
        <f t="shared" si="619"/>
        <v>0.17123287671232879</v>
      </c>
      <c r="CW617" s="559">
        <f t="shared" si="620"/>
        <v>0.13450292397660824</v>
      </c>
      <c r="CX617" s="558"/>
      <c r="CY617" s="557"/>
      <c r="CZ617" s="559">
        <f t="shared" si="621"/>
        <v>9.7938144329897003E-2</v>
      </c>
      <c r="DA617" s="559">
        <f t="shared" si="622"/>
        <v>-0.1580594679186228</v>
      </c>
      <c r="DB617" s="558"/>
      <c r="DC617" s="557"/>
      <c r="DD617" s="559">
        <f t="shared" si="623"/>
        <v>-3.5315985130111471E-2</v>
      </c>
      <c r="DE617" s="559">
        <f t="shared" si="624"/>
        <v>0.31021194605009628</v>
      </c>
      <c r="DF617" s="558"/>
      <c r="DG617" s="557"/>
      <c r="DH617" s="559">
        <f t="shared" si="625"/>
        <v>-0.1132352941176471</v>
      </c>
      <c r="DI617" s="559">
        <f>+DI610/DH610-1</f>
        <v>-2.4424543946932165E-2</v>
      </c>
      <c r="DJ617" s="557"/>
      <c r="DK617" s="557"/>
      <c r="DL617" s="559">
        <f>+DL610/DI610-1</f>
        <v>4.6590692740773099E-2</v>
      </c>
      <c r="DM617" s="559">
        <f>+DM610/DL610-1</f>
        <v>-1.9012863825363935E-2</v>
      </c>
      <c r="DN617" s="557"/>
      <c r="DO617" s="557"/>
      <c r="DP617" s="559">
        <f>+DP610/DM610-1</f>
        <v>4.6010975039064705E-2</v>
      </c>
      <c r="DQ617" s="559">
        <f>+DQ610/DP610-1</f>
        <v>-1.844857031965752E-2</v>
      </c>
      <c r="DR617" s="557"/>
      <c r="DS617" s="557"/>
      <c r="DT617" s="1"/>
      <c r="DU617" s="1"/>
      <c r="DV617" s="1"/>
      <c r="DW617" s="1"/>
      <c r="DX617" s="1"/>
      <c r="DY617" s="1"/>
      <c r="DZ617" s="1"/>
      <c r="EA617" s="1"/>
      <c r="EB617" s="1"/>
      <c r="EC617" s="1"/>
      <c r="ED617" s="1"/>
      <c r="EE617" s="1"/>
      <c r="EF617" s="1"/>
      <c r="EG617" s="1"/>
      <c r="EH617" s="1"/>
      <c r="EI617" s="1"/>
      <c r="EJ617" s="1"/>
      <c r="EK617" s="1"/>
      <c r="EL617" s="1"/>
      <c r="EM617" s="1"/>
      <c r="EN617" s="1"/>
      <c r="EO617" s="1"/>
      <c r="EP617" s="1"/>
      <c r="EQ617" s="1"/>
      <c r="ER617" s="1"/>
      <c r="ES617" s="1"/>
      <c r="ET617" s="1"/>
      <c r="EU617" s="1"/>
      <c r="EV617" s="1"/>
      <c r="EW617" s="1"/>
      <c r="EX617" s="1"/>
      <c r="EY617" s="1"/>
      <c r="EZ617" s="1"/>
      <c r="FA617" s="1"/>
      <c r="FB617" s="1"/>
      <c r="FC617" s="1"/>
      <c r="FD617" s="1"/>
      <c r="FE617" s="1"/>
      <c r="FF617" s="1"/>
      <c r="FG617" s="1"/>
      <c r="FH617" s="1"/>
      <c r="FI617" s="1"/>
      <c r="FJ617" s="1"/>
      <c r="FK617" s="1"/>
      <c r="FL617" s="1"/>
      <c r="FM617" s="1"/>
      <c r="FN617" s="1"/>
      <c r="FO617" s="1"/>
      <c r="FP617" s="1"/>
      <c r="FQ617" s="1"/>
      <c r="FR617" s="1"/>
      <c r="FS617" s="1"/>
      <c r="FT617" s="1"/>
      <c r="FU617" s="1"/>
      <c r="FV617" s="1"/>
      <c r="FW617" s="1"/>
      <c r="FX617" s="1"/>
      <c r="FY617" s="1"/>
      <c r="FZ617" s="1"/>
      <c r="GA617" s="1"/>
      <c r="GB617" s="1"/>
      <c r="GC617" s="1"/>
      <c r="GD617" s="1"/>
      <c r="GE617" s="1"/>
      <c r="GF617" s="1"/>
      <c r="GG617" s="1"/>
      <c r="GH617" s="1"/>
      <c r="GI617" s="1"/>
      <c r="GJ617" s="1"/>
      <c r="GK617" s="1"/>
      <c r="GL617" s="1"/>
      <c r="GM617" s="1"/>
      <c r="GN617" s="1"/>
      <c r="GO617" s="1"/>
      <c r="GP617" s="1"/>
      <c r="GQ617" s="1"/>
      <c r="GR617" s="1"/>
      <c r="GS617" s="1"/>
      <c r="GT617" s="1"/>
      <c r="GU617" s="1"/>
      <c r="GV617" s="1"/>
      <c r="GW617" s="1"/>
      <c r="GX617" s="1"/>
      <c r="GY617" s="1"/>
      <c r="GZ617" s="1"/>
      <c r="HA617" s="1"/>
      <c r="HB617" s="1"/>
      <c r="HC617" s="1"/>
      <c r="HD617" s="1"/>
      <c r="HE617" s="1"/>
      <c r="HF617" s="1"/>
      <c r="HG617" s="1"/>
      <c r="HH617" s="1"/>
      <c r="HI617" s="1"/>
      <c r="HJ617" s="1"/>
      <c r="HK617" s="1"/>
      <c r="HL617" s="1"/>
      <c r="HM617" s="1"/>
      <c r="HN617" s="1"/>
      <c r="HO617" s="1"/>
      <c r="HP617" s="1"/>
      <c r="HQ617" s="1"/>
      <c r="HR617" s="1"/>
      <c r="HS617" s="1"/>
      <c r="HT617" s="1"/>
      <c r="HU617" s="1"/>
      <c r="HV617" s="1"/>
      <c r="HW617" s="1"/>
      <c r="HX617" s="1"/>
      <c r="HY617" s="1"/>
      <c r="HZ617" s="1"/>
      <c r="IA617" s="1"/>
      <c r="IB617" s="1"/>
      <c r="IC617" s="1"/>
      <c r="ID617" s="1"/>
      <c r="IE617" s="1"/>
      <c r="IF617" s="1"/>
      <c r="IG617" s="1"/>
      <c r="IH617" s="1"/>
      <c r="II617" s="1"/>
      <c r="IJ617" s="1"/>
      <c r="IK617" s="1"/>
      <c r="IL617" s="1"/>
      <c r="IM617" s="1"/>
      <c r="IN617" s="1"/>
      <c r="IO617" s="1"/>
      <c r="IP617" s="1"/>
      <c r="IQ617" s="1"/>
      <c r="IR617" s="1"/>
      <c r="IS617" s="1"/>
      <c r="IT617" s="1"/>
      <c r="IU617" s="1"/>
      <c r="IV617" s="1"/>
      <c r="IW617" s="1"/>
      <c r="IX617" s="1"/>
      <c r="IY617" s="1"/>
      <c r="IZ617" s="1"/>
      <c r="JA617" s="1"/>
      <c r="JB617" s="1"/>
      <c r="JC617" s="1"/>
      <c r="JD617" s="1"/>
    </row>
    <row r="618" spans="1:264" s="347" customFormat="1" x14ac:dyDescent="0.2">
      <c r="A618" s="429" t="str">
        <f>+A611</f>
        <v>Other Banking Income</v>
      </c>
      <c r="B618" s="348"/>
      <c r="BH618" s="348"/>
      <c r="BI618" s="394">
        <f t="shared" si="600"/>
        <v>-0.4375</v>
      </c>
      <c r="BJ618" s="348"/>
      <c r="BK618" s="348"/>
      <c r="BL618" s="394">
        <f t="shared" si="601"/>
        <v>0.19999999999999996</v>
      </c>
      <c r="BM618" s="394">
        <f t="shared" si="602"/>
        <v>-0.2592592592592593</v>
      </c>
      <c r="BN618" s="348"/>
      <c r="BO618" s="348"/>
      <c r="BP618" s="394">
        <f t="shared" si="603"/>
        <v>1.5249999999999999</v>
      </c>
      <c r="BQ618" s="394">
        <f t="shared" si="604"/>
        <v>0.76237623762376239</v>
      </c>
      <c r="BR618" s="348"/>
      <c r="BT618" s="394">
        <f t="shared" si="605"/>
        <v>-0.2640449438202247</v>
      </c>
      <c r="BU618" s="394">
        <f t="shared" si="606"/>
        <v>9.1603053435114434E-2</v>
      </c>
      <c r="BV618" s="348"/>
      <c r="BX618" s="394">
        <f t="shared" si="607"/>
        <v>1.0944055944055946</v>
      </c>
      <c r="BY618" s="394">
        <f t="shared" si="608"/>
        <v>-0.68113522537562599</v>
      </c>
      <c r="BZ618" s="348"/>
      <c r="CB618" s="394">
        <f t="shared" si="609"/>
        <v>0.51308900523560208</v>
      </c>
      <c r="CC618" s="394">
        <f t="shared" si="610"/>
        <v>-0.22491349480968859</v>
      </c>
      <c r="CD618" s="348"/>
      <c r="CF618" s="394">
        <f t="shared" si="611"/>
        <v>0.2276785714285714</v>
      </c>
      <c r="CG618" s="394">
        <f t="shared" si="612"/>
        <v>-0.43999999999999995</v>
      </c>
      <c r="CH618" s="348"/>
      <c r="CJ618" s="394">
        <f t="shared" si="613"/>
        <v>0.5</v>
      </c>
      <c r="CK618" s="394">
        <f t="shared" si="614"/>
        <v>-0.46753246753246758</v>
      </c>
      <c r="CL618" s="348"/>
      <c r="CN618" s="394">
        <f t="shared" si="615"/>
        <v>-0.51219512195121952</v>
      </c>
      <c r="CO618" s="394">
        <f t="shared" si="616"/>
        <v>5.7166666666666668</v>
      </c>
      <c r="CP618" s="348"/>
      <c r="CR618" s="394">
        <f t="shared" si="617"/>
        <v>0.11414392059553347</v>
      </c>
      <c r="CS618" s="394">
        <f t="shared" si="618"/>
        <v>1.091314031180401</v>
      </c>
      <c r="CT618" s="348"/>
      <c r="CV618" s="394">
        <f t="shared" si="619"/>
        <v>-0.92012779552715651</v>
      </c>
      <c r="CW618" s="394">
        <f t="shared" si="620"/>
        <v>0.25333333333333341</v>
      </c>
      <c r="CX618" s="348"/>
      <c r="CZ618" s="394">
        <f t="shared" si="621"/>
        <v>6.3829787234042534E-2</v>
      </c>
      <c r="DA618" s="394">
        <f t="shared" si="622"/>
        <v>-0.75</v>
      </c>
      <c r="DB618" s="348"/>
      <c r="DD618" s="394">
        <f t="shared" si="623"/>
        <v>1</v>
      </c>
      <c r="DE618" s="394">
        <f t="shared" si="624"/>
        <v>0.19999999999999996</v>
      </c>
      <c r="DF618" s="348"/>
      <c r="DH618" s="394">
        <f t="shared" si="625"/>
        <v>-0.25</v>
      </c>
      <c r="DI618" s="394">
        <f>+DI611/DH611-1</f>
        <v>6.311111111111134E-2</v>
      </c>
      <c r="DL618" s="394">
        <f>+DL611/DI611-1</f>
        <v>1.9999999999999796E-2</v>
      </c>
      <c r="DM618" s="394">
        <f>+DM611/DL611-1</f>
        <v>2.0000000000000018E-2</v>
      </c>
      <c r="DP618" s="394">
        <f>+DP611/DM611-1</f>
        <v>2.0000000000000018E-2</v>
      </c>
      <c r="DQ618" s="394">
        <f>+DQ611/DP611-1</f>
        <v>2.0000000000000018E-2</v>
      </c>
      <c r="DT618" s="1"/>
      <c r="DU618" s="1"/>
      <c r="DV618" s="1"/>
      <c r="DW618" s="1"/>
      <c r="DX618" s="1"/>
      <c r="DY618" s="1"/>
      <c r="DZ618" s="1"/>
      <c r="EA618" s="1"/>
      <c r="EB618" s="1"/>
      <c r="EC618" s="1"/>
      <c r="ED618" s="1"/>
      <c r="EE618" s="1"/>
      <c r="EF618" s="1"/>
      <c r="EG618" s="1"/>
      <c r="EH618" s="1"/>
      <c r="EI618" s="1"/>
      <c r="EJ618" s="1"/>
      <c r="EK618" s="1"/>
      <c r="EL618" s="1"/>
      <c r="EM618" s="1"/>
      <c r="EN618" s="1"/>
      <c r="EO618" s="1"/>
      <c r="EP618" s="1"/>
      <c r="EQ618" s="1"/>
      <c r="ER618" s="1"/>
      <c r="ES618" s="1"/>
      <c r="ET618" s="1"/>
      <c r="EU618" s="1"/>
      <c r="EV618" s="1"/>
      <c r="EW618" s="1"/>
      <c r="EX618" s="1"/>
      <c r="EY618" s="1"/>
      <c r="EZ618" s="1"/>
      <c r="FA618" s="1"/>
      <c r="FB618" s="1"/>
      <c r="FC618" s="1"/>
      <c r="FD618" s="1"/>
      <c r="FE618" s="1"/>
      <c r="FF618" s="1"/>
      <c r="FG618" s="1"/>
      <c r="FH618" s="1"/>
      <c r="FI618" s="1"/>
      <c r="FJ618" s="1"/>
      <c r="FK618" s="1"/>
      <c r="FL618" s="1"/>
      <c r="FM618" s="1"/>
      <c r="FN618" s="1"/>
      <c r="FO618" s="1"/>
      <c r="FP618" s="1"/>
      <c r="FQ618" s="1"/>
      <c r="FR618" s="1"/>
      <c r="FS618" s="1"/>
      <c r="FT618" s="1"/>
      <c r="FU618" s="1"/>
      <c r="FV618" s="1"/>
      <c r="FW618" s="1"/>
      <c r="FX618" s="1"/>
      <c r="FY618" s="1"/>
      <c r="FZ618" s="1"/>
      <c r="GA618" s="1"/>
      <c r="GB618" s="1"/>
      <c r="GC618" s="1"/>
      <c r="GD618" s="1"/>
      <c r="GE618" s="1"/>
      <c r="GF618" s="1"/>
      <c r="GG618" s="1"/>
      <c r="GH618" s="1"/>
      <c r="GI618" s="1"/>
      <c r="GJ618" s="1"/>
      <c r="GK618" s="1"/>
      <c r="GL618" s="1"/>
      <c r="GM618" s="1"/>
      <c r="GN618" s="1"/>
      <c r="GO618" s="1"/>
      <c r="GP618" s="1"/>
      <c r="GQ618" s="1"/>
      <c r="GR618" s="1"/>
      <c r="GS618" s="1"/>
      <c r="GT618" s="1"/>
      <c r="GU618" s="1"/>
      <c r="GV618" s="1"/>
      <c r="GW618" s="1"/>
      <c r="GX618" s="1"/>
      <c r="GY618" s="1"/>
      <c r="GZ618" s="1"/>
      <c r="HA618" s="1"/>
      <c r="HB618" s="1"/>
      <c r="HC618" s="1"/>
      <c r="HD618" s="1"/>
      <c r="HE618" s="1"/>
      <c r="HF618" s="1"/>
      <c r="HG618" s="1"/>
      <c r="HH618" s="1"/>
      <c r="HI618" s="1"/>
      <c r="HJ618" s="1"/>
      <c r="HK618" s="1"/>
      <c r="HL618" s="1"/>
      <c r="HM618" s="1"/>
      <c r="HN618" s="1"/>
      <c r="HO618" s="1"/>
      <c r="HP618" s="1"/>
      <c r="HQ618" s="1"/>
      <c r="HR618" s="1"/>
      <c r="HS618" s="1"/>
      <c r="HT618" s="1"/>
      <c r="HU618" s="1"/>
      <c r="HV618" s="1"/>
      <c r="HW618" s="1"/>
      <c r="HX618" s="1"/>
      <c r="HY618" s="1"/>
      <c r="HZ618" s="1"/>
      <c r="IA618" s="1"/>
      <c r="IB618" s="1"/>
      <c r="IC618" s="1"/>
      <c r="ID618" s="1"/>
      <c r="IE618" s="1"/>
      <c r="IF618" s="1"/>
      <c r="IG618" s="1"/>
      <c r="IH618" s="1"/>
      <c r="II618" s="1"/>
      <c r="IJ618" s="1"/>
      <c r="IK618" s="1"/>
      <c r="IL618" s="1"/>
      <c r="IM618" s="1"/>
      <c r="IN618" s="1"/>
      <c r="IO618" s="1"/>
      <c r="IP618" s="1"/>
      <c r="IQ618" s="1"/>
      <c r="IR618" s="1"/>
      <c r="IS618" s="1"/>
      <c r="IT618" s="1"/>
      <c r="IU618" s="1"/>
      <c r="IV618" s="1"/>
      <c r="IW618" s="1"/>
      <c r="IX618" s="1"/>
      <c r="IY618" s="1"/>
      <c r="IZ618" s="1"/>
      <c r="JA618" s="1"/>
      <c r="JB618" s="1"/>
      <c r="JC618" s="1"/>
      <c r="JD618" s="1"/>
    </row>
    <row r="619" spans="1:264" s="347" customFormat="1" x14ac:dyDescent="0.2">
      <c r="A619" s="424" t="str">
        <f>+A612</f>
        <v>Banking Non Interest Income</v>
      </c>
      <c r="B619" s="348"/>
      <c r="BH619" s="348"/>
      <c r="BI619" s="481">
        <f t="shared" si="600"/>
        <v>-2.5653206650831373E-2</v>
      </c>
      <c r="BJ619" s="348"/>
      <c r="BK619" s="348"/>
      <c r="BL619" s="481">
        <f t="shared" si="601"/>
        <v>8.9224768405655741E-2</v>
      </c>
      <c r="BM619" s="481">
        <f t="shared" si="602"/>
        <v>-6.4905998209489724E-2</v>
      </c>
      <c r="BN619" s="348"/>
      <c r="BO619" s="348"/>
      <c r="BP619" s="481">
        <f t="shared" si="603"/>
        <v>0.12781235040689332</v>
      </c>
      <c r="BQ619" s="481">
        <f t="shared" si="604"/>
        <v>4.2020373514431331E-2</v>
      </c>
      <c r="BR619" s="348"/>
      <c r="BT619" s="481">
        <f t="shared" si="605"/>
        <v>-1.5885947046843207E-2</v>
      </c>
      <c r="BU619" s="481">
        <f t="shared" si="606"/>
        <v>1.1589403973509826E-2</v>
      </c>
      <c r="BV619" s="348"/>
      <c r="BX619" s="481">
        <f t="shared" si="607"/>
        <v>0.23486088379705405</v>
      </c>
      <c r="BY619" s="481">
        <f t="shared" si="608"/>
        <v>-0.15175612988734266</v>
      </c>
      <c r="BZ619" s="348"/>
      <c r="CB619" s="481">
        <f t="shared" si="609"/>
        <v>5.7031250000000089E-2</v>
      </c>
      <c r="CC619" s="481">
        <f t="shared" si="610"/>
        <v>-7.2801182557280075E-2</v>
      </c>
      <c r="CD619" s="348"/>
      <c r="CF619" s="481">
        <f t="shared" si="611"/>
        <v>2.6703866082104399E-2</v>
      </c>
      <c r="CG619" s="481">
        <f t="shared" si="612"/>
        <v>-7.802795031055898E-2</v>
      </c>
      <c r="CH619" s="348"/>
      <c r="CJ619" s="481">
        <f t="shared" si="613"/>
        <v>7.0736842105263209E-2</v>
      </c>
      <c r="CK619" s="481">
        <f t="shared" si="614"/>
        <v>-9.7915847424302038E-2</v>
      </c>
      <c r="CL619" s="348"/>
      <c r="CN619" s="481">
        <f t="shared" si="615"/>
        <v>-4.533565823888408E-2</v>
      </c>
      <c r="CO619" s="481">
        <f t="shared" si="616"/>
        <v>7.488584474885851E-2</v>
      </c>
      <c r="CP619" s="348"/>
      <c r="CR619" s="481">
        <f t="shared" si="617"/>
        <v>-3.9507221750212373E-2</v>
      </c>
      <c r="CS619" s="481">
        <f t="shared" si="618"/>
        <v>0.21494913754975675</v>
      </c>
      <c r="CT619" s="348"/>
      <c r="CV619" s="481">
        <f t="shared" si="619"/>
        <v>-0.28722242446305057</v>
      </c>
      <c r="CW619" s="481">
        <f t="shared" si="620"/>
        <v>4.1368743615934678E-2</v>
      </c>
      <c r="CX619" s="348"/>
      <c r="CZ619" s="481">
        <f t="shared" si="621"/>
        <v>7.4055909759686012E-2</v>
      </c>
      <c r="DA619" s="481">
        <f t="shared" si="622"/>
        <v>-6.438356164383563E-2</v>
      </c>
      <c r="DB619" s="348"/>
      <c r="DD619" s="481">
        <f t="shared" si="623"/>
        <v>2.6354319180087904E-2</v>
      </c>
      <c r="DE619" s="481">
        <f t="shared" si="624"/>
        <v>5.4208273894436498E-2</v>
      </c>
      <c r="DF619" s="348"/>
      <c r="DH619" s="481">
        <f t="shared" si="625"/>
        <v>1.8944519621109546E-2</v>
      </c>
      <c r="DI619" s="481">
        <f>+DI612/DH612-1</f>
        <v>-3.459849490925182E-2</v>
      </c>
      <c r="DL619" s="481">
        <f>+DL612/DI612-1</f>
        <v>5.1607773511331834E-2</v>
      </c>
      <c r="DM619" s="481">
        <f>+DM612/DL612-1</f>
        <v>-2.3150556486152607E-2</v>
      </c>
      <c r="DP619" s="481">
        <f>+DP612/DM612-1</f>
        <v>5.1191498742334751E-2</v>
      </c>
      <c r="DQ619" s="481">
        <f>+DQ612/DP612-1</f>
        <v>-1.7669079634972218E-2</v>
      </c>
      <c r="DT619" s="1"/>
      <c r="DU619" s="1"/>
      <c r="DV619" s="1"/>
      <c r="DW619" s="1"/>
      <c r="DX619" s="1"/>
      <c r="DY619" s="1"/>
      <c r="DZ619" s="1"/>
      <c r="EA619" s="1"/>
      <c r="EB619" s="1"/>
      <c r="EC619" s="1"/>
      <c r="ED619" s="1"/>
      <c r="EE619" s="1"/>
      <c r="EF619" s="1"/>
      <c r="EG619" s="1"/>
      <c r="EH619" s="1"/>
      <c r="EI619" s="1"/>
      <c r="EJ619" s="1"/>
      <c r="EK619" s="1"/>
      <c r="EL619" s="1"/>
      <c r="EM619" s="1"/>
      <c r="EN619" s="1"/>
      <c r="EO619" s="1"/>
      <c r="EP619" s="1"/>
      <c r="EQ619" s="1"/>
      <c r="ER619" s="1"/>
      <c r="ES619" s="1"/>
      <c r="ET619" s="1"/>
      <c r="EU619" s="1"/>
      <c r="EV619" s="1"/>
      <c r="EW619" s="1"/>
      <c r="EX619" s="1"/>
      <c r="EY619" s="1"/>
      <c r="EZ619" s="1"/>
      <c r="FA619" s="1"/>
      <c r="FB619" s="1"/>
      <c r="FC619" s="1"/>
      <c r="FD619" s="1"/>
      <c r="FE619" s="1"/>
      <c r="FF619" s="1"/>
      <c r="FG619" s="1"/>
      <c r="FH619" s="1"/>
      <c r="FI619" s="1"/>
      <c r="FJ619" s="1"/>
      <c r="FK619" s="1"/>
      <c r="FL619" s="1"/>
      <c r="FM619" s="1"/>
      <c r="FN619" s="1"/>
      <c r="FO619" s="1"/>
      <c r="FP619" s="1"/>
      <c r="FQ619" s="1"/>
      <c r="FR619" s="1"/>
      <c r="FS619" s="1"/>
      <c r="FT619" s="1"/>
      <c r="FU619" s="1"/>
      <c r="FV619" s="1"/>
      <c r="FW619" s="1"/>
      <c r="FX619" s="1"/>
      <c r="FY619" s="1"/>
      <c r="FZ619" s="1"/>
      <c r="GA619" s="1"/>
      <c r="GB619" s="1"/>
      <c r="GC619" s="1"/>
      <c r="GD619" s="1"/>
      <c r="GE619" s="1"/>
      <c r="GF619" s="1"/>
      <c r="GG619" s="1"/>
      <c r="GH619" s="1"/>
      <c r="GI619" s="1"/>
      <c r="GJ619" s="1"/>
      <c r="GK619" s="1"/>
      <c r="GL619" s="1"/>
      <c r="GM619" s="1"/>
      <c r="GN619" s="1"/>
      <c r="GO619" s="1"/>
      <c r="GP619" s="1"/>
      <c r="GQ619" s="1"/>
      <c r="GR619" s="1"/>
      <c r="GS619" s="1"/>
      <c r="GT619" s="1"/>
      <c r="GU619" s="1"/>
      <c r="GV619" s="1"/>
      <c r="GW619" s="1"/>
      <c r="GX619" s="1"/>
      <c r="GY619" s="1"/>
      <c r="GZ619" s="1"/>
      <c r="HA619" s="1"/>
      <c r="HB619" s="1"/>
      <c r="HC619" s="1"/>
      <c r="HD619" s="1"/>
      <c r="HE619" s="1"/>
      <c r="HF619" s="1"/>
      <c r="HG619" s="1"/>
      <c r="HH619" s="1"/>
      <c r="HI619" s="1"/>
      <c r="HJ619" s="1"/>
      <c r="HK619" s="1"/>
      <c r="HL619" s="1"/>
      <c r="HM619" s="1"/>
      <c r="HN619" s="1"/>
      <c r="HO619" s="1"/>
      <c r="HP619" s="1"/>
      <c r="HQ619" s="1"/>
      <c r="HR619" s="1"/>
      <c r="HS619" s="1"/>
      <c r="HT619" s="1"/>
      <c r="HU619" s="1"/>
      <c r="HV619" s="1"/>
      <c r="HW619" s="1"/>
      <c r="HX619" s="1"/>
      <c r="HY619" s="1"/>
      <c r="HZ619" s="1"/>
      <c r="IA619" s="1"/>
      <c r="IB619" s="1"/>
      <c r="IC619" s="1"/>
      <c r="ID619" s="1"/>
      <c r="IE619" s="1"/>
      <c r="IF619" s="1"/>
      <c r="IG619" s="1"/>
      <c r="IH619" s="1"/>
      <c r="II619" s="1"/>
      <c r="IJ619" s="1"/>
      <c r="IK619" s="1"/>
      <c r="IL619" s="1"/>
      <c r="IM619" s="1"/>
      <c r="IN619" s="1"/>
      <c r="IO619" s="1"/>
      <c r="IP619" s="1"/>
      <c r="IQ619" s="1"/>
      <c r="IR619" s="1"/>
      <c r="IS619" s="1"/>
      <c r="IT619" s="1"/>
      <c r="IU619" s="1"/>
      <c r="IV619" s="1"/>
      <c r="IW619" s="1"/>
      <c r="IX619" s="1"/>
      <c r="IY619" s="1"/>
      <c r="IZ619" s="1"/>
      <c r="JA619" s="1"/>
      <c r="JB619" s="1"/>
      <c r="JC619" s="1"/>
      <c r="JD619" s="1"/>
    </row>
    <row r="620" spans="1:264" s="347" customFormat="1" x14ac:dyDescent="0.2">
      <c r="B620" s="348"/>
      <c r="BH620" s="348"/>
      <c r="BI620" s="348"/>
      <c r="BJ620" s="348"/>
      <c r="BK620" s="348"/>
      <c r="BL620" s="348"/>
      <c r="BM620" s="348"/>
      <c r="BN620" s="348"/>
      <c r="BO620" s="348"/>
      <c r="BP620" s="348"/>
      <c r="BT620" s="348"/>
      <c r="BU620" s="400"/>
      <c r="BX620" s="348"/>
      <c r="BY620" s="400"/>
      <c r="CB620" s="348"/>
      <c r="CC620" s="400"/>
      <c r="CF620" s="348"/>
      <c r="CG620" s="400"/>
      <c r="CJ620" s="348"/>
      <c r="CK620" s="400"/>
      <c r="CN620" s="348"/>
      <c r="CO620" s="400"/>
      <c r="CR620" s="348"/>
      <c r="CV620" s="348"/>
      <c r="CZ620" s="348"/>
      <c r="DD620" s="348"/>
      <c r="DH620" s="348"/>
      <c r="DL620" s="348"/>
      <c r="DP620" s="348"/>
      <c r="DT620" s="1"/>
      <c r="DU620" s="1"/>
      <c r="DV620" s="1"/>
      <c r="DW620" s="1"/>
      <c r="DX620" s="1"/>
      <c r="DY620" s="1"/>
      <c r="DZ620" s="1"/>
      <c r="EA620" s="1"/>
      <c r="EB620" s="1"/>
      <c r="EC620" s="1"/>
      <c r="ED620" s="1"/>
      <c r="EE620" s="1"/>
      <c r="EF620" s="1"/>
      <c r="EG620" s="1"/>
      <c r="EH620" s="1"/>
      <c r="EI620" s="1"/>
      <c r="EJ620" s="1"/>
      <c r="EK620" s="1"/>
      <c r="EL620" s="1"/>
      <c r="EM620" s="1"/>
      <c r="EN620" s="1"/>
      <c r="EO620" s="1"/>
      <c r="EP620" s="1"/>
      <c r="EQ620" s="1"/>
      <c r="ER620" s="1"/>
      <c r="ES620" s="1"/>
      <c r="ET620" s="1"/>
      <c r="EU620" s="1"/>
      <c r="EV620" s="1"/>
      <c r="EW620" s="1"/>
      <c r="EX620" s="1"/>
      <c r="EY620" s="1"/>
      <c r="EZ620" s="1"/>
      <c r="FA620" s="1"/>
      <c r="FB620" s="1"/>
      <c r="FC620" s="1"/>
      <c r="FD620" s="1"/>
      <c r="FE620" s="1"/>
      <c r="FF620" s="1"/>
      <c r="FG620" s="1"/>
      <c r="FH620" s="1"/>
      <c r="FI620" s="1"/>
      <c r="FJ620" s="1"/>
      <c r="FK620" s="1"/>
      <c r="FL620" s="1"/>
      <c r="FM620" s="1"/>
      <c r="FN620" s="1"/>
      <c r="FO620" s="1"/>
      <c r="FP620" s="1"/>
      <c r="FQ620" s="1"/>
      <c r="FR620" s="1"/>
      <c r="FS620" s="1"/>
      <c r="FT620" s="1"/>
      <c r="FU620" s="1"/>
      <c r="FV620" s="1"/>
      <c r="FW620" s="1"/>
      <c r="FX620" s="1"/>
      <c r="FY620" s="1"/>
      <c r="FZ620" s="1"/>
      <c r="GA620" s="1"/>
      <c r="GB620" s="1"/>
      <c r="GC620" s="1"/>
      <c r="GD620" s="1"/>
      <c r="GE620" s="1"/>
      <c r="GF620" s="1"/>
      <c r="GG620" s="1"/>
      <c r="GH620" s="1"/>
      <c r="GI620" s="1"/>
      <c r="GJ620" s="1"/>
      <c r="GK620" s="1"/>
      <c r="GL620" s="1"/>
      <c r="GM620" s="1"/>
      <c r="GN620" s="1"/>
      <c r="GO620" s="1"/>
      <c r="GP620" s="1"/>
      <c r="GQ620" s="1"/>
      <c r="GR620" s="1"/>
      <c r="GS620" s="1"/>
      <c r="GT620" s="1"/>
      <c r="GU620" s="1"/>
      <c r="GV620" s="1"/>
      <c r="GW620" s="1"/>
      <c r="GX620" s="1"/>
      <c r="GY620" s="1"/>
      <c r="GZ620" s="1"/>
      <c r="HA620" s="1"/>
      <c r="HB620" s="1"/>
      <c r="HC620" s="1"/>
      <c r="HD620" s="1"/>
      <c r="HE620" s="1"/>
      <c r="HF620" s="1"/>
      <c r="HG620" s="1"/>
      <c r="HH620" s="1"/>
      <c r="HI620" s="1"/>
      <c r="HJ620" s="1"/>
      <c r="HK620" s="1"/>
      <c r="HL620" s="1"/>
      <c r="HM620" s="1"/>
      <c r="HN620" s="1"/>
      <c r="HO620" s="1"/>
      <c r="HP620" s="1"/>
      <c r="HQ620" s="1"/>
      <c r="HR620" s="1"/>
      <c r="HS620" s="1"/>
      <c r="HT620" s="1"/>
      <c r="HU620" s="1"/>
      <c r="HV620" s="1"/>
      <c r="HW620" s="1"/>
      <c r="HX620" s="1"/>
      <c r="HY620" s="1"/>
      <c r="HZ620" s="1"/>
      <c r="IA620" s="1"/>
      <c r="IB620" s="1"/>
      <c r="IC620" s="1"/>
      <c r="ID620" s="1"/>
      <c r="IE620" s="1"/>
      <c r="IF620" s="1"/>
      <c r="IG620" s="1"/>
      <c r="IH620" s="1"/>
      <c r="II620" s="1"/>
      <c r="IJ620" s="1"/>
      <c r="IK620" s="1"/>
      <c r="IL620" s="1"/>
      <c r="IM620" s="1"/>
      <c r="IN620" s="1"/>
      <c r="IO620" s="1"/>
      <c r="IP620" s="1"/>
      <c r="IQ620" s="1"/>
      <c r="IR620" s="1"/>
      <c r="IS620" s="1"/>
      <c r="IT620" s="1"/>
      <c r="IU620" s="1"/>
      <c r="IV620" s="1"/>
      <c r="IW620" s="1"/>
      <c r="IX620" s="1"/>
      <c r="IY620" s="1"/>
      <c r="IZ620" s="1"/>
      <c r="JA620" s="1"/>
      <c r="JB620" s="1"/>
      <c r="JC620" s="1"/>
      <c r="JD620" s="1"/>
    </row>
    <row r="621" spans="1:264" s="347" customFormat="1" x14ac:dyDescent="0.2">
      <c r="A621" s="347" t="s">
        <v>490</v>
      </c>
      <c r="B621" s="348"/>
      <c r="BH621" s="348"/>
      <c r="BI621" s="348"/>
      <c r="BJ621" s="348"/>
      <c r="BK621" s="348"/>
      <c r="BL621" s="348"/>
      <c r="BM621" s="348"/>
      <c r="BN621" s="348"/>
      <c r="BO621" s="348"/>
      <c r="BP621" s="348"/>
      <c r="BT621" s="348"/>
      <c r="BU621" s="400"/>
      <c r="BX621" s="348"/>
      <c r="BY621" s="400"/>
      <c r="CB621" s="348"/>
      <c r="CC621" s="400"/>
      <c r="CF621" s="348"/>
      <c r="CG621" s="400"/>
      <c r="CJ621" s="348"/>
      <c r="CK621" s="400"/>
      <c r="CN621" s="348"/>
      <c r="CO621" s="400"/>
      <c r="CR621" s="351"/>
      <c r="CS621" s="351"/>
      <c r="CT621" s="351"/>
      <c r="CV621" s="351">
        <f t="shared" ref="CV621:CX621" si="626">CV611</f>
        <v>75</v>
      </c>
      <c r="CW621" s="351">
        <f t="shared" si="626"/>
        <v>94</v>
      </c>
      <c r="CX621" s="351">
        <f t="shared" si="626"/>
        <v>169</v>
      </c>
      <c r="CZ621" s="351">
        <f>CZ611</f>
        <v>100</v>
      </c>
      <c r="DA621" s="351">
        <f t="shared" ref="DA621:DB621" si="627">DA611</f>
        <v>25</v>
      </c>
      <c r="DB621" s="351">
        <f t="shared" si="627"/>
        <v>125</v>
      </c>
      <c r="DD621" s="351">
        <f t="shared" ref="DD621:DF621" si="628">DD611</f>
        <v>50</v>
      </c>
      <c r="DE621" s="351">
        <f t="shared" si="628"/>
        <v>60</v>
      </c>
      <c r="DF621" s="351">
        <f t="shared" si="628"/>
        <v>110</v>
      </c>
      <c r="DH621" s="351">
        <f t="shared" ref="DH621" si="629">DH611</f>
        <v>45</v>
      </c>
      <c r="DI621" s="351">
        <f t="shared" ref="DI621:DJ621" si="630">DI611</f>
        <v>47.840000000000011</v>
      </c>
      <c r="DJ621" s="351">
        <f t="shared" si="630"/>
        <v>92.84</v>
      </c>
      <c r="DL621" s="351">
        <f t="shared" ref="DL621:DN621" si="631">DL611</f>
        <v>48.796800000000005</v>
      </c>
      <c r="DM621" s="351">
        <f t="shared" si="631"/>
        <v>49.772736000000009</v>
      </c>
      <c r="DN621" s="351">
        <f t="shared" si="631"/>
        <v>98.569536000000014</v>
      </c>
      <c r="DP621" s="351">
        <f t="shared" ref="DP621:DR621" si="632">DP611</f>
        <v>50.768190720000007</v>
      </c>
      <c r="DQ621" s="351">
        <f t="shared" si="632"/>
        <v>51.783554534400011</v>
      </c>
      <c r="DR621" s="351">
        <f t="shared" si="632"/>
        <v>102.55174525440002</v>
      </c>
      <c r="DT621" s="1"/>
      <c r="DU621" s="1"/>
      <c r="DV621" s="1"/>
      <c r="DW621" s="1"/>
      <c r="DX621" s="1"/>
      <c r="DY621" s="1"/>
      <c r="DZ621" s="1"/>
      <c r="EA621" s="1"/>
      <c r="EB621" s="1"/>
      <c r="EC621" s="1"/>
      <c r="ED621" s="1"/>
      <c r="EE621" s="1"/>
      <c r="EF621" s="1"/>
      <c r="EG621" s="1"/>
      <c r="EH621" s="1"/>
      <c r="EI621" s="1"/>
      <c r="EJ621" s="1"/>
      <c r="EK621" s="1"/>
      <c r="EL621" s="1"/>
      <c r="EM621" s="1"/>
      <c r="EN621" s="1"/>
      <c r="EO621" s="1"/>
      <c r="EP621" s="1"/>
      <c r="EQ621" s="1"/>
      <c r="ER621" s="1"/>
      <c r="ES621" s="1"/>
      <c r="ET621" s="1"/>
      <c r="EU621" s="1"/>
      <c r="EV621" s="1"/>
      <c r="EW621" s="1"/>
      <c r="EX621" s="1"/>
      <c r="EY621" s="1"/>
      <c r="EZ621" s="1"/>
      <c r="FA621" s="1"/>
      <c r="FB621" s="1"/>
      <c r="FC621" s="1"/>
      <c r="FD621" s="1"/>
      <c r="FE621" s="1"/>
      <c r="FF621" s="1"/>
      <c r="FG621" s="1"/>
      <c r="FH621" s="1"/>
      <c r="FI621" s="1"/>
      <c r="FJ621" s="1"/>
      <c r="FK621" s="1"/>
      <c r="FL621" s="1"/>
      <c r="FM621" s="1"/>
      <c r="FN621" s="1"/>
      <c r="FO621" s="1"/>
      <c r="FP621" s="1"/>
      <c r="FQ621" s="1"/>
      <c r="FR621" s="1"/>
      <c r="FS621" s="1"/>
      <c r="FT621" s="1"/>
      <c r="FU621" s="1"/>
      <c r="FV621" s="1"/>
      <c r="FW621" s="1"/>
      <c r="FX621" s="1"/>
      <c r="FY621" s="1"/>
      <c r="FZ621" s="1"/>
      <c r="GA621" s="1"/>
      <c r="GB621" s="1"/>
      <c r="GC621" s="1"/>
      <c r="GD621" s="1"/>
      <c r="GE621" s="1"/>
      <c r="GF621" s="1"/>
      <c r="GG621" s="1"/>
      <c r="GH621" s="1"/>
      <c r="GI621" s="1"/>
      <c r="GJ621" s="1"/>
      <c r="GK621" s="1"/>
      <c r="GL621" s="1"/>
      <c r="GM621" s="1"/>
      <c r="GN621" s="1"/>
      <c r="GO621" s="1"/>
      <c r="GP621" s="1"/>
      <c r="GQ621" s="1"/>
      <c r="GR621" s="1"/>
      <c r="GS621" s="1"/>
      <c r="GT621" s="1"/>
      <c r="GU621" s="1"/>
      <c r="GV621" s="1"/>
      <c r="GW621" s="1"/>
      <c r="GX621" s="1"/>
      <c r="GY621" s="1"/>
      <c r="GZ621" s="1"/>
      <c r="HA621" s="1"/>
      <c r="HB621" s="1"/>
      <c r="HC621" s="1"/>
      <c r="HD621" s="1"/>
      <c r="HE621" s="1"/>
      <c r="HF621" s="1"/>
      <c r="HG621" s="1"/>
      <c r="HH621" s="1"/>
      <c r="HI621" s="1"/>
      <c r="HJ621" s="1"/>
      <c r="HK621" s="1"/>
      <c r="HL621" s="1"/>
      <c r="HM621" s="1"/>
      <c r="HN621" s="1"/>
      <c r="HO621" s="1"/>
      <c r="HP621" s="1"/>
      <c r="HQ621" s="1"/>
      <c r="HR621" s="1"/>
      <c r="HS621" s="1"/>
      <c r="HT621" s="1"/>
      <c r="HU621" s="1"/>
      <c r="HV621" s="1"/>
      <c r="HW621" s="1"/>
      <c r="HX621" s="1"/>
      <c r="HY621" s="1"/>
      <c r="HZ621" s="1"/>
      <c r="IA621" s="1"/>
      <c r="IB621" s="1"/>
      <c r="IC621" s="1"/>
      <c r="ID621" s="1"/>
      <c r="IE621" s="1"/>
      <c r="IF621" s="1"/>
      <c r="IG621" s="1"/>
      <c r="IH621" s="1"/>
      <c r="II621" s="1"/>
      <c r="IJ621" s="1"/>
      <c r="IK621" s="1"/>
      <c r="IL621" s="1"/>
      <c r="IM621" s="1"/>
      <c r="IN621" s="1"/>
      <c r="IO621" s="1"/>
      <c r="IP621" s="1"/>
      <c r="IQ621" s="1"/>
      <c r="IR621" s="1"/>
      <c r="IS621" s="1"/>
      <c r="IT621" s="1"/>
      <c r="IU621" s="1"/>
      <c r="IV621" s="1"/>
      <c r="IW621" s="1"/>
      <c r="IX621" s="1"/>
      <c r="IY621" s="1"/>
      <c r="IZ621" s="1"/>
      <c r="JA621" s="1"/>
      <c r="JB621" s="1"/>
      <c r="JC621" s="1"/>
      <c r="JD621" s="1"/>
    </row>
    <row r="622" spans="1:264" s="347" customFormat="1" x14ac:dyDescent="0.2">
      <c r="A622" s="347" t="s">
        <v>1150</v>
      </c>
      <c r="B622" s="348"/>
      <c r="BH622" s="348"/>
      <c r="BI622" s="348"/>
      <c r="BJ622" s="348"/>
      <c r="BK622" s="348"/>
      <c r="BL622" s="348"/>
      <c r="BM622" s="348"/>
      <c r="BN622" s="348"/>
      <c r="BO622" s="348"/>
      <c r="BP622" s="348"/>
      <c r="BT622" s="348"/>
      <c r="BU622" s="400"/>
      <c r="BX622" s="348"/>
      <c r="BY622" s="400"/>
      <c r="CB622" s="348"/>
      <c r="CC622" s="400"/>
      <c r="CF622" s="348"/>
      <c r="CG622" s="400"/>
      <c r="CJ622" s="348"/>
      <c r="CK622" s="400"/>
      <c r="CN622" s="348"/>
      <c r="CO622" s="400"/>
      <c r="CR622" s="351"/>
      <c r="CS622" s="351"/>
      <c r="CT622" s="351"/>
      <c r="CV622" s="351">
        <f>CV20</f>
        <v>28</v>
      </c>
      <c r="CW622" s="351">
        <f>CW20</f>
        <v>54</v>
      </c>
      <c r="CX622" s="351">
        <f>CX20</f>
        <v>82</v>
      </c>
      <c r="CZ622" s="351">
        <f>CZ20</f>
        <v>55</v>
      </c>
      <c r="DA622" s="351">
        <f>DA20</f>
        <v>56</v>
      </c>
      <c r="DB622" s="351">
        <f>DB20</f>
        <v>111</v>
      </c>
      <c r="DD622" s="351">
        <f>DD20</f>
        <v>60</v>
      </c>
      <c r="DE622" s="351">
        <f>DE20</f>
        <v>62</v>
      </c>
      <c r="DF622" s="351">
        <f>DF20</f>
        <v>122</v>
      </c>
      <c r="DH622" s="351">
        <f>DH20</f>
        <v>67</v>
      </c>
      <c r="DI622" s="351">
        <f>DI20</f>
        <v>68.34</v>
      </c>
      <c r="DJ622" s="351">
        <f>DJ20</f>
        <v>135.34</v>
      </c>
      <c r="DL622" s="351">
        <f>DL20</f>
        <v>69.706800000000001</v>
      </c>
      <c r="DM622" s="351">
        <f>DM20</f>
        <v>71.100936000000004</v>
      </c>
      <c r="DN622" s="351">
        <f>DN20</f>
        <v>140.80773600000001</v>
      </c>
      <c r="DP622" s="351">
        <f>DP20</f>
        <v>72.522954720000001</v>
      </c>
      <c r="DQ622" s="351">
        <f>DQ20</f>
        <v>73.973413814400004</v>
      </c>
      <c r="DR622" s="351">
        <f>DR20</f>
        <v>146.49636853440001</v>
      </c>
      <c r="DT622" s="1"/>
      <c r="DU622" s="1"/>
      <c r="DV622" s="1"/>
      <c r="DW622" s="1"/>
      <c r="DX622" s="1"/>
      <c r="DY622" s="1"/>
      <c r="DZ622" s="1"/>
      <c r="EA622" s="1"/>
      <c r="EB622" s="1"/>
      <c r="EC622" s="1"/>
      <c r="ED622" s="1"/>
      <c r="EE622" s="1"/>
      <c r="EF622" s="1"/>
      <c r="EG622" s="1"/>
      <c r="EH622" s="1"/>
      <c r="EI622" s="1"/>
      <c r="EJ622" s="1"/>
      <c r="EK622" s="1"/>
      <c r="EL622" s="1"/>
      <c r="EM622" s="1"/>
      <c r="EN622" s="1"/>
      <c r="EO622" s="1"/>
      <c r="EP622" s="1"/>
      <c r="EQ622" s="1"/>
      <c r="ER622" s="1"/>
      <c r="ES622" s="1"/>
      <c r="ET622" s="1"/>
      <c r="EU622" s="1"/>
      <c r="EV622" s="1"/>
      <c r="EW622" s="1"/>
      <c r="EX622" s="1"/>
      <c r="EY622" s="1"/>
      <c r="EZ622" s="1"/>
      <c r="FA622" s="1"/>
      <c r="FB622" s="1"/>
      <c r="FC622" s="1"/>
      <c r="FD622" s="1"/>
      <c r="FE622" s="1"/>
      <c r="FF622" s="1"/>
      <c r="FG622" s="1"/>
      <c r="FH622" s="1"/>
      <c r="FI622" s="1"/>
      <c r="FJ622" s="1"/>
      <c r="FK622" s="1"/>
      <c r="FL622" s="1"/>
      <c r="FM622" s="1"/>
      <c r="FN622" s="1"/>
      <c r="FO622" s="1"/>
      <c r="FP622" s="1"/>
      <c r="FQ622" s="1"/>
      <c r="FR622" s="1"/>
      <c r="FS622" s="1"/>
      <c r="FT622" s="1"/>
      <c r="FU622" s="1"/>
      <c r="FV622" s="1"/>
      <c r="FW622" s="1"/>
      <c r="FX622" s="1"/>
      <c r="FY622" s="1"/>
      <c r="FZ622" s="1"/>
      <c r="GA622" s="1"/>
      <c r="GB622" s="1"/>
      <c r="GC622" s="1"/>
      <c r="GD622" s="1"/>
      <c r="GE622" s="1"/>
      <c r="GF622" s="1"/>
      <c r="GG622" s="1"/>
      <c r="GH622" s="1"/>
      <c r="GI622" s="1"/>
      <c r="GJ622" s="1"/>
      <c r="GK622" s="1"/>
      <c r="GL622" s="1"/>
      <c r="GM622" s="1"/>
      <c r="GN622" s="1"/>
      <c r="GO622" s="1"/>
      <c r="GP622" s="1"/>
      <c r="GQ622" s="1"/>
      <c r="GR622" s="1"/>
      <c r="GS622" s="1"/>
      <c r="GT622" s="1"/>
      <c r="GU622" s="1"/>
      <c r="GV622" s="1"/>
      <c r="GW622" s="1"/>
      <c r="GX622" s="1"/>
      <c r="GY622" s="1"/>
      <c r="GZ622" s="1"/>
      <c r="HA622" s="1"/>
      <c r="HB622" s="1"/>
      <c r="HC622" s="1"/>
      <c r="HD622" s="1"/>
      <c r="HE622" s="1"/>
      <c r="HF622" s="1"/>
      <c r="HG622" s="1"/>
      <c r="HH622" s="1"/>
      <c r="HI622" s="1"/>
      <c r="HJ622" s="1"/>
      <c r="HK622" s="1"/>
      <c r="HL622" s="1"/>
      <c r="HM622" s="1"/>
      <c r="HN622" s="1"/>
      <c r="HO622" s="1"/>
      <c r="HP622" s="1"/>
      <c r="HQ622" s="1"/>
      <c r="HR622" s="1"/>
      <c r="HS622" s="1"/>
      <c r="HT622" s="1"/>
      <c r="HU622" s="1"/>
      <c r="HV622" s="1"/>
      <c r="HW622" s="1"/>
      <c r="HX622" s="1"/>
      <c r="HY622" s="1"/>
      <c r="HZ622" s="1"/>
      <c r="IA622" s="1"/>
      <c r="IB622" s="1"/>
      <c r="IC622" s="1"/>
      <c r="ID622" s="1"/>
      <c r="IE622" s="1"/>
      <c r="IF622" s="1"/>
      <c r="IG622" s="1"/>
      <c r="IH622" s="1"/>
      <c r="II622" s="1"/>
      <c r="IJ622" s="1"/>
      <c r="IK622" s="1"/>
      <c r="IL622" s="1"/>
      <c r="IM622" s="1"/>
      <c r="IN622" s="1"/>
      <c r="IO622" s="1"/>
      <c r="IP622" s="1"/>
      <c r="IQ622" s="1"/>
      <c r="IR622" s="1"/>
      <c r="IS622" s="1"/>
      <c r="IT622" s="1"/>
      <c r="IU622" s="1"/>
      <c r="IV622" s="1"/>
      <c r="IW622" s="1"/>
      <c r="IX622" s="1"/>
      <c r="IY622" s="1"/>
      <c r="IZ622" s="1"/>
      <c r="JA622" s="1"/>
      <c r="JB622" s="1"/>
      <c r="JC622" s="1"/>
      <c r="JD622" s="1"/>
    </row>
    <row r="623" spans="1:264" s="411" customFormat="1" x14ac:dyDescent="0.2">
      <c r="A623" s="411" t="s">
        <v>1151</v>
      </c>
      <c r="B623" s="423"/>
      <c r="BH623" s="423"/>
      <c r="BI623" s="423"/>
      <c r="BJ623" s="423"/>
      <c r="BK623" s="423"/>
      <c r="BL623" s="423"/>
      <c r="BM623" s="423"/>
      <c r="BN623" s="423"/>
      <c r="BO623" s="423"/>
      <c r="BP623" s="423"/>
      <c r="BT623" s="423"/>
      <c r="BU623" s="498"/>
      <c r="BX623" s="423"/>
      <c r="BY623" s="498"/>
      <c r="CB623" s="423"/>
      <c r="CC623" s="498"/>
      <c r="CF623" s="423"/>
      <c r="CG623" s="498"/>
      <c r="CJ623" s="423"/>
      <c r="CK623" s="498"/>
      <c r="CN623" s="423"/>
      <c r="CO623" s="498"/>
      <c r="CR623" s="397"/>
      <c r="CS623" s="397"/>
      <c r="CT623" s="397"/>
      <c r="CV623" s="397">
        <f t="shared" ref="CV623" si="633">SUM(CV621:CV622)</f>
        <v>103</v>
      </c>
      <c r="CW623" s="397">
        <f t="shared" ref="CW623" si="634">SUM(CW621:CW622)</f>
        <v>148</v>
      </c>
      <c r="CX623" s="397">
        <f t="shared" ref="CX623" si="635">SUM(CX621:CX622)</f>
        <v>251</v>
      </c>
      <c r="CZ623" s="397">
        <f>SUM(CZ621:CZ622)</f>
        <v>155</v>
      </c>
      <c r="DA623" s="397">
        <f t="shared" ref="DA623:DB623" si="636">SUM(DA621:DA622)</f>
        <v>81</v>
      </c>
      <c r="DB623" s="397">
        <f t="shared" si="636"/>
        <v>236</v>
      </c>
      <c r="DD623" s="397">
        <f t="shared" ref="DD623:DF623" si="637">SUM(DD621:DD622)</f>
        <v>110</v>
      </c>
      <c r="DE623" s="397">
        <f t="shared" si="637"/>
        <v>122</v>
      </c>
      <c r="DF623" s="397">
        <f t="shared" si="637"/>
        <v>232</v>
      </c>
      <c r="DH623" s="397">
        <f t="shared" ref="DH623" si="638">SUM(DH621:DH622)</f>
        <v>112</v>
      </c>
      <c r="DI623" s="397">
        <f t="shared" ref="DI623:DJ623" si="639">SUM(DI621:DI622)</f>
        <v>116.18</v>
      </c>
      <c r="DJ623" s="397">
        <f t="shared" si="639"/>
        <v>228.18</v>
      </c>
      <c r="DL623" s="397">
        <f t="shared" ref="DL623" si="640">SUM(DL621:DL622)</f>
        <v>118.50360000000001</v>
      </c>
      <c r="DM623" s="397">
        <f t="shared" ref="DM623" si="641">SUM(DM621:DM622)</f>
        <v>120.87367200000001</v>
      </c>
      <c r="DN623" s="397">
        <f t="shared" ref="DN623" si="642">SUM(DN621:DN622)</f>
        <v>239.377272</v>
      </c>
      <c r="DP623" s="397">
        <f t="shared" ref="DP623:DR623" si="643">SUM(DP621:DP622)</f>
        <v>123.29114544000001</v>
      </c>
      <c r="DQ623" s="397">
        <f t="shared" si="643"/>
        <v>125.75696834880002</v>
      </c>
      <c r="DR623" s="397">
        <f t="shared" si="643"/>
        <v>249.04811378880004</v>
      </c>
      <c r="DT623" s="451"/>
      <c r="DU623" s="451"/>
      <c r="DV623" s="451"/>
      <c r="DW623" s="451"/>
      <c r="DX623" s="451"/>
      <c r="DY623" s="451"/>
      <c r="DZ623" s="451"/>
      <c r="EA623" s="451"/>
      <c r="EB623" s="451"/>
      <c r="EC623" s="451"/>
      <c r="ED623" s="451"/>
      <c r="EE623" s="451"/>
      <c r="EF623" s="451"/>
      <c r="EG623" s="451"/>
      <c r="EH623" s="451"/>
      <c r="EI623" s="451"/>
      <c r="EJ623" s="451"/>
      <c r="EK623" s="451"/>
      <c r="EL623" s="451"/>
      <c r="EM623" s="451"/>
      <c r="EN623" s="451"/>
      <c r="EO623" s="451"/>
      <c r="EP623" s="451"/>
      <c r="EQ623" s="451"/>
      <c r="ER623" s="451"/>
      <c r="ES623" s="451"/>
      <c r="ET623" s="451"/>
      <c r="EU623" s="451"/>
      <c r="EV623" s="451"/>
      <c r="EW623" s="451"/>
      <c r="EX623" s="451"/>
      <c r="EY623" s="451"/>
      <c r="EZ623" s="451"/>
      <c r="FA623" s="451"/>
      <c r="FB623" s="451"/>
      <c r="FC623" s="451"/>
      <c r="FD623" s="451"/>
      <c r="FE623" s="451"/>
      <c r="FF623" s="451"/>
      <c r="FG623" s="451"/>
      <c r="FH623" s="451"/>
      <c r="FI623" s="451"/>
      <c r="FJ623" s="451"/>
      <c r="FK623" s="451"/>
      <c r="FL623" s="451"/>
      <c r="FM623" s="451"/>
      <c r="FN623" s="451"/>
      <c r="FO623" s="451"/>
      <c r="FP623" s="451"/>
      <c r="FQ623" s="451"/>
      <c r="FR623" s="451"/>
      <c r="FS623" s="451"/>
      <c r="FT623" s="451"/>
      <c r="FU623" s="451"/>
      <c r="FV623" s="451"/>
      <c r="FW623" s="451"/>
      <c r="FX623" s="451"/>
      <c r="FY623" s="451"/>
      <c r="FZ623" s="451"/>
      <c r="GA623" s="451"/>
      <c r="GB623" s="451"/>
      <c r="GC623" s="451"/>
      <c r="GD623" s="451"/>
      <c r="GE623" s="451"/>
      <c r="GF623" s="451"/>
      <c r="GG623" s="451"/>
      <c r="GH623" s="451"/>
      <c r="GI623" s="451"/>
      <c r="GJ623" s="451"/>
      <c r="GK623" s="451"/>
      <c r="GL623" s="451"/>
      <c r="GM623" s="451"/>
      <c r="GN623" s="451"/>
      <c r="GO623" s="451"/>
      <c r="GP623" s="451"/>
      <c r="GQ623" s="451"/>
      <c r="GR623" s="451"/>
      <c r="GS623" s="451"/>
      <c r="GT623" s="451"/>
      <c r="GU623" s="451"/>
      <c r="GV623" s="451"/>
      <c r="GW623" s="451"/>
      <c r="GX623" s="451"/>
      <c r="GY623" s="451"/>
      <c r="GZ623" s="451"/>
      <c r="HA623" s="451"/>
      <c r="HB623" s="451"/>
      <c r="HC623" s="451"/>
      <c r="HD623" s="451"/>
      <c r="HE623" s="451"/>
      <c r="HF623" s="451"/>
      <c r="HG623" s="451"/>
      <c r="HH623" s="451"/>
      <c r="HI623" s="451"/>
      <c r="HJ623" s="451"/>
      <c r="HK623" s="451"/>
      <c r="HL623" s="451"/>
      <c r="HM623" s="451"/>
      <c r="HN623" s="451"/>
      <c r="HO623" s="451"/>
      <c r="HP623" s="451"/>
      <c r="HQ623" s="451"/>
      <c r="HR623" s="451"/>
      <c r="HS623" s="451"/>
      <c r="HT623" s="451"/>
      <c r="HU623" s="451"/>
      <c r="HV623" s="451"/>
      <c r="HW623" s="451"/>
      <c r="HX623" s="451"/>
      <c r="HY623" s="451"/>
      <c r="HZ623" s="451"/>
      <c r="IA623" s="451"/>
      <c r="IB623" s="451"/>
      <c r="IC623" s="451"/>
      <c r="ID623" s="451"/>
      <c r="IE623" s="451"/>
      <c r="IF623" s="451"/>
      <c r="IG623" s="451"/>
      <c r="IH623" s="451"/>
      <c r="II623" s="451"/>
      <c r="IJ623" s="451"/>
      <c r="IK623" s="451"/>
      <c r="IL623" s="451"/>
      <c r="IM623" s="451"/>
      <c r="IN623" s="451"/>
      <c r="IO623" s="451"/>
      <c r="IP623" s="451"/>
      <c r="IQ623" s="451"/>
      <c r="IR623" s="451"/>
      <c r="IS623" s="451"/>
      <c r="IT623" s="451"/>
      <c r="IU623" s="451"/>
      <c r="IV623" s="451"/>
      <c r="IW623" s="451"/>
      <c r="IX623" s="451"/>
      <c r="IY623" s="451"/>
      <c r="IZ623" s="451"/>
      <c r="JA623" s="451"/>
      <c r="JB623" s="451"/>
      <c r="JC623" s="451"/>
      <c r="JD623" s="451"/>
    </row>
    <row r="624" spans="1:264" s="347" customFormat="1" x14ac:dyDescent="0.2">
      <c r="B624" s="348"/>
      <c r="BH624" s="348"/>
      <c r="BI624" s="348"/>
      <c r="BJ624" s="348"/>
      <c r="BK624" s="348"/>
      <c r="BL624" s="348"/>
      <c r="BM624" s="348"/>
      <c r="BN624" s="348"/>
      <c r="BO624" s="348"/>
      <c r="BP624" s="348"/>
      <c r="BT624" s="348"/>
      <c r="BU624" s="400"/>
      <c r="BX624" s="348"/>
      <c r="BY624" s="400"/>
      <c r="CB624" s="348"/>
      <c r="CC624" s="400"/>
      <c r="CF624" s="348"/>
      <c r="CG624" s="400"/>
      <c r="CJ624" s="348"/>
      <c r="CK624" s="400"/>
      <c r="CN624" s="348"/>
      <c r="CO624" s="400"/>
      <c r="CR624" s="348"/>
      <c r="CV624" s="348"/>
      <c r="CZ624" s="348"/>
      <c r="DD624" s="348"/>
      <c r="DH624" s="348"/>
      <c r="DL624" s="348"/>
      <c r="DP624" s="348"/>
      <c r="DT624" s="1"/>
      <c r="DU624" s="1"/>
      <c r="DV624" s="1"/>
      <c r="DW624" s="1"/>
      <c r="DX624" s="1"/>
      <c r="DY624" s="1"/>
      <c r="DZ624" s="1"/>
      <c r="EA624" s="1"/>
      <c r="EB624" s="1"/>
      <c r="EC624" s="1"/>
      <c r="ED624" s="1"/>
      <c r="EE624" s="1"/>
      <c r="EF624" s="1"/>
      <c r="EG624" s="1"/>
      <c r="EH624" s="1"/>
      <c r="EI624" s="1"/>
      <c r="EJ624" s="1"/>
      <c r="EK624" s="1"/>
      <c r="EL624" s="1"/>
      <c r="EM624" s="1"/>
      <c r="EN624" s="1"/>
      <c r="EO624" s="1"/>
      <c r="EP624" s="1"/>
      <c r="EQ624" s="1"/>
      <c r="ER624" s="1"/>
      <c r="ES624" s="1"/>
      <c r="ET624" s="1"/>
      <c r="EU624" s="1"/>
      <c r="EV624" s="1"/>
      <c r="EW624" s="1"/>
      <c r="EX624" s="1"/>
      <c r="EY624" s="1"/>
      <c r="EZ624" s="1"/>
      <c r="FA624" s="1"/>
      <c r="FB624" s="1"/>
      <c r="FC624" s="1"/>
      <c r="FD624" s="1"/>
      <c r="FE624" s="1"/>
      <c r="FF624" s="1"/>
      <c r="FG624" s="1"/>
      <c r="FH624" s="1"/>
      <c r="FI624" s="1"/>
      <c r="FJ624" s="1"/>
      <c r="FK624" s="1"/>
      <c r="FL624" s="1"/>
      <c r="FM624" s="1"/>
      <c r="FN624" s="1"/>
      <c r="FO624" s="1"/>
      <c r="FP624" s="1"/>
      <c r="FQ624" s="1"/>
      <c r="FR624" s="1"/>
      <c r="FS624" s="1"/>
      <c r="FT624" s="1"/>
      <c r="FU624" s="1"/>
      <c r="FV624" s="1"/>
      <c r="FW624" s="1"/>
      <c r="FX624" s="1"/>
      <c r="FY624" s="1"/>
      <c r="FZ624" s="1"/>
      <c r="GA624" s="1"/>
      <c r="GB624" s="1"/>
      <c r="GC624" s="1"/>
      <c r="GD624" s="1"/>
      <c r="GE624" s="1"/>
      <c r="GF624" s="1"/>
      <c r="GG624" s="1"/>
      <c r="GH624" s="1"/>
      <c r="GI624" s="1"/>
      <c r="GJ624" s="1"/>
      <c r="GK624" s="1"/>
      <c r="GL624" s="1"/>
      <c r="GM624" s="1"/>
      <c r="GN624" s="1"/>
      <c r="GO624" s="1"/>
      <c r="GP624" s="1"/>
      <c r="GQ624" s="1"/>
      <c r="GR624" s="1"/>
      <c r="GS624" s="1"/>
      <c r="GT624" s="1"/>
      <c r="GU624" s="1"/>
      <c r="GV624" s="1"/>
      <c r="GW624" s="1"/>
      <c r="GX624" s="1"/>
      <c r="GY624" s="1"/>
      <c r="GZ624" s="1"/>
      <c r="HA624" s="1"/>
      <c r="HB624" s="1"/>
      <c r="HC624" s="1"/>
      <c r="HD624" s="1"/>
      <c r="HE624" s="1"/>
      <c r="HF624" s="1"/>
      <c r="HG624" s="1"/>
      <c r="HH624" s="1"/>
      <c r="HI624" s="1"/>
      <c r="HJ624" s="1"/>
      <c r="HK624" s="1"/>
      <c r="HL624" s="1"/>
      <c r="HM624" s="1"/>
      <c r="HN624" s="1"/>
      <c r="HO624" s="1"/>
      <c r="HP624" s="1"/>
      <c r="HQ624" s="1"/>
      <c r="HR624" s="1"/>
      <c r="HS624" s="1"/>
      <c r="HT624" s="1"/>
      <c r="HU624" s="1"/>
      <c r="HV624" s="1"/>
      <c r="HW624" s="1"/>
      <c r="HX624" s="1"/>
      <c r="HY624" s="1"/>
      <c r="HZ624" s="1"/>
      <c r="IA624" s="1"/>
      <c r="IB624" s="1"/>
      <c r="IC624" s="1"/>
      <c r="ID624" s="1"/>
      <c r="IE624" s="1"/>
      <c r="IF624" s="1"/>
      <c r="IG624" s="1"/>
      <c r="IH624" s="1"/>
      <c r="II624" s="1"/>
      <c r="IJ624" s="1"/>
      <c r="IK624" s="1"/>
      <c r="IL624" s="1"/>
      <c r="IM624" s="1"/>
      <c r="IN624" s="1"/>
      <c r="IO624" s="1"/>
      <c r="IP624" s="1"/>
      <c r="IQ624" s="1"/>
      <c r="IR624" s="1"/>
      <c r="IS624" s="1"/>
      <c r="IT624" s="1"/>
      <c r="IU624" s="1"/>
      <c r="IV624" s="1"/>
      <c r="IW624" s="1"/>
      <c r="IX624" s="1"/>
      <c r="IY624" s="1"/>
      <c r="IZ624" s="1"/>
      <c r="JA624" s="1"/>
      <c r="JB624" s="1"/>
      <c r="JC624" s="1"/>
      <c r="JD624" s="1"/>
    </row>
    <row r="625" spans="1:264" s="347" customFormat="1" x14ac:dyDescent="0.2">
      <c r="A625" s="347" t="s">
        <v>491</v>
      </c>
      <c r="B625" s="348"/>
      <c r="BH625" s="348"/>
      <c r="BI625" s="348"/>
      <c r="BJ625" s="348"/>
      <c r="BK625" s="348"/>
      <c r="BL625" s="348"/>
      <c r="BM625" s="348"/>
      <c r="BN625" s="348"/>
      <c r="BO625" s="348"/>
      <c r="BP625" s="348"/>
      <c r="BT625" s="348"/>
      <c r="BU625" s="400"/>
      <c r="BX625" s="348"/>
      <c r="BY625" s="400"/>
      <c r="CB625" s="398">
        <v>93</v>
      </c>
      <c r="CC625" s="398">
        <v>140</v>
      </c>
      <c r="CD625" s="351">
        <f>+CC625+CB625</f>
        <v>233</v>
      </c>
      <c r="CF625" s="398">
        <v>0</v>
      </c>
      <c r="CG625" s="398">
        <v>0</v>
      </c>
      <c r="CH625" s="351">
        <f>+CG625+CF625</f>
        <v>0</v>
      </c>
      <c r="CJ625" s="398">
        <v>0</v>
      </c>
      <c r="CK625" s="398">
        <v>0</v>
      </c>
      <c r="CL625" s="351">
        <f>+CK625+CJ625</f>
        <v>0</v>
      </c>
      <c r="CN625" s="398">
        <v>0</v>
      </c>
      <c r="CO625" s="398">
        <v>0</v>
      </c>
      <c r="CP625" s="351">
        <f>+CO625+CN625</f>
        <v>0</v>
      </c>
      <c r="CR625" s="398">
        <v>0</v>
      </c>
      <c r="CS625" s="398">
        <v>0</v>
      </c>
      <c r="CT625" s="351">
        <f>+CS625+CR625</f>
        <v>0</v>
      </c>
      <c r="CV625" s="398">
        <v>0</v>
      </c>
      <c r="CW625" s="398">
        <v>0</v>
      </c>
      <c r="CX625" s="351">
        <f>+CW625+CV625</f>
        <v>0</v>
      </c>
      <c r="CZ625" s="398">
        <v>0</v>
      </c>
      <c r="DA625" s="398">
        <v>0</v>
      </c>
      <c r="DB625" s="351">
        <f>+DA625+CZ625</f>
        <v>0</v>
      </c>
      <c r="DD625" s="398">
        <v>0</v>
      </c>
      <c r="DE625" s="398">
        <v>0</v>
      </c>
      <c r="DF625" s="351">
        <f>+DE625+DD625</f>
        <v>0</v>
      </c>
      <c r="DH625" s="398">
        <v>0</v>
      </c>
      <c r="DI625" s="351">
        <f>+DH625*(1+DI632)</f>
        <v>0</v>
      </c>
      <c r="DJ625" s="351">
        <f>+DI625+DH625</f>
        <v>0</v>
      </c>
      <c r="DL625" s="351">
        <f>+DI625*(1+DL632)</f>
        <v>0</v>
      </c>
      <c r="DM625" s="351">
        <f>+DL625*(1+DM632)</f>
        <v>0</v>
      </c>
      <c r="DN625" s="351">
        <f>+DM625+DL625</f>
        <v>0</v>
      </c>
      <c r="DP625" s="351">
        <f>+DM625*(1+DP632)</f>
        <v>0</v>
      </c>
      <c r="DQ625" s="351">
        <f>+DP625*(1+DQ632)</f>
        <v>0</v>
      </c>
      <c r="DR625" s="351">
        <f>+DQ625+DP625</f>
        <v>0</v>
      </c>
      <c r="DT625" s="1"/>
      <c r="DU625" s="1"/>
      <c r="DV625" s="1"/>
      <c r="DW625" s="1"/>
      <c r="DX625" s="1"/>
      <c r="DY625" s="1"/>
      <c r="DZ625" s="1"/>
      <c r="EA625" s="1"/>
      <c r="EB625" s="1"/>
      <c r="EC625" s="1"/>
      <c r="ED625" s="1"/>
      <c r="EE625" s="1"/>
      <c r="EF625" s="1"/>
      <c r="EG625" s="1"/>
      <c r="EH625" s="1"/>
      <c r="EI625" s="1"/>
      <c r="EJ625" s="1"/>
      <c r="EK625" s="1"/>
      <c r="EL625" s="1"/>
      <c r="EM625" s="1"/>
      <c r="EN625" s="1"/>
      <c r="EO625" s="1"/>
      <c r="EP625" s="1"/>
      <c r="EQ625" s="1"/>
      <c r="ER625" s="1"/>
      <c r="ES625" s="1"/>
      <c r="ET625" s="1"/>
      <c r="EU625" s="1"/>
      <c r="EV625" s="1"/>
      <c r="EW625" s="1"/>
      <c r="EX625" s="1"/>
      <c r="EY625" s="1"/>
      <c r="EZ625" s="1"/>
      <c r="FA625" s="1"/>
      <c r="FB625" s="1"/>
      <c r="FC625" s="1"/>
      <c r="FD625" s="1"/>
      <c r="FE625" s="1"/>
      <c r="FF625" s="1"/>
      <c r="FG625" s="1"/>
      <c r="FH625" s="1"/>
      <c r="FI625" s="1"/>
      <c r="FJ625" s="1"/>
      <c r="FK625" s="1"/>
      <c r="FL625" s="1"/>
      <c r="FM625" s="1"/>
      <c r="FN625" s="1"/>
      <c r="FO625" s="1"/>
      <c r="FP625" s="1"/>
      <c r="FQ625" s="1"/>
      <c r="FR625" s="1"/>
      <c r="FS625" s="1"/>
      <c r="FT625" s="1"/>
      <c r="FU625" s="1"/>
      <c r="FV625" s="1"/>
      <c r="FW625" s="1"/>
      <c r="FX625" s="1"/>
      <c r="FY625" s="1"/>
      <c r="FZ625" s="1"/>
      <c r="GA625" s="1"/>
      <c r="GB625" s="1"/>
      <c r="GC625" s="1"/>
      <c r="GD625" s="1"/>
      <c r="GE625" s="1"/>
      <c r="GF625" s="1"/>
      <c r="GG625" s="1"/>
      <c r="GH625" s="1"/>
      <c r="GI625" s="1"/>
      <c r="GJ625" s="1"/>
      <c r="GK625" s="1"/>
      <c r="GL625" s="1"/>
      <c r="GM625" s="1"/>
      <c r="GN625" s="1"/>
      <c r="GO625" s="1"/>
      <c r="GP625" s="1"/>
      <c r="GQ625" s="1"/>
      <c r="GR625" s="1"/>
      <c r="GS625" s="1"/>
      <c r="GT625" s="1"/>
      <c r="GU625" s="1"/>
      <c r="GV625" s="1"/>
      <c r="GW625" s="1"/>
      <c r="GX625" s="1"/>
      <c r="GY625" s="1"/>
      <c r="GZ625" s="1"/>
      <c r="HA625" s="1"/>
      <c r="HB625" s="1"/>
      <c r="HC625" s="1"/>
      <c r="HD625" s="1"/>
      <c r="HE625" s="1"/>
      <c r="HF625" s="1"/>
      <c r="HG625" s="1"/>
      <c r="HH625" s="1"/>
      <c r="HI625" s="1"/>
      <c r="HJ625" s="1"/>
      <c r="HK625" s="1"/>
      <c r="HL625" s="1"/>
      <c r="HM625" s="1"/>
      <c r="HN625" s="1"/>
      <c r="HO625" s="1"/>
      <c r="HP625" s="1"/>
      <c r="HQ625" s="1"/>
      <c r="HR625" s="1"/>
      <c r="HS625" s="1"/>
      <c r="HT625" s="1"/>
      <c r="HU625" s="1"/>
      <c r="HV625" s="1"/>
      <c r="HW625" s="1"/>
      <c r="HX625" s="1"/>
      <c r="HY625" s="1"/>
      <c r="HZ625" s="1"/>
      <c r="IA625" s="1"/>
      <c r="IB625" s="1"/>
      <c r="IC625" s="1"/>
      <c r="ID625" s="1"/>
      <c r="IE625" s="1"/>
      <c r="IF625" s="1"/>
      <c r="IG625" s="1"/>
      <c r="IH625" s="1"/>
      <c r="II625" s="1"/>
      <c r="IJ625" s="1"/>
      <c r="IK625" s="1"/>
      <c r="IL625" s="1"/>
      <c r="IM625" s="1"/>
      <c r="IN625" s="1"/>
      <c r="IO625" s="1"/>
      <c r="IP625" s="1"/>
      <c r="IQ625" s="1"/>
      <c r="IR625" s="1"/>
      <c r="IS625" s="1"/>
      <c r="IT625" s="1"/>
      <c r="IU625" s="1"/>
      <c r="IV625" s="1"/>
      <c r="IW625" s="1"/>
      <c r="IX625" s="1"/>
      <c r="IY625" s="1"/>
      <c r="IZ625" s="1"/>
      <c r="JA625" s="1"/>
      <c r="JB625" s="1"/>
      <c r="JC625" s="1"/>
      <c r="JD625" s="1"/>
    </row>
    <row r="626" spans="1:264" s="347" customFormat="1" x14ac:dyDescent="0.2">
      <c r="A626" s="347" t="s">
        <v>492</v>
      </c>
      <c r="B626" s="348"/>
      <c r="BH626" s="348"/>
      <c r="BI626" s="348"/>
      <c r="BJ626" s="348"/>
      <c r="BK626" s="348"/>
      <c r="BL626" s="348"/>
      <c r="BM626" s="348"/>
      <c r="BN626" s="348"/>
      <c r="BO626" s="348"/>
      <c r="BP626" s="348"/>
      <c r="BT626" s="348"/>
      <c r="BU626" s="400"/>
      <c r="BX626" s="348"/>
      <c r="BY626" s="400"/>
      <c r="CB626" s="398">
        <v>0</v>
      </c>
      <c r="CC626" s="398">
        <v>0</v>
      </c>
      <c r="CD626" s="351">
        <f>+CB626+CC626</f>
        <v>0</v>
      </c>
      <c r="CF626" s="398">
        <v>0</v>
      </c>
      <c r="CG626" s="398">
        <v>0</v>
      </c>
      <c r="CH626" s="351">
        <f>+CF626+CG626</f>
        <v>0</v>
      </c>
      <c r="CJ626" s="398">
        <v>0</v>
      </c>
      <c r="CK626" s="398">
        <v>-92</v>
      </c>
      <c r="CL626" s="351">
        <f>+CJ626+CK626</f>
        <v>-92</v>
      </c>
      <c r="CN626" s="398">
        <v>-124</v>
      </c>
      <c r="CO626" s="398">
        <f>200+12</f>
        <v>212</v>
      </c>
      <c r="CP626" s="351">
        <f>+CN626+CO626</f>
        <v>88</v>
      </c>
      <c r="CR626" s="398">
        <f>8+50</f>
        <v>58</v>
      </c>
      <c r="CS626" s="398">
        <v>0</v>
      </c>
      <c r="CT626" s="351">
        <f>+CR626+CS626</f>
        <v>58</v>
      </c>
      <c r="CV626" s="398">
        <v>4</v>
      </c>
      <c r="CW626" s="398">
        <v>0</v>
      </c>
      <c r="CX626" s="351">
        <f>+CV626+CW626</f>
        <v>4</v>
      </c>
      <c r="CZ626" s="601">
        <v>-100</v>
      </c>
      <c r="DA626" s="406">
        <v>-50</v>
      </c>
      <c r="DB626" s="351">
        <f>+CZ626+DA626</f>
        <v>-150</v>
      </c>
      <c r="DD626" s="398">
        <v>0</v>
      </c>
      <c r="DE626" s="406">
        <f>-66-222</f>
        <v>-288</v>
      </c>
      <c r="DF626" s="351">
        <f>+DD626+DE626</f>
        <v>-288</v>
      </c>
      <c r="DH626" s="398">
        <v>0</v>
      </c>
      <c r="DI626" s="398">
        <v>0</v>
      </c>
      <c r="DJ626" s="351">
        <f>+DH626+DI626</f>
        <v>0</v>
      </c>
      <c r="DL626" s="398">
        <v>0</v>
      </c>
      <c r="DM626" s="398">
        <v>0</v>
      </c>
      <c r="DN626" s="351">
        <f>+DL626+DM626</f>
        <v>0</v>
      </c>
      <c r="DP626" s="398">
        <v>0</v>
      </c>
      <c r="DQ626" s="398">
        <v>0</v>
      </c>
      <c r="DR626" s="351">
        <f>+DP626+DQ626</f>
        <v>0</v>
      </c>
      <c r="DT626" s="1"/>
      <c r="DU626" s="1"/>
      <c r="DV626" s="1"/>
      <c r="DW626" s="1"/>
      <c r="DX626" s="1"/>
      <c r="DY626" s="1"/>
      <c r="DZ626" s="1"/>
      <c r="EA626" s="1"/>
      <c r="EB626" s="1"/>
      <c r="EC626" s="1"/>
      <c r="ED626" s="1"/>
      <c r="EE626" s="1"/>
      <c r="EF626" s="1"/>
      <c r="EG626" s="1"/>
      <c r="EH626" s="1"/>
      <c r="EI626" s="1"/>
      <c r="EJ626" s="1"/>
      <c r="EK626" s="1"/>
      <c r="EL626" s="1"/>
      <c r="EM626" s="1"/>
      <c r="EN626" s="1"/>
      <c r="EO626" s="1"/>
      <c r="EP626" s="1"/>
      <c r="EQ626" s="1"/>
      <c r="ER626" s="1"/>
      <c r="ES626" s="1"/>
      <c r="ET626" s="1"/>
      <c r="EU626" s="1"/>
      <c r="EV626" s="1"/>
      <c r="EW626" s="1"/>
      <c r="EX626" s="1"/>
      <c r="EY626" s="1"/>
      <c r="EZ626" s="1"/>
      <c r="FA626" s="1"/>
      <c r="FB626" s="1"/>
      <c r="FC626" s="1"/>
      <c r="FD626" s="1"/>
      <c r="FE626" s="1"/>
      <c r="FF626" s="1"/>
      <c r="FG626" s="1"/>
      <c r="FH626" s="1"/>
      <c r="FI626" s="1"/>
      <c r="FJ626" s="1"/>
      <c r="FK626" s="1"/>
      <c r="FL626" s="1"/>
      <c r="FM626" s="1"/>
      <c r="FN626" s="1"/>
      <c r="FO626" s="1"/>
      <c r="FP626" s="1"/>
      <c r="FQ626" s="1"/>
      <c r="FR626" s="1"/>
      <c r="FS626" s="1"/>
      <c r="FT626" s="1"/>
      <c r="FU626" s="1"/>
      <c r="FV626" s="1"/>
      <c r="FW626" s="1"/>
      <c r="FX626" s="1"/>
      <c r="FY626" s="1"/>
      <c r="FZ626" s="1"/>
      <c r="GA626" s="1"/>
      <c r="GB626" s="1"/>
      <c r="GC626" s="1"/>
      <c r="GD626" s="1"/>
      <c r="GE626" s="1"/>
      <c r="GF626" s="1"/>
      <c r="GG626" s="1"/>
      <c r="GH626" s="1"/>
      <c r="GI626" s="1"/>
      <c r="GJ626" s="1"/>
      <c r="GK626" s="1"/>
      <c r="GL626" s="1"/>
      <c r="GM626" s="1"/>
      <c r="GN626" s="1"/>
      <c r="GO626" s="1"/>
      <c r="GP626" s="1"/>
      <c r="GQ626" s="1"/>
      <c r="GR626" s="1"/>
      <c r="GS626" s="1"/>
      <c r="GT626" s="1"/>
      <c r="GU626" s="1"/>
      <c r="GV626" s="1"/>
      <c r="GW626" s="1"/>
      <c r="GX626" s="1"/>
      <c r="GY626" s="1"/>
      <c r="GZ626" s="1"/>
      <c r="HA626" s="1"/>
      <c r="HB626" s="1"/>
      <c r="HC626" s="1"/>
      <c r="HD626" s="1"/>
      <c r="HE626" s="1"/>
      <c r="HF626" s="1"/>
      <c r="HG626" s="1"/>
      <c r="HH626" s="1"/>
      <c r="HI626" s="1"/>
      <c r="HJ626" s="1"/>
      <c r="HK626" s="1"/>
      <c r="HL626" s="1"/>
      <c r="HM626" s="1"/>
      <c r="HN626" s="1"/>
      <c r="HO626" s="1"/>
      <c r="HP626" s="1"/>
      <c r="HQ626" s="1"/>
      <c r="HR626" s="1"/>
      <c r="HS626" s="1"/>
      <c r="HT626" s="1"/>
      <c r="HU626" s="1"/>
      <c r="HV626" s="1"/>
      <c r="HW626" s="1"/>
      <c r="HX626" s="1"/>
      <c r="HY626" s="1"/>
      <c r="HZ626" s="1"/>
      <c r="IA626" s="1"/>
      <c r="IB626" s="1"/>
      <c r="IC626" s="1"/>
      <c r="ID626" s="1"/>
      <c r="IE626" s="1"/>
      <c r="IF626" s="1"/>
      <c r="IG626" s="1"/>
      <c r="IH626" s="1"/>
      <c r="II626" s="1"/>
      <c r="IJ626" s="1"/>
      <c r="IK626" s="1"/>
      <c r="IL626" s="1"/>
      <c r="IM626" s="1"/>
      <c r="IN626" s="1"/>
      <c r="IO626" s="1"/>
      <c r="IP626" s="1"/>
      <c r="IQ626" s="1"/>
      <c r="IR626" s="1"/>
      <c r="IS626" s="1"/>
      <c r="IT626" s="1"/>
      <c r="IU626" s="1"/>
      <c r="IV626" s="1"/>
      <c r="IW626" s="1"/>
      <c r="IX626" s="1"/>
      <c r="IY626" s="1"/>
      <c r="IZ626" s="1"/>
      <c r="JA626" s="1"/>
      <c r="JB626" s="1"/>
      <c r="JC626" s="1"/>
      <c r="JD626" s="1"/>
    </row>
    <row r="627" spans="1:264" s="347" customFormat="1" x14ac:dyDescent="0.2">
      <c r="A627" s="347" t="s">
        <v>493</v>
      </c>
      <c r="B627" s="348"/>
      <c r="BH627" s="348"/>
      <c r="BI627" s="348"/>
      <c r="BJ627" s="348"/>
      <c r="BK627" s="348"/>
      <c r="BL627" s="348"/>
      <c r="BM627" s="348"/>
      <c r="BN627" s="348"/>
      <c r="BO627" s="348"/>
      <c r="BP627" s="348"/>
      <c r="BT627" s="348"/>
      <c r="BU627" s="400"/>
      <c r="BX627" s="348"/>
      <c r="BY627" s="400"/>
      <c r="CB627" s="398">
        <v>0</v>
      </c>
      <c r="CC627" s="398">
        <v>-80</v>
      </c>
      <c r="CD627" s="351">
        <f>+CC627+CB627</f>
        <v>-80</v>
      </c>
      <c r="CF627" s="398">
        <v>0</v>
      </c>
      <c r="CG627" s="398">
        <v>0</v>
      </c>
      <c r="CH627" s="351">
        <f>+CG627+CF627</f>
        <v>0</v>
      </c>
      <c r="CJ627" s="398">
        <v>0</v>
      </c>
      <c r="CK627" s="398">
        <v>0</v>
      </c>
      <c r="CL627" s="351">
        <f>+CK627+CJ627</f>
        <v>0</v>
      </c>
      <c r="CN627" s="398">
        <v>0</v>
      </c>
      <c r="CO627" s="398">
        <v>0</v>
      </c>
      <c r="CP627" s="351">
        <f>+CO627+CN627</f>
        <v>0</v>
      </c>
      <c r="CR627" s="398">
        <v>50</v>
      </c>
      <c r="CS627" s="398">
        <v>516</v>
      </c>
      <c r="CT627" s="351">
        <f>+CS627+CR627</f>
        <v>566</v>
      </c>
      <c r="CV627" s="398">
        <v>0</v>
      </c>
      <c r="CW627" s="398">
        <v>0</v>
      </c>
      <c r="CX627" s="351">
        <f>+CW627+CV627</f>
        <v>0</v>
      </c>
      <c r="CZ627" s="398">
        <v>0</v>
      </c>
      <c r="DA627" s="398">
        <v>0</v>
      </c>
      <c r="DB627" s="351">
        <f>+DA627+CZ627</f>
        <v>0</v>
      </c>
      <c r="DD627" s="398">
        <v>0</v>
      </c>
      <c r="DE627" s="398">
        <v>0</v>
      </c>
      <c r="DF627" s="351">
        <f>+DE627+DD627</f>
        <v>0</v>
      </c>
      <c r="DH627" s="406">
        <v>53</v>
      </c>
      <c r="DI627" s="398">
        <v>0</v>
      </c>
      <c r="DJ627" s="351">
        <f>+DI627+DH627</f>
        <v>53</v>
      </c>
      <c r="DL627" s="398">
        <v>0</v>
      </c>
      <c r="DM627" s="398">
        <v>0</v>
      </c>
      <c r="DN627" s="351">
        <f>+DM627+DL627</f>
        <v>0</v>
      </c>
      <c r="DP627" s="398">
        <v>0</v>
      </c>
      <c r="DQ627" s="398">
        <v>0</v>
      </c>
      <c r="DR627" s="351">
        <f>+DQ627+DP627</f>
        <v>0</v>
      </c>
      <c r="DT627" s="1"/>
      <c r="DU627" s="1"/>
      <c r="DV627" s="1"/>
      <c r="DW627" s="1"/>
      <c r="DX627" s="1"/>
      <c r="DY627" s="1"/>
      <c r="DZ627" s="1"/>
      <c r="EA627" s="1"/>
      <c r="EB627" s="1"/>
      <c r="EC627" s="1"/>
      <c r="ED627" s="1"/>
      <c r="EE627" s="1"/>
      <c r="EF627" s="1"/>
      <c r="EG627" s="1"/>
      <c r="EH627" s="1"/>
      <c r="EI627" s="1"/>
      <c r="EJ627" s="1"/>
      <c r="EK627" s="1"/>
      <c r="EL627" s="1"/>
      <c r="EM627" s="1"/>
      <c r="EN627" s="1"/>
      <c r="EO627" s="1"/>
      <c r="EP627" s="1"/>
      <c r="EQ627" s="1"/>
      <c r="ER627" s="1"/>
      <c r="ES627" s="1"/>
      <c r="ET627" s="1"/>
      <c r="EU627" s="1"/>
      <c r="EV627" s="1"/>
      <c r="EW627" s="1"/>
      <c r="EX627" s="1"/>
      <c r="EY627" s="1"/>
      <c r="EZ627" s="1"/>
      <c r="FA627" s="1"/>
      <c r="FB627" s="1"/>
      <c r="FC627" s="1"/>
      <c r="FD627" s="1"/>
      <c r="FE627" s="1"/>
      <c r="FF627" s="1"/>
      <c r="FG627" s="1"/>
      <c r="FH627" s="1"/>
      <c r="FI627" s="1"/>
      <c r="FJ627" s="1"/>
      <c r="FK627" s="1"/>
      <c r="FL627" s="1"/>
      <c r="FM627" s="1"/>
      <c r="FN627" s="1"/>
      <c r="FO627" s="1"/>
      <c r="FP627" s="1"/>
      <c r="FQ627" s="1"/>
      <c r="FR627" s="1"/>
      <c r="FS627" s="1"/>
      <c r="FT627" s="1"/>
      <c r="FU627" s="1"/>
      <c r="FV627" s="1"/>
      <c r="FW627" s="1"/>
      <c r="FX627" s="1"/>
      <c r="FY627" s="1"/>
      <c r="FZ627" s="1"/>
      <c r="GA627" s="1"/>
      <c r="GB627" s="1"/>
      <c r="GC627" s="1"/>
      <c r="GD627" s="1"/>
      <c r="GE627" s="1"/>
      <c r="GF627" s="1"/>
      <c r="GG627" s="1"/>
      <c r="GH627" s="1"/>
      <c r="GI627" s="1"/>
      <c r="GJ627" s="1"/>
      <c r="GK627" s="1"/>
      <c r="GL627" s="1"/>
      <c r="GM627" s="1"/>
      <c r="GN627" s="1"/>
      <c r="GO627" s="1"/>
      <c r="GP627" s="1"/>
      <c r="GQ627" s="1"/>
      <c r="GR627" s="1"/>
      <c r="GS627" s="1"/>
      <c r="GT627" s="1"/>
      <c r="GU627" s="1"/>
      <c r="GV627" s="1"/>
      <c r="GW627" s="1"/>
      <c r="GX627" s="1"/>
      <c r="GY627" s="1"/>
      <c r="GZ627" s="1"/>
      <c r="HA627" s="1"/>
      <c r="HB627" s="1"/>
      <c r="HC627" s="1"/>
      <c r="HD627" s="1"/>
      <c r="HE627" s="1"/>
      <c r="HF627" s="1"/>
      <c r="HG627" s="1"/>
      <c r="HH627" s="1"/>
      <c r="HI627" s="1"/>
      <c r="HJ627" s="1"/>
      <c r="HK627" s="1"/>
      <c r="HL627" s="1"/>
      <c r="HM627" s="1"/>
      <c r="HN627" s="1"/>
      <c r="HO627" s="1"/>
      <c r="HP627" s="1"/>
      <c r="HQ627" s="1"/>
      <c r="HR627" s="1"/>
      <c r="HS627" s="1"/>
      <c r="HT627" s="1"/>
      <c r="HU627" s="1"/>
      <c r="HV627" s="1"/>
      <c r="HW627" s="1"/>
      <c r="HX627" s="1"/>
      <c r="HY627" s="1"/>
      <c r="HZ627" s="1"/>
      <c r="IA627" s="1"/>
      <c r="IB627" s="1"/>
      <c r="IC627" s="1"/>
      <c r="ID627" s="1"/>
      <c r="IE627" s="1"/>
      <c r="IF627" s="1"/>
      <c r="IG627" s="1"/>
      <c r="IH627" s="1"/>
      <c r="II627" s="1"/>
      <c r="IJ627" s="1"/>
      <c r="IK627" s="1"/>
      <c r="IL627" s="1"/>
      <c r="IM627" s="1"/>
      <c r="IN627" s="1"/>
      <c r="IO627" s="1"/>
      <c r="IP627" s="1"/>
      <c r="IQ627" s="1"/>
      <c r="IR627" s="1"/>
      <c r="IS627" s="1"/>
      <c r="IT627" s="1"/>
      <c r="IU627" s="1"/>
      <c r="IV627" s="1"/>
      <c r="IW627" s="1"/>
      <c r="IX627" s="1"/>
      <c r="IY627" s="1"/>
      <c r="IZ627" s="1"/>
      <c r="JA627" s="1"/>
      <c r="JB627" s="1"/>
      <c r="JC627" s="1"/>
      <c r="JD627" s="1"/>
    </row>
    <row r="628" spans="1:264" s="347" customFormat="1" x14ac:dyDescent="0.2">
      <c r="A628" s="347" t="s">
        <v>494</v>
      </c>
      <c r="B628" s="348"/>
      <c r="BH628" s="348"/>
      <c r="BI628" s="348"/>
      <c r="BJ628" s="348"/>
      <c r="BK628" s="348"/>
      <c r="BL628" s="348"/>
      <c r="BM628" s="348"/>
      <c r="BN628" s="348"/>
      <c r="BO628" s="348"/>
      <c r="BP628" s="348"/>
      <c r="BT628" s="348"/>
      <c r="BU628" s="400"/>
      <c r="BX628" s="348"/>
      <c r="BY628" s="400"/>
      <c r="CB628" s="398"/>
      <c r="CC628" s="398"/>
      <c r="CD628" s="351"/>
      <c r="CF628" s="398"/>
      <c r="CG628" s="398"/>
      <c r="CH628" s="351"/>
      <c r="CJ628" s="398">
        <v>96</v>
      </c>
      <c r="CK628" s="398">
        <v>74</v>
      </c>
      <c r="CL628" s="351">
        <f>+CJ628+CK628</f>
        <v>170</v>
      </c>
      <c r="CN628" s="398">
        <f>131</f>
        <v>131</v>
      </c>
      <c r="CO628" s="398">
        <f>468-200</f>
        <v>268</v>
      </c>
      <c r="CP628" s="351">
        <f>+CO628+CN628</f>
        <v>399</v>
      </c>
      <c r="CR628" s="398">
        <f>259-50</f>
        <v>209</v>
      </c>
      <c r="CS628" s="398">
        <f>753-516</f>
        <v>237</v>
      </c>
      <c r="CT628" s="351">
        <f>+CS628+CR628</f>
        <v>446</v>
      </c>
      <c r="CU628" s="1"/>
      <c r="CV628" s="406">
        <f>-15+30</f>
        <v>15</v>
      </c>
      <c r="CW628" s="406">
        <f>128-132</f>
        <v>-4</v>
      </c>
      <c r="CX628" s="351">
        <f>+CW628+CV628</f>
        <v>11</v>
      </c>
      <c r="CZ628" s="406">
        <f>-42-CZ626</f>
        <v>58</v>
      </c>
      <c r="DA628" s="406">
        <f>-53-DA626</f>
        <v>-3</v>
      </c>
      <c r="DB628" s="351">
        <f>+DA628+CZ628</f>
        <v>55</v>
      </c>
      <c r="DD628" s="406">
        <f>-30-DD626</f>
        <v>-30</v>
      </c>
      <c r="DE628" s="406">
        <f>-115--222</f>
        <v>107</v>
      </c>
      <c r="DF628" s="351">
        <f>+DE628+DD628</f>
        <v>77</v>
      </c>
      <c r="DH628" s="399">
        <v>42</v>
      </c>
      <c r="DI628" s="351">
        <f>+DH628*(1+DI633)</f>
        <v>42.84</v>
      </c>
      <c r="DJ628" s="351">
        <f>+DI628+DH628</f>
        <v>84.84</v>
      </c>
      <c r="DL628" s="351">
        <f>+DI628*(1+DL633)</f>
        <v>43.696800000000003</v>
      </c>
      <c r="DM628" s="351">
        <f>+DL628*(1+DM633)</f>
        <v>44.570736000000004</v>
      </c>
      <c r="DN628" s="351">
        <f>+DM628+DL628</f>
        <v>88.267536000000007</v>
      </c>
      <c r="DP628" s="351">
        <f>+DM628*(1+DP633)</f>
        <v>45.462150720000004</v>
      </c>
      <c r="DQ628" s="351">
        <f>+DP628*(1+DQ633)</f>
        <v>46.371393734400002</v>
      </c>
      <c r="DR628" s="351">
        <f>+DQ628+DP628</f>
        <v>91.833544454399998</v>
      </c>
      <c r="DT628" s="1"/>
      <c r="DU628" s="1"/>
      <c r="DV628" s="1"/>
      <c r="DW628" s="1"/>
      <c r="DX628" s="1"/>
      <c r="DY628" s="1"/>
      <c r="DZ628" s="1"/>
      <c r="EA628" s="1"/>
      <c r="EB628" s="1"/>
      <c r="EC628" s="1"/>
      <c r="ED628" s="1"/>
      <c r="EE628" s="1"/>
      <c r="EF628" s="1"/>
      <c r="EG628" s="1"/>
      <c r="EH628" s="1"/>
      <c r="EI628" s="1"/>
      <c r="EJ628" s="1"/>
      <c r="EK628" s="1"/>
      <c r="EL628" s="1"/>
      <c r="EM628" s="1"/>
      <c r="EN628" s="1"/>
      <c r="EO628" s="1"/>
      <c r="EP628" s="1"/>
      <c r="EQ628" s="1"/>
      <c r="ER628" s="1"/>
      <c r="ES628" s="1"/>
      <c r="ET628" s="1"/>
      <c r="EU628" s="1"/>
      <c r="EV628" s="1"/>
      <c r="EW628" s="1"/>
      <c r="EX628" s="1"/>
      <c r="EY628" s="1"/>
      <c r="EZ628" s="1"/>
      <c r="FA628" s="1"/>
      <c r="FB628" s="1"/>
      <c r="FC628" s="1"/>
      <c r="FD628" s="1"/>
      <c r="FE628" s="1"/>
      <c r="FF628" s="1"/>
      <c r="FG628" s="1"/>
      <c r="FH628" s="1"/>
      <c r="FI628" s="1"/>
      <c r="FJ628" s="1"/>
      <c r="FK628" s="1"/>
      <c r="FL628" s="1"/>
      <c r="FM628" s="1"/>
      <c r="FN628" s="1"/>
      <c r="FO628" s="1"/>
      <c r="FP628" s="1"/>
      <c r="FQ628" s="1"/>
      <c r="FR628" s="1"/>
      <c r="FS628" s="1"/>
      <c r="FT628" s="1"/>
      <c r="FU628" s="1"/>
      <c r="FV628" s="1"/>
      <c r="FW628" s="1"/>
      <c r="FX628" s="1"/>
      <c r="FY628" s="1"/>
      <c r="FZ628" s="1"/>
      <c r="GA628" s="1"/>
      <c r="GB628" s="1"/>
      <c r="GC628" s="1"/>
      <c r="GD628" s="1"/>
      <c r="GE628" s="1"/>
      <c r="GF628" s="1"/>
      <c r="GG628" s="1"/>
      <c r="GH628" s="1"/>
      <c r="GI628" s="1"/>
      <c r="GJ628" s="1"/>
      <c r="GK628" s="1"/>
      <c r="GL628" s="1"/>
      <c r="GM628" s="1"/>
      <c r="GN628" s="1"/>
      <c r="GO628" s="1"/>
      <c r="GP628" s="1"/>
      <c r="GQ628" s="1"/>
      <c r="GR628" s="1"/>
      <c r="GS628" s="1"/>
      <c r="GT628" s="1"/>
      <c r="GU628" s="1"/>
      <c r="GV628" s="1"/>
      <c r="GW628" s="1"/>
      <c r="GX628" s="1"/>
      <c r="GY628" s="1"/>
      <c r="GZ628" s="1"/>
      <c r="HA628" s="1"/>
      <c r="HB628" s="1"/>
      <c r="HC628" s="1"/>
      <c r="HD628" s="1"/>
      <c r="HE628" s="1"/>
      <c r="HF628" s="1"/>
      <c r="HG628" s="1"/>
      <c r="HH628" s="1"/>
      <c r="HI628" s="1"/>
      <c r="HJ628" s="1"/>
      <c r="HK628" s="1"/>
      <c r="HL628" s="1"/>
      <c r="HM628" s="1"/>
      <c r="HN628" s="1"/>
      <c r="HO628" s="1"/>
      <c r="HP628" s="1"/>
      <c r="HQ628" s="1"/>
      <c r="HR628" s="1"/>
      <c r="HS628" s="1"/>
      <c r="HT628" s="1"/>
      <c r="HU628" s="1"/>
      <c r="HV628" s="1"/>
      <c r="HW628" s="1"/>
      <c r="HX628" s="1"/>
      <c r="HY628" s="1"/>
      <c r="HZ628" s="1"/>
      <c r="IA628" s="1"/>
      <c r="IB628" s="1"/>
      <c r="IC628" s="1"/>
      <c r="ID628" s="1"/>
      <c r="IE628" s="1"/>
      <c r="IF628" s="1"/>
      <c r="IG628" s="1"/>
      <c r="IH628" s="1"/>
      <c r="II628" s="1"/>
      <c r="IJ628" s="1"/>
      <c r="IK628" s="1"/>
      <c r="IL628" s="1"/>
      <c r="IM628" s="1"/>
      <c r="IN628" s="1"/>
      <c r="IO628" s="1"/>
      <c r="IP628" s="1"/>
      <c r="IQ628" s="1"/>
      <c r="IR628" s="1"/>
      <c r="IS628" s="1"/>
      <c r="IT628" s="1"/>
      <c r="IU628" s="1"/>
      <c r="IV628" s="1"/>
      <c r="IW628" s="1"/>
      <c r="IX628" s="1"/>
      <c r="IY628" s="1"/>
      <c r="IZ628" s="1"/>
      <c r="JA628" s="1"/>
      <c r="JB628" s="1"/>
      <c r="JC628" s="1"/>
      <c r="JD628" s="1"/>
    </row>
    <row r="629" spans="1:264" s="347" customFormat="1" x14ac:dyDescent="0.2">
      <c r="A629" s="347" t="s">
        <v>495</v>
      </c>
      <c r="B629" s="348"/>
      <c r="BH629" s="348"/>
      <c r="BI629" s="348"/>
      <c r="BJ629" s="348"/>
      <c r="BK629" s="348"/>
      <c r="BL629" s="348"/>
      <c r="BM629" s="348"/>
      <c r="BN629" s="348"/>
      <c r="BO629" s="348"/>
      <c r="BP629" s="348"/>
      <c r="BT629" s="348"/>
      <c r="BU629" s="400"/>
      <c r="BX629" s="348"/>
      <c r="BY629" s="400"/>
      <c r="CB629" s="351">
        <f>CB630-CB625-CB627-CB626</f>
        <v>196</v>
      </c>
      <c r="CC629" s="351">
        <f>CC630-CC625-CC627-CC626</f>
        <v>164</v>
      </c>
      <c r="CD629" s="351">
        <f>+CC629+CB629</f>
        <v>360</v>
      </c>
      <c r="CF629" s="351">
        <f>CF630-CF625-CF627-CF626</f>
        <v>275</v>
      </c>
      <c r="CG629" s="351">
        <f>CG630-CG625-CG627-CG626</f>
        <v>154</v>
      </c>
      <c r="CH629" s="351">
        <f>+CG629+CF629</f>
        <v>429</v>
      </c>
      <c r="CJ629" s="351">
        <f>CJ630-CJ625-CJ627-CJ626-CJ628</f>
        <v>135</v>
      </c>
      <c r="CK629" s="351">
        <f>CK630-CK625-CK627-CK626-CK628</f>
        <v>141</v>
      </c>
      <c r="CL629" s="351">
        <f>+CK629+CJ629</f>
        <v>276</v>
      </c>
      <c r="CN629" s="351">
        <f>CN630-CN625-CN627-CN626-CN628</f>
        <v>53</v>
      </c>
      <c r="CO629" s="351">
        <f>CO630-CO625-CO627-CO626-CO628</f>
        <v>-77</v>
      </c>
      <c r="CP629" s="351">
        <f>+CO629+CN629</f>
        <v>-24</v>
      </c>
      <c r="CR629" s="351">
        <f>CR630-CR625-CR627-CR626-CR628</f>
        <v>132</v>
      </c>
      <c r="CS629" s="351">
        <f>CS630-CS625-CS627-CS626-CS628</f>
        <v>186</v>
      </c>
      <c r="CT629" s="351">
        <f>+CS629+CR629</f>
        <v>318</v>
      </c>
      <c r="CV629" s="351">
        <f>CV630-CV625-CV627-CV626-CV628</f>
        <v>56</v>
      </c>
      <c r="CW629" s="351">
        <f>CW630-CW625-CW627-CW626-CW628</f>
        <v>98</v>
      </c>
      <c r="CX629" s="351">
        <f>+CW629+CV629</f>
        <v>154</v>
      </c>
      <c r="CZ629" s="351">
        <f>CZ630-CZ625-CZ627-CZ626-CZ628</f>
        <v>142</v>
      </c>
      <c r="DA629" s="351">
        <f>DA630-DA625-DA627-DA626-DA628</f>
        <v>78</v>
      </c>
      <c r="DB629" s="351">
        <f>+DA629+CZ629</f>
        <v>220</v>
      </c>
      <c r="DD629" s="351">
        <f>DD630-DD625-DD627-DD626-DD628</f>
        <v>80</v>
      </c>
      <c r="DE629" s="351">
        <f>DE630-DE625-DE627-DE626-DE628</f>
        <v>241</v>
      </c>
      <c r="DF629" s="351">
        <f>+DE629+DD629</f>
        <v>321</v>
      </c>
      <c r="DH629" s="351">
        <f>DH630-DH625-DH627-DH626-DH628</f>
        <v>-50</v>
      </c>
      <c r="DI629" s="351">
        <f>+DH629*(1+DI634)</f>
        <v>5.0000000000000044</v>
      </c>
      <c r="DJ629" s="351">
        <f>+DI629+DH629</f>
        <v>-44.999999999999993</v>
      </c>
      <c r="DL629" s="351">
        <f>+DI629*(1+DL634)</f>
        <v>5.100000000000005</v>
      </c>
      <c r="DM629" s="351">
        <f>+DL629*(1+DM634)</f>
        <v>5.2020000000000053</v>
      </c>
      <c r="DN629" s="351">
        <f>+DM629+DL629</f>
        <v>10.30200000000001</v>
      </c>
      <c r="DP629" s="351">
        <f>+DM629*(1+DP634)</f>
        <v>5.3060400000000056</v>
      </c>
      <c r="DQ629" s="351">
        <f>+DP629*(1+DQ634)</f>
        <v>5.4121608000000059</v>
      </c>
      <c r="DR629" s="351">
        <f>+DQ629+DP629</f>
        <v>10.718200800000012</v>
      </c>
      <c r="DT629" s="1"/>
      <c r="DU629" s="1"/>
      <c r="DV629" s="1"/>
      <c r="DW629" s="1"/>
      <c r="DX629" s="1"/>
      <c r="DY629" s="1"/>
      <c r="DZ629" s="1"/>
      <c r="EA629" s="1"/>
      <c r="EB629" s="1"/>
      <c r="EC629" s="1"/>
      <c r="ED629" s="1"/>
      <c r="EE629" s="1"/>
      <c r="EF629" s="1"/>
      <c r="EG629" s="1"/>
      <c r="EH629" s="1"/>
      <c r="EI629" s="1"/>
      <c r="EJ629" s="1"/>
      <c r="EK629" s="1"/>
      <c r="EL629" s="1"/>
      <c r="EM629" s="1"/>
      <c r="EN629" s="1"/>
      <c r="EO629" s="1"/>
      <c r="EP629" s="1"/>
      <c r="EQ629" s="1"/>
      <c r="ER629" s="1"/>
      <c r="ES629" s="1"/>
      <c r="ET629" s="1"/>
      <c r="EU629" s="1"/>
      <c r="EV629" s="1"/>
      <c r="EW629" s="1"/>
      <c r="EX629" s="1"/>
      <c r="EY629" s="1"/>
      <c r="EZ629" s="1"/>
      <c r="FA629" s="1"/>
      <c r="FB629" s="1"/>
      <c r="FC629" s="1"/>
      <c r="FD629" s="1"/>
      <c r="FE629" s="1"/>
      <c r="FF629" s="1"/>
      <c r="FG629" s="1"/>
      <c r="FH629" s="1"/>
      <c r="FI629" s="1"/>
      <c r="FJ629" s="1"/>
      <c r="FK629" s="1"/>
      <c r="FL629" s="1"/>
      <c r="FM629" s="1"/>
      <c r="FN629" s="1"/>
      <c r="FO629" s="1"/>
      <c r="FP629" s="1"/>
      <c r="FQ629" s="1"/>
      <c r="FR629" s="1"/>
      <c r="FS629" s="1"/>
      <c r="FT629" s="1"/>
      <c r="FU629" s="1"/>
      <c r="FV629" s="1"/>
      <c r="FW629" s="1"/>
      <c r="FX629" s="1"/>
      <c r="FY629" s="1"/>
      <c r="FZ629" s="1"/>
      <c r="GA629" s="1"/>
      <c r="GB629" s="1"/>
      <c r="GC629" s="1"/>
      <c r="GD629" s="1"/>
      <c r="GE629" s="1"/>
      <c r="GF629" s="1"/>
      <c r="GG629" s="1"/>
      <c r="GH629" s="1"/>
      <c r="GI629" s="1"/>
      <c r="GJ629" s="1"/>
      <c r="GK629" s="1"/>
      <c r="GL629" s="1"/>
      <c r="GM629" s="1"/>
      <c r="GN629" s="1"/>
      <c r="GO629" s="1"/>
      <c r="GP629" s="1"/>
      <c r="GQ629" s="1"/>
      <c r="GR629" s="1"/>
      <c r="GS629" s="1"/>
      <c r="GT629" s="1"/>
      <c r="GU629" s="1"/>
      <c r="GV629" s="1"/>
      <c r="GW629" s="1"/>
      <c r="GX629" s="1"/>
      <c r="GY629" s="1"/>
      <c r="GZ629" s="1"/>
      <c r="HA629" s="1"/>
      <c r="HB629" s="1"/>
      <c r="HC629" s="1"/>
      <c r="HD629" s="1"/>
      <c r="HE629" s="1"/>
      <c r="HF629" s="1"/>
      <c r="HG629" s="1"/>
      <c r="HH629" s="1"/>
      <c r="HI629" s="1"/>
      <c r="HJ629" s="1"/>
      <c r="HK629" s="1"/>
      <c r="HL629" s="1"/>
      <c r="HM629" s="1"/>
      <c r="HN629" s="1"/>
      <c r="HO629" s="1"/>
      <c r="HP629" s="1"/>
      <c r="HQ629" s="1"/>
      <c r="HR629" s="1"/>
      <c r="HS629" s="1"/>
      <c r="HT629" s="1"/>
      <c r="HU629" s="1"/>
      <c r="HV629" s="1"/>
      <c r="HW629" s="1"/>
      <c r="HX629" s="1"/>
      <c r="HY629" s="1"/>
      <c r="HZ629" s="1"/>
      <c r="IA629" s="1"/>
      <c r="IB629" s="1"/>
      <c r="IC629" s="1"/>
      <c r="ID629" s="1"/>
      <c r="IE629" s="1"/>
      <c r="IF629" s="1"/>
      <c r="IG629" s="1"/>
      <c r="IH629" s="1"/>
      <c r="II629" s="1"/>
      <c r="IJ629" s="1"/>
      <c r="IK629" s="1"/>
      <c r="IL629" s="1"/>
      <c r="IM629" s="1"/>
      <c r="IN629" s="1"/>
      <c r="IO629" s="1"/>
      <c r="IP629" s="1"/>
      <c r="IQ629" s="1"/>
      <c r="IR629" s="1"/>
      <c r="IS629" s="1"/>
      <c r="IT629" s="1"/>
      <c r="IU629" s="1"/>
      <c r="IV629" s="1"/>
      <c r="IW629" s="1"/>
      <c r="IX629" s="1"/>
      <c r="IY629" s="1"/>
      <c r="IZ629" s="1"/>
      <c r="JA629" s="1"/>
      <c r="JB629" s="1"/>
      <c r="JC629" s="1"/>
      <c r="JD629" s="1"/>
    </row>
    <row r="630" spans="1:264" s="411" customFormat="1" x14ac:dyDescent="0.2">
      <c r="A630" s="411" t="str">
        <f>A611</f>
        <v>Other Banking Income</v>
      </c>
      <c r="B630" s="423"/>
      <c r="BH630" s="423"/>
      <c r="BI630" s="423"/>
      <c r="BJ630" s="423"/>
      <c r="BK630" s="423"/>
      <c r="BL630" s="423"/>
      <c r="BM630" s="423"/>
      <c r="BN630" s="423"/>
      <c r="BO630" s="423"/>
      <c r="BP630" s="423"/>
      <c r="BT630" s="423"/>
      <c r="BU630" s="498"/>
      <c r="BX630" s="423"/>
      <c r="BY630" s="498"/>
      <c r="CB630" s="397">
        <f>CB611</f>
        <v>289</v>
      </c>
      <c r="CC630" s="397">
        <f>CC611</f>
        <v>224</v>
      </c>
      <c r="CD630" s="397">
        <f>CD611</f>
        <v>513</v>
      </c>
      <c r="CF630" s="397">
        <f>CF611</f>
        <v>275</v>
      </c>
      <c r="CG630" s="397">
        <f>CG611</f>
        <v>154</v>
      </c>
      <c r="CH630" s="397">
        <f>CH611</f>
        <v>429</v>
      </c>
      <c r="CJ630" s="397">
        <f>CJ611</f>
        <v>231</v>
      </c>
      <c r="CK630" s="397">
        <f>CK611</f>
        <v>123</v>
      </c>
      <c r="CL630" s="397">
        <f>CL611</f>
        <v>354</v>
      </c>
      <c r="CN630" s="397">
        <f>CN611</f>
        <v>60</v>
      </c>
      <c r="CO630" s="397">
        <f>CO611</f>
        <v>403</v>
      </c>
      <c r="CP630" s="397">
        <f>CP611</f>
        <v>463</v>
      </c>
      <c r="CR630" s="397">
        <f>CR611</f>
        <v>449</v>
      </c>
      <c r="CS630" s="397">
        <f>CS611</f>
        <v>939</v>
      </c>
      <c r="CT630" s="397">
        <f>CT611</f>
        <v>1388</v>
      </c>
      <c r="CU630" s="393"/>
      <c r="CV630" s="397">
        <f>CV611</f>
        <v>75</v>
      </c>
      <c r="CW630" s="397">
        <f>CW611</f>
        <v>94</v>
      </c>
      <c r="CX630" s="397">
        <f>CX611</f>
        <v>169</v>
      </c>
      <c r="CZ630" s="397">
        <f>CZ611</f>
        <v>100</v>
      </c>
      <c r="DA630" s="397">
        <f>DA611</f>
        <v>25</v>
      </c>
      <c r="DB630" s="397">
        <f>DB611</f>
        <v>125</v>
      </c>
      <c r="DD630" s="397">
        <f>DD611</f>
        <v>50</v>
      </c>
      <c r="DE630" s="397">
        <f>DE611</f>
        <v>60</v>
      </c>
      <c r="DF630" s="397">
        <f>DF611</f>
        <v>110</v>
      </c>
      <c r="DH630" s="397">
        <f>DH611</f>
        <v>45</v>
      </c>
      <c r="DI630" s="397">
        <f>SUM(DI625:DI629)</f>
        <v>47.840000000000011</v>
      </c>
      <c r="DJ630" s="397">
        <f>SUM(DJ625:DJ629)</f>
        <v>92.84</v>
      </c>
      <c r="DL630" s="397">
        <f>SUM(DL625:DL629)</f>
        <v>48.796800000000005</v>
      </c>
      <c r="DM630" s="397">
        <f>SUM(DM625:DM629)</f>
        <v>49.772736000000009</v>
      </c>
      <c r="DN630" s="397">
        <f>SUM(DN625:DN629)</f>
        <v>98.569536000000014</v>
      </c>
      <c r="DP630" s="397">
        <f>SUM(DP625:DP629)</f>
        <v>50.768190720000007</v>
      </c>
      <c r="DQ630" s="397">
        <f>SUM(DQ625:DQ629)</f>
        <v>51.783554534400011</v>
      </c>
      <c r="DR630" s="397">
        <f>SUM(DR625:DR629)</f>
        <v>102.5517452544</v>
      </c>
      <c r="DT630" s="451"/>
      <c r="DU630" s="451"/>
      <c r="DV630" s="451"/>
      <c r="DW630" s="451"/>
      <c r="DX630" s="451"/>
      <c r="DY630" s="451"/>
      <c r="DZ630" s="451"/>
      <c r="EA630" s="451"/>
      <c r="EB630" s="451"/>
      <c r="EC630" s="451"/>
      <c r="ED630" s="451"/>
      <c r="EE630" s="451"/>
      <c r="EF630" s="451"/>
      <c r="EG630" s="451"/>
      <c r="EH630" s="451"/>
      <c r="EI630" s="451"/>
      <c r="EJ630" s="451"/>
      <c r="EK630" s="451"/>
      <c r="EL630" s="451"/>
      <c r="EM630" s="451"/>
      <c r="EN630" s="451"/>
      <c r="EO630" s="451"/>
      <c r="EP630" s="451"/>
      <c r="EQ630" s="451"/>
      <c r="ER630" s="451"/>
      <c r="ES630" s="451"/>
      <c r="ET630" s="451"/>
      <c r="EU630" s="451"/>
      <c r="EV630" s="451"/>
      <c r="EW630" s="451"/>
      <c r="EX630" s="451"/>
      <c r="EY630" s="451"/>
      <c r="EZ630" s="451"/>
      <c r="FA630" s="451"/>
      <c r="FB630" s="451"/>
      <c r="FC630" s="451"/>
      <c r="FD630" s="451"/>
      <c r="FE630" s="451"/>
      <c r="FF630" s="451"/>
      <c r="FG630" s="451"/>
      <c r="FH630" s="451"/>
      <c r="FI630" s="451"/>
      <c r="FJ630" s="451"/>
      <c r="FK630" s="451"/>
      <c r="FL630" s="451"/>
      <c r="FM630" s="451"/>
      <c r="FN630" s="451"/>
      <c r="FO630" s="451"/>
      <c r="FP630" s="451"/>
      <c r="FQ630" s="451"/>
      <c r="FR630" s="451"/>
      <c r="FS630" s="451"/>
      <c r="FT630" s="451"/>
      <c r="FU630" s="451"/>
      <c r="FV630" s="451"/>
      <c r="FW630" s="451"/>
      <c r="FX630" s="451"/>
      <c r="FY630" s="451"/>
      <c r="FZ630" s="451"/>
      <c r="GA630" s="451"/>
      <c r="GB630" s="451"/>
      <c r="GC630" s="451"/>
      <c r="GD630" s="451"/>
      <c r="GE630" s="451"/>
      <c r="GF630" s="451"/>
      <c r="GG630" s="451"/>
      <c r="GH630" s="451"/>
      <c r="GI630" s="451"/>
      <c r="GJ630" s="451"/>
      <c r="GK630" s="451"/>
      <c r="GL630" s="451"/>
      <c r="GM630" s="451"/>
      <c r="GN630" s="451"/>
      <c r="GO630" s="451"/>
      <c r="GP630" s="451"/>
      <c r="GQ630" s="451"/>
      <c r="GR630" s="451"/>
      <c r="GS630" s="451"/>
      <c r="GT630" s="451"/>
      <c r="GU630" s="451"/>
      <c r="GV630" s="451"/>
      <c r="GW630" s="451"/>
      <c r="GX630" s="451"/>
      <c r="GY630" s="451"/>
      <c r="GZ630" s="451"/>
      <c r="HA630" s="451"/>
      <c r="HB630" s="451"/>
      <c r="HC630" s="451"/>
      <c r="HD630" s="451"/>
      <c r="HE630" s="451"/>
      <c r="HF630" s="451"/>
      <c r="HG630" s="451"/>
      <c r="HH630" s="451"/>
      <c r="HI630" s="451"/>
      <c r="HJ630" s="451"/>
      <c r="HK630" s="451"/>
      <c r="HL630" s="451"/>
      <c r="HM630" s="451"/>
      <c r="HN630" s="451"/>
      <c r="HO630" s="451"/>
      <c r="HP630" s="451"/>
      <c r="HQ630" s="451"/>
      <c r="HR630" s="451"/>
      <c r="HS630" s="451"/>
      <c r="HT630" s="451"/>
      <c r="HU630" s="451"/>
      <c r="HV630" s="451"/>
      <c r="HW630" s="451"/>
      <c r="HX630" s="451"/>
      <c r="HY630" s="451"/>
      <c r="HZ630" s="451"/>
      <c r="IA630" s="451"/>
      <c r="IB630" s="451"/>
      <c r="IC630" s="451"/>
      <c r="ID630" s="451"/>
      <c r="IE630" s="451"/>
      <c r="IF630" s="451"/>
      <c r="IG630" s="451"/>
      <c r="IH630" s="451"/>
      <c r="II630" s="451"/>
      <c r="IJ630" s="451"/>
      <c r="IK630" s="451"/>
      <c r="IL630" s="451"/>
      <c r="IM630" s="451"/>
      <c r="IN630" s="451"/>
      <c r="IO630" s="451"/>
      <c r="IP630" s="451"/>
      <c r="IQ630" s="451"/>
      <c r="IR630" s="451"/>
      <c r="IS630" s="451"/>
      <c r="IT630" s="451"/>
      <c r="IU630" s="451"/>
      <c r="IV630" s="451"/>
      <c r="IW630" s="451"/>
      <c r="IX630" s="451"/>
      <c r="IY630" s="451"/>
      <c r="IZ630" s="451"/>
      <c r="JA630" s="451"/>
      <c r="JB630" s="451"/>
      <c r="JC630" s="451"/>
      <c r="JD630" s="451"/>
    </row>
    <row r="631" spans="1:264" s="347" customFormat="1" ht="15" x14ac:dyDescent="0.25">
      <c r="A631" s="424" t="s">
        <v>273</v>
      </c>
      <c r="B631" s="348"/>
      <c r="BH631" s="348"/>
      <c r="BI631" s="348"/>
      <c r="BJ631" s="348"/>
      <c r="BK631" s="348"/>
      <c r="BL631" s="348"/>
      <c r="BM631" s="348"/>
      <c r="BN631" s="348"/>
      <c r="BO631" s="348"/>
      <c r="BP631" s="348"/>
      <c r="BT631" s="348"/>
      <c r="BU631" s="400"/>
      <c r="BX631" s="348"/>
      <c r="BY631" s="400"/>
      <c r="CB631" s="348"/>
      <c r="CC631" s="400"/>
      <c r="CF631" s="348"/>
      <c r="CG631" s="400"/>
      <c r="CJ631" s="348"/>
      <c r="CK631" s="400"/>
      <c r="CN631" s="348"/>
      <c r="CO631" s="400"/>
      <c r="CR631" s="348"/>
      <c r="CV631" s="1"/>
      <c r="CY631" s="1"/>
      <c r="CZ631" s="1"/>
      <c r="DC631" s="1"/>
      <c r="DD631" s="1"/>
      <c r="DG631" s="1"/>
      <c r="DH631" s="1"/>
      <c r="DI631"/>
      <c r="DJ631"/>
      <c r="DK631"/>
      <c r="DL631"/>
      <c r="DM631"/>
      <c r="DN631"/>
      <c r="DO631" s="411"/>
      <c r="DP631"/>
      <c r="DQ631"/>
      <c r="DR631"/>
      <c r="DS631" s="411"/>
      <c r="DT631" s="1"/>
      <c r="DU631" s="1"/>
      <c r="DV631" s="1"/>
      <c r="DW631" s="1"/>
      <c r="DX631" s="1"/>
      <c r="DY631" s="1"/>
      <c r="DZ631" s="1"/>
      <c r="EA631" s="1"/>
      <c r="EB631" s="1"/>
      <c r="EC631" s="1"/>
      <c r="ED631" s="1"/>
      <c r="EE631" s="1"/>
      <c r="EF631" s="1"/>
      <c r="EG631" s="1"/>
      <c r="EH631" s="1"/>
      <c r="EI631" s="1"/>
      <c r="EJ631" s="1"/>
      <c r="EK631" s="1"/>
      <c r="EL631" s="1"/>
      <c r="EM631" s="1"/>
      <c r="EN631" s="1"/>
      <c r="EO631" s="1"/>
      <c r="EP631" s="1"/>
      <c r="EQ631" s="1"/>
      <c r="ER631" s="1"/>
      <c r="ES631" s="1"/>
      <c r="ET631" s="1"/>
      <c r="EU631" s="1"/>
      <c r="EV631" s="1"/>
      <c r="EW631" s="1"/>
      <c r="EX631" s="1"/>
      <c r="EY631" s="1"/>
      <c r="EZ631" s="1"/>
      <c r="FA631" s="1"/>
      <c r="FB631" s="1"/>
      <c r="FC631" s="1"/>
      <c r="FD631" s="1"/>
      <c r="FE631" s="1"/>
      <c r="FF631" s="1"/>
      <c r="FG631" s="1"/>
      <c r="FH631" s="1"/>
      <c r="FI631" s="1"/>
      <c r="FJ631" s="1"/>
      <c r="FK631" s="1"/>
      <c r="FL631" s="1"/>
      <c r="FM631" s="1"/>
      <c r="FN631" s="1"/>
      <c r="FO631" s="1"/>
      <c r="FP631" s="1"/>
      <c r="FQ631" s="1"/>
      <c r="FR631" s="1"/>
      <c r="FS631" s="1"/>
      <c r="FT631" s="1"/>
      <c r="FU631" s="1"/>
      <c r="FV631" s="1"/>
      <c r="FW631" s="1"/>
      <c r="FX631" s="1"/>
      <c r="FY631" s="1"/>
      <c r="FZ631" s="1"/>
      <c r="GA631" s="1"/>
      <c r="GB631" s="1"/>
      <c r="GC631" s="1"/>
      <c r="GD631" s="1"/>
      <c r="GE631" s="1"/>
      <c r="GF631" s="1"/>
      <c r="GG631" s="1"/>
      <c r="GH631" s="1"/>
      <c r="GI631" s="1"/>
      <c r="GJ631" s="1"/>
      <c r="GK631" s="1"/>
      <c r="GL631" s="1"/>
      <c r="GM631" s="1"/>
      <c r="GN631" s="1"/>
      <c r="GO631" s="1"/>
      <c r="GP631" s="1"/>
      <c r="GQ631" s="1"/>
      <c r="GR631" s="1"/>
      <c r="GS631" s="1"/>
      <c r="GT631" s="1"/>
      <c r="GU631" s="1"/>
      <c r="GV631" s="1"/>
      <c r="GW631" s="1"/>
      <c r="GX631" s="1"/>
      <c r="GY631" s="1"/>
      <c r="GZ631" s="1"/>
      <c r="HA631" s="1"/>
      <c r="HB631" s="1"/>
      <c r="HC631" s="1"/>
      <c r="HD631" s="1"/>
      <c r="HE631" s="1"/>
      <c r="HF631" s="1"/>
      <c r="HG631" s="1"/>
      <c r="HH631" s="1"/>
      <c r="HI631" s="1"/>
      <c r="HJ631" s="1"/>
      <c r="HK631" s="1"/>
      <c r="HL631" s="1"/>
      <c r="HM631" s="1"/>
      <c r="HN631" s="1"/>
      <c r="HO631" s="1"/>
      <c r="HP631" s="1"/>
      <c r="HQ631" s="1"/>
      <c r="HR631" s="1"/>
      <c r="HS631" s="1"/>
      <c r="HT631" s="1"/>
      <c r="HU631" s="1"/>
      <c r="HV631" s="1"/>
      <c r="HW631" s="1"/>
      <c r="HX631" s="1"/>
      <c r="HY631" s="1"/>
      <c r="HZ631" s="1"/>
      <c r="IA631" s="1"/>
      <c r="IB631" s="1"/>
      <c r="IC631" s="1"/>
      <c r="ID631" s="1"/>
      <c r="IE631" s="1"/>
      <c r="IF631" s="1"/>
      <c r="IG631" s="1"/>
      <c r="IH631" s="1"/>
      <c r="II631" s="1"/>
      <c r="IJ631" s="1"/>
      <c r="IK631" s="1"/>
      <c r="IL631" s="1"/>
      <c r="IM631" s="1"/>
      <c r="IN631" s="1"/>
      <c r="IO631" s="1"/>
      <c r="IP631" s="1"/>
      <c r="IQ631" s="1"/>
      <c r="IR631" s="1"/>
      <c r="IS631" s="1"/>
      <c r="IT631" s="1"/>
      <c r="IU631" s="1"/>
      <c r="IV631" s="1"/>
      <c r="IW631" s="1"/>
      <c r="IX631" s="1"/>
      <c r="IY631" s="1"/>
      <c r="IZ631" s="1"/>
      <c r="JA631" s="1"/>
      <c r="JB631" s="1"/>
      <c r="JC631" s="1"/>
      <c r="JD631" s="1"/>
    </row>
    <row r="632" spans="1:264" s="347" customFormat="1" x14ac:dyDescent="0.2">
      <c r="A632" s="429" t="str">
        <f>A625</f>
        <v>Mortgage Broking</v>
      </c>
      <c r="B632" s="348"/>
      <c r="BH632" s="348"/>
      <c r="BI632" s="348"/>
      <c r="BJ632" s="348"/>
      <c r="BK632" s="348"/>
      <c r="BL632" s="348"/>
      <c r="BM632" s="348"/>
      <c r="BN632" s="348"/>
      <c r="BO632" s="348"/>
      <c r="BP632" s="348"/>
      <c r="BT632" s="348"/>
      <c r="BU632" s="400"/>
      <c r="BX632" s="348"/>
      <c r="BY632" s="400"/>
      <c r="CB632" s="348"/>
      <c r="CC632" s="394">
        <f>+CC625/CB625-1</f>
        <v>0.5053763440860215</v>
      </c>
      <c r="CF632" s="394"/>
      <c r="CG632" s="394"/>
      <c r="CJ632" s="394"/>
      <c r="CK632" s="394"/>
      <c r="CN632" s="394"/>
      <c r="CO632" s="394"/>
      <c r="CR632" s="394"/>
      <c r="CS632" s="602"/>
      <c r="CU632" s="1"/>
      <c r="CV632" s="1"/>
      <c r="CW632" s="602"/>
      <c r="CY632" s="1"/>
      <c r="CZ632" s="1"/>
      <c r="DA632" s="602"/>
      <c r="DC632" s="1"/>
      <c r="DD632" s="1"/>
      <c r="DE632" s="602"/>
      <c r="DG632" s="1"/>
      <c r="DH632" s="1"/>
      <c r="DI632" s="1"/>
      <c r="DJ632" s="1"/>
      <c r="DL632" s="1"/>
      <c r="DM632" s="1"/>
      <c r="DN632" s="1"/>
      <c r="DP632" s="1"/>
      <c r="DQ632" s="1"/>
      <c r="DR632" s="1"/>
      <c r="DT632" s="1"/>
      <c r="DU632" s="1"/>
      <c r="DV632" s="1"/>
      <c r="DW632" s="1"/>
      <c r="DX632" s="1"/>
      <c r="DY632" s="1"/>
      <c r="DZ632" s="1"/>
      <c r="EA632" s="1"/>
      <c r="EB632" s="1"/>
      <c r="EC632" s="1"/>
      <c r="ED632" s="1"/>
      <c r="EE632" s="1"/>
      <c r="EF632" s="1"/>
      <c r="EG632" s="1"/>
      <c r="EH632" s="1"/>
      <c r="EI632" s="1"/>
      <c r="EJ632" s="1"/>
      <c r="EK632" s="1"/>
      <c r="EL632" s="1"/>
      <c r="EM632" s="1"/>
      <c r="EN632" s="1"/>
      <c r="EO632" s="1"/>
      <c r="EP632" s="1"/>
      <c r="EQ632" s="1"/>
      <c r="ER632" s="1"/>
      <c r="ES632" s="1"/>
      <c r="ET632" s="1"/>
      <c r="EU632" s="1"/>
      <c r="EV632" s="1"/>
      <c r="EW632" s="1"/>
      <c r="EX632" s="1"/>
      <c r="EY632" s="1"/>
      <c r="EZ632" s="1"/>
      <c r="FA632" s="1"/>
      <c r="FB632" s="1"/>
      <c r="FC632" s="1"/>
      <c r="FD632" s="1"/>
      <c r="FE632" s="1"/>
      <c r="FF632" s="1"/>
      <c r="FG632" s="1"/>
      <c r="FH632" s="1"/>
      <c r="FI632" s="1"/>
      <c r="FJ632" s="1"/>
      <c r="FK632" s="1"/>
      <c r="FL632" s="1"/>
      <c r="FM632" s="1"/>
      <c r="FN632" s="1"/>
      <c r="FO632" s="1"/>
      <c r="FP632" s="1"/>
      <c r="FQ632" s="1"/>
      <c r="FR632" s="1"/>
      <c r="FS632" s="1"/>
      <c r="FT632" s="1"/>
      <c r="FU632" s="1"/>
      <c r="FV632" s="1"/>
      <c r="FW632" s="1"/>
      <c r="FX632" s="1"/>
      <c r="FY632" s="1"/>
      <c r="FZ632" s="1"/>
      <c r="GA632" s="1"/>
      <c r="GB632" s="1"/>
      <c r="GC632" s="1"/>
      <c r="GD632" s="1"/>
      <c r="GE632" s="1"/>
      <c r="GF632" s="1"/>
      <c r="GG632" s="1"/>
      <c r="GH632" s="1"/>
      <c r="GI632" s="1"/>
      <c r="GJ632" s="1"/>
      <c r="GK632" s="1"/>
      <c r="GL632" s="1"/>
      <c r="GM632" s="1"/>
      <c r="GN632" s="1"/>
      <c r="GO632" s="1"/>
      <c r="GP632" s="1"/>
      <c r="GQ632" s="1"/>
      <c r="GR632" s="1"/>
      <c r="GS632" s="1"/>
      <c r="GT632" s="1"/>
      <c r="GU632" s="1"/>
      <c r="GV632" s="1"/>
      <c r="GW632" s="1"/>
      <c r="GX632" s="1"/>
      <c r="GY632" s="1"/>
      <c r="GZ632" s="1"/>
      <c r="HA632" s="1"/>
      <c r="HB632" s="1"/>
      <c r="HC632" s="1"/>
      <c r="HD632" s="1"/>
      <c r="HE632" s="1"/>
      <c r="HF632" s="1"/>
      <c r="HG632" s="1"/>
      <c r="HH632" s="1"/>
      <c r="HI632" s="1"/>
      <c r="HJ632" s="1"/>
      <c r="HK632" s="1"/>
      <c r="HL632" s="1"/>
      <c r="HM632" s="1"/>
      <c r="HN632" s="1"/>
      <c r="HO632" s="1"/>
      <c r="HP632" s="1"/>
      <c r="HQ632" s="1"/>
      <c r="HR632" s="1"/>
      <c r="HS632" s="1"/>
      <c r="HT632" s="1"/>
      <c r="HU632" s="1"/>
      <c r="HV632" s="1"/>
      <c r="HW632" s="1"/>
      <c r="HX632" s="1"/>
      <c r="HY632" s="1"/>
      <c r="HZ632" s="1"/>
      <c r="IA632" s="1"/>
      <c r="IB632" s="1"/>
      <c r="IC632" s="1"/>
      <c r="ID632" s="1"/>
      <c r="IE632" s="1"/>
      <c r="IF632" s="1"/>
      <c r="IG632" s="1"/>
      <c r="IH632" s="1"/>
      <c r="II632" s="1"/>
      <c r="IJ632" s="1"/>
      <c r="IK632" s="1"/>
      <c r="IL632" s="1"/>
      <c r="IM632" s="1"/>
      <c r="IN632" s="1"/>
      <c r="IO632" s="1"/>
      <c r="IP632" s="1"/>
      <c r="IQ632" s="1"/>
      <c r="IR632" s="1"/>
      <c r="IS632" s="1"/>
      <c r="IT632" s="1"/>
      <c r="IU632" s="1"/>
      <c r="IV632" s="1"/>
      <c r="IW632" s="1"/>
      <c r="IX632" s="1"/>
      <c r="IY632" s="1"/>
      <c r="IZ632" s="1"/>
      <c r="JA632" s="1"/>
      <c r="JB632" s="1"/>
      <c r="JC632" s="1"/>
      <c r="JD632" s="1"/>
    </row>
    <row r="633" spans="1:264" s="347" customFormat="1" x14ac:dyDescent="0.2">
      <c r="A633" s="477" t="str">
        <f>A628</f>
        <v>Profits from Associates (ex Impairments)</v>
      </c>
      <c r="B633" s="446"/>
      <c r="C633" s="447"/>
      <c r="D633" s="447"/>
      <c r="E633" s="447"/>
      <c r="F633" s="447"/>
      <c r="G633" s="447"/>
      <c r="H633" s="447"/>
      <c r="I633" s="447"/>
      <c r="J633" s="447"/>
      <c r="K633" s="447"/>
      <c r="L633" s="447"/>
      <c r="M633" s="447"/>
      <c r="N633" s="447"/>
      <c r="O633" s="447"/>
      <c r="P633" s="447"/>
      <c r="Q633" s="447"/>
      <c r="R633" s="447"/>
      <c r="S633" s="447"/>
      <c r="T633" s="447"/>
      <c r="U633" s="447"/>
      <c r="V633" s="447"/>
      <c r="W633" s="447"/>
      <c r="X633" s="447"/>
      <c r="Y633" s="447"/>
      <c r="Z633" s="447"/>
      <c r="AA633" s="447"/>
      <c r="AB633" s="447"/>
      <c r="AC633" s="447"/>
      <c r="AD633" s="447"/>
      <c r="AE633" s="447"/>
      <c r="AF633" s="447"/>
      <c r="AG633" s="447"/>
      <c r="AH633" s="447"/>
      <c r="AI633" s="447"/>
      <c r="AJ633" s="447"/>
      <c r="AK633" s="447"/>
      <c r="AL633" s="447"/>
      <c r="AM633" s="447"/>
      <c r="AN633" s="447"/>
      <c r="AO633" s="447"/>
      <c r="AP633" s="447"/>
      <c r="AQ633" s="447"/>
      <c r="AR633" s="447"/>
      <c r="AS633" s="447"/>
      <c r="AT633" s="447"/>
      <c r="AU633" s="447"/>
      <c r="AV633" s="447"/>
      <c r="AW633" s="447"/>
      <c r="AX633" s="447"/>
      <c r="AY633" s="447"/>
      <c r="AZ633" s="447"/>
      <c r="BA633" s="447"/>
      <c r="BB633" s="447"/>
      <c r="BC633" s="447"/>
      <c r="BD633" s="447"/>
      <c r="BE633" s="447"/>
      <c r="BF633" s="447"/>
      <c r="BG633" s="447"/>
      <c r="BH633" s="446"/>
      <c r="BI633" s="446"/>
      <c r="BJ633" s="446"/>
      <c r="BK633" s="446"/>
      <c r="BL633" s="446"/>
      <c r="BM633" s="446"/>
      <c r="BN633" s="446"/>
      <c r="BO633" s="446"/>
      <c r="BP633" s="446"/>
      <c r="BQ633" s="447"/>
      <c r="BR633" s="447"/>
      <c r="BS633" s="447"/>
      <c r="BT633" s="446"/>
      <c r="BU633" s="603"/>
      <c r="BV633" s="447"/>
      <c r="BW633" s="447"/>
      <c r="BX633" s="446"/>
      <c r="BY633" s="603"/>
      <c r="BZ633" s="447"/>
      <c r="CA633" s="447"/>
      <c r="CB633" s="446"/>
      <c r="CC633" s="478"/>
      <c r="CD633" s="447"/>
      <c r="CE633" s="447"/>
      <c r="CF633" s="478"/>
      <c r="CG633" s="478"/>
      <c r="CH633" s="447"/>
      <c r="CI633" s="447"/>
      <c r="CJ633" s="478"/>
      <c r="CK633" s="478"/>
      <c r="CL633" s="447"/>
      <c r="CM633" s="447"/>
      <c r="CN633" s="478"/>
      <c r="CO633" s="478"/>
      <c r="CP633" s="447"/>
      <c r="CQ633" s="447"/>
      <c r="CR633" s="478">
        <f>+CR628/CO628-1</f>
        <v>-0.22014925373134331</v>
      </c>
      <c r="CS633" s="478"/>
      <c r="CT633" s="447"/>
      <c r="CU633" s="447"/>
      <c r="CV633" s="478">
        <f>+CV628/CS628-1</f>
        <v>-0.93670886075949367</v>
      </c>
      <c r="CW633" s="478"/>
      <c r="CX633" s="447"/>
      <c r="CY633" s="447"/>
      <c r="CZ633" s="478">
        <f>+CZ628/CW628-1</f>
        <v>-15.5</v>
      </c>
      <c r="DA633" s="478"/>
      <c r="DB633" s="447"/>
      <c r="DC633" s="447"/>
      <c r="DD633" s="478">
        <f>+DD628/DA628-1</f>
        <v>9</v>
      </c>
      <c r="DE633" s="478"/>
      <c r="DF633" s="447"/>
      <c r="DG633" s="447"/>
      <c r="DH633" s="478">
        <f>+DH628/DE628-1</f>
        <v>-0.60747663551401865</v>
      </c>
      <c r="DI633" s="474">
        <v>0.02</v>
      </c>
      <c r="DJ633" s="1344"/>
      <c r="DK633" s="1344"/>
      <c r="DL633" s="474">
        <v>0.02</v>
      </c>
      <c r="DM633" s="474">
        <v>0.02</v>
      </c>
      <c r="DN633" s="447"/>
      <c r="DO633" s="447"/>
      <c r="DP633" s="474">
        <v>0.02</v>
      </c>
      <c r="DQ633" s="474">
        <v>0.02</v>
      </c>
      <c r="DR633" s="447"/>
      <c r="DS633" s="447"/>
      <c r="DT633" s="1"/>
      <c r="DU633" s="1"/>
      <c r="DV633" s="1"/>
      <c r="DW633" s="1"/>
      <c r="DX633" s="1"/>
      <c r="DY633" s="1"/>
      <c r="DZ633" s="1"/>
      <c r="EA633" s="1"/>
      <c r="EB633" s="1"/>
      <c r="EC633" s="1"/>
      <c r="ED633" s="1"/>
      <c r="EE633" s="1"/>
      <c r="EF633" s="1"/>
      <c r="EG633" s="1"/>
      <c r="EH633" s="1"/>
      <c r="EI633" s="1"/>
      <c r="EJ633" s="1"/>
      <c r="EK633" s="1"/>
      <c r="EL633" s="1"/>
      <c r="EM633" s="1"/>
      <c r="EN633" s="1"/>
      <c r="EO633" s="1"/>
      <c r="EP633" s="1"/>
      <c r="EQ633" s="1"/>
      <c r="ER633" s="1"/>
      <c r="ES633" s="1"/>
      <c r="ET633" s="1"/>
      <c r="EU633" s="1"/>
      <c r="EV633" s="1"/>
      <c r="EW633" s="1"/>
      <c r="EX633" s="1"/>
      <c r="EY633" s="1"/>
      <c r="EZ633" s="1"/>
      <c r="FA633" s="1"/>
      <c r="FB633" s="1"/>
      <c r="FC633" s="1"/>
      <c r="FD633" s="1"/>
      <c r="FE633" s="1"/>
      <c r="FF633" s="1"/>
      <c r="FG633" s="1"/>
      <c r="FH633" s="1"/>
      <c r="FI633" s="1"/>
      <c r="FJ633" s="1"/>
      <c r="FK633" s="1"/>
      <c r="FL633" s="1"/>
      <c r="FM633" s="1"/>
      <c r="FN633" s="1"/>
      <c r="FO633" s="1"/>
      <c r="FP633" s="1"/>
      <c r="FQ633" s="1"/>
      <c r="FR633" s="1"/>
      <c r="FS633" s="1"/>
      <c r="FT633" s="1"/>
      <c r="FU633" s="1"/>
      <c r="FV633" s="1"/>
      <c r="FW633" s="1"/>
      <c r="FX633" s="1"/>
      <c r="FY633" s="1"/>
      <c r="FZ633" s="1"/>
      <c r="GA633" s="1"/>
      <c r="GB633" s="1"/>
      <c r="GC633" s="1"/>
      <c r="GD633" s="1"/>
      <c r="GE633" s="1"/>
      <c r="GF633" s="1"/>
      <c r="GG633" s="1"/>
      <c r="GH633" s="1"/>
      <c r="GI633" s="1"/>
      <c r="GJ633" s="1"/>
      <c r="GK633" s="1"/>
      <c r="GL633" s="1"/>
      <c r="GM633" s="1"/>
      <c r="GN633" s="1"/>
      <c r="GO633" s="1"/>
      <c r="GP633" s="1"/>
      <c r="GQ633" s="1"/>
      <c r="GR633" s="1"/>
      <c r="GS633" s="1"/>
      <c r="GT633" s="1"/>
      <c r="GU633" s="1"/>
      <c r="GV633" s="1"/>
      <c r="GW633" s="1"/>
      <c r="GX633" s="1"/>
      <c r="GY633" s="1"/>
      <c r="GZ633" s="1"/>
      <c r="HA633" s="1"/>
      <c r="HB633" s="1"/>
      <c r="HC633" s="1"/>
      <c r="HD633" s="1"/>
      <c r="HE633" s="1"/>
      <c r="HF633" s="1"/>
      <c r="HG633" s="1"/>
      <c r="HH633" s="1"/>
      <c r="HI633" s="1"/>
      <c r="HJ633" s="1"/>
      <c r="HK633" s="1"/>
      <c r="HL633" s="1"/>
      <c r="HM633" s="1"/>
      <c r="HN633" s="1"/>
      <c r="HO633" s="1"/>
      <c r="HP633" s="1"/>
      <c r="HQ633" s="1"/>
      <c r="HR633" s="1"/>
      <c r="HS633" s="1"/>
      <c r="HT633" s="1"/>
      <c r="HU633" s="1"/>
      <c r="HV633" s="1"/>
      <c r="HW633" s="1"/>
      <c r="HX633" s="1"/>
      <c r="HY633" s="1"/>
      <c r="HZ633" s="1"/>
      <c r="IA633" s="1"/>
      <c r="IB633" s="1"/>
      <c r="IC633" s="1"/>
      <c r="ID633" s="1"/>
      <c r="IE633" s="1"/>
      <c r="IF633" s="1"/>
      <c r="IG633" s="1"/>
      <c r="IH633" s="1"/>
      <c r="II633" s="1"/>
      <c r="IJ633" s="1"/>
      <c r="IK633" s="1"/>
      <c r="IL633" s="1"/>
      <c r="IM633" s="1"/>
      <c r="IN633" s="1"/>
      <c r="IO633" s="1"/>
      <c r="IP633" s="1"/>
      <c r="IQ633" s="1"/>
      <c r="IR633" s="1"/>
      <c r="IS633" s="1"/>
      <c r="IT633" s="1"/>
      <c r="IU633" s="1"/>
      <c r="IV633" s="1"/>
      <c r="IW633" s="1"/>
      <c r="IX633" s="1"/>
      <c r="IY633" s="1"/>
      <c r="IZ633" s="1"/>
      <c r="JA633" s="1"/>
      <c r="JB633" s="1"/>
      <c r="JC633" s="1"/>
      <c r="JD633" s="1"/>
    </row>
    <row r="634" spans="1:264" s="347" customFormat="1" x14ac:dyDescent="0.2">
      <c r="A634" s="477" t="str">
        <f>A629</f>
        <v>Other (excl Profit from Associates)</v>
      </c>
      <c r="B634" s="446"/>
      <c r="C634" s="447"/>
      <c r="D634" s="447"/>
      <c r="E634" s="447"/>
      <c r="F634" s="447"/>
      <c r="G634" s="447"/>
      <c r="H634" s="447"/>
      <c r="I634" s="447"/>
      <c r="J634" s="447"/>
      <c r="K634" s="447"/>
      <c r="L634" s="447"/>
      <c r="M634" s="447"/>
      <c r="N634" s="447"/>
      <c r="O634" s="447"/>
      <c r="P634" s="447"/>
      <c r="Q634" s="447"/>
      <c r="R634" s="447"/>
      <c r="S634" s="447"/>
      <c r="T634" s="447"/>
      <c r="U634" s="447"/>
      <c r="V634" s="447"/>
      <c r="W634" s="447"/>
      <c r="X634" s="447"/>
      <c r="Y634" s="447"/>
      <c r="Z634" s="447"/>
      <c r="AA634" s="447"/>
      <c r="AB634" s="447"/>
      <c r="AC634" s="447"/>
      <c r="AD634" s="447"/>
      <c r="AE634" s="447"/>
      <c r="AF634" s="447"/>
      <c r="AG634" s="447"/>
      <c r="AH634" s="447"/>
      <c r="AI634" s="447"/>
      <c r="AJ634" s="447"/>
      <c r="AK634" s="447"/>
      <c r="AL634" s="447"/>
      <c r="AM634" s="447"/>
      <c r="AN634" s="447"/>
      <c r="AO634" s="447"/>
      <c r="AP634" s="447"/>
      <c r="AQ634" s="447"/>
      <c r="AR634" s="447"/>
      <c r="AS634" s="447"/>
      <c r="AT634" s="447"/>
      <c r="AU634" s="447"/>
      <c r="AV634" s="447"/>
      <c r="AW634" s="447"/>
      <c r="AX634" s="447"/>
      <c r="AY634" s="447"/>
      <c r="AZ634" s="447"/>
      <c r="BA634" s="447"/>
      <c r="BB634" s="447"/>
      <c r="BC634" s="447"/>
      <c r="BD634" s="447"/>
      <c r="BE634" s="447"/>
      <c r="BF634" s="447"/>
      <c r="BG634" s="447"/>
      <c r="BH634" s="446"/>
      <c r="BI634" s="446"/>
      <c r="BJ634" s="446"/>
      <c r="BK634" s="446"/>
      <c r="BL634" s="446"/>
      <c r="BM634" s="446"/>
      <c r="BN634" s="446"/>
      <c r="BO634" s="446"/>
      <c r="BP634" s="446"/>
      <c r="BQ634" s="447"/>
      <c r="BR634" s="447"/>
      <c r="BS634" s="447"/>
      <c r="BT634" s="446"/>
      <c r="BU634" s="603"/>
      <c r="BV634" s="447"/>
      <c r="BW634" s="447"/>
      <c r="BX634" s="446"/>
      <c r="BY634" s="603"/>
      <c r="BZ634" s="447"/>
      <c r="CA634" s="447"/>
      <c r="CB634" s="446"/>
      <c r="CC634" s="478">
        <f>+CC629/CB629-1</f>
        <v>-0.16326530612244894</v>
      </c>
      <c r="CD634" s="447"/>
      <c r="CE634" s="447"/>
      <c r="CF634" s="478"/>
      <c r="CG634" s="478"/>
      <c r="CH634" s="447"/>
      <c r="CI634" s="447"/>
      <c r="CJ634" s="478">
        <f>+CJ629/CG629-1</f>
        <v>-0.12337662337662336</v>
      </c>
      <c r="CK634" s="478">
        <f>+CK629/CJ629-1</f>
        <v>4.4444444444444509E-2</v>
      </c>
      <c r="CL634" s="447"/>
      <c r="CM634" s="447"/>
      <c r="CN634" s="478">
        <f>+CN629/CK629-1</f>
        <v>-0.62411347517730498</v>
      </c>
      <c r="CO634" s="478">
        <f>+CO629/CN629-1</f>
        <v>-2.4528301886792452</v>
      </c>
      <c r="CP634" s="447"/>
      <c r="CQ634" s="447"/>
      <c r="CR634" s="478">
        <f>+CR629/CO629-1</f>
        <v>-2.7142857142857144</v>
      </c>
      <c r="CS634" s="478">
        <f>+CS629/CR629-1</f>
        <v>0.40909090909090917</v>
      </c>
      <c r="CT634" s="447"/>
      <c r="CU634" s="447"/>
      <c r="CV634" s="478">
        <f>+CV629/CS629-1</f>
        <v>-0.69892473118279574</v>
      </c>
      <c r="CW634" s="478">
        <f>+CW629/CV629-1</f>
        <v>0.75</v>
      </c>
      <c r="CX634" s="447"/>
      <c r="CY634" s="447"/>
      <c r="CZ634" s="478">
        <f>+CZ629/CW629-1</f>
        <v>0.44897959183673475</v>
      </c>
      <c r="DA634" s="478">
        <f>+DA629/CZ629-1</f>
        <v>-0.45070422535211263</v>
      </c>
      <c r="DB634" s="447"/>
      <c r="DC634" s="447"/>
      <c r="DD634" s="478">
        <f>+DD629/DA629-1</f>
        <v>2.564102564102555E-2</v>
      </c>
      <c r="DE634" s="478">
        <f>+DE629/DD629-1</f>
        <v>2.0125000000000002</v>
      </c>
      <c r="DF634" s="447"/>
      <c r="DG634" s="447"/>
      <c r="DH634" s="478">
        <f>+DH629/DE629-1</f>
        <v>-1.2074688796680497</v>
      </c>
      <c r="DI634" s="474">
        <v>-1.1000000000000001</v>
      </c>
      <c r="DJ634" s="1344"/>
      <c r="DK634" s="1344"/>
      <c r="DL634" s="474">
        <v>0.02</v>
      </c>
      <c r="DM634" s="474">
        <v>0.02</v>
      </c>
      <c r="DN634" s="447"/>
      <c r="DO634" s="447"/>
      <c r="DP634" s="474">
        <v>0.02</v>
      </c>
      <c r="DQ634" s="474">
        <v>0.02</v>
      </c>
      <c r="DR634" s="447"/>
      <c r="DS634" s="447"/>
      <c r="DT634" s="1"/>
      <c r="DU634" s="1"/>
      <c r="DV634" s="1"/>
      <c r="DW634" s="1"/>
      <c r="DX634" s="1"/>
      <c r="DY634" s="1"/>
      <c r="DZ634" s="1"/>
      <c r="EA634" s="1"/>
      <c r="EB634" s="1"/>
      <c r="EC634" s="1"/>
      <c r="ED634" s="1"/>
      <c r="EE634" s="1"/>
      <c r="EF634" s="1"/>
      <c r="EG634" s="1"/>
      <c r="EH634" s="1"/>
      <c r="EI634" s="1"/>
      <c r="EJ634" s="1"/>
      <c r="EK634" s="1"/>
      <c r="EL634" s="1"/>
      <c r="EM634" s="1"/>
      <c r="EN634" s="1"/>
      <c r="EO634" s="1"/>
      <c r="EP634" s="1"/>
      <c r="EQ634" s="1"/>
      <c r="ER634" s="1"/>
      <c r="ES634" s="1"/>
      <c r="ET634" s="1"/>
      <c r="EU634" s="1"/>
      <c r="EV634" s="1"/>
      <c r="EW634" s="1"/>
      <c r="EX634" s="1"/>
      <c r="EY634" s="1"/>
      <c r="EZ634" s="1"/>
      <c r="FA634" s="1"/>
      <c r="FB634" s="1"/>
      <c r="FC634" s="1"/>
      <c r="FD634" s="1"/>
      <c r="FE634" s="1"/>
      <c r="FF634" s="1"/>
      <c r="FG634" s="1"/>
      <c r="FH634" s="1"/>
      <c r="FI634" s="1"/>
      <c r="FJ634" s="1"/>
      <c r="FK634" s="1"/>
      <c r="FL634" s="1"/>
      <c r="FM634" s="1"/>
      <c r="FN634" s="1"/>
      <c r="FO634" s="1"/>
      <c r="FP634" s="1"/>
      <c r="FQ634" s="1"/>
      <c r="FR634" s="1"/>
      <c r="FS634" s="1"/>
      <c r="FT634" s="1"/>
      <c r="FU634" s="1"/>
      <c r="FV634" s="1"/>
      <c r="FW634" s="1"/>
      <c r="FX634" s="1"/>
      <c r="FY634" s="1"/>
      <c r="FZ634" s="1"/>
      <c r="GA634" s="1"/>
      <c r="GB634" s="1"/>
      <c r="GC634" s="1"/>
      <c r="GD634" s="1"/>
      <c r="GE634" s="1"/>
      <c r="GF634" s="1"/>
      <c r="GG634" s="1"/>
      <c r="GH634" s="1"/>
      <c r="GI634" s="1"/>
      <c r="GJ634" s="1"/>
      <c r="GK634" s="1"/>
      <c r="GL634" s="1"/>
      <c r="GM634" s="1"/>
      <c r="GN634" s="1"/>
      <c r="GO634" s="1"/>
      <c r="GP634" s="1"/>
      <c r="GQ634" s="1"/>
      <c r="GR634" s="1"/>
      <c r="GS634" s="1"/>
      <c r="GT634" s="1"/>
      <c r="GU634" s="1"/>
      <c r="GV634" s="1"/>
      <c r="GW634" s="1"/>
      <c r="GX634" s="1"/>
      <c r="GY634" s="1"/>
      <c r="GZ634" s="1"/>
      <c r="HA634" s="1"/>
      <c r="HB634" s="1"/>
      <c r="HC634" s="1"/>
      <c r="HD634" s="1"/>
      <c r="HE634" s="1"/>
      <c r="HF634" s="1"/>
      <c r="HG634" s="1"/>
      <c r="HH634" s="1"/>
      <c r="HI634" s="1"/>
      <c r="HJ634" s="1"/>
      <c r="HK634" s="1"/>
      <c r="HL634" s="1"/>
      <c r="HM634" s="1"/>
      <c r="HN634" s="1"/>
      <c r="HO634" s="1"/>
      <c r="HP634" s="1"/>
      <c r="HQ634" s="1"/>
      <c r="HR634" s="1"/>
      <c r="HS634" s="1"/>
      <c r="HT634" s="1"/>
      <c r="HU634" s="1"/>
      <c r="HV634" s="1"/>
      <c r="HW634" s="1"/>
      <c r="HX634" s="1"/>
      <c r="HY634" s="1"/>
      <c r="HZ634" s="1"/>
      <c r="IA634" s="1"/>
      <c r="IB634" s="1"/>
      <c r="IC634" s="1"/>
      <c r="ID634" s="1"/>
      <c r="IE634" s="1"/>
      <c r="IF634" s="1"/>
      <c r="IG634" s="1"/>
      <c r="IH634" s="1"/>
      <c r="II634" s="1"/>
      <c r="IJ634" s="1"/>
      <c r="IK634" s="1"/>
      <c r="IL634" s="1"/>
      <c r="IM634" s="1"/>
      <c r="IN634" s="1"/>
      <c r="IO634" s="1"/>
      <c r="IP634" s="1"/>
      <c r="IQ634" s="1"/>
      <c r="IR634" s="1"/>
      <c r="IS634" s="1"/>
      <c r="IT634" s="1"/>
      <c r="IU634" s="1"/>
      <c r="IV634" s="1"/>
      <c r="IW634" s="1"/>
      <c r="IX634" s="1"/>
      <c r="IY634" s="1"/>
      <c r="IZ634" s="1"/>
      <c r="JA634" s="1"/>
      <c r="JB634" s="1"/>
      <c r="JC634" s="1"/>
      <c r="JD634" s="1"/>
    </row>
    <row r="635" spans="1:264" s="347" customFormat="1" x14ac:dyDescent="0.2">
      <c r="B635" s="348"/>
      <c r="BH635" s="348"/>
      <c r="BI635" s="348"/>
      <c r="BJ635" s="348"/>
      <c r="BK635" s="348"/>
      <c r="BL635" s="348"/>
      <c r="BM635" s="348"/>
      <c r="BN635" s="348"/>
      <c r="BO635" s="348"/>
      <c r="BP635" s="348"/>
      <c r="BT635" s="348"/>
      <c r="BU635" s="400"/>
      <c r="BX635" s="348"/>
      <c r="BY635" s="400"/>
      <c r="CB635" s="348"/>
      <c r="CC635" s="400"/>
      <c r="CF635" s="348"/>
      <c r="CJ635" s="348"/>
      <c r="CN635" s="348"/>
      <c r="CR635" s="348"/>
      <c r="CV635" s="348"/>
      <c r="CZ635" s="348"/>
      <c r="DD635" s="348"/>
      <c r="DH635" s="348"/>
      <c r="DL635" s="348"/>
      <c r="DP635" s="348"/>
      <c r="DT635" s="1"/>
      <c r="DU635" s="1"/>
      <c r="DV635" s="1"/>
      <c r="DW635" s="1"/>
      <c r="DX635" s="1"/>
      <c r="DY635" s="1"/>
      <c r="DZ635" s="1"/>
      <c r="EA635" s="1"/>
      <c r="EB635" s="1"/>
      <c r="EC635" s="1"/>
      <c r="ED635" s="1"/>
      <c r="EE635" s="1"/>
      <c r="EF635" s="1"/>
      <c r="EG635" s="1"/>
      <c r="EH635" s="1"/>
      <c r="EI635" s="1"/>
      <c r="EJ635" s="1"/>
      <c r="EK635" s="1"/>
      <c r="EL635" s="1"/>
      <c r="EM635" s="1"/>
      <c r="EN635" s="1"/>
      <c r="EO635" s="1"/>
      <c r="EP635" s="1"/>
      <c r="EQ635" s="1"/>
      <c r="ER635" s="1"/>
      <c r="ES635" s="1"/>
      <c r="ET635" s="1"/>
      <c r="EU635" s="1"/>
      <c r="EV635" s="1"/>
      <c r="EW635" s="1"/>
      <c r="EX635" s="1"/>
      <c r="EY635" s="1"/>
      <c r="EZ635" s="1"/>
      <c r="FA635" s="1"/>
      <c r="FB635" s="1"/>
      <c r="FC635" s="1"/>
      <c r="FD635" s="1"/>
      <c r="FE635" s="1"/>
      <c r="FF635" s="1"/>
      <c r="FG635" s="1"/>
      <c r="FH635" s="1"/>
      <c r="FI635" s="1"/>
      <c r="FJ635" s="1"/>
      <c r="FK635" s="1"/>
      <c r="FL635" s="1"/>
      <c r="FM635" s="1"/>
      <c r="FN635" s="1"/>
      <c r="FO635" s="1"/>
      <c r="FP635" s="1"/>
      <c r="FQ635" s="1"/>
      <c r="FR635" s="1"/>
      <c r="FS635" s="1"/>
      <c r="FT635" s="1"/>
      <c r="FU635" s="1"/>
      <c r="FV635" s="1"/>
      <c r="FW635" s="1"/>
      <c r="FX635" s="1"/>
      <c r="FY635" s="1"/>
      <c r="FZ635" s="1"/>
      <c r="GA635" s="1"/>
      <c r="GB635" s="1"/>
      <c r="GC635" s="1"/>
      <c r="GD635" s="1"/>
      <c r="GE635" s="1"/>
      <c r="GF635" s="1"/>
      <c r="GG635" s="1"/>
      <c r="GH635" s="1"/>
      <c r="GI635" s="1"/>
      <c r="GJ635" s="1"/>
      <c r="GK635" s="1"/>
      <c r="GL635" s="1"/>
      <c r="GM635" s="1"/>
      <c r="GN635" s="1"/>
      <c r="GO635" s="1"/>
      <c r="GP635" s="1"/>
      <c r="GQ635" s="1"/>
      <c r="GR635" s="1"/>
      <c r="GS635" s="1"/>
      <c r="GT635" s="1"/>
      <c r="GU635" s="1"/>
      <c r="GV635" s="1"/>
      <c r="GW635" s="1"/>
      <c r="GX635" s="1"/>
      <c r="GY635" s="1"/>
      <c r="GZ635" s="1"/>
      <c r="HA635" s="1"/>
      <c r="HB635" s="1"/>
      <c r="HC635" s="1"/>
      <c r="HD635" s="1"/>
      <c r="HE635" s="1"/>
      <c r="HF635" s="1"/>
      <c r="HG635" s="1"/>
      <c r="HH635" s="1"/>
      <c r="HI635" s="1"/>
      <c r="HJ635" s="1"/>
      <c r="HK635" s="1"/>
      <c r="HL635" s="1"/>
      <c r="HM635" s="1"/>
      <c r="HN635" s="1"/>
      <c r="HO635" s="1"/>
      <c r="HP635" s="1"/>
      <c r="HQ635" s="1"/>
      <c r="HR635" s="1"/>
      <c r="HS635" s="1"/>
      <c r="HT635" s="1"/>
      <c r="HU635" s="1"/>
      <c r="HV635" s="1"/>
      <c r="HW635" s="1"/>
      <c r="HX635" s="1"/>
      <c r="HY635" s="1"/>
      <c r="HZ635" s="1"/>
      <c r="IA635" s="1"/>
      <c r="IB635" s="1"/>
      <c r="IC635" s="1"/>
      <c r="ID635" s="1"/>
      <c r="IE635" s="1"/>
      <c r="IF635" s="1"/>
      <c r="IG635" s="1"/>
      <c r="IH635" s="1"/>
      <c r="II635" s="1"/>
      <c r="IJ635" s="1"/>
      <c r="IK635" s="1"/>
      <c r="IL635" s="1"/>
      <c r="IM635" s="1"/>
      <c r="IN635" s="1"/>
      <c r="IO635" s="1"/>
      <c r="IP635" s="1"/>
      <c r="IQ635" s="1"/>
      <c r="IR635" s="1"/>
      <c r="IS635" s="1"/>
      <c r="IT635" s="1"/>
      <c r="IU635" s="1"/>
      <c r="IV635" s="1"/>
      <c r="IW635" s="1"/>
      <c r="IX635" s="1"/>
      <c r="IY635" s="1"/>
      <c r="IZ635" s="1"/>
      <c r="JA635" s="1"/>
      <c r="JB635" s="1"/>
      <c r="JC635" s="1"/>
      <c r="JD635" s="1"/>
    </row>
    <row r="636" spans="1:264" s="347" customFormat="1" x14ac:dyDescent="0.2">
      <c r="A636" s="411" t="s">
        <v>19</v>
      </c>
      <c r="B636" s="348"/>
      <c r="BH636" s="348"/>
      <c r="BI636" s="348"/>
      <c r="BJ636" s="348"/>
      <c r="BK636" s="348"/>
      <c r="BL636" s="348"/>
      <c r="BM636" s="348"/>
      <c r="BN636" s="348"/>
      <c r="BO636" s="348"/>
      <c r="BP636" s="348"/>
      <c r="BT636" s="348"/>
      <c r="BU636" s="400"/>
      <c r="BX636" s="348"/>
      <c r="BY636" s="400"/>
      <c r="CB636" s="348"/>
      <c r="CC636" s="400"/>
      <c r="CF636" s="400"/>
      <c r="CG636" s="400"/>
      <c r="CJ636" s="348"/>
      <c r="CK636" s="400"/>
      <c r="CN636" s="348"/>
      <c r="CO636" s="400"/>
      <c r="CR636" s="348"/>
      <c r="CV636" s="348"/>
      <c r="CZ636" s="348"/>
      <c r="DD636" s="348"/>
      <c r="DH636" s="348"/>
      <c r="DL636" s="348"/>
      <c r="DP636" s="348"/>
      <c r="DT636" s="1"/>
      <c r="DU636" s="1"/>
      <c r="DV636" s="1"/>
      <c r="DW636" s="1"/>
      <c r="DX636" s="1"/>
      <c r="DY636" s="1"/>
      <c r="DZ636" s="1"/>
      <c r="EA636" s="1"/>
      <c r="EB636" s="1"/>
      <c r="EC636" s="1"/>
      <c r="ED636" s="1"/>
      <c r="EE636" s="1"/>
      <c r="EF636" s="1"/>
      <c r="EG636" s="1"/>
      <c r="EH636" s="1"/>
      <c r="EI636" s="1"/>
      <c r="EJ636" s="1"/>
      <c r="EK636" s="1"/>
      <c r="EL636" s="1"/>
      <c r="EM636" s="1"/>
      <c r="EN636" s="1"/>
      <c r="EO636" s="1"/>
      <c r="EP636" s="1"/>
      <c r="EQ636" s="1"/>
      <c r="ER636" s="1"/>
      <c r="ES636" s="1"/>
      <c r="ET636" s="1"/>
      <c r="EU636" s="1"/>
      <c r="EV636" s="1"/>
      <c r="EW636" s="1"/>
      <c r="EX636" s="1"/>
      <c r="EY636" s="1"/>
      <c r="EZ636" s="1"/>
      <c r="FA636" s="1"/>
      <c r="FB636" s="1"/>
      <c r="FC636" s="1"/>
      <c r="FD636" s="1"/>
      <c r="FE636" s="1"/>
      <c r="FF636" s="1"/>
      <c r="FG636" s="1"/>
      <c r="FH636" s="1"/>
      <c r="FI636" s="1"/>
      <c r="FJ636" s="1"/>
      <c r="FK636" s="1"/>
      <c r="FL636" s="1"/>
      <c r="FM636" s="1"/>
      <c r="FN636" s="1"/>
      <c r="FO636" s="1"/>
      <c r="FP636" s="1"/>
      <c r="FQ636" s="1"/>
      <c r="FR636" s="1"/>
      <c r="FS636" s="1"/>
      <c r="FT636" s="1"/>
      <c r="FU636" s="1"/>
      <c r="FV636" s="1"/>
      <c r="FW636" s="1"/>
      <c r="FX636" s="1"/>
      <c r="FY636" s="1"/>
      <c r="FZ636" s="1"/>
      <c r="GA636" s="1"/>
      <c r="GB636" s="1"/>
      <c r="GC636" s="1"/>
      <c r="GD636" s="1"/>
      <c r="GE636" s="1"/>
      <c r="GF636" s="1"/>
      <c r="GG636" s="1"/>
      <c r="GH636" s="1"/>
      <c r="GI636" s="1"/>
      <c r="GJ636" s="1"/>
      <c r="GK636" s="1"/>
      <c r="GL636" s="1"/>
      <c r="GM636" s="1"/>
      <c r="GN636" s="1"/>
      <c r="GO636" s="1"/>
      <c r="GP636" s="1"/>
      <c r="GQ636" s="1"/>
      <c r="GR636" s="1"/>
      <c r="GS636" s="1"/>
      <c r="GT636" s="1"/>
      <c r="GU636" s="1"/>
      <c r="GV636" s="1"/>
      <c r="GW636" s="1"/>
      <c r="GX636" s="1"/>
      <c r="GY636" s="1"/>
      <c r="GZ636" s="1"/>
      <c r="HA636" s="1"/>
      <c r="HB636" s="1"/>
      <c r="HC636" s="1"/>
      <c r="HD636" s="1"/>
      <c r="HE636" s="1"/>
      <c r="HF636" s="1"/>
      <c r="HG636" s="1"/>
      <c r="HH636" s="1"/>
      <c r="HI636" s="1"/>
      <c r="HJ636" s="1"/>
      <c r="HK636" s="1"/>
      <c r="HL636" s="1"/>
      <c r="HM636" s="1"/>
      <c r="HN636" s="1"/>
      <c r="HO636" s="1"/>
      <c r="HP636" s="1"/>
      <c r="HQ636" s="1"/>
      <c r="HR636" s="1"/>
      <c r="HS636" s="1"/>
      <c r="HT636" s="1"/>
      <c r="HU636" s="1"/>
      <c r="HV636" s="1"/>
      <c r="HW636" s="1"/>
      <c r="HX636" s="1"/>
      <c r="HY636" s="1"/>
      <c r="HZ636" s="1"/>
      <c r="IA636" s="1"/>
      <c r="IB636" s="1"/>
      <c r="IC636" s="1"/>
      <c r="ID636" s="1"/>
      <c r="IE636" s="1"/>
      <c r="IF636" s="1"/>
      <c r="IG636" s="1"/>
      <c r="IH636" s="1"/>
      <c r="II636" s="1"/>
      <c r="IJ636" s="1"/>
      <c r="IK636" s="1"/>
      <c r="IL636" s="1"/>
      <c r="IM636" s="1"/>
      <c r="IN636" s="1"/>
      <c r="IO636" s="1"/>
      <c r="IP636" s="1"/>
      <c r="IQ636" s="1"/>
      <c r="IR636" s="1"/>
      <c r="IS636" s="1"/>
      <c r="IT636" s="1"/>
      <c r="IU636" s="1"/>
      <c r="IV636" s="1"/>
      <c r="IW636" s="1"/>
      <c r="IX636" s="1"/>
      <c r="IY636" s="1"/>
      <c r="IZ636" s="1"/>
      <c r="JA636" s="1"/>
      <c r="JB636" s="1"/>
      <c r="JC636" s="1"/>
      <c r="JD636" s="1"/>
    </row>
    <row r="637" spans="1:264" s="347" customFormat="1" x14ac:dyDescent="0.2">
      <c r="A637" s="347" t="s">
        <v>496</v>
      </c>
      <c r="B637" s="348"/>
      <c r="BH637" s="348"/>
      <c r="BI637" s="348"/>
      <c r="BJ637" s="348"/>
      <c r="BK637" s="348"/>
      <c r="BL637" s="348"/>
      <c r="BM637" s="348"/>
      <c r="BN637" s="348"/>
      <c r="BO637" s="348"/>
      <c r="BP637" s="604">
        <v>320</v>
      </c>
      <c r="BQ637" s="351">
        <f>+BR637-BP637</f>
        <v>334</v>
      </c>
      <c r="BR637" s="604">
        <v>654</v>
      </c>
      <c r="BT637" s="604">
        <v>357</v>
      </c>
      <c r="BU637" s="351">
        <f>+BV637-BT637</f>
        <v>426</v>
      </c>
      <c r="BV637" s="604">
        <v>783</v>
      </c>
      <c r="BX637" s="604">
        <v>388</v>
      </c>
      <c r="BY637" s="351">
        <f>+BZ637-BX637</f>
        <v>346</v>
      </c>
      <c r="BZ637" s="604">
        <v>734</v>
      </c>
      <c r="CB637" s="604">
        <v>388</v>
      </c>
      <c r="CC637" s="351">
        <f>+CD637-CB637</f>
        <v>351</v>
      </c>
      <c r="CD637" s="604">
        <f>351+388</f>
        <v>739</v>
      </c>
      <c r="CE637" s="537"/>
      <c r="CF637" s="604">
        <v>340</v>
      </c>
      <c r="CG637" s="604">
        <v>302</v>
      </c>
      <c r="CH637" s="348">
        <f>SUM(CF637:CG637)</f>
        <v>642</v>
      </c>
      <c r="CI637" s="393"/>
      <c r="CJ637" s="604">
        <v>335</v>
      </c>
      <c r="CK637" s="604">
        <v>300</v>
      </c>
      <c r="CL637" s="348">
        <f>SUM(CJ637:CK637)</f>
        <v>635</v>
      </c>
      <c r="CM637" s="393">
        <f>+CL637/CH637-1</f>
        <v>-1.0903426791277204E-2</v>
      </c>
      <c r="CN637" s="604">
        <v>259</v>
      </c>
      <c r="CO637" s="604">
        <v>243</v>
      </c>
      <c r="CP637" s="348">
        <f>SUM(CN637:CO637)</f>
        <v>502</v>
      </c>
      <c r="CQ637" s="393">
        <f>+CP637/CL637-1</f>
        <v>-0.20944881889763778</v>
      </c>
      <c r="CR637" s="604">
        <v>272</v>
      </c>
      <c r="CS637" s="604">
        <v>288</v>
      </c>
      <c r="CT637" s="348">
        <f>SUM(CR637:CS637)</f>
        <v>560</v>
      </c>
      <c r="CU637" s="393">
        <f>+CT637/CP637-1</f>
        <v>0.11553784860557759</v>
      </c>
      <c r="CV637" s="604">
        <v>322</v>
      </c>
      <c r="CW637" s="604">
        <v>352</v>
      </c>
      <c r="CX637" s="348">
        <f>SUM(CV637:CW637)</f>
        <v>674</v>
      </c>
      <c r="CY637" s="393">
        <f>+CX637/CT637-1</f>
        <v>0.20357142857142851</v>
      </c>
      <c r="CZ637" s="604">
        <v>381</v>
      </c>
      <c r="DA637" s="604">
        <v>361</v>
      </c>
      <c r="DB637" s="348">
        <f>SUM(CZ637:DA637)</f>
        <v>742</v>
      </c>
      <c r="DC637" s="393">
        <f>+DB637/CX637-1</f>
        <v>0.10089020771513346</v>
      </c>
      <c r="DD637" s="604">
        <v>401</v>
      </c>
      <c r="DE637" s="604">
        <v>376</v>
      </c>
      <c r="DF637" s="348">
        <f>SUM(DD637:DE637)</f>
        <v>777</v>
      </c>
      <c r="DG637" s="393">
        <f>+DF637/DB637-1</f>
        <v>4.7169811320754818E-2</v>
      </c>
      <c r="DH637" s="604">
        <v>377</v>
      </c>
      <c r="DI637" s="351">
        <f>+DE637*(1+DI646)</f>
        <v>393.67199999999997</v>
      </c>
      <c r="DJ637" s="351">
        <f>+DH637+DI637</f>
        <v>770.67200000000003</v>
      </c>
      <c r="DK637" s="393">
        <f>+DJ637/DF637-1</f>
        <v>-8.1441441441441054E-3</v>
      </c>
      <c r="DL637" s="351">
        <f>+DH637*(1+DL646)</f>
        <v>377</v>
      </c>
      <c r="DM637" s="351">
        <f>+DI637*(1+DM646)</f>
        <v>405.48215999999996</v>
      </c>
      <c r="DN637" s="351">
        <f>+DL637+DM637</f>
        <v>782.48216000000002</v>
      </c>
      <c r="DO637" s="393">
        <f>+DN637/DJ637-1</f>
        <v>1.5324496024248901E-2</v>
      </c>
      <c r="DP637" s="351">
        <f>+DL637*(1+DP646)</f>
        <v>388.31</v>
      </c>
      <c r="DQ637" s="351">
        <f>+DM637*(1+DQ646)</f>
        <v>417.64662479999998</v>
      </c>
      <c r="DR637" s="351">
        <f>+DP637+DQ637</f>
        <v>805.95662479999999</v>
      </c>
      <c r="DS637" s="393">
        <f>+DR637/DN637-1</f>
        <v>3.0000000000000027E-2</v>
      </c>
      <c r="DT637" s="1"/>
      <c r="DU637" s="1"/>
      <c r="DV637" s="1"/>
      <c r="DW637" s="1"/>
      <c r="DX637" s="1"/>
      <c r="DY637" s="1"/>
      <c r="DZ637" s="1"/>
      <c r="EA637" s="1"/>
      <c r="EB637" s="1"/>
      <c r="EC637" s="1"/>
      <c r="ED637" s="1"/>
      <c r="EE637" s="1"/>
      <c r="EF637" s="1"/>
      <c r="EG637" s="1"/>
      <c r="EH637" s="1"/>
      <c r="EI637" s="1"/>
      <c r="EJ637" s="1"/>
      <c r="EK637" s="1"/>
      <c r="EL637" s="1"/>
      <c r="EM637" s="1"/>
      <c r="EN637" s="1"/>
      <c r="EO637" s="1"/>
      <c r="EP637" s="1"/>
      <c r="EQ637" s="1"/>
      <c r="ER637" s="1"/>
      <c r="ES637" s="1"/>
      <c r="ET637" s="1"/>
      <c r="EU637" s="1"/>
      <c r="EV637" s="1"/>
      <c r="EW637" s="1"/>
      <c r="EX637" s="1"/>
      <c r="EY637" s="1"/>
      <c r="EZ637" s="1"/>
      <c r="FA637" s="1"/>
      <c r="FB637" s="1"/>
      <c r="FC637" s="1"/>
      <c r="FD637" s="1"/>
      <c r="FE637" s="1"/>
      <c r="FF637" s="1"/>
      <c r="FG637" s="1"/>
      <c r="FH637" s="1"/>
      <c r="FI637" s="1"/>
      <c r="FJ637" s="1"/>
      <c r="FK637" s="1"/>
      <c r="FL637" s="1"/>
      <c r="FM637" s="1"/>
      <c r="FN637" s="1"/>
      <c r="FO637" s="1"/>
      <c r="FP637" s="1"/>
      <c r="FQ637" s="1"/>
      <c r="FR637" s="1"/>
      <c r="FS637" s="1"/>
      <c r="FT637" s="1"/>
      <c r="FU637" s="1"/>
      <c r="FV637" s="1"/>
      <c r="FW637" s="1"/>
      <c r="FX637" s="1"/>
      <c r="FY637" s="1"/>
      <c r="FZ637" s="1"/>
      <c r="GA637" s="1"/>
      <c r="GB637" s="1"/>
      <c r="GC637" s="1"/>
      <c r="GD637" s="1"/>
      <c r="GE637" s="1"/>
      <c r="GF637" s="1"/>
      <c r="GG637" s="1"/>
      <c r="GH637" s="1"/>
      <c r="GI637" s="1"/>
      <c r="GJ637" s="1"/>
      <c r="GK637" s="1"/>
      <c r="GL637" s="1"/>
      <c r="GM637" s="1"/>
      <c r="GN637" s="1"/>
      <c r="GO637" s="1"/>
      <c r="GP637" s="1"/>
      <c r="GQ637" s="1"/>
      <c r="GR637" s="1"/>
      <c r="GS637" s="1"/>
      <c r="GT637" s="1"/>
      <c r="GU637" s="1"/>
      <c r="GV637" s="1"/>
      <c r="GW637" s="1"/>
      <c r="GX637" s="1"/>
      <c r="GY637" s="1"/>
      <c r="GZ637" s="1"/>
      <c r="HA637" s="1"/>
      <c r="HB637" s="1"/>
      <c r="HC637" s="1"/>
      <c r="HD637" s="1"/>
      <c r="HE637" s="1"/>
      <c r="HF637" s="1"/>
      <c r="HG637" s="1"/>
      <c r="HH637" s="1"/>
      <c r="HI637" s="1"/>
      <c r="HJ637" s="1"/>
      <c r="HK637" s="1"/>
      <c r="HL637" s="1"/>
      <c r="HM637" s="1"/>
      <c r="HN637" s="1"/>
      <c r="HO637" s="1"/>
      <c r="HP637" s="1"/>
      <c r="HQ637" s="1"/>
      <c r="HR637" s="1"/>
      <c r="HS637" s="1"/>
      <c r="HT637" s="1"/>
      <c r="HU637" s="1"/>
      <c r="HV637" s="1"/>
      <c r="HW637" s="1"/>
      <c r="HX637" s="1"/>
      <c r="HY637" s="1"/>
      <c r="HZ637" s="1"/>
      <c r="IA637" s="1"/>
      <c r="IB637" s="1"/>
      <c r="IC637" s="1"/>
      <c r="ID637" s="1"/>
      <c r="IE637" s="1"/>
      <c r="IF637" s="1"/>
      <c r="IG637" s="1"/>
      <c r="IH637" s="1"/>
      <c r="II637" s="1"/>
      <c r="IJ637" s="1"/>
      <c r="IK637" s="1"/>
      <c r="IL637" s="1"/>
      <c r="IM637" s="1"/>
      <c r="IN637" s="1"/>
      <c r="IO637" s="1"/>
      <c r="IP637" s="1"/>
      <c r="IQ637" s="1"/>
      <c r="IR637" s="1"/>
      <c r="IS637" s="1"/>
      <c r="IT637" s="1"/>
      <c r="IU637" s="1"/>
      <c r="IV637" s="1"/>
      <c r="IW637" s="1"/>
      <c r="IX637" s="1"/>
      <c r="IY637" s="1"/>
      <c r="IZ637" s="1"/>
      <c r="JA637" s="1"/>
      <c r="JB637" s="1"/>
      <c r="JC637" s="1"/>
      <c r="JD637" s="1"/>
    </row>
    <row r="638" spans="1:264" s="347" customFormat="1" x14ac:dyDescent="0.2">
      <c r="A638" s="347" t="s">
        <v>497</v>
      </c>
      <c r="B638" s="348"/>
      <c r="BH638" s="348"/>
      <c r="BI638" s="348"/>
      <c r="BJ638" s="348"/>
      <c r="BK638" s="348"/>
      <c r="BL638" s="348"/>
      <c r="BM638" s="348"/>
      <c r="BN638" s="348"/>
      <c r="BO638" s="348"/>
      <c r="BP638" s="604">
        <v>179</v>
      </c>
      <c r="BQ638" s="351">
        <f>+BR638-BP638</f>
        <v>245</v>
      </c>
      <c r="BR638" s="604">
        <v>424</v>
      </c>
      <c r="BT638" s="604">
        <v>206</v>
      </c>
      <c r="BU638" s="351">
        <f>+BV638-BT638</f>
        <v>172</v>
      </c>
      <c r="BV638" s="604">
        <v>378</v>
      </c>
      <c r="BX638" s="604">
        <v>233</v>
      </c>
      <c r="BY638" s="351">
        <f>+BZ638-BX638</f>
        <v>171</v>
      </c>
      <c r="BZ638" s="604">
        <v>404</v>
      </c>
      <c r="CB638" s="604">
        <v>163</v>
      </c>
      <c r="CC638" s="351">
        <f>+CD638-CB638</f>
        <v>108</v>
      </c>
      <c r="CD638" s="604">
        <f>108+163</f>
        <v>271</v>
      </c>
      <c r="CE638" s="537"/>
      <c r="CF638" s="604">
        <v>69</v>
      </c>
      <c r="CG638" s="604">
        <v>169</v>
      </c>
      <c r="CH638" s="348">
        <f>SUM(CF638:CG638)</f>
        <v>238</v>
      </c>
      <c r="CI638" s="393"/>
      <c r="CJ638" s="604">
        <v>180</v>
      </c>
      <c r="CK638" s="604">
        <v>159</v>
      </c>
      <c r="CL638" s="348">
        <f>SUM(CJ638:CK638)</f>
        <v>339</v>
      </c>
      <c r="CM638" s="393">
        <f>+CL638/CH638-1</f>
        <v>0.42436974789915971</v>
      </c>
      <c r="CN638" s="604">
        <v>276</v>
      </c>
      <c r="CO638" s="604">
        <v>61</v>
      </c>
      <c r="CP638" s="348">
        <f>SUM(CN638:CO638)</f>
        <v>337</v>
      </c>
      <c r="CQ638" s="393">
        <f>+CP638/CL638-1</f>
        <v>-5.8997050147492347E-3</v>
      </c>
      <c r="CR638" s="604">
        <v>98</v>
      </c>
      <c r="CS638" s="604">
        <v>123</v>
      </c>
      <c r="CT638" s="348">
        <f>SUM(CR638:CS638)</f>
        <v>221</v>
      </c>
      <c r="CU638" s="393">
        <f>+CT638/CP638-1</f>
        <v>-0.34421364985163205</v>
      </c>
      <c r="CV638" s="604">
        <v>221</v>
      </c>
      <c r="CW638" s="604">
        <v>239</v>
      </c>
      <c r="CX638" s="348">
        <f>SUM(CV638:CW638)</f>
        <v>460</v>
      </c>
      <c r="CY638" s="393">
        <f>+CX638/CT638-1</f>
        <v>1.0814479638009051</v>
      </c>
      <c r="CZ638" s="604">
        <v>264</v>
      </c>
      <c r="DA638" s="604">
        <v>176</v>
      </c>
      <c r="DB638" s="348">
        <f>SUM(CZ638:DA638)</f>
        <v>440</v>
      </c>
      <c r="DC638" s="393">
        <f>+DB638/CX638-1</f>
        <v>-4.3478260869565188E-2</v>
      </c>
      <c r="DD638" s="604">
        <v>133</v>
      </c>
      <c r="DE638" s="604">
        <v>278</v>
      </c>
      <c r="DF638" s="348">
        <f>SUM(DD638:DE638)</f>
        <v>411</v>
      </c>
      <c r="DG638" s="393">
        <f>+DF638/DB638-1</f>
        <v>-6.5909090909090917E-2</v>
      </c>
      <c r="DH638" s="604">
        <v>234</v>
      </c>
      <c r="DI638" s="351">
        <f>+DE638*(1+DI647)</f>
        <v>194.6</v>
      </c>
      <c r="DJ638" s="351">
        <f>+DH638+DI638</f>
        <v>428.6</v>
      </c>
      <c r="DK638" s="393">
        <f>+DJ638/DF638-1</f>
        <v>4.2822384428223836E-2</v>
      </c>
      <c r="DL638" s="351">
        <f>+DH638*(1+DL647)</f>
        <v>238.68</v>
      </c>
      <c r="DM638" s="351">
        <f>+DI638*(1+DM647)</f>
        <v>198.49199999999999</v>
      </c>
      <c r="DN638" s="351">
        <f>+DL638+DM638</f>
        <v>437.17200000000003</v>
      </c>
      <c r="DO638" s="393">
        <f>+DN638/DJ638-1</f>
        <v>2.0000000000000018E-2</v>
      </c>
      <c r="DP638" s="351">
        <f>+DL638*(1+DP647)</f>
        <v>243.45360000000002</v>
      </c>
      <c r="DQ638" s="351">
        <f>+DM638*(1+DQ647)</f>
        <v>202.46184</v>
      </c>
      <c r="DR638" s="351">
        <f>+DP638+DQ638</f>
        <v>445.91543999999999</v>
      </c>
      <c r="DS638" s="393">
        <f>+DR638/DN638-1</f>
        <v>2.0000000000000018E-2</v>
      </c>
      <c r="DT638" s="1"/>
      <c r="DU638" s="1"/>
      <c r="DV638" s="1"/>
      <c r="DW638" s="1"/>
      <c r="DX638" s="1"/>
      <c r="DY638" s="1"/>
      <c r="DZ638" s="1"/>
      <c r="EA638" s="1"/>
      <c r="EB638" s="1"/>
      <c r="EC638" s="1"/>
      <c r="ED638" s="1"/>
      <c r="EE638" s="1"/>
      <c r="EF638" s="1"/>
      <c r="EG638" s="1"/>
      <c r="EH638" s="1"/>
      <c r="EI638" s="1"/>
      <c r="EJ638" s="1"/>
      <c r="EK638" s="1"/>
      <c r="EL638" s="1"/>
      <c r="EM638" s="1"/>
      <c r="EN638" s="1"/>
      <c r="EO638" s="1"/>
      <c r="EP638" s="1"/>
      <c r="EQ638" s="1"/>
      <c r="ER638" s="1"/>
      <c r="ES638" s="1"/>
      <c r="ET638" s="1"/>
      <c r="EU638" s="1"/>
      <c r="EV638" s="1"/>
      <c r="EW638" s="1"/>
      <c r="EX638" s="1"/>
      <c r="EY638" s="1"/>
      <c r="EZ638" s="1"/>
      <c r="FA638" s="1"/>
      <c r="FB638" s="1"/>
      <c r="FC638" s="1"/>
      <c r="FD638" s="1"/>
      <c r="FE638" s="1"/>
      <c r="FF638" s="1"/>
      <c r="FG638" s="1"/>
      <c r="FH638" s="1"/>
      <c r="FI638" s="1"/>
      <c r="FJ638" s="1"/>
      <c r="FK638" s="1"/>
      <c r="FL638" s="1"/>
      <c r="FM638" s="1"/>
      <c r="FN638" s="1"/>
      <c r="FO638" s="1"/>
      <c r="FP638" s="1"/>
      <c r="FQ638" s="1"/>
      <c r="FR638" s="1"/>
      <c r="FS638" s="1"/>
      <c r="FT638" s="1"/>
      <c r="FU638" s="1"/>
      <c r="FV638" s="1"/>
      <c r="FW638" s="1"/>
      <c r="FX638" s="1"/>
      <c r="FY638" s="1"/>
      <c r="FZ638" s="1"/>
      <c r="GA638" s="1"/>
      <c r="GB638" s="1"/>
      <c r="GC638" s="1"/>
      <c r="GD638" s="1"/>
      <c r="GE638" s="1"/>
      <c r="GF638" s="1"/>
      <c r="GG638" s="1"/>
      <c r="GH638" s="1"/>
      <c r="GI638" s="1"/>
      <c r="GJ638" s="1"/>
      <c r="GK638" s="1"/>
      <c r="GL638" s="1"/>
      <c r="GM638" s="1"/>
      <c r="GN638" s="1"/>
      <c r="GO638" s="1"/>
      <c r="GP638" s="1"/>
      <c r="GQ638" s="1"/>
      <c r="GR638" s="1"/>
      <c r="GS638" s="1"/>
      <c r="GT638" s="1"/>
      <c r="GU638" s="1"/>
      <c r="GV638" s="1"/>
      <c r="GW638" s="1"/>
      <c r="GX638" s="1"/>
      <c r="GY638" s="1"/>
      <c r="GZ638" s="1"/>
      <c r="HA638" s="1"/>
      <c r="HB638" s="1"/>
      <c r="HC638" s="1"/>
      <c r="HD638" s="1"/>
      <c r="HE638" s="1"/>
      <c r="HF638" s="1"/>
      <c r="HG638" s="1"/>
      <c r="HH638" s="1"/>
      <c r="HI638" s="1"/>
      <c r="HJ638" s="1"/>
      <c r="HK638" s="1"/>
      <c r="HL638" s="1"/>
      <c r="HM638" s="1"/>
      <c r="HN638" s="1"/>
      <c r="HO638" s="1"/>
      <c r="HP638" s="1"/>
      <c r="HQ638" s="1"/>
      <c r="HR638" s="1"/>
      <c r="HS638" s="1"/>
      <c r="HT638" s="1"/>
      <c r="HU638" s="1"/>
      <c r="HV638" s="1"/>
      <c r="HW638" s="1"/>
      <c r="HX638" s="1"/>
      <c r="HY638" s="1"/>
      <c r="HZ638" s="1"/>
      <c r="IA638" s="1"/>
      <c r="IB638" s="1"/>
      <c r="IC638" s="1"/>
      <c r="ID638" s="1"/>
      <c r="IE638" s="1"/>
      <c r="IF638" s="1"/>
      <c r="IG638" s="1"/>
      <c r="IH638" s="1"/>
      <c r="II638" s="1"/>
      <c r="IJ638" s="1"/>
      <c r="IK638" s="1"/>
      <c r="IL638" s="1"/>
      <c r="IM638" s="1"/>
      <c r="IN638" s="1"/>
      <c r="IO638" s="1"/>
      <c r="IP638" s="1"/>
      <c r="IQ638" s="1"/>
      <c r="IR638" s="1"/>
      <c r="IS638" s="1"/>
      <c r="IT638" s="1"/>
      <c r="IU638" s="1"/>
      <c r="IV638" s="1"/>
      <c r="IW638" s="1"/>
      <c r="IX638" s="1"/>
      <c r="IY638" s="1"/>
      <c r="IZ638" s="1"/>
      <c r="JA638" s="1"/>
      <c r="JB638" s="1"/>
      <c r="JC638" s="1"/>
      <c r="JD638" s="1"/>
    </row>
    <row r="639" spans="1:264" s="347" customFormat="1" x14ac:dyDescent="0.2">
      <c r="A639" s="447" t="s">
        <v>498</v>
      </c>
      <c r="B639" s="446"/>
      <c r="C639" s="447"/>
      <c r="D639" s="447"/>
      <c r="E639" s="447"/>
      <c r="F639" s="447"/>
      <c r="G639" s="447"/>
      <c r="H639" s="447"/>
      <c r="I639" s="447"/>
      <c r="J639" s="447"/>
      <c r="K639" s="447"/>
      <c r="L639" s="447"/>
      <c r="M639" s="447"/>
      <c r="N639" s="447"/>
      <c r="O639" s="447"/>
      <c r="P639" s="447"/>
      <c r="Q639" s="447"/>
      <c r="R639" s="447"/>
      <c r="S639" s="447"/>
      <c r="T639" s="447"/>
      <c r="U639" s="447"/>
      <c r="V639" s="447"/>
      <c r="W639" s="447"/>
      <c r="X639" s="447"/>
      <c r="Y639" s="447"/>
      <c r="Z639" s="447"/>
      <c r="AA639" s="447"/>
      <c r="AB639" s="447"/>
      <c r="AC639" s="447"/>
      <c r="AD639" s="447"/>
      <c r="AE639" s="447"/>
      <c r="AF639" s="447"/>
      <c r="AG639" s="447"/>
      <c r="AH639" s="447"/>
      <c r="AI639" s="447"/>
      <c r="AJ639" s="447"/>
      <c r="AK639" s="447"/>
      <c r="AL639" s="447"/>
      <c r="AM639" s="447"/>
      <c r="AN639" s="447"/>
      <c r="AO639" s="447"/>
      <c r="AP639" s="447"/>
      <c r="AQ639" s="447"/>
      <c r="AR639" s="447"/>
      <c r="AS639" s="447"/>
      <c r="AT639" s="447"/>
      <c r="AU639" s="447"/>
      <c r="AV639" s="447"/>
      <c r="AW639" s="447"/>
      <c r="AX639" s="447"/>
      <c r="AY639" s="447"/>
      <c r="AZ639" s="447"/>
      <c r="BA639" s="447"/>
      <c r="BB639" s="447"/>
      <c r="BC639" s="447"/>
      <c r="BD639" s="447"/>
      <c r="BE639" s="447"/>
      <c r="BF639" s="447"/>
      <c r="BG639" s="447"/>
      <c r="BH639" s="446"/>
      <c r="BI639" s="446"/>
      <c r="BJ639" s="446"/>
      <c r="BK639" s="446"/>
      <c r="BL639" s="446"/>
      <c r="BM639" s="446"/>
      <c r="BN639" s="446"/>
      <c r="BO639" s="446"/>
      <c r="BP639" s="449">
        <f>+BP640-BP637-BP638</f>
        <v>30</v>
      </c>
      <c r="BQ639" s="449">
        <f>+BR639-BP639</f>
        <v>-69</v>
      </c>
      <c r="BR639" s="449">
        <f>+BR640-BR637-BR638</f>
        <v>-39</v>
      </c>
      <c r="BS639" s="447"/>
      <c r="BT639" s="449">
        <f>+BT640-BT637-BT638</f>
        <v>-67</v>
      </c>
      <c r="BU639" s="449">
        <f>+BV639-BT639</f>
        <v>-7</v>
      </c>
      <c r="BV639" s="449">
        <f>+BV640-BV637-BV638</f>
        <v>-74</v>
      </c>
      <c r="BW639" s="447"/>
      <c r="BX639" s="449">
        <f>+BX640-BX637-BX638</f>
        <v>-21</v>
      </c>
      <c r="BY639" s="449">
        <f>+BZ639-BX639</f>
        <v>32</v>
      </c>
      <c r="BZ639" s="449">
        <f>+BZ640-BZ637-BZ638</f>
        <v>11</v>
      </c>
      <c r="CA639" s="447"/>
      <c r="CB639" s="449">
        <f>+CB640-CB637-CB638</f>
        <v>5</v>
      </c>
      <c r="CC639" s="449">
        <f>+CD639-CB639</f>
        <v>10</v>
      </c>
      <c r="CD639" s="449">
        <f>+CD640-CD637-CD638</f>
        <v>15</v>
      </c>
      <c r="CE639" s="542"/>
      <c r="CF639" s="449">
        <f>+CF640-CF637-CF638</f>
        <v>23</v>
      </c>
      <c r="CG639" s="449">
        <f>+CH639-CF639</f>
        <v>-50</v>
      </c>
      <c r="CH639" s="449">
        <f>+CH640-CH637-CH638</f>
        <v>-27</v>
      </c>
      <c r="CI639" s="605"/>
      <c r="CJ639" s="449">
        <f>+CJ640-CJ637-CJ638</f>
        <v>-7</v>
      </c>
      <c r="CK639" s="449">
        <f>+CL639-CJ639</f>
        <v>-27</v>
      </c>
      <c r="CL639" s="449">
        <f>+CL640-CL637-CL638</f>
        <v>-34</v>
      </c>
      <c r="CM639" s="605"/>
      <c r="CN639" s="449">
        <f>+CN640-CN637-CN638</f>
        <v>0</v>
      </c>
      <c r="CO639" s="449">
        <f>+CP639-CN639</f>
        <v>13</v>
      </c>
      <c r="CP639" s="449">
        <f>+CP640-CP637-CP638</f>
        <v>13</v>
      </c>
      <c r="CQ639" s="605"/>
      <c r="CR639" s="449">
        <f>+CR640-CR637-CR638</f>
        <v>-2</v>
      </c>
      <c r="CS639" s="449">
        <f>+CT639-CR639</f>
        <v>27</v>
      </c>
      <c r="CT639" s="449">
        <f>+CT640-CT637-CT638</f>
        <v>25</v>
      </c>
      <c r="CU639" s="605"/>
      <c r="CV639" s="449">
        <f>+CV640-CV637-CV638</f>
        <v>-30</v>
      </c>
      <c r="CW639" s="449">
        <f>+CX639-CV639</f>
        <v>-9</v>
      </c>
      <c r="CX639" s="449">
        <f>+CX640-CX637-CX638</f>
        <v>-39</v>
      </c>
      <c r="CY639" s="605"/>
      <c r="CZ639" s="449">
        <f>+CZ640-CZ637-CZ638</f>
        <v>-6</v>
      </c>
      <c r="DA639" s="449">
        <f>+DB639-CZ639</f>
        <v>1</v>
      </c>
      <c r="DB639" s="449">
        <f>+DB640-DB637-DB638</f>
        <v>-5</v>
      </c>
      <c r="DC639" s="605"/>
      <c r="DD639" s="449">
        <f>+DD640-DD637-DD638</f>
        <v>-15</v>
      </c>
      <c r="DE639" s="449">
        <f>+DF639-DD639</f>
        <v>26</v>
      </c>
      <c r="DF639" s="449">
        <f>+DF640-DF637-DF638</f>
        <v>11</v>
      </c>
      <c r="DG639" s="605"/>
      <c r="DH639" s="449">
        <f>+DH640-DH637-DH638</f>
        <v>-8</v>
      </c>
      <c r="DI639" s="606">
        <v>0</v>
      </c>
      <c r="DJ639" s="449">
        <f>+DI639+DH639</f>
        <v>-8</v>
      </c>
      <c r="DK639" s="605"/>
      <c r="DL639" s="606">
        <v>0</v>
      </c>
      <c r="DM639" s="606">
        <v>0</v>
      </c>
      <c r="DN639" s="449">
        <f>+DM639+DL639</f>
        <v>0</v>
      </c>
      <c r="DO639" s="605"/>
      <c r="DP639" s="606">
        <v>0</v>
      </c>
      <c r="DQ639" s="606">
        <v>0</v>
      </c>
      <c r="DR639" s="449">
        <f>+DQ639+DP639</f>
        <v>0</v>
      </c>
      <c r="DS639" s="605"/>
      <c r="DT639" s="1"/>
      <c r="DU639" s="1"/>
      <c r="DV639" s="1"/>
      <c r="DW639" s="1"/>
      <c r="DX639" s="1"/>
      <c r="DY639" s="1"/>
      <c r="DZ639" s="1"/>
      <c r="EA639" s="1"/>
      <c r="EB639" s="1"/>
      <c r="EC639" s="1"/>
      <c r="ED639" s="1"/>
      <c r="EE639" s="1"/>
      <c r="EF639" s="1"/>
      <c r="EG639" s="1"/>
      <c r="EH639" s="1"/>
      <c r="EI639" s="1"/>
      <c r="EJ639" s="1"/>
      <c r="EK639" s="1"/>
      <c r="EL639" s="1"/>
      <c r="EM639" s="1"/>
      <c r="EN639" s="1"/>
      <c r="EO639" s="1"/>
      <c r="EP639" s="1"/>
      <c r="EQ639" s="1"/>
      <c r="ER639" s="1"/>
      <c r="ES639" s="1"/>
      <c r="ET639" s="1"/>
      <c r="EU639" s="1"/>
      <c r="EV639" s="1"/>
      <c r="EW639" s="1"/>
      <c r="EX639" s="1"/>
      <c r="EY639" s="1"/>
      <c r="EZ639" s="1"/>
      <c r="FA639" s="1"/>
      <c r="FB639" s="1"/>
      <c r="FC639" s="1"/>
      <c r="FD639" s="1"/>
      <c r="FE639" s="1"/>
      <c r="FF639" s="1"/>
      <c r="FG639" s="1"/>
      <c r="FH639" s="1"/>
      <c r="FI639" s="1"/>
      <c r="FJ639" s="1"/>
      <c r="FK639" s="1"/>
      <c r="FL639" s="1"/>
      <c r="FM639" s="1"/>
      <c r="FN639" s="1"/>
      <c r="FO639" s="1"/>
      <c r="FP639" s="1"/>
      <c r="FQ639" s="1"/>
      <c r="FR639" s="1"/>
      <c r="FS639" s="1"/>
      <c r="FT639" s="1"/>
      <c r="FU639" s="1"/>
      <c r="FV639" s="1"/>
      <c r="FW639" s="1"/>
      <c r="FX639" s="1"/>
      <c r="FY639" s="1"/>
      <c r="FZ639" s="1"/>
      <c r="GA639" s="1"/>
      <c r="GB639" s="1"/>
      <c r="GC639" s="1"/>
      <c r="GD639" s="1"/>
      <c r="GE639" s="1"/>
      <c r="GF639" s="1"/>
      <c r="GG639" s="1"/>
      <c r="GH639" s="1"/>
      <c r="GI639" s="1"/>
      <c r="GJ639" s="1"/>
      <c r="GK639" s="1"/>
      <c r="GL639" s="1"/>
      <c r="GM639" s="1"/>
      <c r="GN639" s="1"/>
      <c r="GO639" s="1"/>
      <c r="GP639" s="1"/>
      <c r="GQ639" s="1"/>
      <c r="GR639" s="1"/>
      <c r="GS639" s="1"/>
      <c r="GT639" s="1"/>
      <c r="GU639" s="1"/>
      <c r="GV639" s="1"/>
      <c r="GW639" s="1"/>
      <c r="GX639" s="1"/>
      <c r="GY639" s="1"/>
      <c r="GZ639" s="1"/>
      <c r="HA639" s="1"/>
      <c r="HB639" s="1"/>
      <c r="HC639" s="1"/>
      <c r="HD639" s="1"/>
      <c r="HE639" s="1"/>
      <c r="HF639" s="1"/>
      <c r="HG639" s="1"/>
      <c r="HH639" s="1"/>
      <c r="HI639" s="1"/>
      <c r="HJ639" s="1"/>
      <c r="HK639" s="1"/>
      <c r="HL639" s="1"/>
      <c r="HM639" s="1"/>
      <c r="HN639" s="1"/>
      <c r="HO639" s="1"/>
      <c r="HP639" s="1"/>
      <c r="HQ639" s="1"/>
      <c r="HR639" s="1"/>
      <c r="HS639" s="1"/>
      <c r="HT639" s="1"/>
      <c r="HU639" s="1"/>
      <c r="HV639" s="1"/>
      <c r="HW639" s="1"/>
      <c r="HX639" s="1"/>
      <c r="HY639" s="1"/>
      <c r="HZ639" s="1"/>
      <c r="IA639" s="1"/>
      <c r="IB639" s="1"/>
      <c r="IC639" s="1"/>
      <c r="ID639" s="1"/>
      <c r="IE639" s="1"/>
      <c r="IF639" s="1"/>
      <c r="IG639" s="1"/>
      <c r="IH639" s="1"/>
      <c r="II639" s="1"/>
      <c r="IJ639" s="1"/>
      <c r="IK639" s="1"/>
      <c r="IL639" s="1"/>
      <c r="IM639" s="1"/>
      <c r="IN639" s="1"/>
      <c r="IO639" s="1"/>
      <c r="IP639" s="1"/>
      <c r="IQ639" s="1"/>
      <c r="IR639" s="1"/>
      <c r="IS639" s="1"/>
      <c r="IT639" s="1"/>
      <c r="IU639" s="1"/>
      <c r="IV639" s="1"/>
      <c r="IW639" s="1"/>
      <c r="IX639" s="1"/>
      <c r="IY639" s="1"/>
      <c r="IZ639" s="1"/>
      <c r="JA639" s="1"/>
      <c r="JB639" s="1"/>
      <c r="JC639" s="1"/>
      <c r="JD639" s="1"/>
    </row>
    <row r="640" spans="1:264" s="411" customFormat="1" x14ac:dyDescent="0.2">
      <c r="A640" s="411" t="s">
        <v>378</v>
      </c>
      <c r="B640" s="423"/>
      <c r="BH640" s="423"/>
      <c r="BI640" s="423"/>
      <c r="BJ640" s="423"/>
      <c r="BK640" s="423"/>
      <c r="BL640" s="423"/>
      <c r="BM640" s="423"/>
      <c r="BN640" s="423"/>
      <c r="BO640" s="423"/>
      <c r="BP640" s="397">
        <f>BP610</f>
        <v>529</v>
      </c>
      <c r="BQ640" s="397">
        <f>BQ610</f>
        <v>510</v>
      </c>
      <c r="BR640" s="397">
        <f>BR610</f>
        <v>1039</v>
      </c>
      <c r="BT640" s="397">
        <f>BT610</f>
        <v>496</v>
      </c>
      <c r="BU640" s="397">
        <f>BU610</f>
        <v>591</v>
      </c>
      <c r="BV640" s="397">
        <f>BV610</f>
        <v>1087</v>
      </c>
      <c r="BX640" s="397">
        <f>BX610</f>
        <v>600</v>
      </c>
      <c r="BY640" s="397">
        <f>BY610</f>
        <v>549</v>
      </c>
      <c r="BZ640" s="397">
        <f>BZ610</f>
        <v>1149</v>
      </c>
      <c r="CB640" s="397">
        <f>CB610</f>
        <v>556</v>
      </c>
      <c r="CC640" s="397">
        <f>CC610</f>
        <v>469</v>
      </c>
      <c r="CD640" s="397">
        <f>CD610</f>
        <v>1025</v>
      </c>
      <c r="CE640" s="607"/>
      <c r="CF640" s="397">
        <f>CF610</f>
        <v>432</v>
      </c>
      <c r="CG640" s="397">
        <f>CG610</f>
        <v>421</v>
      </c>
      <c r="CH640" s="397">
        <f>CH610</f>
        <v>853</v>
      </c>
      <c r="CI640" s="393"/>
      <c r="CJ640" s="397">
        <f>CJ610</f>
        <v>508</v>
      </c>
      <c r="CK640" s="397">
        <f>CK610</f>
        <v>432</v>
      </c>
      <c r="CL640" s="397">
        <f>CL610</f>
        <v>940</v>
      </c>
      <c r="CM640" s="393">
        <f>+CL640/CH640-1</f>
        <v>0.10199296600234464</v>
      </c>
      <c r="CN640" s="397">
        <f>CN610</f>
        <v>535</v>
      </c>
      <c r="CO640" s="397">
        <f>CO610</f>
        <v>317</v>
      </c>
      <c r="CP640" s="397">
        <f>CP610</f>
        <v>852</v>
      </c>
      <c r="CQ640" s="393">
        <f>+CP640/CL640-1</f>
        <v>-9.3617021276595769E-2</v>
      </c>
      <c r="CR640" s="397">
        <f>CR610</f>
        <v>368</v>
      </c>
      <c r="CS640" s="397">
        <f>CS610</f>
        <v>438</v>
      </c>
      <c r="CT640" s="397">
        <f>CT610</f>
        <v>806</v>
      </c>
      <c r="CU640" s="393">
        <f>+CT640/CP640-1</f>
        <v>-5.39906103286385E-2</v>
      </c>
      <c r="CV640" s="397">
        <f>CV610</f>
        <v>513</v>
      </c>
      <c r="CW640" s="397">
        <f>CW610</f>
        <v>582</v>
      </c>
      <c r="CX640" s="397">
        <f>CX610</f>
        <v>1095</v>
      </c>
      <c r="CY640" s="393">
        <f>+CX640/CT640-1</f>
        <v>0.35856079404466512</v>
      </c>
      <c r="CZ640" s="397">
        <f>CZ610</f>
        <v>639</v>
      </c>
      <c r="DA640" s="397">
        <f>DA610</f>
        <v>538</v>
      </c>
      <c r="DB640" s="397">
        <f>DB610</f>
        <v>1177</v>
      </c>
      <c r="DC640" s="393">
        <f>+DB640/CX640-1</f>
        <v>7.488584474885851E-2</v>
      </c>
      <c r="DD640" s="397">
        <f>DD610</f>
        <v>519</v>
      </c>
      <c r="DE640" s="397">
        <f>DE610</f>
        <v>680</v>
      </c>
      <c r="DF640" s="397">
        <f>DF610</f>
        <v>1199</v>
      </c>
      <c r="DG640" s="393">
        <f>+DF640/DB640-1</f>
        <v>1.8691588785046731E-2</v>
      </c>
      <c r="DH640" s="397">
        <f>DH610</f>
        <v>603</v>
      </c>
      <c r="DI640" s="397">
        <f>SUM(DI637:DI639)</f>
        <v>588.27199999999993</v>
      </c>
      <c r="DJ640" s="397">
        <f>SUM(DJ637:DJ639)</f>
        <v>1191.2719999999999</v>
      </c>
      <c r="DK640" s="393">
        <f>+DJ640/DF640-1</f>
        <v>-6.4453711426188942E-3</v>
      </c>
      <c r="DL640" s="397">
        <f>SUM(DL637:DL639)</f>
        <v>615.68000000000006</v>
      </c>
      <c r="DM640" s="397">
        <f>SUM(DM637:DM639)</f>
        <v>603.97415999999998</v>
      </c>
      <c r="DN640" s="397">
        <f>SUM(DN637:DN639)</f>
        <v>1219.65416</v>
      </c>
      <c r="DO640" s="393">
        <f>+DN640/DJ640-1</f>
        <v>2.3825087805303902E-2</v>
      </c>
      <c r="DP640" s="397">
        <f>SUM(DP637:DP639)</f>
        <v>631.7636</v>
      </c>
      <c r="DQ640" s="397">
        <f>SUM(DQ637:DQ639)</f>
        <v>620.10846479999998</v>
      </c>
      <c r="DR640" s="397">
        <f>SUM(DR637:DR639)</f>
        <v>1251.8720647999999</v>
      </c>
      <c r="DS640" s="393">
        <f>+DR640/DN640-1</f>
        <v>2.6415606863506191E-2</v>
      </c>
      <c r="DT640" s="451"/>
      <c r="DU640" s="451"/>
      <c r="DV640" s="451"/>
      <c r="DW640" s="451"/>
      <c r="DX640" s="451"/>
      <c r="DY640" s="451"/>
      <c r="DZ640" s="451"/>
      <c r="EA640" s="451"/>
      <c r="EB640" s="451"/>
      <c r="EC640" s="451"/>
      <c r="ED640" s="451"/>
      <c r="EE640" s="451"/>
      <c r="EF640" s="451"/>
      <c r="EG640" s="451"/>
      <c r="EH640" s="451"/>
      <c r="EI640" s="451"/>
      <c r="EJ640" s="451"/>
      <c r="EK640" s="451"/>
      <c r="EL640" s="451"/>
      <c r="EM640" s="451"/>
      <c r="EN640" s="451"/>
      <c r="EO640" s="451"/>
      <c r="EP640" s="451"/>
      <c r="EQ640" s="451"/>
      <c r="ER640" s="451"/>
      <c r="ES640" s="451"/>
      <c r="ET640" s="451"/>
      <c r="EU640" s="451"/>
      <c r="EV640" s="451"/>
      <c r="EW640" s="451"/>
      <c r="EX640" s="451"/>
      <c r="EY640" s="451"/>
      <c r="EZ640" s="451"/>
      <c r="FA640" s="451"/>
      <c r="FB640" s="451"/>
      <c r="FC640" s="451"/>
      <c r="FD640" s="451"/>
      <c r="FE640" s="451"/>
      <c r="FF640" s="451"/>
      <c r="FG640" s="451"/>
      <c r="FH640" s="451"/>
      <c r="FI640" s="451"/>
      <c r="FJ640" s="451"/>
      <c r="FK640" s="451"/>
      <c r="FL640" s="451"/>
      <c r="FM640" s="451"/>
      <c r="FN640" s="451"/>
      <c r="FO640" s="451"/>
      <c r="FP640" s="451"/>
      <c r="FQ640" s="451"/>
      <c r="FR640" s="451"/>
      <c r="FS640" s="451"/>
      <c r="FT640" s="451"/>
      <c r="FU640" s="451"/>
      <c r="FV640" s="451"/>
      <c r="FW640" s="451"/>
      <c r="FX640" s="451"/>
      <c r="FY640" s="451"/>
      <c r="FZ640" s="451"/>
      <c r="GA640" s="451"/>
      <c r="GB640" s="451"/>
      <c r="GC640" s="451"/>
      <c r="GD640" s="451"/>
      <c r="GE640" s="451"/>
      <c r="GF640" s="451"/>
      <c r="GG640" s="451"/>
      <c r="GH640" s="451"/>
      <c r="GI640" s="451"/>
      <c r="GJ640" s="451"/>
      <c r="GK640" s="451"/>
      <c r="GL640" s="451"/>
      <c r="GM640" s="451"/>
      <c r="GN640" s="451"/>
      <c r="GO640" s="451"/>
      <c r="GP640" s="451"/>
      <c r="GQ640" s="451"/>
      <c r="GR640" s="451"/>
      <c r="GS640" s="451"/>
      <c r="GT640" s="451"/>
      <c r="GU640" s="451"/>
      <c r="GV640" s="451"/>
      <c r="GW640" s="451"/>
      <c r="GX640" s="451"/>
      <c r="GY640" s="451"/>
      <c r="GZ640" s="451"/>
      <c r="HA640" s="451"/>
      <c r="HB640" s="451"/>
      <c r="HC640" s="451"/>
      <c r="HD640" s="451"/>
      <c r="HE640" s="451"/>
      <c r="HF640" s="451"/>
      <c r="HG640" s="451"/>
      <c r="HH640" s="451"/>
      <c r="HI640" s="451"/>
      <c r="HJ640" s="451"/>
      <c r="HK640" s="451"/>
      <c r="HL640" s="451"/>
      <c r="HM640" s="451"/>
      <c r="HN640" s="451"/>
      <c r="HO640" s="451"/>
      <c r="HP640" s="451"/>
      <c r="HQ640" s="451"/>
      <c r="HR640" s="451"/>
      <c r="HS640" s="451"/>
      <c r="HT640" s="451"/>
      <c r="HU640" s="451"/>
      <c r="HV640" s="451"/>
      <c r="HW640" s="451"/>
      <c r="HX640" s="451"/>
      <c r="HY640" s="451"/>
      <c r="HZ640" s="451"/>
      <c r="IA640" s="451"/>
      <c r="IB640" s="451"/>
      <c r="IC640" s="451"/>
      <c r="ID640" s="451"/>
      <c r="IE640" s="451"/>
      <c r="IF640" s="451"/>
      <c r="IG640" s="451"/>
      <c r="IH640" s="451"/>
      <c r="II640" s="451"/>
      <c r="IJ640" s="451"/>
      <c r="IK640" s="451"/>
      <c r="IL640" s="451"/>
      <c r="IM640" s="451"/>
      <c r="IN640" s="451"/>
      <c r="IO640" s="451"/>
      <c r="IP640" s="451"/>
      <c r="IQ640" s="451"/>
      <c r="IR640" s="451"/>
      <c r="IS640" s="451"/>
      <c r="IT640" s="451"/>
      <c r="IU640" s="451"/>
      <c r="IV640" s="451"/>
      <c r="IW640" s="451"/>
      <c r="IX640" s="451"/>
      <c r="IY640" s="451"/>
      <c r="IZ640" s="451"/>
      <c r="JA640" s="451"/>
      <c r="JB640" s="451"/>
      <c r="JC640" s="451"/>
      <c r="JD640" s="451"/>
    </row>
    <row r="641" spans="1:264" s="347" customFormat="1" x14ac:dyDescent="0.2">
      <c r="A641" s="424" t="s">
        <v>273</v>
      </c>
      <c r="B641" s="348"/>
      <c r="BH641" s="348"/>
      <c r="BI641" s="348"/>
      <c r="BJ641" s="348"/>
      <c r="BK641" s="348"/>
      <c r="BL641" s="348"/>
      <c r="BM641" s="348"/>
      <c r="BN641" s="348"/>
      <c r="BO641" s="348"/>
      <c r="BP641" s="348"/>
      <c r="BT641" s="348"/>
      <c r="BU641" s="400"/>
      <c r="BX641" s="348"/>
      <c r="BY641" s="400"/>
      <c r="CB641" s="348"/>
      <c r="CC641" s="400"/>
      <c r="CE641" s="608"/>
      <c r="CF641" s="348"/>
      <c r="CG641" s="400"/>
      <c r="CJ641" s="549"/>
      <c r="CK641" s="400"/>
      <c r="CM641" s="609"/>
      <c r="CN641" s="549"/>
      <c r="CO641" s="400"/>
      <c r="CQ641" s="555"/>
      <c r="CR641" s="549"/>
      <c r="CS641" s="400"/>
      <c r="CU641" s="610"/>
      <c r="CV641" s="549"/>
      <c r="CW641" s="400"/>
      <c r="CZ641" s="549"/>
      <c r="DA641" s="400"/>
      <c r="DX641" s="1"/>
      <c r="DY641" s="1"/>
      <c r="DZ641" s="1"/>
      <c r="EA641" s="1"/>
      <c r="EB641" s="1"/>
      <c r="EC641" s="1"/>
      <c r="ED641" s="1"/>
      <c r="EE641" s="1"/>
      <c r="EF641" s="1"/>
      <c r="EG641" s="1"/>
      <c r="EH641" s="1"/>
      <c r="EI641" s="1"/>
      <c r="EJ641" s="1"/>
      <c r="EK641" s="1"/>
      <c r="EL641" s="1"/>
      <c r="EM641" s="1"/>
      <c r="EN641" s="1"/>
      <c r="EO641" s="1"/>
      <c r="EP641" s="1"/>
      <c r="EQ641" s="1"/>
      <c r="ER641" s="1"/>
      <c r="ES641" s="1"/>
      <c r="ET641" s="1"/>
      <c r="EU641" s="1"/>
      <c r="EV641" s="1"/>
      <c r="EW641" s="1"/>
      <c r="EX641" s="1"/>
      <c r="EY641" s="1"/>
      <c r="EZ641" s="1"/>
      <c r="FA641" s="1"/>
      <c r="FB641" s="1"/>
      <c r="FC641" s="1"/>
      <c r="FD641" s="1"/>
      <c r="FE641" s="1"/>
      <c r="FF641" s="1"/>
      <c r="FG641" s="1"/>
      <c r="FH641" s="1"/>
      <c r="FI641" s="1"/>
      <c r="FJ641" s="1"/>
      <c r="FK641" s="1"/>
      <c r="FL641" s="1"/>
      <c r="FM641" s="1"/>
      <c r="FN641" s="1"/>
      <c r="FO641" s="1"/>
      <c r="FP641" s="1"/>
      <c r="FQ641" s="1"/>
      <c r="FR641" s="1"/>
      <c r="FS641" s="1"/>
      <c r="FT641" s="1"/>
      <c r="FU641" s="1"/>
      <c r="FV641" s="1"/>
      <c r="FW641" s="1"/>
      <c r="FX641" s="1"/>
      <c r="FY641" s="1"/>
      <c r="FZ641" s="1"/>
      <c r="GA641" s="1"/>
      <c r="GB641" s="1"/>
      <c r="GC641" s="1"/>
      <c r="GD641" s="1"/>
      <c r="GE641" s="1"/>
      <c r="GF641" s="1"/>
      <c r="GG641" s="1"/>
      <c r="GH641" s="1"/>
      <c r="GI641" s="1"/>
      <c r="GJ641" s="1"/>
      <c r="GK641" s="1"/>
      <c r="GL641" s="1"/>
      <c r="GM641" s="1"/>
      <c r="GN641" s="1"/>
      <c r="GO641" s="1"/>
      <c r="GP641" s="1"/>
      <c r="GQ641" s="1"/>
      <c r="GR641" s="1"/>
      <c r="GS641" s="1"/>
      <c r="GT641" s="1"/>
      <c r="GU641" s="1"/>
      <c r="GV641" s="1"/>
      <c r="GW641" s="1"/>
      <c r="GX641" s="1"/>
      <c r="GY641" s="1"/>
      <c r="GZ641" s="1"/>
      <c r="HA641" s="1"/>
      <c r="HB641" s="1"/>
      <c r="HC641" s="1"/>
      <c r="HD641" s="1"/>
      <c r="HE641" s="1"/>
      <c r="HF641" s="1"/>
      <c r="HG641" s="1"/>
      <c r="HH641" s="1"/>
      <c r="HI641" s="1"/>
      <c r="HJ641" s="1"/>
      <c r="HK641" s="1"/>
      <c r="HL641" s="1"/>
      <c r="HM641" s="1"/>
      <c r="HN641" s="1"/>
      <c r="HO641" s="1"/>
      <c r="HP641" s="1"/>
      <c r="HQ641" s="1"/>
      <c r="HR641" s="1"/>
      <c r="HS641" s="1"/>
      <c r="HT641" s="1"/>
      <c r="HU641" s="1"/>
      <c r="HV641" s="1"/>
      <c r="HW641" s="1"/>
      <c r="HX641" s="1"/>
      <c r="HY641" s="1"/>
      <c r="HZ641" s="1"/>
      <c r="IA641" s="1"/>
      <c r="IB641" s="1"/>
      <c r="IC641" s="1"/>
      <c r="ID641" s="1"/>
      <c r="IE641" s="1"/>
      <c r="IF641" s="1"/>
      <c r="IG641" s="1"/>
      <c r="IH641" s="1"/>
      <c r="II641" s="1"/>
      <c r="IJ641" s="1"/>
      <c r="IK641" s="1"/>
      <c r="IL641" s="1"/>
      <c r="IM641" s="1"/>
      <c r="IN641" s="1"/>
      <c r="IO641" s="1"/>
      <c r="IP641" s="1"/>
      <c r="IQ641" s="1"/>
      <c r="IR641" s="1"/>
      <c r="IS641" s="1"/>
      <c r="IT641" s="1"/>
      <c r="IU641" s="1"/>
      <c r="IV641" s="1"/>
      <c r="IW641" s="1"/>
      <c r="IX641" s="1"/>
      <c r="IY641" s="1"/>
      <c r="IZ641" s="1"/>
      <c r="JA641" s="1"/>
      <c r="JB641" s="1"/>
      <c r="JC641" s="1"/>
      <c r="JD641" s="1"/>
    </row>
    <row r="642" spans="1:264" s="347" customFormat="1" x14ac:dyDescent="0.2">
      <c r="A642" s="429" t="str">
        <f>+A637</f>
        <v>Sales</v>
      </c>
      <c r="B642" s="348"/>
      <c r="BH642" s="348"/>
      <c r="BI642" s="348"/>
      <c r="BJ642" s="348"/>
      <c r="BK642" s="348"/>
      <c r="BL642" s="348"/>
      <c r="BM642" s="348"/>
      <c r="BN642" s="348"/>
      <c r="BO642" s="348"/>
      <c r="BP642" s="348"/>
      <c r="BQ642" s="393">
        <f>+BQ637/BP637-1</f>
        <v>4.3749999999999956E-2</v>
      </c>
      <c r="BT642" s="393">
        <f>+BT637/BQ637-1</f>
        <v>6.8862275449101729E-2</v>
      </c>
      <c r="BU642" s="393">
        <f>+BU637/BT637-1</f>
        <v>0.19327731092436973</v>
      </c>
      <c r="BX642" s="393">
        <f>+BX637/BU637-1</f>
        <v>-8.9201877934272256E-2</v>
      </c>
      <c r="BY642" s="393">
        <f>+BY637/BX637-1</f>
        <v>-0.10824742268041232</v>
      </c>
      <c r="CB642" s="393">
        <f>+CB637/BY637-1</f>
        <v>0.12138728323699421</v>
      </c>
      <c r="CC642" s="393">
        <f>+CC637/CB637-1</f>
        <v>-9.5360824742268036E-2</v>
      </c>
      <c r="CF642" s="393">
        <f>+CF637/CC637-1</f>
        <v>-3.1339031339031376E-2</v>
      </c>
      <c r="CG642" s="393">
        <f>+CG637/CF637-1</f>
        <v>-0.11176470588235299</v>
      </c>
      <c r="CJ642" s="393">
        <f>+CJ637/CG637-1</f>
        <v>0.10927152317880795</v>
      </c>
      <c r="CK642" s="393">
        <f>+CK637/CJ637-1</f>
        <v>-0.10447761194029848</v>
      </c>
      <c r="CN642" s="393">
        <f>+CN637/CK637-1</f>
        <v>-0.13666666666666671</v>
      </c>
      <c r="CO642" s="393">
        <f>+CO637/CN637-1</f>
        <v>-6.1776061776061764E-2</v>
      </c>
      <c r="CR642" s="393">
        <f>+CR637/CO637-1</f>
        <v>0.11934156378600824</v>
      </c>
      <c r="CS642" s="393">
        <f>+CS637/CR637-1</f>
        <v>5.8823529411764719E-2</v>
      </c>
      <c r="CV642" s="393">
        <f>+CV637/CS637-1</f>
        <v>0.11805555555555558</v>
      </c>
      <c r="CW642" s="393">
        <f>+CW637/CV637-1</f>
        <v>9.3167701863354102E-2</v>
      </c>
      <c r="CZ642" s="393">
        <f>+CZ637/CW637-1</f>
        <v>8.2386363636363535E-2</v>
      </c>
      <c r="DA642" s="393">
        <f>+DA637/CZ637-1</f>
        <v>-5.2493438320210029E-2</v>
      </c>
      <c r="DD642" s="393">
        <f>+DD637/DA637-1</f>
        <v>0.11080332409972304</v>
      </c>
      <c r="DE642" s="393">
        <f>+DE637/DD637-1</f>
        <v>-6.2344139650872821E-2</v>
      </c>
      <c r="DH642" s="393">
        <f>+DH637/DE637-1</f>
        <v>2.6595744680850686E-3</v>
      </c>
      <c r="DI642" s="393">
        <f>+DI637/DH637-1</f>
        <v>4.4222811671087436E-2</v>
      </c>
      <c r="DL642" s="393">
        <f>+DL637/DI637-1</f>
        <v>-4.2349976630291164E-2</v>
      </c>
      <c r="DM642" s="393">
        <f>+DM637/DL637-1</f>
        <v>7.5549496021219964E-2</v>
      </c>
      <c r="DP642" s="393">
        <f>+DP637/DM637-1</f>
        <v>-4.2349976630291164E-2</v>
      </c>
      <c r="DQ642" s="393">
        <f>+DQ637/DP637-1</f>
        <v>7.5549496021220186E-2</v>
      </c>
      <c r="DT642" s="1"/>
      <c r="DU642" s="1"/>
      <c r="DV642" s="1"/>
      <c r="DW642" s="1"/>
      <c r="DX642" s="1"/>
      <c r="DY642" s="1"/>
      <c r="DZ642" s="1"/>
      <c r="EA642" s="1"/>
      <c r="EB642" s="1"/>
      <c r="EC642" s="1"/>
      <c r="ED642" s="1"/>
      <c r="EE642" s="1"/>
      <c r="EF642" s="1"/>
      <c r="EG642" s="1"/>
      <c r="EH642" s="1"/>
      <c r="EI642" s="1"/>
      <c r="EJ642" s="1"/>
      <c r="EK642" s="1"/>
      <c r="EL642" s="1"/>
      <c r="EM642" s="1"/>
      <c r="EN642" s="1"/>
      <c r="EO642" s="1"/>
      <c r="EP642" s="1"/>
      <c r="EQ642" s="1"/>
      <c r="ER642" s="1"/>
      <c r="ES642" s="1"/>
      <c r="ET642" s="1"/>
      <c r="EU642" s="1"/>
      <c r="EV642" s="1"/>
      <c r="EW642" s="1"/>
      <c r="EX642" s="1"/>
      <c r="EY642" s="1"/>
      <c r="EZ642" s="1"/>
      <c r="FA642" s="1"/>
      <c r="FB642" s="1"/>
      <c r="FC642" s="1"/>
      <c r="FD642" s="1"/>
      <c r="FE642" s="1"/>
      <c r="FF642" s="1"/>
      <c r="FG642" s="1"/>
      <c r="FH642" s="1"/>
      <c r="FI642" s="1"/>
      <c r="FJ642" s="1"/>
      <c r="FK642" s="1"/>
      <c r="FL642" s="1"/>
      <c r="FM642" s="1"/>
      <c r="FN642" s="1"/>
      <c r="FO642" s="1"/>
      <c r="FP642" s="1"/>
      <c r="FQ642" s="1"/>
      <c r="FR642" s="1"/>
      <c r="FS642" s="1"/>
      <c r="FT642" s="1"/>
      <c r="FU642" s="1"/>
      <c r="FV642" s="1"/>
      <c r="FW642" s="1"/>
      <c r="FX642" s="1"/>
      <c r="FY642" s="1"/>
      <c r="FZ642" s="1"/>
      <c r="GA642" s="1"/>
      <c r="GB642" s="1"/>
      <c r="GC642" s="1"/>
      <c r="GD642" s="1"/>
      <c r="GE642" s="1"/>
      <c r="GF642" s="1"/>
      <c r="GG642" s="1"/>
      <c r="GH642" s="1"/>
      <c r="GI642" s="1"/>
      <c r="GJ642" s="1"/>
      <c r="GK642" s="1"/>
      <c r="GL642" s="1"/>
      <c r="GM642" s="1"/>
      <c r="GN642" s="1"/>
      <c r="GO642" s="1"/>
      <c r="GP642" s="1"/>
      <c r="GQ642" s="1"/>
      <c r="GR642" s="1"/>
      <c r="GS642" s="1"/>
      <c r="GT642" s="1"/>
      <c r="GU642" s="1"/>
      <c r="GV642" s="1"/>
      <c r="GW642" s="1"/>
      <c r="GX642" s="1"/>
      <c r="GY642" s="1"/>
      <c r="GZ642" s="1"/>
      <c r="HA642" s="1"/>
      <c r="HB642" s="1"/>
      <c r="HC642" s="1"/>
      <c r="HD642" s="1"/>
      <c r="HE642" s="1"/>
      <c r="HF642" s="1"/>
      <c r="HG642" s="1"/>
      <c r="HH642" s="1"/>
      <c r="HI642" s="1"/>
      <c r="HJ642" s="1"/>
      <c r="HK642" s="1"/>
      <c r="HL642" s="1"/>
      <c r="HM642" s="1"/>
      <c r="HN642" s="1"/>
      <c r="HO642" s="1"/>
      <c r="HP642" s="1"/>
      <c r="HQ642" s="1"/>
      <c r="HR642" s="1"/>
      <c r="HS642" s="1"/>
      <c r="HT642" s="1"/>
      <c r="HU642" s="1"/>
      <c r="HV642" s="1"/>
      <c r="HW642" s="1"/>
      <c r="HX642" s="1"/>
      <c r="HY642" s="1"/>
      <c r="HZ642" s="1"/>
      <c r="IA642" s="1"/>
      <c r="IB642" s="1"/>
      <c r="IC642" s="1"/>
      <c r="ID642" s="1"/>
      <c r="IE642" s="1"/>
      <c r="IF642" s="1"/>
      <c r="IG642" s="1"/>
      <c r="IH642" s="1"/>
      <c r="II642" s="1"/>
      <c r="IJ642" s="1"/>
      <c r="IK642" s="1"/>
      <c r="IL642" s="1"/>
      <c r="IM642" s="1"/>
      <c r="IN642" s="1"/>
      <c r="IO642" s="1"/>
      <c r="IP642" s="1"/>
      <c r="IQ642" s="1"/>
      <c r="IR642" s="1"/>
      <c r="IS642" s="1"/>
      <c r="IT642" s="1"/>
      <c r="IU642" s="1"/>
      <c r="IV642" s="1"/>
      <c r="IW642" s="1"/>
      <c r="IX642" s="1"/>
      <c r="IY642" s="1"/>
      <c r="IZ642" s="1"/>
      <c r="JA642" s="1"/>
      <c r="JB642" s="1"/>
      <c r="JC642" s="1"/>
      <c r="JD642" s="1"/>
    </row>
    <row r="643" spans="1:264" s="347" customFormat="1" x14ac:dyDescent="0.2">
      <c r="A643" s="429" t="str">
        <f>+A638</f>
        <v>Trading</v>
      </c>
      <c r="B643" s="348"/>
      <c r="BH643" s="348"/>
      <c r="BI643" s="348"/>
      <c r="BJ643" s="348"/>
      <c r="BK643" s="348"/>
      <c r="BL643" s="348"/>
      <c r="BM643" s="348"/>
      <c r="BN643" s="348"/>
      <c r="BO643" s="348"/>
      <c r="BP643" s="348"/>
      <c r="BQ643" s="393">
        <f>+BQ638/BP638-1</f>
        <v>0.36871508379888263</v>
      </c>
      <c r="BT643" s="393">
        <f>+BT638/BQ638-1</f>
        <v>-0.15918367346938778</v>
      </c>
      <c r="BU643" s="393">
        <f>+BU638/BT638-1</f>
        <v>-0.16504854368932043</v>
      </c>
      <c r="BX643" s="393">
        <f>+BX638/BU638-1</f>
        <v>0.35465116279069764</v>
      </c>
      <c r="BY643" s="393">
        <f>+BY638/BX638-1</f>
        <v>-0.26609442060085842</v>
      </c>
      <c r="CB643" s="393">
        <f>+CB638/BY638-1</f>
        <v>-4.6783625730994149E-2</v>
      </c>
      <c r="CC643" s="393">
        <f>+CC638/CB638-1</f>
        <v>-0.33742331288343563</v>
      </c>
      <c r="CF643" s="393">
        <f>+CF638/CC638-1</f>
        <v>-0.36111111111111116</v>
      </c>
      <c r="CG643" s="393">
        <f>+CG638/CF638-1</f>
        <v>1.4492753623188408</v>
      </c>
      <c r="CJ643" s="393">
        <f>+CJ638/CG638-1</f>
        <v>6.5088757396449815E-2</v>
      </c>
      <c r="CK643" s="393">
        <f>+CK638/CJ638-1</f>
        <v>-0.1166666666666667</v>
      </c>
      <c r="CN643" s="393">
        <f>+CN638/CK638-1</f>
        <v>0.73584905660377364</v>
      </c>
      <c r="CO643" s="393">
        <f>+CO638/CN638-1</f>
        <v>-0.77898550724637683</v>
      </c>
      <c r="CR643" s="393">
        <f>+CR638/CO638-1</f>
        <v>0.60655737704918034</v>
      </c>
      <c r="CS643" s="393">
        <f>+CS638/CR638-1</f>
        <v>0.25510204081632648</v>
      </c>
      <c r="CV643" s="393">
        <f>+CV638/CS638-1</f>
        <v>0.79674796747967469</v>
      </c>
      <c r="CW643" s="393">
        <f>+CW638/CV638-1</f>
        <v>8.144796380090491E-2</v>
      </c>
      <c r="CZ643" s="393">
        <f>+CZ638/CW638-1</f>
        <v>0.10460251046025104</v>
      </c>
      <c r="DA643" s="393">
        <f>+DA638/CZ638-1</f>
        <v>-0.33333333333333337</v>
      </c>
      <c r="DD643" s="393">
        <f>+DD638/DA638-1</f>
        <v>-0.24431818181818177</v>
      </c>
      <c r="DE643" s="393">
        <f>+DE638/DD638-1</f>
        <v>1.0902255639097747</v>
      </c>
      <c r="DH643" s="393">
        <f>+DH638/DE638-1</f>
        <v>-0.15827338129496404</v>
      </c>
      <c r="DI643" s="393">
        <f>+DI638/DH638-1</f>
        <v>-0.16837606837606844</v>
      </c>
      <c r="DL643" s="393">
        <f>+DL638/DI638-1</f>
        <v>0.22651593011305238</v>
      </c>
      <c r="DM643" s="393">
        <f>+DM638/DL638-1</f>
        <v>-0.16837606837606844</v>
      </c>
      <c r="DP643" s="393">
        <f>+DP638/DM638-1</f>
        <v>0.2265159301130526</v>
      </c>
      <c r="DQ643" s="393">
        <f>+DQ638/DP638-1</f>
        <v>-0.16837606837606844</v>
      </c>
      <c r="DT643" s="1"/>
      <c r="DU643" s="1"/>
      <c r="DV643" s="1"/>
      <c r="DW643" s="1"/>
      <c r="DX643" s="1"/>
      <c r="DY643" s="1"/>
      <c r="DZ643" s="1"/>
      <c r="EA643" s="1"/>
      <c r="EB643" s="1"/>
      <c r="EC643" s="1"/>
      <c r="ED643" s="1"/>
      <c r="EE643" s="1"/>
      <c r="EF643" s="1"/>
      <c r="EG643" s="1"/>
      <c r="EH643" s="1"/>
      <c r="EI643" s="1"/>
      <c r="EJ643" s="1"/>
      <c r="EK643" s="1"/>
      <c r="EL643" s="1"/>
      <c r="EM643" s="1"/>
      <c r="EN643" s="1"/>
      <c r="EO643" s="1"/>
      <c r="EP643" s="1"/>
      <c r="EQ643" s="1"/>
      <c r="ER643" s="1"/>
      <c r="ES643" s="1"/>
      <c r="ET643" s="1"/>
      <c r="EU643" s="1"/>
      <c r="EV643" s="1"/>
      <c r="EW643" s="1"/>
      <c r="EX643" s="1"/>
      <c r="EY643" s="1"/>
      <c r="EZ643" s="1"/>
      <c r="FA643" s="1"/>
      <c r="FB643" s="1"/>
      <c r="FC643" s="1"/>
      <c r="FD643" s="1"/>
      <c r="FE643" s="1"/>
      <c r="FF643" s="1"/>
      <c r="FG643" s="1"/>
      <c r="FH643" s="1"/>
      <c r="FI643" s="1"/>
      <c r="FJ643" s="1"/>
      <c r="FK643" s="1"/>
      <c r="FL643" s="1"/>
      <c r="FM643" s="1"/>
      <c r="FN643" s="1"/>
      <c r="FO643" s="1"/>
      <c r="FP643" s="1"/>
      <c r="FQ643" s="1"/>
      <c r="FR643" s="1"/>
      <c r="FS643" s="1"/>
      <c r="FT643" s="1"/>
      <c r="FU643" s="1"/>
      <c r="FV643" s="1"/>
      <c r="FW643" s="1"/>
      <c r="FX643" s="1"/>
      <c r="FY643" s="1"/>
      <c r="FZ643" s="1"/>
      <c r="GA643" s="1"/>
      <c r="GB643" s="1"/>
      <c r="GC643" s="1"/>
      <c r="GD643" s="1"/>
      <c r="GE643" s="1"/>
      <c r="GF643" s="1"/>
      <c r="GG643" s="1"/>
      <c r="GH643" s="1"/>
      <c r="GI643" s="1"/>
      <c r="GJ643" s="1"/>
      <c r="GK643" s="1"/>
      <c r="GL643" s="1"/>
      <c r="GM643" s="1"/>
      <c r="GN643" s="1"/>
      <c r="GO643" s="1"/>
      <c r="GP643" s="1"/>
      <c r="GQ643" s="1"/>
      <c r="GR643" s="1"/>
      <c r="GS643" s="1"/>
      <c r="GT643" s="1"/>
      <c r="GU643" s="1"/>
      <c r="GV643" s="1"/>
      <c r="GW643" s="1"/>
      <c r="GX643" s="1"/>
      <c r="GY643" s="1"/>
      <c r="GZ643" s="1"/>
      <c r="HA643" s="1"/>
      <c r="HB643" s="1"/>
      <c r="HC643" s="1"/>
      <c r="HD643" s="1"/>
      <c r="HE643" s="1"/>
      <c r="HF643" s="1"/>
      <c r="HG643" s="1"/>
      <c r="HH643" s="1"/>
      <c r="HI643" s="1"/>
      <c r="HJ643" s="1"/>
      <c r="HK643" s="1"/>
      <c r="HL643" s="1"/>
      <c r="HM643" s="1"/>
      <c r="HN643" s="1"/>
      <c r="HO643" s="1"/>
      <c r="HP643" s="1"/>
      <c r="HQ643" s="1"/>
      <c r="HR643" s="1"/>
      <c r="HS643" s="1"/>
      <c r="HT643" s="1"/>
      <c r="HU643" s="1"/>
      <c r="HV643" s="1"/>
      <c r="HW643" s="1"/>
      <c r="HX643" s="1"/>
      <c r="HY643" s="1"/>
      <c r="HZ643" s="1"/>
      <c r="IA643" s="1"/>
      <c r="IB643" s="1"/>
      <c r="IC643" s="1"/>
      <c r="ID643" s="1"/>
      <c r="IE643" s="1"/>
      <c r="IF643" s="1"/>
      <c r="IG643" s="1"/>
      <c r="IH643" s="1"/>
      <c r="II643" s="1"/>
      <c r="IJ643" s="1"/>
      <c r="IK643" s="1"/>
      <c r="IL643" s="1"/>
      <c r="IM643" s="1"/>
      <c r="IN643" s="1"/>
      <c r="IO643" s="1"/>
      <c r="IP643" s="1"/>
      <c r="IQ643" s="1"/>
      <c r="IR643" s="1"/>
      <c r="IS643" s="1"/>
      <c r="IT643" s="1"/>
      <c r="IU643" s="1"/>
      <c r="IV643" s="1"/>
      <c r="IW643" s="1"/>
      <c r="IX643" s="1"/>
      <c r="IY643" s="1"/>
      <c r="IZ643" s="1"/>
      <c r="JA643" s="1"/>
      <c r="JB643" s="1"/>
      <c r="JC643" s="1"/>
      <c r="JD643" s="1"/>
    </row>
    <row r="644" spans="1:264" s="411" customFormat="1" x14ac:dyDescent="0.2">
      <c r="A644" s="424" t="str">
        <f>+A640</f>
        <v>Total</v>
      </c>
      <c r="B644" s="423"/>
      <c r="BH644" s="423"/>
      <c r="BI644" s="423"/>
      <c r="BJ644" s="423"/>
      <c r="BK644" s="423"/>
      <c r="BL644" s="423"/>
      <c r="BM644" s="423"/>
      <c r="BN644" s="423"/>
      <c r="BO644" s="423"/>
      <c r="BP644" s="423"/>
      <c r="BQ644" s="428">
        <f>+BQ640/BP640-1</f>
        <v>-3.5916824196597363E-2</v>
      </c>
      <c r="BT644" s="428">
        <f>+BT640/BQ640-1</f>
        <v>-2.7450980392156876E-2</v>
      </c>
      <c r="BU644" s="428">
        <f>+BU640/BT640-1</f>
        <v>0.19153225806451624</v>
      </c>
      <c r="BX644" s="428">
        <f>+BX640/BU640-1</f>
        <v>1.5228426395939021E-2</v>
      </c>
      <c r="BY644" s="428">
        <f>+BY640/BX640-1</f>
        <v>-8.4999999999999964E-2</v>
      </c>
      <c r="CB644" s="428">
        <f>+CB640/BY640-1</f>
        <v>1.2750455373406133E-2</v>
      </c>
      <c r="CC644" s="428">
        <f>+CC640/CB640-1</f>
        <v>-0.15647482014388492</v>
      </c>
      <c r="CF644" s="428">
        <f>+CF640/CC640-1</f>
        <v>-7.8891257995735597E-2</v>
      </c>
      <c r="CG644" s="428">
        <f>+CG640/CF640-1</f>
        <v>-2.546296296296291E-2</v>
      </c>
      <c r="CJ644" s="428">
        <f>+CJ640/CG640-1</f>
        <v>0.20665083135391926</v>
      </c>
      <c r="CK644" s="428">
        <f>+CK640/CJ640-1</f>
        <v>-0.14960629921259838</v>
      </c>
      <c r="CN644" s="428">
        <f>+CN640/CK640-1</f>
        <v>0.23842592592592582</v>
      </c>
      <c r="CO644" s="428">
        <f>+CO640/CN640-1</f>
        <v>-0.40747663551401869</v>
      </c>
      <c r="CR644" s="428">
        <f>+CR640/CO640-1</f>
        <v>0.1608832807570979</v>
      </c>
      <c r="CS644" s="428">
        <f>+CS640/CR640-1</f>
        <v>0.19021739130434789</v>
      </c>
      <c r="CV644" s="428">
        <f>+CV640/CS640-1</f>
        <v>0.17123287671232879</v>
      </c>
      <c r="CW644" s="428">
        <f>+CW640/CV640-1</f>
        <v>0.13450292397660824</v>
      </c>
      <c r="CZ644" s="428">
        <f>+CZ640/CW640-1</f>
        <v>9.7938144329897003E-2</v>
      </c>
      <c r="DA644" s="428">
        <f>+DA640/CZ640-1</f>
        <v>-0.1580594679186228</v>
      </c>
      <c r="DD644" s="428">
        <f>+DD640/DA640-1</f>
        <v>-3.5315985130111471E-2</v>
      </c>
      <c r="DE644" s="428">
        <f>+DE640/DD640-1</f>
        <v>0.31021194605009628</v>
      </c>
      <c r="DH644" s="428">
        <f>+DH640/DE640-1</f>
        <v>-0.1132352941176471</v>
      </c>
      <c r="DI644" s="428">
        <f>+DI640/DH640-1</f>
        <v>-2.4424543946932165E-2</v>
      </c>
      <c r="DL644" s="428">
        <f>+DL640/DI640-1</f>
        <v>4.6590692740773099E-2</v>
      </c>
      <c r="DM644" s="428">
        <f>+DM640/DL640-1</f>
        <v>-1.9012863825363935E-2</v>
      </c>
      <c r="DP644" s="428">
        <f>+DP640/DM640-1</f>
        <v>4.6010975039064705E-2</v>
      </c>
      <c r="DQ644" s="428">
        <f>+DQ640/DP640-1</f>
        <v>-1.844857031965752E-2</v>
      </c>
      <c r="DT644" s="451"/>
      <c r="DU644" s="451"/>
      <c r="DV644" s="451"/>
      <c r="DW644" s="451"/>
      <c r="DX644" s="451"/>
      <c r="DY644" s="451"/>
      <c r="DZ644" s="451"/>
      <c r="EA644" s="451"/>
      <c r="EB644" s="451"/>
      <c r="EC644" s="451"/>
      <c r="ED644" s="451"/>
      <c r="EE644" s="451"/>
      <c r="EF644" s="451"/>
      <c r="EG644" s="451"/>
      <c r="EH644" s="451"/>
      <c r="EI644" s="451"/>
      <c r="EJ644" s="451"/>
      <c r="EK644" s="451"/>
      <c r="EL644" s="451"/>
      <c r="EM644" s="451"/>
      <c r="EN644" s="451"/>
      <c r="EO644" s="451"/>
      <c r="EP644" s="451"/>
      <c r="EQ644" s="451"/>
      <c r="ER644" s="451"/>
      <c r="ES644" s="451"/>
      <c r="ET644" s="451"/>
      <c r="EU644" s="451"/>
      <c r="EV644" s="451"/>
      <c r="EW644" s="451"/>
      <c r="EX644" s="451"/>
      <c r="EY644" s="451"/>
      <c r="EZ644" s="451"/>
      <c r="FA644" s="451"/>
      <c r="FB644" s="451"/>
      <c r="FC644" s="451"/>
      <c r="FD644" s="451"/>
      <c r="FE644" s="451"/>
      <c r="FF644" s="451"/>
      <c r="FG644" s="451"/>
      <c r="FH644" s="451"/>
      <c r="FI644" s="451"/>
      <c r="FJ644" s="451"/>
      <c r="FK644" s="451"/>
      <c r="FL644" s="451"/>
      <c r="FM644" s="451"/>
      <c r="FN644" s="451"/>
      <c r="FO644" s="451"/>
      <c r="FP644" s="451"/>
      <c r="FQ644" s="451"/>
      <c r="FR644" s="451"/>
      <c r="FS644" s="451"/>
      <c r="FT644" s="451"/>
      <c r="FU644" s="451"/>
      <c r="FV644" s="451"/>
      <c r="FW644" s="451"/>
      <c r="FX644" s="451"/>
      <c r="FY644" s="451"/>
      <c r="FZ644" s="451"/>
      <c r="GA644" s="451"/>
      <c r="GB644" s="451"/>
      <c r="GC644" s="451"/>
      <c r="GD644" s="451"/>
      <c r="GE644" s="451"/>
      <c r="GF644" s="451"/>
      <c r="GG644" s="451"/>
      <c r="GH644" s="451"/>
      <c r="GI644" s="451"/>
      <c r="GJ644" s="451"/>
      <c r="GK644" s="451"/>
      <c r="GL644" s="451"/>
      <c r="GM644" s="451"/>
      <c r="GN644" s="451"/>
      <c r="GO644" s="451"/>
      <c r="GP644" s="451"/>
      <c r="GQ644" s="451"/>
      <c r="GR644" s="451"/>
      <c r="GS644" s="451"/>
      <c r="GT644" s="451"/>
      <c r="GU644" s="451"/>
      <c r="GV644" s="451"/>
      <c r="GW644" s="451"/>
      <c r="GX644" s="451"/>
      <c r="GY644" s="451"/>
      <c r="GZ644" s="451"/>
      <c r="HA644" s="451"/>
      <c r="HB644" s="451"/>
      <c r="HC644" s="451"/>
      <c r="HD644" s="451"/>
      <c r="HE644" s="451"/>
      <c r="HF644" s="451"/>
      <c r="HG644" s="451"/>
      <c r="HH644" s="451"/>
      <c r="HI644" s="451"/>
      <c r="HJ644" s="451"/>
      <c r="HK644" s="451"/>
      <c r="HL644" s="451"/>
      <c r="HM644" s="451"/>
      <c r="HN644" s="451"/>
      <c r="HO644" s="451"/>
      <c r="HP644" s="451"/>
      <c r="HQ644" s="451"/>
      <c r="HR644" s="451"/>
      <c r="HS644" s="451"/>
      <c r="HT644" s="451"/>
      <c r="HU644" s="451"/>
      <c r="HV644" s="451"/>
      <c r="HW644" s="451"/>
      <c r="HX644" s="451"/>
      <c r="HY644" s="451"/>
      <c r="HZ644" s="451"/>
      <c r="IA644" s="451"/>
      <c r="IB644" s="451"/>
      <c r="IC644" s="451"/>
      <c r="ID644" s="451"/>
      <c r="IE644" s="451"/>
      <c r="IF644" s="451"/>
      <c r="IG644" s="451"/>
      <c r="IH644" s="451"/>
      <c r="II644" s="451"/>
      <c r="IJ644" s="451"/>
      <c r="IK644" s="451"/>
      <c r="IL644" s="451"/>
      <c r="IM644" s="451"/>
      <c r="IN644" s="451"/>
      <c r="IO644" s="451"/>
      <c r="IP644" s="451"/>
      <c r="IQ644" s="451"/>
      <c r="IR644" s="451"/>
      <c r="IS644" s="451"/>
      <c r="IT644" s="451"/>
      <c r="IU644" s="451"/>
      <c r="IV644" s="451"/>
      <c r="IW644" s="451"/>
      <c r="IX644" s="451"/>
      <c r="IY644" s="451"/>
      <c r="IZ644" s="451"/>
      <c r="JA644" s="451"/>
      <c r="JB644" s="451"/>
      <c r="JC644" s="451"/>
      <c r="JD644" s="451"/>
    </row>
    <row r="645" spans="1:264" s="347" customFormat="1" x14ac:dyDescent="0.2">
      <c r="A645" s="424" t="s">
        <v>28</v>
      </c>
      <c r="B645" s="348"/>
      <c r="BH645" s="348"/>
      <c r="BI645" s="348"/>
      <c r="BJ645" s="348"/>
      <c r="BK645" s="348"/>
      <c r="BL645" s="348"/>
      <c r="BM645" s="348"/>
      <c r="BN645" s="348"/>
      <c r="BO645" s="348"/>
      <c r="BP645" s="348"/>
      <c r="BT645" s="348"/>
      <c r="BU645" s="400"/>
      <c r="BX645" s="348"/>
      <c r="BY645" s="400"/>
      <c r="CB645" s="348"/>
      <c r="CC645" s="400"/>
      <c r="CF645" s="348"/>
      <c r="CG645" s="400"/>
      <c r="CJ645" s="348"/>
      <c r="CK645" s="400"/>
      <c r="CN645" s="348"/>
      <c r="CO645" s="400"/>
      <c r="CR645" s="348"/>
      <c r="CS645" s="400"/>
      <c r="CV645" s="348"/>
      <c r="CW645" s="400"/>
      <c r="CZ645" s="348"/>
      <c r="DA645" s="400"/>
      <c r="DD645" s="348"/>
      <c r="DE645" s="400"/>
      <c r="DH645" s="348"/>
      <c r="DI645" s="400"/>
      <c r="DL645" s="348"/>
      <c r="DM645" s="400"/>
      <c r="DP645" s="348"/>
      <c r="DQ645" s="400"/>
      <c r="DT645" s="1"/>
      <c r="DU645" s="1"/>
      <c r="DV645" s="1"/>
      <c r="DW645" s="1"/>
      <c r="DX645" s="1"/>
      <c r="DY645" s="1"/>
      <c r="DZ645" s="1"/>
      <c r="EA645" s="1"/>
      <c r="EB645" s="1"/>
      <c r="EC645" s="1"/>
      <c r="ED645" s="1"/>
      <c r="EE645" s="1"/>
      <c r="EF645" s="1"/>
      <c r="EG645" s="1"/>
      <c r="EH645" s="1"/>
      <c r="EI645" s="1"/>
      <c r="EJ645" s="1"/>
      <c r="EK645" s="1"/>
      <c r="EL645" s="1"/>
      <c r="EM645" s="1"/>
      <c r="EN645" s="1"/>
      <c r="EO645" s="1"/>
      <c r="EP645" s="1"/>
      <c r="EQ645" s="1"/>
      <c r="ER645" s="1"/>
      <c r="ES645" s="1"/>
      <c r="ET645" s="1"/>
      <c r="EU645" s="1"/>
      <c r="EV645" s="1"/>
      <c r="EW645" s="1"/>
      <c r="EX645" s="1"/>
      <c r="EY645" s="1"/>
      <c r="EZ645" s="1"/>
      <c r="FA645" s="1"/>
      <c r="FB645" s="1"/>
      <c r="FC645" s="1"/>
      <c r="FD645" s="1"/>
      <c r="FE645" s="1"/>
      <c r="FF645" s="1"/>
      <c r="FG645" s="1"/>
      <c r="FH645" s="1"/>
      <c r="FI645" s="1"/>
      <c r="FJ645" s="1"/>
      <c r="FK645" s="1"/>
      <c r="FL645" s="1"/>
      <c r="FM645" s="1"/>
      <c r="FN645" s="1"/>
      <c r="FO645" s="1"/>
      <c r="FP645" s="1"/>
      <c r="FQ645" s="1"/>
      <c r="FR645" s="1"/>
      <c r="FS645" s="1"/>
      <c r="FT645" s="1"/>
      <c r="FU645" s="1"/>
      <c r="FV645" s="1"/>
      <c r="FW645" s="1"/>
      <c r="FX645" s="1"/>
      <c r="FY645" s="1"/>
      <c r="FZ645" s="1"/>
      <c r="GA645" s="1"/>
      <c r="GB645" s="1"/>
      <c r="GC645" s="1"/>
      <c r="GD645" s="1"/>
      <c r="GE645" s="1"/>
      <c r="GF645" s="1"/>
      <c r="GG645" s="1"/>
      <c r="GH645" s="1"/>
      <c r="GI645" s="1"/>
      <c r="GJ645" s="1"/>
      <c r="GK645" s="1"/>
      <c r="GL645" s="1"/>
      <c r="GM645" s="1"/>
      <c r="GN645" s="1"/>
      <c r="GO645" s="1"/>
      <c r="GP645" s="1"/>
      <c r="GQ645" s="1"/>
      <c r="GR645" s="1"/>
      <c r="GS645" s="1"/>
      <c r="GT645" s="1"/>
      <c r="GU645" s="1"/>
      <c r="GV645" s="1"/>
      <c r="GW645" s="1"/>
      <c r="GX645" s="1"/>
      <c r="GY645" s="1"/>
      <c r="GZ645" s="1"/>
      <c r="HA645" s="1"/>
      <c r="HB645" s="1"/>
      <c r="HC645" s="1"/>
      <c r="HD645" s="1"/>
      <c r="HE645" s="1"/>
      <c r="HF645" s="1"/>
      <c r="HG645" s="1"/>
      <c r="HH645" s="1"/>
      <c r="HI645" s="1"/>
      <c r="HJ645" s="1"/>
      <c r="HK645" s="1"/>
      <c r="HL645" s="1"/>
      <c r="HM645" s="1"/>
      <c r="HN645" s="1"/>
      <c r="HO645" s="1"/>
      <c r="HP645" s="1"/>
      <c r="HQ645" s="1"/>
      <c r="HR645" s="1"/>
      <c r="HS645" s="1"/>
      <c r="HT645" s="1"/>
      <c r="HU645" s="1"/>
      <c r="HV645" s="1"/>
      <c r="HW645" s="1"/>
      <c r="HX645" s="1"/>
      <c r="HY645" s="1"/>
      <c r="HZ645" s="1"/>
      <c r="IA645" s="1"/>
      <c r="IB645" s="1"/>
      <c r="IC645" s="1"/>
      <c r="ID645" s="1"/>
      <c r="IE645" s="1"/>
      <c r="IF645" s="1"/>
      <c r="IG645" s="1"/>
      <c r="IH645" s="1"/>
      <c r="II645" s="1"/>
      <c r="IJ645" s="1"/>
      <c r="IK645" s="1"/>
      <c r="IL645" s="1"/>
      <c r="IM645" s="1"/>
      <c r="IN645" s="1"/>
      <c r="IO645" s="1"/>
      <c r="IP645" s="1"/>
      <c r="IQ645" s="1"/>
      <c r="IR645" s="1"/>
      <c r="IS645" s="1"/>
      <c r="IT645" s="1"/>
      <c r="IU645" s="1"/>
      <c r="IV645" s="1"/>
      <c r="IW645" s="1"/>
      <c r="IX645" s="1"/>
      <c r="IY645" s="1"/>
      <c r="IZ645" s="1"/>
      <c r="JA645" s="1"/>
      <c r="JB645" s="1"/>
      <c r="JC645" s="1"/>
      <c r="JD645" s="1"/>
    </row>
    <row r="646" spans="1:264" s="347" customFormat="1" x14ac:dyDescent="0.2">
      <c r="A646" s="477" t="str">
        <f>+A642</f>
        <v>Sales</v>
      </c>
      <c r="B646" s="446"/>
      <c r="C646" s="447"/>
      <c r="D646" s="447"/>
      <c r="E646" s="447"/>
      <c r="F646" s="447"/>
      <c r="G646" s="447"/>
      <c r="H646" s="447"/>
      <c r="I646" s="447"/>
      <c r="J646" s="447"/>
      <c r="K646" s="447"/>
      <c r="L646" s="447"/>
      <c r="M646" s="447"/>
      <c r="N646" s="447"/>
      <c r="O646" s="447"/>
      <c r="P646" s="447"/>
      <c r="Q646" s="447"/>
      <c r="R646" s="447"/>
      <c r="S646" s="447"/>
      <c r="T646" s="447"/>
      <c r="U646" s="447"/>
      <c r="V646" s="447"/>
      <c r="W646" s="447"/>
      <c r="X646" s="447"/>
      <c r="Y646" s="447"/>
      <c r="Z646" s="447"/>
      <c r="AA646" s="447"/>
      <c r="AB646" s="447"/>
      <c r="AC646" s="447"/>
      <c r="AD646" s="447"/>
      <c r="AE646" s="447"/>
      <c r="AF646" s="447"/>
      <c r="AG646" s="447"/>
      <c r="AH646" s="447"/>
      <c r="AI646" s="447"/>
      <c r="AJ646" s="447"/>
      <c r="AK646" s="447"/>
      <c r="AL646" s="447"/>
      <c r="AM646" s="447"/>
      <c r="AN646" s="447"/>
      <c r="AO646" s="447"/>
      <c r="AP646" s="447"/>
      <c r="AQ646" s="447"/>
      <c r="AR646" s="447"/>
      <c r="AS646" s="447"/>
      <c r="AT646" s="447"/>
      <c r="AU646" s="447"/>
      <c r="AV646" s="447"/>
      <c r="AW646" s="447"/>
      <c r="AX646" s="447"/>
      <c r="AY646" s="447"/>
      <c r="AZ646" s="447"/>
      <c r="BA646" s="447"/>
      <c r="BB646" s="447"/>
      <c r="BC646" s="447"/>
      <c r="BD646" s="447"/>
      <c r="BE646" s="447"/>
      <c r="BF646" s="447"/>
      <c r="BG646" s="447"/>
      <c r="BH646" s="446"/>
      <c r="BI646" s="446"/>
      <c r="BJ646" s="446"/>
      <c r="BK646" s="446"/>
      <c r="BL646" s="446"/>
      <c r="BM646" s="446"/>
      <c r="BN646" s="446"/>
      <c r="BO646" s="446"/>
      <c r="BP646" s="446"/>
      <c r="BQ646" s="447"/>
      <c r="BR646" s="447"/>
      <c r="BS646" s="447"/>
      <c r="BT646" s="478">
        <f t="shared" ref="BT646:BV647" si="644">+BT637/BP637-1</f>
        <v>0.11562500000000009</v>
      </c>
      <c r="BU646" s="478">
        <f t="shared" si="644"/>
        <v>0.27544910179640714</v>
      </c>
      <c r="BV646" s="478">
        <f t="shared" si="644"/>
        <v>0.19724770642201839</v>
      </c>
      <c r="BW646" s="447"/>
      <c r="BX646" s="478">
        <f t="shared" ref="BX646:CB647" si="645">+BX637/BT637-1</f>
        <v>8.6834733893557337E-2</v>
      </c>
      <c r="BY646" s="478">
        <f t="shared" si="645"/>
        <v>-0.18779342723004699</v>
      </c>
      <c r="BZ646" s="478">
        <f t="shared" si="645"/>
        <v>-6.2579821200510866E-2</v>
      </c>
      <c r="CA646" s="447"/>
      <c r="CB646" s="478">
        <f t="shared" si="645"/>
        <v>0</v>
      </c>
      <c r="CC646" s="478">
        <f>+CC637/BY637-1</f>
        <v>1.4450867052023142E-2</v>
      </c>
      <c r="CD646" s="478">
        <f>+CD637/BZ637-1</f>
        <v>6.8119891008173727E-3</v>
      </c>
      <c r="CE646" s="447"/>
      <c r="CF646" s="478">
        <f t="shared" ref="CF646:CJ647" si="646">+CF637/CB637-1</f>
        <v>-0.12371134020618557</v>
      </c>
      <c r="CG646" s="478">
        <f t="shared" si="646"/>
        <v>-0.13960113960113962</v>
      </c>
      <c r="CH646" s="478">
        <f t="shared" si="646"/>
        <v>-0.13125845737483088</v>
      </c>
      <c r="CI646" s="447"/>
      <c r="CJ646" s="478">
        <f t="shared" si="646"/>
        <v>-1.4705882352941124E-2</v>
      </c>
      <c r="CK646" s="478">
        <f>+CK637/CG637-1</f>
        <v>-6.6225165562914245E-3</v>
      </c>
      <c r="CL646" s="478">
        <f>+CL637/CH637-1</f>
        <v>-1.0903426791277204E-2</v>
      </c>
      <c r="CM646" s="447"/>
      <c r="CN646" s="478">
        <f t="shared" ref="CN646:CT647" si="647">+CN637/CJ637-1</f>
        <v>-0.22686567164179106</v>
      </c>
      <c r="CO646" s="478">
        <f t="shared" si="647"/>
        <v>-0.18999999999999995</v>
      </c>
      <c r="CP646" s="478">
        <f t="shared" si="647"/>
        <v>-0.20944881889763778</v>
      </c>
      <c r="CQ646" s="447"/>
      <c r="CR646" s="478">
        <f t="shared" si="647"/>
        <v>5.0193050193050093E-2</v>
      </c>
      <c r="CS646" s="478">
        <f t="shared" si="647"/>
        <v>0.18518518518518512</v>
      </c>
      <c r="CT646" s="478">
        <f t="shared" si="647"/>
        <v>0.11553784860557759</v>
      </c>
      <c r="CU646" s="447"/>
      <c r="CV646" s="478">
        <f t="shared" ref="CV646:CX647" si="648">+CV637/CR637-1</f>
        <v>0.18382352941176472</v>
      </c>
      <c r="CW646" s="478">
        <f t="shared" si="648"/>
        <v>0.22222222222222232</v>
      </c>
      <c r="CX646" s="478">
        <f t="shared" si="648"/>
        <v>0.20357142857142851</v>
      </c>
      <c r="CY646" s="447"/>
      <c r="CZ646" s="478">
        <f t="shared" ref="CZ646:DD647" si="649">+CZ637/CV637-1</f>
        <v>0.18322981366459623</v>
      </c>
      <c r="DA646" s="478">
        <f t="shared" si="649"/>
        <v>2.5568181818181879E-2</v>
      </c>
      <c r="DB646" s="478">
        <f t="shared" si="649"/>
        <v>0.10089020771513346</v>
      </c>
      <c r="DC646" s="447"/>
      <c r="DD646" s="478">
        <f t="shared" si="649"/>
        <v>5.2493438320210029E-2</v>
      </c>
      <c r="DE646" s="478">
        <f t="shared" ref="DE646:DE647" si="650">+DE637/DA637-1</f>
        <v>4.1551246537396169E-2</v>
      </c>
      <c r="DF646" s="478">
        <f t="shared" ref="DF646:DF647" si="651">+DF637/DB637-1</f>
        <v>4.7169811320754818E-2</v>
      </c>
      <c r="DG646" s="447"/>
      <c r="DH646" s="478">
        <f t="shared" ref="DH646:DH647" si="652">+DH637/DD637-1</f>
        <v>-5.9850374064837952E-2</v>
      </c>
      <c r="DI646" s="468">
        <v>4.7E-2</v>
      </c>
      <c r="DJ646" s="478">
        <f>+DJ637/DF637-1</f>
        <v>-8.1441441441441054E-3</v>
      </c>
      <c r="DK646" s="447"/>
      <c r="DL646" s="1516">
        <v>0</v>
      </c>
      <c r="DM646" s="468">
        <v>0.03</v>
      </c>
      <c r="DN646" s="478">
        <f>+DN637/DJ637-1</f>
        <v>1.5324496024248901E-2</v>
      </c>
      <c r="DO646" s="447"/>
      <c r="DP646" s="468">
        <v>0.03</v>
      </c>
      <c r="DQ646" s="468">
        <v>0.03</v>
      </c>
      <c r="DR646" s="478">
        <f>+DR637/DN637-1</f>
        <v>3.0000000000000027E-2</v>
      </c>
      <c r="DS646" s="447"/>
      <c r="DT646" s="1"/>
      <c r="DU646" s="1"/>
      <c r="DV646" s="1"/>
      <c r="DW646" s="1"/>
      <c r="DX646" s="1"/>
      <c r="DY646" s="1"/>
      <c r="DZ646" s="1"/>
      <c r="EA646" s="1"/>
      <c r="EB646" s="1"/>
      <c r="EC646" s="1"/>
      <c r="ED646" s="1"/>
      <c r="EE646" s="1"/>
      <c r="EF646" s="1"/>
      <c r="EG646" s="1"/>
      <c r="EH646" s="1"/>
      <c r="EI646" s="1"/>
      <c r="EJ646" s="1"/>
      <c r="EK646" s="1"/>
      <c r="EL646" s="1"/>
      <c r="EM646" s="1"/>
      <c r="EN646" s="1"/>
      <c r="EO646" s="1"/>
      <c r="EP646" s="1"/>
      <c r="EQ646" s="1"/>
      <c r="ER646" s="1"/>
      <c r="ES646" s="1"/>
      <c r="ET646" s="1"/>
      <c r="EU646" s="1"/>
      <c r="EV646" s="1"/>
      <c r="EW646" s="1"/>
      <c r="EX646" s="1"/>
      <c r="EY646" s="1"/>
      <c r="EZ646" s="1"/>
      <c r="FA646" s="1"/>
      <c r="FB646" s="1"/>
      <c r="FC646" s="1"/>
      <c r="FD646" s="1"/>
      <c r="FE646" s="1"/>
      <c r="FF646" s="1"/>
      <c r="FG646" s="1"/>
      <c r="FH646" s="1"/>
      <c r="FI646" s="1"/>
      <c r="FJ646" s="1"/>
      <c r="FK646" s="1"/>
      <c r="FL646" s="1"/>
      <c r="FM646" s="1"/>
      <c r="FN646" s="1"/>
      <c r="FO646" s="1"/>
      <c r="FP646" s="1"/>
      <c r="FQ646" s="1"/>
      <c r="FR646" s="1"/>
      <c r="FS646" s="1"/>
      <c r="FT646" s="1"/>
      <c r="FU646" s="1"/>
      <c r="FV646" s="1"/>
      <c r="FW646" s="1"/>
      <c r="FX646" s="1"/>
      <c r="FY646" s="1"/>
      <c r="FZ646" s="1"/>
      <c r="GA646" s="1"/>
      <c r="GB646" s="1"/>
      <c r="GC646" s="1"/>
      <c r="GD646" s="1"/>
      <c r="GE646" s="1"/>
      <c r="GF646" s="1"/>
      <c r="GG646" s="1"/>
      <c r="GH646" s="1"/>
      <c r="GI646" s="1"/>
      <c r="GJ646" s="1"/>
      <c r="GK646" s="1"/>
      <c r="GL646" s="1"/>
      <c r="GM646" s="1"/>
      <c r="GN646" s="1"/>
      <c r="GO646" s="1"/>
      <c r="GP646" s="1"/>
      <c r="GQ646" s="1"/>
      <c r="GR646" s="1"/>
      <c r="GS646" s="1"/>
      <c r="GT646" s="1"/>
      <c r="GU646" s="1"/>
      <c r="GV646" s="1"/>
      <c r="GW646" s="1"/>
      <c r="GX646" s="1"/>
      <c r="GY646" s="1"/>
      <c r="GZ646" s="1"/>
      <c r="HA646" s="1"/>
      <c r="HB646" s="1"/>
      <c r="HC646" s="1"/>
      <c r="HD646" s="1"/>
      <c r="HE646" s="1"/>
      <c r="HF646" s="1"/>
      <c r="HG646" s="1"/>
      <c r="HH646" s="1"/>
      <c r="HI646" s="1"/>
      <c r="HJ646" s="1"/>
      <c r="HK646" s="1"/>
      <c r="HL646" s="1"/>
      <c r="HM646" s="1"/>
      <c r="HN646" s="1"/>
      <c r="HO646" s="1"/>
      <c r="HP646" s="1"/>
      <c r="HQ646" s="1"/>
      <c r="HR646" s="1"/>
      <c r="HS646" s="1"/>
      <c r="HT646" s="1"/>
      <c r="HU646" s="1"/>
      <c r="HV646" s="1"/>
      <c r="HW646" s="1"/>
      <c r="HX646" s="1"/>
      <c r="HY646" s="1"/>
      <c r="HZ646" s="1"/>
      <c r="IA646" s="1"/>
      <c r="IB646" s="1"/>
      <c r="IC646" s="1"/>
      <c r="ID646" s="1"/>
      <c r="IE646" s="1"/>
      <c r="IF646" s="1"/>
      <c r="IG646" s="1"/>
      <c r="IH646" s="1"/>
      <c r="II646" s="1"/>
      <c r="IJ646" s="1"/>
      <c r="IK646" s="1"/>
      <c r="IL646" s="1"/>
      <c r="IM646" s="1"/>
      <c r="IN646" s="1"/>
      <c r="IO646" s="1"/>
      <c r="IP646" s="1"/>
      <c r="IQ646" s="1"/>
      <c r="IR646" s="1"/>
      <c r="IS646" s="1"/>
      <c r="IT646" s="1"/>
      <c r="IU646" s="1"/>
      <c r="IV646" s="1"/>
      <c r="IW646" s="1"/>
      <c r="IX646" s="1"/>
      <c r="IY646" s="1"/>
      <c r="IZ646" s="1"/>
      <c r="JA646" s="1"/>
      <c r="JB646" s="1"/>
      <c r="JC646" s="1"/>
      <c r="JD646" s="1"/>
    </row>
    <row r="647" spans="1:264" s="347" customFormat="1" x14ac:dyDescent="0.2">
      <c r="A647" s="477" t="str">
        <f>+A643</f>
        <v>Trading</v>
      </c>
      <c r="B647" s="446"/>
      <c r="C647" s="447"/>
      <c r="D647" s="447"/>
      <c r="E647" s="447"/>
      <c r="F647" s="447"/>
      <c r="G647" s="447"/>
      <c r="H647" s="447"/>
      <c r="I647" s="447"/>
      <c r="J647" s="447"/>
      <c r="K647" s="447"/>
      <c r="L647" s="447"/>
      <c r="M647" s="447"/>
      <c r="N647" s="447"/>
      <c r="O647" s="447"/>
      <c r="P647" s="447"/>
      <c r="Q647" s="447"/>
      <c r="R647" s="447"/>
      <c r="S647" s="447"/>
      <c r="T647" s="447"/>
      <c r="U647" s="447"/>
      <c r="V647" s="447"/>
      <c r="W647" s="447"/>
      <c r="X647" s="447"/>
      <c r="Y647" s="447"/>
      <c r="Z647" s="447"/>
      <c r="AA647" s="447"/>
      <c r="AB647" s="447"/>
      <c r="AC647" s="447"/>
      <c r="AD647" s="447"/>
      <c r="AE647" s="447"/>
      <c r="AF647" s="447"/>
      <c r="AG647" s="447"/>
      <c r="AH647" s="447"/>
      <c r="AI647" s="447"/>
      <c r="AJ647" s="447"/>
      <c r="AK647" s="447"/>
      <c r="AL647" s="447"/>
      <c r="AM647" s="447"/>
      <c r="AN647" s="447"/>
      <c r="AO647" s="447"/>
      <c r="AP647" s="447"/>
      <c r="AQ647" s="447"/>
      <c r="AR647" s="447"/>
      <c r="AS647" s="447"/>
      <c r="AT647" s="447"/>
      <c r="AU647" s="447"/>
      <c r="AV647" s="447"/>
      <c r="AW647" s="447"/>
      <c r="AX647" s="447"/>
      <c r="AY647" s="447"/>
      <c r="AZ647" s="447"/>
      <c r="BA647" s="447"/>
      <c r="BB647" s="447"/>
      <c r="BC647" s="447"/>
      <c r="BD647" s="447"/>
      <c r="BE647" s="447"/>
      <c r="BF647" s="447"/>
      <c r="BG647" s="447"/>
      <c r="BH647" s="446"/>
      <c r="BI647" s="446"/>
      <c r="BJ647" s="446"/>
      <c r="BK647" s="446"/>
      <c r="BL647" s="446"/>
      <c r="BM647" s="446"/>
      <c r="BN647" s="446"/>
      <c r="BO647" s="446"/>
      <c r="BP647" s="446"/>
      <c r="BQ647" s="447"/>
      <c r="BR647" s="447"/>
      <c r="BS647" s="447"/>
      <c r="BT647" s="478">
        <f t="shared" si="644"/>
        <v>0.15083798882681565</v>
      </c>
      <c r="BU647" s="478">
        <f t="shared" si="644"/>
        <v>-0.29795918367346941</v>
      </c>
      <c r="BV647" s="478">
        <f t="shared" si="644"/>
        <v>-0.10849056603773588</v>
      </c>
      <c r="BW647" s="447"/>
      <c r="BX647" s="478">
        <f t="shared" si="645"/>
        <v>0.13106796116504849</v>
      </c>
      <c r="BY647" s="478">
        <f t="shared" si="645"/>
        <v>-5.8139534883721034E-3</v>
      </c>
      <c r="BZ647" s="478">
        <f t="shared" si="645"/>
        <v>6.8783068783068835E-2</v>
      </c>
      <c r="CA647" s="447"/>
      <c r="CB647" s="478">
        <f t="shared" si="645"/>
        <v>-0.30042918454935619</v>
      </c>
      <c r="CC647" s="478">
        <f>+CC638/BY638-1</f>
        <v>-0.36842105263157898</v>
      </c>
      <c r="CD647" s="478">
        <f>+CD638/BZ638-1</f>
        <v>-0.32920792079207917</v>
      </c>
      <c r="CE647" s="447"/>
      <c r="CF647" s="478">
        <f t="shared" si="646"/>
        <v>-0.57668711656441718</v>
      </c>
      <c r="CG647" s="478">
        <f t="shared" si="646"/>
        <v>0.56481481481481488</v>
      </c>
      <c r="CH647" s="478">
        <f t="shared" si="646"/>
        <v>-0.12177121771217714</v>
      </c>
      <c r="CI647" s="447"/>
      <c r="CJ647" s="478">
        <f t="shared" si="646"/>
        <v>1.6086956521739131</v>
      </c>
      <c r="CK647" s="478">
        <f>+CK638/CG638-1</f>
        <v>-5.9171597633136064E-2</v>
      </c>
      <c r="CL647" s="478">
        <f>+CL638/CH638-1</f>
        <v>0.42436974789915971</v>
      </c>
      <c r="CM647" s="447"/>
      <c r="CN647" s="478">
        <f t="shared" si="647"/>
        <v>0.53333333333333344</v>
      </c>
      <c r="CO647" s="478">
        <f t="shared" si="647"/>
        <v>-0.61635220125786161</v>
      </c>
      <c r="CP647" s="478">
        <f t="shared" si="647"/>
        <v>-5.8997050147492347E-3</v>
      </c>
      <c r="CQ647" s="447"/>
      <c r="CR647" s="478">
        <f t="shared" si="647"/>
        <v>-0.64492753623188404</v>
      </c>
      <c r="CS647" s="478">
        <f t="shared" si="647"/>
        <v>1.0163934426229506</v>
      </c>
      <c r="CT647" s="478">
        <f t="shared" si="647"/>
        <v>-0.34421364985163205</v>
      </c>
      <c r="CU647" s="447"/>
      <c r="CV647" s="478">
        <f t="shared" si="648"/>
        <v>1.2551020408163267</v>
      </c>
      <c r="CW647" s="478">
        <f t="shared" si="648"/>
        <v>0.94308943089430897</v>
      </c>
      <c r="CX647" s="478">
        <f t="shared" si="648"/>
        <v>1.0814479638009051</v>
      </c>
      <c r="CY647" s="447"/>
      <c r="CZ647" s="478">
        <f t="shared" si="649"/>
        <v>0.19457013574660631</v>
      </c>
      <c r="DA647" s="478">
        <f t="shared" si="649"/>
        <v>-0.2635983263598326</v>
      </c>
      <c r="DB647" s="478">
        <f t="shared" si="649"/>
        <v>-4.3478260869565188E-2</v>
      </c>
      <c r="DC647" s="447"/>
      <c r="DD647" s="478">
        <f t="shared" si="649"/>
        <v>-0.49621212121212122</v>
      </c>
      <c r="DE647" s="478">
        <f t="shared" si="650"/>
        <v>0.57954545454545459</v>
      </c>
      <c r="DF647" s="478">
        <f t="shared" si="651"/>
        <v>-6.5909090909090917E-2</v>
      </c>
      <c r="DG647" s="447"/>
      <c r="DH647" s="478">
        <f t="shared" si="652"/>
        <v>0.75939849624060152</v>
      </c>
      <c r="DI647" s="468">
        <v>-0.3</v>
      </c>
      <c r="DJ647" s="478">
        <f>+DJ638/DF638-1</f>
        <v>4.2822384428223836E-2</v>
      </c>
      <c r="DK647" s="447"/>
      <c r="DL647" s="468">
        <v>0.02</v>
      </c>
      <c r="DM647" s="468">
        <v>0.02</v>
      </c>
      <c r="DN647" s="478">
        <f>+DN638/DJ638-1</f>
        <v>2.0000000000000018E-2</v>
      </c>
      <c r="DO647" s="447"/>
      <c r="DP647" s="468">
        <v>0.02</v>
      </c>
      <c r="DQ647" s="468">
        <v>0.02</v>
      </c>
      <c r="DR647" s="478">
        <f>+DR638/DN638-1</f>
        <v>2.0000000000000018E-2</v>
      </c>
      <c r="DS647" s="447"/>
      <c r="DT647" s="1"/>
      <c r="DU647" s="1"/>
      <c r="DV647" s="1"/>
      <c r="DW647" s="1"/>
      <c r="DX647" s="1"/>
      <c r="DY647" s="1"/>
      <c r="DZ647" s="1"/>
      <c r="EA647" s="1"/>
      <c r="EB647" s="1"/>
      <c r="EC647" s="1"/>
      <c r="ED647" s="1"/>
      <c r="EE647" s="1"/>
      <c r="EF647" s="1"/>
      <c r="EG647" s="1"/>
      <c r="EH647" s="1"/>
      <c r="EI647" s="1"/>
      <c r="EJ647" s="1"/>
      <c r="EK647" s="1"/>
      <c r="EL647" s="1"/>
      <c r="EM647" s="1"/>
      <c r="EN647" s="1"/>
      <c r="EO647" s="1"/>
      <c r="EP647" s="1"/>
      <c r="EQ647" s="1"/>
      <c r="ER647" s="1"/>
      <c r="ES647" s="1"/>
      <c r="ET647" s="1"/>
      <c r="EU647" s="1"/>
      <c r="EV647" s="1"/>
      <c r="EW647" s="1"/>
      <c r="EX647" s="1"/>
      <c r="EY647" s="1"/>
      <c r="EZ647" s="1"/>
      <c r="FA647" s="1"/>
      <c r="FB647" s="1"/>
      <c r="FC647" s="1"/>
      <c r="FD647" s="1"/>
      <c r="FE647" s="1"/>
      <c r="FF647" s="1"/>
      <c r="FG647" s="1"/>
      <c r="FH647" s="1"/>
      <c r="FI647" s="1"/>
      <c r="FJ647" s="1"/>
      <c r="FK647" s="1"/>
      <c r="FL647" s="1"/>
      <c r="FM647" s="1"/>
      <c r="FN647" s="1"/>
      <c r="FO647" s="1"/>
      <c r="FP647" s="1"/>
      <c r="FQ647" s="1"/>
      <c r="FR647" s="1"/>
      <c r="FS647" s="1"/>
      <c r="FT647" s="1"/>
      <c r="FU647" s="1"/>
      <c r="FV647" s="1"/>
      <c r="FW647" s="1"/>
      <c r="FX647" s="1"/>
      <c r="FY647" s="1"/>
      <c r="FZ647" s="1"/>
      <c r="GA647" s="1"/>
      <c r="GB647" s="1"/>
      <c r="GC647" s="1"/>
      <c r="GD647" s="1"/>
      <c r="GE647" s="1"/>
      <c r="GF647" s="1"/>
      <c r="GG647" s="1"/>
      <c r="GH647" s="1"/>
      <c r="GI647" s="1"/>
      <c r="GJ647" s="1"/>
      <c r="GK647" s="1"/>
      <c r="GL647" s="1"/>
      <c r="GM647" s="1"/>
      <c r="GN647" s="1"/>
      <c r="GO647" s="1"/>
      <c r="GP647" s="1"/>
      <c r="GQ647" s="1"/>
      <c r="GR647" s="1"/>
      <c r="GS647" s="1"/>
      <c r="GT647" s="1"/>
      <c r="GU647" s="1"/>
      <c r="GV647" s="1"/>
      <c r="GW647" s="1"/>
      <c r="GX647" s="1"/>
      <c r="GY647" s="1"/>
      <c r="GZ647" s="1"/>
      <c r="HA647" s="1"/>
      <c r="HB647" s="1"/>
      <c r="HC647" s="1"/>
      <c r="HD647" s="1"/>
      <c r="HE647" s="1"/>
      <c r="HF647" s="1"/>
      <c r="HG647" s="1"/>
      <c r="HH647" s="1"/>
      <c r="HI647" s="1"/>
      <c r="HJ647" s="1"/>
      <c r="HK647" s="1"/>
      <c r="HL647" s="1"/>
      <c r="HM647" s="1"/>
      <c r="HN647" s="1"/>
      <c r="HO647" s="1"/>
      <c r="HP647" s="1"/>
      <c r="HQ647" s="1"/>
      <c r="HR647" s="1"/>
      <c r="HS647" s="1"/>
      <c r="HT647" s="1"/>
      <c r="HU647" s="1"/>
      <c r="HV647" s="1"/>
      <c r="HW647" s="1"/>
      <c r="HX647" s="1"/>
      <c r="HY647" s="1"/>
      <c r="HZ647" s="1"/>
      <c r="IA647" s="1"/>
      <c r="IB647" s="1"/>
      <c r="IC647" s="1"/>
      <c r="ID647" s="1"/>
      <c r="IE647" s="1"/>
      <c r="IF647" s="1"/>
      <c r="IG647" s="1"/>
      <c r="IH647" s="1"/>
      <c r="II647" s="1"/>
      <c r="IJ647" s="1"/>
      <c r="IK647" s="1"/>
      <c r="IL647" s="1"/>
      <c r="IM647" s="1"/>
      <c r="IN647" s="1"/>
      <c r="IO647" s="1"/>
      <c r="IP647" s="1"/>
      <c r="IQ647" s="1"/>
      <c r="IR647" s="1"/>
      <c r="IS647" s="1"/>
      <c r="IT647" s="1"/>
      <c r="IU647" s="1"/>
      <c r="IV647" s="1"/>
      <c r="IW647" s="1"/>
      <c r="IX647" s="1"/>
      <c r="IY647" s="1"/>
      <c r="IZ647" s="1"/>
      <c r="JA647" s="1"/>
      <c r="JB647" s="1"/>
      <c r="JC647" s="1"/>
      <c r="JD647" s="1"/>
    </row>
    <row r="648" spans="1:264" s="347" customFormat="1" x14ac:dyDescent="0.2">
      <c r="A648" s="424" t="str">
        <f>+A644</f>
        <v>Total</v>
      </c>
      <c r="B648" s="348"/>
      <c r="BH648" s="348"/>
      <c r="BI648" s="348"/>
      <c r="BJ648" s="348"/>
      <c r="BK648" s="348"/>
      <c r="BL648" s="348"/>
      <c r="BM648" s="348"/>
      <c r="BN648" s="348"/>
      <c r="BO648" s="348"/>
      <c r="BP648" s="348"/>
      <c r="BT648" s="393">
        <f>+BT640/BP640-1</f>
        <v>-6.2381852551984918E-2</v>
      </c>
      <c r="BU648" s="393">
        <f>+BU640/BQ640-1</f>
        <v>0.15882352941176481</v>
      </c>
      <c r="BV648" s="393">
        <f>+BV640/BR640-1</f>
        <v>4.6198267564966367E-2</v>
      </c>
      <c r="BX648" s="393">
        <f>+BX640/BT640-1</f>
        <v>0.20967741935483875</v>
      </c>
      <c r="BY648" s="393">
        <f>+BY640/BU640-1</f>
        <v>-7.1065989847715727E-2</v>
      </c>
      <c r="BZ648" s="393">
        <f>+BZ640/BV640-1</f>
        <v>5.703771849126027E-2</v>
      </c>
      <c r="CB648" s="393">
        <f>+CB640/BX640-1</f>
        <v>-7.3333333333333361E-2</v>
      </c>
      <c r="CC648" s="393">
        <f>+CC640/BY640-1</f>
        <v>-0.14571948998178508</v>
      </c>
      <c r="CD648" s="393">
        <f>+CD640/BZ640-1</f>
        <v>-0.10791993037423842</v>
      </c>
      <c r="CF648" s="393">
        <f>+CF640/CB640-1</f>
        <v>-0.2230215827338129</v>
      </c>
      <c r="CG648" s="393">
        <f>+CG640/CC640-1</f>
        <v>-0.10234541577825162</v>
      </c>
      <c r="CH648" s="393">
        <f>+CH640/CD640-1</f>
        <v>-0.16780487804878053</v>
      </c>
      <c r="CJ648" s="393">
        <f>+CJ640/CF640-1</f>
        <v>0.17592592592592582</v>
      </c>
      <c r="CK648" s="393">
        <f>+CK640/CG640-1</f>
        <v>2.6128266033254244E-2</v>
      </c>
      <c r="CL648" s="393">
        <f>+CL640/CH640-1</f>
        <v>0.10199296600234464</v>
      </c>
      <c r="CN648" s="393">
        <f>+CN640/CJ640-1</f>
        <v>5.3149606299212504E-2</v>
      </c>
      <c r="CO648" s="393">
        <f>+CO640/CK640-1</f>
        <v>-0.26620370370370372</v>
      </c>
      <c r="CP648" s="393">
        <f>+CP640/CL640-1</f>
        <v>-9.3617021276595769E-2</v>
      </c>
      <c r="CR648" s="393">
        <f>+CR640/CN640-1</f>
        <v>-0.31214953271028034</v>
      </c>
      <c r="CS648" s="393">
        <f>+CS640/CO640-1</f>
        <v>0.38170347003154581</v>
      </c>
      <c r="CT648" s="393">
        <f>+CT640/CP640-1</f>
        <v>-5.39906103286385E-2</v>
      </c>
      <c r="CV648" s="393">
        <f>+CV640/CR640-1</f>
        <v>0.39402173913043481</v>
      </c>
      <c r="CW648" s="393">
        <f>+CW640/CS640-1</f>
        <v>0.32876712328767121</v>
      </c>
      <c r="CX648" s="393">
        <f>+CX640/CT640-1</f>
        <v>0.35856079404466512</v>
      </c>
      <c r="CZ648" s="393">
        <f>+CZ640/CV640-1</f>
        <v>0.2456140350877194</v>
      </c>
      <c r="DA648" s="393">
        <f>+DA640/CW640-1</f>
        <v>-7.5601374570446689E-2</v>
      </c>
      <c r="DB648" s="393">
        <f>+DB640/CX640-1</f>
        <v>7.488584474885851E-2</v>
      </c>
      <c r="DD648" s="393">
        <f>+DD640/CZ640-1</f>
        <v>-0.18779342723004699</v>
      </c>
      <c r="DE648" s="393">
        <f>+DE640/DA640-1</f>
        <v>0.26394052044609673</v>
      </c>
      <c r="DF648" s="393">
        <f>+DF640/DB640-1</f>
        <v>1.8691588785046731E-2</v>
      </c>
      <c r="DH648" s="393">
        <f>+DH640/DD640-1</f>
        <v>0.16184971098265888</v>
      </c>
      <c r="DI648" s="393">
        <f>+DI640/DE640-1</f>
        <v>-0.13489411764705894</v>
      </c>
      <c r="DJ648" s="393">
        <f>+DJ640/DF640-1</f>
        <v>-6.4453711426188942E-3</v>
      </c>
      <c r="DL648" s="393">
        <f>+DL640/DH640-1</f>
        <v>2.1028192371476129E-2</v>
      </c>
      <c r="DM648" s="393">
        <f>+DM640/DI640-1</f>
        <v>2.6692006418799652E-2</v>
      </c>
      <c r="DN648" s="393">
        <f>+DN640/DJ640-1</f>
        <v>2.3825087805303902E-2</v>
      </c>
      <c r="DP648" s="393">
        <f>+DP640/DL640-1</f>
        <v>2.6123310810810763E-2</v>
      </c>
      <c r="DQ648" s="393">
        <f>+DQ640/DM640-1</f>
        <v>2.671356801092295E-2</v>
      </c>
      <c r="DR648" s="393">
        <f>+DR640/DN640-1</f>
        <v>2.6415606863506191E-2</v>
      </c>
      <c r="DT648" s="1"/>
      <c r="DU648" s="1"/>
      <c r="DV648" s="1"/>
      <c r="DW648" s="1"/>
      <c r="DX648" s="1"/>
      <c r="DY648" s="1"/>
      <c r="DZ648" s="1"/>
      <c r="EA648" s="1"/>
      <c r="EB648" s="1"/>
      <c r="EC648" s="1"/>
      <c r="ED648" s="1"/>
      <c r="EE648" s="1"/>
      <c r="EF648" s="1"/>
      <c r="EG648" s="1"/>
      <c r="EH648" s="1"/>
      <c r="EI648" s="1"/>
      <c r="EJ648" s="1"/>
      <c r="EK648" s="1"/>
      <c r="EL648" s="1"/>
      <c r="EM648" s="1"/>
      <c r="EN648" s="1"/>
      <c r="EO648" s="1"/>
      <c r="EP648" s="1"/>
      <c r="EQ648" s="1"/>
      <c r="ER648" s="1"/>
      <c r="ES648" s="1"/>
      <c r="ET648" s="1"/>
      <c r="EU648" s="1"/>
      <c r="EV648" s="1"/>
      <c r="EW648" s="1"/>
      <c r="EX648" s="1"/>
      <c r="EY648" s="1"/>
      <c r="EZ648" s="1"/>
      <c r="FA648" s="1"/>
      <c r="FB648" s="1"/>
      <c r="FC648" s="1"/>
      <c r="FD648" s="1"/>
      <c r="FE648" s="1"/>
      <c r="FF648" s="1"/>
      <c r="FG648" s="1"/>
      <c r="FH648" s="1"/>
      <c r="FI648" s="1"/>
      <c r="FJ648" s="1"/>
      <c r="FK648" s="1"/>
      <c r="FL648" s="1"/>
      <c r="FM648" s="1"/>
      <c r="FN648" s="1"/>
      <c r="FO648" s="1"/>
      <c r="FP648" s="1"/>
      <c r="FQ648" s="1"/>
      <c r="FR648" s="1"/>
      <c r="FS648" s="1"/>
      <c r="FT648" s="1"/>
      <c r="FU648" s="1"/>
      <c r="FV648" s="1"/>
      <c r="FW648" s="1"/>
      <c r="FX648" s="1"/>
      <c r="FY648" s="1"/>
      <c r="FZ648" s="1"/>
      <c r="GA648" s="1"/>
      <c r="GB648" s="1"/>
      <c r="GC648" s="1"/>
      <c r="GD648" s="1"/>
      <c r="GE648" s="1"/>
      <c r="GF648" s="1"/>
      <c r="GG648" s="1"/>
      <c r="GH648" s="1"/>
      <c r="GI648" s="1"/>
      <c r="GJ648" s="1"/>
      <c r="GK648" s="1"/>
      <c r="GL648" s="1"/>
      <c r="GM648" s="1"/>
      <c r="GN648" s="1"/>
      <c r="GO648" s="1"/>
      <c r="GP648" s="1"/>
      <c r="GQ648" s="1"/>
      <c r="GR648" s="1"/>
      <c r="GS648" s="1"/>
      <c r="GT648" s="1"/>
      <c r="GU648" s="1"/>
      <c r="GV648" s="1"/>
      <c r="GW648" s="1"/>
      <c r="GX648" s="1"/>
      <c r="GY648" s="1"/>
      <c r="GZ648" s="1"/>
      <c r="HA648" s="1"/>
      <c r="HB648" s="1"/>
      <c r="HC648" s="1"/>
      <c r="HD648" s="1"/>
      <c r="HE648" s="1"/>
      <c r="HF648" s="1"/>
      <c r="HG648" s="1"/>
      <c r="HH648" s="1"/>
      <c r="HI648" s="1"/>
      <c r="HJ648" s="1"/>
      <c r="HK648" s="1"/>
      <c r="HL648" s="1"/>
      <c r="HM648" s="1"/>
      <c r="HN648" s="1"/>
      <c r="HO648" s="1"/>
      <c r="HP648" s="1"/>
      <c r="HQ648" s="1"/>
      <c r="HR648" s="1"/>
      <c r="HS648" s="1"/>
      <c r="HT648" s="1"/>
      <c r="HU648" s="1"/>
      <c r="HV648" s="1"/>
      <c r="HW648" s="1"/>
      <c r="HX648" s="1"/>
      <c r="HY648" s="1"/>
      <c r="HZ648" s="1"/>
      <c r="IA648" s="1"/>
      <c r="IB648" s="1"/>
      <c r="IC648" s="1"/>
      <c r="ID648" s="1"/>
      <c r="IE648" s="1"/>
      <c r="IF648" s="1"/>
      <c r="IG648" s="1"/>
      <c r="IH648" s="1"/>
      <c r="II648" s="1"/>
      <c r="IJ648" s="1"/>
      <c r="IK648" s="1"/>
      <c r="IL648" s="1"/>
      <c r="IM648" s="1"/>
      <c r="IN648" s="1"/>
      <c r="IO648" s="1"/>
      <c r="IP648" s="1"/>
      <c r="IQ648" s="1"/>
      <c r="IR648" s="1"/>
      <c r="IS648" s="1"/>
      <c r="IT648" s="1"/>
      <c r="IU648" s="1"/>
      <c r="IV648" s="1"/>
      <c r="IW648" s="1"/>
      <c r="IX648" s="1"/>
      <c r="IY648" s="1"/>
      <c r="IZ648" s="1"/>
      <c r="JA648" s="1"/>
      <c r="JB648" s="1"/>
      <c r="JC648" s="1"/>
      <c r="JD648" s="1"/>
    </row>
    <row r="649" spans="1:264" s="347" customFormat="1" x14ac:dyDescent="0.2">
      <c r="B649" s="348"/>
      <c r="BH649" s="348"/>
      <c r="BI649" s="348"/>
      <c r="BJ649" s="348"/>
      <c r="BK649" s="348"/>
      <c r="BL649" s="348"/>
      <c r="BM649" s="348"/>
      <c r="BN649" s="348"/>
      <c r="BO649" s="348"/>
      <c r="BP649" s="348"/>
      <c r="BT649" s="348"/>
      <c r="BU649" s="400"/>
      <c r="BX649" s="348"/>
      <c r="BY649" s="400"/>
      <c r="CB649" s="348"/>
      <c r="CC649" s="400"/>
      <c r="CF649" s="348"/>
      <c r="CG649" s="400"/>
      <c r="CJ649" s="348"/>
      <c r="CK649" s="400"/>
      <c r="CN649" s="348"/>
      <c r="CO649" s="400"/>
      <c r="CR649" s="348"/>
      <c r="CS649" s="400"/>
      <c r="CV649" s="348"/>
      <c r="CW649" s="400"/>
      <c r="CZ649" s="348"/>
      <c r="DA649" s="400"/>
      <c r="DD649" s="348"/>
      <c r="DE649" s="400"/>
      <c r="DH649" s="348"/>
      <c r="DL649" s="348"/>
      <c r="DP649" s="348"/>
      <c r="DT649" s="1"/>
      <c r="DU649" s="1"/>
      <c r="DV649" s="1"/>
      <c r="DW649" s="1"/>
      <c r="DX649" s="1"/>
      <c r="DY649" s="1"/>
      <c r="DZ649" s="1"/>
      <c r="EA649" s="1"/>
      <c r="EB649" s="1"/>
      <c r="EC649" s="1"/>
      <c r="ED649" s="1"/>
      <c r="EE649" s="1"/>
      <c r="EF649" s="1"/>
      <c r="EG649" s="1"/>
      <c r="EH649" s="1"/>
      <c r="EI649" s="1"/>
      <c r="EJ649" s="1"/>
      <c r="EK649" s="1"/>
      <c r="EL649" s="1"/>
      <c r="EM649" s="1"/>
      <c r="EN649" s="1"/>
      <c r="EO649" s="1"/>
      <c r="EP649" s="1"/>
      <c r="EQ649" s="1"/>
      <c r="ER649" s="1"/>
      <c r="ES649" s="1"/>
      <c r="ET649" s="1"/>
      <c r="EU649" s="1"/>
      <c r="EV649" s="1"/>
      <c r="EW649" s="1"/>
      <c r="EX649" s="1"/>
      <c r="EY649" s="1"/>
      <c r="EZ649" s="1"/>
      <c r="FA649" s="1"/>
      <c r="FB649" s="1"/>
      <c r="FC649" s="1"/>
      <c r="FD649" s="1"/>
      <c r="FE649" s="1"/>
      <c r="FF649" s="1"/>
      <c r="FG649" s="1"/>
      <c r="FH649" s="1"/>
      <c r="FI649" s="1"/>
      <c r="FJ649" s="1"/>
      <c r="FK649" s="1"/>
      <c r="FL649" s="1"/>
      <c r="FM649" s="1"/>
      <c r="FN649" s="1"/>
      <c r="FO649" s="1"/>
      <c r="FP649" s="1"/>
      <c r="FQ649" s="1"/>
      <c r="FR649" s="1"/>
      <c r="FS649" s="1"/>
      <c r="FT649" s="1"/>
      <c r="FU649" s="1"/>
      <c r="FV649" s="1"/>
      <c r="FW649" s="1"/>
      <c r="FX649" s="1"/>
      <c r="FY649" s="1"/>
      <c r="FZ649" s="1"/>
      <c r="GA649" s="1"/>
      <c r="GB649" s="1"/>
      <c r="GC649" s="1"/>
      <c r="GD649" s="1"/>
      <c r="GE649" s="1"/>
      <c r="GF649" s="1"/>
      <c r="GG649" s="1"/>
      <c r="GH649" s="1"/>
      <c r="GI649" s="1"/>
      <c r="GJ649" s="1"/>
      <c r="GK649" s="1"/>
      <c r="GL649" s="1"/>
      <c r="GM649" s="1"/>
      <c r="GN649" s="1"/>
      <c r="GO649" s="1"/>
      <c r="GP649" s="1"/>
      <c r="GQ649" s="1"/>
      <c r="GR649" s="1"/>
      <c r="GS649" s="1"/>
      <c r="GT649" s="1"/>
      <c r="GU649" s="1"/>
      <c r="GV649" s="1"/>
      <c r="GW649" s="1"/>
      <c r="GX649" s="1"/>
      <c r="GY649" s="1"/>
      <c r="GZ649" s="1"/>
      <c r="HA649" s="1"/>
      <c r="HB649" s="1"/>
      <c r="HC649" s="1"/>
      <c r="HD649" s="1"/>
      <c r="HE649" s="1"/>
      <c r="HF649" s="1"/>
      <c r="HG649" s="1"/>
      <c r="HH649" s="1"/>
      <c r="HI649" s="1"/>
      <c r="HJ649" s="1"/>
      <c r="HK649" s="1"/>
      <c r="HL649" s="1"/>
      <c r="HM649" s="1"/>
      <c r="HN649" s="1"/>
      <c r="HO649" s="1"/>
      <c r="HP649" s="1"/>
      <c r="HQ649" s="1"/>
      <c r="HR649" s="1"/>
      <c r="HS649" s="1"/>
      <c r="HT649" s="1"/>
      <c r="HU649" s="1"/>
      <c r="HV649" s="1"/>
      <c r="HW649" s="1"/>
      <c r="HX649" s="1"/>
      <c r="HY649" s="1"/>
      <c r="HZ649" s="1"/>
      <c r="IA649" s="1"/>
      <c r="IB649" s="1"/>
      <c r="IC649" s="1"/>
      <c r="ID649" s="1"/>
      <c r="IE649" s="1"/>
      <c r="IF649" s="1"/>
      <c r="IG649" s="1"/>
      <c r="IH649" s="1"/>
      <c r="II649" s="1"/>
      <c r="IJ649" s="1"/>
      <c r="IK649" s="1"/>
      <c r="IL649" s="1"/>
      <c r="IM649" s="1"/>
      <c r="IN649" s="1"/>
      <c r="IO649" s="1"/>
      <c r="IP649" s="1"/>
      <c r="IQ649" s="1"/>
      <c r="IR649" s="1"/>
      <c r="IS649" s="1"/>
      <c r="IT649" s="1"/>
      <c r="IU649" s="1"/>
      <c r="IV649" s="1"/>
      <c r="IW649" s="1"/>
      <c r="IX649" s="1"/>
      <c r="IY649" s="1"/>
      <c r="IZ649" s="1"/>
      <c r="JA649" s="1"/>
      <c r="JB649" s="1"/>
      <c r="JC649" s="1"/>
      <c r="JD649" s="1"/>
    </row>
    <row r="650" spans="1:264" s="411" customFormat="1" x14ac:dyDescent="0.2">
      <c r="A650" s="411" t="s">
        <v>499</v>
      </c>
      <c r="B650" s="423"/>
      <c r="BH650" s="423"/>
      <c r="BI650" s="423"/>
      <c r="BJ650" s="423"/>
      <c r="BK650" s="423"/>
      <c r="BL650" s="423"/>
      <c r="BM650" s="423"/>
      <c r="BN650" s="423"/>
      <c r="BO650" s="423"/>
      <c r="BP650" s="423"/>
      <c r="BT650" s="423"/>
      <c r="BU650" s="498"/>
      <c r="BX650" s="423"/>
      <c r="BY650" s="498"/>
      <c r="CB650" s="423"/>
      <c r="CC650" s="498"/>
      <c r="CF650" s="423"/>
      <c r="CG650" s="498"/>
      <c r="CJ650" s="423"/>
      <c r="CK650" s="498"/>
      <c r="CN650" s="423"/>
      <c r="CO650" s="498"/>
      <c r="CR650" s="423"/>
      <c r="CS650" s="498"/>
      <c r="CV650" s="423"/>
      <c r="CW650" s="498"/>
      <c r="CZ650" s="423"/>
      <c r="DA650" s="498"/>
      <c r="DD650" s="423"/>
      <c r="DE650" s="498"/>
      <c r="DH650" s="423"/>
      <c r="DL650" s="423"/>
      <c r="DP650" s="423"/>
      <c r="DT650" s="451"/>
      <c r="DU650" s="451"/>
      <c r="DV650" s="451"/>
      <c r="DW650" s="451"/>
      <c r="DX650" s="451"/>
      <c r="DY650" s="451"/>
      <c r="DZ650" s="451"/>
      <c r="EA650" s="451"/>
      <c r="EB650" s="451"/>
      <c r="EC650" s="451"/>
      <c r="ED650" s="451"/>
      <c r="EE650" s="451"/>
      <c r="EF650" s="451"/>
      <c r="EG650" s="451"/>
      <c r="EH650" s="451"/>
      <c r="EI650" s="451"/>
      <c r="EJ650" s="451"/>
      <c r="EK650" s="451"/>
      <c r="EL650" s="451"/>
      <c r="EM650" s="451"/>
      <c r="EN650" s="451"/>
      <c r="EO650" s="451"/>
      <c r="EP650" s="451"/>
      <c r="EQ650" s="451"/>
      <c r="ER650" s="451"/>
      <c r="ES650" s="451"/>
      <c r="ET650" s="451"/>
      <c r="EU650" s="451"/>
      <c r="EV650" s="451"/>
      <c r="EW650" s="451"/>
      <c r="EX650" s="451"/>
      <c r="EY650" s="451"/>
      <c r="EZ650" s="451"/>
      <c r="FA650" s="451"/>
      <c r="FB650" s="451"/>
      <c r="FC650" s="451"/>
      <c r="FD650" s="451"/>
      <c r="FE650" s="451"/>
      <c r="FF650" s="451"/>
      <c r="FG650" s="451"/>
      <c r="FH650" s="451"/>
      <c r="FI650" s="451"/>
      <c r="FJ650" s="451"/>
      <c r="FK650" s="451"/>
      <c r="FL650" s="451"/>
      <c r="FM650" s="451"/>
      <c r="FN650" s="451"/>
      <c r="FO650" s="451"/>
      <c r="FP650" s="451"/>
      <c r="FQ650" s="451"/>
      <c r="FR650" s="451"/>
      <c r="FS650" s="451"/>
      <c r="FT650" s="451"/>
      <c r="FU650" s="451"/>
      <c r="FV650" s="451"/>
      <c r="FW650" s="451"/>
      <c r="FX650" s="451"/>
      <c r="FY650" s="451"/>
      <c r="FZ650" s="451"/>
      <c r="GA650" s="451"/>
      <c r="GB650" s="451"/>
      <c r="GC650" s="451"/>
      <c r="GD650" s="451"/>
      <c r="GE650" s="451"/>
      <c r="GF650" s="451"/>
      <c r="GG650" s="451"/>
      <c r="GH650" s="451"/>
      <c r="GI650" s="451"/>
      <c r="GJ650" s="451"/>
      <c r="GK650" s="451"/>
      <c r="GL650" s="451"/>
      <c r="GM650" s="451"/>
      <c r="GN650" s="451"/>
      <c r="GO650" s="451"/>
      <c r="GP650" s="451"/>
      <c r="GQ650" s="451"/>
      <c r="GR650" s="451"/>
      <c r="GS650" s="451"/>
      <c r="GT650" s="451"/>
      <c r="GU650" s="451"/>
      <c r="GV650" s="451"/>
      <c r="GW650" s="451"/>
      <c r="GX650" s="451"/>
      <c r="GY650" s="451"/>
      <c r="GZ650" s="451"/>
      <c r="HA650" s="451"/>
      <c r="HB650" s="451"/>
      <c r="HC650" s="451"/>
      <c r="HD650" s="451"/>
      <c r="HE650" s="451"/>
      <c r="HF650" s="451"/>
      <c r="HG650" s="451"/>
      <c r="HH650" s="451"/>
      <c r="HI650" s="451"/>
      <c r="HJ650" s="451"/>
      <c r="HK650" s="451"/>
      <c r="HL650" s="451"/>
      <c r="HM650" s="451"/>
      <c r="HN650" s="451"/>
      <c r="HO650" s="451"/>
      <c r="HP650" s="451"/>
      <c r="HQ650" s="451"/>
      <c r="HR650" s="451"/>
      <c r="HS650" s="451"/>
      <c r="HT650" s="451"/>
      <c r="HU650" s="451"/>
      <c r="HV650" s="451"/>
      <c r="HW650" s="451"/>
      <c r="HX650" s="451"/>
      <c r="HY650" s="451"/>
      <c r="HZ650" s="451"/>
      <c r="IA650" s="451"/>
      <c r="IB650" s="451"/>
      <c r="IC650" s="451"/>
      <c r="ID650" s="451"/>
      <c r="IE650" s="451"/>
      <c r="IF650" s="451"/>
      <c r="IG650" s="451"/>
      <c r="IH650" s="451"/>
      <c r="II650" s="451"/>
      <c r="IJ650" s="451"/>
      <c r="IK650" s="451"/>
      <c r="IL650" s="451"/>
      <c r="IM650" s="451"/>
      <c r="IN650" s="451"/>
      <c r="IO650" s="451"/>
      <c r="IP650" s="451"/>
      <c r="IQ650" s="451"/>
      <c r="IR650" s="451"/>
      <c r="IS650" s="451"/>
      <c r="IT650" s="451"/>
      <c r="IU650" s="451"/>
      <c r="IV650" s="451"/>
      <c r="IW650" s="451"/>
      <c r="IX650" s="451"/>
      <c r="IY650" s="451"/>
      <c r="IZ650" s="451"/>
      <c r="JA650" s="451"/>
      <c r="JB650" s="451"/>
      <c r="JC650" s="451"/>
      <c r="JD650" s="451"/>
    </row>
    <row r="651" spans="1:264" s="347" customFormat="1" x14ac:dyDescent="0.2">
      <c r="A651" s="347" t="s">
        <v>10</v>
      </c>
      <c r="B651" s="348"/>
      <c r="BH651" s="348"/>
      <c r="BI651" s="348"/>
      <c r="BJ651" s="348"/>
      <c r="BK651" s="348"/>
      <c r="BL651" s="348"/>
      <c r="BM651" s="348"/>
      <c r="BN651" s="348"/>
      <c r="BO651" s="348"/>
      <c r="BP651" s="348"/>
      <c r="BT651" s="348"/>
      <c r="BU651" s="400"/>
      <c r="BX651" s="348"/>
      <c r="BY651" s="400"/>
      <c r="CB651" s="604">
        <v>92</v>
      </c>
      <c r="CC651" s="604">
        <v>84</v>
      </c>
      <c r="CD651" s="348">
        <f>+CC651+CB651</f>
        <v>176</v>
      </c>
      <c r="CF651" s="604">
        <v>83</v>
      </c>
      <c r="CG651" s="604">
        <v>43</v>
      </c>
      <c r="CH651" s="348">
        <f>+CG651+CF651</f>
        <v>126</v>
      </c>
      <c r="CJ651" s="604">
        <v>88</v>
      </c>
      <c r="CK651" s="604">
        <v>160</v>
      </c>
      <c r="CL651" s="348">
        <f>+CK651+CJ651</f>
        <v>248</v>
      </c>
      <c r="CN651" s="604">
        <f>292-CO651</f>
        <v>161</v>
      </c>
      <c r="CO651" s="604">
        <f>181-50</f>
        <v>131</v>
      </c>
      <c r="CP651" s="348">
        <f>+CO651+CN651</f>
        <v>292</v>
      </c>
      <c r="CR651" s="604">
        <f>179-50</f>
        <v>129</v>
      </c>
      <c r="CS651" s="604">
        <v>108</v>
      </c>
      <c r="CT651" s="348">
        <f>+CS651+CR651</f>
        <v>237</v>
      </c>
      <c r="CV651" s="604">
        <v>19</v>
      </c>
      <c r="CW651" s="604">
        <v>13</v>
      </c>
      <c r="CX651" s="348">
        <f>+CW651+CV651</f>
        <v>32</v>
      </c>
      <c r="CZ651" s="604">
        <v>-21</v>
      </c>
      <c r="DA651" s="604">
        <v>-13</v>
      </c>
      <c r="DB651" s="348">
        <f>+DA651+CZ651</f>
        <v>-34</v>
      </c>
      <c r="DD651" s="604">
        <v>-38</v>
      </c>
      <c r="DE651" s="604">
        <v>-120</v>
      </c>
      <c r="DF651" s="348">
        <f>+DE651+DD651</f>
        <v>-158</v>
      </c>
      <c r="DH651" s="604">
        <v>-113</v>
      </c>
      <c r="DI651" s="351">
        <f>+DI653-DI652</f>
        <v>-117.65439999999995</v>
      </c>
      <c r="DJ651" s="351">
        <f>+DH651+DI651</f>
        <v>-230.65439999999995</v>
      </c>
      <c r="DL651" s="351">
        <f>+DL653-DL652</f>
        <v>-123.13599999999997</v>
      </c>
      <c r="DM651" s="351">
        <f>+DM653-DM652</f>
        <v>-120.79483199999999</v>
      </c>
      <c r="DN651" s="351">
        <f>+DL651+DM651</f>
        <v>-243.93083199999995</v>
      </c>
      <c r="DP651" s="351">
        <f>+DP653-DP652</f>
        <v>-126.35271999999998</v>
      </c>
      <c r="DQ651" s="351">
        <f>+DQ653-DQ652</f>
        <v>-124.02169295999994</v>
      </c>
      <c r="DR651" s="351">
        <f>+DP651+DQ651</f>
        <v>-250.37441295999992</v>
      </c>
      <c r="DT651" s="1"/>
      <c r="DU651" s="1"/>
      <c r="DV651" s="1"/>
      <c r="DW651" s="1"/>
      <c r="DX651" s="1"/>
      <c r="DY651" s="1"/>
      <c r="DZ651" s="1"/>
      <c r="EA651" s="1"/>
      <c r="EB651" s="1"/>
      <c r="EC651" s="1"/>
      <c r="ED651" s="1"/>
      <c r="EE651" s="1"/>
      <c r="EF651" s="1"/>
      <c r="EG651" s="1"/>
      <c r="EH651" s="1"/>
      <c r="EI651" s="1"/>
      <c r="EJ651" s="1"/>
      <c r="EK651" s="1"/>
      <c r="EL651" s="1"/>
      <c r="EM651" s="1"/>
      <c r="EN651" s="1"/>
      <c r="EO651" s="1"/>
      <c r="EP651" s="1"/>
      <c r="EQ651" s="1"/>
      <c r="ER651" s="1"/>
      <c r="ES651" s="1"/>
      <c r="ET651" s="1"/>
      <c r="EU651" s="1"/>
      <c r="EV651" s="1"/>
      <c r="EW651" s="1"/>
      <c r="EX651" s="1"/>
      <c r="EY651" s="1"/>
      <c r="EZ651" s="1"/>
      <c r="FA651" s="1"/>
      <c r="FB651" s="1"/>
      <c r="FC651" s="1"/>
      <c r="FD651" s="1"/>
      <c r="FE651" s="1"/>
      <c r="FF651" s="1"/>
      <c r="FG651" s="1"/>
      <c r="FH651" s="1"/>
      <c r="FI651" s="1"/>
      <c r="FJ651" s="1"/>
      <c r="FK651" s="1"/>
      <c r="FL651" s="1"/>
      <c r="FM651" s="1"/>
      <c r="FN651" s="1"/>
      <c r="FO651" s="1"/>
      <c r="FP651" s="1"/>
      <c r="FQ651" s="1"/>
      <c r="FR651" s="1"/>
      <c r="FS651" s="1"/>
      <c r="FT651" s="1"/>
      <c r="FU651" s="1"/>
      <c r="FV651" s="1"/>
      <c r="FW651" s="1"/>
      <c r="FX651" s="1"/>
      <c r="FY651" s="1"/>
      <c r="FZ651" s="1"/>
      <c r="GA651" s="1"/>
      <c r="GB651" s="1"/>
      <c r="GC651" s="1"/>
      <c r="GD651" s="1"/>
      <c r="GE651" s="1"/>
      <c r="GF651" s="1"/>
      <c r="GG651" s="1"/>
      <c r="GH651" s="1"/>
      <c r="GI651" s="1"/>
      <c r="GJ651" s="1"/>
      <c r="GK651" s="1"/>
      <c r="GL651" s="1"/>
      <c r="GM651" s="1"/>
      <c r="GN651" s="1"/>
      <c r="GO651" s="1"/>
      <c r="GP651" s="1"/>
      <c r="GQ651" s="1"/>
      <c r="GR651" s="1"/>
      <c r="GS651" s="1"/>
      <c r="GT651" s="1"/>
      <c r="GU651" s="1"/>
      <c r="GV651" s="1"/>
      <c r="GW651" s="1"/>
      <c r="GX651" s="1"/>
      <c r="GY651" s="1"/>
      <c r="GZ651" s="1"/>
      <c r="HA651" s="1"/>
      <c r="HB651" s="1"/>
      <c r="HC651" s="1"/>
      <c r="HD651" s="1"/>
      <c r="HE651" s="1"/>
      <c r="HF651" s="1"/>
      <c r="HG651" s="1"/>
      <c r="HH651" s="1"/>
      <c r="HI651" s="1"/>
      <c r="HJ651" s="1"/>
      <c r="HK651" s="1"/>
      <c r="HL651" s="1"/>
      <c r="HM651" s="1"/>
      <c r="HN651" s="1"/>
      <c r="HO651" s="1"/>
      <c r="HP651" s="1"/>
      <c r="HQ651" s="1"/>
      <c r="HR651" s="1"/>
      <c r="HS651" s="1"/>
      <c r="HT651" s="1"/>
      <c r="HU651" s="1"/>
      <c r="HV651" s="1"/>
      <c r="HW651" s="1"/>
      <c r="HX651" s="1"/>
      <c r="HY651" s="1"/>
      <c r="HZ651" s="1"/>
      <c r="IA651" s="1"/>
      <c r="IB651" s="1"/>
      <c r="IC651" s="1"/>
      <c r="ID651" s="1"/>
      <c r="IE651" s="1"/>
      <c r="IF651" s="1"/>
      <c r="IG651" s="1"/>
      <c r="IH651" s="1"/>
      <c r="II651" s="1"/>
      <c r="IJ651" s="1"/>
      <c r="IK651" s="1"/>
      <c r="IL651" s="1"/>
      <c r="IM651" s="1"/>
      <c r="IN651" s="1"/>
      <c r="IO651" s="1"/>
      <c r="IP651" s="1"/>
      <c r="IQ651" s="1"/>
      <c r="IR651" s="1"/>
      <c r="IS651" s="1"/>
      <c r="IT651" s="1"/>
      <c r="IU651" s="1"/>
      <c r="IV651" s="1"/>
      <c r="IW651" s="1"/>
      <c r="IX651" s="1"/>
      <c r="IY651" s="1"/>
      <c r="IZ651" s="1"/>
      <c r="JA651" s="1"/>
      <c r="JB651" s="1"/>
      <c r="JC651" s="1"/>
      <c r="JD651" s="1"/>
    </row>
    <row r="652" spans="1:264" s="347" customFormat="1" x14ac:dyDescent="0.2">
      <c r="A652" s="347" t="s">
        <v>23</v>
      </c>
      <c r="B652" s="348"/>
      <c r="BH652" s="348"/>
      <c r="BI652" s="348"/>
      <c r="BJ652" s="348"/>
      <c r="BK652" s="348"/>
      <c r="BL652" s="348"/>
      <c r="BM652" s="348"/>
      <c r="BN652" s="348"/>
      <c r="BO652" s="348"/>
      <c r="BP652" s="348"/>
      <c r="BT652" s="348"/>
      <c r="BU652" s="400"/>
      <c r="BX652" s="348"/>
      <c r="BY652" s="400"/>
      <c r="CB652" s="604">
        <v>347</v>
      </c>
      <c r="CC652" s="604">
        <v>268</v>
      </c>
      <c r="CD652" s="348">
        <f>+CC652+CB652</f>
        <v>615</v>
      </c>
      <c r="CF652" s="604">
        <v>304</v>
      </c>
      <c r="CG652" s="604">
        <v>256</v>
      </c>
      <c r="CH652" s="348">
        <f>+CG652+CF652</f>
        <v>560</v>
      </c>
      <c r="CJ652" s="604">
        <v>288</v>
      </c>
      <c r="CK652" s="604">
        <v>244</v>
      </c>
      <c r="CL652" s="348">
        <f>+CK652+CJ652</f>
        <v>532</v>
      </c>
      <c r="CN652" s="604">
        <f>483-CO652</f>
        <v>329</v>
      </c>
      <c r="CO652" s="604">
        <f>164-10</f>
        <v>154</v>
      </c>
      <c r="CP652" s="348">
        <f>+CO652+CN652</f>
        <v>483</v>
      </c>
      <c r="CR652" s="604">
        <f>192-9</f>
        <v>183</v>
      </c>
      <c r="CS652" s="604">
        <v>209</v>
      </c>
      <c r="CT652" s="348">
        <f>+CS652+CR652</f>
        <v>392</v>
      </c>
      <c r="CV652" s="604">
        <v>201</v>
      </c>
      <c r="CW652" s="604">
        <v>316</v>
      </c>
      <c r="CX652" s="348">
        <f>+CW652+CV652</f>
        <v>517</v>
      </c>
      <c r="CZ652" s="604">
        <v>334</v>
      </c>
      <c r="DA652" s="604">
        <v>270</v>
      </c>
      <c r="DB652" s="348">
        <f>+DA652+CZ652</f>
        <v>604</v>
      </c>
      <c r="DD652" s="604">
        <v>324</v>
      </c>
      <c r="DE652" s="604">
        <v>477</v>
      </c>
      <c r="DF652" s="348">
        <f>+DE652+DD652</f>
        <v>801</v>
      </c>
      <c r="DH652" s="604">
        <v>472</v>
      </c>
      <c r="DI652" s="351">
        <f>+DI640*DI655</f>
        <v>441.20399999999995</v>
      </c>
      <c r="DJ652" s="351">
        <f>+DH652+DI652</f>
        <v>913.20399999999995</v>
      </c>
      <c r="DL652" s="351">
        <f>+DL640*DL655</f>
        <v>461.76000000000005</v>
      </c>
      <c r="DM652" s="351">
        <f>+DM640*DM655</f>
        <v>452.98061999999999</v>
      </c>
      <c r="DN652" s="351">
        <f>+DL652+DM652</f>
        <v>914.74062000000004</v>
      </c>
      <c r="DP652" s="351">
        <f>+DP640*DP655</f>
        <v>473.8227</v>
      </c>
      <c r="DQ652" s="351">
        <f>+DQ640*DQ655</f>
        <v>465.08134859999996</v>
      </c>
      <c r="DR652" s="351">
        <f>+DP652+DQ652</f>
        <v>938.9040485999999</v>
      </c>
      <c r="DT652" s="1"/>
      <c r="DU652" s="1"/>
      <c r="DV652" s="1"/>
      <c r="DW652" s="1"/>
      <c r="DX652" s="1"/>
      <c r="DY652" s="1"/>
      <c r="DZ652" s="1"/>
      <c r="EA652" s="1"/>
      <c r="EB652" s="1"/>
      <c r="EC652" s="1"/>
      <c r="ED652" s="1"/>
      <c r="EE652" s="1"/>
      <c r="EF652" s="1"/>
      <c r="EG652" s="1"/>
      <c r="EH652" s="1"/>
      <c r="EI652" s="1"/>
      <c r="EJ652" s="1"/>
      <c r="EK652" s="1"/>
      <c r="EL652" s="1"/>
      <c r="EM652" s="1"/>
      <c r="EN652" s="1"/>
      <c r="EO652" s="1"/>
      <c r="EP652" s="1"/>
      <c r="EQ652" s="1"/>
      <c r="ER652" s="1"/>
      <c r="ES652" s="1"/>
      <c r="ET652" s="1"/>
      <c r="EU652" s="1"/>
      <c r="EV652" s="1"/>
      <c r="EW652" s="1"/>
      <c r="EX652" s="1"/>
      <c r="EY652" s="1"/>
      <c r="EZ652" s="1"/>
      <c r="FA652" s="1"/>
      <c r="FB652" s="1"/>
      <c r="FC652" s="1"/>
      <c r="FD652" s="1"/>
      <c r="FE652" s="1"/>
      <c r="FF652" s="1"/>
      <c r="FG652" s="1"/>
      <c r="FH652" s="1"/>
      <c r="FI652" s="1"/>
      <c r="FJ652" s="1"/>
      <c r="FK652" s="1"/>
      <c r="FL652" s="1"/>
      <c r="FM652" s="1"/>
      <c r="FN652" s="1"/>
      <c r="FO652" s="1"/>
      <c r="FP652" s="1"/>
      <c r="FQ652" s="1"/>
      <c r="FR652" s="1"/>
      <c r="FS652" s="1"/>
      <c r="FT652" s="1"/>
      <c r="FU652" s="1"/>
      <c r="FV652" s="1"/>
      <c r="FW652" s="1"/>
      <c r="FX652" s="1"/>
      <c r="FY652" s="1"/>
      <c r="FZ652" s="1"/>
      <c r="GA652" s="1"/>
      <c r="GB652" s="1"/>
      <c r="GC652" s="1"/>
      <c r="GD652" s="1"/>
      <c r="GE652" s="1"/>
      <c r="GF652" s="1"/>
      <c r="GG652" s="1"/>
      <c r="GH652" s="1"/>
      <c r="GI652" s="1"/>
      <c r="GJ652" s="1"/>
      <c r="GK652" s="1"/>
      <c r="GL652" s="1"/>
      <c r="GM652" s="1"/>
      <c r="GN652" s="1"/>
      <c r="GO652" s="1"/>
      <c r="GP652" s="1"/>
      <c r="GQ652" s="1"/>
      <c r="GR652" s="1"/>
      <c r="GS652" s="1"/>
      <c r="GT652" s="1"/>
      <c r="GU652" s="1"/>
      <c r="GV652" s="1"/>
      <c r="GW652" s="1"/>
      <c r="GX652" s="1"/>
      <c r="GY652" s="1"/>
      <c r="GZ652" s="1"/>
      <c r="HA652" s="1"/>
      <c r="HB652" s="1"/>
      <c r="HC652" s="1"/>
      <c r="HD652" s="1"/>
      <c r="HE652" s="1"/>
      <c r="HF652" s="1"/>
      <c r="HG652" s="1"/>
      <c r="HH652" s="1"/>
      <c r="HI652" s="1"/>
      <c r="HJ652" s="1"/>
      <c r="HK652" s="1"/>
      <c r="HL652" s="1"/>
      <c r="HM652" s="1"/>
      <c r="HN652" s="1"/>
      <c r="HO652" s="1"/>
      <c r="HP652" s="1"/>
      <c r="HQ652" s="1"/>
      <c r="HR652" s="1"/>
      <c r="HS652" s="1"/>
      <c r="HT652" s="1"/>
      <c r="HU652" s="1"/>
      <c r="HV652" s="1"/>
      <c r="HW652" s="1"/>
      <c r="HX652" s="1"/>
      <c r="HY652" s="1"/>
      <c r="HZ652" s="1"/>
      <c r="IA652" s="1"/>
      <c r="IB652" s="1"/>
      <c r="IC652" s="1"/>
      <c r="ID652" s="1"/>
      <c r="IE652" s="1"/>
      <c r="IF652" s="1"/>
      <c r="IG652" s="1"/>
      <c r="IH652" s="1"/>
      <c r="II652" s="1"/>
      <c r="IJ652" s="1"/>
      <c r="IK652" s="1"/>
      <c r="IL652" s="1"/>
      <c r="IM652" s="1"/>
      <c r="IN652" s="1"/>
      <c r="IO652" s="1"/>
      <c r="IP652" s="1"/>
      <c r="IQ652" s="1"/>
      <c r="IR652" s="1"/>
      <c r="IS652" s="1"/>
      <c r="IT652" s="1"/>
      <c r="IU652" s="1"/>
      <c r="IV652" s="1"/>
      <c r="IW652" s="1"/>
      <c r="IX652" s="1"/>
      <c r="IY652" s="1"/>
      <c r="IZ652" s="1"/>
      <c r="JA652" s="1"/>
      <c r="JB652" s="1"/>
      <c r="JC652" s="1"/>
      <c r="JD652" s="1"/>
    </row>
    <row r="653" spans="1:264" s="411" customFormat="1" x14ac:dyDescent="0.2">
      <c r="A653" s="411" t="s">
        <v>500</v>
      </c>
      <c r="B653" s="423"/>
      <c r="BH653" s="423"/>
      <c r="BI653" s="423"/>
      <c r="BJ653" s="423"/>
      <c r="BK653" s="423"/>
      <c r="BL653" s="423"/>
      <c r="BM653" s="423"/>
      <c r="BN653" s="423"/>
      <c r="BO653" s="423"/>
      <c r="BP653" s="423"/>
      <c r="BT653" s="423"/>
      <c r="BU653" s="498"/>
      <c r="BX653" s="423"/>
      <c r="BY653" s="498"/>
      <c r="CB653" s="397">
        <f t="shared" ref="CB653:CC653" si="653">SUM(CB651:CB652)</f>
        <v>439</v>
      </c>
      <c r="CC653" s="397">
        <f t="shared" si="653"/>
        <v>352</v>
      </c>
      <c r="CD653" s="397">
        <f>+CB653+CC653</f>
        <v>791</v>
      </c>
      <c r="CF653" s="397">
        <f t="shared" ref="CF653:CG653" si="654">SUM(CF651:CF652)</f>
        <v>387</v>
      </c>
      <c r="CG653" s="397">
        <f t="shared" si="654"/>
        <v>299</v>
      </c>
      <c r="CH653" s="397">
        <f>+CF653+CG653</f>
        <v>686</v>
      </c>
      <c r="CJ653" s="397">
        <f>SUM(CJ651:CJ652)</f>
        <v>376</v>
      </c>
      <c r="CK653" s="397">
        <f t="shared" ref="CK653:CL653" si="655">SUM(CK651:CK652)</f>
        <v>404</v>
      </c>
      <c r="CL653" s="397">
        <f t="shared" si="655"/>
        <v>780</v>
      </c>
      <c r="CN653" s="397">
        <f>SUM(CN651:CN652)</f>
        <v>490</v>
      </c>
      <c r="CO653" s="397">
        <f t="shared" ref="CO653:CP653" si="656">SUM(CO651:CO652)</f>
        <v>285</v>
      </c>
      <c r="CP653" s="397">
        <f t="shared" si="656"/>
        <v>775</v>
      </c>
      <c r="CR653" s="397">
        <f>SUM(CR651:CR652)</f>
        <v>312</v>
      </c>
      <c r="CS653" s="397">
        <f t="shared" ref="CS653:CT653" si="657">SUM(CS651:CS652)</f>
        <v>317</v>
      </c>
      <c r="CT653" s="397">
        <f t="shared" si="657"/>
        <v>629</v>
      </c>
      <c r="CU653" s="397"/>
      <c r="CV653" s="397">
        <f>SUM(CV651:CV652)</f>
        <v>220</v>
      </c>
      <c r="CW653" s="397">
        <f t="shared" ref="CW653:CX653" si="658">SUM(CW651:CW652)</f>
        <v>329</v>
      </c>
      <c r="CX653" s="397">
        <f t="shared" si="658"/>
        <v>549</v>
      </c>
      <c r="CZ653" s="397">
        <f>SUM(CZ651:CZ652)</f>
        <v>313</v>
      </c>
      <c r="DA653" s="397">
        <f t="shared" ref="DA653:DB653" si="659">SUM(DA651:DA652)</f>
        <v>257</v>
      </c>
      <c r="DB653" s="397">
        <f t="shared" si="659"/>
        <v>570</v>
      </c>
      <c r="DD653" s="397">
        <f>SUM(DD651:DD652)</f>
        <v>286</v>
      </c>
      <c r="DE653" s="397">
        <f t="shared" ref="DE653:DF653" si="660">SUM(DE651:DE652)</f>
        <v>357</v>
      </c>
      <c r="DF653" s="397">
        <f t="shared" si="660"/>
        <v>643</v>
      </c>
      <c r="DH653" s="397">
        <f>SUM(DH651:DH652)</f>
        <v>359</v>
      </c>
      <c r="DI653" s="397">
        <f>+DI640*DI654</f>
        <v>323.5496</v>
      </c>
      <c r="DJ653" s="397">
        <f>+DH653+DI653</f>
        <v>682.54960000000005</v>
      </c>
      <c r="DL653" s="397">
        <f>+DL640*DL654</f>
        <v>338.62400000000008</v>
      </c>
      <c r="DM653" s="397">
        <f>+DM640*DM654</f>
        <v>332.185788</v>
      </c>
      <c r="DN653" s="397">
        <f>+DL653+DM653</f>
        <v>670.80978800000003</v>
      </c>
      <c r="DP653" s="397">
        <f>+DP640*DP654</f>
        <v>347.46998000000002</v>
      </c>
      <c r="DQ653" s="397">
        <f>+DQ640*DQ654</f>
        <v>341.05965564000002</v>
      </c>
      <c r="DR653" s="397">
        <f>+DP653+DQ653</f>
        <v>688.52963564000004</v>
      </c>
      <c r="DT653" s="451"/>
      <c r="DU653" s="451"/>
      <c r="DV653" s="451"/>
      <c r="DW653" s="451"/>
      <c r="DX653" s="451"/>
      <c r="DY653" s="451"/>
      <c r="DZ653" s="451"/>
      <c r="EA653" s="451"/>
      <c r="EB653" s="451"/>
      <c r="EC653" s="451"/>
      <c r="ED653" s="451"/>
      <c r="EE653" s="451"/>
      <c r="EF653" s="451"/>
      <c r="EG653" s="451"/>
      <c r="EH653" s="451"/>
      <c r="EI653" s="451"/>
      <c r="EJ653" s="451"/>
      <c r="EK653" s="451"/>
      <c r="EL653" s="451"/>
      <c r="EM653" s="451"/>
      <c r="EN653" s="451"/>
      <c r="EO653" s="451"/>
      <c r="EP653" s="451"/>
      <c r="EQ653" s="451"/>
      <c r="ER653" s="451"/>
      <c r="ES653" s="451"/>
      <c r="ET653" s="451"/>
      <c r="EU653" s="451"/>
      <c r="EV653" s="451"/>
      <c r="EW653" s="451"/>
      <c r="EX653" s="451"/>
      <c r="EY653" s="451"/>
      <c r="EZ653" s="451"/>
      <c r="FA653" s="451"/>
      <c r="FB653" s="451"/>
      <c r="FC653" s="451"/>
      <c r="FD653" s="451"/>
      <c r="FE653" s="451"/>
      <c r="FF653" s="451"/>
      <c r="FG653" s="451"/>
      <c r="FH653" s="451"/>
      <c r="FI653" s="451"/>
      <c r="FJ653" s="451"/>
      <c r="FK653" s="451"/>
      <c r="FL653" s="451"/>
      <c r="FM653" s="451"/>
      <c r="FN653" s="451"/>
      <c r="FO653" s="451"/>
      <c r="FP653" s="451"/>
      <c r="FQ653" s="451"/>
      <c r="FR653" s="451"/>
      <c r="FS653" s="451"/>
      <c r="FT653" s="451"/>
      <c r="FU653" s="451"/>
      <c r="FV653" s="451"/>
      <c r="FW653" s="451"/>
      <c r="FX653" s="451"/>
      <c r="FY653" s="451"/>
      <c r="FZ653" s="451"/>
      <c r="GA653" s="451"/>
      <c r="GB653" s="451"/>
      <c r="GC653" s="451"/>
      <c r="GD653" s="451"/>
      <c r="GE653" s="451"/>
      <c r="GF653" s="451"/>
      <c r="GG653" s="451"/>
      <c r="GH653" s="451"/>
      <c r="GI653" s="451"/>
      <c r="GJ653" s="451"/>
      <c r="GK653" s="451"/>
      <c r="GL653" s="451"/>
      <c r="GM653" s="451"/>
      <c r="GN653" s="451"/>
      <c r="GO653" s="451"/>
      <c r="GP653" s="451"/>
      <c r="GQ653" s="451"/>
      <c r="GR653" s="451"/>
      <c r="GS653" s="451"/>
      <c r="GT653" s="451"/>
      <c r="GU653" s="451"/>
      <c r="GV653" s="451"/>
      <c r="GW653" s="451"/>
      <c r="GX653" s="451"/>
      <c r="GY653" s="451"/>
      <c r="GZ653" s="451"/>
      <c r="HA653" s="451"/>
      <c r="HB653" s="451"/>
      <c r="HC653" s="451"/>
      <c r="HD653" s="451"/>
      <c r="HE653" s="451"/>
      <c r="HF653" s="451"/>
      <c r="HG653" s="451"/>
      <c r="HH653" s="451"/>
      <c r="HI653" s="451"/>
      <c r="HJ653" s="451"/>
      <c r="HK653" s="451"/>
      <c r="HL653" s="451"/>
      <c r="HM653" s="451"/>
      <c r="HN653" s="451"/>
      <c r="HO653" s="451"/>
      <c r="HP653" s="451"/>
      <c r="HQ653" s="451"/>
      <c r="HR653" s="451"/>
      <c r="HS653" s="451"/>
      <c r="HT653" s="451"/>
      <c r="HU653" s="451"/>
      <c r="HV653" s="451"/>
      <c r="HW653" s="451"/>
      <c r="HX653" s="451"/>
      <c r="HY653" s="451"/>
      <c r="HZ653" s="451"/>
      <c r="IA653" s="451"/>
      <c r="IB653" s="451"/>
      <c r="IC653" s="451"/>
      <c r="ID653" s="451"/>
      <c r="IE653" s="451"/>
      <c r="IF653" s="451"/>
      <c r="IG653" s="451"/>
      <c r="IH653" s="451"/>
      <c r="II653" s="451"/>
      <c r="IJ653" s="451"/>
      <c r="IK653" s="451"/>
      <c r="IL653" s="451"/>
      <c r="IM653" s="451"/>
      <c r="IN653" s="451"/>
      <c r="IO653" s="451"/>
      <c r="IP653" s="451"/>
      <c r="IQ653" s="451"/>
      <c r="IR653" s="451"/>
      <c r="IS653" s="451"/>
      <c r="IT653" s="451"/>
      <c r="IU653" s="451"/>
      <c r="IV653" s="451"/>
      <c r="IW653" s="451"/>
      <c r="IX653" s="451"/>
      <c r="IY653" s="451"/>
      <c r="IZ653" s="451"/>
      <c r="JA653" s="451"/>
      <c r="JB653" s="451"/>
      <c r="JC653" s="451"/>
      <c r="JD653" s="451"/>
    </row>
    <row r="654" spans="1:264" s="429" customFormat="1" x14ac:dyDescent="0.2">
      <c r="A654" s="477" t="s">
        <v>501</v>
      </c>
      <c r="B654" s="540"/>
      <c r="C654" s="477"/>
      <c r="D654" s="477"/>
      <c r="E654" s="477"/>
      <c r="F654" s="477"/>
      <c r="G654" s="477"/>
      <c r="H654" s="477"/>
      <c r="I654" s="477"/>
      <c r="J654" s="477"/>
      <c r="K654" s="477"/>
      <c r="L654" s="477"/>
      <c r="M654" s="477"/>
      <c r="N654" s="477"/>
      <c r="O654" s="477"/>
      <c r="P654" s="477"/>
      <c r="Q654" s="477"/>
      <c r="R654" s="477"/>
      <c r="S654" s="477"/>
      <c r="T654" s="477"/>
      <c r="U654" s="477"/>
      <c r="V654" s="477"/>
      <c r="W654" s="477"/>
      <c r="X654" s="477"/>
      <c r="Y654" s="477"/>
      <c r="Z654" s="477"/>
      <c r="AA654" s="477"/>
      <c r="AB654" s="477"/>
      <c r="AC654" s="477"/>
      <c r="AD654" s="477"/>
      <c r="AE654" s="477"/>
      <c r="AF654" s="477"/>
      <c r="AG654" s="477"/>
      <c r="AH654" s="477"/>
      <c r="AI654" s="477"/>
      <c r="AJ654" s="477"/>
      <c r="AK654" s="477"/>
      <c r="AL654" s="477"/>
      <c r="AM654" s="477"/>
      <c r="AN654" s="477"/>
      <c r="AO654" s="477"/>
      <c r="AP654" s="477"/>
      <c r="AQ654" s="477"/>
      <c r="AR654" s="477"/>
      <c r="AS654" s="477"/>
      <c r="AT654" s="477"/>
      <c r="AU654" s="477"/>
      <c r="AV654" s="477"/>
      <c r="AW654" s="477"/>
      <c r="AX654" s="477"/>
      <c r="AY654" s="477"/>
      <c r="AZ654" s="477"/>
      <c r="BA654" s="477"/>
      <c r="BB654" s="477"/>
      <c r="BC654" s="477"/>
      <c r="BD654" s="477"/>
      <c r="BE654" s="477"/>
      <c r="BF654" s="477"/>
      <c r="BG654" s="477"/>
      <c r="BH654" s="540"/>
      <c r="BI654" s="540"/>
      <c r="BJ654" s="540"/>
      <c r="BK654" s="540"/>
      <c r="BL654" s="540"/>
      <c r="BM654" s="540"/>
      <c r="BN654" s="540"/>
      <c r="BO654" s="540"/>
      <c r="BP654" s="540"/>
      <c r="BQ654" s="477"/>
      <c r="BR654" s="477"/>
      <c r="BS654" s="477"/>
      <c r="BT654" s="540"/>
      <c r="BU654" s="611"/>
      <c r="BV654" s="477"/>
      <c r="BW654" s="477"/>
      <c r="BX654" s="540"/>
      <c r="BY654" s="611"/>
      <c r="BZ654" s="477"/>
      <c r="CA654" s="477"/>
      <c r="CB654" s="612">
        <f t="shared" ref="CB654:CD654" si="661">CB653/CB640</f>
        <v>0.78956834532374098</v>
      </c>
      <c r="CC654" s="612">
        <f t="shared" si="661"/>
        <v>0.75053304904051177</v>
      </c>
      <c r="CD654" s="612">
        <f t="shared" si="661"/>
        <v>0.77170731707317075</v>
      </c>
      <c r="CE654" s="477"/>
      <c r="CF654" s="612">
        <f>CF653/CF640</f>
        <v>0.89583333333333337</v>
      </c>
      <c r="CG654" s="612">
        <f t="shared" ref="CG654:CH654" si="662">CG653/CG640</f>
        <v>0.7102137767220903</v>
      </c>
      <c r="CH654" s="612">
        <f t="shared" si="662"/>
        <v>0.80422039859320049</v>
      </c>
      <c r="CI654" s="477"/>
      <c r="CJ654" s="612">
        <f>CJ653/CJ640</f>
        <v>0.74015748031496065</v>
      </c>
      <c r="CK654" s="612">
        <f t="shared" ref="CK654:CL654" si="663">CK653/CK640</f>
        <v>0.93518518518518523</v>
      </c>
      <c r="CL654" s="612">
        <f t="shared" si="663"/>
        <v>0.82978723404255317</v>
      </c>
      <c r="CM654" s="477"/>
      <c r="CN654" s="612">
        <f t="shared" ref="CN654:CP654" si="664">CN653/CN640</f>
        <v>0.91588785046728971</v>
      </c>
      <c r="CO654" s="612">
        <f t="shared" si="664"/>
        <v>0.89905362776025233</v>
      </c>
      <c r="CP654" s="612">
        <f t="shared" si="664"/>
        <v>0.90962441314553988</v>
      </c>
      <c r="CQ654" s="477"/>
      <c r="CR654" s="612">
        <f t="shared" ref="CR654:CT654" si="665">CR653/CR640</f>
        <v>0.84782608695652173</v>
      </c>
      <c r="CS654" s="612">
        <f t="shared" si="665"/>
        <v>0.72374429223744297</v>
      </c>
      <c r="CT654" s="612">
        <f t="shared" si="665"/>
        <v>0.78039702233250619</v>
      </c>
      <c r="CU654" s="613"/>
      <c r="CV654" s="612">
        <f t="shared" ref="CV654:CX654" si="666">CV653/CV640</f>
        <v>0.42884990253411304</v>
      </c>
      <c r="CW654" s="612">
        <f t="shared" si="666"/>
        <v>0.56529209621993126</v>
      </c>
      <c r="CX654" s="612">
        <f t="shared" si="666"/>
        <v>0.50136986301369868</v>
      </c>
      <c r="CY654" s="613"/>
      <c r="CZ654" s="612">
        <f t="shared" ref="CZ654:DB654" si="667">CZ653/CZ640</f>
        <v>0.48982785602503914</v>
      </c>
      <c r="DA654" s="612">
        <f t="shared" si="667"/>
        <v>0.47769516728624534</v>
      </c>
      <c r="DB654" s="612">
        <f t="shared" si="667"/>
        <v>0.48428207306711979</v>
      </c>
      <c r="DC654" s="447"/>
      <c r="DD654" s="612">
        <f t="shared" ref="DD654:DF654" si="668">DD653/DD640</f>
        <v>0.55105973025048172</v>
      </c>
      <c r="DE654" s="612">
        <f t="shared" si="668"/>
        <v>0.52500000000000002</v>
      </c>
      <c r="DF654" s="612">
        <f t="shared" si="668"/>
        <v>0.53628023352793996</v>
      </c>
      <c r="DG654" s="447"/>
      <c r="DH654" s="612">
        <f t="shared" ref="DH654" si="669">DH653/DH640</f>
        <v>0.59535655058043113</v>
      </c>
      <c r="DI654" s="614">
        <v>0.55000000000000004</v>
      </c>
      <c r="DJ654" s="612">
        <f t="shared" ref="DJ654" si="670">DJ653/DJ640</f>
        <v>0.57295865259991008</v>
      </c>
      <c r="DK654" s="447"/>
      <c r="DL654" s="614">
        <v>0.55000000000000004</v>
      </c>
      <c r="DM654" s="614">
        <v>0.55000000000000004</v>
      </c>
      <c r="DN654" s="612">
        <f t="shared" ref="DN654" si="671">DN653/DN640</f>
        <v>0.55000000000000004</v>
      </c>
      <c r="DO654" s="447"/>
      <c r="DP654" s="614">
        <v>0.55000000000000004</v>
      </c>
      <c r="DQ654" s="614">
        <v>0.55000000000000004</v>
      </c>
      <c r="DR654" s="612">
        <f t="shared" ref="DR654" si="672">DR653/DR640</f>
        <v>0.55000000000000004</v>
      </c>
      <c r="DS654" s="447"/>
      <c r="DT654" s="457"/>
      <c r="DU654" s="457"/>
      <c r="DV654" s="457"/>
      <c r="DW654" s="457"/>
      <c r="DX654" s="457"/>
      <c r="DY654" s="457"/>
      <c r="DZ654" s="457"/>
      <c r="EA654" s="457"/>
      <c r="EB654" s="457"/>
      <c r="EC654" s="457"/>
      <c r="ED654" s="457"/>
      <c r="EE654" s="457"/>
      <c r="EF654" s="457"/>
      <c r="EG654" s="457"/>
      <c r="EH654" s="457"/>
      <c r="EI654" s="457"/>
      <c r="EJ654" s="457"/>
      <c r="EK654" s="457"/>
      <c r="EL654" s="457"/>
      <c r="EM654" s="457"/>
      <c r="EN654" s="457"/>
      <c r="EO654" s="457"/>
      <c r="EP654" s="457"/>
      <c r="EQ654" s="457"/>
      <c r="ER654" s="457"/>
      <c r="ES654" s="457"/>
      <c r="ET654" s="457"/>
      <c r="EU654" s="457"/>
      <c r="EV654" s="457"/>
      <c r="EW654" s="457"/>
      <c r="EX654" s="457"/>
      <c r="EY654" s="457"/>
      <c r="EZ654" s="457"/>
      <c r="FA654" s="457"/>
      <c r="FB654" s="457"/>
      <c r="FC654" s="457"/>
      <c r="FD654" s="457"/>
      <c r="FE654" s="457"/>
      <c r="FF654" s="457"/>
      <c r="FG654" s="457"/>
      <c r="FH654" s="457"/>
      <c r="FI654" s="457"/>
      <c r="FJ654" s="457"/>
      <c r="FK654" s="457"/>
      <c r="FL654" s="457"/>
      <c r="FM654" s="457"/>
      <c r="FN654" s="457"/>
      <c r="FO654" s="457"/>
      <c r="FP654" s="457"/>
      <c r="FQ654" s="457"/>
      <c r="FR654" s="457"/>
      <c r="FS654" s="457"/>
      <c r="FT654" s="457"/>
      <c r="FU654" s="457"/>
      <c r="FV654" s="457"/>
      <c r="FW654" s="457"/>
      <c r="FX654" s="457"/>
      <c r="FY654" s="457"/>
      <c r="FZ654" s="457"/>
      <c r="GA654" s="457"/>
      <c r="GB654" s="457"/>
      <c r="GC654" s="457"/>
      <c r="GD654" s="457"/>
      <c r="GE654" s="457"/>
      <c r="GF654" s="457"/>
      <c r="GG654" s="457"/>
      <c r="GH654" s="457"/>
      <c r="GI654" s="457"/>
      <c r="GJ654" s="457"/>
      <c r="GK654" s="457"/>
      <c r="GL654" s="457"/>
      <c r="GM654" s="457"/>
      <c r="GN654" s="457"/>
      <c r="GO654" s="457"/>
      <c r="GP654" s="457"/>
      <c r="GQ654" s="457"/>
      <c r="GR654" s="457"/>
      <c r="GS654" s="457"/>
      <c r="GT654" s="457"/>
      <c r="GU654" s="457"/>
      <c r="GV654" s="457"/>
      <c r="GW654" s="457"/>
      <c r="GX654" s="457"/>
      <c r="GY654" s="457"/>
      <c r="GZ654" s="457"/>
      <c r="HA654" s="457"/>
      <c r="HB654" s="457"/>
      <c r="HC654" s="457"/>
      <c r="HD654" s="457"/>
      <c r="HE654" s="457"/>
      <c r="HF654" s="457"/>
      <c r="HG654" s="457"/>
      <c r="HH654" s="457"/>
      <c r="HI654" s="457"/>
      <c r="HJ654" s="457"/>
      <c r="HK654" s="457"/>
      <c r="HL654" s="457"/>
      <c r="HM654" s="457"/>
      <c r="HN654" s="457"/>
      <c r="HO654" s="457"/>
      <c r="HP654" s="457"/>
      <c r="HQ654" s="457"/>
      <c r="HR654" s="457"/>
      <c r="HS654" s="457"/>
      <c r="HT654" s="457"/>
      <c r="HU654" s="457"/>
      <c r="HV654" s="457"/>
      <c r="HW654" s="457"/>
      <c r="HX654" s="457"/>
      <c r="HY654" s="457"/>
      <c r="HZ654" s="457"/>
      <c r="IA654" s="457"/>
      <c r="IB654" s="457"/>
      <c r="IC654" s="457"/>
      <c r="ID654" s="457"/>
      <c r="IE654" s="457"/>
      <c r="IF654" s="457"/>
      <c r="IG654" s="457"/>
      <c r="IH654" s="457"/>
      <c r="II654" s="457"/>
      <c r="IJ654" s="457"/>
      <c r="IK654" s="457"/>
      <c r="IL654" s="457"/>
      <c r="IM654" s="457"/>
      <c r="IN654" s="457"/>
      <c r="IO654" s="457"/>
      <c r="IP654" s="457"/>
      <c r="IQ654" s="457"/>
      <c r="IR654" s="457"/>
      <c r="IS654" s="457"/>
      <c r="IT654" s="457"/>
      <c r="IU654" s="457"/>
      <c r="IV654" s="457"/>
      <c r="IW654" s="457"/>
      <c r="IX654" s="457"/>
      <c r="IY654" s="457"/>
      <c r="IZ654" s="457"/>
      <c r="JA654" s="457"/>
      <c r="JB654" s="457"/>
      <c r="JC654" s="457"/>
      <c r="JD654" s="457"/>
    </row>
    <row r="655" spans="1:264" s="429" customFormat="1" x14ac:dyDescent="0.2">
      <c r="A655" s="477" t="s">
        <v>502</v>
      </c>
      <c r="B655" s="540"/>
      <c r="C655" s="477"/>
      <c r="D655" s="477"/>
      <c r="E655" s="477"/>
      <c r="F655" s="477"/>
      <c r="G655" s="477"/>
      <c r="H655" s="477"/>
      <c r="I655" s="477"/>
      <c r="J655" s="477"/>
      <c r="K655" s="477"/>
      <c r="L655" s="477"/>
      <c r="M655" s="477"/>
      <c r="N655" s="477"/>
      <c r="O655" s="477"/>
      <c r="P655" s="477"/>
      <c r="Q655" s="477"/>
      <c r="R655" s="477"/>
      <c r="S655" s="477"/>
      <c r="T655" s="477"/>
      <c r="U655" s="477"/>
      <c r="V655" s="477"/>
      <c r="W655" s="477"/>
      <c r="X655" s="477"/>
      <c r="Y655" s="477"/>
      <c r="Z655" s="477"/>
      <c r="AA655" s="477"/>
      <c r="AB655" s="477"/>
      <c r="AC655" s="477"/>
      <c r="AD655" s="477"/>
      <c r="AE655" s="477"/>
      <c r="AF655" s="477"/>
      <c r="AG655" s="477"/>
      <c r="AH655" s="477"/>
      <c r="AI655" s="477"/>
      <c r="AJ655" s="477"/>
      <c r="AK655" s="477"/>
      <c r="AL655" s="477"/>
      <c r="AM655" s="477"/>
      <c r="AN655" s="477"/>
      <c r="AO655" s="477"/>
      <c r="AP655" s="477"/>
      <c r="AQ655" s="477"/>
      <c r="AR655" s="477"/>
      <c r="AS655" s="477"/>
      <c r="AT655" s="477"/>
      <c r="AU655" s="477"/>
      <c r="AV655" s="477"/>
      <c r="AW655" s="477"/>
      <c r="AX655" s="477"/>
      <c r="AY655" s="477"/>
      <c r="AZ655" s="477"/>
      <c r="BA655" s="477"/>
      <c r="BB655" s="477"/>
      <c r="BC655" s="477"/>
      <c r="BD655" s="477"/>
      <c r="BE655" s="477"/>
      <c r="BF655" s="477"/>
      <c r="BG655" s="477"/>
      <c r="BH655" s="540"/>
      <c r="BI655" s="540"/>
      <c r="BJ655" s="540"/>
      <c r="BK655" s="540"/>
      <c r="BL655" s="540"/>
      <c r="BM655" s="540"/>
      <c r="BN655" s="540"/>
      <c r="BO655" s="540"/>
      <c r="BP655" s="540"/>
      <c r="BQ655" s="477"/>
      <c r="BR655" s="477"/>
      <c r="BS655" s="477"/>
      <c r="BT655" s="540"/>
      <c r="BU655" s="611"/>
      <c r="BV655" s="477"/>
      <c r="BW655" s="477"/>
      <c r="BX655" s="540"/>
      <c r="BY655" s="611"/>
      <c r="BZ655" s="477"/>
      <c r="CA655" s="477"/>
      <c r="CB655" s="540"/>
      <c r="CC655" s="611"/>
      <c r="CD655" s="477"/>
      <c r="CE655" s="477"/>
      <c r="CF655" s="540"/>
      <c r="CG655" s="611"/>
      <c r="CH655" s="477"/>
      <c r="CI655" s="477"/>
      <c r="CJ655" s="612">
        <f>+CJ652/CJ640</f>
        <v>0.56692913385826771</v>
      </c>
      <c r="CK655" s="612">
        <f t="shared" ref="CK655:CL655" si="673">+CK652/CK640</f>
        <v>0.56481481481481477</v>
      </c>
      <c r="CL655" s="612">
        <f t="shared" si="673"/>
        <v>0.56595744680851068</v>
      </c>
      <c r="CM655" s="477"/>
      <c r="CN655" s="612">
        <f t="shared" ref="CN655:CP655" si="674">+CN652/CN640</f>
        <v>0.61495327102803743</v>
      </c>
      <c r="CO655" s="612">
        <f t="shared" si="674"/>
        <v>0.48580441640378547</v>
      </c>
      <c r="CP655" s="612">
        <f t="shared" si="674"/>
        <v>0.56690140845070425</v>
      </c>
      <c r="CQ655" s="477"/>
      <c r="CR655" s="612">
        <f t="shared" ref="CR655:CT655" si="675">+CR652/CR640</f>
        <v>0.49728260869565216</v>
      </c>
      <c r="CS655" s="612">
        <f t="shared" si="675"/>
        <v>0.4771689497716895</v>
      </c>
      <c r="CT655" s="612">
        <f t="shared" si="675"/>
        <v>0.48635235732009924</v>
      </c>
      <c r="CU655" s="477"/>
      <c r="CV655" s="612">
        <f t="shared" ref="CV655:CX655" si="676">+CV652/CV640</f>
        <v>0.391812865497076</v>
      </c>
      <c r="CW655" s="612">
        <f t="shared" si="676"/>
        <v>0.54295532646048106</v>
      </c>
      <c r="CX655" s="612">
        <f t="shared" si="676"/>
        <v>0.47214611872146117</v>
      </c>
      <c r="CY655" s="477"/>
      <c r="CZ655" s="612">
        <f t="shared" ref="CZ655:DB655" si="677">+CZ652/CZ640</f>
        <v>0.52269170579029733</v>
      </c>
      <c r="DA655" s="612">
        <f t="shared" si="677"/>
        <v>0.5018587360594795</v>
      </c>
      <c r="DB655" s="612">
        <f t="shared" si="677"/>
        <v>0.51316907391673749</v>
      </c>
      <c r="DC655" s="477"/>
      <c r="DD655" s="612">
        <f t="shared" ref="DD655:DF655" si="678">+DD652/DD640</f>
        <v>0.62427745664739887</v>
      </c>
      <c r="DE655" s="612">
        <f t="shared" si="678"/>
        <v>0.70147058823529407</v>
      </c>
      <c r="DF655" s="612">
        <f t="shared" si="678"/>
        <v>0.66805671392827359</v>
      </c>
      <c r="DG655" s="477"/>
      <c r="DH655" s="612">
        <f t="shared" ref="DH655" si="679">+DH652/DH640</f>
        <v>0.78275290215588722</v>
      </c>
      <c r="DI655" s="615">
        <v>0.75</v>
      </c>
      <c r="DJ655" s="612">
        <f t="shared" ref="DJ655" si="680">+DJ652/DJ640</f>
        <v>0.76657891732534633</v>
      </c>
      <c r="DK655" s="477"/>
      <c r="DL655" s="614">
        <f>DI655</f>
        <v>0.75</v>
      </c>
      <c r="DM655" s="614">
        <f>DL655</f>
        <v>0.75</v>
      </c>
      <c r="DN655" s="612">
        <f t="shared" ref="DN655" si="681">+DN652/DN640</f>
        <v>0.75</v>
      </c>
      <c r="DO655" s="477"/>
      <c r="DP655" s="614">
        <f>DM655</f>
        <v>0.75</v>
      </c>
      <c r="DQ655" s="614">
        <f>DP655</f>
        <v>0.75</v>
      </c>
      <c r="DR655" s="612">
        <f t="shared" ref="DR655" si="682">+DR652/DR640</f>
        <v>0.75</v>
      </c>
      <c r="DS655" s="477"/>
      <c r="DT655" s="457"/>
      <c r="DU655" s="457"/>
      <c r="DV655" s="457"/>
      <c r="DW655" s="457"/>
      <c r="DX655" s="457"/>
      <c r="DY655" s="457"/>
      <c r="DZ655" s="457"/>
      <c r="EA655" s="457"/>
      <c r="EB655" s="457"/>
      <c r="EC655" s="457"/>
      <c r="ED655" s="457"/>
      <c r="EE655" s="457"/>
      <c r="EF655" s="457"/>
      <c r="EG655" s="457"/>
      <c r="EH655" s="457"/>
      <c r="EI655" s="457"/>
      <c r="EJ655" s="457"/>
      <c r="EK655" s="457"/>
      <c r="EL655" s="457"/>
      <c r="EM655" s="457"/>
      <c r="EN655" s="457"/>
      <c r="EO655" s="457"/>
      <c r="EP655" s="457"/>
      <c r="EQ655" s="457"/>
      <c r="ER655" s="457"/>
      <c r="ES655" s="457"/>
      <c r="ET655" s="457"/>
      <c r="EU655" s="457"/>
      <c r="EV655" s="457"/>
      <c r="EW655" s="457"/>
      <c r="EX655" s="457"/>
      <c r="EY655" s="457"/>
      <c r="EZ655" s="457"/>
      <c r="FA655" s="457"/>
      <c r="FB655" s="457"/>
      <c r="FC655" s="457"/>
      <c r="FD655" s="457"/>
      <c r="FE655" s="457"/>
      <c r="FF655" s="457"/>
      <c r="FG655" s="457"/>
      <c r="FH655" s="457"/>
      <c r="FI655" s="457"/>
      <c r="FJ655" s="457"/>
      <c r="FK655" s="457"/>
      <c r="FL655" s="457"/>
      <c r="FM655" s="457"/>
      <c r="FN655" s="457"/>
      <c r="FO655" s="457"/>
      <c r="FP655" s="457"/>
      <c r="FQ655" s="457"/>
      <c r="FR655" s="457"/>
      <c r="FS655" s="457"/>
      <c r="FT655" s="457"/>
      <c r="FU655" s="457"/>
      <c r="FV655" s="457"/>
      <c r="FW655" s="457"/>
      <c r="FX655" s="457"/>
      <c r="FY655" s="457"/>
      <c r="FZ655" s="457"/>
      <c r="GA655" s="457"/>
      <c r="GB655" s="457"/>
      <c r="GC655" s="457"/>
      <c r="GD655" s="457"/>
      <c r="GE655" s="457"/>
      <c r="GF655" s="457"/>
      <c r="GG655" s="457"/>
      <c r="GH655" s="457"/>
      <c r="GI655" s="457"/>
      <c r="GJ655" s="457"/>
      <c r="GK655" s="457"/>
      <c r="GL655" s="457"/>
      <c r="GM655" s="457"/>
      <c r="GN655" s="457"/>
      <c r="GO655" s="457"/>
      <c r="GP655" s="457"/>
      <c r="GQ655" s="457"/>
      <c r="GR655" s="457"/>
      <c r="GS655" s="457"/>
      <c r="GT655" s="457"/>
      <c r="GU655" s="457"/>
      <c r="GV655" s="457"/>
      <c r="GW655" s="457"/>
      <c r="GX655" s="457"/>
      <c r="GY655" s="457"/>
      <c r="GZ655" s="457"/>
      <c r="HA655" s="457"/>
      <c r="HB655" s="457"/>
      <c r="HC655" s="457"/>
      <c r="HD655" s="457"/>
      <c r="HE655" s="457"/>
      <c r="HF655" s="457"/>
      <c r="HG655" s="457"/>
      <c r="HH655" s="457"/>
      <c r="HI655" s="457"/>
      <c r="HJ655" s="457"/>
      <c r="HK655" s="457"/>
      <c r="HL655" s="457"/>
      <c r="HM655" s="457"/>
      <c r="HN655" s="457"/>
      <c r="HO655" s="457"/>
      <c r="HP655" s="457"/>
      <c r="HQ655" s="457"/>
      <c r="HR655" s="457"/>
      <c r="HS655" s="457"/>
      <c r="HT655" s="457"/>
      <c r="HU655" s="457"/>
      <c r="HV655" s="457"/>
      <c r="HW655" s="457"/>
      <c r="HX655" s="457"/>
      <c r="HY655" s="457"/>
      <c r="HZ655" s="457"/>
      <c r="IA655" s="457"/>
      <c r="IB655" s="457"/>
      <c r="IC655" s="457"/>
      <c r="ID655" s="457"/>
      <c r="IE655" s="457"/>
      <c r="IF655" s="457"/>
      <c r="IG655" s="457"/>
      <c r="IH655" s="457"/>
      <c r="II655" s="457"/>
      <c r="IJ655" s="457"/>
      <c r="IK655" s="457"/>
      <c r="IL655" s="457"/>
      <c r="IM655" s="457"/>
      <c r="IN655" s="457"/>
      <c r="IO655" s="457"/>
      <c r="IP655" s="457"/>
      <c r="IQ655" s="457"/>
      <c r="IR655" s="457"/>
      <c r="IS655" s="457"/>
      <c r="IT655" s="457"/>
      <c r="IU655" s="457"/>
      <c r="IV655" s="457"/>
      <c r="IW655" s="457"/>
      <c r="IX655" s="457"/>
      <c r="IY655" s="457"/>
      <c r="IZ655" s="457"/>
      <c r="JA655" s="457"/>
      <c r="JB655" s="457"/>
      <c r="JC655" s="457"/>
      <c r="JD655" s="457"/>
    </row>
    <row r="656" spans="1:264" s="411" customFormat="1" x14ac:dyDescent="0.2">
      <c r="B656" s="423"/>
      <c r="BH656" s="423"/>
      <c r="BI656" s="423"/>
      <c r="BJ656" s="423"/>
      <c r="BK656" s="423"/>
      <c r="BL656" s="423"/>
      <c r="BM656" s="423"/>
      <c r="BN656" s="423"/>
      <c r="BO656" s="423"/>
      <c r="BP656" s="423"/>
      <c r="BT656" s="423"/>
      <c r="BU656" s="498"/>
      <c r="BX656" s="423"/>
      <c r="BY656" s="498"/>
      <c r="CB656" s="423"/>
      <c r="CC656" s="498"/>
      <c r="CF656" s="423"/>
      <c r="CG656" s="498"/>
      <c r="CJ656" s="397"/>
      <c r="CK656" s="397"/>
      <c r="CL656" s="397"/>
      <c r="CN656" s="397"/>
      <c r="CO656" s="397"/>
      <c r="CP656" s="397"/>
      <c r="CR656" s="397"/>
      <c r="CS656" s="397"/>
      <c r="CT656" s="397"/>
      <c r="CV656" s="397"/>
      <c r="CW656" s="397"/>
      <c r="CX656" s="397"/>
      <c r="CZ656" s="397"/>
      <c r="DA656" s="397"/>
      <c r="DB656" s="397"/>
      <c r="DD656" s="397"/>
      <c r="DE656" s="397"/>
      <c r="DF656" s="397"/>
      <c r="DH656" s="397"/>
      <c r="DL656" s="423"/>
      <c r="DP656" s="423"/>
      <c r="DT656" s="451"/>
      <c r="DU656" s="451"/>
      <c r="DV656" s="451"/>
      <c r="DW656" s="451"/>
      <c r="DX656" s="451"/>
      <c r="DY656" s="451"/>
      <c r="DZ656" s="451"/>
      <c r="EA656" s="451"/>
      <c r="EB656" s="451"/>
      <c r="EC656" s="451"/>
      <c r="ED656" s="451"/>
      <c r="EE656" s="451"/>
      <c r="EF656" s="451"/>
      <c r="EG656" s="451"/>
      <c r="EH656" s="451"/>
      <c r="EI656" s="451"/>
      <c r="EJ656" s="451"/>
      <c r="EK656" s="451"/>
      <c r="EL656" s="451"/>
      <c r="EM656" s="451"/>
      <c r="EN656" s="451"/>
      <c r="EO656" s="451"/>
      <c r="EP656" s="451"/>
      <c r="EQ656" s="451"/>
      <c r="ER656" s="451"/>
      <c r="ES656" s="451"/>
      <c r="ET656" s="451"/>
      <c r="EU656" s="451"/>
      <c r="EV656" s="451"/>
      <c r="EW656" s="451"/>
      <c r="EX656" s="451"/>
      <c r="EY656" s="451"/>
      <c r="EZ656" s="451"/>
      <c r="FA656" s="451"/>
      <c r="FB656" s="451"/>
      <c r="FC656" s="451"/>
      <c r="FD656" s="451"/>
      <c r="FE656" s="451"/>
      <c r="FF656" s="451"/>
      <c r="FG656" s="451"/>
      <c r="FH656" s="451"/>
      <c r="FI656" s="451"/>
      <c r="FJ656" s="451"/>
      <c r="FK656" s="451"/>
      <c r="FL656" s="451"/>
      <c r="FM656" s="451"/>
      <c r="FN656" s="451"/>
      <c r="FO656" s="451"/>
      <c r="FP656" s="451"/>
      <c r="FQ656" s="451"/>
      <c r="FR656" s="451"/>
      <c r="FS656" s="451"/>
      <c r="FT656" s="451"/>
      <c r="FU656" s="451"/>
      <c r="FV656" s="451"/>
      <c r="FW656" s="451"/>
      <c r="FX656" s="451"/>
      <c r="FY656" s="451"/>
      <c r="FZ656" s="451"/>
      <c r="GA656" s="451"/>
      <c r="GB656" s="451"/>
      <c r="GC656" s="451"/>
      <c r="GD656" s="451"/>
      <c r="GE656" s="451"/>
      <c r="GF656" s="451"/>
      <c r="GG656" s="451"/>
      <c r="GH656" s="451"/>
      <c r="GI656" s="451"/>
      <c r="GJ656" s="451"/>
      <c r="GK656" s="451"/>
      <c r="GL656" s="451"/>
      <c r="GM656" s="451"/>
      <c r="GN656" s="451"/>
      <c r="GO656" s="451"/>
      <c r="GP656" s="451"/>
      <c r="GQ656" s="451"/>
      <c r="GR656" s="451"/>
      <c r="GS656" s="451"/>
      <c r="GT656" s="451"/>
      <c r="GU656" s="451"/>
      <c r="GV656" s="451"/>
      <c r="GW656" s="451"/>
      <c r="GX656" s="451"/>
      <c r="GY656" s="451"/>
      <c r="GZ656" s="451"/>
      <c r="HA656" s="451"/>
      <c r="HB656" s="451"/>
      <c r="HC656" s="451"/>
      <c r="HD656" s="451"/>
      <c r="HE656" s="451"/>
      <c r="HF656" s="451"/>
      <c r="HG656" s="451"/>
      <c r="HH656" s="451"/>
      <c r="HI656" s="451"/>
      <c r="HJ656" s="451"/>
      <c r="HK656" s="451"/>
      <c r="HL656" s="451"/>
      <c r="HM656" s="451"/>
      <c r="HN656" s="451"/>
      <c r="HO656" s="451"/>
      <c r="HP656" s="451"/>
      <c r="HQ656" s="451"/>
      <c r="HR656" s="451"/>
      <c r="HS656" s="451"/>
      <c r="HT656" s="451"/>
      <c r="HU656" s="451"/>
      <c r="HV656" s="451"/>
      <c r="HW656" s="451"/>
      <c r="HX656" s="451"/>
      <c r="HY656" s="451"/>
      <c r="HZ656" s="451"/>
      <c r="IA656" s="451"/>
      <c r="IB656" s="451"/>
      <c r="IC656" s="451"/>
      <c r="ID656" s="451"/>
      <c r="IE656" s="451"/>
      <c r="IF656" s="451"/>
      <c r="IG656" s="451"/>
      <c r="IH656" s="451"/>
      <c r="II656" s="451"/>
      <c r="IJ656" s="451"/>
      <c r="IK656" s="451"/>
      <c r="IL656" s="451"/>
      <c r="IM656" s="451"/>
      <c r="IN656" s="451"/>
      <c r="IO656" s="451"/>
      <c r="IP656" s="451"/>
      <c r="IQ656" s="451"/>
      <c r="IR656" s="451"/>
      <c r="IS656" s="451"/>
      <c r="IT656" s="451"/>
      <c r="IU656" s="451"/>
      <c r="IV656" s="451"/>
      <c r="IW656" s="451"/>
      <c r="IX656" s="451"/>
      <c r="IY656" s="451"/>
      <c r="IZ656" s="451"/>
      <c r="JA656" s="451"/>
      <c r="JB656" s="451"/>
      <c r="JC656" s="451"/>
      <c r="JD656" s="451"/>
    </row>
    <row r="657" spans="1:264" s="347" customFormat="1" x14ac:dyDescent="0.2">
      <c r="A657" s="411" t="s">
        <v>503</v>
      </c>
      <c r="B657" s="348"/>
      <c r="BH657" s="348"/>
      <c r="BI657" s="348"/>
      <c r="BJ657" s="348"/>
      <c r="BK657" s="348"/>
      <c r="BL657" s="348"/>
      <c r="BM657" s="348"/>
      <c r="BN657" s="348"/>
      <c r="BO657" s="348"/>
      <c r="BP657" s="348"/>
      <c r="BT657" s="348"/>
      <c r="BU657" s="400"/>
      <c r="BX657" s="348"/>
      <c r="BY657" s="400"/>
      <c r="CB657" s="348"/>
      <c r="CC657" s="400"/>
      <c r="CF657" s="348"/>
      <c r="CG657" s="348"/>
      <c r="CJ657" s="348"/>
      <c r="CK657" s="348"/>
      <c r="CN657" s="348"/>
      <c r="CO657" s="348"/>
      <c r="CR657" s="348"/>
      <c r="CS657" s="348"/>
      <c r="CV657" s="348"/>
      <c r="CW657" s="348"/>
      <c r="CZ657" s="348"/>
      <c r="DA657" s="348"/>
      <c r="DD657" s="348"/>
      <c r="DE657" s="348"/>
      <c r="DH657" s="348"/>
      <c r="DL657" s="348"/>
      <c r="DP657" s="348"/>
      <c r="DT657" s="1"/>
      <c r="DU657" s="1"/>
      <c r="DV657" s="1"/>
      <c r="DW657" s="1"/>
      <c r="DX657" s="1"/>
      <c r="DY657" s="1"/>
      <c r="DZ657" s="1"/>
      <c r="EA657" s="1"/>
      <c r="EB657" s="1"/>
      <c r="EC657" s="1"/>
      <c r="ED657" s="1"/>
      <c r="EE657" s="1"/>
      <c r="EF657" s="1"/>
      <c r="EG657" s="1"/>
      <c r="EH657" s="1"/>
      <c r="EI657" s="1"/>
      <c r="EJ657" s="1"/>
      <c r="EK657" s="1"/>
      <c r="EL657" s="1"/>
      <c r="EM657" s="1"/>
      <c r="EN657" s="1"/>
      <c r="EO657" s="1"/>
      <c r="EP657" s="1"/>
      <c r="EQ657" s="1"/>
      <c r="ER657" s="1"/>
      <c r="ES657" s="1"/>
      <c r="ET657" s="1"/>
      <c r="EU657" s="1"/>
      <c r="EV657" s="1"/>
      <c r="EW657" s="1"/>
      <c r="EX657" s="1"/>
      <c r="EY657" s="1"/>
      <c r="EZ657" s="1"/>
      <c r="FA657" s="1"/>
      <c r="FB657" s="1"/>
      <c r="FC657" s="1"/>
      <c r="FD657" s="1"/>
      <c r="FE657" s="1"/>
      <c r="FF657" s="1"/>
      <c r="FG657" s="1"/>
      <c r="FH657" s="1"/>
      <c r="FI657" s="1"/>
      <c r="FJ657" s="1"/>
      <c r="FK657" s="1"/>
      <c r="FL657" s="1"/>
      <c r="FM657" s="1"/>
      <c r="FN657" s="1"/>
      <c r="FO657" s="1"/>
      <c r="FP657" s="1"/>
      <c r="FQ657" s="1"/>
      <c r="FR657" s="1"/>
      <c r="FS657" s="1"/>
      <c r="FT657" s="1"/>
      <c r="FU657" s="1"/>
      <c r="FV657" s="1"/>
      <c r="FW657" s="1"/>
      <c r="FX657" s="1"/>
      <c r="FY657" s="1"/>
      <c r="FZ657" s="1"/>
      <c r="GA657" s="1"/>
      <c r="GB657" s="1"/>
      <c r="GC657" s="1"/>
      <c r="GD657" s="1"/>
      <c r="GE657" s="1"/>
      <c r="GF657" s="1"/>
      <c r="GG657" s="1"/>
      <c r="GH657" s="1"/>
      <c r="GI657" s="1"/>
      <c r="GJ657" s="1"/>
      <c r="GK657" s="1"/>
      <c r="GL657" s="1"/>
      <c r="GM657" s="1"/>
      <c r="GN657" s="1"/>
      <c r="GO657" s="1"/>
      <c r="GP657" s="1"/>
      <c r="GQ657" s="1"/>
      <c r="GR657" s="1"/>
      <c r="GS657" s="1"/>
      <c r="GT657" s="1"/>
      <c r="GU657" s="1"/>
      <c r="GV657" s="1"/>
      <c r="GW657" s="1"/>
      <c r="GX657" s="1"/>
      <c r="GY657" s="1"/>
      <c r="GZ657" s="1"/>
      <c r="HA657" s="1"/>
      <c r="HB657" s="1"/>
      <c r="HC657" s="1"/>
      <c r="HD657" s="1"/>
      <c r="HE657" s="1"/>
      <c r="HF657" s="1"/>
      <c r="HG657" s="1"/>
      <c r="HH657" s="1"/>
      <c r="HI657" s="1"/>
      <c r="HJ657" s="1"/>
      <c r="HK657" s="1"/>
      <c r="HL657" s="1"/>
      <c r="HM657" s="1"/>
      <c r="HN657" s="1"/>
      <c r="HO657" s="1"/>
      <c r="HP657" s="1"/>
      <c r="HQ657" s="1"/>
      <c r="HR657" s="1"/>
      <c r="HS657" s="1"/>
      <c r="HT657" s="1"/>
      <c r="HU657" s="1"/>
      <c r="HV657" s="1"/>
      <c r="HW657" s="1"/>
      <c r="HX657" s="1"/>
      <c r="HY657" s="1"/>
      <c r="HZ657" s="1"/>
      <c r="IA657" s="1"/>
      <c r="IB657" s="1"/>
      <c r="IC657" s="1"/>
      <c r="ID657" s="1"/>
      <c r="IE657" s="1"/>
      <c r="IF657" s="1"/>
      <c r="IG657" s="1"/>
      <c r="IH657" s="1"/>
      <c r="II657" s="1"/>
      <c r="IJ657" s="1"/>
      <c r="IK657" s="1"/>
      <c r="IL657" s="1"/>
      <c r="IM657" s="1"/>
      <c r="IN657" s="1"/>
      <c r="IO657" s="1"/>
      <c r="IP657" s="1"/>
      <c r="IQ657" s="1"/>
      <c r="IR657" s="1"/>
      <c r="IS657" s="1"/>
      <c r="IT657" s="1"/>
      <c r="IU657" s="1"/>
      <c r="IV657" s="1"/>
      <c r="IW657" s="1"/>
      <c r="IX657" s="1"/>
      <c r="IY657" s="1"/>
      <c r="IZ657" s="1"/>
      <c r="JA657" s="1"/>
      <c r="JB657" s="1"/>
      <c r="JC657" s="1"/>
      <c r="JD657" s="1"/>
    </row>
    <row r="658" spans="1:264" s="347" customFormat="1" x14ac:dyDescent="0.2">
      <c r="A658" s="447" t="s">
        <v>504</v>
      </c>
      <c r="B658" s="446"/>
      <c r="C658" s="447"/>
      <c r="D658" s="447"/>
      <c r="E658" s="447"/>
      <c r="F658" s="447"/>
      <c r="G658" s="447"/>
      <c r="H658" s="447"/>
      <c r="I658" s="447"/>
      <c r="J658" s="447"/>
      <c r="K658" s="447"/>
      <c r="L658" s="447"/>
      <c r="M658" s="447"/>
      <c r="N658" s="447"/>
      <c r="O658" s="447"/>
      <c r="P658" s="447"/>
      <c r="Q658" s="447"/>
      <c r="R658" s="447"/>
      <c r="S658" s="447"/>
      <c r="T658" s="447"/>
      <c r="U658" s="447"/>
      <c r="V658" s="447"/>
      <c r="W658" s="447"/>
      <c r="X658" s="447"/>
      <c r="Y658" s="447"/>
      <c r="Z658" s="447"/>
      <c r="AA658" s="447"/>
      <c r="AB658" s="447"/>
      <c r="AC658" s="447"/>
      <c r="AD658" s="447"/>
      <c r="AE658" s="447"/>
      <c r="AF658" s="447"/>
      <c r="AG658" s="447"/>
      <c r="AH658" s="447"/>
      <c r="AI658" s="447"/>
      <c r="AJ658" s="447"/>
      <c r="AK658" s="447"/>
      <c r="AL658" s="447"/>
      <c r="AM658" s="447"/>
      <c r="AN658" s="447"/>
      <c r="AO658" s="447"/>
      <c r="AP658" s="447"/>
      <c r="AQ658" s="447"/>
      <c r="AR658" s="447"/>
      <c r="AS658" s="447"/>
      <c r="AT658" s="447"/>
      <c r="AU658" s="447"/>
      <c r="AV658" s="447"/>
      <c r="AW658" s="447"/>
      <c r="AX658" s="447"/>
      <c r="AY658" s="447"/>
      <c r="AZ658" s="447"/>
      <c r="BA658" s="447"/>
      <c r="BB658" s="447"/>
      <c r="BC658" s="447"/>
      <c r="BD658" s="447"/>
      <c r="BE658" s="447"/>
      <c r="BF658" s="447"/>
      <c r="BG658" s="447"/>
      <c r="BH658" s="446"/>
      <c r="BI658" s="446"/>
      <c r="BJ658" s="446"/>
      <c r="BK658" s="446"/>
      <c r="BL658" s="446"/>
      <c r="BM658" s="446"/>
      <c r="BN658" s="446"/>
      <c r="BO658" s="446"/>
      <c r="BP658" s="450">
        <v>-2</v>
      </c>
      <c r="BQ658" s="450">
        <v>-6</v>
      </c>
      <c r="BR658" s="449">
        <f>+BP658+BQ658</f>
        <v>-8</v>
      </c>
      <c r="BS658" s="603"/>
      <c r="BT658" s="450">
        <v>-6</v>
      </c>
      <c r="BU658" s="450">
        <v>-15</v>
      </c>
      <c r="BV658" s="449">
        <f>+BT658+BU658</f>
        <v>-21</v>
      </c>
      <c r="BW658" s="603"/>
      <c r="BX658" s="450">
        <v>7</v>
      </c>
      <c r="BY658" s="450">
        <v>-1</v>
      </c>
      <c r="BZ658" s="449">
        <f>+BX658+BY658</f>
        <v>6</v>
      </c>
      <c r="CA658" s="447"/>
      <c r="CB658" s="450">
        <v>-2</v>
      </c>
      <c r="CC658" s="450">
        <v>-15</v>
      </c>
      <c r="CD658" s="449">
        <f>+CB658+CC658</f>
        <v>-17</v>
      </c>
      <c r="CE658" s="447"/>
      <c r="CF658" s="450">
        <v>-4</v>
      </c>
      <c r="CG658" s="450">
        <v>-5</v>
      </c>
      <c r="CH658" s="449">
        <f>+CF658+CG658</f>
        <v>-9</v>
      </c>
      <c r="CI658" s="447"/>
      <c r="CJ658" s="450">
        <v>18</v>
      </c>
      <c r="CK658" s="450">
        <v>14</v>
      </c>
      <c r="CL658" s="449">
        <f>+CJ658+CK658</f>
        <v>32</v>
      </c>
      <c r="CM658" s="447"/>
      <c r="CN658" s="450">
        <v>0</v>
      </c>
      <c r="CO658" s="450">
        <v>-4</v>
      </c>
      <c r="CP658" s="449">
        <f>+CN658+CO658</f>
        <v>-4</v>
      </c>
      <c r="CQ658" s="447"/>
      <c r="CR658" s="450">
        <v>0</v>
      </c>
      <c r="CS658" s="450">
        <v>0</v>
      </c>
      <c r="CT658" s="449">
        <f>+CR658+CS658</f>
        <v>0</v>
      </c>
      <c r="CU658" s="447"/>
      <c r="CV658" s="450">
        <v>0</v>
      </c>
      <c r="CW658" s="450">
        <v>0</v>
      </c>
      <c r="CX658" s="449">
        <f>+CV658+CW658</f>
        <v>0</v>
      </c>
      <c r="CY658" s="447"/>
      <c r="CZ658" s="450">
        <v>0</v>
      </c>
      <c r="DA658" s="450">
        <v>-50</v>
      </c>
      <c r="DB658" s="449">
        <f>+CZ658+DA658</f>
        <v>-50</v>
      </c>
      <c r="DC658" s="447"/>
      <c r="DD658" s="450">
        <v>-5</v>
      </c>
      <c r="DE658" s="450">
        <v>-66</v>
      </c>
      <c r="DF658" s="449">
        <f>+DD658+DE658</f>
        <v>-71</v>
      </c>
      <c r="DG658" s="447"/>
      <c r="DH658" s="450">
        <v>0</v>
      </c>
      <c r="DI658" s="606">
        <v>0</v>
      </c>
      <c r="DJ658" s="449">
        <f>+DH658+DI658</f>
        <v>0</v>
      </c>
      <c r="DK658" s="447"/>
      <c r="DL658" s="606">
        <v>0</v>
      </c>
      <c r="DM658" s="606">
        <v>0</v>
      </c>
      <c r="DN658" s="449">
        <f>+DL658+DM658</f>
        <v>0</v>
      </c>
      <c r="DO658" s="447"/>
      <c r="DP658" s="606">
        <v>0</v>
      </c>
      <c r="DQ658" s="606">
        <v>0</v>
      </c>
      <c r="DR658" s="449">
        <f>+DP658+DQ658</f>
        <v>0</v>
      </c>
      <c r="DS658" s="447"/>
      <c r="DT658" s="1"/>
      <c r="DU658" s="1"/>
      <c r="DV658" s="1"/>
      <c r="DW658" s="1"/>
      <c r="DX658" s="1"/>
      <c r="DY658" s="1"/>
      <c r="DZ658" s="1"/>
      <c r="EA658" s="1"/>
      <c r="EB658" s="1"/>
      <c r="EC658" s="1"/>
      <c r="ED658" s="1"/>
      <c r="EE658" s="1"/>
      <c r="EF658" s="1"/>
      <c r="EG658" s="1"/>
      <c r="EH658" s="1"/>
      <c r="EI658" s="1"/>
      <c r="EJ658" s="1"/>
      <c r="EK658" s="1"/>
      <c r="EL658" s="1"/>
      <c r="EM658" s="1"/>
      <c r="EN658" s="1"/>
      <c r="EO658" s="1"/>
      <c r="EP658" s="1"/>
      <c r="EQ658" s="1"/>
      <c r="ER658" s="1"/>
      <c r="ES658" s="1"/>
      <c r="ET658" s="1"/>
      <c r="EU658" s="1"/>
      <c r="EV658" s="1"/>
      <c r="EW658" s="1"/>
      <c r="EX658" s="1"/>
      <c r="EY658" s="1"/>
      <c r="EZ658" s="1"/>
      <c r="FA658" s="1"/>
      <c r="FB658" s="1"/>
      <c r="FC658" s="1"/>
      <c r="FD658" s="1"/>
      <c r="FE658" s="1"/>
      <c r="FF658" s="1"/>
      <c r="FG658" s="1"/>
      <c r="FH658" s="1"/>
      <c r="FI658" s="1"/>
      <c r="FJ658" s="1"/>
      <c r="FK658" s="1"/>
      <c r="FL658" s="1"/>
      <c r="FM658" s="1"/>
      <c r="FN658" s="1"/>
      <c r="FO658" s="1"/>
      <c r="FP658" s="1"/>
      <c r="FQ658" s="1"/>
      <c r="FR658" s="1"/>
      <c r="FS658" s="1"/>
      <c r="FT658" s="1"/>
      <c r="FU658" s="1"/>
      <c r="FV658" s="1"/>
      <c r="FW658" s="1"/>
      <c r="FX658" s="1"/>
      <c r="FY658" s="1"/>
      <c r="FZ658" s="1"/>
      <c r="GA658" s="1"/>
      <c r="GB658" s="1"/>
      <c r="GC658" s="1"/>
      <c r="GD658" s="1"/>
      <c r="GE658" s="1"/>
      <c r="GF658" s="1"/>
      <c r="GG658" s="1"/>
      <c r="GH658" s="1"/>
      <c r="GI658" s="1"/>
      <c r="GJ658" s="1"/>
      <c r="GK658" s="1"/>
      <c r="GL658" s="1"/>
      <c r="GM658" s="1"/>
      <c r="GN658" s="1"/>
      <c r="GO658" s="1"/>
      <c r="GP658" s="1"/>
      <c r="GQ658" s="1"/>
      <c r="GR658" s="1"/>
      <c r="GS658" s="1"/>
      <c r="GT658" s="1"/>
      <c r="GU658" s="1"/>
      <c r="GV658" s="1"/>
      <c r="GW658" s="1"/>
      <c r="GX658" s="1"/>
      <c r="GY658" s="1"/>
      <c r="GZ658" s="1"/>
      <c r="HA658" s="1"/>
      <c r="HB658" s="1"/>
      <c r="HC658" s="1"/>
      <c r="HD658" s="1"/>
      <c r="HE658" s="1"/>
      <c r="HF658" s="1"/>
      <c r="HG658" s="1"/>
      <c r="HH658" s="1"/>
      <c r="HI658" s="1"/>
      <c r="HJ658" s="1"/>
      <c r="HK658" s="1"/>
      <c r="HL658" s="1"/>
      <c r="HM658" s="1"/>
      <c r="HN658" s="1"/>
      <c r="HO658" s="1"/>
      <c r="HP658" s="1"/>
      <c r="HQ658" s="1"/>
      <c r="HR658" s="1"/>
      <c r="HS658" s="1"/>
      <c r="HT658" s="1"/>
      <c r="HU658" s="1"/>
      <c r="HV658" s="1"/>
      <c r="HW658" s="1"/>
      <c r="HX658" s="1"/>
      <c r="HY658" s="1"/>
      <c r="HZ658" s="1"/>
      <c r="IA658" s="1"/>
      <c r="IB658" s="1"/>
      <c r="IC658" s="1"/>
      <c r="ID658" s="1"/>
      <c r="IE658" s="1"/>
      <c r="IF658" s="1"/>
      <c r="IG658" s="1"/>
      <c r="IH658" s="1"/>
      <c r="II658" s="1"/>
      <c r="IJ658" s="1"/>
      <c r="IK658" s="1"/>
      <c r="IL658" s="1"/>
      <c r="IM658" s="1"/>
      <c r="IN658" s="1"/>
      <c r="IO658" s="1"/>
      <c r="IP658" s="1"/>
      <c r="IQ658" s="1"/>
      <c r="IR658" s="1"/>
      <c r="IS658" s="1"/>
      <c r="IT658" s="1"/>
      <c r="IU658" s="1"/>
      <c r="IV658" s="1"/>
      <c r="IW658" s="1"/>
      <c r="IX658" s="1"/>
      <c r="IY658" s="1"/>
      <c r="IZ658" s="1"/>
      <c r="JA658" s="1"/>
      <c r="JB658" s="1"/>
      <c r="JC658" s="1"/>
      <c r="JD658" s="1"/>
    </row>
    <row r="659" spans="1:264" s="347" customFormat="1" x14ac:dyDescent="0.2">
      <c r="A659" s="447" t="s">
        <v>505</v>
      </c>
      <c r="B659" s="446"/>
      <c r="C659" s="447"/>
      <c r="D659" s="447"/>
      <c r="E659" s="447"/>
      <c r="F659" s="447"/>
      <c r="G659" s="447"/>
      <c r="H659" s="447"/>
      <c r="I659" s="447"/>
      <c r="J659" s="447"/>
      <c r="K659" s="447"/>
      <c r="L659" s="447"/>
      <c r="M659" s="447"/>
      <c r="N659" s="447"/>
      <c r="O659" s="447"/>
      <c r="P659" s="447"/>
      <c r="Q659" s="447"/>
      <c r="R659" s="447"/>
      <c r="S659" s="447"/>
      <c r="T659" s="447"/>
      <c r="U659" s="447"/>
      <c r="V659" s="447"/>
      <c r="W659" s="447"/>
      <c r="X659" s="447"/>
      <c r="Y659" s="447"/>
      <c r="Z659" s="447"/>
      <c r="AA659" s="447"/>
      <c r="AB659" s="447"/>
      <c r="AC659" s="447"/>
      <c r="AD659" s="447"/>
      <c r="AE659" s="447"/>
      <c r="AF659" s="447"/>
      <c r="AG659" s="447"/>
      <c r="AH659" s="447"/>
      <c r="AI659" s="447"/>
      <c r="AJ659" s="447"/>
      <c r="AK659" s="447"/>
      <c r="AL659" s="447"/>
      <c r="AM659" s="447"/>
      <c r="AN659" s="447"/>
      <c r="AO659" s="447"/>
      <c r="AP659" s="447"/>
      <c r="AQ659" s="447"/>
      <c r="AR659" s="447"/>
      <c r="AS659" s="447"/>
      <c r="AT659" s="447"/>
      <c r="AU659" s="447"/>
      <c r="AV659" s="447"/>
      <c r="AW659" s="447"/>
      <c r="AX659" s="447"/>
      <c r="AY659" s="447"/>
      <c r="AZ659" s="447"/>
      <c r="BA659" s="447"/>
      <c r="BB659" s="447"/>
      <c r="BC659" s="447"/>
      <c r="BD659" s="447"/>
      <c r="BE659" s="447"/>
      <c r="BF659" s="447"/>
      <c r="BG659" s="447"/>
      <c r="BH659" s="446"/>
      <c r="BI659" s="446"/>
      <c r="BJ659" s="446"/>
      <c r="BK659" s="446"/>
      <c r="BL659" s="446"/>
      <c r="BM659" s="446"/>
      <c r="BN659" s="446"/>
      <c r="BO659" s="446"/>
      <c r="BP659" s="450">
        <v>0</v>
      </c>
      <c r="BQ659" s="450">
        <v>0</v>
      </c>
      <c r="BR659" s="449">
        <f>+BP659+BQ659</f>
        <v>0</v>
      </c>
      <c r="BS659" s="603"/>
      <c r="BT659" s="450">
        <v>0</v>
      </c>
      <c r="BU659" s="450">
        <v>0</v>
      </c>
      <c r="BV659" s="449">
        <f>+BT659+BU659</f>
        <v>0</v>
      </c>
      <c r="BW659" s="603"/>
      <c r="BX659" s="450">
        <v>0</v>
      </c>
      <c r="BY659" s="450">
        <v>0</v>
      </c>
      <c r="BZ659" s="449">
        <f>+BX659+BY659</f>
        <v>0</v>
      </c>
      <c r="CA659" s="447"/>
      <c r="CB659" s="450">
        <v>0</v>
      </c>
      <c r="CC659" s="450">
        <v>0</v>
      </c>
      <c r="CD659" s="449">
        <f>+CB659+CC659</f>
        <v>0</v>
      </c>
      <c r="CE659" s="447"/>
      <c r="CF659" s="450">
        <v>0</v>
      </c>
      <c r="CG659" s="450">
        <v>0</v>
      </c>
      <c r="CH659" s="449">
        <f>+CF659+CG659</f>
        <v>0</v>
      </c>
      <c r="CI659" s="447"/>
      <c r="CJ659" s="450">
        <v>0</v>
      </c>
      <c r="CK659" s="450">
        <v>0</v>
      </c>
      <c r="CL659" s="449">
        <f>+CJ659+CK659</f>
        <v>0</v>
      </c>
      <c r="CM659" s="447"/>
      <c r="CN659" s="450">
        <v>0</v>
      </c>
      <c r="CO659" s="450">
        <v>0</v>
      </c>
      <c r="CP659" s="449">
        <f>+CN659+CO659</f>
        <v>0</v>
      </c>
      <c r="CQ659" s="447"/>
      <c r="CR659" s="450">
        <v>0</v>
      </c>
      <c r="CS659" s="450">
        <v>516</v>
      </c>
      <c r="CT659" s="449">
        <f>+CR659+CS659</f>
        <v>516</v>
      </c>
      <c r="CU659" s="447"/>
      <c r="CV659" s="450">
        <v>0</v>
      </c>
      <c r="CW659" s="450">
        <v>0</v>
      </c>
      <c r="CX659" s="449">
        <f>+CV659+CW659</f>
        <v>0</v>
      </c>
      <c r="CY659" s="447"/>
      <c r="CZ659" s="450">
        <v>0</v>
      </c>
      <c r="DA659" s="450">
        <v>0</v>
      </c>
      <c r="DB659" s="449">
        <f>+CZ659+DA659</f>
        <v>0</v>
      </c>
      <c r="DC659" s="447"/>
      <c r="DD659" s="450">
        <v>0</v>
      </c>
      <c r="DE659" s="450">
        <v>0</v>
      </c>
      <c r="DF659" s="449">
        <f>+DD659+DE659</f>
        <v>0</v>
      </c>
      <c r="DG659" s="447"/>
      <c r="DH659" s="450">
        <v>0</v>
      </c>
      <c r="DI659" s="606">
        <v>0</v>
      </c>
      <c r="DJ659" s="449">
        <f>+DH659+DI659</f>
        <v>0</v>
      </c>
      <c r="DK659" s="447"/>
      <c r="DL659" s="606">
        <v>0</v>
      </c>
      <c r="DM659" s="606">
        <v>0</v>
      </c>
      <c r="DN659" s="449">
        <f>+DL659+DM659</f>
        <v>0</v>
      </c>
      <c r="DO659" s="447"/>
      <c r="DP659" s="606">
        <v>0</v>
      </c>
      <c r="DQ659" s="606">
        <v>0</v>
      </c>
      <c r="DR659" s="449">
        <f>+DP659+DQ659</f>
        <v>0</v>
      </c>
      <c r="DS659" s="447"/>
      <c r="DT659" s="1"/>
      <c r="DU659" s="1"/>
      <c r="DV659" s="1"/>
      <c r="DW659" s="1"/>
      <c r="DX659" s="1"/>
      <c r="DY659" s="1"/>
      <c r="DZ659" s="1"/>
      <c r="EA659" s="1"/>
      <c r="EB659" s="1"/>
      <c r="EC659" s="1"/>
      <c r="ED659" s="1"/>
      <c r="EE659" s="1"/>
      <c r="EF659" s="1"/>
      <c r="EG659" s="1"/>
      <c r="EH659" s="1"/>
      <c r="EI659" s="1"/>
      <c r="EJ659" s="1"/>
      <c r="EK659" s="1"/>
      <c r="EL659" s="1"/>
      <c r="EM659" s="1"/>
      <c r="EN659" s="1"/>
      <c r="EO659" s="1"/>
      <c r="EP659" s="1"/>
      <c r="EQ659" s="1"/>
      <c r="ER659" s="1"/>
      <c r="ES659" s="1"/>
      <c r="ET659" s="1"/>
      <c r="EU659" s="1"/>
      <c r="EV659" s="1"/>
      <c r="EW659" s="1"/>
      <c r="EX659" s="1"/>
      <c r="EY659" s="1"/>
      <c r="EZ659" s="1"/>
      <c r="FA659" s="1"/>
      <c r="FB659" s="1"/>
      <c r="FC659" s="1"/>
      <c r="FD659" s="1"/>
      <c r="FE659" s="1"/>
      <c r="FF659" s="1"/>
      <c r="FG659" s="1"/>
      <c r="FH659" s="1"/>
      <c r="FI659" s="1"/>
      <c r="FJ659" s="1"/>
      <c r="FK659" s="1"/>
      <c r="FL659" s="1"/>
      <c r="FM659" s="1"/>
      <c r="FN659" s="1"/>
      <c r="FO659" s="1"/>
      <c r="FP659" s="1"/>
      <c r="FQ659" s="1"/>
      <c r="FR659" s="1"/>
      <c r="FS659" s="1"/>
      <c r="FT659" s="1"/>
      <c r="FU659" s="1"/>
      <c r="FV659" s="1"/>
      <c r="FW659" s="1"/>
      <c r="FX659" s="1"/>
      <c r="FY659" s="1"/>
      <c r="FZ659" s="1"/>
      <c r="GA659" s="1"/>
      <c r="GB659" s="1"/>
      <c r="GC659" s="1"/>
      <c r="GD659" s="1"/>
      <c r="GE659" s="1"/>
      <c r="GF659" s="1"/>
      <c r="GG659" s="1"/>
      <c r="GH659" s="1"/>
      <c r="GI659" s="1"/>
      <c r="GJ659" s="1"/>
      <c r="GK659" s="1"/>
      <c r="GL659" s="1"/>
      <c r="GM659" s="1"/>
      <c r="GN659" s="1"/>
      <c r="GO659" s="1"/>
      <c r="GP659" s="1"/>
      <c r="GQ659" s="1"/>
      <c r="GR659" s="1"/>
      <c r="GS659" s="1"/>
      <c r="GT659" s="1"/>
      <c r="GU659" s="1"/>
      <c r="GV659" s="1"/>
      <c r="GW659" s="1"/>
      <c r="GX659" s="1"/>
      <c r="GY659" s="1"/>
      <c r="GZ659" s="1"/>
      <c r="HA659" s="1"/>
      <c r="HB659" s="1"/>
      <c r="HC659" s="1"/>
      <c r="HD659" s="1"/>
      <c r="HE659" s="1"/>
      <c r="HF659" s="1"/>
      <c r="HG659" s="1"/>
      <c r="HH659" s="1"/>
      <c r="HI659" s="1"/>
      <c r="HJ659" s="1"/>
      <c r="HK659" s="1"/>
      <c r="HL659" s="1"/>
      <c r="HM659" s="1"/>
      <c r="HN659" s="1"/>
      <c r="HO659" s="1"/>
      <c r="HP659" s="1"/>
      <c r="HQ659" s="1"/>
      <c r="HR659" s="1"/>
      <c r="HS659" s="1"/>
      <c r="HT659" s="1"/>
      <c r="HU659" s="1"/>
      <c r="HV659" s="1"/>
      <c r="HW659" s="1"/>
      <c r="HX659" s="1"/>
      <c r="HY659" s="1"/>
      <c r="HZ659" s="1"/>
      <c r="IA659" s="1"/>
      <c r="IB659" s="1"/>
      <c r="IC659" s="1"/>
      <c r="ID659" s="1"/>
      <c r="IE659" s="1"/>
      <c r="IF659" s="1"/>
      <c r="IG659" s="1"/>
      <c r="IH659" s="1"/>
      <c r="II659" s="1"/>
      <c r="IJ659" s="1"/>
      <c r="IK659" s="1"/>
      <c r="IL659" s="1"/>
      <c r="IM659" s="1"/>
      <c r="IN659" s="1"/>
      <c r="IO659" s="1"/>
      <c r="IP659" s="1"/>
      <c r="IQ659" s="1"/>
      <c r="IR659" s="1"/>
      <c r="IS659" s="1"/>
      <c r="IT659" s="1"/>
      <c r="IU659" s="1"/>
      <c r="IV659" s="1"/>
      <c r="IW659" s="1"/>
      <c r="IX659" s="1"/>
      <c r="IY659" s="1"/>
      <c r="IZ659" s="1"/>
      <c r="JA659" s="1"/>
      <c r="JB659" s="1"/>
      <c r="JC659" s="1"/>
      <c r="JD659" s="1"/>
    </row>
    <row r="660" spans="1:264" s="347" customFormat="1" x14ac:dyDescent="0.2">
      <c r="A660" s="447" t="s">
        <v>506</v>
      </c>
      <c r="B660" s="446"/>
      <c r="C660" s="447"/>
      <c r="D660" s="447"/>
      <c r="E660" s="447"/>
      <c r="F660" s="447"/>
      <c r="G660" s="447"/>
      <c r="H660" s="447"/>
      <c r="I660" s="447"/>
      <c r="J660" s="447"/>
      <c r="K660" s="447"/>
      <c r="L660" s="447"/>
      <c r="M660" s="447"/>
      <c r="N660" s="447"/>
      <c r="O660" s="447"/>
      <c r="P660" s="447"/>
      <c r="Q660" s="447"/>
      <c r="R660" s="447"/>
      <c r="S660" s="447"/>
      <c r="T660" s="447"/>
      <c r="U660" s="447"/>
      <c r="V660" s="447"/>
      <c r="W660" s="447"/>
      <c r="X660" s="447"/>
      <c r="Y660" s="447"/>
      <c r="Z660" s="447"/>
      <c r="AA660" s="447"/>
      <c r="AB660" s="447"/>
      <c r="AC660" s="447"/>
      <c r="AD660" s="447"/>
      <c r="AE660" s="447"/>
      <c r="AF660" s="447"/>
      <c r="AG660" s="447"/>
      <c r="AH660" s="447"/>
      <c r="AI660" s="447"/>
      <c r="AJ660" s="447"/>
      <c r="AK660" s="447"/>
      <c r="AL660" s="447"/>
      <c r="AM660" s="447"/>
      <c r="AN660" s="447"/>
      <c r="AO660" s="447"/>
      <c r="AP660" s="447"/>
      <c r="AQ660" s="447"/>
      <c r="AR660" s="447"/>
      <c r="AS660" s="447"/>
      <c r="AT660" s="447"/>
      <c r="AU660" s="447"/>
      <c r="AV660" s="447"/>
      <c r="AW660" s="447"/>
      <c r="AX660" s="447"/>
      <c r="AY660" s="447"/>
      <c r="AZ660" s="447"/>
      <c r="BA660" s="447"/>
      <c r="BB660" s="447"/>
      <c r="BC660" s="447"/>
      <c r="BD660" s="447"/>
      <c r="BE660" s="447"/>
      <c r="BF660" s="447"/>
      <c r="BG660" s="447"/>
      <c r="BH660" s="446"/>
      <c r="BI660" s="446"/>
      <c r="BJ660" s="446"/>
      <c r="BK660" s="446"/>
      <c r="BL660" s="446"/>
      <c r="BM660" s="446"/>
      <c r="BN660" s="446"/>
      <c r="BO660" s="446"/>
      <c r="BP660" s="450">
        <v>104</v>
      </c>
      <c r="BQ660" s="450">
        <v>181</v>
      </c>
      <c r="BR660" s="449">
        <f>+BP660+BQ660</f>
        <v>285</v>
      </c>
      <c r="BS660" s="603"/>
      <c r="BT660" s="450">
        <v>145</v>
      </c>
      <c r="BU660" s="450">
        <v>144</v>
      </c>
      <c r="BV660" s="449">
        <f>+BT660+BU660</f>
        <v>289</v>
      </c>
      <c r="BW660" s="603"/>
      <c r="BX660" s="450">
        <v>154</v>
      </c>
      <c r="BY660" s="616">
        <f>BZ660-BX660</f>
        <v>119</v>
      </c>
      <c r="BZ660" s="450">
        <f>273</f>
        <v>273</v>
      </c>
      <c r="CA660" s="447"/>
      <c r="CB660" s="450">
        <v>182</v>
      </c>
      <c r="CC660" s="450">
        <v>135</v>
      </c>
      <c r="CD660" s="449">
        <f>+CB660+CC660</f>
        <v>317</v>
      </c>
      <c r="CE660" s="447"/>
      <c r="CF660" s="450">
        <v>178</v>
      </c>
      <c r="CG660" s="450">
        <v>118</v>
      </c>
      <c r="CH660" s="449">
        <f>+CF660+CG660</f>
        <v>296</v>
      </c>
      <c r="CI660" s="447"/>
      <c r="CJ660" s="450">
        <v>96</v>
      </c>
      <c r="CK660" s="450">
        <v>74</v>
      </c>
      <c r="CL660" s="449">
        <f>+CJ660+CK660</f>
        <v>170</v>
      </c>
      <c r="CM660" s="447"/>
      <c r="CN660" s="450">
        <v>131</v>
      </c>
      <c r="CO660" s="450">
        <v>468</v>
      </c>
      <c r="CP660" s="449">
        <f>+CN660+CO660</f>
        <v>599</v>
      </c>
      <c r="CQ660" s="447"/>
      <c r="CR660" s="450">
        <v>259</v>
      </c>
      <c r="CS660" s="450">
        <f>753-516</f>
        <v>237</v>
      </c>
      <c r="CT660" s="449">
        <f>+CR660+CS660</f>
        <v>496</v>
      </c>
      <c r="CU660" s="447"/>
      <c r="CV660" s="450">
        <v>-15</v>
      </c>
      <c r="CW660" s="450">
        <v>-4</v>
      </c>
      <c r="CX660" s="449">
        <f>+CV660+CW660</f>
        <v>-19</v>
      </c>
      <c r="CY660" s="447"/>
      <c r="CZ660" s="450">
        <v>-42</v>
      </c>
      <c r="DA660" s="450">
        <v>-53</v>
      </c>
      <c r="DB660" s="449">
        <f>+CZ660+DA660</f>
        <v>-95</v>
      </c>
      <c r="DC660" s="447"/>
      <c r="DD660" s="450">
        <v>-30</v>
      </c>
      <c r="DE660" s="450">
        <f>-115+222</f>
        <v>107</v>
      </c>
      <c r="DF660" s="449">
        <f>+DD660+DE660</f>
        <v>77</v>
      </c>
      <c r="DG660" s="447"/>
      <c r="DH660" s="450">
        <v>42</v>
      </c>
      <c r="DI660" s="606">
        <f>+DH660*1.02</f>
        <v>42.84</v>
      </c>
      <c r="DJ660" s="449">
        <f>+DH660+DI660</f>
        <v>84.84</v>
      </c>
      <c r="DK660" s="447"/>
      <c r="DL660" s="606">
        <f>+DI660*1.02</f>
        <v>43.696800000000003</v>
      </c>
      <c r="DM660" s="606">
        <f>+DL660*1.02</f>
        <v>44.570736000000004</v>
      </c>
      <c r="DN660" s="449">
        <f>+DL660+DM660</f>
        <v>88.267536000000007</v>
      </c>
      <c r="DO660" s="447"/>
      <c r="DP660" s="606">
        <f>+DM660*1.02</f>
        <v>45.462150720000004</v>
      </c>
      <c r="DQ660" s="606">
        <f>+DP660*1.02</f>
        <v>46.371393734400002</v>
      </c>
      <c r="DR660" s="449">
        <f>+DP660+DQ660</f>
        <v>91.833544454399998</v>
      </c>
      <c r="DS660" s="447"/>
      <c r="DT660" s="1"/>
      <c r="DU660" s="1"/>
      <c r="DV660" s="1"/>
      <c r="DW660" s="1"/>
      <c r="DX660" s="1"/>
      <c r="DY660" s="1"/>
      <c r="DZ660" s="1"/>
      <c r="EA660" s="1"/>
      <c r="EB660" s="1"/>
      <c r="EC660" s="1"/>
      <c r="ED660" s="1"/>
      <c r="EE660" s="1"/>
      <c r="EF660" s="1"/>
      <c r="EG660" s="1"/>
      <c r="EH660" s="1"/>
      <c r="EI660" s="1"/>
      <c r="EJ660" s="1"/>
      <c r="EK660" s="1"/>
      <c r="EL660" s="1"/>
      <c r="EM660" s="1"/>
      <c r="EN660" s="1"/>
      <c r="EO660" s="1"/>
      <c r="EP660" s="1"/>
      <c r="EQ660" s="1"/>
      <c r="ER660" s="1"/>
      <c r="ES660" s="1"/>
      <c r="ET660" s="1"/>
      <c r="EU660" s="1"/>
      <c r="EV660" s="1"/>
      <c r="EW660" s="1"/>
      <c r="EX660" s="1"/>
      <c r="EY660" s="1"/>
      <c r="EZ660" s="1"/>
      <c r="FA660" s="1"/>
      <c r="FB660" s="1"/>
      <c r="FC660" s="1"/>
      <c r="FD660" s="1"/>
      <c r="FE660" s="1"/>
      <c r="FF660" s="1"/>
      <c r="FG660" s="1"/>
      <c r="FH660" s="1"/>
      <c r="FI660" s="1"/>
      <c r="FJ660" s="1"/>
      <c r="FK660" s="1"/>
      <c r="FL660" s="1"/>
      <c r="FM660" s="1"/>
      <c r="FN660" s="1"/>
      <c r="FO660" s="1"/>
      <c r="FP660" s="1"/>
      <c r="FQ660" s="1"/>
      <c r="FR660" s="1"/>
      <c r="FS660" s="1"/>
      <c r="FT660" s="1"/>
      <c r="FU660" s="1"/>
      <c r="FV660" s="1"/>
      <c r="FW660" s="1"/>
      <c r="FX660" s="1"/>
      <c r="FY660" s="1"/>
      <c r="FZ660" s="1"/>
      <c r="GA660" s="1"/>
      <c r="GB660" s="1"/>
      <c r="GC660" s="1"/>
      <c r="GD660" s="1"/>
      <c r="GE660" s="1"/>
      <c r="GF660" s="1"/>
      <c r="GG660" s="1"/>
      <c r="GH660" s="1"/>
      <c r="GI660" s="1"/>
      <c r="GJ660" s="1"/>
      <c r="GK660" s="1"/>
      <c r="GL660" s="1"/>
      <c r="GM660" s="1"/>
      <c r="GN660" s="1"/>
      <c r="GO660" s="1"/>
      <c r="GP660" s="1"/>
      <c r="GQ660" s="1"/>
      <c r="GR660" s="1"/>
      <c r="GS660" s="1"/>
      <c r="GT660" s="1"/>
      <c r="GU660" s="1"/>
      <c r="GV660" s="1"/>
      <c r="GW660" s="1"/>
      <c r="GX660" s="1"/>
      <c r="GY660" s="1"/>
      <c r="GZ660" s="1"/>
      <c r="HA660" s="1"/>
      <c r="HB660" s="1"/>
      <c r="HC660" s="1"/>
      <c r="HD660" s="1"/>
      <c r="HE660" s="1"/>
      <c r="HF660" s="1"/>
      <c r="HG660" s="1"/>
      <c r="HH660" s="1"/>
      <c r="HI660" s="1"/>
      <c r="HJ660" s="1"/>
      <c r="HK660" s="1"/>
      <c r="HL660" s="1"/>
      <c r="HM660" s="1"/>
      <c r="HN660" s="1"/>
      <c r="HO660" s="1"/>
      <c r="HP660" s="1"/>
      <c r="HQ660" s="1"/>
      <c r="HR660" s="1"/>
      <c r="HS660" s="1"/>
      <c r="HT660" s="1"/>
      <c r="HU660" s="1"/>
      <c r="HV660" s="1"/>
      <c r="HW660" s="1"/>
      <c r="HX660" s="1"/>
      <c r="HY660" s="1"/>
      <c r="HZ660" s="1"/>
      <c r="IA660" s="1"/>
      <c r="IB660" s="1"/>
      <c r="IC660" s="1"/>
      <c r="ID660" s="1"/>
      <c r="IE660" s="1"/>
      <c r="IF660" s="1"/>
      <c r="IG660" s="1"/>
      <c r="IH660" s="1"/>
      <c r="II660" s="1"/>
      <c r="IJ660" s="1"/>
      <c r="IK660" s="1"/>
      <c r="IL660" s="1"/>
      <c r="IM660" s="1"/>
      <c r="IN660" s="1"/>
      <c r="IO660" s="1"/>
      <c r="IP660" s="1"/>
      <c r="IQ660" s="1"/>
      <c r="IR660" s="1"/>
      <c r="IS660" s="1"/>
      <c r="IT660" s="1"/>
      <c r="IU660" s="1"/>
      <c r="IV660" s="1"/>
      <c r="IW660" s="1"/>
      <c r="IX660" s="1"/>
      <c r="IY660" s="1"/>
      <c r="IZ660" s="1"/>
      <c r="JA660" s="1"/>
      <c r="JB660" s="1"/>
      <c r="JC660" s="1"/>
      <c r="JD660" s="1"/>
    </row>
    <row r="661" spans="1:264" s="347" customFormat="1" x14ac:dyDescent="0.2">
      <c r="A661" s="447" t="s">
        <v>507</v>
      </c>
      <c r="B661" s="446"/>
      <c r="C661" s="447"/>
      <c r="D661" s="447"/>
      <c r="E661" s="447"/>
      <c r="F661" s="447"/>
      <c r="G661" s="447"/>
      <c r="H661" s="447"/>
      <c r="I661" s="447"/>
      <c r="J661" s="447"/>
      <c r="K661" s="447"/>
      <c r="L661" s="447"/>
      <c r="M661" s="447"/>
      <c r="N661" s="447"/>
      <c r="O661" s="447"/>
      <c r="P661" s="447"/>
      <c r="Q661" s="447"/>
      <c r="R661" s="447"/>
      <c r="S661" s="447"/>
      <c r="T661" s="447"/>
      <c r="U661" s="447"/>
      <c r="V661" s="447"/>
      <c r="W661" s="447"/>
      <c r="X661" s="447"/>
      <c r="Y661" s="447"/>
      <c r="Z661" s="447"/>
      <c r="AA661" s="447"/>
      <c r="AB661" s="447"/>
      <c r="AC661" s="447"/>
      <c r="AD661" s="447"/>
      <c r="AE661" s="447"/>
      <c r="AF661" s="447"/>
      <c r="AG661" s="447"/>
      <c r="AH661" s="447"/>
      <c r="AI661" s="447"/>
      <c r="AJ661" s="447"/>
      <c r="AK661" s="447"/>
      <c r="AL661" s="447"/>
      <c r="AM661" s="447"/>
      <c r="AN661" s="447"/>
      <c r="AO661" s="447"/>
      <c r="AP661" s="447"/>
      <c r="AQ661" s="447"/>
      <c r="AR661" s="447"/>
      <c r="AS661" s="447"/>
      <c r="AT661" s="447"/>
      <c r="AU661" s="447"/>
      <c r="AV661" s="447"/>
      <c r="AW661" s="447"/>
      <c r="AX661" s="447"/>
      <c r="AY661" s="447"/>
      <c r="AZ661" s="447"/>
      <c r="BA661" s="447"/>
      <c r="BB661" s="447"/>
      <c r="BC661" s="447"/>
      <c r="BD661" s="447"/>
      <c r="BE661" s="447"/>
      <c r="BF661" s="447"/>
      <c r="BG661" s="447"/>
      <c r="BH661" s="446"/>
      <c r="BI661" s="446"/>
      <c r="BJ661" s="446"/>
      <c r="BK661" s="446"/>
      <c r="BL661" s="446"/>
      <c r="BM661" s="446"/>
      <c r="BN661" s="446"/>
      <c r="BO661" s="446"/>
      <c r="BP661" s="450">
        <f>5+47</f>
        <v>52</v>
      </c>
      <c r="BQ661" s="450">
        <f>11+79</f>
        <v>90</v>
      </c>
      <c r="BR661" s="449">
        <f>+BP661+BQ661</f>
        <v>142</v>
      </c>
      <c r="BS661" s="603"/>
      <c r="BT661" s="450">
        <f>5+63</f>
        <v>68</v>
      </c>
      <c r="BU661" s="450">
        <f>7+20</f>
        <v>27</v>
      </c>
      <c r="BV661" s="449">
        <f>+BT661+BU661</f>
        <v>95</v>
      </c>
      <c r="BW661" s="603"/>
      <c r="BX661" s="450">
        <f>5+32</f>
        <v>37</v>
      </c>
      <c r="BY661" s="616">
        <f>BZ661-BX661</f>
        <v>147</v>
      </c>
      <c r="BZ661" s="450">
        <f>62+112+10</f>
        <v>184</v>
      </c>
      <c r="CA661" s="447"/>
      <c r="CB661" s="450">
        <f>3+110+7</f>
        <v>120</v>
      </c>
      <c r="CC661" s="450">
        <f>7+87+5</f>
        <v>99</v>
      </c>
      <c r="CD661" s="449">
        <f>+CB661+CC661</f>
        <v>219</v>
      </c>
      <c r="CE661" s="447"/>
      <c r="CF661" s="450">
        <f>2+84+10-(-138+7+26)</f>
        <v>201</v>
      </c>
      <c r="CG661" s="450">
        <f>3+79+3-4-11-16</f>
        <v>54</v>
      </c>
      <c r="CH661" s="449">
        <f>+CF661+CG661</f>
        <v>255</v>
      </c>
      <c r="CI661" s="447"/>
      <c r="CJ661" s="450">
        <f>18+2+103-(19+35-3)</f>
        <v>72</v>
      </c>
      <c r="CK661" s="450">
        <f>1+86-32-(105-23+32)</f>
        <v>-59</v>
      </c>
      <c r="CL661" s="449">
        <f>+CJ661+CK661</f>
        <v>13</v>
      </c>
      <c r="CM661" s="447"/>
      <c r="CN661" s="450">
        <f>1+17-10-(-1-5-59)</f>
        <v>73</v>
      </c>
      <c r="CO661" s="450">
        <f>1+72+22-(5+301+17)</f>
        <v>-228</v>
      </c>
      <c r="CP661" s="449">
        <f>+CN661+CO661</f>
        <v>-155</v>
      </c>
      <c r="CQ661" s="447"/>
      <c r="CR661" s="450">
        <f>0+75-12-(-35+12+83)</f>
        <v>3</v>
      </c>
      <c r="CS661" s="450">
        <f>0+88+16</f>
        <v>104</v>
      </c>
      <c r="CT661" s="449">
        <f>+CR661+CS661</f>
        <v>107</v>
      </c>
      <c r="CU661" s="447"/>
      <c r="CV661" s="450">
        <f>-6+55</f>
        <v>49</v>
      </c>
      <c r="CW661" s="450">
        <v>7</v>
      </c>
      <c r="CX661" s="449">
        <f>+CV661+CW661</f>
        <v>56</v>
      </c>
      <c r="CY661" s="447"/>
      <c r="CZ661" s="450">
        <f>-42+55</f>
        <v>13</v>
      </c>
      <c r="DA661" s="450">
        <v>9</v>
      </c>
      <c r="DB661" s="449">
        <f>+CZ661+DA661</f>
        <v>22</v>
      </c>
      <c r="DC661" s="447"/>
      <c r="DD661" s="450">
        <v>-13</v>
      </c>
      <c r="DE661" s="450">
        <v>20</v>
      </c>
      <c r="DF661" s="449">
        <f>+DD661+DE661</f>
        <v>7</v>
      </c>
      <c r="DG661" s="447"/>
      <c r="DH661" s="450">
        <v>-2</v>
      </c>
      <c r="DI661" s="606">
        <v>0</v>
      </c>
      <c r="DJ661" s="449">
        <f>+DH661+DI661</f>
        <v>-2</v>
      </c>
      <c r="DK661" s="447"/>
      <c r="DL661" s="606">
        <v>0</v>
      </c>
      <c r="DM661" s="606">
        <v>0</v>
      </c>
      <c r="DN661" s="449">
        <f>+DL661+DM661</f>
        <v>0</v>
      </c>
      <c r="DO661" s="447"/>
      <c r="DP661" s="606">
        <v>0</v>
      </c>
      <c r="DQ661" s="606">
        <v>0</v>
      </c>
      <c r="DR661" s="449">
        <f>+DP661+DQ661</f>
        <v>0</v>
      </c>
      <c r="DS661" s="447"/>
      <c r="DT661" s="1"/>
      <c r="DU661" s="1"/>
      <c r="DV661" s="1"/>
      <c r="DW661" s="1"/>
      <c r="DX661" s="1"/>
      <c r="DY661" s="1"/>
      <c r="DZ661" s="1"/>
      <c r="EA661" s="1"/>
      <c r="EB661" s="1"/>
      <c r="EC661" s="1"/>
      <c r="ED661" s="1"/>
      <c r="EE661" s="1"/>
      <c r="EF661" s="1"/>
      <c r="EG661" s="1"/>
      <c r="EH661" s="1"/>
      <c r="EI661" s="1"/>
      <c r="EJ661" s="1"/>
      <c r="EK661" s="1"/>
      <c r="EL661" s="1"/>
      <c r="EM661" s="1"/>
      <c r="EN661" s="1"/>
      <c r="EO661" s="1"/>
      <c r="EP661" s="1"/>
      <c r="EQ661" s="1"/>
      <c r="ER661" s="1"/>
      <c r="ES661" s="1"/>
      <c r="ET661" s="1"/>
      <c r="EU661" s="1"/>
      <c r="EV661" s="1"/>
      <c r="EW661" s="1"/>
      <c r="EX661" s="1"/>
      <c r="EY661" s="1"/>
      <c r="EZ661" s="1"/>
      <c r="FA661" s="1"/>
      <c r="FB661" s="1"/>
      <c r="FC661" s="1"/>
      <c r="FD661" s="1"/>
      <c r="FE661" s="1"/>
      <c r="FF661" s="1"/>
      <c r="FG661" s="1"/>
      <c r="FH661" s="1"/>
      <c r="FI661" s="1"/>
      <c r="FJ661" s="1"/>
      <c r="FK661" s="1"/>
      <c r="FL661" s="1"/>
      <c r="FM661" s="1"/>
      <c r="FN661" s="1"/>
      <c r="FO661" s="1"/>
      <c r="FP661" s="1"/>
      <c r="FQ661" s="1"/>
      <c r="FR661" s="1"/>
      <c r="FS661" s="1"/>
      <c r="FT661" s="1"/>
      <c r="FU661" s="1"/>
      <c r="FV661" s="1"/>
      <c r="FW661" s="1"/>
      <c r="FX661" s="1"/>
      <c r="FY661" s="1"/>
      <c r="FZ661" s="1"/>
      <c r="GA661" s="1"/>
      <c r="GB661" s="1"/>
      <c r="GC661" s="1"/>
      <c r="GD661" s="1"/>
      <c r="GE661" s="1"/>
      <c r="GF661" s="1"/>
      <c r="GG661" s="1"/>
      <c r="GH661" s="1"/>
      <c r="GI661" s="1"/>
      <c r="GJ661" s="1"/>
      <c r="GK661" s="1"/>
      <c r="GL661" s="1"/>
      <c r="GM661" s="1"/>
      <c r="GN661" s="1"/>
      <c r="GO661" s="1"/>
      <c r="GP661" s="1"/>
      <c r="GQ661" s="1"/>
      <c r="GR661" s="1"/>
      <c r="GS661" s="1"/>
      <c r="GT661" s="1"/>
      <c r="GU661" s="1"/>
      <c r="GV661" s="1"/>
      <c r="GW661" s="1"/>
      <c r="GX661" s="1"/>
      <c r="GY661" s="1"/>
      <c r="GZ661" s="1"/>
      <c r="HA661" s="1"/>
      <c r="HB661" s="1"/>
      <c r="HC661" s="1"/>
      <c r="HD661" s="1"/>
      <c r="HE661" s="1"/>
      <c r="HF661" s="1"/>
      <c r="HG661" s="1"/>
      <c r="HH661" s="1"/>
      <c r="HI661" s="1"/>
      <c r="HJ661" s="1"/>
      <c r="HK661" s="1"/>
      <c r="HL661" s="1"/>
      <c r="HM661" s="1"/>
      <c r="HN661" s="1"/>
      <c r="HO661" s="1"/>
      <c r="HP661" s="1"/>
      <c r="HQ661" s="1"/>
      <c r="HR661" s="1"/>
      <c r="HS661" s="1"/>
      <c r="HT661" s="1"/>
      <c r="HU661" s="1"/>
      <c r="HV661" s="1"/>
      <c r="HW661" s="1"/>
      <c r="HX661" s="1"/>
      <c r="HY661" s="1"/>
      <c r="HZ661" s="1"/>
      <c r="IA661" s="1"/>
      <c r="IB661" s="1"/>
      <c r="IC661" s="1"/>
      <c r="ID661" s="1"/>
      <c r="IE661" s="1"/>
      <c r="IF661" s="1"/>
      <c r="IG661" s="1"/>
      <c r="IH661" s="1"/>
      <c r="II661" s="1"/>
      <c r="IJ661" s="1"/>
      <c r="IK661" s="1"/>
      <c r="IL661" s="1"/>
      <c r="IM661" s="1"/>
      <c r="IN661" s="1"/>
      <c r="IO661" s="1"/>
      <c r="IP661" s="1"/>
      <c r="IQ661" s="1"/>
      <c r="IR661" s="1"/>
      <c r="IS661" s="1"/>
      <c r="IT661" s="1"/>
      <c r="IU661" s="1"/>
      <c r="IV661" s="1"/>
      <c r="IW661" s="1"/>
      <c r="IX661" s="1"/>
      <c r="IY661" s="1"/>
      <c r="IZ661" s="1"/>
      <c r="JA661" s="1"/>
      <c r="JB661" s="1"/>
      <c r="JC661" s="1"/>
      <c r="JD661" s="1"/>
    </row>
    <row r="662" spans="1:264" s="347" customFormat="1" x14ac:dyDescent="0.2">
      <c r="A662" s="347" t="s">
        <v>508</v>
      </c>
      <c r="B662" s="348"/>
      <c r="BH662" s="348"/>
      <c r="BI662" s="348"/>
      <c r="BJ662" s="348"/>
      <c r="BK662" s="348"/>
      <c r="BL662" s="348"/>
      <c r="BM662" s="348"/>
      <c r="BN662" s="348"/>
      <c r="BO662" s="348"/>
      <c r="BP662" s="351">
        <f>BP663-BP658-BP659-BP660-BP661</f>
        <v>48</v>
      </c>
      <c r="BQ662" s="351">
        <f>BQ663-BQ658-BQ659-BQ660-BQ661</f>
        <v>91</v>
      </c>
      <c r="BR662" s="351">
        <f>+BP662+BQ662</f>
        <v>139</v>
      </c>
      <c r="BS662" s="400"/>
      <c r="BT662" s="351">
        <f>BT663-BT658-BT659-BT660-BT661</f>
        <v>55</v>
      </c>
      <c r="BU662" s="351">
        <f>BU663-BU658-BU659-BU660-BU661</f>
        <v>130</v>
      </c>
      <c r="BV662" s="351">
        <f>+BT662+BU662</f>
        <v>185</v>
      </c>
      <c r="BW662" s="400"/>
      <c r="BX662" s="351">
        <f>BX663-BX658-BX659-BX660-BX661</f>
        <v>401</v>
      </c>
      <c r="BY662" s="351">
        <f>BY663-BY658-BY659-BY660-BY661</f>
        <v>-74</v>
      </c>
      <c r="BZ662" s="351">
        <f>+BX662+BY662</f>
        <v>327</v>
      </c>
      <c r="CB662" s="351">
        <f>CB663-CB658-CB659-CB660-CB661</f>
        <v>-11</v>
      </c>
      <c r="CC662" s="351">
        <f>CC663-CC658-CC659-CC660-CC661</f>
        <v>5</v>
      </c>
      <c r="CD662" s="351">
        <f>+CB662+CC662</f>
        <v>-6</v>
      </c>
      <c r="CF662" s="351">
        <f>CF663-CF658-CF659-CF660-CF661</f>
        <v>-100</v>
      </c>
      <c r="CG662" s="351">
        <f>CG663-CG658-CG659-CG660-CG661</f>
        <v>-13</v>
      </c>
      <c r="CH662" s="351">
        <f>+CF662+CG662</f>
        <v>-113</v>
      </c>
      <c r="CJ662" s="351">
        <f>CJ663-CJ658-CJ659-CJ660-CJ661</f>
        <v>45</v>
      </c>
      <c r="CK662" s="351">
        <f>CK663-CK658-CK659-CK660-CK661</f>
        <v>94</v>
      </c>
      <c r="CL662" s="351">
        <f>+CJ662+CK662</f>
        <v>139</v>
      </c>
      <c r="CN662" s="351">
        <f>CN663-CN658-CN659-CN660-CN661</f>
        <v>-144</v>
      </c>
      <c r="CO662" s="351">
        <f>CO663-CO658-CO659-CO660-CO661</f>
        <v>167</v>
      </c>
      <c r="CP662" s="351">
        <f>+CN662+CO662</f>
        <v>23</v>
      </c>
      <c r="CR662" s="351">
        <f>CR663-CR658-CR659-CR660-CR661</f>
        <v>187</v>
      </c>
      <c r="CS662" s="351">
        <f>CS663-CS658-CS659-CS660-CS661</f>
        <v>82</v>
      </c>
      <c r="CT662" s="351">
        <f>+CR662+CS662</f>
        <v>269</v>
      </c>
      <c r="CV662" s="351">
        <f>CV663-CV658-CV659-CV660-CV661</f>
        <v>41</v>
      </c>
      <c r="CW662" s="351">
        <f>CW663-CW658-CW659-CW660-CW661</f>
        <v>91</v>
      </c>
      <c r="CX662" s="351">
        <f>+CV662+CW662</f>
        <v>132</v>
      </c>
      <c r="CZ662" s="351">
        <f>CZ663-CZ658-CZ659-CZ660-CZ661</f>
        <v>129</v>
      </c>
      <c r="DA662" s="351">
        <f>DA663-DA658-DA659-DA660-DA661</f>
        <v>119</v>
      </c>
      <c r="DB662" s="351">
        <f>+CZ662+DA662</f>
        <v>248</v>
      </c>
      <c r="DD662" s="351">
        <f>DD663-DD658-DD659-DD660-DD661</f>
        <v>98</v>
      </c>
      <c r="DE662" s="351">
        <f>DE663-DE658-DE659-DE660-DE661</f>
        <v>-1</v>
      </c>
      <c r="DF662" s="351">
        <f>+DD662+DE662</f>
        <v>97</v>
      </c>
      <c r="DH662" s="351">
        <f>DH663-DH658-DH659-DH660-DH661</f>
        <v>5</v>
      </c>
      <c r="DI662" s="351">
        <f>DI663-DI658-DI659-DI660-DI661</f>
        <v>5.0000000000000071</v>
      </c>
      <c r="DJ662" s="351">
        <f>+DH662+DI662</f>
        <v>10.000000000000007</v>
      </c>
      <c r="DL662" s="351">
        <f>DL663-DL658-DL659-DL660-DL661</f>
        <v>5.1000000000000014</v>
      </c>
      <c r="DM662" s="351">
        <f>DM663-DM658-DM659-DM660-DM661</f>
        <v>5.2020000000000053</v>
      </c>
      <c r="DN662" s="351">
        <f>+DL662+DM662</f>
        <v>10.302000000000007</v>
      </c>
      <c r="DP662" s="351">
        <f>DP663-DP658-DP659-DP660-DP661</f>
        <v>5.306040000000003</v>
      </c>
      <c r="DQ662" s="351">
        <f>DQ663-DQ658-DQ659-DQ660-DQ661</f>
        <v>5.4121608000000094</v>
      </c>
      <c r="DR662" s="351">
        <f>+DP662+DQ662</f>
        <v>10.718200800000012</v>
      </c>
      <c r="DT662" s="1"/>
      <c r="DU662" s="1"/>
      <c r="DV662" s="1"/>
      <c r="DW662" s="1"/>
      <c r="DX662" s="1"/>
      <c r="DY662" s="1"/>
      <c r="DZ662" s="1"/>
      <c r="EA662" s="1"/>
      <c r="EB662" s="1"/>
      <c r="EC662" s="1"/>
      <c r="ED662" s="1"/>
      <c r="EE662" s="1"/>
      <c r="EF662" s="1"/>
      <c r="EG662" s="1"/>
      <c r="EH662" s="1"/>
      <c r="EI662" s="1"/>
      <c r="EJ662" s="1"/>
      <c r="EK662" s="1"/>
      <c r="EL662" s="1"/>
      <c r="EM662" s="1"/>
      <c r="EN662" s="1"/>
      <c r="EO662" s="1"/>
      <c r="EP662" s="1"/>
      <c r="EQ662" s="1"/>
      <c r="ER662" s="1"/>
      <c r="ES662" s="1"/>
      <c r="ET662" s="1"/>
      <c r="EU662" s="1"/>
      <c r="EV662" s="1"/>
      <c r="EW662" s="1"/>
      <c r="EX662" s="1"/>
      <c r="EY662" s="1"/>
      <c r="EZ662" s="1"/>
      <c r="FA662" s="1"/>
      <c r="FB662" s="1"/>
      <c r="FC662" s="1"/>
      <c r="FD662" s="1"/>
      <c r="FE662" s="1"/>
      <c r="FF662" s="1"/>
      <c r="FG662" s="1"/>
      <c r="FH662" s="1"/>
      <c r="FI662" s="1"/>
      <c r="FJ662" s="1"/>
      <c r="FK662" s="1"/>
      <c r="FL662" s="1"/>
      <c r="FM662" s="1"/>
      <c r="FN662" s="1"/>
      <c r="FO662" s="1"/>
      <c r="FP662" s="1"/>
      <c r="FQ662" s="1"/>
      <c r="FR662" s="1"/>
      <c r="FS662" s="1"/>
      <c r="FT662" s="1"/>
      <c r="FU662" s="1"/>
      <c r="FV662" s="1"/>
      <c r="FW662" s="1"/>
      <c r="FX662" s="1"/>
      <c r="FY662" s="1"/>
      <c r="FZ662" s="1"/>
      <c r="GA662" s="1"/>
      <c r="GB662" s="1"/>
      <c r="GC662" s="1"/>
      <c r="GD662" s="1"/>
      <c r="GE662" s="1"/>
      <c r="GF662" s="1"/>
      <c r="GG662" s="1"/>
      <c r="GH662" s="1"/>
      <c r="GI662" s="1"/>
      <c r="GJ662" s="1"/>
      <c r="GK662" s="1"/>
      <c r="GL662" s="1"/>
      <c r="GM662" s="1"/>
      <c r="GN662" s="1"/>
      <c r="GO662" s="1"/>
      <c r="GP662" s="1"/>
      <c r="GQ662" s="1"/>
      <c r="GR662" s="1"/>
      <c r="GS662" s="1"/>
      <c r="GT662" s="1"/>
      <c r="GU662" s="1"/>
      <c r="GV662" s="1"/>
      <c r="GW662" s="1"/>
      <c r="GX662" s="1"/>
      <c r="GY662" s="1"/>
      <c r="GZ662" s="1"/>
      <c r="HA662" s="1"/>
      <c r="HB662" s="1"/>
      <c r="HC662" s="1"/>
      <c r="HD662" s="1"/>
      <c r="HE662" s="1"/>
      <c r="HF662" s="1"/>
      <c r="HG662" s="1"/>
      <c r="HH662" s="1"/>
      <c r="HI662" s="1"/>
      <c r="HJ662" s="1"/>
      <c r="HK662" s="1"/>
      <c r="HL662" s="1"/>
      <c r="HM662" s="1"/>
      <c r="HN662" s="1"/>
      <c r="HO662" s="1"/>
      <c r="HP662" s="1"/>
      <c r="HQ662" s="1"/>
      <c r="HR662" s="1"/>
      <c r="HS662" s="1"/>
      <c r="HT662" s="1"/>
      <c r="HU662" s="1"/>
      <c r="HV662" s="1"/>
      <c r="HW662" s="1"/>
      <c r="HX662" s="1"/>
      <c r="HY662" s="1"/>
      <c r="HZ662" s="1"/>
      <c r="IA662" s="1"/>
      <c r="IB662" s="1"/>
      <c r="IC662" s="1"/>
      <c r="ID662" s="1"/>
      <c r="IE662" s="1"/>
      <c r="IF662" s="1"/>
      <c r="IG662" s="1"/>
      <c r="IH662" s="1"/>
      <c r="II662" s="1"/>
      <c r="IJ662" s="1"/>
      <c r="IK662" s="1"/>
      <c r="IL662" s="1"/>
      <c r="IM662" s="1"/>
      <c r="IN662" s="1"/>
      <c r="IO662" s="1"/>
      <c r="IP662" s="1"/>
      <c r="IQ662" s="1"/>
      <c r="IR662" s="1"/>
      <c r="IS662" s="1"/>
      <c r="IT662" s="1"/>
      <c r="IU662" s="1"/>
      <c r="IV662" s="1"/>
      <c r="IW662" s="1"/>
      <c r="IX662" s="1"/>
      <c r="IY662" s="1"/>
      <c r="IZ662" s="1"/>
      <c r="JA662" s="1"/>
      <c r="JB662" s="1"/>
      <c r="JC662" s="1"/>
      <c r="JD662" s="1"/>
    </row>
    <row r="663" spans="1:264" s="347" customFormat="1" x14ac:dyDescent="0.2">
      <c r="A663" s="411" t="s">
        <v>509</v>
      </c>
      <c r="B663" s="348"/>
      <c r="BH663" s="348"/>
      <c r="BI663" s="348"/>
      <c r="BJ663" s="348"/>
      <c r="BK663" s="348"/>
      <c r="BL663" s="348"/>
      <c r="BM663" s="348"/>
      <c r="BN663" s="348"/>
      <c r="BO663" s="348"/>
      <c r="BP663" s="397">
        <f>BP611</f>
        <v>202</v>
      </c>
      <c r="BQ663" s="397">
        <f>BQ611</f>
        <v>356</v>
      </c>
      <c r="BR663" s="397">
        <f>SUM(BR658:BR662)</f>
        <v>558</v>
      </c>
      <c r="BS663" s="400"/>
      <c r="BT663" s="397">
        <f>BT611</f>
        <v>262</v>
      </c>
      <c r="BU663" s="397">
        <f>BU611</f>
        <v>286</v>
      </c>
      <c r="BV663" s="397">
        <f>SUM(BV658:BV662)</f>
        <v>548</v>
      </c>
      <c r="BW663" s="400"/>
      <c r="BX663" s="397">
        <f>BX611</f>
        <v>599</v>
      </c>
      <c r="BY663" s="397">
        <f>BY611</f>
        <v>191</v>
      </c>
      <c r="BZ663" s="397">
        <f>SUM(BZ658:BZ662)</f>
        <v>790</v>
      </c>
      <c r="CB663" s="397">
        <f>CB611</f>
        <v>289</v>
      </c>
      <c r="CC663" s="397">
        <f>CC611</f>
        <v>224</v>
      </c>
      <c r="CD663" s="397">
        <f>SUM(CD658:CD662)</f>
        <v>513</v>
      </c>
      <c r="CF663" s="397">
        <f>CF611</f>
        <v>275</v>
      </c>
      <c r="CG663" s="397">
        <f>CG611</f>
        <v>154</v>
      </c>
      <c r="CH663" s="397">
        <f>SUM(CH658:CH662)</f>
        <v>429</v>
      </c>
      <c r="CJ663" s="397">
        <f>CJ611</f>
        <v>231</v>
      </c>
      <c r="CK663" s="397">
        <f>CK611</f>
        <v>123</v>
      </c>
      <c r="CL663" s="397">
        <f>SUM(CL658:CL662)</f>
        <v>354</v>
      </c>
      <c r="CN663" s="397">
        <f>CN611</f>
        <v>60</v>
      </c>
      <c r="CO663" s="397">
        <f>CO611</f>
        <v>403</v>
      </c>
      <c r="CP663" s="397">
        <f>SUM(CP658:CP662)</f>
        <v>463</v>
      </c>
      <c r="CR663" s="397">
        <f>CR611</f>
        <v>449</v>
      </c>
      <c r="CS663" s="397">
        <f>CS611</f>
        <v>939</v>
      </c>
      <c r="CT663" s="397">
        <f>SUM(CT658:CT662)</f>
        <v>1388</v>
      </c>
      <c r="CV663" s="397">
        <f>CV611</f>
        <v>75</v>
      </c>
      <c r="CW663" s="397">
        <f>CW611</f>
        <v>94</v>
      </c>
      <c r="CX663" s="397">
        <f>SUM(CX658:CX662)</f>
        <v>169</v>
      </c>
      <c r="CZ663" s="397">
        <f>CZ611</f>
        <v>100</v>
      </c>
      <c r="DA663" s="397">
        <f>DA611</f>
        <v>25</v>
      </c>
      <c r="DB663" s="397">
        <f>SUM(DB658:DB662)</f>
        <v>125</v>
      </c>
      <c r="DD663" s="397">
        <f>DD611</f>
        <v>50</v>
      </c>
      <c r="DE663" s="397">
        <f>DE611</f>
        <v>60</v>
      </c>
      <c r="DF663" s="397">
        <f>SUM(DF658:DF662)</f>
        <v>110</v>
      </c>
      <c r="DH663" s="397">
        <f>DH611</f>
        <v>45</v>
      </c>
      <c r="DI663" s="397">
        <f>DI611</f>
        <v>47.840000000000011</v>
      </c>
      <c r="DJ663" s="397">
        <f>SUM(DJ658:DJ662)</f>
        <v>92.84</v>
      </c>
      <c r="DL663" s="397">
        <f>DL611</f>
        <v>48.796800000000005</v>
      </c>
      <c r="DM663" s="397">
        <f>DM611</f>
        <v>49.772736000000009</v>
      </c>
      <c r="DN663" s="397">
        <f>SUM(DN658:DN662)</f>
        <v>98.569536000000014</v>
      </c>
      <c r="DP663" s="397">
        <f>DP611</f>
        <v>50.768190720000007</v>
      </c>
      <c r="DQ663" s="397">
        <f>DQ611</f>
        <v>51.783554534400011</v>
      </c>
      <c r="DR663" s="397">
        <f>SUM(DR658:DR662)</f>
        <v>102.5517452544</v>
      </c>
      <c r="DT663" s="1"/>
      <c r="DU663" s="1"/>
      <c r="DV663" s="1"/>
      <c r="DW663" s="1"/>
      <c r="DX663" s="1"/>
      <c r="DY663" s="1"/>
      <c r="DZ663" s="1"/>
      <c r="EA663" s="1"/>
      <c r="EB663" s="1"/>
      <c r="EC663" s="1"/>
      <c r="ED663" s="1"/>
      <c r="EE663" s="1"/>
      <c r="EF663" s="1"/>
      <c r="EG663" s="1"/>
      <c r="EH663" s="1"/>
      <c r="EI663" s="1"/>
      <c r="EJ663" s="1"/>
      <c r="EK663" s="1"/>
      <c r="EL663" s="1"/>
      <c r="EM663" s="1"/>
      <c r="EN663" s="1"/>
      <c r="EO663" s="1"/>
      <c r="EP663" s="1"/>
      <c r="EQ663" s="1"/>
      <c r="ER663" s="1"/>
      <c r="ES663" s="1"/>
      <c r="ET663" s="1"/>
      <c r="EU663" s="1"/>
      <c r="EV663" s="1"/>
      <c r="EW663" s="1"/>
      <c r="EX663" s="1"/>
      <c r="EY663" s="1"/>
      <c r="EZ663" s="1"/>
      <c r="FA663" s="1"/>
      <c r="FB663" s="1"/>
      <c r="FC663" s="1"/>
      <c r="FD663" s="1"/>
      <c r="FE663" s="1"/>
      <c r="FF663" s="1"/>
      <c r="FG663" s="1"/>
      <c r="FH663" s="1"/>
      <c r="FI663" s="1"/>
      <c r="FJ663" s="1"/>
      <c r="FK663" s="1"/>
      <c r="FL663" s="1"/>
      <c r="FM663" s="1"/>
      <c r="FN663" s="1"/>
      <c r="FO663" s="1"/>
      <c r="FP663" s="1"/>
      <c r="FQ663" s="1"/>
      <c r="FR663" s="1"/>
      <c r="FS663" s="1"/>
      <c r="FT663" s="1"/>
      <c r="FU663" s="1"/>
      <c r="FV663" s="1"/>
      <c r="FW663" s="1"/>
      <c r="FX663" s="1"/>
      <c r="FY663" s="1"/>
      <c r="FZ663" s="1"/>
      <c r="GA663" s="1"/>
      <c r="GB663" s="1"/>
      <c r="GC663" s="1"/>
      <c r="GD663" s="1"/>
      <c r="GE663" s="1"/>
      <c r="GF663" s="1"/>
      <c r="GG663" s="1"/>
      <c r="GH663" s="1"/>
      <c r="GI663" s="1"/>
      <c r="GJ663" s="1"/>
      <c r="GK663" s="1"/>
      <c r="GL663" s="1"/>
      <c r="GM663" s="1"/>
      <c r="GN663" s="1"/>
      <c r="GO663" s="1"/>
      <c r="GP663" s="1"/>
      <c r="GQ663" s="1"/>
      <c r="GR663" s="1"/>
      <c r="GS663" s="1"/>
      <c r="GT663" s="1"/>
      <c r="GU663" s="1"/>
      <c r="GV663" s="1"/>
      <c r="GW663" s="1"/>
      <c r="GX663" s="1"/>
      <c r="GY663" s="1"/>
      <c r="GZ663" s="1"/>
      <c r="HA663" s="1"/>
      <c r="HB663" s="1"/>
      <c r="HC663" s="1"/>
      <c r="HD663" s="1"/>
      <c r="HE663" s="1"/>
      <c r="HF663" s="1"/>
      <c r="HG663" s="1"/>
      <c r="HH663" s="1"/>
      <c r="HI663" s="1"/>
      <c r="HJ663" s="1"/>
      <c r="HK663" s="1"/>
      <c r="HL663" s="1"/>
      <c r="HM663" s="1"/>
      <c r="HN663" s="1"/>
      <c r="HO663" s="1"/>
      <c r="HP663" s="1"/>
      <c r="HQ663" s="1"/>
      <c r="HR663" s="1"/>
      <c r="HS663" s="1"/>
      <c r="HT663" s="1"/>
      <c r="HU663" s="1"/>
      <c r="HV663" s="1"/>
      <c r="HW663" s="1"/>
      <c r="HX663" s="1"/>
      <c r="HY663" s="1"/>
      <c r="HZ663" s="1"/>
      <c r="IA663" s="1"/>
      <c r="IB663" s="1"/>
      <c r="IC663" s="1"/>
      <c r="ID663" s="1"/>
      <c r="IE663" s="1"/>
      <c r="IF663" s="1"/>
      <c r="IG663" s="1"/>
      <c r="IH663" s="1"/>
      <c r="II663" s="1"/>
      <c r="IJ663" s="1"/>
      <c r="IK663" s="1"/>
      <c r="IL663" s="1"/>
      <c r="IM663" s="1"/>
      <c r="IN663" s="1"/>
      <c r="IO663" s="1"/>
      <c r="IP663" s="1"/>
      <c r="IQ663" s="1"/>
      <c r="IR663" s="1"/>
      <c r="IS663" s="1"/>
      <c r="IT663" s="1"/>
      <c r="IU663" s="1"/>
      <c r="IV663" s="1"/>
      <c r="IW663" s="1"/>
      <c r="IX663" s="1"/>
      <c r="IY663" s="1"/>
      <c r="IZ663" s="1"/>
      <c r="JA663" s="1"/>
      <c r="JB663" s="1"/>
      <c r="JC663" s="1"/>
      <c r="JD663" s="1"/>
    </row>
    <row r="664" spans="1:264" s="347" customFormat="1" x14ac:dyDescent="0.2">
      <c r="A664" s="617" t="s">
        <v>510</v>
      </c>
      <c r="B664" s="348"/>
      <c r="BH664" s="348"/>
      <c r="BI664" s="348"/>
      <c r="BJ664" s="348"/>
      <c r="BK664" s="348"/>
      <c r="BL664" s="348"/>
      <c r="BM664" s="348"/>
      <c r="BN664" s="348"/>
      <c r="BO664" s="348"/>
      <c r="BP664" s="348"/>
      <c r="BT664" s="348"/>
      <c r="BU664" s="400"/>
      <c r="BX664" s="348"/>
      <c r="BY664" s="400"/>
      <c r="CB664" s="348"/>
      <c r="CF664" s="348"/>
      <c r="CJ664" s="348"/>
      <c r="CN664" s="348"/>
      <c r="CR664" s="348"/>
      <c r="CV664" s="348"/>
      <c r="CZ664" s="348"/>
      <c r="DD664" s="348"/>
      <c r="DH664" s="348"/>
      <c r="DL664" s="348"/>
      <c r="DP664" s="348"/>
      <c r="DT664" s="1"/>
      <c r="DU664" s="1"/>
      <c r="DV664" s="1"/>
      <c r="DW664" s="1"/>
      <c r="DX664" s="1"/>
      <c r="DY664" s="1"/>
      <c r="DZ664" s="1"/>
      <c r="EA664" s="1"/>
      <c r="EB664" s="1"/>
      <c r="EC664" s="1"/>
      <c r="ED664" s="1"/>
      <c r="EE664" s="1"/>
      <c r="EF664" s="1"/>
      <c r="EG664" s="1"/>
      <c r="EH664" s="1"/>
      <c r="EI664" s="1"/>
      <c r="EJ664" s="1"/>
      <c r="EK664" s="1"/>
      <c r="EL664" s="1"/>
      <c r="EM664" s="1"/>
      <c r="EN664" s="1"/>
      <c r="EO664" s="1"/>
      <c r="EP664" s="1"/>
      <c r="EQ664" s="1"/>
      <c r="ER664" s="1"/>
      <c r="ES664" s="1"/>
      <c r="ET664" s="1"/>
      <c r="EU664" s="1"/>
      <c r="EV664" s="1"/>
      <c r="EW664" s="1"/>
      <c r="EX664" s="1"/>
      <c r="EY664" s="1"/>
      <c r="EZ664" s="1"/>
      <c r="FA664" s="1"/>
      <c r="FB664" s="1"/>
      <c r="FC664" s="1"/>
      <c r="FD664" s="1"/>
      <c r="FE664" s="1"/>
      <c r="FF664" s="1"/>
      <c r="FG664" s="1"/>
      <c r="FH664" s="1"/>
      <c r="FI664" s="1"/>
      <c r="FJ664" s="1"/>
      <c r="FK664" s="1"/>
      <c r="FL664" s="1"/>
      <c r="FM664" s="1"/>
      <c r="FN664" s="1"/>
      <c r="FO664" s="1"/>
      <c r="FP664" s="1"/>
      <c r="FQ664" s="1"/>
      <c r="FR664" s="1"/>
      <c r="FS664" s="1"/>
      <c r="FT664" s="1"/>
      <c r="FU664" s="1"/>
      <c r="FV664" s="1"/>
      <c r="FW664" s="1"/>
      <c r="FX664" s="1"/>
      <c r="FY664" s="1"/>
      <c r="FZ664" s="1"/>
      <c r="GA664" s="1"/>
      <c r="GB664" s="1"/>
      <c r="GC664" s="1"/>
      <c r="GD664" s="1"/>
      <c r="GE664" s="1"/>
      <c r="GF664" s="1"/>
      <c r="GG664" s="1"/>
      <c r="GH664" s="1"/>
      <c r="GI664" s="1"/>
      <c r="GJ664" s="1"/>
      <c r="GK664" s="1"/>
      <c r="GL664" s="1"/>
      <c r="GM664" s="1"/>
      <c r="GN664" s="1"/>
      <c r="GO664" s="1"/>
      <c r="GP664" s="1"/>
      <c r="GQ664" s="1"/>
      <c r="GR664" s="1"/>
      <c r="GS664" s="1"/>
      <c r="GT664" s="1"/>
      <c r="GU664" s="1"/>
      <c r="GV664" s="1"/>
      <c r="GW664" s="1"/>
      <c r="GX664" s="1"/>
      <c r="GY664" s="1"/>
      <c r="GZ664" s="1"/>
      <c r="HA664" s="1"/>
      <c r="HB664" s="1"/>
      <c r="HC664" s="1"/>
      <c r="HD664" s="1"/>
      <c r="HE664" s="1"/>
      <c r="HF664" s="1"/>
      <c r="HG664" s="1"/>
      <c r="HH664" s="1"/>
      <c r="HI664" s="1"/>
      <c r="HJ664" s="1"/>
      <c r="HK664" s="1"/>
      <c r="HL664" s="1"/>
      <c r="HM664" s="1"/>
      <c r="HN664" s="1"/>
      <c r="HO664" s="1"/>
      <c r="HP664" s="1"/>
      <c r="HQ664" s="1"/>
      <c r="HR664" s="1"/>
      <c r="HS664" s="1"/>
      <c r="HT664" s="1"/>
      <c r="HU664" s="1"/>
      <c r="HV664" s="1"/>
      <c r="HW664" s="1"/>
      <c r="HX664" s="1"/>
      <c r="HY664" s="1"/>
      <c r="HZ664" s="1"/>
      <c r="IA664" s="1"/>
      <c r="IB664" s="1"/>
      <c r="IC664" s="1"/>
      <c r="ID664" s="1"/>
      <c r="IE664" s="1"/>
      <c r="IF664" s="1"/>
      <c r="IG664" s="1"/>
      <c r="IH664" s="1"/>
      <c r="II664" s="1"/>
      <c r="IJ664" s="1"/>
      <c r="IK664" s="1"/>
      <c r="IL664" s="1"/>
      <c r="IM664" s="1"/>
      <c r="IN664" s="1"/>
      <c r="IO664" s="1"/>
      <c r="IP664" s="1"/>
      <c r="IQ664" s="1"/>
      <c r="IR664" s="1"/>
      <c r="IS664" s="1"/>
      <c r="IT664" s="1"/>
      <c r="IU664" s="1"/>
      <c r="IV664" s="1"/>
      <c r="IW664" s="1"/>
      <c r="IX664" s="1"/>
      <c r="IY664" s="1"/>
      <c r="IZ664" s="1"/>
      <c r="JA664" s="1"/>
      <c r="JB664" s="1"/>
      <c r="JC664" s="1"/>
      <c r="JD664" s="1"/>
    </row>
    <row r="665" spans="1:264" s="460" customFormat="1" x14ac:dyDescent="0.2">
      <c r="A665" s="568" t="s">
        <v>511</v>
      </c>
      <c r="B665" s="569"/>
      <c r="C665" s="568"/>
      <c r="D665" s="568"/>
      <c r="E665" s="568"/>
      <c r="F665" s="568"/>
      <c r="G665" s="568"/>
      <c r="H665" s="568"/>
      <c r="I665" s="568"/>
      <c r="J665" s="568"/>
      <c r="K665" s="568"/>
      <c r="L665" s="568"/>
      <c r="M665" s="568"/>
      <c r="N665" s="568"/>
      <c r="O665" s="568"/>
      <c r="P665" s="568"/>
      <c r="Q665" s="568"/>
      <c r="R665" s="568"/>
      <c r="S665" s="568"/>
      <c r="T665" s="568"/>
      <c r="U665" s="568"/>
      <c r="V665" s="568"/>
      <c r="W665" s="568"/>
      <c r="X665" s="568"/>
      <c r="Y665" s="568"/>
      <c r="Z665" s="568"/>
      <c r="AA665" s="568"/>
      <c r="AB665" s="568"/>
      <c r="AC665" s="568"/>
      <c r="AD665" s="568"/>
      <c r="AE665" s="568"/>
      <c r="AF665" s="568"/>
      <c r="AG665" s="568"/>
      <c r="AH665" s="568"/>
      <c r="AI665" s="568"/>
      <c r="AJ665" s="568"/>
      <c r="AK665" s="568"/>
      <c r="AL665" s="568"/>
      <c r="AM665" s="568"/>
      <c r="AN665" s="568"/>
      <c r="AO665" s="568"/>
      <c r="AP665" s="568"/>
      <c r="AQ665" s="568"/>
      <c r="AR665" s="568"/>
      <c r="AS665" s="568"/>
      <c r="AT665" s="568"/>
      <c r="AU665" s="568"/>
      <c r="AV665" s="568"/>
      <c r="AW665" s="568"/>
      <c r="AX665" s="568"/>
      <c r="AY665" s="568"/>
      <c r="AZ665" s="568"/>
      <c r="BA665" s="568"/>
      <c r="BB665" s="568"/>
      <c r="BC665" s="568"/>
      <c r="BD665" s="568"/>
      <c r="BE665" s="568"/>
      <c r="BF665" s="568"/>
      <c r="BG665" s="568"/>
      <c r="BH665" s="569"/>
      <c r="BI665" s="569"/>
      <c r="BJ665" s="569"/>
      <c r="BK665" s="569"/>
      <c r="BL665" s="569"/>
      <c r="BM665" s="569"/>
      <c r="BN665" s="569"/>
      <c r="BO665" s="569"/>
      <c r="BP665" s="618"/>
      <c r="BQ665" s="618"/>
      <c r="BR665" s="618"/>
      <c r="BS665" s="618"/>
      <c r="BT665" s="618"/>
      <c r="BU665" s="618"/>
      <c r="BV665" s="618"/>
      <c r="BW665" s="618"/>
      <c r="BX665" s="618"/>
      <c r="BY665" s="618"/>
      <c r="BZ665" s="618"/>
      <c r="CA665" s="619"/>
      <c r="CB665" s="618"/>
      <c r="CC665" s="618"/>
      <c r="CD665" s="618"/>
      <c r="CE665" s="568"/>
      <c r="CF665" s="618"/>
      <c r="CG665" s="618"/>
      <c r="CH665" s="618"/>
      <c r="CI665" s="568"/>
      <c r="CJ665" s="618"/>
      <c r="CK665" s="618"/>
      <c r="CL665" s="618"/>
      <c r="CM665" s="568"/>
      <c r="CN665" s="618"/>
      <c r="CO665" s="618"/>
      <c r="CP665" s="618"/>
      <c r="CQ665" s="568"/>
      <c r="CR665" s="618"/>
      <c r="CS665" s="618"/>
      <c r="CT665" s="618"/>
      <c r="CU665" s="568"/>
      <c r="CV665" s="618"/>
      <c r="CW665" s="618"/>
      <c r="CX665" s="618"/>
      <c r="CY665" s="568"/>
      <c r="CZ665" s="618"/>
      <c r="DA665" s="618"/>
      <c r="DB665" s="618"/>
      <c r="DC665" s="568"/>
      <c r="DD665" s="618"/>
      <c r="DE665" s="618"/>
      <c r="DF665" s="618"/>
      <c r="DG665" s="568"/>
      <c r="DH665" s="618"/>
      <c r="DI665" s="618"/>
      <c r="DJ665" s="618"/>
      <c r="DK665" s="568"/>
      <c r="DL665" s="618"/>
      <c r="DM665" s="618"/>
      <c r="DN665" s="618"/>
      <c r="DO665" s="568"/>
      <c r="DP665" s="618"/>
      <c r="DQ665" s="618"/>
      <c r="DR665" s="618"/>
      <c r="DS665" s="568"/>
      <c r="DT665" s="1"/>
      <c r="DU665" s="1"/>
      <c r="DV665" s="1"/>
      <c r="DW665" s="1"/>
      <c r="DX665" s="1"/>
      <c r="DY665" s="1"/>
      <c r="DZ665" s="1"/>
      <c r="EA665" s="1"/>
      <c r="EB665" s="1"/>
      <c r="EC665" s="1"/>
      <c r="ED665" s="1"/>
      <c r="EE665" s="1"/>
      <c r="EF665" s="1"/>
      <c r="EG665" s="1"/>
      <c r="EH665" s="1"/>
      <c r="EI665" s="1"/>
      <c r="EJ665" s="1"/>
      <c r="EK665" s="1"/>
      <c r="EL665" s="1"/>
      <c r="EM665" s="1"/>
      <c r="EN665" s="1"/>
      <c r="EO665" s="1"/>
      <c r="EP665" s="1"/>
      <c r="EQ665" s="1"/>
      <c r="ER665" s="1"/>
      <c r="ES665" s="1"/>
      <c r="ET665" s="1"/>
      <c r="EU665" s="1"/>
      <c r="EV665" s="1"/>
      <c r="EW665" s="1"/>
      <c r="EX665" s="1"/>
      <c r="EY665" s="1"/>
      <c r="EZ665" s="1"/>
      <c r="FA665" s="1"/>
      <c r="FB665" s="1"/>
      <c r="FC665" s="1"/>
      <c r="FD665" s="1"/>
      <c r="FE665" s="1"/>
      <c r="FF665" s="1"/>
      <c r="FG665" s="1"/>
      <c r="FH665" s="1"/>
      <c r="FI665" s="1"/>
      <c r="FJ665" s="1"/>
      <c r="FK665" s="1"/>
      <c r="FL665" s="1"/>
      <c r="FM665" s="1"/>
      <c r="FN665" s="1"/>
      <c r="FO665" s="1"/>
      <c r="FP665" s="1"/>
      <c r="FQ665" s="1"/>
      <c r="FR665" s="1"/>
      <c r="FS665" s="1"/>
      <c r="FT665" s="1"/>
      <c r="FU665" s="1"/>
      <c r="FV665" s="1"/>
      <c r="FW665" s="1"/>
      <c r="FX665" s="1"/>
      <c r="FY665" s="1"/>
      <c r="FZ665" s="1"/>
      <c r="GA665" s="1"/>
      <c r="GB665" s="1"/>
      <c r="GC665" s="1"/>
      <c r="GD665" s="1"/>
      <c r="GE665" s="1"/>
      <c r="GF665" s="1"/>
      <c r="GG665" s="1"/>
      <c r="GH665" s="1"/>
      <c r="GI665" s="1"/>
      <c r="GJ665" s="1"/>
      <c r="GK665" s="1"/>
      <c r="GL665" s="1"/>
      <c r="GM665" s="1"/>
      <c r="GN665" s="1"/>
      <c r="GO665" s="1"/>
      <c r="GP665" s="1"/>
      <c r="GQ665" s="1"/>
      <c r="GR665" s="1"/>
      <c r="GS665" s="1"/>
      <c r="GT665" s="1"/>
      <c r="GU665" s="1"/>
      <c r="GV665" s="1"/>
      <c r="GW665" s="1"/>
      <c r="GX665" s="1"/>
      <c r="GY665" s="1"/>
      <c r="GZ665" s="1"/>
      <c r="HA665" s="1"/>
      <c r="HB665" s="1"/>
      <c r="HC665" s="1"/>
      <c r="HD665" s="1"/>
      <c r="HE665" s="1"/>
      <c r="HF665" s="1"/>
      <c r="HG665" s="1"/>
      <c r="HH665" s="1"/>
      <c r="HI665" s="1"/>
      <c r="HJ665" s="1"/>
      <c r="HK665" s="1"/>
      <c r="HL665" s="1"/>
      <c r="HM665" s="1"/>
      <c r="HN665" s="1"/>
      <c r="HO665" s="1"/>
      <c r="HP665" s="1"/>
      <c r="HQ665" s="1"/>
      <c r="HR665" s="1"/>
      <c r="HS665" s="1"/>
      <c r="HT665" s="1"/>
      <c r="HU665" s="1"/>
      <c r="HV665" s="1"/>
      <c r="HW665" s="1"/>
      <c r="HX665" s="1"/>
      <c r="HY665" s="1"/>
      <c r="HZ665" s="1"/>
      <c r="IA665" s="1"/>
      <c r="IB665" s="1"/>
      <c r="IC665" s="1"/>
      <c r="ID665" s="1"/>
      <c r="IE665" s="1"/>
      <c r="IF665" s="1"/>
      <c r="IG665" s="1"/>
      <c r="IH665" s="1"/>
      <c r="II665" s="1"/>
      <c r="IJ665" s="1"/>
      <c r="IK665" s="1"/>
      <c r="IL665" s="1"/>
      <c r="IM665" s="1"/>
      <c r="IN665" s="1"/>
      <c r="IO665" s="1"/>
      <c r="IP665" s="1"/>
      <c r="IQ665" s="1"/>
      <c r="IR665" s="1"/>
      <c r="IS665" s="1"/>
      <c r="IT665" s="1"/>
      <c r="IU665" s="1"/>
      <c r="IV665" s="1"/>
      <c r="IW665" s="1"/>
      <c r="IX665" s="1"/>
      <c r="IY665" s="1"/>
      <c r="IZ665" s="1"/>
      <c r="JA665" s="1"/>
      <c r="JB665" s="1"/>
      <c r="JC665" s="1"/>
      <c r="JD665" s="1"/>
    </row>
    <row r="666" spans="1:264" s="347" customFormat="1" x14ac:dyDescent="0.2">
      <c r="B666" s="348"/>
      <c r="BH666" s="348"/>
      <c r="BI666" s="348"/>
      <c r="BJ666" s="348"/>
      <c r="BK666" s="348"/>
      <c r="BL666" s="348"/>
      <c r="BM666" s="348"/>
      <c r="BN666" s="348"/>
      <c r="BO666" s="348"/>
      <c r="BP666" s="620"/>
      <c r="BQ666" s="620"/>
      <c r="BR666" s="620"/>
      <c r="BS666" s="620"/>
      <c r="BT666" s="620"/>
      <c r="BU666" s="620"/>
      <c r="BV666" s="620"/>
      <c r="BW666" s="620"/>
      <c r="BX666" s="620"/>
      <c r="BY666" s="620"/>
      <c r="BZ666" s="620"/>
      <c r="CA666" s="351"/>
      <c r="CB666" s="620"/>
      <c r="CC666" s="620"/>
      <c r="CD666" s="351"/>
      <c r="CF666" s="620"/>
      <c r="CG666" s="620"/>
      <c r="CH666" s="351"/>
      <c r="CJ666" s="620"/>
      <c r="CK666" s="620"/>
      <c r="CL666" s="351"/>
      <c r="CN666" s="620"/>
      <c r="CO666" s="620"/>
      <c r="CP666" s="351"/>
      <c r="CR666" s="620"/>
      <c r="CS666" s="620"/>
      <c r="CT666" s="351"/>
      <c r="CV666" s="620"/>
      <c r="CW666" s="620"/>
      <c r="CX666" s="351"/>
      <c r="CZ666" s="620"/>
      <c r="DA666" s="620"/>
      <c r="DB666" s="351"/>
      <c r="DD666" s="620"/>
      <c r="DE666" s="620"/>
      <c r="DF666" s="351"/>
      <c r="DH666" s="620"/>
      <c r="DI666" s="620"/>
      <c r="DJ666" s="351"/>
      <c r="DL666" s="620"/>
      <c r="DM666" s="620"/>
      <c r="DN666" s="351"/>
      <c r="DP666" s="620"/>
      <c r="DQ666" s="620"/>
      <c r="DR666" s="351"/>
      <c r="DT666" s="1"/>
      <c r="DU666" s="1"/>
      <c r="DV666" s="1"/>
      <c r="DW666" s="1"/>
      <c r="DX666" s="1"/>
      <c r="DY666" s="1"/>
      <c r="DZ666" s="1"/>
      <c r="EA666" s="1"/>
      <c r="EB666" s="1"/>
      <c r="EC666" s="1"/>
      <c r="ED666" s="1"/>
      <c r="EE666" s="1"/>
      <c r="EF666" s="1"/>
      <c r="EG666" s="1"/>
      <c r="EH666" s="1"/>
      <c r="EI666" s="1"/>
      <c r="EJ666" s="1"/>
      <c r="EK666" s="1"/>
      <c r="EL666" s="1"/>
      <c r="EM666" s="1"/>
      <c r="EN666" s="1"/>
      <c r="EO666" s="1"/>
      <c r="EP666" s="1"/>
      <c r="EQ666" s="1"/>
      <c r="ER666" s="1"/>
      <c r="ES666" s="1"/>
      <c r="ET666" s="1"/>
      <c r="EU666" s="1"/>
      <c r="EV666" s="1"/>
      <c r="EW666" s="1"/>
      <c r="EX666" s="1"/>
      <c r="EY666" s="1"/>
      <c r="EZ666" s="1"/>
      <c r="FA666" s="1"/>
      <c r="FB666" s="1"/>
      <c r="FC666" s="1"/>
      <c r="FD666" s="1"/>
      <c r="FE666" s="1"/>
      <c r="FF666" s="1"/>
      <c r="FG666" s="1"/>
      <c r="FH666" s="1"/>
      <c r="FI666" s="1"/>
      <c r="FJ666" s="1"/>
      <c r="FK666" s="1"/>
      <c r="FL666" s="1"/>
      <c r="FM666" s="1"/>
      <c r="FN666" s="1"/>
      <c r="FO666" s="1"/>
      <c r="FP666" s="1"/>
      <c r="FQ666" s="1"/>
      <c r="FR666" s="1"/>
      <c r="FS666" s="1"/>
      <c r="FT666" s="1"/>
      <c r="FU666" s="1"/>
      <c r="FV666" s="1"/>
      <c r="FW666" s="1"/>
      <c r="FX666" s="1"/>
      <c r="FY666" s="1"/>
      <c r="FZ666" s="1"/>
      <c r="GA666" s="1"/>
      <c r="GB666" s="1"/>
      <c r="GC666" s="1"/>
      <c r="GD666" s="1"/>
      <c r="GE666" s="1"/>
      <c r="GF666" s="1"/>
      <c r="GG666" s="1"/>
      <c r="GH666" s="1"/>
      <c r="GI666" s="1"/>
      <c r="GJ666" s="1"/>
      <c r="GK666" s="1"/>
      <c r="GL666" s="1"/>
      <c r="GM666" s="1"/>
      <c r="GN666" s="1"/>
      <c r="GO666" s="1"/>
      <c r="GP666" s="1"/>
      <c r="GQ666" s="1"/>
      <c r="GR666" s="1"/>
      <c r="GS666" s="1"/>
      <c r="GT666" s="1"/>
      <c r="GU666" s="1"/>
      <c r="GV666" s="1"/>
      <c r="GW666" s="1"/>
      <c r="GX666" s="1"/>
      <c r="GY666" s="1"/>
      <c r="GZ666" s="1"/>
      <c r="HA666" s="1"/>
      <c r="HB666" s="1"/>
      <c r="HC666" s="1"/>
      <c r="HD666" s="1"/>
      <c r="HE666" s="1"/>
      <c r="HF666" s="1"/>
      <c r="HG666" s="1"/>
      <c r="HH666" s="1"/>
      <c r="HI666" s="1"/>
      <c r="HJ666" s="1"/>
      <c r="HK666" s="1"/>
      <c r="HL666" s="1"/>
      <c r="HM666" s="1"/>
      <c r="HN666" s="1"/>
      <c r="HO666" s="1"/>
      <c r="HP666" s="1"/>
      <c r="HQ666" s="1"/>
      <c r="HR666" s="1"/>
      <c r="HS666" s="1"/>
      <c r="HT666" s="1"/>
      <c r="HU666" s="1"/>
      <c r="HV666" s="1"/>
      <c r="HW666" s="1"/>
      <c r="HX666" s="1"/>
      <c r="HY666" s="1"/>
      <c r="HZ666" s="1"/>
      <c r="IA666" s="1"/>
      <c r="IB666" s="1"/>
      <c r="IC666" s="1"/>
      <c r="ID666" s="1"/>
      <c r="IE666" s="1"/>
      <c r="IF666" s="1"/>
      <c r="IG666" s="1"/>
      <c r="IH666" s="1"/>
      <c r="II666" s="1"/>
      <c r="IJ666" s="1"/>
      <c r="IK666" s="1"/>
      <c r="IL666" s="1"/>
      <c r="IM666" s="1"/>
      <c r="IN666" s="1"/>
      <c r="IO666" s="1"/>
      <c r="IP666" s="1"/>
      <c r="IQ666" s="1"/>
      <c r="IR666" s="1"/>
      <c r="IS666" s="1"/>
      <c r="IT666" s="1"/>
      <c r="IU666" s="1"/>
      <c r="IV666" s="1"/>
      <c r="IW666" s="1"/>
      <c r="IX666" s="1"/>
      <c r="IY666" s="1"/>
      <c r="IZ666" s="1"/>
      <c r="JA666" s="1"/>
      <c r="JB666" s="1"/>
      <c r="JC666" s="1"/>
      <c r="JD666" s="1"/>
    </row>
    <row r="667" spans="1:264" s="347" customFormat="1" x14ac:dyDescent="0.2">
      <c r="A667" s="409" t="s">
        <v>223</v>
      </c>
      <c r="B667" s="348"/>
      <c r="BH667" s="398">
        <v>884</v>
      </c>
      <c r="BI667" s="398">
        <v>944</v>
      </c>
      <c r="BJ667" s="351">
        <f>+BH667+BI667</f>
        <v>1828</v>
      </c>
      <c r="BK667" s="348"/>
      <c r="BL667" s="351">
        <f>BL20</f>
        <v>1003</v>
      </c>
      <c r="BM667" s="351">
        <f>BM20</f>
        <v>930</v>
      </c>
      <c r="BN667" s="351">
        <f>+BL667+BM667</f>
        <v>1933</v>
      </c>
      <c r="BO667" s="348"/>
      <c r="BP667" s="351">
        <f>BP20</f>
        <v>970</v>
      </c>
      <c r="BQ667" s="351">
        <f>BQ20</f>
        <v>968</v>
      </c>
      <c r="BR667" s="351">
        <f>+BP667+BQ667</f>
        <v>1938</v>
      </c>
      <c r="BT667" s="351">
        <f>BT20</f>
        <v>1032</v>
      </c>
      <c r="BU667" s="351">
        <f>BU20</f>
        <v>984</v>
      </c>
      <c r="BV667" s="351">
        <f>+BT667+BU667</f>
        <v>2016</v>
      </c>
      <c r="BX667" s="351">
        <f>BX20</f>
        <v>943</v>
      </c>
      <c r="BY667" s="351">
        <f>BY20</f>
        <v>970</v>
      </c>
      <c r="BZ667" s="351">
        <f>+BX667+BY667</f>
        <v>1913</v>
      </c>
      <c r="CB667" s="351">
        <f>CB20</f>
        <v>568</v>
      </c>
      <c r="CC667" s="351">
        <f>CC20</f>
        <v>551</v>
      </c>
      <c r="CD667" s="351">
        <f>+CB667+CC667</f>
        <v>1119</v>
      </c>
      <c r="CF667" s="351">
        <f>CF20</f>
        <v>155</v>
      </c>
      <c r="CG667" s="351">
        <f>CG20</f>
        <v>100</v>
      </c>
      <c r="CH667" s="351">
        <f>+CF667+CG667</f>
        <v>255</v>
      </c>
      <c r="CJ667" s="351">
        <f>CJ20</f>
        <v>98</v>
      </c>
      <c r="CK667" s="351">
        <f>CK20</f>
        <v>75</v>
      </c>
      <c r="CL667" s="351">
        <f>+CJ667+CK667</f>
        <v>173</v>
      </c>
      <c r="CN667" s="351">
        <f>CN20</f>
        <v>80</v>
      </c>
      <c r="CO667" s="351">
        <f>CO20</f>
        <v>85</v>
      </c>
      <c r="CP667" s="351">
        <f>+CN667+CO667</f>
        <v>165</v>
      </c>
      <c r="CR667" s="351">
        <f>CR20</f>
        <v>80</v>
      </c>
      <c r="CS667" s="351">
        <f>CS20</f>
        <v>55</v>
      </c>
      <c r="CT667" s="351">
        <f>+CR667+CS667</f>
        <v>135</v>
      </c>
      <c r="CV667" s="351">
        <f>CV20</f>
        <v>28</v>
      </c>
      <c r="CW667" s="351">
        <f>CW20</f>
        <v>54</v>
      </c>
      <c r="CX667" s="351">
        <f>+CV667+CW667</f>
        <v>82</v>
      </c>
      <c r="CZ667" s="351">
        <f>CZ20</f>
        <v>55</v>
      </c>
      <c r="DA667" s="351">
        <f>DA20</f>
        <v>56</v>
      </c>
      <c r="DB667" s="351">
        <f>+CZ667+DA667</f>
        <v>111</v>
      </c>
      <c r="DD667" s="351">
        <f>DD20</f>
        <v>60</v>
      </c>
      <c r="DE667" s="351">
        <f>DE20</f>
        <v>62</v>
      </c>
      <c r="DF667" s="351">
        <f>+DD667+DE667</f>
        <v>122</v>
      </c>
      <c r="DH667" s="351">
        <f>DH20</f>
        <v>67</v>
      </c>
      <c r="DI667" s="351">
        <f>DI683</f>
        <v>68.34</v>
      </c>
      <c r="DJ667" s="351">
        <f>+DH667+DI667</f>
        <v>135.34</v>
      </c>
      <c r="DL667" s="351">
        <f>DL683</f>
        <v>69.706800000000001</v>
      </c>
      <c r="DM667" s="351">
        <f>DM683</f>
        <v>71.100936000000004</v>
      </c>
      <c r="DN667" s="351">
        <f>+DL667+DM667</f>
        <v>140.80773600000001</v>
      </c>
      <c r="DP667" s="351">
        <f>DP683</f>
        <v>72.522954720000001</v>
      </c>
      <c r="DQ667" s="351">
        <f>DQ683</f>
        <v>73.973413814400004</v>
      </c>
      <c r="DR667" s="351">
        <f>+DP667+DQ667</f>
        <v>146.49636853440001</v>
      </c>
      <c r="DT667" s="1"/>
      <c r="DU667" s="1"/>
      <c r="DV667" s="1"/>
      <c r="DW667" s="1"/>
      <c r="DX667" s="1"/>
      <c r="DY667" s="1"/>
      <c r="DZ667" s="1"/>
      <c r="EA667" s="1"/>
      <c r="EB667" s="1"/>
      <c r="EC667" s="1"/>
      <c r="ED667" s="1"/>
      <c r="EE667" s="1"/>
      <c r="EF667" s="1"/>
      <c r="EG667" s="1"/>
      <c r="EH667" s="1"/>
      <c r="EI667" s="1"/>
      <c r="EJ667" s="1"/>
      <c r="EK667" s="1"/>
      <c r="EL667" s="1"/>
      <c r="EM667" s="1"/>
      <c r="EN667" s="1"/>
      <c r="EO667" s="1"/>
      <c r="EP667" s="1"/>
      <c r="EQ667" s="1"/>
      <c r="ER667" s="1"/>
      <c r="ES667" s="1"/>
      <c r="ET667" s="1"/>
      <c r="EU667" s="1"/>
      <c r="EV667" s="1"/>
      <c r="EW667" s="1"/>
      <c r="EX667" s="1"/>
      <c r="EY667" s="1"/>
      <c r="EZ667" s="1"/>
      <c r="FA667" s="1"/>
      <c r="FB667" s="1"/>
      <c r="FC667" s="1"/>
      <c r="FD667" s="1"/>
      <c r="FE667" s="1"/>
      <c r="FF667" s="1"/>
      <c r="FG667" s="1"/>
      <c r="FH667" s="1"/>
      <c r="FI667" s="1"/>
      <c r="FJ667" s="1"/>
      <c r="FK667" s="1"/>
      <c r="FL667" s="1"/>
      <c r="FM667" s="1"/>
      <c r="FN667" s="1"/>
      <c r="FO667" s="1"/>
      <c r="FP667" s="1"/>
      <c r="FQ667" s="1"/>
      <c r="FR667" s="1"/>
      <c r="FS667" s="1"/>
      <c r="FT667" s="1"/>
      <c r="FU667" s="1"/>
      <c r="FV667" s="1"/>
      <c r="FW667" s="1"/>
      <c r="FX667" s="1"/>
      <c r="FY667" s="1"/>
      <c r="FZ667" s="1"/>
      <c r="GA667" s="1"/>
      <c r="GB667" s="1"/>
      <c r="GC667" s="1"/>
      <c r="GD667" s="1"/>
      <c r="GE667" s="1"/>
      <c r="GF667" s="1"/>
      <c r="GG667" s="1"/>
      <c r="GH667" s="1"/>
      <c r="GI667" s="1"/>
      <c r="GJ667" s="1"/>
      <c r="GK667" s="1"/>
      <c r="GL667" s="1"/>
      <c r="GM667" s="1"/>
      <c r="GN667" s="1"/>
      <c r="GO667" s="1"/>
      <c r="GP667" s="1"/>
      <c r="GQ667" s="1"/>
      <c r="GR667" s="1"/>
      <c r="GS667" s="1"/>
      <c r="GT667" s="1"/>
      <c r="GU667" s="1"/>
      <c r="GV667" s="1"/>
      <c r="GW667" s="1"/>
      <c r="GX667" s="1"/>
      <c r="GY667" s="1"/>
      <c r="GZ667" s="1"/>
      <c r="HA667" s="1"/>
      <c r="HB667" s="1"/>
      <c r="HC667" s="1"/>
      <c r="HD667" s="1"/>
      <c r="HE667" s="1"/>
      <c r="HF667" s="1"/>
      <c r="HG667" s="1"/>
      <c r="HH667" s="1"/>
      <c r="HI667" s="1"/>
      <c r="HJ667" s="1"/>
      <c r="HK667" s="1"/>
      <c r="HL667" s="1"/>
      <c r="HM667" s="1"/>
      <c r="HN667" s="1"/>
      <c r="HO667" s="1"/>
      <c r="HP667" s="1"/>
      <c r="HQ667" s="1"/>
      <c r="HR667" s="1"/>
      <c r="HS667" s="1"/>
      <c r="HT667" s="1"/>
      <c r="HU667" s="1"/>
      <c r="HV667" s="1"/>
      <c r="HW667" s="1"/>
      <c r="HX667" s="1"/>
      <c r="HY667" s="1"/>
      <c r="HZ667" s="1"/>
      <c r="IA667" s="1"/>
      <c r="IB667" s="1"/>
      <c r="IC667" s="1"/>
      <c r="ID667" s="1"/>
      <c r="IE667" s="1"/>
      <c r="IF667" s="1"/>
      <c r="IG667" s="1"/>
      <c r="IH667" s="1"/>
      <c r="II667" s="1"/>
      <c r="IJ667" s="1"/>
      <c r="IK667" s="1"/>
      <c r="IL667" s="1"/>
      <c r="IM667" s="1"/>
      <c r="IN667" s="1"/>
      <c r="IO667" s="1"/>
      <c r="IP667" s="1"/>
      <c r="IQ667" s="1"/>
      <c r="IR667" s="1"/>
      <c r="IS667" s="1"/>
      <c r="IT667" s="1"/>
      <c r="IU667" s="1"/>
      <c r="IV667" s="1"/>
      <c r="IW667" s="1"/>
      <c r="IX667" s="1"/>
      <c r="IY667" s="1"/>
      <c r="IZ667" s="1"/>
      <c r="JA667" s="1"/>
      <c r="JB667" s="1"/>
      <c r="JC667" s="1"/>
      <c r="JD667" s="1"/>
    </row>
    <row r="668" spans="1:264" s="347" customFormat="1" x14ac:dyDescent="0.2">
      <c r="A668" s="409" t="s">
        <v>224</v>
      </c>
      <c r="B668" s="348"/>
      <c r="BH668" s="398">
        <v>354</v>
      </c>
      <c r="BI668" s="398">
        <v>385</v>
      </c>
      <c r="BJ668" s="351">
        <f>+BH668+BI668</f>
        <v>739</v>
      </c>
      <c r="BK668" s="348"/>
      <c r="BL668" s="351">
        <f>BL21</f>
        <v>386</v>
      </c>
      <c r="BM668" s="351">
        <f>BM21</f>
        <v>433</v>
      </c>
      <c r="BN668" s="351">
        <f>+BL668+BM668</f>
        <v>819</v>
      </c>
      <c r="BO668" s="348"/>
      <c r="BP668" s="351">
        <f>BP21</f>
        <v>416</v>
      </c>
      <c r="BQ668" s="351">
        <f>BQ21</f>
        <v>376</v>
      </c>
      <c r="BR668" s="351">
        <f>+BP668+BQ668</f>
        <v>792</v>
      </c>
      <c r="BT668" s="351">
        <f>BT21</f>
        <v>487</v>
      </c>
      <c r="BU668" s="351">
        <f>BU21</f>
        <v>308</v>
      </c>
      <c r="BV668" s="351">
        <f>+BT668+BU668</f>
        <v>795</v>
      </c>
      <c r="BX668" s="351">
        <f>BX21</f>
        <v>162</v>
      </c>
      <c r="BY668" s="351">
        <f>BY21</f>
        <v>61</v>
      </c>
      <c r="BZ668" s="351">
        <f>+BX668+BY668</f>
        <v>223</v>
      </c>
      <c r="CB668" s="351">
        <f>CB21</f>
        <v>112</v>
      </c>
      <c r="CC668" s="351">
        <f>CC21</f>
        <v>126</v>
      </c>
      <c r="CD668" s="351">
        <f>+CB668+CC668</f>
        <v>238</v>
      </c>
      <c r="CF668" s="351">
        <f>CF21</f>
        <v>71</v>
      </c>
      <c r="CG668" s="351">
        <f>CG21</f>
        <v>78</v>
      </c>
      <c r="CH668" s="351">
        <f>+CF668+CG668</f>
        <v>149</v>
      </c>
      <c r="CJ668" s="351">
        <f>CJ21</f>
        <v>32</v>
      </c>
      <c r="CK668" s="351">
        <f>CK21</f>
        <v>109</v>
      </c>
      <c r="CL668" s="351">
        <f>+CJ668+CK668</f>
        <v>141</v>
      </c>
      <c r="CN668" s="351">
        <f>CN21</f>
        <v>91</v>
      </c>
      <c r="CO668" s="351">
        <f>CO21</f>
        <v>54</v>
      </c>
      <c r="CP668" s="351">
        <f>+CN668+CO668</f>
        <v>145</v>
      </c>
      <c r="CR668" s="351">
        <f>CR21</f>
        <v>18</v>
      </c>
      <c r="CS668" s="351">
        <f>CS21</f>
        <v>55</v>
      </c>
      <c r="CT668" s="351">
        <f>+CR668+CS668</f>
        <v>73</v>
      </c>
      <c r="CV668" s="351">
        <f>CV21</f>
        <v>0</v>
      </c>
      <c r="CW668" s="351">
        <f>CW21</f>
        <v>0</v>
      </c>
      <c r="CX668" s="351">
        <f>+CV668+CW668</f>
        <v>0</v>
      </c>
      <c r="CZ668" s="351">
        <f>CZ21</f>
        <v>0</v>
      </c>
      <c r="DA668" s="351">
        <f>DA21</f>
        <v>0</v>
      </c>
      <c r="DB668" s="351">
        <f>+CZ668+DA668</f>
        <v>0</v>
      </c>
      <c r="DD668" s="351">
        <f>DD21</f>
        <v>0</v>
      </c>
      <c r="DE668" s="351">
        <f>DE21</f>
        <v>0</v>
      </c>
      <c r="DF668" s="351">
        <f>+DD668+DE668</f>
        <v>0</v>
      </c>
      <c r="DH668" s="351">
        <f>DH21</f>
        <v>0</v>
      </c>
      <c r="DI668" s="351">
        <f>DI734</f>
        <v>0</v>
      </c>
      <c r="DJ668" s="351">
        <f>+DH668+DI668</f>
        <v>0</v>
      </c>
      <c r="DL668" s="351">
        <f>DL734</f>
        <v>0</v>
      </c>
      <c r="DM668" s="351">
        <f>DM734</f>
        <v>0</v>
      </c>
      <c r="DN668" s="351">
        <f>+DL668+DM668</f>
        <v>0</v>
      </c>
      <c r="DP668" s="351">
        <f>DP734</f>
        <v>0</v>
      </c>
      <c r="DQ668" s="351">
        <f>DQ734</f>
        <v>0</v>
      </c>
      <c r="DR668" s="351">
        <f>+DP668+DQ668</f>
        <v>0</v>
      </c>
      <c r="DT668" s="1"/>
      <c r="DU668" s="1"/>
      <c r="DV668" s="1"/>
      <c r="DW668" s="1"/>
      <c r="DX668" s="1"/>
      <c r="DY668" s="1"/>
      <c r="DZ668" s="1"/>
      <c r="EA668" s="1"/>
      <c r="EB668" s="1"/>
      <c r="EC668" s="1"/>
      <c r="ED668" s="1"/>
      <c r="EE668" s="1"/>
      <c r="EF668" s="1"/>
      <c r="EG668" s="1"/>
      <c r="EH668" s="1"/>
      <c r="EI668" s="1"/>
      <c r="EJ668" s="1"/>
      <c r="EK668" s="1"/>
      <c r="EL668" s="1"/>
      <c r="EM668" s="1"/>
      <c r="EN668" s="1"/>
      <c r="EO668" s="1"/>
      <c r="EP668" s="1"/>
      <c r="EQ668" s="1"/>
      <c r="ER668" s="1"/>
      <c r="ES668" s="1"/>
      <c r="ET668" s="1"/>
      <c r="EU668" s="1"/>
      <c r="EV668" s="1"/>
      <c r="EW668" s="1"/>
      <c r="EX668" s="1"/>
      <c r="EY668" s="1"/>
      <c r="EZ668" s="1"/>
      <c r="FA668" s="1"/>
      <c r="FB668" s="1"/>
      <c r="FC668" s="1"/>
      <c r="FD668" s="1"/>
      <c r="FE668" s="1"/>
      <c r="FF668" s="1"/>
      <c r="FG668" s="1"/>
      <c r="FH668" s="1"/>
      <c r="FI668" s="1"/>
      <c r="FJ668" s="1"/>
      <c r="FK668" s="1"/>
      <c r="FL668" s="1"/>
      <c r="FM668" s="1"/>
      <c r="FN668" s="1"/>
      <c r="FO668" s="1"/>
      <c r="FP668" s="1"/>
      <c r="FQ668" s="1"/>
      <c r="FR668" s="1"/>
      <c r="FS668" s="1"/>
      <c r="FT668" s="1"/>
      <c r="FU668" s="1"/>
      <c r="FV668" s="1"/>
      <c r="FW668" s="1"/>
      <c r="FX668" s="1"/>
      <c r="FY668" s="1"/>
      <c r="FZ668" s="1"/>
      <c r="GA668" s="1"/>
      <c r="GB668" s="1"/>
      <c r="GC668" s="1"/>
      <c r="GD668" s="1"/>
      <c r="GE668" s="1"/>
      <c r="GF668" s="1"/>
      <c r="GG668" s="1"/>
      <c r="GH668" s="1"/>
      <c r="GI668" s="1"/>
      <c r="GJ668" s="1"/>
      <c r="GK668" s="1"/>
      <c r="GL668" s="1"/>
      <c r="GM668" s="1"/>
      <c r="GN668" s="1"/>
      <c r="GO668" s="1"/>
      <c r="GP668" s="1"/>
      <c r="GQ668" s="1"/>
      <c r="GR668" s="1"/>
      <c r="GS668" s="1"/>
      <c r="GT668" s="1"/>
      <c r="GU668" s="1"/>
      <c r="GV668" s="1"/>
      <c r="GW668" s="1"/>
      <c r="GX668" s="1"/>
      <c r="GY668" s="1"/>
      <c r="GZ668" s="1"/>
      <c r="HA668" s="1"/>
      <c r="HB668" s="1"/>
      <c r="HC668" s="1"/>
      <c r="HD668" s="1"/>
      <c r="HE668" s="1"/>
      <c r="HF668" s="1"/>
      <c r="HG668" s="1"/>
      <c r="HH668" s="1"/>
      <c r="HI668" s="1"/>
      <c r="HJ668" s="1"/>
      <c r="HK668" s="1"/>
      <c r="HL668" s="1"/>
      <c r="HM668" s="1"/>
      <c r="HN668" s="1"/>
      <c r="HO668" s="1"/>
      <c r="HP668" s="1"/>
      <c r="HQ668" s="1"/>
      <c r="HR668" s="1"/>
      <c r="HS668" s="1"/>
      <c r="HT668" s="1"/>
      <c r="HU668" s="1"/>
      <c r="HV668" s="1"/>
      <c r="HW668" s="1"/>
      <c r="HX668" s="1"/>
      <c r="HY668" s="1"/>
      <c r="HZ668" s="1"/>
      <c r="IA668" s="1"/>
      <c r="IB668" s="1"/>
      <c r="IC668" s="1"/>
      <c r="ID668" s="1"/>
      <c r="IE668" s="1"/>
      <c r="IF668" s="1"/>
      <c r="IG668" s="1"/>
      <c r="IH668" s="1"/>
      <c r="II668" s="1"/>
      <c r="IJ668" s="1"/>
      <c r="IK668" s="1"/>
      <c r="IL668" s="1"/>
      <c r="IM668" s="1"/>
      <c r="IN668" s="1"/>
      <c r="IO668" s="1"/>
      <c r="IP668" s="1"/>
      <c r="IQ668" s="1"/>
      <c r="IR668" s="1"/>
      <c r="IS668" s="1"/>
      <c r="IT668" s="1"/>
      <c r="IU668" s="1"/>
      <c r="IV668" s="1"/>
      <c r="IW668" s="1"/>
      <c r="IX668" s="1"/>
      <c r="IY668" s="1"/>
      <c r="IZ668" s="1"/>
      <c r="JA668" s="1"/>
      <c r="JB668" s="1"/>
      <c r="JC668" s="1"/>
      <c r="JD668" s="1"/>
    </row>
    <row r="669" spans="1:264" s="411" customFormat="1" x14ac:dyDescent="0.2">
      <c r="A669" s="407" t="s">
        <v>512</v>
      </c>
      <c r="B669" s="423"/>
      <c r="BH669" s="397">
        <f>SUM(BH667:BH668)</f>
        <v>1238</v>
      </c>
      <c r="BI669" s="397">
        <f>SUM(BI667:BI668)</f>
        <v>1329</v>
      </c>
      <c r="BJ669" s="397">
        <f>SUM(BJ667:BJ668)</f>
        <v>2567</v>
      </c>
      <c r="BK669" s="423"/>
      <c r="BL669" s="397">
        <f>SUM(BL667:BL668)</f>
        <v>1389</v>
      </c>
      <c r="BM669" s="397">
        <f>SUM(BM667:BM668)</f>
        <v>1363</v>
      </c>
      <c r="BN669" s="397">
        <f>SUM(BN667:BN668)</f>
        <v>2752</v>
      </c>
      <c r="BO669" s="423"/>
      <c r="BP669" s="397">
        <f>SUM(BP667:BP668)</f>
        <v>1386</v>
      </c>
      <c r="BQ669" s="397">
        <f>SUM(BQ667:BQ668)</f>
        <v>1344</v>
      </c>
      <c r="BR669" s="397">
        <f>SUM(BR667:BR668)</f>
        <v>2730</v>
      </c>
      <c r="BT669" s="397">
        <f>SUM(BT667:BT668)</f>
        <v>1519</v>
      </c>
      <c r="BU669" s="397">
        <f>SUM(BU667:BU668)</f>
        <v>1292</v>
      </c>
      <c r="BV669" s="397">
        <f>SUM(BV667:BV668)</f>
        <v>2811</v>
      </c>
      <c r="BX669" s="397">
        <f>SUM(BX667:BX668)</f>
        <v>1105</v>
      </c>
      <c r="BY669" s="397">
        <f>SUM(BY667:BY668)</f>
        <v>1031</v>
      </c>
      <c r="BZ669" s="397">
        <f>SUM(BZ667:BZ668)</f>
        <v>2136</v>
      </c>
      <c r="CB669" s="397">
        <f>SUM(CB667:CB668)</f>
        <v>680</v>
      </c>
      <c r="CC669" s="397">
        <f>SUM(CC667:CC668)</f>
        <v>677</v>
      </c>
      <c r="CD669" s="397">
        <f>SUM(CD667:CD668)</f>
        <v>1357</v>
      </c>
      <c r="CF669" s="397">
        <f>SUM(CF667:CF668)</f>
        <v>226</v>
      </c>
      <c r="CG669" s="397">
        <f>SUM(CG667:CG668)</f>
        <v>178</v>
      </c>
      <c r="CH669" s="397">
        <f>SUM(CH667:CH668)</f>
        <v>404</v>
      </c>
      <c r="CJ669" s="397">
        <f>SUM(CJ667:CJ668)</f>
        <v>130</v>
      </c>
      <c r="CK669" s="397">
        <f>SUM(CK667:CK668)</f>
        <v>184</v>
      </c>
      <c r="CL669" s="397">
        <f>SUM(CL667:CL668)</f>
        <v>314</v>
      </c>
      <c r="CN669" s="397">
        <f>SUM(CN667:CN668)</f>
        <v>171</v>
      </c>
      <c r="CO669" s="397">
        <f>SUM(CO667:CO668)</f>
        <v>139</v>
      </c>
      <c r="CP669" s="397">
        <f>SUM(CP667:CP668)</f>
        <v>310</v>
      </c>
      <c r="CR669" s="397">
        <f>SUM(CR667:CR668)</f>
        <v>98</v>
      </c>
      <c r="CS669" s="397">
        <f>SUM(CS667:CS668)</f>
        <v>110</v>
      </c>
      <c r="CT669" s="397">
        <f>SUM(CT667:CT668)</f>
        <v>208</v>
      </c>
      <c r="CV669" s="397">
        <f>SUM(CV667:CV668)</f>
        <v>28</v>
      </c>
      <c r="CW669" s="397">
        <f>SUM(CW667:CW668)</f>
        <v>54</v>
      </c>
      <c r="CX669" s="397">
        <f>SUM(CX667:CX668)</f>
        <v>82</v>
      </c>
      <c r="CZ669" s="397">
        <f>SUM(CZ667:CZ668)</f>
        <v>55</v>
      </c>
      <c r="DA669" s="397">
        <f>SUM(DA667:DA668)</f>
        <v>56</v>
      </c>
      <c r="DB669" s="397">
        <f>SUM(DB667:DB668)</f>
        <v>111</v>
      </c>
      <c r="DD669" s="397">
        <f>SUM(DD667:DD668)</f>
        <v>60</v>
      </c>
      <c r="DE669" s="397">
        <f>SUM(DE667:DE668)</f>
        <v>62</v>
      </c>
      <c r="DF669" s="397">
        <f>SUM(DF667:DF668)</f>
        <v>122</v>
      </c>
      <c r="DH669" s="397">
        <f>SUM(DH667:DH668)</f>
        <v>67</v>
      </c>
      <c r="DI669" s="397">
        <f>SUM(DI667:DI668)</f>
        <v>68.34</v>
      </c>
      <c r="DJ669" s="397">
        <f>SUM(DJ667:DJ668)</f>
        <v>135.34</v>
      </c>
      <c r="DL669" s="397">
        <f>SUM(DL667:DL668)</f>
        <v>69.706800000000001</v>
      </c>
      <c r="DM669" s="397">
        <f>SUM(DM667:DM668)</f>
        <v>71.100936000000004</v>
      </c>
      <c r="DN669" s="397">
        <f>SUM(DN667:DN668)</f>
        <v>140.80773600000001</v>
      </c>
      <c r="DP669" s="397">
        <f>SUM(DP667:DP668)</f>
        <v>72.522954720000001</v>
      </c>
      <c r="DQ669" s="397">
        <f>SUM(DQ667:DQ668)</f>
        <v>73.973413814400004</v>
      </c>
      <c r="DR669" s="397">
        <f>SUM(DR667:DR668)</f>
        <v>146.49636853440001</v>
      </c>
      <c r="DT669" s="1"/>
      <c r="DU669" s="1"/>
      <c r="DV669" s="1"/>
      <c r="DW669" s="1"/>
      <c r="DX669" s="1"/>
      <c r="DY669" s="1"/>
      <c r="DZ669" s="1"/>
      <c r="EA669" s="1"/>
      <c r="EB669" s="1"/>
      <c r="EC669" s="1"/>
      <c r="ED669" s="1"/>
      <c r="EE669" s="1"/>
      <c r="EF669" s="1"/>
      <c r="EG669" s="1"/>
      <c r="EH669" s="1"/>
      <c r="EI669" s="1"/>
      <c r="EJ669" s="1"/>
      <c r="EK669" s="1"/>
      <c r="EL669" s="1"/>
      <c r="EM669" s="1"/>
      <c r="EN669" s="1"/>
      <c r="EO669" s="1"/>
      <c r="EP669" s="1"/>
      <c r="EQ669" s="1"/>
      <c r="ER669" s="1"/>
      <c r="ES669" s="1"/>
      <c r="ET669" s="1"/>
      <c r="EU669" s="1"/>
      <c r="EV669" s="1"/>
      <c r="EW669" s="1"/>
      <c r="EX669" s="1"/>
      <c r="EY669" s="1"/>
      <c r="EZ669" s="1"/>
      <c r="FA669" s="1"/>
      <c r="FB669" s="1"/>
      <c r="FC669" s="1"/>
      <c r="FD669" s="1"/>
      <c r="FE669" s="1"/>
      <c r="FF669" s="1"/>
      <c r="FG669" s="1"/>
      <c r="FH669" s="1"/>
      <c r="FI669" s="1"/>
      <c r="FJ669" s="1"/>
      <c r="FK669" s="1"/>
      <c r="FL669" s="1"/>
      <c r="FM669" s="1"/>
      <c r="FN669" s="1"/>
      <c r="FO669" s="1"/>
      <c r="FP669" s="1"/>
      <c r="FQ669" s="1"/>
      <c r="FR669" s="1"/>
      <c r="FS669" s="1"/>
      <c r="FT669" s="1"/>
      <c r="FU669" s="1"/>
      <c r="FV669" s="1"/>
      <c r="FW669" s="1"/>
      <c r="FX669" s="1"/>
      <c r="FY669" s="1"/>
      <c r="FZ669" s="1"/>
      <c r="GA669" s="1"/>
      <c r="GB669" s="1"/>
      <c r="GC669" s="1"/>
      <c r="GD669" s="1"/>
      <c r="GE669" s="1"/>
      <c r="GF669" s="1"/>
      <c r="GG669" s="1"/>
      <c r="GH669" s="1"/>
      <c r="GI669" s="1"/>
      <c r="GJ669" s="1"/>
      <c r="GK669" s="1"/>
      <c r="GL669" s="1"/>
      <c r="GM669" s="1"/>
      <c r="GN669" s="1"/>
      <c r="GO669" s="1"/>
      <c r="GP669" s="1"/>
      <c r="GQ669" s="1"/>
      <c r="GR669" s="1"/>
      <c r="GS669" s="1"/>
      <c r="GT669" s="1"/>
      <c r="GU669" s="1"/>
      <c r="GV669" s="1"/>
      <c r="GW669" s="1"/>
      <c r="GX669" s="1"/>
      <c r="GY669" s="1"/>
      <c r="GZ669" s="1"/>
      <c r="HA669" s="1"/>
      <c r="HB669" s="1"/>
      <c r="HC669" s="1"/>
      <c r="HD669" s="1"/>
      <c r="HE669" s="1"/>
      <c r="HF669" s="1"/>
      <c r="HG669" s="1"/>
      <c r="HH669" s="1"/>
      <c r="HI669" s="1"/>
      <c r="HJ669" s="1"/>
      <c r="HK669" s="1"/>
      <c r="HL669" s="1"/>
      <c r="HM669" s="1"/>
      <c r="HN669" s="1"/>
      <c r="HO669" s="1"/>
      <c r="HP669" s="1"/>
      <c r="HQ669" s="1"/>
      <c r="HR669" s="1"/>
      <c r="HS669" s="1"/>
      <c r="HT669" s="1"/>
      <c r="HU669" s="1"/>
      <c r="HV669" s="1"/>
      <c r="HW669" s="1"/>
      <c r="HX669" s="1"/>
      <c r="HY669" s="1"/>
      <c r="HZ669" s="1"/>
      <c r="IA669" s="1"/>
      <c r="IB669" s="1"/>
      <c r="IC669" s="1"/>
      <c r="ID669" s="1"/>
      <c r="IE669" s="1"/>
      <c r="IF669" s="1"/>
      <c r="IG669" s="1"/>
      <c r="IH669" s="1"/>
      <c r="II669" s="1"/>
      <c r="IJ669" s="1"/>
      <c r="IK669" s="1"/>
      <c r="IL669" s="1"/>
      <c r="IM669" s="1"/>
      <c r="IN669" s="1"/>
      <c r="IO669" s="1"/>
      <c r="IP669" s="1"/>
      <c r="IQ669" s="1"/>
      <c r="IR669" s="1"/>
      <c r="IS669" s="1"/>
      <c r="IT669" s="1"/>
      <c r="IU669" s="1"/>
      <c r="IV669" s="1"/>
      <c r="IW669" s="1"/>
      <c r="IX669" s="1"/>
      <c r="IY669" s="1"/>
      <c r="IZ669" s="1"/>
      <c r="JA669" s="1"/>
      <c r="JB669" s="1"/>
      <c r="JC669" s="1"/>
      <c r="JD669" s="1"/>
    </row>
    <row r="670" spans="1:264" s="347" customFormat="1" x14ac:dyDescent="0.2">
      <c r="A670" s="409" t="s">
        <v>225</v>
      </c>
      <c r="B670" s="348"/>
      <c r="BH670" s="398">
        <v>84</v>
      </c>
      <c r="BI670" s="398">
        <v>70</v>
      </c>
      <c r="BJ670" s="351">
        <f>+BH670+BI670</f>
        <v>154</v>
      </c>
      <c r="BK670" s="348"/>
      <c r="BL670" s="351">
        <f>BL22</f>
        <v>81</v>
      </c>
      <c r="BM670" s="351">
        <f>BM22</f>
        <v>154</v>
      </c>
      <c r="BN670" s="351">
        <f>+BL670+BM670</f>
        <v>235</v>
      </c>
      <c r="BO670" s="348"/>
      <c r="BP670" s="351">
        <f>BP22</f>
        <v>80</v>
      </c>
      <c r="BQ670" s="351">
        <f>BQ22</f>
        <v>130</v>
      </c>
      <c r="BR670" s="351">
        <f>+BP670+BQ670</f>
        <v>210</v>
      </c>
      <c r="BT670" s="351">
        <f>BT22</f>
        <v>58</v>
      </c>
      <c r="BU670" s="351">
        <f>BU22</f>
        <v>83</v>
      </c>
      <c r="BV670" s="351">
        <f>+BT670+BU670</f>
        <v>141</v>
      </c>
      <c r="BX670" s="351">
        <f>BX22</f>
        <v>2</v>
      </c>
      <c r="BY670" s="351">
        <f>BY22</f>
        <v>21</v>
      </c>
      <c r="BZ670" s="351">
        <f>+BX670+BY670</f>
        <v>23</v>
      </c>
      <c r="CB670" s="351">
        <f>CB22</f>
        <v>6</v>
      </c>
      <c r="CC670" s="351">
        <f>CC22</f>
        <v>2</v>
      </c>
      <c r="CD670" s="351">
        <f>+CB670+CC670</f>
        <v>8</v>
      </c>
      <c r="CF670" s="351">
        <f>CF22</f>
        <v>0</v>
      </c>
      <c r="CG670" s="351">
        <f>CG22</f>
        <v>0</v>
      </c>
      <c r="CH670" s="351">
        <f>+CF670+CG670</f>
        <v>0</v>
      </c>
      <c r="CJ670" s="351">
        <f>CJ22</f>
        <v>0</v>
      </c>
      <c r="CK670" s="351">
        <f>CK22</f>
        <v>0</v>
      </c>
      <c r="CL670" s="351">
        <f>+CJ670+CK670</f>
        <v>0</v>
      </c>
      <c r="CN670" s="351">
        <f>CN22</f>
        <v>0</v>
      </c>
      <c r="CO670" s="351">
        <f>CO22</f>
        <v>0</v>
      </c>
      <c r="CP670" s="351">
        <f>+CN670+CO670</f>
        <v>0</v>
      </c>
      <c r="CR670" s="351">
        <f>CR22</f>
        <v>0</v>
      </c>
      <c r="CS670" s="351">
        <f>CS22</f>
        <v>0</v>
      </c>
      <c r="CT670" s="351">
        <f>+CR670+CS670</f>
        <v>0</v>
      </c>
      <c r="CV670" s="351">
        <f>CV22</f>
        <v>0</v>
      </c>
      <c r="CW670" s="351">
        <f>CW22</f>
        <v>0</v>
      </c>
      <c r="CX670" s="351">
        <f>+CV670+CW670</f>
        <v>0</v>
      </c>
      <c r="CZ670" s="351">
        <f>CZ22</f>
        <v>0</v>
      </c>
      <c r="DA670" s="351">
        <f>DA22</f>
        <v>0</v>
      </c>
      <c r="DB670" s="351">
        <f>+CZ670+DA670</f>
        <v>0</v>
      </c>
      <c r="DD670" s="351">
        <f>DD22</f>
        <v>0</v>
      </c>
      <c r="DE670" s="351">
        <f>DE22</f>
        <v>0</v>
      </c>
      <c r="DF670" s="351">
        <f>+DD670+DE670</f>
        <v>0</v>
      </c>
      <c r="DH670" s="351">
        <f>DH22</f>
        <v>0</v>
      </c>
      <c r="DI670" s="351">
        <f>DI759</f>
        <v>0</v>
      </c>
      <c r="DJ670" s="351">
        <f>+DH670+DI670</f>
        <v>0</v>
      </c>
      <c r="DL670" s="351">
        <f>DL759</f>
        <v>0</v>
      </c>
      <c r="DM670" s="351">
        <f>DM759</f>
        <v>0</v>
      </c>
      <c r="DN670" s="351">
        <f>+DL670+DM670</f>
        <v>0</v>
      </c>
      <c r="DP670" s="351">
        <f>DP759</f>
        <v>0</v>
      </c>
      <c r="DQ670" s="351">
        <f>DQ759</f>
        <v>0</v>
      </c>
      <c r="DR670" s="351">
        <f>+DP670+DQ670</f>
        <v>0</v>
      </c>
      <c r="DT670" s="1"/>
      <c r="DU670" s="1"/>
      <c r="DV670" s="1"/>
      <c r="DW670" s="1"/>
      <c r="DX670" s="1"/>
      <c r="DY670" s="1"/>
      <c r="DZ670" s="1"/>
      <c r="EA670" s="1"/>
      <c r="EB670" s="1"/>
      <c r="EC670" s="1"/>
      <c r="ED670" s="1"/>
      <c r="EE670" s="1"/>
      <c r="EF670" s="1"/>
      <c r="EG670" s="1"/>
      <c r="EH670" s="1"/>
      <c r="EI670" s="1"/>
      <c r="EJ670" s="1"/>
      <c r="EK670" s="1"/>
      <c r="EL670" s="1"/>
      <c r="EM670" s="1"/>
      <c r="EN670" s="1"/>
      <c r="EO670" s="1"/>
      <c r="EP670" s="1"/>
      <c r="EQ670" s="1"/>
      <c r="ER670" s="1"/>
      <c r="ES670" s="1"/>
      <c r="ET670" s="1"/>
      <c r="EU670" s="1"/>
      <c r="EV670" s="1"/>
      <c r="EW670" s="1"/>
      <c r="EX670" s="1"/>
      <c r="EY670" s="1"/>
      <c r="EZ670" s="1"/>
      <c r="FA670" s="1"/>
      <c r="FB670" s="1"/>
      <c r="FC670" s="1"/>
      <c r="FD670" s="1"/>
      <c r="FE670" s="1"/>
      <c r="FF670" s="1"/>
      <c r="FG670" s="1"/>
      <c r="FH670" s="1"/>
      <c r="FI670" s="1"/>
      <c r="FJ670" s="1"/>
      <c r="FK670" s="1"/>
      <c r="FL670" s="1"/>
      <c r="FM670" s="1"/>
      <c r="FN670" s="1"/>
      <c r="FO670" s="1"/>
      <c r="FP670" s="1"/>
      <c r="FQ670" s="1"/>
      <c r="FR670" s="1"/>
      <c r="FS670" s="1"/>
      <c r="FT670" s="1"/>
      <c r="FU670" s="1"/>
      <c r="FV670" s="1"/>
      <c r="FW670" s="1"/>
      <c r="FX670" s="1"/>
      <c r="FY670" s="1"/>
      <c r="FZ670" s="1"/>
      <c r="GA670" s="1"/>
      <c r="GB670" s="1"/>
      <c r="GC670" s="1"/>
      <c r="GD670" s="1"/>
      <c r="GE670" s="1"/>
      <c r="GF670" s="1"/>
      <c r="GG670" s="1"/>
      <c r="GH670" s="1"/>
      <c r="GI670" s="1"/>
      <c r="GJ670" s="1"/>
      <c r="GK670" s="1"/>
      <c r="GL670" s="1"/>
      <c r="GM670" s="1"/>
      <c r="GN670" s="1"/>
      <c r="GO670" s="1"/>
      <c r="GP670" s="1"/>
      <c r="GQ670" s="1"/>
      <c r="GR670" s="1"/>
      <c r="GS670" s="1"/>
      <c r="GT670" s="1"/>
      <c r="GU670" s="1"/>
      <c r="GV670" s="1"/>
      <c r="GW670" s="1"/>
      <c r="GX670" s="1"/>
      <c r="GY670" s="1"/>
      <c r="GZ670" s="1"/>
      <c r="HA670" s="1"/>
      <c r="HB670" s="1"/>
      <c r="HC670" s="1"/>
      <c r="HD670" s="1"/>
      <c r="HE670" s="1"/>
      <c r="HF670" s="1"/>
      <c r="HG670" s="1"/>
      <c r="HH670" s="1"/>
      <c r="HI670" s="1"/>
      <c r="HJ670" s="1"/>
      <c r="HK670" s="1"/>
      <c r="HL670" s="1"/>
      <c r="HM670" s="1"/>
      <c r="HN670" s="1"/>
      <c r="HO670" s="1"/>
      <c r="HP670" s="1"/>
      <c r="HQ670" s="1"/>
      <c r="HR670" s="1"/>
      <c r="HS670" s="1"/>
      <c r="HT670" s="1"/>
      <c r="HU670" s="1"/>
      <c r="HV670" s="1"/>
      <c r="HW670" s="1"/>
      <c r="HX670" s="1"/>
      <c r="HY670" s="1"/>
      <c r="HZ670" s="1"/>
      <c r="IA670" s="1"/>
      <c r="IB670" s="1"/>
      <c r="IC670" s="1"/>
      <c r="ID670" s="1"/>
      <c r="IE670" s="1"/>
      <c r="IF670" s="1"/>
      <c r="IG670" s="1"/>
      <c r="IH670" s="1"/>
      <c r="II670" s="1"/>
      <c r="IJ670" s="1"/>
      <c r="IK670" s="1"/>
      <c r="IL670" s="1"/>
      <c r="IM670" s="1"/>
      <c r="IN670" s="1"/>
      <c r="IO670" s="1"/>
      <c r="IP670" s="1"/>
      <c r="IQ670" s="1"/>
      <c r="IR670" s="1"/>
      <c r="IS670" s="1"/>
      <c r="IT670" s="1"/>
      <c r="IU670" s="1"/>
      <c r="IV670" s="1"/>
      <c r="IW670" s="1"/>
      <c r="IX670" s="1"/>
      <c r="IY670" s="1"/>
      <c r="IZ670" s="1"/>
      <c r="JA670" s="1"/>
      <c r="JB670" s="1"/>
      <c r="JC670" s="1"/>
      <c r="JD670" s="1"/>
    </row>
    <row r="671" spans="1:264" s="411" customFormat="1" x14ac:dyDescent="0.2">
      <c r="A671" s="407" t="s">
        <v>513</v>
      </c>
      <c r="B671" s="423"/>
      <c r="BH671" s="397">
        <f>SUM(BH669:BH670)</f>
        <v>1322</v>
      </c>
      <c r="BI671" s="397">
        <f>SUM(BI669:BI670)</f>
        <v>1399</v>
      </c>
      <c r="BJ671" s="397">
        <f>SUM(BJ669:BJ670)</f>
        <v>2721</v>
      </c>
      <c r="BK671" s="423"/>
      <c r="BL671" s="397">
        <f>SUM(BL669:BL670)</f>
        <v>1470</v>
      </c>
      <c r="BM671" s="397">
        <f>SUM(BM669:BM670)</f>
        <v>1517</v>
      </c>
      <c r="BN671" s="397">
        <f>SUM(BN669:BN670)</f>
        <v>2987</v>
      </c>
      <c r="BO671" s="621">
        <f>BN671/BJ671-1</f>
        <v>9.7758177140757185E-2</v>
      </c>
      <c r="BP671" s="397">
        <f>SUM(BP669:BP670)</f>
        <v>1466</v>
      </c>
      <c r="BQ671" s="397">
        <f>SUM(BQ669:BQ670)</f>
        <v>1474</v>
      </c>
      <c r="BR671" s="397">
        <f>SUM(BR669:BR670)</f>
        <v>2940</v>
      </c>
      <c r="BS671" s="621">
        <f>BR671/BN671-1</f>
        <v>-1.5734851021091401E-2</v>
      </c>
      <c r="BT671" s="397">
        <f>SUM(BT669:BT670)</f>
        <v>1577</v>
      </c>
      <c r="BU671" s="397">
        <f>SUM(BU669:BU670)</f>
        <v>1375</v>
      </c>
      <c r="BV671" s="397">
        <f>SUM(BV669:BV670)</f>
        <v>2952</v>
      </c>
      <c r="BW671" s="621">
        <f>BV671/BR671-1</f>
        <v>4.0816326530612734E-3</v>
      </c>
      <c r="BX671" s="397">
        <f>SUM(BX669:BX670)</f>
        <v>1107</v>
      </c>
      <c r="BY671" s="397">
        <f>SUM(BY669:BY670)</f>
        <v>1052</v>
      </c>
      <c r="BZ671" s="397">
        <f>SUM(BZ669:BZ670)</f>
        <v>2159</v>
      </c>
      <c r="CA671" s="621">
        <f>BZ671/BV671-1</f>
        <v>-0.26863143631436315</v>
      </c>
      <c r="CB671" s="397">
        <f>SUM(CB669:CB670)</f>
        <v>686</v>
      </c>
      <c r="CC671" s="397">
        <f>SUM(CC669:CC670)</f>
        <v>679</v>
      </c>
      <c r="CD671" s="397">
        <f>SUM(CD669:CD670)</f>
        <v>1365</v>
      </c>
      <c r="CE671" s="621">
        <f>CD671/BZ671-1</f>
        <v>-0.36776285317276514</v>
      </c>
      <c r="CF671" s="397">
        <f>SUM(CF669:CF670)</f>
        <v>226</v>
      </c>
      <c r="CG671" s="397">
        <f>SUM(CG669:CG670)</f>
        <v>178</v>
      </c>
      <c r="CH671" s="397">
        <f>SUM(CH669:CH670)</f>
        <v>404</v>
      </c>
      <c r="CI671" s="621">
        <f>CH671/CD671-1</f>
        <v>-0.70402930402930397</v>
      </c>
      <c r="CJ671" s="397">
        <f>SUM(CJ669:CJ670)</f>
        <v>130</v>
      </c>
      <c r="CK671" s="397">
        <f>SUM(CK669:CK670)</f>
        <v>184</v>
      </c>
      <c r="CL671" s="397">
        <f>SUM(CL669:CL670)</f>
        <v>314</v>
      </c>
      <c r="CM671" s="621">
        <f>CL671/CH671-1</f>
        <v>-0.22277227722772275</v>
      </c>
      <c r="CN671" s="397">
        <f>SUM(CN669:CN670)</f>
        <v>171</v>
      </c>
      <c r="CO671" s="397">
        <f>SUM(CO669:CO670)</f>
        <v>139</v>
      </c>
      <c r="CP671" s="397">
        <f>SUM(CP669:CP670)</f>
        <v>310</v>
      </c>
      <c r="CQ671" s="621">
        <f>CP671/CL671-1</f>
        <v>-1.2738853503184711E-2</v>
      </c>
      <c r="CR671" s="397">
        <f>SUM(CR669:CR670)</f>
        <v>98</v>
      </c>
      <c r="CS671" s="397">
        <f>SUM(CS669:CS670)</f>
        <v>110</v>
      </c>
      <c r="CT671" s="397">
        <f>SUM(CT669:CT670)</f>
        <v>208</v>
      </c>
      <c r="CU671" s="621">
        <f>CT671/CP671-1</f>
        <v>-0.32903225806451608</v>
      </c>
      <c r="CV671" s="397">
        <f>SUM(CV669:CV670)</f>
        <v>28</v>
      </c>
      <c r="CW671" s="397">
        <f>SUM(CW669:CW670)</f>
        <v>54</v>
      </c>
      <c r="CX671" s="397">
        <f>SUM(CX669:CX670)</f>
        <v>82</v>
      </c>
      <c r="CY671" s="621">
        <f>CX671/CT671-1</f>
        <v>-0.60576923076923084</v>
      </c>
      <c r="CZ671" s="397">
        <f>SUM(CZ669:CZ670)</f>
        <v>55</v>
      </c>
      <c r="DA671" s="397">
        <f>SUM(DA669:DA670)</f>
        <v>56</v>
      </c>
      <c r="DB671" s="397">
        <f>SUM(DB669:DB670)</f>
        <v>111</v>
      </c>
      <c r="DC671" s="621">
        <f>DB671/CX671-1</f>
        <v>0.35365853658536595</v>
      </c>
      <c r="DD671" s="397">
        <f>SUM(DD669:DD670)</f>
        <v>60</v>
      </c>
      <c r="DE671" s="397">
        <f>SUM(DE669:DE670)</f>
        <v>62</v>
      </c>
      <c r="DF671" s="397">
        <f>SUM(DF669:DF670)</f>
        <v>122</v>
      </c>
      <c r="DG671" s="621">
        <f>DF671/DB671-1</f>
        <v>9.9099099099099197E-2</v>
      </c>
      <c r="DH671" s="397">
        <f>SUM(DH669:DH670)</f>
        <v>67</v>
      </c>
      <c r="DI671" s="397">
        <f>SUM(DI669:DI670)</f>
        <v>68.34</v>
      </c>
      <c r="DJ671" s="397">
        <f>SUM(DJ669:DJ670)</f>
        <v>135.34</v>
      </c>
      <c r="DK671" s="621">
        <f>DJ671/DF671-1</f>
        <v>0.10934426229508198</v>
      </c>
      <c r="DL671" s="397">
        <f>SUM(DL669:DL670)</f>
        <v>69.706800000000001</v>
      </c>
      <c r="DM671" s="397">
        <f>SUM(DM669:DM670)</f>
        <v>71.100936000000004</v>
      </c>
      <c r="DN671" s="397">
        <f>SUM(DN669:DN670)</f>
        <v>140.80773600000001</v>
      </c>
      <c r="DO671" s="621">
        <f>DN671/DJ671-1</f>
        <v>4.0399999999999991E-2</v>
      </c>
      <c r="DP671" s="397">
        <f>SUM(DP669:DP670)</f>
        <v>72.522954720000001</v>
      </c>
      <c r="DQ671" s="397">
        <f>SUM(DQ669:DQ670)</f>
        <v>73.973413814400004</v>
      </c>
      <c r="DR671" s="397">
        <f>SUM(DR669:DR670)</f>
        <v>146.49636853440001</v>
      </c>
      <c r="DS671" s="621">
        <f>DR671/DN671-1</f>
        <v>4.0399999999999991E-2</v>
      </c>
      <c r="DT671" s="1"/>
      <c r="DU671" s="1"/>
      <c r="DV671" s="1"/>
      <c r="DW671" s="1"/>
      <c r="DX671" s="1"/>
      <c r="DY671" s="1"/>
      <c r="DZ671" s="1"/>
      <c r="EA671" s="1"/>
      <c r="EB671" s="1"/>
      <c r="EC671" s="1"/>
      <c r="ED671" s="1"/>
      <c r="EE671" s="1"/>
      <c r="EF671" s="1"/>
      <c r="EG671" s="1"/>
      <c r="EH671" s="1"/>
      <c r="EI671" s="1"/>
      <c r="EJ671" s="1"/>
      <c r="EK671" s="1"/>
      <c r="EL671" s="1"/>
      <c r="EM671" s="1"/>
      <c r="EN671" s="1"/>
      <c r="EO671" s="1"/>
      <c r="EP671" s="1"/>
      <c r="EQ671" s="1"/>
      <c r="ER671" s="1"/>
      <c r="ES671" s="1"/>
      <c r="ET671" s="1"/>
      <c r="EU671" s="1"/>
      <c r="EV671" s="1"/>
      <c r="EW671" s="1"/>
      <c r="EX671" s="1"/>
      <c r="EY671" s="1"/>
      <c r="EZ671" s="1"/>
      <c r="FA671" s="1"/>
      <c r="FB671" s="1"/>
      <c r="FC671" s="1"/>
      <c r="FD671" s="1"/>
      <c r="FE671" s="1"/>
      <c r="FF671" s="1"/>
      <c r="FG671" s="1"/>
      <c r="FH671" s="1"/>
      <c r="FI671" s="1"/>
      <c r="FJ671" s="1"/>
      <c r="FK671" s="1"/>
      <c r="FL671" s="1"/>
      <c r="FM671" s="1"/>
      <c r="FN671" s="1"/>
      <c r="FO671" s="1"/>
      <c r="FP671" s="1"/>
      <c r="FQ671" s="1"/>
      <c r="FR671" s="1"/>
      <c r="FS671" s="1"/>
      <c r="FT671" s="1"/>
      <c r="FU671" s="1"/>
      <c r="FV671" s="1"/>
      <c r="FW671" s="1"/>
      <c r="FX671" s="1"/>
      <c r="FY671" s="1"/>
      <c r="FZ671" s="1"/>
      <c r="GA671" s="1"/>
      <c r="GB671" s="1"/>
      <c r="GC671" s="1"/>
      <c r="GD671" s="1"/>
      <c r="GE671" s="1"/>
      <c r="GF671" s="1"/>
      <c r="GG671" s="1"/>
      <c r="GH671" s="1"/>
      <c r="GI671" s="1"/>
      <c r="GJ671" s="1"/>
      <c r="GK671" s="1"/>
      <c r="GL671" s="1"/>
      <c r="GM671" s="1"/>
      <c r="GN671" s="1"/>
      <c r="GO671" s="1"/>
      <c r="GP671" s="1"/>
      <c r="GQ671" s="1"/>
      <c r="GR671" s="1"/>
      <c r="GS671" s="1"/>
      <c r="GT671" s="1"/>
      <c r="GU671" s="1"/>
      <c r="GV671" s="1"/>
      <c r="GW671" s="1"/>
      <c r="GX671" s="1"/>
      <c r="GY671" s="1"/>
      <c r="GZ671" s="1"/>
      <c r="HA671" s="1"/>
      <c r="HB671" s="1"/>
      <c r="HC671" s="1"/>
      <c r="HD671" s="1"/>
      <c r="HE671" s="1"/>
      <c r="HF671" s="1"/>
      <c r="HG671" s="1"/>
      <c r="HH671" s="1"/>
      <c r="HI671" s="1"/>
      <c r="HJ671" s="1"/>
      <c r="HK671" s="1"/>
      <c r="HL671" s="1"/>
      <c r="HM671" s="1"/>
      <c r="HN671" s="1"/>
      <c r="HO671" s="1"/>
      <c r="HP671" s="1"/>
      <c r="HQ671" s="1"/>
      <c r="HR671" s="1"/>
      <c r="HS671" s="1"/>
      <c r="HT671" s="1"/>
      <c r="HU671" s="1"/>
      <c r="HV671" s="1"/>
      <c r="HW671" s="1"/>
      <c r="HX671" s="1"/>
      <c r="HY671" s="1"/>
      <c r="HZ671" s="1"/>
      <c r="IA671" s="1"/>
      <c r="IB671" s="1"/>
      <c r="IC671" s="1"/>
      <c r="ID671" s="1"/>
      <c r="IE671" s="1"/>
      <c r="IF671" s="1"/>
      <c r="IG671" s="1"/>
      <c r="IH671" s="1"/>
      <c r="II671" s="1"/>
      <c r="IJ671" s="1"/>
      <c r="IK671" s="1"/>
      <c r="IL671" s="1"/>
      <c r="IM671" s="1"/>
      <c r="IN671" s="1"/>
      <c r="IO671" s="1"/>
      <c r="IP671" s="1"/>
      <c r="IQ671" s="1"/>
      <c r="IR671" s="1"/>
      <c r="IS671" s="1"/>
      <c r="IT671" s="1"/>
      <c r="IU671" s="1"/>
      <c r="IV671" s="1"/>
      <c r="IW671" s="1"/>
      <c r="IX671" s="1"/>
      <c r="IY671" s="1"/>
      <c r="IZ671" s="1"/>
      <c r="JA671" s="1"/>
      <c r="JB671" s="1"/>
      <c r="JC671" s="1"/>
      <c r="JD671" s="1"/>
    </row>
    <row r="672" spans="1:264" s="347" customFormat="1" x14ac:dyDescent="0.2">
      <c r="A672" s="424" t="s">
        <v>273</v>
      </c>
      <c r="B672" s="348"/>
      <c r="BH672" s="348"/>
      <c r="BI672" s="348"/>
      <c r="BJ672" s="348"/>
      <c r="BK672" s="348"/>
      <c r="BL672" s="348"/>
      <c r="BM672" s="348"/>
      <c r="BN672" s="348"/>
      <c r="BO672" s="348"/>
      <c r="BP672" s="348"/>
      <c r="BQ672" s="348"/>
      <c r="BR672" s="348"/>
      <c r="BT672" s="348"/>
      <c r="BU672" s="348"/>
      <c r="BV672" s="348"/>
      <c r="BX672" s="348"/>
      <c r="BY672" s="348"/>
      <c r="BZ672" s="348"/>
      <c r="CB672" s="348"/>
      <c r="CC672" s="348"/>
      <c r="CD672" s="348"/>
      <c r="CF672" s="348"/>
      <c r="CG672" s="348"/>
      <c r="CH672" s="348"/>
      <c r="CJ672" s="348"/>
      <c r="CK672" s="348"/>
      <c r="CL672" s="348"/>
      <c r="CN672" s="348"/>
      <c r="CO672" s="348"/>
      <c r="CP672" s="348"/>
      <c r="CR672" s="348"/>
      <c r="CS672" s="348"/>
      <c r="CT672" s="348"/>
      <c r="CV672" s="348"/>
      <c r="CW672" s="348"/>
      <c r="CX672" s="348"/>
      <c r="CZ672" s="348"/>
      <c r="DA672" s="348"/>
      <c r="DB672" s="348"/>
      <c r="DD672" s="348"/>
      <c r="DE672" s="348"/>
      <c r="DF672" s="348"/>
      <c r="DH672" s="348"/>
      <c r="DI672" s="348"/>
      <c r="DL672" s="348"/>
      <c r="DM672" s="348"/>
      <c r="DP672" s="348"/>
      <c r="DQ672" s="348"/>
      <c r="DT672" s="1"/>
      <c r="DU672" s="1"/>
      <c r="DV672" s="1"/>
      <c r="DW672" s="1"/>
      <c r="DX672" s="1"/>
      <c r="DY672" s="1"/>
      <c r="DZ672" s="1"/>
      <c r="EA672" s="1"/>
      <c r="EB672" s="1"/>
      <c r="EC672" s="1"/>
      <c r="ED672" s="1"/>
      <c r="EE672" s="1"/>
      <c r="EF672" s="1"/>
      <c r="EG672" s="1"/>
      <c r="EH672" s="1"/>
      <c r="EI672" s="1"/>
      <c r="EJ672" s="1"/>
      <c r="EK672" s="1"/>
      <c r="EL672" s="1"/>
      <c r="EM672" s="1"/>
      <c r="EN672" s="1"/>
      <c r="EO672" s="1"/>
      <c r="EP672" s="1"/>
      <c r="EQ672" s="1"/>
      <c r="ER672" s="1"/>
      <c r="ES672" s="1"/>
      <c r="ET672" s="1"/>
      <c r="EU672" s="1"/>
      <c r="EV672" s="1"/>
      <c r="EW672" s="1"/>
      <c r="EX672" s="1"/>
      <c r="EY672" s="1"/>
      <c r="EZ672" s="1"/>
      <c r="FA672" s="1"/>
      <c r="FB672" s="1"/>
      <c r="FC672" s="1"/>
      <c r="FD672" s="1"/>
      <c r="FE672" s="1"/>
      <c r="FF672" s="1"/>
      <c r="FG672" s="1"/>
      <c r="FH672" s="1"/>
      <c r="FI672" s="1"/>
      <c r="FJ672" s="1"/>
      <c r="FK672" s="1"/>
      <c r="FL672" s="1"/>
      <c r="FM672" s="1"/>
      <c r="FN672" s="1"/>
      <c r="FO672" s="1"/>
      <c r="FP672" s="1"/>
      <c r="FQ672" s="1"/>
      <c r="FR672" s="1"/>
      <c r="FS672" s="1"/>
      <c r="FT672" s="1"/>
      <c r="FU672" s="1"/>
      <c r="FV672" s="1"/>
      <c r="FW672" s="1"/>
      <c r="FX672" s="1"/>
      <c r="FY672" s="1"/>
      <c r="FZ672" s="1"/>
      <c r="GA672" s="1"/>
      <c r="GB672" s="1"/>
      <c r="GC672" s="1"/>
      <c r="GD672" s="1"/>
      <c r="GE672" s="1"/>
      <c r="GF672" s="1"/>
      <c r="GG672" s="1"/>
      <c r="GH672" s="1"/>
      <c r="GI672" s="1"/>
      <c r="GJ672" s="1"/>
      <c r="GK672" s="1"/>
      <c r="GL672" s="1"/>
      <c r="GM672" s="1"/>
      <c r="GN672" s="1"/>
      <c r="GO672" s="1"/>
      <c r="GP672" s="1"/>
      <c r="GQ672" s="1"/>
      <c r="GR672" s="1"/>
      <c r="GS672" s="1"/>
      <c r="GT672" s="1"/>
      <c r="GU672" s="1"/>
      <c r="GV672" s="1"/>
      <c r="GW672" s="1"/>
      <c r="GX672" s="1"/>
      <c r="GY672" s="1"/>
      <c r="GZ672" s="1"/>
      <c r="HA672" s="1"/>
      <c r="HB672" s="1"/>
      <c r="HC672" s="1"/>
      <c r="HD672" s="1"/>
      <c r="HE672" s="1"/>
      <c r="HF672" s="1"/>
      <c r="HG672" s="1"/>
      <c r="HH672" s="1"/>
      <c r="HI672" s="1"/>
      <c r="HJ672" s="1"/>
      <c r="HK672" s="1"/>
      <c r="HL672" s="1"/>
      <c r="HM672" s="1"/>
      <c r="HN672" s="1"/>
      <c r="HO672" s="1"/>
      <c r="HP672" s="1"/>
      <c r="HQ672" s="1"/>
      <c r="HR672" s="1"/>
      <c r="HS672" s="1"/>
      <c r="HT672" s="1"/>
      <c r="HU672" s="1"/>
      <c r="HV672" s="1"/>
      <c r="HW672" s="1"/>
      <c r="HX672" s="1"/>
      <c r="HY672" s="1"/>
      <c r="HZ672" s="1"/>
      <c r="IA672" s="1"/>
      <c r="IB672" s="1"/>
      <c r="IC672" s="1"/>
      <c r="ID672" s="1"/>
      <c r="IE672" s="1"/>
      <c r="IF672" s="1"/>
      <c r="IG672" s="1"/>
      <c r="IH672" s="1"/>
      <c r="II672" s="1"/>
      <c r="IJ672" s="1"/>
      <c r="IK672" s="1"/>
      <c r="IL672" s="1"/>
      <c r="IM672" s="1"/>
      <c r="IN672" s="1"/>
      <c r="IO672" s="1"/>
      <c r="IP672" s="1"/>
      <c r="IQ672" s="1"/>
      <c r="IR672" s="1"/>
      <c r="IS672" s="1"/>
      <c r="IT672" s="1"/>
      <c r="IU672" s="1"/>
      <c r="IV672" s="1"/>
      <c r="IW672" s="1"/>
      <c r="IX672" s="1"/>
      <c r="IY672" s="1"/>
      <c r="IZ672" s="1"/>
      <c r="JA672" s="1"/>
      <c r="JB672" s="1"/>
      <c r="JC672" s="1"/>
      <c r="JD672" s="1"/>
    </row>
    <row r="673" spans="1:123" s="347" customFormat="1" x14ac:dyDescent="0.2">
      <c r="A673" s="429" t="s">
        <v>223</v>
      </c>
      <c r="B673" s="348"/>
      <c r="BH673" s="348"/>
      <c r="BI673" s="394">
        <f>+BI667/BH667-1</f>
        <v>6.7873303167420795E-2</v>
      </c>
      <c r="BJ673" s="348"/>
      <c r="BK673" s="348"/>
      <c r="BL673" s="394">
        <f>+BL667/BI667-1</f>
        <v>6.25E-2</v>
      </c>
      <c r="BM673" s="394">
        <f>+BM667/BL667-1</f>
        <v>-7.278165503489531E-2</v>
      </c>
      <c r="BN673" s="348"/>
      <c r="BO673" s="348"/>
      <c r="BP673" s="394">
        <f>+BP667/BM667-1</f>
        <v>4.3010752688172005E-2</v>
      </c>
      <c r="BQ673" s="394">
        <f>+BQ667/BP667-1</f>
        <v>-2.0618556701030855E-3</v>
      </c>
      <c r="BR673" s="348"/>
      <c r="BT673" s="394">
        <f>+BT667/BQ667-1</f>
        <v>6.6115702479338845E-2</v>
      </c>
      <c r="BU673" s="394">
        <f>+BU667/BT667-1</f>
        <v>-4.6511627906976716E-2</v>
      </c>
      <c r="BV673" s="348"/>
      <c r="BX673" s="394">
        <f>+BX667/BU667-1</f>
        <v>-4.166666666666663E-2</v>
      </c>
      <c r="BY673" s="394">
        <f>+BY667/BX667-1</f>
        <v>2.8632025450689325E-2</v>
      </c>
      <c r="BZ673" s="348"/>
      <c r="CB673" s="394"/>
      <c r="CC673" s="394">
        <f>+CC667/CB667-1</f>
        <v>-2.9929577464788748E-2</v>
      </c>
      <c r="CD673" s="348"/>
      <c r="CF673" s="394">
        <f>+CF667/CC667-1</f>
        <v>-0.7186932849364791</v>
      </c>
      <c r="CG673" s="394">
        <f>+CG667/CF667-1</f>
        <v>-0.35483870967741937</v>
      </c>
      <c r="CH673" s="348"/>
      <c r="CJ673" s="394">
        <f>+CJ667/CG667-1</f>
        <v>-2.0000000000000018E-2</v>
      </c>
      <c r="CK673" s="394">
        <f>+CK667/CJ667-1</f>
        <v>-0.23469387755102045</v>
      </c>
      <c r="CL673" s="348"/>
      <c r="CN673" s="394">
        <f>+CN667/CK667-1</f>
        <v>6.6666666666666652E-2</v>
      </c>
      <c r="CO673" s="394">
        <f>+CO667/CN667-1</f>
        <v>6.25E-2</v>
      </c>
      <c r="CP673" s="348"/>
      <c r="CR673" s="394">
        <f>+CR667/CO667-1</f>
        <v>-5.8823529411764719E-2</v>
      </c>
      <c r="CS673" s="394">
        <f>+CS667/CR667-1</f>
        <v>-0.3125</v>
      </c>
      <c r="CT673" s="348"/>
      <c r="CV673" s="394">
        <f>+CV667/CS667-1</f>
        <v>-0.49090909090909096</v>
      </c>
      <c r="CW673" s="394">
        <f>+CW667/CV667-1</f>
        <v>0.9285714285714286</v>
      </c>
      <c r="CX673" s="348"/>
      <c r="CZ673" s="394">
        <f>+CZ667/CW667-1</f>
        <v>1.8518518518518601E-2</v>
      </c>
      <c r="DA673" s="394">
        <f>+DA667/CZ667-1</f>
        <v>1.8181818181818077E-2</v>
      </c>
      <c r="DB673" s="348"/>
      <c r="DD673" s="394">
        <f>+DD667/DA667-1</f>
        <v>7.1428571428571397E-2</v>
      </c>
      <c r="DE673" s="394">
        <f>+DE667/DD667-1</f>
        <v>3.3333333333333437E-2</v>
      </c>
      <c r="DF673" s="348"/>
      <c r="DH673" s="394">
        <f>+DH667/DE667-1</f>
        <v>8.0645161290322509E-2</v>
      </c>
      <c r="DI673" s="394">
        <f>+DI667/DH667-1</f>
        <v>2.0000000000000018E-2</v>
      </c>
      <c r="DL673" s="394">
        <f>+DL667/DI667-1</f>
        <v>2.0000000000000018E-2</v>
      </c>
      <c r="DM673" s="394">
        <f>+DM667/DL667-1</f>
        <v>2.0000000000000018E-2</v>
      </c>
      <c r="DP673" s="394">
        <f>+DP667/DM667-1</f>
        <v>2.0000000000000018E-2</v>
      </c>
      <c r="DQ673" s="394">
        <f>+DQ667/DP667-1</f>
        <v>2.0000000000000018E-2</v>
      </c>
    </row>
    <row r="674" spans="1:123" s="347" customFormat="1" x14ac:dyDescent="0.2">
      <c r="A674" s="429" t="s">
        <v>224</v>
      </c>
      <c r="B674" s="348"/>
      <c r="BH674" s="348"/>
      <c r="BI674" s="394">
        <f>+BI668/BH668-1</f>
        <v>8.7570621468926468E-2</v>
      </c>
      <c r="BJ674" s="348"/>
      <c r="BK674" s="348"/>
      <c r="BL674" s="394">
        <f>+BL668/BI668-1</f>
        <v>2.5974025974024872E-3</v>
      </c>
      <c r="BM674" s="394">
        <f>+BM668/BL668-1</f>
        <v>0.12176165803108807</v>
      </c>
      <c r="BN674" s="348"/>
      <c r="BO674" s="348"/>
      <c r="BP674" s="394">
        <f>+BP668/BM668-1</f>
        <v>-3.9260969976905313E-2</v>
      </c>
      <c r="BQ674" s="394">
        <f>+BQ668/BP668-1</f>
        <v>-9.6153846153846145E-2</v>
      </c>
      <c r="BR674" s="348"/>
      <c r="BT674" s="394">
        <f>+BT668/BQ668-1</f>
        <v>0.29521276595744683</v>
      </c>
      <c r="BU674" s="394">
        <f>+BU668/BT668-1</f>
        <v>-0.36755646817248455</v>
      </c>
      <c r="BV674" s="348"/>
      <c r="BX674" s="394">
        <f>+BX668/BU668-1</f>
        <v>-0.47402597402597402</v>
      </c>
      <c r="BY674" s="394">
        <f>+BY668/BX668-1</f>
        <v>-0.62345679012345678</v>
      </c>
      <c r="BZ674" s="348"/>
      <c r="CB674" s="394"/>
      <c r="CC674" s="394">
        <f>+CC668/CB668-1</f>
        <v>0.125</v>
      </c>
      <c r="CD674" s="348"/>
      <c r="CF674" s="394">
        <f>+CF668/CC668-1</f>
        <v>-0.43650793650793651</v>
      </c>
      <c r="CG674" s="394">
        <f>+CG668/CF668-1</f>
        <v>9.8591549295774739E-2</v>
      </c>
      <c r="CH674" s="348"/>
      <c r="CJ674" s="394">
        <f>+CJ668/CG668-1</f>
        <v>-0.58974358974358976</v>
      </c>
      <c r="CK674" s="394">
        <f>+CK668/CJ668-1</f>
        <v>2.40625</v>
      </c>
      <c r="CL674" s="348"/>
      <c r="CN674" s="394">
        <f>+CN668/CK668-1</f>
        <v>-0.16513761467889909</v>
      </c>
      <c r="CO674" s="394">
        <f>+CO668/CN668-1</f>
        <v>-0.40659340659340659</v>
      </c>
      <c r="CP674" s="348"/>
      <c r="CR674" s="394">
        <f>+CR668/CO668-1</f>
        <v>-0.66666666666666674</v>
      </c>
      <c r="CS674" s="394">
        <f>+CS668/CR668-1</f>
        <v>2.0555555555555554</v>
      </c>
      <c r="CT674" s="348"/>
      <c r="CV674" s="394">
        <f>+CV668/CS668-1</f>
        <v>-1</v>
      </c>
      <c r="CW674" s="394"/>
      <c r="CX674" s="348"/>
      <c r="CZ674" s="394"/>
      <c r="DA674" s="394"/>
      <c r="DB674" s="348"/>
      <c r="DD674" s="394"/>
      <c r="DE674" s="394"/>
      <c r="DF674" s="348"/>
      <c r="DH674" s="394"/>
      <c r="DI674" s="394"/>
      <c r="DL674" s="394"/>
      <c r="DM674" s="394"/>
      <c r="DP674" s="394"/>
      <c r="DQ674" s="394"/>
    </row>
    <row r="675" spans="1:123" s="347" customFormat="1" x14ac:dyDescent="0.2">
      <c r="A675" s="427" t="s">
        <v>512</v>
      </c>
      <c r="B675" s="348"/>
      <c r="BH675" s="348"/>
      <c r="BI675" s="481">
        <f>+BI669/BH669-1</f>
        <v>7.3505654281098565E-2</v>
      </c>
      <c r="BJ675" s="423"/>
      <c r="BK675" s="423"/>
      <c r="BL675" s="481">
        <f>+BL669/BI669-1</f>
        <v>4.5146726862302478E-2</v>
      </c>
      <c r="BM675" s="481">
        <f>+BM669/BL669-1</f>
        <v>-1.8718502519798452E-2</v>
      </c>
      <c r="BN675" s="423"/>
      <c r="BO675" s="423"/>
      <c r="BP675" s="481">
        <f>+BP669/BM669-1</f>
        <v>1.687454145267786E-2</v>
      </c>
      <c r="BQ675" s="481">
        <f>+BQ669/BP669-1</f>
        <v>-3.0303030303030276E-2</v>
      </c>
      <c r="BR675" s="423"/>
      <c r="BT675" s="481">
        <f>+BT669/BQ669-1</f>
        <v>0.13020833333333326</v>
      </c>
      <c r="BU675" s="481">
        <f>+BU669/BT669-1</f>
        <v>-0.14944042132982227</v>
      </c>
      <c r="BV675" s="423"/>
      <c r="BX675" s="481">
        <f>+BX669/BU669-1</f>
        <v>-0.14473684210526316</v>
      </c>
      <c r="BY675" s="481">
        <f>+BY669/BX669-1</f>
        <v>-6.6968325791855188E-2</v>
      </c>
      <c r="BZ675" s="423"/>
      <c r="CB675" s="481"/>
      <c r="CC675" s="481">
        <f>+CC669/CB669-1</f>
        <v>-4.4117647058823373E-3</v>
      </c>
      <c r="CD675" s="423"/>
      <c r="CF675" s="481">
        <f>+CF669/CC669-1</f>
        <v>-0.6661742983751846</v>
      </c>
      <c r="CG675" s="481">
        <f>+CG669/CF669-1</f>
        <v>-0.21238938053097345</v>
      </c>
      <c r="CH675" s="423"/>
      <c r="CJ675" s="481">
        <f>+CJ669/CG669-1</f>
        <v>-0.2696629213483146</v>
      </c>
      <c r="CK675" s="481">
        <f>+CK669/CJ669-1</f>
        <v>0.41538461538461546</v>
      </c>
      <c r="CL675" s="423"/>
      <c r="CN675" s="481">
        <f>+CN669/CK669-1</f>
        <v>-7.0652173913043459E-2</v>
      </c>
      <c r="CO675" s="481">
        <f>+CO669/CN669-1</f>
        <v>-0.1871345029239766</v>
      </c>
      <c r="CP675" s="423"/>
      <c r="CR675" s="481">
        <f>+CR669/CO669-1</f>
        <v>-0.29496402877697847</v>
      </c>
      <c r="CS675" s="481">
        <f>+CS669/CR669-1</f>
        <v>0.12244897959183665</v>
      </c>
      <c r="CT675" s="423"/>
      <c r="CV675" s="481">
        <f>+CV669/CS669-1</f>
        <v>-0.74545454545454548</v>
      </c>
      <c r="CW675" s="481">
        <f>+CW669/CV669-1</f>
        <v>0.9285714285714286</v>
      </c>
      <c r="CX675" s="423"/>
      <c r="CZ675" s="481">
        <f>+CZ669/CW669-1</f>
        <v>1.8518518518518601E-2</v>
      </c>
      <c r="DA675" s="481">
        <f>+DA669/CZ669-1</f>
        <v>1.8181818181818077E-2</v>
      </c>
      <c r="DB675" s="423"/>
      <c r="DD675" s="481">
        <f>+DD669/DA669-1</f>
        <v>7.1428571428571397E-2</v>
      </c>
      <c r="DE675" s="481">
        <f>+DE669/DD669-1</f>
        <v>3.3333333333333437E-2</v>
      </c>
      <c r="DF675" s="423"/>
      <c r="DH675" s="481">
        <f>+DH669/DE669-1</f>
        <v>8.0645161290322509E-2</v>
      </c>
      <c r="DI675" s="481">
        <f>+DI669/DH669-1</f>
        <v>2.0000000000000018E-2</v>
      </c>
      <c r="DJ675" s="411"/>
      <c r="DL675" s="481">
        <f>+DL669/DI669-1</f>
        <v>2.0000000000000018E-2</v>
      </c>
      <c r="DM675" s="481">
        <f>+DM669/DL669-1</f>
        <v>2.0000000000000018E-2</v>
      </c>
      <c r="DN675" s="411"/>
      <c r="DP675" s="481">
        <f>+DP669/DM669-1</f>
        <v>2.0000000000000018E-2</v>
      </c>
      <c r="DQ675" s="481">
        <f>+DQ669/DP669-1</f>
        <v>2.0000000000000018E-2</v>
      </c>
      <c r="DR675" s="411"/>
    </row>
    <row r="676" spans="1:123" s="347" customFormat="1" x14ac:dyDescent="0.2">
      <c r="A676" s="429" t="s">
        <v>225</v>
      </c>
      <c r="B676" s="348"/>
      <c r="BH676" s="348"/>
      <c r="BI676" s="394">
        <f>+BI670/BH670-1</f>
        <v>-0.16666666666666663</v>
      </c>
      <c r="BJ676" s="348"/>
      <c r="BK676" s="348"/>
      <c r="BL676" s="394">
        <f>+BL670/BI670-1</f>
        <v>0.15714285714285725</v>
      </c>
      <c r="BM676" s="394">
        <f>+BM670/BL670-1</f>
        <v>0.90123456790123457</v>
      </c>
      <c r="BN676" s="348"/>
      <c r="BO676" s="348"/>
      <c r="BP676" s="394">
        <f>+BP670/BM670-1</f>
        <v>-0.48051948051948057</v>
      </c>
      <c r="BQ676" s="394">
        <f>+BQ670/BP670-1</f>
        <v>0.625</v>
      </c>
      <c r="BR676" s="348"/>
      <c r="BT676" s="394">
        <f>+BT670/BQ670-1</f>
        <v>-0.55384615384615388</v>
      </c>
      <c r="BU676" s="394">
        <f>+BU670/BT670-1</f>
        <v>0.43103448275862077</v>
      </c>
      <c r="BV676" s="348"/>
      <c r="BX676" s="394">
        <f>+BX670/BU670-1</f>
        <v>-0.97590361445783136</v>
      </c>
      <c r="BY676" s="394">
        <f>+BY670/BX670-1</f>
        <v>9.5</v>
      </c>
      <c r="BZ676" s="348"/>
      <c r="CB676" s="394"/>
      <c r="CC676" s="394">
        <f>+CC670/CB670-1</f>
        <v>-0.66666666666666674</v>
      </c>
      <c r="CD676" s="348"/>
      <c r="CF676" s="394">
        <f>+CF670/CC670-1</f>
        <v>-1</v>
      </c>
      <c r="CG676" s="394">
        <v>0</v>
      </c>
      <c r="CH676" s="348"/>
      <c r="CJ676" s="394">
        <v>0</v>
      </c>
      <c r="CK676" s="394">
        <f>IFERROR(+CK670/CJ670-1,0)</f>
        <v>0</v>
      </c>
      <c r="CL676" s="348"/>
      <c r="CN676" s="394"/>
      <c r="CO676" s="394">
        <f>IFERROR(+CO670/CN670-1,0)</f>
        <v>0</v>
      </c>
      <c r="CP676" s="348"/>
      <c r="CR676" s="394"/>
      <c r="CS676" s="394">
        <f>IFERROR(+CS670/CR670-1,0)</f>
        <v>0</v>
      </c>
      <c r="CT676" s="348"/>
      <c r="CV676" s="394"/>
      <c r="CW676" s="394"/>
      <c r="CX676" s="348"/>
      <c r="CZ676" s="394"/>
      <c r="DA676" s="394"/>
      <c r="DB676" s="348"/>
      <c r="DD676" s="394"/>
      <c r="DE676" s="394"/>
      <c r="DF676" s="348"/>
      <c r="DH676" s="394"/>
      <c r="DI676" s="394"/>
      <c r="DL676" s="394"/>
      <c r="DM676" s="394"/>
      <c r="DP676" s="394"/>
      <c r="DQ676" s="394"/>
    </row>
    <row r="677" spans="1:123" s="347" customFormat="1" x14ac:dyDescent="0.2">
      <c r="A677" s="427" t="s">
        <v>513</v>
      </c>
      <c r="B677" s="348"/>
      <c r="BH677" s="348"/>
      <c r="BI677" s="481">
        <f>+BI671/BH671-1</f>
        <v>5.8245083207261628E-2</v>
      </c>
      <c r="BJ677" s="423"/>
      <c r="BK677" s="423"/>
      <c r="BL677" s="481">
        <f>+BL671/BI671-1</f>
        <v>5.0750536097212251E-2</v>
      </c>
      <c r="BM677" s="481">
        <f>+BM671/BL671-1</f>
        <v>3.1972789115646272E-2</v>
      </c>
      <c r="BN677" s="423"/>
      <c r="BO677" s="423"/>
      <c r="BP677" s="481">
        <f>+BP671/BM671-1</f>
        <v>-3.3618984838497012E-2</v>
      </c>
      <c r="BQ677" s="481">
        <f>+BQ671/BP671-1</f>
        <v>5.4570259208730487E-3</v>
      </c>
      <c r="BR677" s="423"/>
      <c r="BT677" s="481">
        <f>+BT671/BQ671-1</f>
        <v>6.9877883310719202E-2</v>
      </c>
      <c r="BU677" s="481">
        <f>+BU671/BT671-1</f>
        <v>-0.12809131261889661</v>
      </c>
      <c r="BV677" s="423"/>
      <c r="BX677" s="481">
        <f>+BX671/BU671-1</f>
        <v>-0.19490909090909092</v>
      </c>
      <c r="BY677" s="481">
        <f>+BY671/BX671-1</f>
        <v>-4.9683830171635024E-2</v>
      </c>
      <c r="BZ677" s="423"/>
      <c r="CB677" s="481"/>
      <c r="CC677" s="481">
        <f>+CC671/CB671-1</f>
        <v>-1.0204081632653073E-2</v>
      </c>
      <c r="CD677" s="423"/>
      <c r="CF677" s="481">
        <f>+CF671/CC671-1</f>
        <v>-0.66715758468335795</v>
      </c>
      <c r="CG677" s="481">
        <f>+CG671/CF671-1</f>
        <v>-0.21238938053097345</v>
      </c>
      <c r="CH677" s="423"/>
      <c r="CJ677" s="481">
        <f>+CJ671/CG671-1</f>
        <v>-0.2696629213483146</v>
      </c>
      <c r="CK677" s="481">
        <f>+CK671/CJ671-1</f>
        <v>0.41538461538461546</v>
      </c>
      <c r="CL677" s="423"/>
      <c r="CN677" s="481">
        <f>+CN671/CK671-1</f>
        <v>-7.0652173913043459E-2</v>
      </c>
      <c r="CO677" s="481">
        <f>+CO671/CN671-1</f>
        <v>-0.1871345029239766</v>
      </c>
      <c r="CP677" s="423"/>
      <c r="CR677" s="481">
        <f>+CR671/CO671-1</f>
        <v>-0.29496402877697847</v>
      </c>
      <c r="CS677" s="481">
        <f>+CS671/CR671-1</f>
        <v>0.12244897959183665</v>
      </c>
      <c r="CT677" s="423"/>
      <c r="CV677" s="481">
        <f>+CV671/CS671-1</f>
        <v>-0.74545454545454548</v>
      </c>
      <c r="CW677" s="481">
        <f>+CW671/CV671-1</f>
        <v>0.9285714285714286</v>
      </c>
      <c r="CX677" s="423"/>
      <c r="CZ677" s="481">
        <f>+CZ671/CW671-1</f>
        <v>1.8518518518518601E-2</v>
      </c>
      <c r="DA677" s="481">
        <f>+DA671/CZ671-1</f>
        <v>1.8181818181818077E-2</v>
      </c>
      <c r="DB677" s="423"/>
      <c r="DD677" s="481">
        <f>+DD671/DA671-1</f>
        <v>7.1428571428571397E-2</v>
      </c>
      <c r="DE677" s="481">
        <f>+DE671/DD671-1</f>
        <v>3.3333333333333437E-2</v>
      </c>
      <c r="DF677" s="423"/>
      <c r="DH677" s="481">
        <f>+DH671/DE671-1</f>
        <v>8.0645161290322509E-2</v>
      </c>
      <c r="DI677" s="481">
        <f>+DI671/DH671-1</f>
        <v>2.0000000000000018E-2</v>
      </c>
      <c r="DJ677" s="411"/>
      <c r="DL677" s="481">
        <f>+DL671/DI671-1</f>
        <v>2.0000000000000018E-2</v>
      </c>
      <c r="DM677" s="481">
        <f>+DM671/DL671-1</f>
        <v>2.0000000000000018E-2</v>
      </c>
      <c r="DN677" s="411"/>
      <c r="DP677" s="481">
        <f>+DP671/DM671-1</f>
        <v>2.0000000000000018E-2</v>
      </c>
      <c r="DQ677" s="481">
        <f>+DQ671/DP671-1</f>
        <v>2.0000000000000018E-2</v>
      </c>
      <c r="DR677" s="411"/>
    </row>
    <row r="678" spans="1:123" s="347" customFormat="1" x14ac:dyDescent="0.2">
      <c r="B678" s="348"/>
      <c r="BH678" s="348"/>
      <c r="BI678" s="348"/>
      <c r="BJ678" s="348"/>
      <c r="BK678" s="348"/>
      <c r="BL678" s="348"/>
      <c r="BM678" s="348"/>
      <c r="BN678" s="348"/>
      <c r="BO678" s="348"/>
      <c r="BP678" s="348"/>
      <c r="BQ678" s="348"/>
      <c r="BR678" s="348"/>
      <c r="BT678" s="348"/>
      <c r="BU678" s="348"/>
      <c r="BV678" s="348"/>
      <c r="BX678" s="348"/>
      <c r="CB678" s="348"/>
      <c r="CF678" s="348"/>
      <c r="CJ678" s="348"/>
      <c r="CN678" s="348"/>
      <c r="CR678" s="348"/>
      <c r="CV678" s="348"/>
      <c r="CZ678" s="348"/>
      <c r="DD678" s="348"/>
      <c r="DH678" s="348"/>
      <c r="DL678" s="348"/>
      <c r="DP678" s="348"/>
    </row>
    <row r="679" spans="1:123" s="347" customFormat="1" x14ac:dyDescent="0.2">
      <c r="A679" s="411" t="s">
        <v>514</v>
      </c>
      <c r="B679" s="348"/>
      <c r="BH679" s="348"/>
      <c r="BI679" s="348"/>
      <c r="BJ679" s="348"/>
      <c r="BK679" s="348"/>
      <c r="BL679" s="348"/>
      <c r="BM679" s="348"/>
      <c r="BN679" s="348"/>
      <c r="BO679" s="348"/>
      <c r="BP679" s="348"/>
      <c r="BQ679" s="348"/>
      <c r="BR679" s="348"/>
      <c r="BT679" s="348"/>
      <c r="BU679" s="348"/>
      <c r="BV679" s="348"/>
      <c r="BX679" s="348"/>
      <c r="CB679" s="348"/>
      <c r="CF679" s="348"/>
      <c r="CJ679" s="348"/>
      <c r="CN679" s="348"/>
      <c r="CR679" s="348"/>
      <c r="CV679" s="348"/>
      <c r="CZ679" s="348"/>
      <c r="DD679" s="348"/>
      <c r="DH679" s="348"/>
      <c r="DL679" s="348"/>
      <c r="DP679" s="348"/>
    </row>
    <row r="680" spans="1:123" s="347" customFormat="1" x14ac:dyDescent="0.2">
      <c r="A680" s="347" t="s">
        <v>515</v>
      </c>
      <c r="B680" s="348"/>
      <c r="BH680" s="348"/>
      <c r="BI680" s="348"/>
      <c r="BJ680" s="348"/>
      <c r="BK680" s="348"/>
      <c r="BL680" s="348"/>
      <c r="BM680" s="348"/>
      <c r="BN680" s="348"/>
      <c r="BO680" s="348"/>
      <c r="BP680" s="348"/>
      <c r="BQ680" s="348"/>
      <c r="BR680" s="348"/>
      <c r="BT680" s="348"/>
      <c r="BU680" s="348"/>
      <c r="BV680" s="348"/>
      <c r="BX680" s="398">
        <v>450</v>
      </c>
      <c r="BY680" s="351">
        <f>+BZ680-BX680</f>
        <v>437</v>
      </c>
      <c r="BZ680" s="398">
        <v>887</v>
      </c>
      <c r="CB680" s="398">
        <v>0</v>
      </c>
      <c r="CC680" s="351">
        <f>+CD680-CB680</f>
        <v>0</v>
      </c>
      <c r="CD680" s="398">
        <v>0</v>
      </c>
      <c r="CF680" s="398">
        <v>0</v>
      </c>
      <c r="CG680" s="351">
        <f>+CH680-CF680</f>
        <v>0</v>
      </c>
      <c r="CH680" s="398">
        <v>0</v>
      </c>
      <c r="CJ680" s="398">
        <v>0</v>
      </c>
      <c r="CK680" s="351">
        <f>+CL680-CJ680</f>
        <v>0</v>
      </c>
      <c r="CL680" s="398">
        <v>0</v>
      </c>
      <c r="CN680" s="351">
        <v>0</v>
      </c>
      <c r="CO680" s="351">
        <f>+CP680-CN680</f>
        <v>0</v>
      </c>
      <c r="CP680" s="398">
        <v>0</v>
      </c>
      <c r="CR680" s="351">
        <v>0</v>
      </c>
      <c r="CS680" s="351">
        <f>+CT680-CR680</f>
        <v>0</v>
      </c>
      <c r="CT680" s="398">
        <v>0</v>
      </c>
      <c r="CV680" s="351">
        <v>0</v>
      </c>
      <c r="CW680" s="351">
        <f>+CX680-CV680</f>
        <v>0</v>
      </c>
      <c r="CX680" s="398">
        <v>0</v>
      </c>
      <c r="CZ680" s="351">
        <v>0</v>
      </c>
      <c r="DA680" s="351">
        <f>+DB680-CZ680</f>
        <v>0</v>
      </c>
      <c r="DB680" s="398">
        <v>0</v>
      </c>
      <c r="DD680" s="351">
        <v>0</v>
      </c>
      <c r="DE680" s="351">
        <f>+DF680-DD680</f>
        <v>0</v>
      </c>
      <c r="DF680" s="398">
        <v>0</v>
      </c>
      <c r="DH680" s="351">
        <v>0</v>
      </c>
      <c r="DI680" s="399">
        <v>0</v>
      </c>
      <c r="DJ680" s="351">
        <f>DI680+DH680</f>
        <v>0</v>
      </c>
      <c r="DL680" s="399">
        <v>0</v>
      </c>
      <c r="DM680" s="399">
        <v>0</v>
      </c>
      <c r="DN680" s="351">
        <f>DM680+DL680</f>
        <v>0</v>
      </c>
      <c r="DP680" s="399">
        <v>0</v>
      </c>
      <c r="DQ680" s="399">
        <v>0</v>
      </c>
      <c r="DR680" s="351">
        <f>DQ680+DP680</f>
        <v>0</v>
      </c>
    </row>
    <row r="681" spans="1:123" s="347" customFormat="1" x14ac:dyDescent="0.2">
      <c r="A681" s="347" t="s">
        <v>516</v>
      </c>
      <c r="B681" s="348"/>
      <c r="BH681" s="351">
        <f>BH683-BH682</f>
        <v>861</v>
      </c>
      <c r="BI681" s="351">
        <f>BI683-BI682</f>
        <v>918</v>
      </c>
      <c r="BJ681" s="351">
        <f>+BI681+BH681</f>
        <v>1779</v>
      </c>
      <c r="BK681" s="348"/>
      <c r="BL681" s="351">
        <f>BL683-BL682</f>
        <v>973</v>
      </c>
      <c r="BM681" s="351">
        <f>BM683-BM682</f>
        <v>900</v>
      </c>
      <c r="BN681" s="351">
        <f>+BM681+BL681</f>
        <v>1873</v>
      </c>
      <c r="BO681" s="348"/>
      <c r="BP681" s="351">
        <f>BP683-BP682</f>
        <v>936</v>
      </c>
      <c r="BQ681" s="351">
        <f>BQ683-BQ682</f>
        <v>931</v>
      </c>
      <c r="BR681" s="351">
        <f>+BQ681+BP681</f>
        <v>1867</v>
      </c>
      <c r="BT681" s="351">
        <f>BT683-BT682</f>
        <v>992</v>
      </c>
      <c r="BU681" s="351">
        <f>BU683-BU682</f>
        <v>944</v>
      </c>
      <c r="BV681" s="351">
        <f>+BU681+BT681</f>
        <v>1936</v>
      </c>
      <c r="BX681" s="351">
        <f>BX683-BX682-BX680</f>
        <v>448</v>
      </c>
      <c r="BY681" s="351">
        <f>BY683-BY682-BY680</f>
        <v>486</v>
      </c>
      <c r="BZ681" s="351">
        <f>+BY681+BX681</f>
        <v>934</v>
      </c>
      <c r="CB681" s="351">
        <f>CB683-CB682-CB680</f>
        <v>515</v>
      </c>
      <c r="CC681" s="351">
        <f>CC683-CC682-CC680</f>
        <v>492</v>
      </c>
      <c r="CD681" s="351">
        <f>+CC681+CB681</f>
        <v>1007</v>
      </c>
      <c r="CF681" s="351">
        <f>CF683-CF682-CF680</f>
        <v>92</v>
      </c>
      <c r="CG681" s="351">
        <f>CG683-CG682-CG680</f>
        <v>33</v>
      </c>
      <c r="CH681" s="351">
        <f>+CG681+CF681</f>
        <v>125</v>
      </c>
      <c r="CJ681" s="351">
        <f>CJ683-CJ682-CJ680</f>
        <v>27</v>
      </c>
      <c r="CK681" s="351">
        <f>CK683-CK682-CK680</f>
        <v>10</v>
      </c>
      <c r="CL681" s="351">
        <f>+CK681+CJ681</f>
        <v>37</v>
      </c>
      <c r="CN681" s="351">
        <f>CN683-CN682-CN680</f>
        <v>12</v>
      </c>
      <c r="CO681" s="351">
        <f>CO683-CO682-CO680</f>
        <v>13</v>
      </c>
      <c r="CP681" s="351">
        <f>+CO681+CN681</f>
        <v>25</v>
      </c>
      <c r="CR681" s="351">
        <f>CR683-CR682-CR680</f>
        <v>10</v>
      </c>
      <c r="CS681" s="351">
        <f>CS683-CS682-CS680</f>
        <v>0</v>
      </c>
      <c r="CT681" s="351">
        <f>+CS681+CR681</f>
        <v>10</v>
      </c>
      <c r="CV681" s="351">
        <f>CV683-CV682-CV680</f>
        <v>0</v>
      </c>
      <c r="CW681" s="351">
        <v>0</v>
      </c>
      <c r="CX681" s="351">
        <f>+CW681+CV681</f>
        <v>0</v>
      </c>
      <c r="CZ681" s="351">
        <f>CZ683-CZ682-CZ680</f>
        <v>0</v>
      </c>
      <c r="DA681" s="351">
        <v>0</v>
      </c>
      <c r="DB681" s="351">
        <f>+DA681+CZ681</f>
        <v>0</v>
      </c>
      <c r="DD681" s="351">
        <f>DD683-DD682-DD680</f>
        <v>0</v>
      </c>
      <c r="DE681" s="351">
        <v>0</v>
      </c>
      <c r="DF681" s="351">
        <f>+DE681+DD681</f>
        <v>0</v>
      </c>
      <c r="DH681" s="351">
        <f>DH683-DH682-DH680</f>
        <v>0</v>
      </c>
      <c r="DI681" s="351">
        <f>+DH681*(1+DI688)</f>
        <v>0</v>
      </c>
      <c r="DJ681" s="351">
        <f>+DI681+DH681</f>
        <v>0</v>
      </c>
      <c r="DL681" s="351">
        <f>+DI681*(1+DL688)</f>
        <v>0</v>
      </c>
      <c r="DM681" s="351">
        <f>+DL681*(1+DM688)</f>
        <v>0</v>
      </c>
      <c r="DN681" s="351">
        <f>+DM681+DL681</f>
        <v>0</v>
      </c>
      <c r="DP681" s="351">
        <f>+DM681*(1+DP688)</f>
        <v>0</v>
      </c>
      <c r="DQ681" s="351">
        <f>+DP681*(1+DQ688)</f>
        <v>0</v>
      </c>
      <c r="DR681" s="351">
        <f>+DQ681+DP681</f>
        <v>0</v>
      </c>
    </row>
    <row r="682" spans="1:123" s="347" customFormat="1" x14ac:dyDescent="0.2">
      <c r="A682" s="347" t="s">
        <v>280</v>
      </c>
      <c r="B682" s="348"/>
      <c r="BH682" s="398">
        <v>23</v>
      </c>
      <c r="BI682" s="398">
        <v>26</v>
      </c>
      <c r="BJ682" s="351">
        <f>BI682+BH682</f>
        <v>49</v>
      </c>
      <c r="BK682" s="348"/>
      <c r="BL682" s="398">
        <v>30</v>
      </c>
      <c r="BM682" s="398">
        <v>30</v>
      </c>
      <c r="BN682" s="351">
        <f>BM682+BL682</f>
        <v>60</v>
      </c>
      <c r="BO682" s="348"/>
      <c r="BP682" s="398">
        <v>34</v>
      </c>
      <c r="BQ682" s="398">
        <v>37</v>
      </c>
      <c r="BR682" s="351">
        <f>BQ682+BP682</f>
        <v>71</v>
      </c>
      <c r="BT682" s="398">
        <v>40</v>
      </c>
      <c r="BU682" s="398">
        <v>40</v>
      </c>
      <c r="BV682" s="351">
        <f>BU682+BT682</f>
        <v>80</v>
      </c>
      <c r="BX682" s="398">
        <v>45</v>
      </c>
      <c r="BY682" s="398">
        <v>47</v>
      </c>
      <c r="BZ682" s="351">
        <f>BY682+BX682</f>
        <v>92</v>
      </c>
      <c r="CB682" s="398">
        <v>53</v>
      </c>
      <c r="CC682" s="398">
        <v>59</v>
      </c>
      <c r="CD682" s="351">
        <f>CC682+CB682</f>
        <v>112</v>
      </c>
      <c r="CF682" s="398">
        <v>63</v>
      </c>
      <c r="CG682" s="398">
        <v>67</v>
      </c>
      <c r="CH682" s="351">
        <f>CG682+CF682</f>
        <v>130</v>
      </c>
      <c r="CJ682" s="398">
        <v>71</v>
      </c>
      <c r="CK682" s="398">
        <v>65</v>
      </c>
      <c r="CL682" s="351">
        <f>CK682+CJ682</f>
        <v>136</v>
      </c>
      <c r="CN682" s="398">
        <v>68</v>
      </c>
      <c r="CO682" s="398">
        <v>72</v>
      </c>
      <c r="CP682" s="351">
        <f>CO682+CN682</f>
        <v>140</v>
      </c>
      <c r="CR682" s="398">
        <v>70</v>
      </c>
      <c r="CS682" s="398">
        <v>55</v>
      </c>
      <c r="CT682" s="351">
        <f>CS682+CR682</f>
        <v>125</v>
      </c>
      <c r="CV682" s="398">
        <v>28</v>
      </c>
      <c r="CW682" s="398">
        <v>54</v>
      </c>
      <c r="CX682" s="351">
        <f>CW682+CV682</f>
        <v>82</v>
      </c>
      <c r="CZ682" s="398">
        <v>55</v>
      </c>
      <c r="DA682" s="398">
        <v>56</v>
      </c>
      <c r="DB682" s="351">
        <f>DA682+CZ682</f>
        <v>111</v>
      </c>
      <c r="DD682" s="398">
        <v>60</v>
      </c>
      <c r="DE682" s="398">
        <v>62</v>
      </c>
      <c r="DF682" s="351">
        <f>DE682+DD682</f>
        <v>122</v>
      </c>
      <c r="DH682" s="398">
        <v>67</v>
      </c>
      <c r="DI682" s="351">
        <f>+DH682*(1+DI689)</f>
        <v>68.34</v>
      </c>
      <c r="DJ682" s="351">
        <f>DI682+DH682</f>
        <v>135.34</v>
      </c>
      <c r="DL682" s="351">
        <f>+DI682*(1+DL689)</f>
        <v>69.706800000000001</v>
      </c>
      <c r="DM682" s="351">
        <f>+DL682*(1+DM689)</f>
        <v>71.100936000000004</v>
      </c>
      <c r="DN682" s="351">
        <f>DM682+DL682</f>
        <v>140.80773600000001</v>
      </c>
      <c r="DP682" s="351">
        <f>+DM682*(1+DP689)</f>
        <v>72.522954720000001</v>
      </c>
      <c r="DQ682" s="351">
        <f>+DP682*(1+DQ689)</f>
        <v>73.973413814400004</v>
      </c>
      <c r="DR682" s="351">
        <f>DQ682+DP682</f>
        <v>146.49636853440001</v>
      </c>
    </row>
    <row r="683" spans="1:123" s="411" customFormat="1" x14ac:dyDescent="0.2">
      <c r="A683" s="407" t="s">
        <v>223</v>
      </c>
      <c r="B683" s="423"/>
      <c r="BH683" s="397">
        <f>BH667</f>
        <v>884</v>
      </c>
      <c r="BI683" s="397">
        <f>BI667</f>
        <v>944</v>
      </c>
      <c r="BJ683" s="397">
        <f>BJ667</f>
        <v>1828</v>
      </c>
      <c r="BK683" s="423"/>
      <c r="BL683" s="397">
        <f>BL667</f>
        <v>1003</v>
      </c>
      <c r="BM683" s="397">
        <f>BM667</f>
        <v>930</v>
      </c>
      <c r="BN683" s="397">
        <f>BN667</f>
        <v>1933</v>
      </c>
      <c r="BO683" s="423"/>
      <c r="BP683" s="397">
        <f>BP667</f>
        <v>970</v>
      </c>
      <c r="BQ683" s="397">
        <f>BQ667</f>
        <v>968</v>
      </c>
      <c r="BR683" s="397">
        <f>BR667</f>
        <v>1938</v>
      </c>
      <c r="BT683" s="397">
        <f>BT667</f>
        <v>1032</v>
      </c>
      <c r="BU683" s="397">
        <f>BU667</f>
        <v>984</v>
      </c>
      <c r="BV683" s="397">
        <f>BV667</f>
        <v>2016</v>
      </c>
      <c r="BX683" s="397">
        <f>BX667</f>
        <v>943</v>
      </c>
      <c r="BY683" s="397">
        <f>BY667</f>
        <v>970</v>
      </c>
      <c r="BZ683" s="397">
        <f>BZ667</f>
        <v>1913</v>
      </c>
      <c r="CB683" s="397">
        <f>CB667</f>
        <v>568</v>
      </c>
      <c r="CC683" s="397">
        <f>CC667</f>
        <v>551</v>
      </c>
      <c r="CD683" s="397">
        <f>CD667</f>
        <v>1119</v>
      </c>
      <c r="CF683" s="397">
        <f>CF667</f>
        <v>155</v>
      </c>
      <c r="CG683" s="397">
        <f>CG667</f>
        <v>100</v>
      </c>
      <c r="CH683" s="397">
        <f>CH667</f>
        <v>255</v>
      </c>
      <c r="CJ683" s="397">
        <f>CJ667</f>
        <v>98</v>
      </c>
      <c r="CK683" s="397">
        <f>CK667</f>
        <v>75</v>
      </c>
      <c r="CL683" s="397">
        <f>CL667</f>
        <v>173</v>
      </c>
      <c r="CN683" s="397">
        <f>CN667</f>
        <v>80</v>
      </c>
      <c r="CO683" s="397">
        <f>CO667</f>
        <v>85</v>
      </c>
      <c r="CP683" s="397">
        <f>CP667</f>
        <v>165</v>
      </c>
      <c r="CR683" s="397">
        <f>CR667</f>
        <v>80</v>
      </c>
      <c r="CS683" s="397">
        <f>CS667</f>
        <v>55</v>
      </c>
      <c r="CT683" s="397">
        <f>CT667</f>
        <v>135</v>
      </c>
      <c r="CV683" s="397">
        <f>CV667</f>
        <v>28</v>
      </c>
      <c r="CW683" s="397">
        <f>CW667</f>
        <v>54</v>
      </c>
      <c r="CX683" s="397">
        <f>CX667</f>
        <v>82</v>
      </c>
      <c r="CZ683" s="397">
        <f>CZ667</f>
        <v>55</v>
      </c>
      <c r="DA683" s="397">
        <f>DA667</f>
        <v>56</v>
      </c>
      <c r="DB683" s="397">
        <f>DB667</f>
        <v>111</v>
      </c>
      <c r="DD683" s="397">
        <f>DD667</f>
        <v>60</v>
      </c>
      <c r="DE683" s="397">
        <f>DE667</f>
        <v>62</v>
      </c>
      <c r="DF683" s="397">
        <f>DF667</f>
        <v>122</v>
      </c>
      <c r="DH683" s="397">
        <f>DH667</f>
        <v>67</v>
      </c>
      <c r="DI683" s="397">
        <f>SUM(DI680:DI682)</f>
        <v>68.34</v>
      </c>
      <c r="DJ683" s="397">
        <f>DJ667</f>
        <v>135.34</v>
      </c>
      <c r="DL683" s="397">
        <f>SUM(DL680:DL682)</f>
        <v>69.706800000000001</v>
      </c>
      <c r="DM683" s="397">
        <f>SUM(DM680:DM682)</f>
        <v>71.100936000000004</v>
      </c>
      <c r="DN683" s="397">
        <f>DN667</f>
        <v>140.80773600000001</v>
      </c>
      <c r="DP683" s="397">
        <f>SUM(DP680:DP682)</f>
        <v>72.522954720000001</v>
      </c>
      <c r="DQ683" s="397">
        <f>SUM(DQ680:DQ682)</f>
        <v>73.973413814400004</v>
      </c>
      <c r="DR683" s="397">
        <f>DR667</f>
        <v>146.49636853440001</v>
      </c>
    </row>
    <row r="684" spans="1:123" s="347" customFormat="1" x14ac:dyDescent="0.2">
      <c r="A684" s="347" t="s">
        <v>517</v>
      </c>
      <c r="B684" s="348"/>
      <c r="BH684" s="351">
        <f>BH686-BH685</f>
        <v>278</v>
      </c>
      <c r="BI684" s="351">
        <f>BI686-BI685</f>
        <v>290</v>
      </c>
      <c r="BJ684" s="351">
        <f>+BI684+BH684</f>
        <v>568</v>
      </c>
      <c r="BK684" s="348"/>
      <c r="BL684" s="351">
        <f>BL686-BL685</f>
        <v>299</v>
      </c>
      <c r="BM684" s="351">
        <f>BM686-BM685</f>
        <v>318</v>
      </c>
      <c r="BN684" s="351">
        <f>+BM684+BL684</f>
        <v>617</v>
      </c>
      <c r="BO684" s="348"/>
      <c r="BP684" s="351">
        <f>BP686-BP685</f>
        <v>307</v>
      </c>
      <c r="BQ684" s="351">
        <f>BQ686-BQ685</f>
        <v>253</v>
      </c>
      <c r="BR684" s="351">
        <f>+BQ684+BP684</f>
        <v>560</v>
      </c>
      <c r="BT684" s="351">
        <f>BT686-BT685</f>
        <v>360</v>
      </c>
      <c r="BU684" s="351">
        <f>BU686-BU685</f>
        <v>193</v>
      </c>
      <c r="BV684" s="351">
        <f>+BU684+BT684</f>
        <v>553</v>
      </c>
      <c r="BX684" s="351">
        <f>BX686-BX685</f>
        <v>162</v>
      </c>
      <c r="BY684" s="351">
        <f>BY686-BY685</f>
        <v>61</v>
      </c>
      <c r="BZ684" s="351">
        <f>+BY684+BX684</f>
        <v>223</v>
      </c>
      <c r="CB684" s="351">
        <f>CB686-CB685</f>
        <v>112</v>
      </c>
      <c r="CC684" s="351">
        <f>CC686-CC685</f>
        <v>126</v>
      </c>
      <c r="CD684" s="351">
        <f>+CC684+CB684</f>
        <v>238</v>
      </c>
      <c r="CF684" s="351">
        <f>CF686-CF685</f>
        <v>71</v>
      </c>
      <c r="CG684" s="351">
        <f>CG686-CG685</f>
        <v>78</v>
      </c>
      <c r="CH684" s="351">
        <f>+CG684+CF684</f>
        <v>149</v>
      </c>
      <c r="CJ684" s="351">
        <f>CJ686-CJ685</f>
        <v>32</v>
      </c>
      <c r="CK684" s="351">
        <f>CK686-CK685</f>
        <v>109</v>
      </c>
      <c r="CL684" s="351">
        <f>+CK684+CJ684</f>
        <v>141</v>
      </c>
      <c r="CN684" s="351">
        <f>CN686-CN685</f>
        <v>91</v>
      </c>
      <c r="CO684" s="351">
        <f>CO686-CO685</f>
        <v>54</v>
      </c>
      <c r="CP684" s="351">
        <f>+CO684+CN684</f>
        <v>145</v>
      </c>
      <c r="CR684" s="351">
        <f>CR686-CR685</f>
        <v>18</v>
      </c>
      <c r="CS684" s="351">
        <f>CS686-CS685</f>
        <v>55</v>
      </c>
      <c r="CT684" s="351">
        <f>+CS684+CR684</f>
        <v>73</v>
      </c>
      <c r="CV684" s="351">
        <f>CV686-CV685</f>
        <v>0</v>
      </c>
      <c r="CW684" s="351">
        <f>CW686-CW685</f>
        <v>0</v>
      </c>
      <c r="CX684" s="351">
        <f>+CW684+CV684</f>
        <v>0</v>
      </c>
      <c r="CZ684" s="351">
        <f>CZ686-CZ685</f>
        <v>0</v>
      </c>
      <c r="DA684" s="351">
        <f>DA686-DA685</f>
        <v>0</v>
      </c>
      <c r="DB684" s="351">
        <f>+DA684+CZ684</f>
        <v>0</v>
      </c>
      <c r="DD684" s="351">
        <f>DD686-DD685</f>
        <v>0</v>
      </c>
      <c r="DE684" s="351">
        <f>DE686-DE685</f>
        <v>0</v>
      </c>
      <c r="DF684" s="351">
        <f>+DE684+DD684</f>
        <v>0</v>
      </c>
      <c r="DH684" s="351">
        <f>DH686-DH685</f>
        <v>0</v>
      </c>
      <c r="DI684" s="351">
        <f>DI734</f>
        <v>0</v>
      </c>
      <c r="DJ684" s="351">
        <f>+DI684+DH684</f>
        <v>0</v>
      </c>
      <c r="DL684" s="351">
        <f>DL734</f>
        <v>0</v>
      </c>
      <c r="DM684" s="351">
        <f>DM734</f>
        <v>0</v>
      </c>
      <c r="DN684" s="351">
        <f>+DM684+DL684</f>
        <v>0</v>
      </c>
      <c r="DP684" s="351">
        <f>DP734</f>
        <v>0</v>
      </c>
      <c r="DQ684" s="351">
        <f>DQ734</f>
        <v>0</v>
      </c>
      <c r="DR684" s="351">
        <f>+DQ684+DP684</f>
        <v>0</v>
      </c>
    </row>
    <row r="685" spans="1:123" s="347" customFormat="1" x14ac:dyDescent="0.2">
      <c r="A685" s="347" t="s">
        <v>280</v>
      </c>
      <c r="B685" s="348"/>
      <c r="BH685" s="398">
        <v>76</v>
      </c>
      <c r="BI685" s="398">
        <v>95</v>
      </c>
      <c r="BJ685" s="351">
        <f>BI685+BH685</f>
        <v>171</v>
      </c>
      <c r="BK685" s="348"/>
      <c r="BL685" s="398">
        <v>87</v>
      </c>
      <c r="BM685" s="398">
        <v>115</v>
      </c>
      <c r="BN685" s="351">
        <f>BM685+BL685</f>
        <v>202</v>
      </c>
      <c r="BO685" s="348"/>
      <c r="BP685" s="398">
        <v>109</v>
      </c>
      <c r="BQ685" s="398">
        <v>123</v>
      </c>
      <c r="BR685" s="351">
        <f>BQ685+BP685</f>
        <v>232</v>
      </c>
      <c r="BT685" s="398">
        <v>127</v>
      </c>
      <c r="BU685" s="398">
        <v>115</v>
      </c>
      <c r="BV685" s="351">
        <f>BU685+BT685</f>
        <v>242</v>
      </c>
      <c r="BX685" s="398">
        <v>0</v>
      </c>
      <c r="BY685" s="398">
        <v>0</v>
      </c>
      <c r="BZ685" s="351">
        <f>BY685+BX685</f>
        <v>0</v>
      </c>
      <c r="CB685" s="398">
        <v>0</v>
      </c>
      <c r="CC685" s="398">
        <v>0</v>
      </c>
      <c r="CD685" s="351">
        <f>CC685+CB685</f>
        <v>0</v>
      </c>
      <c r="CF685" s="398">
        <v>0</v>
      </c>
      <c r="CG685" s="398">
        <v>0</v>
      </c>
      <c r="CH685" s="351">
        <f>CG685+CF685</f>
        <v>0</v>
      </c>
      <c r="CJ685" s="398">
        <v>0</v>
      </c>
      <c r="CK685" s="398">
        <v>0</v>
      </c>
      <c r="CL685" s="351">
        <f>CK685+CJ685</f>
        <v>0</v>
      </c>
      <c r="CN685" s="398">
        <v>0</v>
      </c>
      <c r="CO685" s="398">
        <v>0</v>
      </c>
      <c r="CP685" s="351">
        <f>CO685+CN685</f>
        <v>0</v>
      </c>
      <c r="CR685" s="398">
        <v>0</v>
      </c>
      <c r="CS685" s="398">
        <v>0</v>
      </c>
      <c r="CT685" s="351">
        <f>CS685+CR685</f>
        <v>0</v>
      </c>
      <c r="CV685" s="398">
        <v>0</v>
      </c>
      <c r="CW685" s="398">
        <v>0</v>
      </c>
      <c r="CX685" s="351">
        <f>CW685+CV685</f>
        <v>0</v>
      </c>
      <c r="CZ685" s="398">
        <v>0</v>
      </c>
      <c r="DA685" s="398">
        <v>0</v>
      </c>
      <c r="DB685" s="351">
        <f>DA685+CZ685</f>
        <v>0</v>
      </c>
      <c r="DD685" s="398">
        <v>0</v>
      </c>
      <c r="DE685" s="398">
        <v>0</v>
      </c>
      <c r="DF685" s="351">
        <f>DE685+DD685</f>
        <v>0</v>
      </c>
      <c r="DH685" s="398">
        <v>0</v>
      </c>
      <c r="DI685" s="351">
        <f>+DH685*(1+DI692)</f>
        <v>0</v>
      </c>
      <c r="DJ685" s="351">
        <f>DI685+DH685</f>
        <v>0</v>
      </c>
      <c r="DL685" s="351">
        <f>+DI685*(1+DL692)</f>
        <v>0</v>
      </c>
      <c r="DM685" s="351">
        <f>+DL685*(1+DM692)</f>
        <v>0</v>
      </c>
      <c r="DN685" s="351">
        <f>DM685+DL685</f>
        <v>0</v>
      </c>
      <c r="DP685" s="351">
        <f>+DM685*(1+DP692)</f>
        <v>0</v>
      </c>
      <c r="DQ685" s="351">
        <f>+DP685*(1+DQ692)</f>
        <v>0</v>
      </c>
      <c r="DR685" s="351">
        <f>DQ685+DP685</f>
        <v>0</v>
      </c>
    </row>
    <row r="686" spans="1:123" s="411" customFormat="1" x14ac:dyDescent="0.2">
      <c r="A686" s="407" t="s">
        <v>224</v>
      </c>
      <c r="B686" s="423"/>
      <c r="BH686" s="397">
        <f>BH668</f>
        <v>354</v>
      </c>
      <c r="BI686" s="397">
        <f>BI668</f>
        <v>385</v>
      </c>
      <c r="BJ686" s="397">
        <f>BJ668</f>
        <v>739</v>
      </c>
      <c r="BK686" s="423"/>
      <c r="BL686" s="397">
        <f>BL668</f>
        <v>386</v>
      </c>
      <c r="BM686" s="397">
        <f>BM668</f>
        <v>433</v>
      </c>
      <c r="BN686" s="397">
        <f>BN668</f>
        <v>819</v>
      </c>
      <c r="BO686" s="423"/>
      <c r="BP686" s="397">
        <f>BP668</f>
        <v>416</v>
      </c>
      <c r="BQ686" s="397">
        <f>BQ668</f>
        <v>376</v>
      </c>
      <c r="BR686" s="397">
        <f>BR668</f>
        <v>792</v>
      </c>
      <c r="BT686" s="397">
        <f>BT668</f>
        <v>487</v>
      </c>
      <c r="BU686" s="397">
        <f>BU668</f>
        <v>308</v>
      </c>
      <c r="BV686" s="397">
        <f>BV668</f>
        <v>795</v>
      </c>
      <c r="BX686" s="397">
        <f>BX668</f>
        <v>162</v>
      </c>
      <c r="BY686" s="397">
        <f>BY668</f>
        <v>61</v>
      </c>
      <c r="BZ686" s="397">
        <f>BZ668</f>
        <v>223</v>
      </c>
      <c r="CB686" s="397">
        <f>CB668</f>
        <v>112</v>
      </c>
      <c r="CC686" s="397">
        <f>CC668</f>
        <v>126</v>
      </c>
      <c r="CD686" s="397">
        <f>CD668</f>
        <v>238</v>
      </c>
      <c r="CF686" s="397">
        <f>CF668</f>
        <v>71</v>
      </c>
      <c r="CG686" s="397">
        <f>CG668</f>
        <v>78</v>
      </c>
      <c r="CH686" s="397">
        <f>CH668</f>
        <v>149</v>
      </c>
      <c r="CJ686" s="397">
        <f>CJ668</f>
        <v>32</v>
      </c>
      <c r="CK686" s="397">
        <f>CK668</f>
        <v>109</v>
      </c>
      <c r="CL686" s="397">
        <f>CL668</f>
        <v>141</v>
      </c>
      <c r="CN686" s="397">
        <f>CN668</f>
        <v>91</v>
      </c>
      <c r="CO686" s="397">
        <f>CO668</f>
        <v>54</v>
      </c>
      <c r="CP686" s="397">
        <f>CP668</f>
        <v>145</v>
      </c>
      <c r="CR686" s="397">
        <f>CR668</f>
        <v>18</v>
      </c>
      <c r="CS686" s="397">
        <f>CS668</f>
        <v>55</v>
      </c>
      <c r="CT686" s="397">
        <f>CT668</f>
        <v>73</v>
      </c>
      <c r="CV686" s="397">
        <f>CV668</f>
        <v>0</v>
      </c>
      <c r="CW686" s="397">
        <f>CW668</f>
        <v>0</v>
      </c>
      <c r="CX686" s="397">
        <f>CX668</f>
        <v>0</v>
      </c>
      <c r="CZ686" s="397">
        <f>CZ668</f>
        <v>0</v>
      </c>
      <c r="DA686" s="397">
        <f>DA668</f>
        <v>0</v>
      </c>
      <c r="DB686" s="397">
        <f>DB668</f>
        <v>0</v>
      </c>
      <c r="DD686" s="397">
        <f>DD668</f>
        <v>0</v>
      </c>
      <c r="DE686" s="397">
        <f>DE668</f>
        <v>0</v>
      </c>
      <c r="DF686" s="397">
        <f>DF668</f>
        <v>0</v>
      </c>
      <c r="DH686" s="397">
        <f>DH668</f>
        <v>0</v>
      </c>
      <c r="DI686" s="397">
        <f>SUM(DI684:DI685)</f>
        <v>0</v>
      </c>
      <c r="DJ686" s="397">
        <f>SUM(DJ684:DJ685)</f>
        <v>0</v>
      </c>
      <c r="DL686" s="397">
        <f>SUM(DL684:DL685)</f>
        <v>0</v>
      </c>
      <c r="DM686" s="397">
        <f>SUM(DM684:DM685)</f>
        <v>0</v>
      </c>
      <c r="DN686" s="397">
        <f>SUM(DN684:DN685)</f>
        <v>0</v>
      </c>
      <c r="DP686" s="397">
        <f>SUM(DP684:DP685)</f>
        <v>0</v>
      </c>
      <c r="DQ686" s="397">
        <f>SUM(DQ684:DQ685)</f>
        <v>0</v>
      </c>
      <c r="DR686" s="397">
        <f>SUM(DR684:DR685)</f>
        <v>0</v>
      </c>
    </row>
    <row r="687" spans="1:123" s="347" customFormat="1" x14ac:dyDescent="0.2">
      <c r="A687" s="424" t="s">
        <v>273</v>
      </c>
      <c r="B687" s="348"/>
      <c r="BH687" s="348"/>
      <c r="BI687" s="348"/>
      <c r="BJ687" s="348"/>
      <c r="BK687" s="348"/>
      <c r="BL687" s="348"/>
      <c r="BM687" s="348"/>
      <c r="BN687" s="348"/>
      <c r="BO687" s="348"/>
      <c r="BP687" s="348"/>
      <c r="BQ687" s="348"/>
      <c r="BR687" s="348"/>
      <c r="BT687" s="348"/>
      <c r="BU687" s="348"/>
      <c r="BV687" s="348"/>
      <c r="BX687" s="348"/>
      <c r="BY687" s="348"/>
      <c r="CB687" s="348"/>
      <c r="CC687" s="348"/>
      <c r="CF687" s="348"/>
      <c r="CG687" s="348"/>
      <c r="CJ687" s="348"/>
      <c r="CK687" s="348"/>
      <c r="CN687" s="348"/>
      <c r="CO687" s="348"/>
      <c r="CR687" s="348"/>
      <c r="CS687" s="348"/>
      <c r="CV687" s="348"/>
      <c r="CW687" s="348"/>
      <c r="CZ687" s="348"/>
      <c r="DA687" s="348"/>
      <c r="DD687" s="348"/>
      <c r="DE687" s="348"/>
      <c r="DH687" s="348"/>
      <c r="DI687" s="348"/>
      <c r="DL687" s="348"/>
      <c r="DM687" s="348"/>
      <c r="DP687" s="348"/>
      <c r="DQ687" s="348"/>
    </row>
    <row r="688" spans="1:123" s="347" customFormat="1" x14ac:dyDescent="0.2">
      <c r="A688" s="477" t="str">
        <f t="shared" ref="A688:A693" si="683">A681</f>
        <v>Other Australia and Overseas</v>
      </c>
      <c r="B688" s="446"/>
      <c r="C688" s="447"/>
      <c r="D688" s="447"/>
      <c r="E688" s="447"/>
      <c r="F688" s="447"/>
      <c r="G688" s="447"/>
      <c r="H688" s="447"/>
      <c r="I688" s="447"/>
      <c r="J688" s="447"/>
      <c r="K688" s="447"/>
      <c r="L688" s="447"/>
      <c r="M688" s="447"/>
      <c r="N688" s="447"/>
      <c r="O688" s="447"/>
      <c r="P688" s="447"/>
      <c r="Q688" s="447"/>
      <c r="R688" s="447"/>
      <c r="S688" s="447"/>
      <c r="T688" s="447"/>
      <c r="U688" s="447"/>
      <c r="V688" s="447"/>
      <c r="W688" s="447"/>
      <c r="X688" s="447"/>
      <c r="Y688" s="447"/>
      <c r="Z688" s="447"/>
      <c r="AA688" s="447"/>
      <c r="AB688" s="447"/>
      <c r="AC688" s="447"/>
      <c r="AD688" s="447"/>
      <c r="AE688" s="447"/>
      <c r="AF688" s="447"/>
      <c r="AG688" s="447"/>
      <c r="AH688" s="447"/>
      <c r="AI688" s="447"/>
      <c r="AJ688" s="447"/>
      <c r="AK688" s="447"/>
      <c r="AL688" s="447"/>
      <c r="AM688" s="447"/>
      <c r="AN688" s="447"/>
      <c r="AO688" s="447"/>
      <c r="AP688" s="447"/>
      <c r="AQ688" s="447"/>
      <c r="AR688" s="447"/>
      <c r="AS688" s="447"/>
      <c r="AT688" s="447"/>
      <c r="AU688" s="447"/>
      <c r="AV688" s="447"/>
      <c r="AW688" s="447"/>
      <c r="AX688" s="447"/>
      <c r="AY688" s="447"/>
      <c r="AZ688" s="447"/>
      <c r="BA688" s="447"/>
      <c r="BB688" s="447"/>
      <c r="BC688" s="447"/>
      <c r="BD688" s="447"/>
      <c r="BE688" s="447"/>
      <c r="BF688" s="447"/>
      <c r="BG688" s="447"/>
      <c r="BH688" s="446"/>
      <c r="BI688" s="478">
        <f t="shared" ref="BI688:BI693" si="684">+BI681/BH681-1</f>
        <v>6.6202090592334395E-2</v>
      </c>
      <c r="BJ688" s="446"/>
      <c r="BK688" s="446"/>
      <c r="BL688" s="478">
        <f t="shared" ref="BL688:BL693" si="685">+BL681/BI681-1</f>
        <v>5.9912854030501173E-2</v>
      </c>
      <c r="BM688" s="478">
        <f t="shared" ref="BM688:BM693" si="686">+BM681/BL681-1</f>
        <v>-7.5025693730729648E-2</v>
      </c>
      <c r="BN688" s="446"/>
      <c r="BO688" s="446"/>
      <c r="BP688" s="478">
        <f t="shared" ref="BP688:BP693" si="687">+BP681/BM681-1</f>
        <v>4.0000000000000036E-2</v>
      </c>
      <c r="BQ688" s="478">
        <f t="shared" ref="BQ688:BQ693" si="688">+BQ681/BP681-1</f>
        <v>-5.3418803418803229E-3</v>
      </c>
      <c r="BR688" s="446"/>
      <c r="BS688" s="447"/>
      <c r="BT688" s="478">
        <f t="shared" ref="BT688:BT693" si="689">+BT681/BQ681-1</f>
        <v>6.552094522019325E-2</v>
      </c>
      <c r="BU688" s="478">
        <f t="shared" ref="BU688:BU693" si="690">+BU681/BT681-1</f>
        <v>-4.8387096774193505E-2</v>
      </c>
      <c r="BV688" s="446"/>
      <c r="BW688" s="447"/>
      <c r="BX688" s="478">
        <f t="shared" ref="BX688:BX693" si="691">+BX681/BU681-1</f>
        <v>-0.52542372881355925</v>
      </c>
      <c r="BY688" s="478">
        <f t="shared" ref="BY688:BY693" si="692">+BY681/BX681-1</f>
        <v>8.4821428571428603E-2</v>
      </c>
      <c r="BZ688" s="446"/>
      <c r="CA688" s="447"/>
      <c r="CB688" s="478">
        <f t="shared" ref="CB688:CB693" si="693">+CB681/BY681-1</f>
        <v>5.967078189300401E-2</v>
      </c>
      <c r="CC688" s="478">
        <f>+CC681/CB681-1</f>
        <v>-4.4660194174757306E-2</v>
      </c>
      <c r="CD688" s="446"/>
      <c r="CE688" s="447"/>
      <c r="CF688" s="478">
        <f t="shared" ref="CF688:CF693" si="694">+CF681/CC681-1</f>
        <v>-0.81300813008130079</v>
      </c>
      <c r="CG688" s="478">
        <f>+CG681/CF681-1</f>
        <v>-0.64130434782608692</v>
      </c>
      <c r="CH688" s="446"/>
      <c r="CI688" s="447"/>
      <c r="CJ688" s="478">
        <f t="shared" ref="CJ688:CJ693" si="695">+CJ681/CG681-1</f>
        <v>-0.18181818181818177</v>
      </c>
      <c r="CK688" s="478">
        <f>+CK681/CJ681-1</f>
        <v>-0.62962962962962965</v>
      </c>
      <c r="CL688" s="446"/>
      <c r="CM688" s="447"/>
      <c r="CN688" s="478">
        <f t="shared" ref="CN688:CN693" si="696">+CN681/CK681-1</f>
        <v>0.19999999999999996</v>
      </c>
      <c r="CO688" s="478">
        <f>+CO681/CN681-1</f>
        <v>8.3333333333333259E-2</v>
      </c>
      <c r="CP688" s="446"/>
      <c r="CQ688" s="447"/>
      <c r="CR688" s="478">
        <f t="shared" ref="CR688:CR693" si="697">+CR681/CO681-1</f>
        <v>-0.23076923076923073</v>
      </c>
      <c r="CS688" s="478">
        <f>+CS681/CR681-1</f>
        <v>-1</v>
      </c>
      <c r="CT688" s="446"/>
      <c r="CU688" s="447"/>
      <c r="CV688" s="478"/>
      <c r="CW688" s="478"/>
      <c r="CX688" s="446"/>
      <c r="CY688" s="447"/>
      <c r="CZ688" s="478"/>
      <c r="DA688" s="478"/>
      <c r="DB688" s="446"/>
      <c r="DC688" s="447"/>
      <c r="DD688" s="478"/>
      <c r="DE688" s="478"/>
      <c r="DF688" s="446"/>
      <c r="DG688" s="447"/>
      <c r="DH688" s="478"/>
      <c r="DI688" s="622"/>
      <c r="DJ688" s="446"/>
      <c r="DK688" s="447"/>
      <c r="DL688" s="622"/>
      <c r="DM688" s="622"/>
      <c r="DN688" s="446"/>
      <c r="DO688" s="447"/>
      <c r="DP688" s="622"/>
      <c r="DQ688" s="622"/>
      <c r="DR688" s="446"/>
      <c r="DS688" s="447"/>
    </row>
    <row r="689" spans="1:264" s="347" customFormat="1" x14ac:dyDescent="0.2">
      <c r="A689" s="477" t="str">
        <f t="shared" si="683"/>
        <v>New Zealand</v>
      </c>
      <c r="B689" s="446"/>
      <c r="C689" s="447"/>
      <c r="D689" s="447"/>
      <c r="E689" s="447"/>
      <c r="F689" s="447"/>
      <c r="G689" s="447"/>
      <c r="H689" s="447"/>
      <c r="I689" s="447"/>
      <c r="J689" s="447"/>
      <c r="K689" s="447"/>
      <c r="L689" s="447"/>
      <c r="M689" s="447"/>
      <c r="N689" s="447"/>
      <c r="O689" s="447"/>
      <c r="P689" s="447"/>
      <c r="Q689" s="447"/>
      <c r="R689" s="447"/>
      <c r="S689" s="447"/>
      <c r="T689" s="447"/>
      <c r="U689" s="447"/>
      <c r="V689" s="447"/>
      <c r="W689" s="447"/>
      <c r="X689" s="447"/>
      <c r="Y689" s="447"/>
      <c r="Z689" s="447"/>
      <c r="AA689" s="447"/>
      <c r="AB689" s="447"/>
      <c r="AC689" s="447"/>
      <c r="AD689" s="447"/>
      <c r="AE689" s="447"/>
      <c r="AF689" s="447"/>
      <c r="AG689" s="447"/>
      <c r="AH689" s="447"/>
      <c r="AI689" s="447"/>
      <c r="AJ689" s="447"/>
      <c r="AK689" s="447"/>
      <c r="AL689" s="447"/>
      <c r="AM689" s="447"/>
      <c r="AN689" s="447"/>
      <c r="AO689" s="447"/>
      <c r="AP689" s="447"/>
      <c r="AQ689" s="447"/>
      <c r="AR689" s="447"/>
      <c r="AS689" s="447"/>
      <c r="AT689" s="447"/>
      <c r="AU689" s="447"/>
      <c r="AV689" s="447"/>
      <c r="AW689" s="447"/>
      <c r="AX689" s="447"/>
      <c r="AY689" s="447"/>
      <c r="AZ689" s="447"/>
      <c r="BA689" s="447"/>
      <c r="BB689" s="447"/>
      <c r="BC689" s="447"/>
      <c r="BD689" s="447"/>
      <c r="BE689" s="447"/>
      <c r="BF689" s="447"/>
      <c r="BG689" s="447"/>
      <c r="BH689" s="446"/>
      <c r="BI689" s="623">
        <f t="shared" si="684"/>
        <v>0.13043478260869557</v>
      </c>
      <c r="BJ689" s="624"/>
      <c r="BK689" s="624"/>
      <c r="BL689" s="623">
        <f t="shared" si="685"/>
        <v>0.15384615384615374</v>
      </c>
      <c r="BM689" s="623">
        <f t="shared" si="686"/>
        <v>0</v>
      </c>
      <c r="BN689" s="624"/>
      <c r="BO689" s="624"/>
      <c r="BP689" s="623">
        <f t="shared" si="687"/>
        <v>0.1333333333333333</v>
      </c>
      <c r="BQ689" s="623">
        <f t="shared" si="688"/>
        <v>8.8235294117646967E-2</v>
      </c>
      <c r="BR689" s="624"/>
      <c r="BS689" s="605"/>
      <c r="BT689" s="623">
        <f t="shared" si="689"/>
        <v>8.1081081081081141E-2</v>
      </c>
      <c r="BU689" s="623">
        <f t="shared" si="690"/>
        <v>0</v>
      </c>
      <c r="BV689" s="624"/>
      <c r="BW689" s="605"/>
      <c r="BX689" s="623">
        <f t="shared" si="691"/>
        <v>0.125</v>
      </c>
      <c r="BY689" s="623">
        <f t="shared" si="692"/>
        <v>4.4444444444444509E-2</v>
      </c>
      <c r="BZ689" s="624"/>
      <c r="CA689" s="605"/>
      <c r="CB689" s="623">
        <f t="shared" si="693"/>
        <v>0.12765957446808507</v>
      </c>
      <c r="CC689" s="623">
        <f>+CC682/CB682-1</f>
        <v>0.1132075471698113</v>
      </c>
      <c r="CD689" s="624"/>
      <c r="CE689" s="447"/>
      <c r="CF689" s="623">
        <f t="shared" si="694"/>
        <v>6.7796610169491567E-2</v>
      </c>
      <c r="CG689" s="623">
        <f>+CG682/CF682-1</f>
        <v>6.3492063492063489E-2</v>
      </c>
      <c r="CH689" s="624"/>
      <c r="CI689" s="447"/>
      <c r="CJ689" s="623">
        <f t="shared" si="695"/>
        <v>5.9701492537313383E-2</v>
      </c>
      <c r="CK689" s="623">
        <f>+CK682/CJ682-1</f>
        <v>-8.4507042253521125E-2</v>
      </c>
      <c r="CL689" s="624"/>
      <c r="CM689" s="447"/>
      <c r="CN689" s="623">
        <f t="shared" si="696"/>
        <v>4.6153846153846212E-2</v>
      </c>
      <c r="CO689" s="623">
        <f>+CO682/CN682-1</f>
        <v>5.8823529411764719E-2</v>
      </c>
      <c r="CP689" s="624"/>
      <c r="CQ689" s="447"/>
      <c r="CR689" s="623">
        <f t="shared" si="697"/>
        <v>-2.777777777777779E-2</v>
      </c>
      <c r="CS689" s="623">
        <f>+CS682/CR682-1</f>
        <v>-0.2142857142857143</v>
      </c>
      <c r="CT689" s="624"/>
      <c r="CU689" s="447"/>
      <c r="CV689" s="623">
        <f t="shared" ref="CV689:CV693" si="698">+CV682/CS682-1</f>
        <v>-0.49090909090909096</v>
      </c>
      <c r="CW689" s="623">
        <f>+CW682/CV682-1</f>
        <v>0.9285714285714286</v>
      </c>
      <c r="CX689" s="624"/>
      <c r="CY689" s="447"/>
      <c r="CZ689" s="623">
        <f>+CZ682/CW682-1</f>
        <v>1.8518518518518601E-2</v>
      </c>
      <c r="DA689" s="623">
        <f>+DA682/CZ682-1</f>
        <v>1.8181818181818077E-2</v>
      </c>
      <c r="DB689" s="624"/>
      <c r="DC689" s="447"/>
      <c r="DD689" s="623">
        <f>+DD682/DA682-1</f>
        <v>7.1428571428571397E-2</v>
      </c>
      <c r="DE689" s="623">
        <f>+DE682/DD682-1</f>
        <v>3.3333333333333437E-2</v>
      </c>
      <c r="DF689" s="624"/>
      <c r="DG689" s="447"/>
      <c r="DH689" s="623">
        <f>+DH682/DE682-1</f>
        <v>8.0645161290322509E-2</v>
      </c>
      <c r="DI689" s="622">
        <v>0.02</v>
      </c>
      <c r="DJ689" s="446"/>
      <c r="DK689" s="447"/>
      <c r="DL689" s="622">
        <v>0.02</v>
      </c>
      <c r="DM689" s="622">
        <v>0.02</v>
      </c>
      <c r="DN689" s="446"/>
      <c r="DO689" s="447"/>
      <c r="DP689" s="622">
        <v>0.02</v>
      </c>
      <c r="DQ689" s="622">
        <v>0.02</v>
      </c>
      <c r="DR689" s="446"/>
      <c r="DS689" s="447"/>
    </row>
    <row r="690" spans="1:264" s="411" customFormat="1" x14ac:dyDescent="0.2">
      <c r="A690" s="424" t="str">
        <f t="shared" si="683"/>
        <v>Funds Management Income</v>
      </c>
      <c r="B690" s="423"/>
      <c r="BH690" s="423"/>
      <c r="BI690" s="481">
        <f t="shared" si="684"/>
        <v>6.7873303167420795E-2</v>
      </c>
      <c r="BJ690" s="423"/>
      <c r="BK690" s="423"/>
      <c r="BL690" s="481">
        <f t="shared" si="685"/>
        <v>6.25E-2</v>
      </c>
      <c r="BM690" s="481">
        <f t="shared" si="686"/>
        <v>-7.278165503489531E-2</v>
      </c>
      <c r="BN690" s="423"/>
      <c r="BO690" s="423"/>
      <c r="BP690" s="481">
        <f t="shared" si="687"/>
        <v>4.3010752688172005E-2</v>
      </c>
      <c r="BQ690" s="481">
        <f t="shared" si="688"/>
        <v>-2.0618556701030855E-3</v>
      </c>
      <c r="BR690" s="423"/>
      <c r="BT690" s="481">
        <f t="shared" si="689"/>
        <v>6.6115702479338845E-2</v>
      </c>
      <c r="BU690" s="481">
        <f t="shared" si="690"/>
        <v>-4.6511627906976716E-2</v>
      </c>
      <c r="BV690" s="423"/>
      <c r="BX690" s="481">
        <f t="shared" si="691"/>
        <v>-4.166666666666663E-2</v>
      </c>
      <c r="BY690" s="481">
        <f t="shared" si="692"/>
        <v>2.8632025450689325E-2</v>
      </c>
      <c r="BZ690" s="423"/>
      <c r="CB690" s="481">
        <f t="shared" si="693"/>
        <v>-0.41443298969072162</v>
      </c>
      <c r="CC690" s="481">
        <f>+CC683/CB683-1</f>
        <v>-2.9929577464788748E-2</v>
      </c>
      <c r="CD690" s="423"/>
      <c r="CF690" s="481">
        <f t="shared" si="694"/>
        <v>-0.7186932849364791</v>
      </c>
      <c r="CG690" s="481">
        <f>+CG683/CF683-1</f>
        <v>-0.35483870967741937</v>
      </c>
      <c r="CH690" s="423"/>
      <c r="CJ690" s="481">
        <f t="shared" si="695"/>
        <v>-2.0000000000000018E-2</v>
      </c>
      <c r="CK690" s="481">
        <f>+CK683/CJ683-1</f>
        <v>-0.23469387755102045</v>
      </c>
      <c r="CL690" s="423"/>
      <c r="CN690" s="481">
        <f t="shared" si="696"/>
        <v>6.6666666666666652E-2</v>
      </c>
      <c r="CO690" s="481">
        <f>+CO683/CN683-1</f>
        <v>6.25E-2</v>
      </c>
      <c r="CP690" s="423"/>
      <c r="CR690" s="481">
        <f t="shared" si="697"/>
        <v>-5.8823529411764719E-2</v>
      </c>
      <c r="CS690" s="481">
        <f>+CS683/CR683-1</f>
        <v>-0.3125</v>
      </c>
      <c r="CT690" s="423"/>
      <c r="CV690" s="481">
        <f t="shared" si="698"/>
        <v>-0.49090909090909096</v>
      </c>
      <c r="CW690" s="481">
        <f>+CW683/CV683-1</f>
        <v>0.9285714285714286</v>
      </c>
      <c r="CX690" s="423"/>
      <c r="CZ690" s="481">
        <f t="shared" ref="CZ690" si="699">+CZ683/CW683-1</f>
        <v>1.8518518518518601E-2</v>
      </c>
      <c r="DA690" s="481">
        <f>+DA683/CZ683-1</f>
        <v>1.8181818181818077E-2</v>
      </c>
      <c r="DB690" s="423"/>
      <c r="DD690" s="481">
        <f t="shared" ref="DD690" si="700">+DD683/DA683-1</f>
        <v>7.1428571428571397E-2</v>
      </c>
      <c r="DE690" s="481">
        <f>+DE683/DD683-1</f>
        <v>3.3333333333333437E-2</v>
      </c>
      <c r="DF690" s="423"/>
      <c r="DH690" s="481">
        <f t="shared" ref="DH690" si="701">+DH683/DE683-1</f>
        <v>8.0645161290322509E-2</v>
      </c>
      <c r="DI690" s="481">
        <f>+DI683/DH683-1</f>
        <v>2.0000000000000018E-2</v>
      </c>
      <c r="DL690" s="481">
        <f>+DL683/DI683-1</f>
        <v>2.0000000000000018E-2</v>
      </c>
      <c r="DM690" s="481">
        <f>+DM683/DL683-1</f>
        <v>2.0000000000000018E-2</v>
      </c>
      <c r="DP690" s="481">
        <f>+DP683/DM683-1</f>
        <v>2.0000000000000018E-2</v>
      </c>
      <c r="DQ690" s="481">
        <f>+DQ683/DP683-1</f>
        <v>2.0000000000000018E-2</v>
      </c>
      <c r="DT690" s="1"/>
      <c r="DU690" s="1"/>
      <c r="DV690" s="1"/>
      <c r="DW690" s="1"/>
      <c r="DX690" s="1"/>
      <c r="DY690" s="1"/>
      <c r="DZ690" s="1"/>
      <c r="EA690" s="1"/>
      <c r="EB690" s="1"/>
      <c r="EC690" s="1"/>
      <c r="ED690" s="1"/>
      <c r="EE690" s="1"/>
      <c r="EF690" s="1"/>
      <c r="EG690" s="1"/>
      <c r="EH690" s="1"/>
      <c r="EI690" s="1"/>
      <c r="EJ690" s="1"/>
      <c r="EK690" s="1"/>
      <c r="EL690" s="1"/>
      <c r="EM690" s="1"/>
      <c r="EN690" s="1"/>
      <c r="EO690" s="1"/>
      <c r="EP690" s="1"/>
      <c r="EQ690" s="1"/>
      <c r="ER690" s="1"/>
      <c r="ES690" s="1"/>
      <c r="ET690" s="1"/>
      <c r="EU690" s="1"/>
      <c r="EV690" s="1"/>
      <c r="EW690" s="1"/>
      <c r="EX690" s="1"/>
      <c r="EY690" s="1"/>
      <c r="EZ690" s="1"/>
      <c r="FA690" s="1"/>
      <c r="FB690" s="1"/>
      <c r="FC690" s="1"/>
      <c r="FD690" s="1"/>
      <c r="FE690" s="1"/>
      <c r="FF690" s="1"/>
      <c r="FG690" s="1"/>
      <c r="FH690" s="1"/>
      <c r="FI690" s="1"/>
      <c r="FJ690" s="1"/>
      <c r="FK690" s="1"/>
      <c r="FL690" s="1"/>
      <c r="FM690" s="1"/>
      <c r="FN690" s="1"/>
      <c r="FO690" s="1"/>
      <c r="FP690" s="1"/>
      <c r="FQ690" s="1"/>
      <c r="FR690" s="1"/>
      <c r="FS690" s="1"/>
      <c r="FT690" s="1"/>
      <c r="FU690" s="1"/>
      <c r="FV690" s="1"/>
      <c r="FW690" s="1"/>
      <c r="FX690" s="1"/>
      <c r="FY690" s="1"/>
      <c r="FZ690" s="1"/>
      <c r="GA690" s="1"/>
      <c r="GB690" s="1"/>
      <c r="GC690" s="1"/>
      <c r="GD690" s="1"/>
      <c r="GE690" s="1"/>
      <c r="GF690" s="1"/>
      <c r="GG690" s="1"/>
      <c r="GH690" s="1"/>
      <c r="GI690" s="1"/>
      <c r="GJ690" s="1"/>
      <c r="GK690" s="1"/>
      <c r="GL690" s="1"/>
      <c r="GM690" s="1"/>
      <c r="GN690" s="1"/>
      <c r="GO690" s="1"/>
      <c r="GP690" s="1"/>
      <c r="GQ690" s="1"/>
      <c r="GR690" s="1"/>
      <c r="GS690" s="1"/>
      <c r="GT690" s="1"/>
      <c r="GU690" s="1"/>
      <c r="GV690" s="1"/>
      <c r="GW690" s="1"/>
      <c r="GX690" s="1"/>
      <c r="GY690" s="1"/>
      <c r="GZ690" s="1"/>
      <c r="HA690" s="1"/>
      <c r="HB690" s="1"/>
      <c r="HC690" s="1"/>
      <c r="HD690" s="1"/>
      <c r="HE690" s="1"/>
      <c r="HF690" s="1"/>
      <c r="HG690" s="1"/>
      <c r="HH690" s="1"/>
      <c r="HI690" s="1"/>
      <c r="HJ690" s="1"/>
      <c r="HK690" s="1"/>
      <c r="HL690" s="1"/>
      <c r="HM690" s="1"/>
      <c r="HN690" s="1"/>
      <c r="HO690" s="1"/>
      <c r="HP690" s="1"/>
      <c r="HQ690" s="1"/>
      <c r="HR690" s="1"/>
      <c r="HS690" s="1"/>
      <c r="HT690" s="1"/>
      <c r="HU690" s="1"/>
      <c r="HV690" s="1"/>
      <c r="HW690" s="1"/>
      <c r="HX690" s="1"/>
      <c r="HY690" s="1"/>
      <c r="HZ690" s="1"/>
      <c r="IA690" s="1"/>
      <c r="IB690" s="1"/>
      <c r="IC690" s="1"/>
      <c r="ID690" s="1"/>
      <c r="IE690" s="1"/>
      <c r="IF690" s="1"/>
      <c r="IG690" s="1"/>
      <c r="IH690" s="1"/>
      <c r="II690" s="1"/>
      <c r="IJ690" s="1"/>
      <c r="IK690" s="1"/>
      <c r="IL690" s="1"/>
      <c r="IM690" s="1"/>
      <c r="IN690" s="1"/>
      <c r="IO690" s="1"/>
      <c r="IP690" s="1"/>
      <c r="IQ690" s="1"/>
      <c r="IR690" s="1"/>
      <c r="IS690" s="1"/>
      <c r="IT690" s="1"/>
      <c r="IU690" s="1"/>
      <c r="IV690" s="1"/>
      <c r="IW690" s="1"/>
      <c r="IX690" s="1"/>
      <c r="IY690" s="1"/>
      <c r="IZ690" s="1"/>
      <c r="JA690" s="1"/>
      <c r="JB690" s="1"/>
      <c r="JC690" s="1"/>
      <c r="JD690" s="1"/>
    </row>
    <row r="691" spans="1:264" s="347" customFormat="1" x14ac:dyDescent="0.2">
      <c r="A691" s="429" t="str">
        <f t="shared" si="683"/>
        <v>Australia and Overseas</v>
      </c>
      <c r="B691" s="348"/>
      <c r="BH691" s="348"/>
      <c r="BI691" s="394">
        <f t="shared" si="684"/>
        <v>4.3165467625899234E-2</v>
      </c>
      <c r="BJ691" s="348"/>
      <c r="BK691" s="348"/>
      <c r="BL691" s="394">
        <f t="shared" si="685"/>
        <v>3.1034482758620641E-2</v>
      </c>
      <c r="BM691" s="394">
        <f t="shared" si="686"/>
        <v>6.3545150501672198E-2</v>
      </c>
      <c r="BN691" s="348"/>
      <c r="BO691" s="348"/>
      <c r="BP691" s="394">
        <f t="shared" si="687"/>
        <v>-3.4591194968553451E-2</v>
      </c>
      <c r="BQ691" s="394">
        <f t="shared" si="688"/>
        <v>-0.17589576547231267</v>
      </c>
      <c r="BR691" s="348"/>
      <c r="BT691" s="394">
        <f t="shared" si="689"/>
        <v>0.42292490118577075</v>
      </c>
      <c r="BU691" s="394">
        <f t="shared" si="690"/>
        <v>-0.46388888888888891</v>
      </c>
      <c r="BV691" s="348"/>
      <c r="BX691" s="394">
        <f t="shared" si="691"/>
        <v>-0.1606217616580311</v>
      </c>
      <c r="BY691" s="394">
        <f t="shared" si="692"/>
        <v>-0.62345679012345678</v>
      </c>
      <c r="BZ691" s="348"/>
      <c r="CB691" s="394">
        <f t="shared" si="693"/>
        <v>0.83606557377049184</v>
      </c>
      <c r="CC691" s="394">
        <f>+CC684/CB684-1</f>
        <v>0.125</v>
      </c>
      <c r="CD691" s="348"/>
      <c r="CF691" s="394">
        <f t="shared" si="694"/>
        <v>-0.43650793650793651</v>
      </c>
      <c r="CG691" s="394">
        <f>+CG684/CF684-1</f>
        <v>9.8591549295774739E-2</v>
      </c>
      <c r="CH691" s="348"/>
      <c r="CI691" s="599"/>
      <c r="CJ691" s="394">
        <f t="shared" si="695"/>
        <v>-0.58974358974358976</v>
      </c>
      <c r="CK691" s="394">
        <f>+CK684/CJ684-1</f>
        <v>2.40625</v>
      </c>
      <c r="CL691" s="348"/>
      <c r="CM691" s="599"/>
      <c r="CN691" s="394">
        <f t="shared" si="696"/>
        <v>-0.16513761467889909</v>
      </c>
      <c r="CO691" s="394">
        <f>+CO684/CN684-1</f>
        <v>-0.40659340659340659</v>
      </c>
      <c r="CP691" s="348"/>
      <c r="CQ691" s="599"/>
      <c r="CR691" s="394">
        <f t="shared" si="697"/>
        <v>-0.66666666666666674</v>
      </c>
      <c r="CS691" s="394">
        <f>+CS684/CR684-1</f>
        <v>2.0555555555555554</v>
      </c>
      <c r="CT691" s="348"/>
      <c r="CU691" s="599"/>
      <c r="CV691" s="394">
        <f t="shared" si="698"/>
        <v>-1</v>
      </c>
      <c r="CW691" s="394"/>
      <c r="CX691" s="348"/>
      <c r="CY691" s="599"/>
      <c r="CZ691" s="394"/>
      <c r="DA691" s="394"/>
      <c r="DB691" s="348"/>
      <c r="DC691" s="599"/>
      <c r="DD691" s="394"/>
      <c r="DE691" s="394"/>
      <c r="DF691" s="348"/>
      <c r="DG691" s="599"/>
      <c r="DH691" s="394"/>
      <c r="DI691" s="394"/>
      <c r="DJ691" s="599"/>
      <c r="DK691" s="599"/>
      <c r="DL691" s="394"/>
      <c r="DM691" s="394"/>
      <c r="DN691" s="599"/>
      <c r="DO691" s="599"/>
      <c r="DP691" s="394"/>
      <c r="DQ691" s="394"/>
      <c r="DR691" s="599"/>
      <c r="DS691" s="599"/>
      <c r="DT691" s="1"/>
      <c r="DU691" s="1"/>
      <c r="DV691" s="1"/>
      <c r="DW691" s="1"/>
      <c r="DX691" s="1"/>
      <c r="DY691" s="1"/>
      <c r="DZ691" s="1"/>
      <c r="EA691" s="1"/>
      <c r="EB691" s="1"/>
      <c r="EC691" s="1"/>
      <c r="ED691" s="1"/>
      <c r="EE691" s="1"/>
      <c r="EF691" s="1"/>
      <c r="EG691" s="1"/>
      <c r="EH691" s="1"/>
      <c r="EI691" s="1"/>
      <c r="EJ691" s="1"/>
      <c r="EK691" s="1"/>
      <c r="EL691" s="1"/>
      <c r="EM691" s="1"/>
      <c r="EN691" s="1"/>
      <c r="EO691" s="1"/>
      <c r="EP691" s="1"/>
      <c r="EQ691" s="1"/>
      <c r="ER691" s="1"/>
      <c r="ES691" s="1"/>
      <c r="ET691" s="1"/>
      <c r="EU691" s="1"/>
      <c r="EV691" s="1"/>
      <c r="EW691" s="1"/>
      <c r="EX691" s="1"/>
      <c r="EY691" s="1"/>
      <c r="EZ691" s="1"/>
      <c r="FA691" s="1"/>
      <c r="FB691" s="1"/>
      <c r="FC691" s="1"/>
      <c r="FD691" s="1"/>
      <c r="FE691" s="1"/>
      <c r="FF691" s="1"/>
      <c r="FG691" s="1"/>
      <c r="FH691" s="1"/>
      <c r="FI691" s="1"/>
      <c r="FJ691" s="1"/>
      <c r="FK691" s="1"/>
      <c r="FL691" s="1"/>
      <c r="FM691" s="1"/>
      <c r="FN691" s="1"/>
      <c r="FO691" s="1"/>
      <c r="FP691" s="1"/>
      <c r="FQ691" s="1"/>
      <c r="FR691" s="1"/>
      <c r="FS691" s="1"/>
      <c r="FT691" s="1"/>
      <c r="FU691" s="1"/>
      <c r="FV691" s="1"/>
      <c r="FW691" s="1"/>
      <c r="FX691" s="1"/>
      <c r="FY691" s="1"/>
      <c r="FZ691" s="1"/>
      <c r="GA691" s="1"/>
      <c r="GB691" s="1"/>
      <c r="GC691" s="1"/>
      <c r="GD691" s="1"/>
      <c r="GE691" s="1"/>
      <c r="GF691" s="1"/>
      <c r="GG691" s="1"/>
      <c r="GH691" s="1"/>
      <c r="GI691" s="1"/>
      <c r="GJ691" s="1"/>
      <c r="GK691" s="1"/>
      <c r="GL691" s="1"/>
      <c r="GM691" s="1"/>
      <c r="GN691" s="1"/>
      <c r="GO691" s="1"/>
      <c r="GP691" s="1"/>
      <c r="GQ691" s="1"/>
      <c r="GR691" s="1"/>
      <c r="GS691" s="1"/>
      <c r="GT691" s="1"/>
      <c r="GU691" s="1"/>
      <c r="GV691" s="1"/>
      <c r="GW691" s="1"/>
      <c r="GX691" s="1"/>
      <c r="GY691" s="1"/>
      <c r="GZ691" s="1"/>
      <c r="HA691" s="1"/>
      <c r="HB691" s="1"/>
      <c r="HC691" s="1"/>
      <c r="HD691" s="1"/>
      <c r="HE691" s="1"/>
      <c r="HF691" s="1"/>
      <c r="HG691" s="1"/>
      <c r="HH691" s="1"/>
      <c r="HI691" s="1"/>
      <c r="HJ691" s="1"/>
      <c r="HK691" s="1"/>
      <c r="HL691" s="1"/>
      <c r="HM691" s="1"/>
      <c r="HN691" s="1"/>
      <c r="HO691" s="1"/>
      <c r="HP691" s="1"/>
      <c r="HQ691" s="1"/>
      <c r="HR691" s="1"/>
      <c r="HS691" s="1"/>
      <c r="HT691" s="1"/>
      <c r="HU691" s="1"/>
      <c r="HV691" s="1"/>
      <c r="HW691" s="1"/>
      <c r="HX691" s="1"/>
      <c r="HY691" s="1"/>
      <c r="HZ691" s="1"/>
      <c r="IA691" s="1"/>
      <c r="IB691" s="1"/>
      <c r="IC691" s="1"/>
      <c r="ID691" s="1"/>
      <c r="IE691" s="1"/>
      <c r="IF691" s="1"/>
      <c r="IG691" s="1"/>
      <c r="IH691" s="1"/>
      <c r="II691" s="1"/>
      <c r="IJ691" s="1"/>
      <c r="IK691" s="1"/>
      <c r="IL691" s="1"/>
      <c r="IM691" s="1"/>
      <c r="IN691" s="1"/>
      <c r="IO691" s="1"/>
      <c r="IP691" s="1"/>
      <c r="IQ691" s="1"/>
      <c r="IR691" s="1"/>
      <c r="IS691" s="1"/>
      <c r="IT691" s="1"/>
      <c r="IU691" s="1"/>
      <c r="IV691" s="1"/>
      <c r="IW691" s="1"/>
      <c r="IX691" s="1"/>
      <c r="IY691" s="1"/>
      <c r="IZ691" s="1"/>
      <c r="JA691" s="1"/>
      <c r="JB691" s="1"/>
      <c r="JC691" s="1"/>
      <c r="JD691" s="1"/>
    </row>
    <row r="692" spans="1:264" s="347" customFormat="1" x14ac:dyDescent="0.2">
      <c r="A692" s="477" t="str">
        <f t="shared" si="683"/>
        <v>New Zealand</v>
      </c>
      <c r="B692" s="446"/>
      <c r="C692" s="447"/>
      <c r="D692" s="447"/>
      <c r="E692" s="447"/>
      <c r="F692" s="447"/>
      <c r="G692" s="447"/>
      <c r="H692" s="447"/>
      <c r="I692" s="447"/>
      <c r="J692" s="447"/>
      <c r="K692" s="447"/>
      <c r="L692" s="447"/>
      <c r="M692" s="447"/>
      <c r="N692" s="447"/>
      <c r="O692" s="447"/>
      <c r="P692" s="447"/>
      <c r="Q692" s="447"/>
      <c r="R692" s="447"/>
      <c r="S692" s="447"/>
      <c r="T692" s="447"/>
      <c r="U692" s="447"/>
      <c r="V692" s="447"/>
      <c r="W692" s="447"/>
      <c r="X692" s="447"/>
      <c r="Y692" s="447"/>
      <c r="Z692" s="447"/>
      <c r="AA692" s="447"/>
      <c r="AB692" s="447"/>
      <c r="AC692" s="447"/>
      <c r="AD692" s="447"/>
      <c r="AE692" s="447"/>
      <c r="AF692" s="447"/>
      <c r="AG692" s="447"/>
      <c r="AH692" s="447"/>
      <c r="AI692" s="447"/>
      <c r="AJ692" s="447"/>
      <c r="AK692" s="447"/>
      <c r="AL692" s="447"/>
      <c r="AM692" s="447"/>
      <c r="AN692" s="447"/>
      <c r="AO692" s="447"/>
      <c r="AP692" s="447"/>
      <c r="AQ692" s="447"/>
      <c r="AR692" s="447"/>
      <c r="AS692" s="447"/>
      <c r="AT692" s="447"/>
      <c r="AU692" s="447"/>
      <c r="AV692" s="447"/>
      <c r="AW692" s="447"/>
      <c r="AX692" s="447"/>
      <c r="AY692" s="447"/>
      <c r="AZ692" s="447"/>
      <c r="BA692" s="447"/>
      <c r="BB692" s="447"/>
      <c r="BC692" s="447"/>
      <c r="BD692" s="447"/>
      <c r="BE692" s="447"/>
      <c r="BF692" s="447"/>
      <c r="BG692" s="447"/>
      <c r="BH692" s="446"/>
      <c r="BI692" s="623">
        <f t="shared" si="684"/>
        <v>0.25</v>
      </c>
      <c r="BJ692" s="624"/>
      <c r="BK692" s="624"/>
      <c r="BL692" s="623">
        <f t="shared" si="685"/>
        <v>-8.4210526315789513E-2</v>
      </c>
      <c r="BM692" s="623">
        <f t="shared" si="686"/>
        <v>0.32183908045977017</v>
      </c>
      <c r="BN692" s="624"/>
      <c r="BO692" s="624"/>
      <c r="BP692" s="623">
        <f t="shared" si="687"/>
        <v>-5.2173913043478293E-2</v>
      </c>
      <c r="BQ692" s="623">
        <f t="shared" si="688"/>
        <v>0.12844036697247696</v>
      </c>
      <c r="BR692" s="624"/>
      <c r="BS692" s="605"/>
      <c r="BT692" s="623">
        <f t="shared" si="689"/>
        <v>3.2520325203251987E-2</v>
      </c>
      <c r="BU692" s="623">
        <f t="shared" si="690"/>
        <v>-9.4488188976378007E-2</v>
      </c>
      <c r="BV692" s="624"/>
      <c r="BW692" s="605"/>
      <c r="BX692" s="623">
        <f t="shared" si="691"/>
        <v>-1</v>
      </c>
      <c r="BY692" s="623" t="str">
        <f>IFERROR((+BY685/BX685-1),"na")</f>
        <v>na</v>
      </c>
      <c r="BZ692" s="624"/>
      <c r="CA692" s="605"/>
      <c r="CB692" s="623" t="str">
        <f>IFERROR((+CB685/BY685-1),"na")</f>
        <v>na</v>
      </c>
      <c r="CC692" s="623" t="str">
        <f>IFERROR((+CC685/CB685-1),"na")</f>
        <v>na</v>
      </c>
      <c r="CD692" s="624"/>
      <c r="CE692" s="447"/>
      <c r="CF692" s="623" t="str">
        <f>IFERROR((+CF685/CC685-1),"na")</f>
        <v>na</v>
      </c>
      <c r="CG692" s="623" t="str">
        <f>IFERROR((+CG685/CF685-1),"na")</f>
        <v>na</v>
      </c>
      <c r="CH692" s="624"/>
      <c r="CI692" s="447"/>
      <c r="CJ692" s="623" t="str">
        <f>IFERROR((+CJ685/CG685-1),"na")</f>
        <v>na</v>
      </c>
      <c r="CK692" s="623" t="str">
        <f>IFERROR((+CK685/CJ685-1),"na")</f>
        <v>na</v>
      </c>
      <c r="CL692" s="624"/>
      <c r="CM692" s="447"/>
      <c r="CN692" s="623" t="str">
        <f>IFERROR((+CN685/CK685-1),"na")</f>
        <v>na</v>
      </c>
      <c r="CO692" s="623" t="str">
        <f>IFERROR((+CO685/CN685-1),"na")</f>
        <v>na</v>
      </c>
      <c r="CP692" s="624"/>
      <c r="CQ692" s="447"/>
      <c r="CR692" s="623" t="str">
        <f>IFERROR((+CR685/CO685-1),"na")</f>
        <v>na</v>
      </c>
      <c r="CS692" s="623" t="str">
        <f>IFERROR((+CS685/CR685-1),"na")</f>
        <v>na</v>
      </c>
      <c r="CT692" s="624"/>
      <c r="CU692" s="447"/>
      <c r="CV692" s="623" t="str">
        <f>IFERROR((+CV685/CS685-1),"na")</f>
        <v>na</v>
      </c>
      <c r="CW692" s="623" t="str">
        <f>IFERROR((+CW685/CV685-1),"na")</f>
        <v>na</v>
      </c>
      <c r="CX692" s="624"/>
      <c r="CY692" s="447"/>
      <c r="CZ692" s="623" t="str">
        <f>IFERROR((+CZ685/CW685-1),"na")</f>
        <v>na</v>
      </c>
      <c r="DA692" s="623" t="str">
        <f>IFERROR((+DA685/CZ685-1),"na")</f>
        <v>na</v>
      </c>
      <c r="DB692" s="624"/>
      <c r="DC692" s="447"/>
      <c r="DD692" s="623" t="str">
        <f>IFERROR((+DD685/DA685-1),"na")</f>
        <v>na</v>
      </c>
      <c r="DE692" s="623" t="str">
        <f>IFERROR((+DE685/DD685-1),"na")</f>
        <v>na</v>
      </c>
      <c r="DF692" s="624"/>
      <c r="DG692" s="447"/>
      <c r="DH692" s="623" t="str">
        <f>IFERROR((+DH685/DE685-1),"na")</f>
        <v>na</v>
      </c>
      <c r="DI692" s="622"/>
      <c r="DJ692" s="446"/>
      <c r="DK692" s="447"/>
      <c r="DL692" s="622"/>
      <c r="DM692" s="622"/>
      <c r="DN692" s="446"/>
      <c r="DO692" s="447"/>
      <c r="DP692" s="622"/>
      <c r="DQ692" s="622"/>
      <c r="DR692" s="446"/>
      <c r="DS692" s="447"/>
      <c r="DT692" s="1"/>
      <c r="DU692" s="1"/>
      <c r="DV692" s="1"/>
      <c r="DW692" s="1"/>
      <c r="DX692" s="1"/>
      <c r="DY692" s="1"/>
      <c r="DZ692" s="1"/>
      <c r="EA692" s="1"/>
      <c r="EB692" s="1"/>
      <c r="EC692" s="1"/>
      <c r="ED692" s="1"/>
      <c r="EE692" s="1"/>
      <c r="EF692" s="1"/>
      <c r="EG692" s="1"/>
      <c r="EH692" s="1"/>
      <c r="EI692" s="1"/>
      <c r="EJ692" s="1"/>
      <c r="EK692" s="1"/>
      <c r="EL692" s="1"/>
      <c r="EM692" s="1"/>
      <c r="EN692" s="1"/>
      <c r="EO692" s="1"/>
      <c r="EP692" s="1"/>
      <c r="EQ692" s="1"/>
      <c r="ER692" s="1"/>
      <c r="ES692" s="1"/>
      <c r="ET692" s="1"/>
      <c r="EU692" s="1"/>
      <c r="EV692" s="1"/>
      <c r="EW692" s="1"/>
      <c r="EX692" s="1"/>
      <c r="EY692" s="1"/>
      <c r="EZ692" s="1"/>
      <c r="FA692" s="1"/>
      <c r="FB692" s="1"/>
      <c r="FC692" s="1"/>
      <c r="FD692" s="1"/>
      <c r="FE692" s="1"/>
      <c r="FF692" s="1"/>
      <c r="FG692" s="1"/>
      <c r="FH692" s="1"/>
      <c r="FI692" s="1"/>
      <c r="FJ692" s="1"/>
      <c r="FK692" s="1"/>
      <c r="FL692" s="1"/>
      <c r="FM692" s="1"/>
      <c r="FN692" s="1"/>
      <c r="FO692" s="1"/>
      <c r="FP692" s="1"/>
      <c r="FQ692" s="1"/>
      <c r="FR692" s="1"/>
      <c r="FS692" s="1"/>
      <c r="FT692" s="1"/>
      <c r="FU692" s="1"/>
      <c r="FV692" s="1"/>
      <c r="FW692" s="1"/>
      <c r="FX692" s="1"/>
      <c r="FY692" s="1"/>
      <c r="FZ692" s="1"/>
      <c r="GA692" s="1"/>
      <c r="GB692" s="1"/>
      <c r="GC692" s="1"/>
      <c r="GD692" s="1"/>
      <c r="GE692" s="1"/>
      <c r="GF692" s="1"/>
      <c r="GG692" s="1"/>
      <c r="GH692" s="1"/>
      <c r="GI692" s="1"/>
      <c r="GJ692" s="1"/>
      <c r="GK692" s="1"/>
      <c r="GL692" s="1"/>
      <c r="GM692" s="1"/>
      <c r="GN692" s="1"/>
      <c r="GO692" s="1"/>
      <c r="GP692" s="1"/>
      <c r="GQ692" s="1"/>
      <c r="GR692" s="1"/>
      <c r="GS692" s="1"/>
      <c r="GT692" s="1"/>
      <c r="GU692" s="1"/>
      <c r="GV692" s="1"/>
      <c r="GW692" s="1"/>
      <c r="GX692" s="1"/>
      <c r="GY692" s="1"/>
      <c r="GZ692" s="1"/>
      <c r="HA692" s="1"/>
      <c r="HB692" s="1"/>
      <c r="HC692" s="1"/>
      <c r="HD692" s="1"/>
      <c r="HE692" s="1"/>
      <c r="HF692" s="1"/>
      <c r="HG692" s="1"/>
      <c r="HH692" s="1"/>
      <c r="HI692" s="1"/>
      <c r="HJ692" s="1"/>
      <c r="HK692" s="1"/>
      <c r="HL692" s="1"/>
      <c r="HM692" s="1"/>
      <c r="HN692" s="1"/>
      <c r="HO692" s="1"/>
      <c r="HP692" s="1"/>
      <c r="HQ692" s="1"/>
      <c r="HR692" s="1"/>
      <c r="HS692" s="1"/>
      <c r="HT692" s="1"/>
      <c r="HU692" s="1"/>
      <c r="HV692" s="1"/>
      <c r="HW692" s="1"/>
      <c r="HX692" s="1"/>
      <c r="HY692" s="1"/>
      <c r="HZ692" s="1"/>
      <c r="IA692" s="1"/>
      <c r="IB692" s="1"/>
      <c r="IC692" s="1"/>
      <c r="ID692" s="1"/>
      <c r="IE692" s="1"/>
      <c r="IF692" s="1"/>
      <c r="IG692" s="1"/>
      <c r="IH692" s="1"/>
      <c r="II692" s="1"/>
      <c r="IJ692" s="1"/>
      <c r="IK692" s="1"/>
      <c r="IL692" s="1"/>
      <c r="IM692" s="1"/>
      <c r="IN692" s="1"/>
      <c r="IO692" s="1"/>
      <c r="IP692" s="1"/>
      <c r="IQ692" s="1"/>
      <c r="IR692" s="1"/>
      <c r="IS692" s="1"/>
      <c r="IT692" s="1"/>
      <c r="IU692" s="1"/>
      <c r="IV692" s="1"/>
      <c r="IW692" s="1"/>
      <c r="IX692" s="1"/>
      <c r="IY692" s="1"/>
      <c r="IZ692" s="1"/>
      <c r="JA692" s="1"/>
      <c r="JB692" s="1"/>
      <c r="JC692" s="1"/>
      <c r="JD692" s="1"/>
    </row>
    <row r="693" spans="1:264" s="411" customFormat="1" x14ac:dyDescent="0.2">
      <c r="A693" s="424" t="str">
        <f t="shared" si="683"/>
        <v>Insurance Income</v>
      </c>
      <c r="B693" s="423"/>
      <c r="BH693" s="423"/>
      <c r="BI693" s="481">
        <f t="shared" si="684"/>
        <v>8.7570621468926468E-2</v>
      </c>
      <c r="BJ693" s="423"/>
      <c r="BK693" s="423"/>
      <c r="BL693" s="481">
        <f t="shared" si="685"/>
        <v>2.5974025974024872E-3</v>
      </c>
      <c r="BM693" s="481">
        <f t="shared" si="686"/>
        <v>0.12176165803108807</v>
      </c>
      <c r="BN693" s="423"/>
      <c r="BO693" s="423"/>
      <c r="BP693" s="481">
        <f t="shared" si="687"/>
        <v>-3.9260969976905313E-2</v>
      </c>
      <c r="BQ693" s="481">
        <f t="shared" si="688"/>
        <v>-9.6153846153846145E-2</v>
      </c>
      <c r="BR693" s="423"/>
      <c r="BT693" s="481">
        <f t="shared" si="689"/>
        <v>0.29521276595744683</v>
      </c>
      <c r="BU693" s="481">
        <f t="shared" si="690"/>
        <v>-0.36755646817248455</v>
      </c>
      <c r="BV693" s="423"/>
      <c r="BX693" s="481">
        <f t="shared" si="691"/>
        <v>-0.47402597402597402</v>
      </c>
      <c r="BY693" s="481">
        <f t="shared" si="692"/>
        <v>-0.62345679012345678</v>
      </c>
      <c r="BZ693" s="423"/>
      <c r="CB693" s="481">
        <f t="shared" si="693"/>
        <v>0.83606557377049184</v>
      </c>
      <c r="CC693" s="481">
        <f>+CC686/CB686-1</f>
        <v>0.125</v>
      </c>
      <c r="CD693" s="423"/>
      <c r="CF693" s="481">
        <f t="shared" si="694"/>
        <v>-0.43650793650793651</v>
      </c>
      <c r="CG693" s="481">
        <f>+CG686/CF686-1</f>
        <v>9.8591549295774739E-2</v>
      </c>
      <c r="CH693" s="423"/>
      <c r="CJ693" s="481">
        <f t="shared" si="695"/>
        <v>-0.58974358974358976</v>
      </c>
      <c r="CK693" s="481">
        <f>+CK686/CJ686-1</f>
        <v>2.40625</v>
      </c>
      <c r="CL693" s="423"/>
      <c r="CN693" s="481">
        <f t="shared" si="696"/>
        <v>-0.16513761467889909</v>
      </c>
      <c r="CO693" s="481">
        <f>+CO686/CN686-1</f>
        <v>-0.40659340659340659</v>
      </c>
      <c r="CP693" s="423"/>
      <c r="CR693" s="481">
        <f t="shared" si="697"/>
        <v>-0.66666666666666674</v>
      </c>
      <c r="CS693" s="481">
        <f>+CS686/CR686-1</f>
        <v>2.0555555555555554</v>
      </c>
      <c r="CT693" s="423"/>
      <c r="CV693" s="481">
        <f t="shared" si="698"/>
        <v>-1</v>
      </c>
      <c r="CW693" s="481"/>
      <c r="CX693" s="423"/>
      <c r="CZ693" s="481"/>
      <c r="DA693" s="481"/>
      <c r="DB693" s="423"/>
      <c r="DD693" s="481"/>
      <c r="DE693" s="481"/>
      <c r="DF693" s="423"/>
      <c r="DH693" s="481"/>
      <c r="DI693" s="481"/>
      <c r="DL693" s="481"/>
      <c r="DM693" s="481"/>
      <c r="DP693" s="481"/>
      <c r="DQ693" s="481"/>
      <c r="DT693" s="1"/>
      <c r="DU693" s="1"/>
      <c r="DV693" s="1"/>
      <c r="DW693" s="1"/>
      <c r="DX693" s="1"/>
      <c r="DY693" s="1"/>
      <c r="DZ693" s="1"/>
      <c r="EA693" s="1"/>
      <c r="EB693" s="1"/>
      <c r="EC693" s="1"/>
      <c r="ED693" s="1"/>
      <c r="EE693" s="1"/>
      <c r="EF693" s="1"/>
      <c r="EG693" s="1"/>
      <c r="EH693" s="1"/>
      <c r="EI693" s="1"/>
      <c r="EJ693" s="1"/>
      <c r="EK693" s="1"/>
      <c r="EL693" s="1"/>
      <c r="EM693" s="1"/>
      <c r="EN693" s="1"/>
      <c r="EO693" s="1"/>
      <c r="EP693" s="1"/>
      <c r="EQ693" s="1"/>
      <c r="ER693" s="1"/>
      <c r="ES693" s="1"/>
      <c r="ET693" s="1"/>
      <c r="EU693" s="1"/>
      <c r="EV693" s="1"/>
      <c r="EW693" s="1"/>
      <c r="EX693" s="1"/>
      <c r="EY693" s="1"/>
      <c r="EZ693" s="1"/>
      <c r="FA693" s="1"/>
      <c r="FB693" s="1"/>
      <c r="FC693" s="1"/>
      <c r="FD693" s="1"/>
      <c r="FE693" s="1"/>
      <c r="FF693" s="1"/>
      <c r="FG693" s="1"/>
      <c r="FH693" s="1"/>
      <c r="FI693" s="1"/>
      <c r="FJ693" s="1"/>
      <c r="FK693" s="1"/>
      <c r="FL693" s="1"/>
      <c r="FM693" s="1"/>
      <c r="FN693" s="1"/>
      <c r="FO693" s="1"/>
      <c r="FP693" s="1"/>
      <c r="FQ693" s="1"/>
      <c r="FR693" s="1"/>
      <c r="FS693" s="1"/>
      <c r="FT693" s="1"/>
      <c r="FU693" s="1"/>
      <c r="FV693" s="1"/>
      <c r="FW693" s="1"/>
      <c r="FX693" s="1"/>
      <c r="FY693" s="1"/>
      <c r="FZ693" s="1"/>
      <c r="GA693" s="1"/>
      <c r="GB693" s="1"/>
      <c r="GC693" s="1"/>
      <c r="GD693" s="1"/>
      <c r="GE693" s="1"/>
      <c r="GF693" s="1"/>
      <c r="GG693" s="1"/>
      <c r="GH693" s="1"/>
      <c r="GI693" s="1"/>
      <c r="GJ693" s="1"/>
      <c r="GK693" s="1"/>
      <c r="GL693" s="1"/>
      <c r="GM693" s="1"/>
      <c r="GN693" s="1"/>
      <c r="GO693" s="1"/>
      <c r="GP693" s="1"/>
      <c r="GQ693" s="1"/>
      <c r="GR693" s="1"/>
      <c r="GS693" s="1"/>
      <c r="GT693" s="1"/>
      <c r="GU693" s="1"/>
      <c r="GV693" s="1"/>
      <c r="GW693" s="1"/>
      <c r="GX693" s="1"/>
      <c r="GY693" s="1"/>
      <c r="GZ693" s="1"/>
      <c r="HA693" s="1"/>
      <c r="HB693" s="1"/>
      <c r="HC693" s="1"/>
      <c r="HD693" s="1"/>
      <c r="HE693" s="1"/>
      <c r="HF693" s="1"/>
      <c r="HG693" s="1"/>
      <c r="HH693" s="1"/>
      <c r="HI693" s="1"/>
      <c r="HJ693" s="1"/>
      <c r="HK693" s="1"/>
      <c r="HL693" s="1"/>
      <c r="HM693" s="1"/>
      <c r="HN693" s="1"/>
      <c r="HO693" s="1"/>
      <c r="HP693" s="1"/>
      <c r="HQ693" s="1"/>
      <c r="HR693" s="1"/>
      <c r="HS693" s="1"/>
      <c r="HT693" s="1"/>
      <c r="HU693" s="1"/>
      <c r="HV693" s="1"/>
      <c r="HW693" s="1"/>
      <c r="HX693" s="1"/>
      <c r="HY693" s="1"/>
      <c r="HZ693" s="1"/>
      <c r="IA693" s="1"/>
      <c r="IB693" s="1"/>
      <c r="IC693" s="1"/>
      <c r="ID693" s="1"/>
      <c r="IE693" s="1"/>
      <c r="IF693" s="1"/>
      <c r="IG693" s="1"/>
      <c r="IH693" s="1"/>
      <c r="II693" s="1"/>
      <c r="IJ693" s="1"/>
      <c r="IK693" s="1"/>
      <c r="IL693" s="1"/>
      <c r="IM693" s="1"/>
      <c r="IN693" s="1"/>
      <c r="IO693" s="1"/>
      <c r="IP693" s="1"/>
      <c r="IQ693" s="1"/>
      <c r="IR693" s="1"/>
      <c r="IS693" s="1"/>
      <c r="IT693" s="1"/>
      <c r="IU693" s="1"/>
      <c r="IV693" s="1"/>
      <c r="IW693" s="1"/>
      <c r="IX693" s="1"/>
      <c r="IY693" s="1"/>
      <c r="IZ693" s="1"/>
      <c r="JA693" s="1"/>
      <c r="JB693" s="1"/>
      <c r="JC693" s="1"/>
      <c r="JD693" s="1"/>
    </row>
    <row r="694" spans="1:264" s="411" customFormat="1" x14ac:dyDescent="0.2">
      <c r="A694" s="407"/>
      <c r="B694" s="423"/>
      <c r="BH694" s="397"/>
      <c r="BI694" s="397"/>
      <c r="BJ694" s="397"/>
      <c r="BK694" s="423"/>
      <c r="BL694" s="397"/>
      <c r="BM694" s="397"/>
      <c r="BN694" s="397"/>
      <c r="BO694" s="423"/>
      <c r="BP694" s="397"/>
      <c r="BQ694" s="397"/>
      <c r="BR694" s="397"/>
      <c r="BT694" s="397"/>
      <c r="BU694" s="397"/>
      <c r="BV694" s="397"/>
      <c r="BX694" s="397"/>
      <c r="BY694" s="397"/>
      <c r="BZ694" s="397"/>
      <c r="CB694" s="397"/>
      <c r="CC694" s="397"/>
      <c r="CD694" s="397"/>
      <c r="CF694" s="397"/>
      <c r="CG694" s="397"/>
      <c r="CH694" s="397"/>
      <c r="CJ694" s="397"/>
      <c r="CK694" s="397"/>
      <c r="CL694" s="397"/>
      <c r="CN694" s="397"/>
      <c r="CO694" s="397"/>
      <c r="CP694" s="397"/>
      <c r="CR694" s="397"/>
      <c r="CS694" s="397"/>
      <c r="CT694" s="397"/>
      <c r="CV694" s="397"/>
      <c r="CW694" s="397"/>
      <c r="CX694" s="397"/>
      <c r="CZ694" s="397"/>
      <c r="DA694" s="397"/>
      <c r="DB694" s="397"/>
      <c r="DD694" s="397"/>
      <c r="DE694" s="397"/>
      <c r="DF694" s="397"/>
      <c r="DH694" s="397"/>
      <c r="DI694" s="397"/>
      <c r="DJ694" s="397"/>
      <c r="DL694" s="397"/>
      <c r="DM694" s="397"/>
      <c r="DN694" s="397"/>
      <c r="DP694" s="397"/>
      <c r="DQ694" s="397"/>
      <c r="DR694" s="397"/>
      <c r="DT694" s="1"/>
      <c r="DU694" s="1"/>
      <c r="DV694" s="1"/>
      <c r="DW694" s="1"/>
      <c r="DX694" s="1"/>
      <c r="DY694" s="1"/>
      <c r="DZ694" s="1"/>
      <c r="EA694" s="1"/>
      <c r="EB694" s="1"/>
      <c r="EC694" s="1"/>
      <c r="ED694" s="1"/>
      <c r="EE694" s="1"/>
      <c r="EF694" s="1"/>
      <c r="EG694" s="1"/>
      <c r="EH694" s="1"/>
      <c r="EI694" s="1"/>
      <c r="EJ694" s="1"/>
      <c r="EK694" s="1"/>
      <c r="EL694" s="1"/>
      <c r="EM694" s="1"/>
      <c r="EN694" s="1"/>
      <c r="EO694" s="1"/>
      <c r="EP694" s="1"/>
      <c r="EQ694" s="1"/>
      <c r="ER694" s="1"/>
      <c r="ES694" s="1"/>
      <c r="ET694" s="1"/>
      <c r="EU694" s="1"/>
      <c r="EV694" s="1"/>
      <c r="EW694" s="1"/>
      <c r="EX694" s="1"/>
      <c r="EY694" s="1"/>
      <c r="EZ694" s="1"/>
      <c r="FA694" s="1"/>
      <c r="FB694" s="1"/>
      <c r="FC694" s="1"/>
      <c r="FD694" s="1"/>
      <c r="FE694" s="1"/>
      <c r="FF694" s="1"/>
      <c r="FG694" s="1"/>
      <c r="FH694" s="1"/>
      <c r="FI694" s="1"/>
      <c r="FJ694" s="1"/>
      <c r="FK694" s="1"/>
      <c r="FL694" s="1"/>
      <c r="FM694" s="1"/>
      <c r="FN694" s="1"/>
      <c r="FO694" s="1"/>
      <c r="FP694" s="1"/>
      <c r="FQ694" s="1"/>
      <c r="FR694" s="1"/>
      <c r="FS694" s="1"/>
      <c r="FT694" s="1"/>
      <c r="FU694" s="1"/>
      <c r="FV694" s="1"/>
      <c r="FW694" s="1"/>
      <c r="FX694" s="1"/>
      <c r="FY694" s="1"/>
      <c r="FZ694" s="1"/>
      <c r="GA694" s="1"/>
      <c r="GB694" s="1"/>
      <c r="GC694" s="1"/>
      <c r="GD694" s="1"/>
      <c r="GE694" s="1"/>
      <c r="GF694" s="1"/>
      <c r="GG694" s="1"/>
      <c r="GH694" s="1"/>
      <c r="GI694" s="1"/>
      <c r="GJ694" s="1"/>
      <c r="GK694" s="1"/>
      <c r="GL694" s="1"/>
      <c r="GM694" s="1"/>
      <c r="GN694" s="1"/>
      <c r="GO694" s="1"/>
      <c r="GP694" s="1"/>
      <c r="GQ694" s="1"/>
      <c r="GR694" s="1"/>
      <c r="GS694" s="1"/>
      <c r="GT694" s="1"/>
      <c r="GU694" s="1"/>
      <c r="GV694" s="1"/>
      <c r="GW694" s="1"/>
      <c r="GX694" s="1"/>
      <c r="GY694" s="1"/>
      <c r="GZ694" s="1"/>
      <c r="HA694" s="1"/>
      <c r="HB694" s="1"/>
      <c r="HC694" s="1"/>
      <c r="HD694" s="1"/>
      <c r="HE694" s="1"/>
      <c r="HF694" s="1"/>
      <c r="HG694" s="1"/>
      <c r="HH694" s="1"/>
      <c r="HI694" s="1"/>
      <c r="HJ694" s="1"/>
      <c r="HK694" s="1"/>
      <c r="HL694" s="1"/>
      <c r="HM694" s="1"/>
      <c r="HN694" s="1"/>
      <c r="HO694" s="1"/>
      <c r="HP694" s="1"/>
      <c r="HQ694" s="1"/>
      <c r="HR694" s="1"/>
      <c r="HS694" s="1"/>
      <c r="HT694" s="1"/>
      <c r="HU694" s="1"/>
      <c r="HV694" s="1"/>
      <c r="HW694" s="1"/>
      <c r="HX694" s="1"/>
      <c r="HY694" s="1"/>
      <c r="HZ694" s="1"/>
      <c r="IA694" s="1"/>
      <c r="IB694" s="1"/>
      <c r="IC694" s="1"/>
      <c r="ID694" s="1"/>
      <c r="IE694" s="1"/>
      <c r="IF694" s="1"/>
      <c r="IG694" s="1"/>
      <c r="IH694" s="1"/>
      <c r="II694" s="1"/>
      <c r="IJ694" s="1"/>
      <c r="IK694" s="1"/>
      <c r="IL694" s="1"/>
      <c r="IM694" s="1"/>
      <c r="IN694" s="1"/>
      <c r="IO694" s="1"/>
      <c r="IP694" s="1"/>
      <c r="IQ694" s="1"/>
      <c r="IR694" s="1"/>
      <c r="IS694" s="1"/>
      <c r="IT694" s="1"/>
      <c r="IU694" s="1"/>
      <c r="IV694" s="1"/>
      <c r="IW694" s="1"/>
      <c r="IX694" s="1"/>
      <c r="IY694" s="1"/>
      <c r="IZ694" s="1"/>
      <c r="JA694" s="1"/>
      <c r="JB694" s="1"/>
      <c r="JC694" s="1"/>
      <c r="JD694" s="1"/>
    </row>
    <row r="695" spans="1:264" s="347" customFormat="1" x14ac:dyDescent="0.2">
      <c r="A695" s="411" t="s">
        <v>517</v>
      </c>
      <c r="B695" s="348"/>
      <c r="BH695" s="348"/>
      <c r="BI695" s="348"/>
      <c r="BJ695" s="348"/>
      <c r="BK695" s="348"/>
      <c r="BL695" s="348"/>
      <c r="BM695" s="348"/>
      <c r="BN695" s="348"/>
      <c r="BO695" s="348"/>
      <c r="BP695" s="348"/>
      <c r="BQ695" s="348"/>
      <c r="BR695" s="348"/>
      <c r="BT695" s="348"/>
      <c r="BU695" s="348"/>
      <c r="BV695" s="348"/>
      <c r="BX695" s="348"/>
      <c r="CB695" s="348"/>
      <c r="CF695" s="348"/>
      <c r="CJ695" s="348"/>
      <c r="CN695" s="348"/>
      <c r="CR695" s="348"/>
      <c r="CV695" s="348"/>
      <c r="CZ695" s="348"/>
      <c r="DD695" s="348"/>
      <c r="DH695" s="348"/>
      <c r="DL695" s="348"/>
      <c r="DP695" s="348"/>
      <c r="DT695" s="1"/>
      <c r="DU695" s="1"/>
      <c r="DV695" s="1"/>
      <c r="DW695" s="1"/>
      <c r="DX695" s="1"/>
      <c r="DY695" s="1"/>
      <c r="DZ695" s="1"/>
      <c r="EA695" s="1"/>
      <c r="EB695" s="1"/>
      <c r="EC695" s="1"/>
      <c r="ED695" s="1"/>
      <c r="EE695" s="1"/>
      <c r="EF695" s="1"/>
      <c r="EG695" s="1"/>
      <c r="EH695" s="1"/>
      <c r="EI695" s="1"/>
      <c r="EJ695" s="1"/>
      <c r="EK695" s="1"/>
      <c r="EL695" s="1"/>
      <c r="EM695" s="1"/>
      <c r="EN695" s="1"/>
      <c r="EO695" s="1"/>
      <c r="EP695" s="1"/>
      <c r="EQ695" s="1"/>
      <c r="ER695" s="1"/>
      <c r="ES695" s="1"/>
      <c r="ET695" s="1"/>
      <c r="EU695" s="1"/>
      <c r="EV695" s="1"/>
      <c r="EW695" s="1"/>
      <c r="EX695" s="1"/>
      <c r="EY695" s="1"/>
      <c r="EZ695" s="1"/>
      <c r="FA695" s="1"/>
      <c r="FB695" s="1"/>
      <c r="FC695" s="1"/>
      <c r="FD695" s="1"/>
      <c r="FE695" s="1"/>
      <c r="FF695" s="1"/>
      <c r="FG695" s="1"/>
      <c r="FH695" s="1"/>
      <c r="FI695" s="1"/>
      <c r="FJ695" s="1"/>
      <c r="FK695" s="1"/>
      <c r="FL695" s="1"/>
      <c r="FM695" s="1"/>
      <c r="FN695" s="1"/>
      <c r="FO695" s="1"/>
      <c r="FP695" s="1"/>
      <c r="FQ695" s="1"/>
      <c r="FR695" s="1"/>
      <c r="FS695" s="1"/>
      <c r="FT695" s="1"/>
      <c r="FU695" s="1"/>
      <c r="FV695" s="1"/>
      <c r="FW695" s="1"/>
      <c r="FX695" s="1"/>
      <c r="FY695" s="1"/>
      <c r="FZ695" s="1"/>
      <c r="GA695" s="1"/>
      <c r="GB695" s="1"/>
      <c r="GC695" s="1"/>
      <c r="GD695" s="1"/>
      <c r="GE695" s="1"/>
      <c r="GF695" s="1"/>
      <c r="GG695" s="1"/>
      <c r="GH695" s="1"/>
      <c r="GI695" s="1"/>
      <c r="GJ695" s="1"/>
      <c r="GK695" s="1"/>
      <c r="GL695" s="1"/>
      <c r="GM695" s="1"/>
      <c r="GN695" s="1"/>
      <c r="GO695" s="1"/>
      <c r="GP695" s="1"/>
      <c r="GQ695" s="1"/>
      <c r="GR695" s="1"/>
      <c r="GS695" s="1"/>
      <c r="GT695" s="1"/>
      <c r="GU695" s="1"/>
      <c r="GV695" s="1"/>
      <c r="GW695" s="1"/>
      <c r="GX695" s="1"/>
      <c r="GY695" s="1"/>
      <c r="GZ695" s="1"/>
      <c r="HA695" s="1"/>
      <c r="HB695" s="1"/>
      <c r="HC695" s="1"/>
      <c r="HD695" s="1"/>
      <c r="HE695" s="1"/>
      <c r="HF695" s="1"/>
      <c r="HG695" s="1"/>
      <c r="HH695" s="1"/>
      <c r="HI695" s="1"/>
      <c r="HJ695" s="1"/>
      <c r="HK695" s="1"/>
      <c r="HL695" s="1"/>
      <c r="HM695" s="1"/>
      <c r="HN695" s="1"/>
      <c r="HO695" s="1"/>
      <c r="HP695" s="1"/>
      <c r="HQ695" s="1"/>
      <c r="HR695" s="1"/>
      <c r="HS695" s="1"/>
      <c r="HT695" s="1"/>
      <c r="HU695" s="1"/>
      <c r="HV695" s="1"/>
      <c r="HW695" s="1"/>
      <c r="HX695" s="1"/>
      <c r="HY695" s="1"/>
      <c r="HZ695" s="1"/>
      <c r="IA695" s="1"/>
      <c r="IB695" s="1"/>
      <c r="IC695" s="1"/>
      <c r="ID695" s="1"/>
      <c r="IE695" s="1"/>
      <c r="IF695" s="1"/>
      <c r="IG695" s="1"/>
      <c r="IH695" s="1"/>
      <c r="II695" s="1"/>
      <c r="IJ695" s="1"/>
      <c r="IK695" s="1"/>
      <c r="IL695" s="1"/>
      <c r="IM695" s="1"/>
      <c r="IN695" s="1"/>
      <c r="IO695" s="1"/>
      <c r="IP695" s="1"/>
      <c r="IQ695" s="1"/>
      <c r="IR695" s="1"/>
      <c r="IS695" s="1"/>
      <c r="IT695" s="1"/>
      <c r="IU695" s="1"/>
      <c r="IV695" s="1"/>
      <c r="IW695" s="1"/>
      <c r="IX695" s="1"/>
      <c r="IY695" s="1"/>
      <c r="IZ695" s="1"/>
      <c r="JA695" s="1"/>
      <c r="JB695" s="1"/>
      <c r="JC695" s="1"/>
      <c r="JD695" s="1"/>
    </row>
    <row r="696" spans="1:264" s="347" customFormat="1" x14ac:dyDescent="0.2">
      <c r="A696" s="409"/>
      <c r="B696" s="348"/>
      <c r="BH696" s="348"/>
      <c r="BI696" s="348"/>
      <c r="BJ696" s="348"/>
      <c r="BK696" s="348"/>
      <c r="BL696" s="348"/>
      <c r="BM696" s="348"/>
      <c r="BN696" s="348"/>
      <c r="BO696" s="348"/>
      <c r="BP696" s="348"/>
      <c r="BQ696" s="348"/>
      <c r="BR696" s="348"/>
      <c r="BT696" s="348"/>
      <c r="BU696" s="348"/>
      <c r="BV696" s="348"/>
      <c r="BX696" s="348"/>
      <c r="CB696" s="348"/>
      <c r="CF696" s="348"/>
      <c r="CN696" s="348"/>
      <c r="CR696" s="348"/>
      <c r="CV696" s="348"/>
      <c r="CZ696" s="348"/>
      <c r="DD696" s="348"/>
      <c r="DH696" s="348"/>
      <c r="DL696" s="348"/>
      <c r="DP696" s="348"/>
      <c r="DT696" s="1"/>
      <c r="DU696" s="1"/>
      <c r="DV696" s="1"/>
      <c r="DW696" s="1"/>
      <c r="DX696" s="1"/>
      <c r="DY696" s="1"/>
      <c r="DZ696" s="1"/>
      <c r="EA696" s="1"/>
      <c r="EB696" s="1"/>
      <c r="EC696" s="1"/>
      <c r="ED696" s="1"/>
      <c r="EE696" s="1"/>
      <c r="EF696" s="1"/>
      <c r="EG696" s="1"/>
      <c r="EH696" s="1"/>
      <c r="EI696" s="1"/>
      <c r="EJ696" s="1"/>
      <c r="EK696" s="1"/>
      <c r="EL696" s="1"/>
      <c r="EM696" s="1"/>
      <c r="EN696" s="1"/>
      <c r="EO696" s="1"/>
      <c r="EP696" s="1"/>
      <c r="EQ696" s="1"/>
      <c r="ER696" s="1"/>
      <c r="ES696" s="1"/>
      <c r="ET696" s="1"/>
      <c r="EU696" s="1"/>
      <c r="EV696" s="1"/>
      <c r="EW696" s="1"/>
      <c r="EX696" s="1"/>
      <c r="EY696" s="1"/>
      <c r="EZ696" s="1"/>
      <c r="FA696" s="1"/>
      <c r="FB696" s="1"/>
      <c r="FC696" s="1"/>
      <c r="FD696" s="1"/>
      <c r="FE696" s="1"/>
      <c r="FF696" s="1"/>
      <c r="FG696" s="1"/>
      <c r="FH696" s="1"/>
      <c r="FI696" s="1"/>
      <c r="FJ696" s="1"/>
      <c r="FK696" s="1"/>
      <c r="FL696" s="1"/>
      <c r="FM696" s="1"/>
      <c r="FN696" s="1"/>
      <c r="FO696" s="1"/>
      <c r="FP696" s="1"/>
      <c r="FQ696" s="1"/>
      <c r="FR696" s="1"/>
      <c r="FS696" s="1"/>
      <c r="FT696" s="1"/>
      <c r="FU696" s="1"/>
      <c r="FV696" s="1"/>
      <c r="FW696" s="1"/>
      <c r="FX696" s="1"/>
      <c r="FY696" s="1"/>
      <c r="FZ696" s="1"/>
      <c r="GA696" s="1"/>
      <c r="GB696" s="1"/>
      <c r="GC696" s="1"/>
      <c r="GD696" s="1"/>
      <c r="GE696" s="1"/>
      <c r="GF696" s="1"/>
      <c r="GG696" s="1"/>
      <c r="GH696" s="1"/>
      <c r="GI696" s="1"/>
      <c r="GJ696" s="1"/>
      <c r="GK696" s="1"/>
      <c r="GL696" s="1"/>
      <c r="GM696" s="1"/>
      <c r="GN696" s="1"/>
      <c r="GO696" s="1"/>
      <c r="GP696" s="1"/>
      <c r="GQ696" s="1"/>
      <c r="GR696" s="1"/>
      <c r="GS696" s="1"/>
      <c r="GT696" s="1"/>
      <c r="GU696" s="1"/>
      <c r="GV696" s="1"/>
      <c r="GW696" s="1"/>
      <c r="GX696" s="1"/>
      <c r="GY696" s="1"/>
      <c r="GZ696" s="1"/>
      <c r="HA696" s="1"/>
      <c r="HB696" s="1"/>
      <c r="HC696" s="1"/>
      <c r="HD696" s="1"/>
      <c r="HE696" s="1"/>
      <c r="HF696" s="1"/>
      <c r="HG696" s="1"/>
      <c r="HH696" s="1"/>
      <c r="HI696" s="1"/>
      <c r="HJ696" s="1"/>
      <c r="HK696" s="1"/>
      <c r="HL696" s="1"/>
      <c r="HM696" s="1"/>
      <c r="HN696" s="1"/>
      <c r="HO696" s="1"/>
      <c r="HP696" s="1"/>
      <c r="HQ696" s="1"/>
      <c r="HR696" s="1"/>
      <c r="HS696" s="1"/>
      <c r="HT696" s="1"/>
      <c r="HU696" s="1"/>
      <c r="HV696" s="1"/>
      <c r="HW696" s="1"/>
      <c r="HX696" s="1"/>
      <c r="HY696" s="1"/>
      <c r="HZ696" s="1"/>
      <c r="IA696" s="1"/>
      <c r="IB696" s="1"/>
      <c r="IC696" s="1"/>
      <c r="ID696" s="1"/>
      <c r="IE696" s="1"/>
      <c r="IF696" s="1"/>
      <c r="IG696" s="1"/>
      <c r="IH696" s="1"/>
      <c r="II696" s="1"/>
      <c r="IJ696" s="1"/>
      <c r="IK696" s="1"/>
      <c r="IL696" s="1"/>
      <c r="IM696" s="1"/>
      <c r="IN696" s="1"/>
      <c r="IO696" s="1"/>
      <c r="IP696" s="1"/>
      <c r="IQ696" s="1"/>
      <c r="IR696" s="1"/>
      <c r="IS696" s="1"/>
      <c r="IT696" s="1"/>
      <c r="IU696" s="1"/>
      <c r="IV696" s="1"/>
      <c r="IW696" s="1"/>
      <c r="IX696" s="1"/>
      <c r="IY696" s="1"/>
      <c r="IZ696" s="1"/>
      <c r="JA696" s="1"/>
      <c r="JB696" s="1"/>
      <c r="JC696" s="1"/>
      <c r="JD696" s="1"/>
    </row>
    <row r="697" spans="1:264" s="347" customFormat="1" x14ac:dyDescent="0.2">
      <c r="A697" s="347" t="s">
        <v>518</v>
      </c>
      <c r="B697" s="348"/>
      <c r="BH697" s="489">
        <f>BH681*(BH$4/BH$3)/BH699</f>
        <v>8.2336418118355899E-3</v>
      </c>
      <c r="BI697" s="489">
        <f>BI681*(BI$4/BI$3)/BI699</f>
        <v>8.0091351037616474E-3</v>
      </c>
      <c r="BJ697" s="489">
        <f>BJ681*(BJ$4/BJ$3)/BJ699</f>
        <v>7.8101677056809198E-3</v>
      </c>
      <c r="BK697" s="348"/>
      <c r="BL697" s="489">
        <f>BL681*(BL$4/BL$3)/BL699</f>
        <v>8.0743957997909069E-3</v>
      </c>
      <c r="BM697" s="489">
        <f>BM681*(BM$4/BM$3)/BM699</f>
        <v>7.4453251358754836E-3</v>
      </c>
      <c r="BN697" s="489">
        <f>BN681*(BN$4/BN$3)/BN699</f>
        <v>7.758745676353017E-3</v>
      </c>
      <c r="BO697" s="625">
        <f>BN697-BJ697</f>
        <v>-5.1422029327902706E-5</v>
      </c>
      <c r="BP697" s="489">
        <f>BP681*(BP$4/BP$3)/BP699</f>
        <v>5.9534721617147341E-3</v>
      </c>
      <c r="BQ697" s="489">
        <f>BQ681*(BQ$4/BQ$3)/BQ699</f>
        <v>5.5868770937841867E-3</v>
      </c>
      <c r="BR697" s="489">
        <f>BR681*(BR$4/BR$3)/BR699</f>
        <v>5.7630749570161659E-3</v>
      </c>
      <c r="BS697" s="625">
        <f>BR697-BN697</f>
        <v>-1.9956707193368511E-3</v>
      </c>
      <c r="BT697" s="489">
        <f>BT681*(BT$4/BT$3)/BT699</f>
        <v>5.9431573612768931E-3</v>
      </c>
      <c r="BU697" s="489">
        <f>BU681*(BU$4/BU$3)/BU699</f>
        <v>5.7835631264505612E-3</v>
      </c>
      <c r="BV697" s="489">
        <f>BV681*(BV$4/BV$3)/BV699</f>
        <v>5.8644364037313086E-3</v>
      </c>
      <c r="BW697" s="625">
        <f>BV697-BR697</f>
        <v>1.0136144671514264E-4</v>
      </c>
      <c r="BX697" s="489">
        <f>BX681*(BX$4/BX$3)/BX699</f>
        <v>2.7094131827267221E-3</v>
      </c>
      <c r="BY697" s="489">
        <f>BY681*(BY$4/BY$3)/BY699</f>
        <v>2.8681074151579262E-3</v>
      </c>
      <c r="BZ697" s="489">
        <f>BZ681*(BZ$4/BZ$3)/BZ699</f>
        <v>2.7892628312809553E-3</v>
      </c>
      <c r="CA697" s="625">
        <f>BZ697-BV697</f>
        <v>-3.0751735724503532E-3</v>
      </c>
      <c r="CB697" s="489">
        <f>CB681*(CB$4/CB$3)/CB699</f>
        <v>7.34416882957762E-3</v>
      </c>
      <c r="CC697" s="626">
        <f>CC681*(CC$4/CC$3)/CC699</f>
        <v>6.8601880458606518E-3</v>
      </c>
      <c r="CD697" s="489">
        <f>CD681*(CD$4/CD$3)/CD699</f>
        <v>7.0983226952479302E-3</v>
      </c>
      <c r="CE697" s="625">
        <f>CD697-BZ697</f>
        <v>4.3090598639669749E-3</v>
      </c>
      <c r="CF697" s="489">
        <f>CF681*(CF$4/CF$3)/CF699</f>
        <v>1.2417415680644481E-3</v>
      </c>
      <c r="CG697" s="626">
        <f>CG681*(CG$4/CG$3)/CG699</f>
        <v>3.8842301417161927E-4</v>
      </c>
      <c r="CH697" s="489">
        <f>CH681*(CH$4/CH$3)/CH699</f>
        <v>7.8542996006874079E-4</v>
      </c>
      <c r="CI697" s="625">
        <f>CH697-CD697</f>
        <v>-6.3128927351791897E-3</v>
      </c>
      <c r="CJ697" s="489">
        <f>CJ681*(CJ$4/CJ$3)/CJ699</f>
        <v>3.183268929207861E-4</v>
      </c>
      <c r="CK697" s="626">
        <f>CK681*(CK$4/CK$3)/CK699</f>
        <v>1.3213239666145477E-4</v>
      </c>
      <c r="CL697" s="489">
        <f>CL681*(CL$4/CL$3)/CL699</f>
        <v>2.241636273309988E-4</v>
      </c>
      <c r="CM697" s="625">
        <f>CL697-CH697</f>
        <v>-5.6126633273774203E-4</v>
      </c>
      <c r="CN697" s="489">
        <f>CN681*(CN$4/CN$3)/CN699</f>
        <v>1.5923599297674749E-4</v>
      </c>
      <c r="CO697" s="626">
        <f>CO681*(CO$4/CO$3)/CO699</f>
        <v>1.6521070597407138E-4</v>
      </c>
      <c r="CP697" s="489">
        <f>CP681*(CP$4/CP$3)/CP699</f>
        <v>1.6234293321211728E-4</v>
      </c>
      <c r="CQ697" s="625">
        <f>CP697-CL697</f>
        <v>-6.1820694118881514E-5</v>
      </c>
      <c r="CR697" s="489"/>
      <c r="CS697" s="489"/>
      <c r="CT697" s="489"/>
      <c r="CU697" s="625"/>
      <c r="CV697" s="489"/>
      <c r="CW697" s="489"/>
      <c r="CX697" s="489"/>
      <c r="CY697" s="625"/>
      <c r="CZ697" s="489"/>
      <c r="DA697" s="489"/>
      <c r="DB697" s="489"/>
      <c r="DC697" s="625"/>
      <c r="DD697" s="489"/>
      <c r="DE697" s="489"/>
      <c r="DF697" s="489"/>
      <c r="DG697" s="625"/>
      <c r="DH697" s="489"/>
      <c r="DI697" s="489"/>
      <c r="DJ697" s="489"/>
      <c r="DK697" s="625"/>
      <c r="DL697" s="489"/>
      <c r="DM697" s="489"/>
      <c r="DN697" s="489"/>
      <c r="DO697" s="625"/>
      <c r="DP697" s="489"/>
      <c r="DQ697" s="489"/>
      <c r="DR697" s="489"/>
      <c r="DS697" s="625"/>
      <c r="DT697" s="1"/>
      <c r="DU697" s="1"/>
      <c r="DV697" s="1"/>
      <c r="DW697" s="1"/>
      <c r="DX697" s="1"/>
      <c r="DY697" s="1"/>
      <c r="DZ697" s="1"/>
      <c r="EA697" s="1"/>
      <c r="EB697" s="1"/>
      <c r="EC697" s="1"/>
      <c r="ED697" s="1"/>
      <c r="EE697" s="1"/>
      <c r="EF697" s="1"/>
      <c r="EG697" s="1"/>
      <c r="EH697" s="1"/>
      <c r="EI697" s="1"/>
      <c r="EJ697" s="1"/>
      <c r="EK697" s="1"/>
      <c r="EL697" s="1"/>
      <c r="EM697" s="1"/>
      <c r="EN697" s="1"/>
      <c r="EO697" s="1"/>
      <c r="EP697" s="1"/>
      <c r="EQ697" s="1"/>
      <c r="ER697" s="1"/>
      <c r="ES697" s="1"/>
      <c r="ET697" s="1"/>
      <c r="EU697" s="1"/>
      <c r="EV697" s="1"/>
      <c r="EW697" s="1"/>
      <c r="EX697" s="1"/>
      <c r="EY697" s="1"/>
      <c r="EZ697" s="1"/>
      <c r="FA697" s="1"/>
      <c r="FB697" s="1"/>
      <c r="FC697" s="1"/>
      <c r="FD697" s="1"/>
      <c r="FE697" s="1"/>
      <c r="FF697" s="1"/>
      <c r="FG697" s="1"/>
      <c r="FH697" s="1"/>
      <c r="FI697" s="1"/>
      <c r="FJ697" s="1"/>
      <c r="FK697" s="1"/>
      <c r="FL697" s="1"/>
      <c r="FM697" s="1"/>
      <c r="FN697" s="1"/>
      <c r="FO697" s="1"/>
      <c r="FP697" s="1"/>
      <c r="FQ697" s="1"/>
      <c r="FR697" s="1"/>
      <c r="FS697" s="1"/>
      <c r="FT697" s="1"/>
      <c r="FU697" s="1"/>
      <c r="FV697" s="1"/>
      <c r="FW697" s="1"/>
      <c r="FX697" s="1"/>
      <c r="FY697" s="1"/>
      <c r="FZ697" s="1"/>
      <c r="GA697" s="1"/>
      <c r="GB697" s="1"/>
      <c r="GC697" s="1"/>
      <c r="GD697" s="1"/>
      <c r="GE697" s="1"/>
      <c r="GF697" s="1"/>
      <c r="GG697" s="1"/>
      <c r="GH697" s="1"/>
      <c r="GI697" s="1"/>
      <c r="GJ697" s="1"/>
      <c r="GK697" s="1"/>
      <c r="GL697" s="1"/>
      <c r="GM697" s="1"/>
      <c r="GN697" s="1"/>
      <c r="GO697" s="1"/>
      <c r="GP697" s="1"/>
      <c r="GQ697" s="1"/>
      <c r="GR697" s="1"/>
      <c r="GS697" s="1"/>
      <c r="GT697" s="1"/>
      <c r="GU697" s="1"/>
      <c r="GV697" s="1"/>
      <c r="GW697" s="1"/>
      <c r="GX697" s="1"/>
      <c r="GY697" s="1"/>
      <c r="GZ697" s="1"/>
      <c r="HA697" s="1"/>
      <c r="HB697" s="1"/>
      <c r="HC697" s="1"/>
      <c r="HD697" s="1"/>
      <c r="HE697" s="1"/>
      <c r="HF697" s="1"/>
      <c r="HG697" s="1"/>
      <c r="HH697" s="1"/>
      <c r="HI697" s="1"/>
      <c r="HJ697" s="1"/>
      <c r="HK697" s="1"/>
      <c r="HL697" s="1"/>
      <c r="HM697" s="1"/>
      <c r="HN697" s="1"/>
      <c r="HO697" s="1"/>
      <c r="HP697" s="1"/>
      <c r="HQ697" s="1"/>
      <c r="HR697" s="1"/>
      <c r="HS697" s="1"/>
      <c r="HT697" s="1"/>
      <c r="HU697" s="1"/>
      <c r="HV697" s="1"/>
      <c r="HW697" s="1"/>
      <c r="HX697" s="1"/>
      <c r="HY697" s="1"/>
      <c r="HZ697" s="1"/>
      <c r="IA697" s="1"/>
      <c r="IB697" s="1"/>
      <c r="IC697" s="1"/>
      <c r="ID697" s="1"/>
      <c r="IE697" s="1"/>
      <c r="IF697" s="1"/>
      <c r="IG697" s="1"/>
      <c r="IH697" s="1"/>
      <c r="II697" s="1"/>
      <c r="IJ697" s="1"/>
      <c r="IK697" s="1"/>
      <c r="IL697" s="1"/>
      <c r="IM697" s="1"/>
      <c r="IN697" s="1"/>
      <c r="IO697" s="1"/>
      <c r="IP697" s="1"/>
      <c r="IQ697" s="1"/>
      <c r="IR697" s="1"/>
      <c r="IS697" s="1"/>
      <c r="IT697" s="1"/>
      <c r="IU697" s="1"/>
      <c r="IV697" s="1"/>
      <c r="IW697" s="1"/>
      <c r="IX697" s="1"/>
      <c r="IY697" s="1"/>
      <c r="IZ697" s="1"/>
      <c r="JA697" s="1"/>
      <c r="JB697" s="1"/>
      <c r="JC697" s="1"/>
      <c r="JD697" s="1"/>
    </row>
    <row r="698" spans="1:264" s="347" customFormat="1" x14ac:dyDescent="0.2">
      <c r="A698" s="600" t="s">
        <v>273</v>
      </c>
      <c r="B698" s="558"/>
      <c r="C698" s="557"/>
      <c r="D698" s="557"/>
      <c r="E698" s="557"/>
      <c r="F698" s="557"/>
      <c r="G698" s="557"/>
      <c r="H698" s="557"/>
      <c r="I698" s="557"/>
      <c r="J698" s="557"/>
      <c r="K698" s="557"/>
      <c r="L698" s="557"/>
      <c r="M698" s="557"/>
      <c r="N698" s="557"/>
      <c r="O698" s="557"/>
      <c r="P698" s="557"/>
      <c r="Q698" s="557"/>
      <c r="R698" s="557"/>
      <c r="S698" s="557"/>
      <c r="T698" s="557"/>
      <c r="U698" s="557"/>
      <c r="V698" s="557"/>
      <c r="W698" s="557"/>
      <c r="X698" s="557"/>
      <c r="Y698" s="557"/>
      <c r="Z698" s="557"/>
      <c r="AA698" s="557"/>
      <c r="AB698" s="557"/>
      <c r="AC698" s="557"/>
      <c r="AD698" s="557"/>
      <c r="AE698" s="557"/>
      <c r="AF698" s="557"/>
      <c r="AG698" s="557"/>
      <c r="AH698" s="557"/>
      <c r="AI698" s="557"/>
      <c r="AJ698" s="557"/>
      <c r="AK698" s="557"/>
      <c r="AL698" s="557"/>
      <c r="AM698" s="557"/>
      <c r="AN698" s="557"/>
      <c r="AO698" s="557"/>
      <c r="AP698" s="557"/>
      <c r="AQ698" s="557"/>
      <c r="AR698" s="557"/>
      <c r="AS698" s="557"/>
      <c r="AT698" s="557"/>
      <c r="AU698" s="557"/>
      <c r="AV698" s="557"/>
      <c r="AW698" s="557"/>
      <c r="AX698" s="557"/>
      <c r="AY698" s="557"/>
      <c r="AZ698" s="557"/>
      <c r="BA698" s="557"/>
      <c r="BB698" s="557"/>
      <c r="BC698" s="557"/>
      <c r="BD698" s="557"/>
      <c r="BE698" s="557"/>
      <c r="BF698" s="557"/>
      <c r="BG698" s="557"/>
      <c r="BH698" s="558"/>
      <c r="BI698" s="627">
        <f>+BI697-BH697</f>
        <v>-2.2450670807394255E-4</v>
      </c>
      <c r="BJ698" s="558"/>
      <c r="BK698" s="558"/>
      <c r="BL698" s="627">
        <f>+BL697-BI697</f>
        <v>6.5260696029259546E-5</v>
      </c>
      <c r="BM698" s="627">
        <f>+BM697-BL697</f>
        <v>-6.2907066391542331E-4</v>
      </c>
      <c r="BN698" s="558"/>
      <c r="BO698" s="558"/>
      <c r="BP698" s="627">
        <f>+BP697-BM697</f>
        <v>-1.4918529741607496E-3</v>
      </c>
      <c r="BQ698" s="627">
        <f>+BQ697-BP697</f>
        <v>-3.6659506793054741E-4</v>
      </c>
      <c r="BR698" s="558"/>
      <c r="BS698" s="557"/>
      <c r="BT698" s="627">
        <f>+BT697-BQ697</f>
        <v>3.5628026749270642E-4</v>
      </c>
      <c r="BU698" s="627">
        <f>+BU697-BT697</f>
        <v>-1.5959423482633187E-4</v>
      </c>
      <c r="BV698" s="558"/>
      <c r="BW698" s="557"/>
      <c r="BX698" s="627">
        <f>+BX697-BU697</f>
        <v>-3.0741499437238391E-3</v>
      </c>
      <c r="BY698" s="627">
        <f>+BY697-BX697</f>
        <v>1.5869423243120408E-4</v>
      </c>
      <c r="BZ698" s="558"/>
      <c r="CA698" s="557"/>
      <c r="CB698" s="627">
        <f>+CB697-BY697</f>
        <v>4.4760614144196938E-3</v>
      </c>
      <c r="CC698" s="627">
        <f>+CC697-CB697</f>
        <v>-4.8398078371696823E-4</v>
      </c>
      <c r="CD698" s="558"/>
      <c r="CE698" s="557"/>
      <c r="CF698" s="627">
        <f>+CF697-CC697</f>
        <v>-5.6184464777962037E-3</v>
      </c>
      <c r="CG698" s="627">
        <f>+CG697-CF697</f>
        <v>-8.5331855389282878E-4</v>
      </c>
      <c r="CH698" s="558"/>
      <c r="CI698" s="557"/>
      <c r="CJ698" s="627">
        <f>+CJ697-CG697</f>
        <v>-7.0096121250833173E-5</v>
      </c>
      <c r="CK698" s="627">
        <f>+CK697-CJ697</f>
        <v>-1.8619449625933133E-4</v>
      </c>
      <c r="CL698" s="558"/>
      <c r="CM698" s="557"/>
      <c r="CN698" s="627">
        <f>+CN697-CK697</f>
        <v>2.7103596315292719E-5</v>
      </c>
      <c r="CO698" s="627">
        <f>+CO697-CN697</f>
        <v>5.9747129973238954E-6</v>
      </c>
      <c r="CP698" s="558"/>
      <c r="CQ698" s="557"/>
      <c r="CR698" s="627"/>
      <c r="CS698" s="628"/>
      <c r="CT698" s="558"/>
      <c r="CU698" s="557"/>
      <c r="CV698" s="628"/>
      <c r="CW698" s="628"/>
      <c r="CX698" s="558"/>
      <c r="CY698" s="557"/>
      <c r="CZ698" s="628"/>
      <c r="DA698" s="628"/>
      <c r="DB698" s="558"/>
      <c r="DC698" s="557"/>
      <c r="DD698" s="628"/>
      <c r="DE698" s="628"/>
      <c r="DF698" s="558"/>
      <c r="DG698" s="557"/>
      <c r="DH698" s="628"/>
      <c r="DI698" s="628"/>
      <c r="DJ698" s="558"/>
      <c r="DK698" s="557"/>
      <c r="DL698" s="628"/>
      <c r="DM698" s="628"/>
      <c r="DN698" s="558"/>
      <c r="DO698" s="557"/>
      <c r="DP698" s="628"/>
      <c r="DQ698" s="628"/>
      <c r="DR698" s="558"/>
      <c r="DS698" s="557"/>
      <c r="DT698" s="1"/>
      <c r="DU698" s="1"/>
      <c r="DV698" s="1"/>
      <c r="DW698" s="1"/>
      <c r="DX698" s="1"/>
      <c r="DY698" s="1"/>
      <c r="DZ698" s="1"/>
      <c r="EA698" s="1"/>
      <c r="EB698" s="1"/>
      <c r="EC698" s="1"/>
      <c r="ED698" s="1"/>
      <c r="EE698" s="1"/>
      <c r="EF698" s="1"/>
      <c r="EG698" s="1"/>
      <c r="EH698" s="1"/>
      <c r="EI698" s="1"/>
      <c r="EJ698" s="1"/>
      <c r="EK698" s="1"/>
      <c r="EL698" s="1"/>
      <c r="EM698" s="1"/>
      <c r="EN698" s="1"/>
      <c r="EO698" s="1"/>
      <c r="EP698" s="1"/>
      <c r="EQ698" s="1"/>
      <c r="ER698" s="1"/>
      <c r="ES698" s="1"/>
      <c r="ET698" s="1"/>
      <c r="EU698" s="1"/>
      <c r="EV698" s="1"/>
      <c r="EW698" s="1"/>
      <c r="EX698" s="1"/>
      <c r="EY698" s="1"/>
      <c r="EZ698" s="1"/>
      <c r="FA698" s="1"/>
      <c r="FB698" s="1"/>
      <c r="FC698" s="1"/>
      <c r="FD698" s="1"/>
      <c r="FE698" s="1"/>
      <c r="FF698" s="1"/>
      <c r="FG698" s="1"/>
      <c r="FH698" s="1"/>
      <c r="FI698" s="1"/>
      <c r="FJ698" s="1"/>
      <c r="FK698" s="1"/>
      <c r="FL698" s="1"/>
      <c r="FM698" s="1"/>
      <c r="FN698" s="1"/>
      <c r="FO698" s="1"/>
      <c r="FP698" s="1"/>
      <c r="FQ698" s="1"/>
      <c r="FR698" s="1"/>
      <c r="FS698" s="1"/>
      <c r="FT698" s="1"/>
      <c r="FU698" s="1"/>
      <c r="FV698" s="1"/>
      <c r="FW698" s="1"/>
      <c r="FX698" s="1"/>
      <c r="FY698" s="1"/>
      <c r="FZ698" s="1"/>
      <c r="GA698" s="1"/>
      <c r="GB698" s="1"/>
      <c r="GC698" s="1"/>
      <c r="GD698" s="1"/>
      <c r="GE698" s="1"/>
      <c r="GF698" s="1"/>
      <c r="GG698" s="1"/>
      <c r="GH698" s="1"/>
      <c r="GI698" s="1"/>
      <c r="GJ698" s="1"/>
      <c r="GK698" s="1"/>
      <c r="GL698" s="1"/>
      <c r="GM698" s="1"/>
      <c r="GN698" s="1"/>
      <c r="GO698" s="1"/>
      <c r="GP698" s="1"/>
      <c r="GQ698" s="1"/>
      <c r="GR698" s="1"/>
      <c r="GS698" s="1"/>
      <c r="GT698" s="1"/>
      <c r="GU698" s="1"/>
      <c r="GV698" s="1"/>
      <c r="GW698" s="1"/>
      <c r="GX698" s="1"/>
      <c r="GY698" s="1"/>
      <c r="GZ698" s="1"/>
      <c r="HA698" s="1"/>
      <c r="HB698" s="1"/>
      <c r="HC698" s="1"/>
      <c r="HD698" s="1"/>
      <c r="HE698" s="1"/>
      <c r="HF698" s="1"/>
      <c r="HG698" s="1"/>
      <c r="HH698" s="1"/>
      <c r="HI698" s="1"/>
      <c r="HJ698" s="1"/>
      <c r="HK698" s="1"/>
      <c r="HL698" s="1"/>
      <c r="HM698" s="1"/>
      <c r="HN698" s="1"/>
      <c r="HO698" s="1"/>
      <c r="HP698" s="1"/>
      <c r="HQ698" s="1"/>
      <c r="HR698" s="1"/>
      <c r="HS698" s="1"/>
      <c r="HT698" s="1"/>
      <c r="HU698" s="1"/>
      <c r="HV698" s="1"/>
      <c r="HW698" s="1"/>
      <c r="HX698" s="1"/>
      <c r="HY698" s="1"/>
      <c r="HZ698" s="1"/>
      <c r="IA698" s="1"/>
      <c r="IB698" s="1"/>
      <c r="IC698" s="1"/>
      <c r="ID698" s="1"/>
      <c r="IE698" s="1"/>
      <c r="IF698" s="1"/>
      <c r="IG698" s="1"/>
      <c r="IH698" s="1"/>
      <c r="II698" s="1"/>
      <c r="IJ698" s="1"/>
      <c r="IK698" s="1"/>
      <c r="IL698" s="1"/>
      <c r="IM698" s="1"/>
      <c r="IN698" s="1"/>
      <c r="IO698" s="1"/>
      <c r="IP698" s="1"/>
      <c r="IQ698" s="1"/>
      <c r="IR698" s="1"/>
      <c r="IS698" s="1"/>
      <c r="IT698" s="1"/>
      <c r="IU698" s="1"/>
      <c r="IV698" s="1"/>
      <c r="IW698" s="1"/>
      <c r="IX698" s="1"/>
      <c r="IY698" s="1"/>
      <c r="IZ698" s="1"/>
      <c r="JA698" s="1"/>
      <c r="JB698" s="1"/>
      <c r="JC698" s="1"/>
      <c r="JD698" s="1"/>
    </row>
    <row r="699" spans="1:264" s="411" customFormat="1" x14ac:dyDescent="0.2">
      <c r="A699" s="411" t="s">
        <v>519</v>
      </c>
      <c r="B699" s="423"/>
      <c r="BH699" s="396">
        <v>207437</v>
      </c>
      <c r="BI699" s="396">
        <v>231138</v>
      </c>
      <c r="BJ699" s="396">
        <v>227780</v>
      </c>
      <c r="BK699" s="396"/>
      <c r="BL699" s="629">
        <f>BN699*2-BM699</f>
        <v>239044</v>
      </c>
      <c r="BM699" s="629">
        <f>266221-22455</f>
        <v>243766</v>
      </c>
      <c r="BN699" s="396">
        <v>241405</v>
      </c>
      <c r="BO699" s="423"/>
      <c r="BP699" s="396">
        <f>124659+187216</f>
        <v>311875</v>
      </c>
      <c r="BQ699" s="396">
        <f>132991+203052</f>
        <v>336043</v>
      </c>
      <c r="BR699" s="397">
        <f>AVERAGE(BP699:BQ699)</f>
        <v>323959</v>
      </c>
      <c r="BT699" s="396">
        <f>132721+199294</f>
        <v>332015</v>
      </c>
      <c r="BU699" s="396">
        <f>132723+195513</f>
        <v>328236</v>
      </c>
      <c r="BV699" s="397">
        <f>AVERAGE(BT699:BU699)</f>
        <v>330125.5</v>
      </c>
      <c r="BX699" s="396">
        <f>126036+201967</f>
        <v>328003</v>
      </c>
      <c r="BY699" s="396">
        <f>132239+209469</f>
        <v>341708</v>
      </c>
      <c r="BZ699" s="397">
        <f>AVERAGE(BX699:BY699)</f>
        <v>334855.5</v>
      </c>
      <c r="CB699" s="396">
        <f>139104</f>
        <v>139104</v>
      </c>
      <c r="CC699" s="396">
        <f>144625</f>
        <v>144625</v>
      </c>
      <c r="CD699" s="397">
        <f>AVERAGE(CB699:CC699)</f>
        <v>141864.5</v>
      </c>
      <c r="CE699" s="455">
        <f>CD699/BZ699-1</f>
        <v>-0.57634113819244415</v>
      </c>
      <c r="CF699" s="396">
        <f>146971</f>
        <v>146971</v>
      </c>
      <c r="CG699" s="396">
        <f>149671+21655</f>
        <v>171326</v>
      </c>
      <c r="CH699" s="397">
        <f>AVERAGE(CF699:CG699)</f>
        <v>159148.5</v>
      </c>
      <c r="CJ699" s="396">
        <v>168715</v>
      </c>
      <c r="CK699" s="396">
        <v>152195</v>
      </c>
      <c r="CL699" s="524">
        <v>165058</v>
      </c>
      <c r="CN699" s="396">
        <v>149491</v>
      </c>
      <c r="CO699" s="396">
        <v>158679</v>
      </c>
      <c r="CP699" s="524">
        <v>153995</v>
      </c>
      <c r="CR699" s="397"/>
      <c r="CS699" s="397"/>
      <c r="CT699" s="397"/>
      <c r="CV699" s="397"/>
      <c r="CW699" s="397"/>
      <c r="CX699" s="397"/>
      <c r="CZ699" s="397"/>
      <c r="DA699" s="397"/>
      <c r="DB699" s="397"/>
      <c r="DD699" s="397"/>
      <c r="DE699" s="397"/>
      <c r="DF699" s="397"/>
      <c r="DH699" s="397"/>
      <c r="DI699" s="397"/>
      <c r="DJ699" s="397"/>
      <c r="DL699" s="397"/>
      <c r="DM699" s="397"/>
      <c r="DN699" s="397"/>
      <c r="DP699" s="397"/>
      <c r="DQ699" s="397"/>
      <c r="DR699" s="397"/>
      <c r="DT699" s="1"/>
      <c r="DU699" s="1"/>
      <c r="DV699" s="1"/>
      <c r="DW699" s="1"/>
      <c r="DX699" s="1"/>
      <c r="DY699" s="1"/>
      <c r="DZ699" s="1"/>
      <c r="EA699" s="1"/>
      <c r="EB699" s="1"/>
      <c r="EC699" s="1"/>
      <c r="ED699" s="1"/>
      <c r="EE699" s="1"/>
      <c r="EF699" s="1"/>
      <c r="EG699" s="1"/>
      <c r="EH699" s="1"/>
      <c r="EI699" s="1"/>
      <c r="EJ699" s="1"/>
      <c r="EK699" s="1"/>
      <c r="EL699" s="1"/>
      <c r="EM699" s="1"/>
      <c r="EN699" s="1"/>
      <c r="EO699" s="1"/>
      <c r="EP699" s="1"/>
      <c r="EQ699" s="1"/>
      <c r="ER699" s="1"/>
      <c r="ES699" s="1"/>
      <c r="ET699" s="1"/>
      <c r="EU699" s="1"/>
      <c r="EV699" s="1"/>
      <c r="EW699" s="1"/>
      <c r="EX699" s="1"/>
      <c r="EY699" s="1"/>
      <c r="EZ699" s="1"/>
      <c r="FA699" s="1"/>
      <c r="FB699" s="1"/>
      <c r="FC699" s="1"/>
      <c r="FD699" s="1"/>
      <c r="FE699" s="1"/>
      <c r="FF699" s="1"/>
      <c r="FG699" s="1"/>
      <c r="FH699" s="1"/>
      <c r="FI699" s="1"/>
      <c r="FJ699" s="1"/>
      <c r="FK699" s="1"/>
      <c r="FL699" s="1"/>
      <c r="FM699" s="1"/>
      <c r="FN699" s="1"/>
      <c r="FO699" s="1"/>
      <c r="FP699" s="1"/>
      <c r="FQ699" s="1"/>
      <c r="FR699" s="1"/>
      <c r="FS699" s="1"/>
      <c r="FT699" s="1"/>
      <c r="FU699" s="1"/>
      <c r="FV699" s="1"/>
      <c r="FW699" s="1"/>
      <c r="FX699" s="1"/>
      <c r="FY699" s="1"/>
      <c r="FZ699" s="1"/>
      <c r="GA699" s="1"/>
      <c r="GB699" s="1"/>
      <c r="GC699" s="1"/>
      <c r="GD699" s="1"/>
      <c r="GE699" s="1"/>
      <c r="GF699" s="1"/>
      <c r="GG699" s="1"/>
      <c r="GH699" s="1"/>
      <c r="GI699" s="1"/>
      <c r="GJ699" s="1"/>
      <c r="GK699" s="1"/>
      <c r="GL699" s="1"/>
      <c r="GM699" s="1"/>
      <c r="GN699" s="1"/>
      <c r="GO699" s="1"/>
      <c r="GP699" s="1"/>
      <c r="GQ699" s="1"/>
      <c r="GR699" s="1"/>
      <c r="GS699" s="1"/>
      <c r="GT699" s="1"/>
      <c r="GU699" s="1"/>
      <c r="GV699" s="1"/>
      <c r="GW699" s="1"/>
      <c r="GX699" s="1"/>
      <c r="GY699" s="1"/>
      <c r="GZ699" s="1"/>
      <c r="HA699" s="1"/>
      <c r="HB699" s="1"/>
      <c r="HC699" s="1"/>
      <c r="HD699" s="1"/>
      <c r="HE699" s="1"/>
      <c r="HF699" s="1"/>
      <c r="HG699" s="1"/>
      <c r="HH699" s="1"/>
      <c r="HI699" s="1"/>
      <c r="HJ699" s="1"/>
      <c r="HK699" s="1"/>
      <c r="HL699" s="1"/>
      <c r="HM699" s="1"/>
      <c r="HN699" s="1"/>
      <c r="HO699" s="1"/>
      <c r="HP699" s="1"/>
      <c r="HQ699" s="1"/>
      <c r="HR699" s="1"/>
      <c r="HS699" s="1"/>
      <c r="HT699" s="1"/>
      <c r="HU699" s="1"/>
      <c r="HV699" s="1"/>
      <c r="HW699" s="1"/>
      <c r="HX699" s="1"/>
      <c r="HY699" s="1"/>
      <c r="HZ699" s="1"/>
      <c r="IA699" s="1"/>
      <c r="IB699" s="1"/>
      <c r="IC699" s="1"/>
      <c r="ID699" s="1"/>
      <c r="IE699" s="1"/>
      <c r="IF699" s="1"/>
      <c r="IG699" s="1"/>
      <c r="IH699" s="1"/>
      <c r="II699" s="1"/>
      <c r="IJ699" s="1"/>
      <c r="IK699" s="1"/>
      <c r="IL699" s="1"/>
      <c r="IM699" s="1"/>
      <c r="IN699" s="1"/>
      <c r="IO699" s="1"/>
      <c r="IP699" s="1"/>
      <c r="IQ699" s="1"/>
      <c r="IR699" s="1"/>
      <c r="IS699" s="1"/>
      <c r="IT699" s="1"/>
      <c r="IU699" s="1"/>
      <c r="IV699" s="1"/>
      <c r="IW699" s="1"/>
      <c r="IX699" s="1"/>
      <c r="IY699" s="1"/>
      <c r="IZ699" s="1"/>
      <c r="JA699" s="1"/>
      <c r="JB699" s="1"/>
      <c r="JC699" s="1"/>
      <c r="JD699" s="1"/>
    </row>
    <row r="700" spans="1:264" s="411" customFormat="1" x14ac:dyDescent="0.2">
      <c r="B700" s="423"/>
      <c r="BH700" s="396"/>
      <c r="BI700" s="396"/>
      <c r="BJ700" s="396"/>
      <c r="BK700" s="396"/>
      <c r="BL700" s="629"/>
      <c r="BM700" s="629"/>
      <c r="BN700" s="396"/>
      <c r="BO700" s="423"/>
      <c r="BP700" s="396"/>
      <c r="BQ700" s="396"/>
      <c r="BR700" s="397"/>
      <c r="BT700" s="396"/>
      <c r="BU700" s="396"/>
      <c r="BV700" s="397"/>
      <c r="BX700" s="396"/>
      <c r="BY700" s="396"/>
      <c r="BZ700" s="397"/>
      <c r="CB700" s="396"/>
      <c r="CC700" s="396"/>
      <c r="CD700" s="397"/>
      <c r="CE700" s="455"/>
      <c r="CF700" s="396"/>
      <c r="CG700" s="396"/>
      <c r="CH700" s="397"/>
      <c r="CJ700" s="396"/>
      <c r="CK700" s="396"/>
      <c r="CL700" s="556"/>
      <c r="CN700" s="396"/>
      <c r="CO700" s="396"/>
      <c r="CP700" s="556"/>
      <c r="CR700" s="396"/>
      <c r="CS700" s="397"/>
      <c r="CT700" s="397"/>
      <c r="CV700" s="397"/>
      <c r="CW700" s="397"/>
      <c r="CX700" s="397"/>
      <c r="CZ700" s="397"/>
      <c r="DA700" s="397"/>
      <c r="DB700" s="397"/>
      <c r="DD700" s="397"/>
      <c r="DE700" s="397"/>
      <c r="DF700" s="397"/>
      <c r="DH700" s="397"/>
      <c r="DI700" s="397"/>
      <c r="DJ700" s="397"/>
      <c r="DL700" s="397"/>
      <c r="DM700" s="397"/>
      <c r="DN700" s="397"/>
      <c r="DP700" s="397"/>
      <c r="DQ700" s="397"/>
      <c r="DR700" s="397"/>
      <c r="DT700" s="1"/>
      <c r="DU700" s="1"/>
      <c r="DV700" s="1"/>
      <c r="DW700" s="1"/>
      <c r="DX700" s="1"/>
      <c r="DY700" s="1"/>
      <c r="DZ700" s="1"/>
      <c r="EA700" s="1"/>
      <c r="EB700" s="1"/>
      <c r="EC700" s="1"/>
      <c r="ED700" s="1"/>
      <c r="EE700" s="1"/>
      <c r="EF700" s="1"/>
      <c r="EG700" s="1"/>
      <c r="EH700" s="1"/>
      <c r="EI700" s="1"/>
      <c r="EJ700" s="1"/>
      <c r="EK700" s="1"/>
      <c r="EL700" s="1"/>
      <c r="EM700" s="1"/>
      <c r="EN700" s="1"/>
      <c r="EO700" s="1"/>
      <c r="EP700" s="1"/>
      <c r="EQ700" s="1"/>
      <c r="ER700" s="1"/>
      <c r="ES700" s="1"/>
      <c r="ET700" s="1"/>
      <c r="EU700" s="1"/>
      <c r="EV700" s="1"/>
      <c r="EW700" s="1"/>
      <c r="EX700" s="1"/>
      <c r="EY700" s="1"/>
      <c r="EZ700" s="1"/>
      <c r="FA700" s="1"/>
      <c r="FB700" s="1"/>
      <c r="FC700" s="1"/>
      <c r="FD700" s="1"/>
      <c r="FE700" s="1"/>
      <c r="FF700" s="1"/>
      <c r="FG700" s="1"/>
      <c r="FH700" s="1"/>
      <c r="FI700" s="1"/>
      <c r="FJ700" s="1"/>
      <c r="FK700" s="1"/>
      <c r="FL700" s="1"/>
      <c r="FM700" s="1"/>
      <c r="FN700" s="1"/>
      <c r="FO700" s="1"/>
      <c r="FP700" s="1"/>
      <c r="FQ700" s="1"/>
      <c r="FR700" s="1"/>
      <c r="FS700" s="1"/>
      <c r="FT700" s="1"/>
      <c r="FU700" s="1"/>
      <c r="FV700" s="1"/>
      <c r="FW700" s="1"/>
      <c r="FX700" s="1"/>
      <c r="FY700" s="1"/>
      <c r="FZ700" s="1"/>
      <c r="GA700" s="1"/>
      <c r="GB700" s="1"/>
      <c r="GC700" s="1"/>
      <c r="GD700" s="1"/>
      <c r="GE700" s="1"/>
      <c r="GF700" s="1"/>
      <c r="GG700" s="1"/>
      <c r="GH700" s="1"/>
      <c r="GI700" s="1"/>
      <c r="GJ700" s="1"/>
      <c r="GK700" s="1"/>
      <c r="GL700" s="1"/>
      <c r="GM700" s="1"/>
      <c r="GN700" s="1"/>
      <c r="GO700" s="1"/>
      <c r="GP700" s="1"/>
      <c r="GQ700" s="1"/>
      <c r="GR700" s="1"/>
      <c r="GS700" s="1"/>
      <c r="GT700" s="1"/>
      <c r="GU700" s="1"/>
      <c r="GV700" s="1"/>
      <c r="GW700" s="1"/>
      <c r="GX700" s="1"/>
      <c r="GY700" s="1"/>
      <c r="GZ700" s="1"/>
      <c r="HA700" s="1"/>
      <c r="HB700" s="1"/>
      <c r="HC700" s="1"/>
      <c r="HD700" s="1"/>
      <c r="HE700" s="1"/>
      <c r="HF700" s="1"/>
      <c r="HG700" s="1"/>
      <c r="HH700" s="1"/>
      <c r="HI700" s="1"/>
      <c r="HJ700" s="1"/>
      <c r="HK700" s="1"/>
      <c r="HL700" s="1"/>
      <c r="HM700" s="1"/>
      <c r="HN700" s="1"/>
      <c r="HO700" s="1"/>
      <c r="HP700" s="1"/>
      <c r="HQ700" s="1"/>
      <c r="HR700" s="1"/>
      <c r="HS700" s="1"/>
      <c r="HT700" s="1"/>
      <c r="HU700" s="1"/>
      <c r="HV700" s="1"/>
      <c r="HW700" s="1"/>
      <c r="HX700" s="1"/>
      <c r="HY700" s="1"/>
      <c r="HZ700" s="1"/>
      <c r="IA700" s="1"/>
      <c r="IB700" s="1"/>
      <c r="IC700" s="1"/>
      <c r="ID700" s="1"/>
      <c r="IE700" s="1"/>
      <c r="IF700" s="1"/>
      <c r="IG700" s="1"/>
      <c r="IH700" s="1"/>
      <c r="II700" s="1"/>
      <c r="IJ700" s="1"/>
      <c r="IK700" s="1"/>
      <c r="IL700" s="1"/>
      <c r="IM700" s="1"/>
      <c r="IN700" s="1"/>
      <c r="IO700" s="1"/>
      <c r="IP700" s="1"/>
      <c r="IQ700" s="1"/>
      <c r="IR700" s="1"/>
      <c r="IS700" s="1"/>
      <c r="IT700" s="1"/>
      <c r="IU700" s="1"/>
      <c r="IV700" s="1"/>
      <c r="IW700" s="1"/>
      <c r="IX700" s="1"/>
      <c r="IY700" s="1"/>
      <c r="IZ700" s="1"/>
      <c r="JA700" s="1"/>
      <c r="JB700" s="1"/>
      <c r="JC700" s="1"/>
      <c r="JD700" s="1"/>
    </row>
    <row r="701" spans="1:264" s="411" customFormat="1" x14ac:dyDescent="0.2">
      <c r="A701" s="347" t="s">
        <v>273</v>
      </c>
      <c r="B701" s="423"/>
      <c r="BH701" s="396"/>
      <c r="BI701" s="396"/>
      <c r="BJ701" s="397"/>
      <c r="BK701" s="396"/>
      <c r="BL701" s="396"/>
      <c r="BM701" s="396"/>
      <c r="BN701" s="397"/>
      <c r="BO701" s="423"/>
      <c r="BP701" s="630"/>
      <c r="BQ701" s="396"/>
      <c r="BR701" s="397"/>
      <c r="BT701" s="393">
        <f>+BT699/BQ699-1</f>
        <v>-1.1986561243650384E-2</v>
      </c>
      <c r="BU701" s="393">
        <f>+BU699/BT699-1</f>
        <v>-1.1382015872776874E-2</v>
      </c>
      <c r="BV701" s="397"/>
      <c r="BX701" s="394">
        <f>+BX699/BU699-1</f>
        <v>-7.0985510425425336E-4</v>
      </c>
      <c r="BY701" s="394">
        <f>+BY699/BX699-1</f>
        <v>4.1783154422368129E-2</v>
      </c>
      <c r="BZ701" s="397"/>
      <c r="CB701" s="393">
        <f>+CB699/BY699-1</f>
        <v>-0.59291558874828798</v>
      </c>
      <c r="CC701" s="394">
        <f>+CC699/CB699-1</f>
        <v>3.9689728548424119E-2</v>
      </c>
      <c r="CD701" s="397"/>
      <c r="CF701" s="393">
        <f>+CF699/CC699-1</f>
        <v>1.6221261884183269E-2</v>
      </c>
      <c r="CG701" s="394">
        <f>+CG699/CF699-1</f>
        <v>0.16571296378197053</v>
      </c>
      <c r="CH701" s="397"/>
      <c r="CJ701" s="393">
        <f>+CJ699/CG699-1</f>
        <v>-1.5239951904556182E-2</v>
      </c>
      <c r="CK701" s="394">
        <f>+CK699/CJ699-1</f>
        <v>-9.7916604925466055E-2</v>
      </c>
      <c r="CL701" s="397"/>
      <c r="CN701" s="393">
        <f>+CN699/CK699-1</f>
        <v>-1.7766680902789211E-2</v>
      </c>
      <c r="CO701" s="394">
        <f>+CO699/CN699-1</f>
        <v>6.1461894027065256E-2</v>
      </c>
      <c r="CP701" s="397"/>
      <c r="CR701" s="393"/>
      <c r="CS701" s="393"/>
      <c r="CT701" s="397"/>
      <c r="CV701" s="393"/>
      <c r="CW701" s="393"/>
      <c r="CX701" s="397"/>
      <c r="CZ701" s="393"/>
      <c r="DA701" s="393"/>
      <c r="DB701" s="397"/>
      <c r="DD701" s="393"/>
      <c r="DE701" s="393"/>
      <c r="DF701" s="397"/>
      <c r="DH701" s="393"/>
      <c r="DI701" s="393"/>
      <c r="DJ701" s="397"/>
      <c r="DL701" s="393"/>
      <c r="DM701" s="393"/>
      <c r="DN701" s="397"/>
      <c r="DP701" s="393"/>
      <c r="DQ701" s="393"/>
      <c r="DR701" s="397"/>
      <c r="DT701" s="1"/>
      <c r="DU701" s="1"/>
      <c r="DV701" s="1"/>
      <c r="DW701" s="1"/>
      <c r="DX701" s="1"/>
      <c r="DY701" s="1"/>
      <c r="DZ701" s="1"/>
      <c r="EA701" s="1"/>
      <c r="EB701" s="1"/>
      <c r="EC701" s="1"/>
      <c r="ED701" s="1"/>
      <c r="EE701" s="1"/>
      <c r="EF701" s="1"/>
      <c r="EG701" s="1"/>
      <c r="EH701" s="1"/>
      <c r="EI701" s="1"/>
      <c r="EJ701" s="1"/>
      <c r="EK701" s="1"/>
      <c r="EL701" s="1"/>
      <c r="EM701" s="1"/>
      <c r="EN701" s="1"/>
      <c r="EO701" s="1"/>
      <c r="EP701" s="1"/>
      <c r="EQ701" s="1"/>
      <c r="ER701" s="1"/>
      <c r="ES701" s="1"/>
      <c r="ET701" s="1"/>
      <c r="EU701" s="1"/>
      <c r="EV701" s="1"/>
      <c r="EW701" s="1"/>
      <c r="EX701" s="1"/>
      <c r="EY701" s="1"/>
      <c r="EZ701" s="1"/>
      <c r="FA701" s="1"/>
      <c r="FB701" s="1"/>
      <c r="FC701" s="1"/>
      <c r="FD701" s="1"/>
      <c r="FE701" s="1"/>
      <c r="FF701" s="1"/>
      <c r="FG701" s="1"/>
      <c r="FH701" s="1"/>
      <c r="FI701" s="1"/>
      <c r="FJ701" s="1"/>
      <c r="FK701" s="1"/>
      <c r="FL701" s="1"/>
      <c r="FM701" s="1"/>
      <c r="FN701" s="1"/>
      <c r="FO701" s="1"/>
      <c r="FP701" s="1"/>
      <c r="FQ701" s="1"/>
      <c r="FR701" s="1"/>
      <c r="FS701" s="1"/>
      <c r="FT701" s="1"/>
      <c r="FU701" s="1"/>
      <c r="FV701" s="1"/>
      <c r="FW701" s="1"/>
      <c r="FX701" s="1"/>
      <c r="FY701" s="1"/>
      <c r="FZ701" s="1"/>
      <c r="GA701" s="1"/>
      <c r="GB701" s="1"/>
      <c r="GC701" s="1"/>
      <c r="GD701" s="1"/>
      <c r="GE701" s="1"/>
      <c r="GF701" s="1"/>
      <c r="GG701" s="1"/>
      <c r="GH701" s="1"/>
      <c r="GI701" s="1"/>
      <c r="GJ701" s="1"/>
      <c r="GK701" s="1"/>
      <c r="GL701" s="1"/>
      <c r="GM701" s="1"/>
      <c r="GN701" s="1"/>
      <c r="GO701" s="1"/>
      <c r="GP701" s="1"/>
      <c r="GQ701" s="1"/>
      <c r="GR701" s="1"/>
      <c r="GS701" s="1"/>
      <c r="GT701" s="1"/>
      <c r="GU701" s="1"/>
      <c r="GV701" s="1"/>
      <c r="GW701" s="1"/>
      <c r="GX701" s="1"/>
      <c r="GY701" s="1"/>
      <c r="GZ701" s="1"/>
      <c r="HA701" s="1"/>
      <c r="HB701" s="1"/>
      <c r="HC701" s="1"/>
      <c r="HD701" s="1"/>
      <c r="HE701" s="1"/>
      <c r="HF701" s="1"/>
      <c r="HG701" s="1"/>
      <c r="HH701" s="1"/>
      <c r="HI701" s="1"/>
      <c r="HJ701" s="1"/>
      <c r="HK701" s="1"/>
      <c r="HL701" s="1"/>
      <c r="HM701" s="1"/>
      <c r="HN701" s="1"/>
      <c r="HO701" s="1"/>
      <c r="HP701" s="1"/>
      <c r="HQ701" s="1"/>
      <c r="HR701" s="1"/>
      <c r="HS701" s="1"/>
      <c r="HT701" s="1"/>
      <c r="HU701" s="1"/>
      <c r="HV701" s="1"/>
      <c r="HW701" s="1"/>
      <c r="HX701" s="1"/>
      <c r="HY701" s="1"/>
      <c r="HZ701" s="1"/>
      <c r="IA701" s="1"/>
      <c r="IB701" s="1"/>
      <c r="IC701" s="1"/>
      <c r="ID701" s="1"/>
      <c r="IE701" s="1"/>
      <c r="IF701" s="1"/>
      <c r="IG701" s="1"/>
      <c r="IH701" s="1"/>
      <c r="II701" s="1"/>
      <c r="IJ701" s="1"/>
      <c r="IK701" s="1"/>
      <c r="IL701" s="1"/>
      <c r="IM701" s="1"/>
      <c r="IN701" s="1"/>
      <c r="IO701" s="1"/>
      <c r="IP701" s="1"/>
      <c r="IQ701" s="1"/>
      <c r="IR701" s="1"/>
      <c r="IS701" s="1"/>
      <c r="IT701" s="1"/>
      <c r="IU701" s="1"/>
      <c r="IV701" s="1"/>
      <c r="IW701" s="1"/>
      <c r="IX701" s="1"/>
      <c r="IY701" s="1"/>
      <c r="IZ701" s="1"/>
      <c r="JA701" s="1"/>
      <c r="JB701" s="1"/>
      <c r="JC701" s="1"/>
      <c r="JD701" s="1"/>
    </row>
    <row r="702" spans="1:264" s="411" customFormat="1" ht="13.5" thickBot="1" x14ac:dyDescent="0.25">
      <c r="B702" s="423"/>
      <c r="BH702" s="396"/>
      <c r="BI702" s="396"/>
      <c r="BJ702" s="397"/>
      <c r="BK702" s="396"/>
      <c r="BL702" s="396"/>
      <c r="BM702" s="396"/>
      <c r="BN702" s="397"/>
      <c r="BO702" s="423"/>
      <c r="BP702" s="630"/>
      <c r="BQ702" s="396"/>
      <c r="BR702" s="397"/>
      <c r="BT702" s="630"/>
      <c r="BU702" s="396"/>
      <c r="BV702" s="397"/>
      <c r="BX702" s="630"/>
      <c r="BY702" s="394"/>
      <c r="BZ702" s="397"/>
      <c r="CB702" s="630"/>
      <c r="CC702" s="394"/>
      <c r="CD702" s="397"/>
      <c r="CF702" s="630"/>
      <c r="CG702" s="397"/>
      <c r="CH702" s="397"/>
      <c r="CJ702" s="630"/>
      <c r="CK702" s="397"/>
      <c r="CL702" s="397"/>
      <c r="CN702" s="630"/>
      <c r="CO702" s="397"/>
      <c r="CP702" s="397"/>
      <c r="CR702" s="630"/>
      <c r="CS702" s="397"/>
      <c r="CT702" s="397"/>
      <c r="CV702" s="397"/>
      <c r="CW702" s="397"/>
      <c r="CX702" s="397"/>
      <c r="CZ702" s="397"/>
      <c r="DA702" s="397"/>
      <c r="DB702" s="397"/>
      <c r="DD702" s="397"/>
      <c r="DE702" s="397"/>
      <c r="DF702" s="397"/>
      <c r="DH702" s="397"/>
      <c r="DI702" s="397"/>
      <c r="DJ702" s="397"/>
      <c r="DL702" s="397"/>
      <c r="DM702" s="397"/>
      <c r="DN702" s="397"/>
      <c r="DP702" s="397"/>
      <c r="DQ702" s="397"/>
      <c r="DR702" s="397"/>
      <c r="DT702" s="1"/>
      <c r="DU702" s="1"/>
      <c r="DV702" s="1"/>
      <c r="DW702" s="1"/>
      <c r="DX702" s="1"/>
      <c r="DY702" s="1"/>
      <c r="DZ702" s="1"/>
      <c r="EA702" s="1"/>
      <c r="EB702" s="1"/>
      <c r="EC702" s="1"/>
      <c r="ED702" s="1"/>
      <c r="EE702" s="1"/>
      <c r="EF702" s="1"/>
      <c r="EG702" s="1"/>
      <c r="EH702" s="1"/>
      <c r="EI702" s="1"/>
      <c r="EJ702" s="1"/>
      <c r="EK702" s="1"/>
      <c r="EL702" s="1"/>
      <c r="EM702" s="1"/>
      <c r="EN702" s="1"/>
      <c r="EO702" s="1"/>
      <c r="EP702" s="1"/>
      <c r="EQ702" s="1"/>
      <c r="ER702" s="1"/>
      <c r="ES702" s="1"/>
      <c r="ET702" s="1"/>
      <c r="EU702" s="1"/>
      <c r="EV702" s="1"/>
      <c r="EW702" s="1"/>
      <c r="EX702" s="1"/>
      <c r="EY702" s="1"/>
      <c r="EZ702" s="1"/>
      <c r="FA702" s="1"/>
      <c r="FB702" s="1"/>
      <c r="FC702" s="1"/>
      <c r="FD702" s="1"/>
      <c r="FE702" s="1"/>
      <c r="FF702" s="1"/>
      <c r="FG702" s="1"/>
      <c r="FH702" s="1"/>
      <c r="FI702" s="1"/>
      <c r="FJ702" s="1"/>
      <c r="FK702" s="1"/>
      <c r="FL702" s="1"/>
      <c r="FM702" s="1"/>
      <c r="FN702" s="1"/>
      <c r="FO702" s="1"/>
      <c r="FP702" s="1"/>
      <c r="FQ702" s="1"/>
      <c r="FR702" s="1"/>
      <c r="FS702" s="1"/>
      <c r="FT702" s="1"/>
      <c r="FU702" s="1"/>
      <c r="FV702" s="1"/>
      <c r="FW702" s="1"/>
      <c r="FX702" s="1"/>
      <c r="FY702" s="1"/>
      <c r="FZ702" s="1"/>
      <c r="GA702" s="1"/>
      <c r="GB702" s="1"/>
      <c r="GC702" s="1"/>
      <c r="GD702" s="1"/>
      <c r="GE702" s="1"/>
      <c r="GF702" s="1"/>
      <c r="GG702" s="1"/>
      <c r="GH702" s="1"/>
      <c r="GI702" s="1"/>
      <c r="GJ702" s="1"/>
      <c r="GK702" s="1"/>
      <c r="GL702" s="1"/>
      <c r="GM702" s="1"/>
      <c r="GN702" s="1"/>
      <c r="GO702" s="1"/>
      <c r="GP702" s="1"/>
      <c r="GQ702" s="1"/>
      <c r="GR702" s="1"/>
      <c r="GS702" s="1"/>
      <c r="GT702" s="1"/>
      <c r="GU702" s="1"/>
      <c r="GV702" s="1"/>
      <c r="GW702" s="1"/>
      <c r="GX702" s="1"/>
      <c r="GY702" s="1"/>
      <c r="GZ702" s="1"/>
      <c r="HA702" s="1"/>
      <c r="HB702" s="1"/>
      <c r="HC702" s="1"/>
      <c r="HD702" s="1"/>
      <c r="HE702" s="1"/>
      <c r="HF702" s="1"/>
      <c r="HG702" s="1"/>
      <c r="HH702" s="1"/>
      <c r="HI702" s="1"/>
      <c r="HJ702" s="1"/>
      <c r="HK702" s="1"/>
      <c r="HL702" s="1"/>
      <c r="HM702" s="1"/>
      <c r="HN702" s="1"/>
      <c r="HO702" s="1"/>
      <c r="HP702" s="1"/>
      <c r="HQ702" s="1"/>
      <c r="HR702" s="1"/>
      <c r="HS702" s="1"/>
      <c r="HT702" s="1"/>
      <c r="HU702" s="1"/>
      <c r="HV702" s="1"/>
      <c r="HW702" s="1"/>
      <c r="HX702" s="1"/>
      <c r="HY702" s="1"/>
      <c r="HZ702" s="1"/>
      <c r="IA702" s="1"/>
      <c r="IB702" s="1"/>
      <c r="IC702" s="1"/>
      <c r="ID702" s="1"/>
      <c r="IE702" s="1"/>
      <c r="IF702" s="1"/>
      <c r="IG702" s="1"/>
      <c r="IH702" s="1"/>
      <c r="II702" s="1"/>
      <c r="IJ702" s="1"/>
      <c r="IK702" s="1"/>
      <c r="IL702" s="1"/>
      <c r="IM702" s="1"/>
      <c r="IN702" s="1"/>
      <c r="IO702" s="1"/>
      <c r="IP702" s="1"/>
      <c r="IQ702" s="1"/>
      <c r="IR702" s="1"/>
      <c r="IS702" s="1"/>
      <c r="IT702" s="1"/>
      <c r="IU702" s="1"/>
      <c r="IV702" s="1"/>
      <c r="IW702" s="1"/>
      <c r="IX702" s="1"/>
      <c r="IY702" s="1"/>
      <c r="IZ702" s="1"/>
      <c r="JA702" s="1"/>
      <c r="JB702" s="1"/>
      <c r="JC702" s="1"/>
      <c r="JD702" s="1"/>
    </row>
    <row r="703" spans="1:264" s="347" customFormat="1" ht="13.5" thickBot="1" x14ac:dyDescent="0.25">
      <c r="A703" s="347" t="s">
        <v>520</v>
      </c>
      <c r="B703" s="348"/>
      <c r="BH703" s="398">
        <v>196199</v>
      </c>
      <c r="BI703" s="351">
        <f>BH708</f>
        <v>219175</v>
      </c>
      <c r="BJ703" s="351">
        <f>BH703</f>
        <v>196199</v>
      </c>
      <c r="BK703" s="348"/>
      <c r="BL703" s="351">
        <f>BI708</f>
        <v>238901</v>
      </c>
      <c r="BM703" s="351">
        <f>BL708</f>
        <v>260420</v>
      </c>
      <c r="BN703" s="351">
        <f>BL703</f>
        <v>238901</v>
      </c>
      <c r="BO703" s="348"/>
      <c r="BP703" s="351">
        <f>BM708</f>
        <v>253483</v>
      </c>
      <c r="BQ703" s="351">
        <f>BP708</f>
        <v>270266</v>
      </c>
      <c r="BR703" s="351">
        <f>BP703</f>
        <v>253483</v>
      </c>
      <c r="BT703" s="351">
        <f>BQ708</f>
        <v>283644</v>
      </c>
      <c r="BU703" s="351">
        <f>BT708</f>
        <v>329134</v>
      </c>
      <c r="BV703" s="351">
        <f>BT703</f>
        <v>283644</v>
      </c>
      <c r="BX703" s="351">
        <f>BU708</f>
        <v>333983</v>
      </c>
      <c r="BY703" s="351">
        <f>BX708</f>
        <v>332176</v>
      </c>
      <c r="BZ703" s="351">
        <f>BX703</f>
        <v>333983</v>
      </c>
      <c r="CB703" s="351"/>
      <c r="CC703" s="351"/>
      <c r="CD703" s="351"/>
      <c r="CF703" s="631">
        <v>147999</v>
      </c>
      <c r="CG703" s="351">
        <f>CF708</f>
        <v>141925</v>
      </c>
      <c r="CH703" s="351">
        <f>CF703</f>
        <v>147999</v>
      </c>
      <c r="CJ703" s="351">
        <f>CG708</f>
        <v>155468</v>
      </c>
      <c r="CK703" s="351">
        <f>CJ708</f>
        <v>160988</v>
      </c>
      <c r="CL703" s="351">
        <f>CJ703</f>
        <v>155468</v>
      </c>
      <c r="CN703" s="351">
        <f>CK708</f>
        <v>147621</v>
      </c>
      <c r="CO703" s="351">
        <f>CN708</f>
        <v>155248</v>
      </c>
      <c r="CP703" s="351">
        <f>CN703</f>
        <v>147621</v>
      </c>
      <c r="CR703" s="351"/>
      <c r="CS703" s="351"/>
      <c r="CT703" s="351"/>
      <c r="CV703" s="351"/>
      <c r="CW703" s="351"/>
      <c r="CX703" s="351"/>
      <c r="CZ703" s="351"/>
      <c r="DA703" s="351"/>
      <c r="DB703" s="351"/>
      <c r="DD703" s="351"/>
      <c r="DE703" s="351"/>
      <c r="DF703" s="351"/>
      <c r="DH703" s="351"/>
      <c r="DI703" s="351"/>
      <c r="DJ703" s="351"/>
      <c r="DL703" s="351"/>
      <c r="DM703" s="351"/>
      <c r="DN703" s="351"/>
      <c r="DP703" s="351"/>
      <c r="DQ703" s="351"/>
      <c r="DR703" s="351"/>
      <c r="DT703" s="1"/>
      <c r="DU703" s="1"/>
      <c r="DV703" s="1"/>
      <c r="DW703" s="1"/>
      <c r="DX703" s="1"/>
      <c r="DY703" s="1"/>
      <c r="DZ703" s="1"/>
      <c r="EA703" s="1"/>
      <c r="EB703" s="1"/>
      <c r="EC703" s="1"/>
      <c r="ED703" s="1"/>
      <c r="EE703" s="1"/>
      <c r="EF703" s="1"/>
      <c r="EG703" s="1"/>
      <c r="EH703" s="1"/>
      <c r="EI703" s="1"/>
      <c r="EJ703" s="1"/>
      <c r="EK703" s="1"/>
      <c r="EL703" s="1"/>
      <c r="EM703" s="1"/>
      <c r="EN703" s="1"/>
      <c r="EO703" s="1"/>
      <c r="EP703" s="1"/>
      <c r="EQ703" s="1"/>
      <c r="ER703" s="1"/>
      <c r="ES703" s="1"/>
      <c r="ET703" s="1"/>
      <c r="EU703" s="1"/>
      <c r="EV703" s="1"/>
      <c r="EW703" s="1"/>
      <c r="EX703" s="1"/>
      <c r="EY703" s="1"/>
      <c r="EZ703" s="1"/>
      <c r="FA703" s="1"/>
      <c r="FB703" s="1"/>
      <c r="FC703" s="1"/>
      <c r="FD703" s="1"/>
      <c r="FE703" s="1"/>
      <c r="FF703" s="1"/>
      <c r="FG703" s="1"/>
      <c r="FH703" s="1"/>
      <c r="FI703" s="1"/>
      <c r="FJ703" s="1"/>
      <c r="FK703" s="1"/>
      <c r="FL703" s="1"/>
      <c r="FM703" s="1"/>
      <c r="FN703" s="1"/>
      <c r="FO703" s="1"/>
      <c r="FP703" s="1"/>
      <c r="FQ703" s="1"/>
      <c r="FR703" s="1"/>
      <c r="FS703" s="1"/>
      <c r="FT703" s="1"/>
      <c r="FU703" s="1"/>
      <c r="FV703" s="1"/>
      <c r="FW703" s="1"/>
      <c r="FX703" s="1"/>
      <c r="FY703" s="1"/>
      <c r="FZ703" s="1"/>
      <c r="GA703" s="1"/>
      <c r="GB703" s="1"/>
      <c r="GC703" s="1"/>
      <c r="GD703" s="1"/>
      <c r="GE703" s="1"/>
      <c r="GF703" s="1"/>
      <c r="GG703" s="1"/>
      <c r="GH703" s="1"/>
      <c r="GI703" s="1"/>
      <c r="GJ703" s="1"/>
      <c r="GK703" s="1"/>
      <c r="GL703" s="1"/>
      <c r="GM703" s="1"/>
      <c r="GN703" s="1"/>
      <c r="GO703" s="1"/>
      <c r="GP703" s="1"/>
      <c r="GQ703" s="1"/>
      <c r="GR703" s="1"/>
      <c r="GS703" s="1"/>
      <c r="GT703" s="1"/>
      <c r="GU703" s="1"/>
      <c r="GV703" s="1"/>
      <c r="GW703" s="1"/>
      <c r="GX703" s="1"/>
      <c r="GY703" s="1"/>
      <c r="GZ703" s="1"/>
      <c r="HA703" s="1"/>
      <c r="HB703" s="1"/>
      <c r="HC703" s="1"/>
      <c r="HD703" s="1"/>
      <c r="HE703" s="1"/>
      <c r="HF703" s="1"/>
      <c r="HG703" s="1"/>
      <c r="HH703" s="1"/>
      <c r="HI703" s="1"/>
      <c r="HJ703" s="1"/>
      <c r="HK703" s="1"/>
      <c r="HL703" s="1"/>
      <c r="HM703" s="1"/>
      <c r="HN703" s="1"/>
      <c r="HO703" s="1"/>
      <c r="HP703" s="1"/>
      <c r="HQ703" s="1"/>
      <c r="HR703" s="1"/>
      <c r="HS703" s="1"/>
      <c r="HT703" s="1"/>
      <c r="HU703" s="1"/>
      <c r="HV703" s="1"/>
      <c r="HW703" s="1"/>
      <c r="HX703" s="1"/>
      <c r="HY703" s="1"/>
      <c r="HZ703" s="1"/>
      <c r="IA703" s="1"/>
      <c r="IB703" s="1"/>
      <c r="IC703" s="1"/>
      <c r="ID703" s="1"/>
      <c r="IE703" s="1"/>
      <c r="IF703" s="1"/>
      <c r="IG703" s="1"/>
      <c r="IH703" s="1"/>
      <c r="II703" s="1"/>
      <c r="IJ703" s="1"/>
      <c r="IK703" s="1"/>
      <c r="IL703" s="1"/>
      <c r="IM703" s="1"/>
      <c r="IN703" s="1"/>
      <c r="IO703" s="1"/>
      <c r="IP703" s="1"/>
      <c r="IQ703" s="1"/>
      <c r="IR703" s="1"/>
      <c r="IS703" s="1"/>
      <c r="IT703" s="1"/>
      <c r="IU703" s="1"/>
      <c r="IV703" s="1"/>
      <c r="IW703" s="1"/>
      <c r="IX703" s="1"/>
      <c r="IY703" s="1"/>
      <c r="IZ703" s="1"/>
      <c r="JA703" s="1"/>
      <c r="JB703" s="1"/>
      <c r="JC703" s="1"/>
      <c r="JD703" s="1"/>
    </row>
    <row r="704" spans="1:264" s="347" customFormat="1" x14ac:dyDescent="0.2">
      <c r="A704" s="463" t="s">
        <v>521</v>
      </c>
      <c r="B704" s="466"/>
      <c r="C704" s="463"/>
      <c r="D704" s="463"/>
      <c r="E704" s="463"/>
      <c r="F704" s="463"/>
      <c r="G704" s="463"/>
      <c r="H704" s="463"/>
      <c r="I704" s="463"/>
      <c r="J704" s="463"/>
      <c r="K704" s="463"/>
      <c r="L704" s="463"/>
      <c r="M704" s="463"/>
      <c r="N704" s="463"/>
      <c r="O704" s="463"/>
      <c r="P704" s="463"/>
      <c r="Q704" s="463"/>
      <c r="R704" s="463"/>
      <c r="S704" s="463"/>
      <c r="T704" s="463"/>
      <c r="U704" s="463"/>
      <c r="V704" s="463"/>
      <c r="W704" s="463"/>
      <c r="X704" s="463"/>
      <c r="Y704" s="463"/>
      <c r="Z704" s="463"/>
      <c r="AA704" s="463"/>
      <c r="AB704" s="463"/>
      <c r="AC704" s="463"/>
      <c r="AD704" s="463"/>
      <c r="AE704" s="463"/>
      <c r="AF704" s="463"/>
      <c r="AG704" s="463"/>
      <c r="AH704" s="463"/>
      <c r="AI704" s="463"/>
      <c r="AJ704" s="463"/>
      <c r="AK704" s="463"/>
      <c r="AL704" s="463"/>
      <c r="AM704" s="463"/>
      <c r="AN704" s="463"/>
      <c r="AO704" s="463"/>
      <c r="AP704" s="463"/>
      <c r="AQ704" s="463"/>
      <c r="AR704" s="463"/>
      <c r="AS704" s="463"/>
      <c r="AT704" s="463"/>
      <c r="AU704" s="463"/>
      <c r="AV704" s="463"/>
      <c r="AW704" s="463"/>
      <c r="AX704" s="463"/>
      <c r="AY704" s="463"/>
      <c r="AZ704" s="463"/>
      <c r="BA704" s="463"/>
      <c r="BB704" s="463"/>
      <c r="BC704" s="463"/>
      <c r="BD704" s="463"/>
      <c r="BE704" s="463"/>
      <c r="BF704" s="463"/>
      <c r="BG704" s="463"/>
      <c r="BH704" s="464">
        <v>0</v>
      </c>
      <c r="BI704" s="464">
        <v>0</v>
      </c>
      <c r="BJ704" s="485">
        <f>+BH704+BI704</f>
        <v>0</v>
      </c>
      <c r="BK704" s="466"/>
      <c r="BL704" s="464">
        <f>240352-BL703</f>
        <v>1451</v>
      </c>
      <c r="BM704" s="464">
        <v>-15691</v>
      </c>
      <c r="BN704" s="485">
        <f>+BL704+BM704</f>
        <v>-14240</v>
      </c>
      <c r="BO704" s="466"/>
      <c r="BP704" s="464">
        <v>0</v>
      </c>
      <c r="BQ704" s="464">
        <v>0</v>
      </c>
      <c r="BR704" s="485">
        <f>+BP704+BQ704</f>
        <v>0</v>
      </c>
      <c r="BS704" s="463"/>
      <c r="BT704" s="464">
        <f>195248+133886-BT703-BT705-BT706-BT707</f>
        <v>50427</v>
      </c>
      <c r="BU704" s="464">
        <v>0</v>
      </c>
      <c r="BV704" s="485">
        <f>+BT704+BU704</f>
        <v>50427</v>
      </c>
      <c r="BW704" s="463"/>
      <c r="BX704" s="632">
        <f>-342490+203223+128953</f>
        <v>-10314</v>
      </c>
      <c r="BY704" s="464">
        <v>0</v>
      </c>
      <c r="BZ704" s="485">
        <f>+BX704+BY704</f>
        <v>-10314</v>
      </c>
      <c r="CA704" s="463"/>
      <c r="CB704" s="632"/>
      <c r="CC704" s="464"/>
      <c r="CD704" s="485"/>
      <c r="CE704" s="463"/>
      <c r="CF704" s="464">
        <v>0</v>
      </c>
      <c r="CG704" s="464">
        <v>0</v>
      </c>
      <c r="CH704" s="485">
        <v>10251</v>
      </c>
      <c r="CI704" s="463"/>
      <c r="CJ704" s="464">
        <v>0</v>
      </c>
      <c r="CK704" s="485">
        <v>10251</v>
      </c>
      <c r="CL704" s="485">
        <v>10251</v>
      </c>
      <c r="CM704" s="463"/>
      <c r="CN704" s="464">
        <v>0</v>
      </c>
      <c r="CO704" s="485">
        <v>0</v>
      </c>
      <c r="CP704" s="485">
        <v>0</v>
      </c>
      <c r="CQ704" s="463"/>
      <c r="CR704" s="464"/>
      <c r="CS704" s="464"/>
      <c r="CT704" s="485"/>
      <c r="CU704" s="463"/>
      <c r="CV704" s="464"/>
      <c r="CW704" s="464"/>
      <c r="CX704" s="485"/>
      <c r="CY704" s="463"/>
      <c r="CZ704" s="464"/>
      <c r="DA704" s="464"/>
      <c r="DB704" s="485"/>
      <c r="DC704" s="463"/>
      <c r="DD704" s="464"/>
      <c r="DE704" s="464"/>
      <c r="DF704" s="485"/>
      <c r="DG704" s="463"/>
      <c r="DH704" s="464"/>
      <c r="DI704" s="464"/>
      <c r="DJ704" s="485"/>
      <c r="DK704" s="463"/>
      <c r="DL704" s="464"/>
      <c r="DM704" s="464"/>
      <c r="DN704" s="485"/>
      <c r="DO704" s="463"/>
      <c r="DP704" s="464"/>
      <c r="DQ704" s="464"/>
      <c r="DR704" s="485"/>
      <c r="DS704" s="463"/>
      <c r="DT704" s="1"/>
      <c r="DU704" s="1"/>
      <c r="DV704" s="1"/>
      <c r="DW704" s="1"/>
      <c r="DX704" s="1"/>
      <c r="DY704" s="1"/>
      <c r="DZ704" s="1"/>
      <c r="EA704" s="1"/>
      <c r="EB704" s="1"/>
      <c r="EC704" s="1"/>
      <c r="ED704" s="1"/>
      <c r="EE704" s="1"/>
      <c r="EF704" s="1"/>
      <c r="EG704" s="1"/>
      <c r="EH704" s="1"/>
      <c r="EI704" s="1"/>
      <c r="EJ704" s="1"/>
      <c r="EK704" s="1"/>
      <c r="EL704" s="1"/>
      <c r="EM704" s="1"/>
      <c r="EN704" s="1"/>
      <c r="EO704" s="1"/>
      <c r="EP704" s="1"/>
      <c r="EQ704" s="1"/>
      <c r="ER704" s="1"/>
      <c r="ES704" s="1"/>
      <c r="ET704" s="1"/>
      <c r="EU704" s="1"/>
      <c r="EV704" s="1"/>
      <c r="EW704" s="1"/>
      <c r="EX704" s="1"/>
      <c r="EY704" s="1"/>
      <c r="EZ704" s="1"/>
      <c r="FA704" s="1"/>
      <c r="FB704" s="1"/>
      <c r="FC704" s="1"/>
      <c r="FD704" s="1"/>
      <c r="FE704" s="1"/>
      <c r="FF704" s="1"/>
      <c r="FG704" s="1"/>
      <c r="FH704" s="1"/>
      <c r="FI704" s="1"/>
      <c r="FJ704" s="1"/>
      <c r="FK704" s="1"/>
      <c r="FL704" s="1"/>
      <c r="FM704" s="1"/>
      <c r="FN704" s="1"/>
      <c r="FO704" s="1"/>
      <c r="FP704" s="1"/>
      <c r="FQ704" s="1"/>
      <c r="FR704" s="1"/>
      <c r="FS704" s="1"/>
      <c r="FT704" s="1"/>
      <c r="FU704" s="1"/>
      <c r="FV704" s="1"/>
      <c r="FW704" s="1"/>
      <c r="FX704" s="1"/>
      <c r="FY704" s="1"/>
      <c r="FZ704" s="1"/>
      <c r="GA704" s="1"/>
      <c r="GB704" s="1"/>
      <c r="GC704" s="1"/>
      <c r="GD704" s="1"/>
      <c r="GE704" s="1"/>
      <c r="GF704" s="1"/>
      <c r="GG704" s="1"/>
      <c r="GH704" s="1"/>
      <c r="GI704" s="1"/>
      <c r="GJ704" s="1"/>
      <c r="GK704" s="1"/>
      <c r="GL704" s="1"/>
      <c r="GM704" s="1"/>
      <c r="GN704" s="1"/>
      <c r="GO704" s="1"/>
      <c r="GP704" s="1"/>
      <c r="GQ704" s="1"/>
      <c r="GR704" s="1"/>
      <c r="GS704" s="1"/>
      <c r="GT704" s="1"/>
      <c r="GU704" s="1"/>
      <c r="GV704" s="1"/>
      <c r="GW704" s="1"/>
      <c r="GX704" s="1"/>
      <c r="GY704" s="1"/>
      <c r="GZ704" s="1"/>
      <c r="HA704" s="1"/>
      <c r="HB704" s="1"/>
      <c r="HC704" s="1"/>
      <c r="HD704" s="1"/>
      <c r="HE704" s="1"/>
      <c r="HF704" s="1"/>
      <c r="HG704" s="1"/>
      <c r="HH704" s="1"/>
      <c r="HI704" s="1"/>
      <c r="HJ704" s="1"/>
      <c r="HK704" s="1"/>
      <c r="HL704" s="1"/>
      <c r="HM704" s="1"/>
      <c r="HN704" s="1"/>
      <c r="HO704" s="1"/>
      <c r="HP704" s="1"/>
      <c r="HQ704" s="1"/>
      <c r="HR704" s="1"/>
      <c r="HS704" s="1"/>
      <c r="HT704" s="1"/>
      <c r="HU704" s="1"/>
      <c r="HV704" s="1"/>
      <c r="HW704" s="1"/>
      <c r="HX704" s="1"/>
      <c r="HY704" s="1"/>
      <c r="HZ704" s="1"/>
      <c r="IA704" s="1"/>
      <c r="IB704" s="1"/>
      <c r="IC704" s="1"/>
      <c r="ID704" s="1"/>
      <c r="IE704" s="1"/>
      <c r="IF704" s="1"/>
      <c r="IG704" s="1"/>
      <c r="IH704" s="1"/>
      <c r="II704" s="1"/>
      <c r="IJ704" s="1"/>
      <c r="IK704" s="1"/>
      <c r="IL704" s="1"/>
      <c r="IM704" s="1"/>
      <c r="IN704" s="1"/>
      <c r="IO704" s="1"/>
      <c r="IP704" s="1"/>
      <c r="IQ704" s="1"/>
      <c r="IR704" s="1"/>
      <c r="IS704" s="1"/>
      <c r="IT704" s="1"/>
      <c r="IU704" s="1"/>
      <c r="IV704" s="1"/>
      <c r="IW704" s="1"/>
      <c r="IX704" s="1"/>
      <c r="IY704" s="1"/>
      <c r="IZ704" s="1"/>
      <c r="JA704" s="1"/>
      <c r="JB704" s="1"/>
      <c r="JC704" s="1"/>
      <c r="JD704" s="1"/>
    </row>
    <row r="705" spans="1:264" s="347" customFormat="1" x14ac:dyDescent="0.2">
      <c r="A705" s="347" t="s">
        <v>522</v>
      </c>
      <c r="B705" s="348"/>
      <c r="BH705" s="398">
        <v>38241</v>
      </c>
      <c r="BI705" s="398">
        <v>49019</v>
      </c>
      <c r="BJ705" s="351">
        <f>+BH705+BI705</f>
        <v>87260</v>
      </c>
      <c r="BK705" s="348"/>
      <c r="BL705" s="398">
        <v>43835</v>
      </c>
      <c r="BM705" s="398">
        <v>40448</v>
      </c>
      <c r="BN705" s="351">
        <f>+BL705+BM705</f>
        <v>84283</v>
      </c>
      <c r="BO705" s="348"/>
      <c r="BP705" s="398">
        <v>44907</v>
      </c>
      <c r="BQ705" s="398">
        <v>47491</v>
      </c>
      <c r="BR705" s="351">
        <f>+BP705+BQ705</f>
        <v>92398</v>
      </c>
      <c r="BT705" s="398">
        <f>15106+40209</f>
        <v>55315</v>
      </c>
      <c r="BU705" s="398">
        <f>83814+29535-BT705</f>
        <v>58034</v>
      </c>
      <c r="BV705" s="351">
        <f>+BT705+BU705</f>
        <v>113349</v>
      </c>
      <c r="BX705" s="398">
        <f>45697+15121</f>
        <v>60818</v>
      </c>
      <c r="BY705" s="398">
        <f>88581+35269-BX705</f>
        <v>63032</v>
      </c>
      <c r="BZ705" s="351">
        <f>+BX705+BY705</f>
        <v>123850</v>
      </c>
      <c r="CB705" s="398"/>
      <c r="CC705" s="398"/>
      <c r="CD705" s="351"/>
      <c r="CF705" s="398">
        <f>15707</f>
        <v>15707</v>
      </c>
      <c r="CG705" s="420">
        <f>CH705-CF705</f>
        <v>13192</v>
      </c>
      <c r="CH705" s="398">
        <v>28899</v>
      </c>
      <c r="CJ705" s="398">
        <v>17005</v>
      </c>
      <c r="CK705" s="420">
        <f>CL705-CJ705</f>
        <v>20732</v>
      </c>
      <c r="CL705" s="398">
        <v>37737</v>
      </c>
      <c r="CN705" s="398">
        <v>16141</v>
      </c>
      <c r="CO705" s="420">
        <f>CP705-CN705</f>
        <v>12588</v>
      </c>
      <c r="CP705" s="398">
        <v>28729</v>
      </c>
      <c r="CR705" s="397"/>
      <c r="CS705" s="351"/>
      <c r="CT705" s="351"/>
      <c r="CV705" s="351"/>
      <c r="CW705" s="351"/>
      <c r="CX705" s="351"/>
      <c r="CZ705" s="351"/>
      <c r="DA705" s="351"/>
      <c r="DB705" s="351"/>
      <c r="DD705" s="351"/>
      <c r="DE705" s="351"/>
      <c r="DF705" s="351"/>
      <c r="DH705" s="351"/>
      <c r="DI705" s="351"/>
      <c r="DJ705" s="351"/>
      <c r="DL705" s="351"/>
      <c r="DM705" s="351"/>
      <c r="DN705" s="351"/>
      <c r="DP705" s="351"/>
      <c r="DQ705" s="351"/>
      <c r="DR705" s="351"/>
      <c r="DT705" s="1"/>
      <c r="DU705" s="1"/>
      <c r="DV705" s="1"/>
      <c r="DW705" s="1"/>
      <c r="DX705" s="1"/>
      <c r="DY705" s="1"/>
      <c r="DZ705" s="1"/>
      <c r="EA705" s="1"/>
      <c r="EB705" s="1"/>
      <c r="EC705" s="1"/>
      <c r="ED705" s="1"/>
      <c r="EE705" s="1"/>
      <c r="EF705" s="1"/>
      <c r="EG705" s="1"/>
      <c r="EH705" s="1"/>
      <c r="EI705" s="1"/>
      <c r="EJ705" s="1"/>
      <c r="EK705" s="1"/>
      <c r="EL705" s="1"/>
      <c r="EM705" s="1"/>
      <c r="EN705" s="1"/>
      <c r="EO705" s="1"/>
      <c r="EP705" s="1"/>
      <c r="EQ705" s="1"/>
      <c r="ER705" s="1"/>
      <c r="ES705" s="1"/>
      <c r="ET705" s="1"/>
      <c r="EU705" s="1"/>
      <c r="EV705" s="1"/>
      <c r="EW705" s="1"/>
      <c r="EX705" s="1"/>
      <c r="EY705" s="1"/>
      <c r="EZ705" s="1"/>
      <c r="FA705" s="1"/>
      <c r="FB705" s="1"/>
      <c r="FC705" s="1"/>
      <c r="FD705" s="1"/>
      <c r="FE705" s="1"/>
      <c r="FF705" s="1"/>
      <c r="FG705" s="1"/>
      <c r="FH705" s="1"/>
      <c r="FI705" s="1"/>
      <c r="FJ705" s="1"/>
      <c r="FK705" s="1"/>
      <c r="FL705" s="1"/>
      <c r="FM705" s="1"/>
      <c r="FN705" s="1"/>
      <c r="FO705" s="1"/>
      <c r="FP705" s="1"/>
      <c r="FQ705" s="1"/>
      <c r="FR705" s="1"/>
      <c r="FS705" s="1"/>
      <c r="FT705" s="1"/>
      <c r="FU705" s="1"/>
      <c r="FV705" s="1"/>
      <c r="FW705" s="1"/>
      <c r="FX705" s="1"/>
      <c r="FY705" s="1"/>
      <c r="FZ705" s="1"/>
      <c r="GA705" s="1"/>
      <c r="GB705" s="1"/>
      <c r="GC705" s="1"/>
      <c r="GD705" s="1"/>
      <c r="GE705" s="1"/>
      <c r="GF705" s="1"/>
      <c r="GG705" s="1"/>
      <c r="GH705" s="1"/>
      <c r="GI705" s="1"/>
      <c r="GJ705" s="1"/>
      <c r="GK705" s="1"/>
      <c r="GL705" s="1"/>
      <c r="GM705" s="1"/>
      <c r="GN705" s="1"/>
      <c r="GO705" s="1"/>
      <c r="GP705" s="1"/>
      <c r="GQ705" s="1"/>
      <c r="GR705" s="1"/>
      <c r="GS705" s="1"/>
      <c r="GT705" s="1"/>
      <c r="GU705" s="1"/>
      <c r="GV705" s="1"/>
      <c r="GW705" s="1"/>
      <c r="GX705" s="1"/>
      <c r="GY705" s="1"/>
      <c r="GZ705" s="1"/>
      <c r="HA705" s="1"/>
      <c r="HB705" s="1"/>
      <c r="HC705" s="1"/>
      <c r="HD705" s="1"/>
      <c r="HE705" s="1"/>
      <c r="HF705" s="1"/>
      <c r="HG705" s="1"/>
      <c r="HH705" s="1"/>
      <c r="HI705" s="1"/>
      <c r="HJ705" s="1"/>
      <c r="HK705" s="1"/>
      <c r="HL705" s="1"/>
      <c r="HM705" s="1"/>
      <c r="HN705" s="1"/>
      <c r="HO705" s="1"/>
      <c r="HP705" s="1"/>
      <c r="HQ705" s="1"/>
      <c r="HR705" s="1"/>
      <c r="HS705" s="1"/>
      <c r="HT705" s="1"/>
      <c r="HU705" s="1"/>
      <c r="HV705" s="1"/>
      <c r="HW705" s="1"/>
      <c r="HX705" s="1"/>
      <c r="HY705" s="1"/>
      <c r="HZ705" s="1"/>
      <c r="IA705" s="1"/>
      <c r="IB705" s="1"/>
      <c r="IC705" s="1"/>
      <c r="ID705" s="1"/>
      <c r="IE705" s="1"/>
      <c r="IF705" s="1"/>
      <c r="IG705" s="1"/>
      <c r="IH705" s="1"/>
      <c r="II705" s="1"/>
      <c r="IJ705" s="1"/>
      <c r="IK705" s="1"/>
      <c r="IL705" s="1"/>
      <c r="IM705" s="1"/>
      <c r="IN705" s="1"/>
      <c r="IO705" s="1"/>
      <c r="IP705" s="1"/>
      <c r="IQ705" s="1"/>
      <c r="IR705" s="1"/>
      <c r="IS705" s="1"/>
      <c r="IT705" s="1"/>
      <c r="IU705" s="1"/>
      <c r="IV705" s="1"/>
      <c r="IW705" s="1"/>
      <c r="IX705" s="1"/>
      <c r="IY705" s="1"/>
      <c r="IZ705" s="1"/>
      <c r="JA705" s="1"/>
      <c r="JB705" s="1"/>
      <c r="JC705" s="1"/>
      <c r="JD705" s="1"/>
    </row>
    <row r="706" spans="1:264" s="347" customFormat="1" x14ac:dyDescent="0.2">
      <c r="A706" s="347" t="s">
        <v>523</v>
      </c>
      <c r="B706" s="348"/>
      <c r="BH706" s="398">
        <v>-32124</v>
      </c>
      <c r="BI706" s="398">
        <v>-39156</v>
      </c>
      <c r="BJ706" s="351">
        <f>+BH706+BI706</f>
        <v>-71280</v>
      </c>
      <c r="BK706" s="348"/>
      <c r="BL706" s="398">
        <v>-42769</v>
      </c>
      <c r="BM706" s="398">
        <v>-36871</v>
      </c>
      <c r="BN706" s="351">
        <f>+BL706+BM706</f>
        <v>-79640</v>
      </c>
      <c r="BO706" s="348"/>
      <c r="BP706" s="398">
        <v>-43440</v>
      </c>
      <c r="BQ706" s="398">
        <v>-45860</v>
      </c>
      <c r="BR706" s="351">
        <f>+BP706+BQ706</f>
        <v>-89300</v>
      </c>
      <c r="BT706" s="398">
        <f>-13996-45550</f>
        <v>-59546</v>
      </c>
      <c r="BU706" s="398">
        <f>-89774-28252-BT706</f>
        <v>-58480</v>
      </c>
      <c r="BV706" s="351">
        <f>+BT706+BU706</f>
        <v>-118026</v>
      </c>
      <c r="BX706" s="398">
        <f>-46707-14788</f>
        <v>-61495</v>
      </c>
      <c r="BY706" s="398">
        <f>-83143-32554-BX706</f>
        <v>-54202</v>
      </c>
      <c r="BZ706" s="351">
        <f>+BX706+BY706</f>
        <v>-115697</v>
      </c>
      <c r="CB706" s="398"/>
      <c r="CC706" s="398"/>
      <c r="CD706" s="351"/>
      <c r="CF706" s="398">
        <v>-15577</v>
      </c>
      <c r="CG706" s="420">
        <f>CH706-CF706</f>
        <v>-14518</v>
      </c>
      <c r="CH706" s="398">
        <v>-30095</v>
      </c>
      <c r="CJ706" s="398">
        <v>-16431</v>
      </c>
      <c r="CK706" s="420">
        <f>CL706-CJ706</f>
        <v>-25344</v>
      </c>
      <c r="CL706" s="398">
        <v>-41775</v>
      </c>
      <c r="CN706" s="398">
        <v>-20659</v>
      </c>
      <c r="CO706" s="420">
        <f>CP706-CN706</f>
        <v>-15606</v>
      </c>
      <c r="CP706" s="398">
        <v>-36265</v>
      </c>
      <c r="CR706" s="397"/>
      <c r="CS706" s="351"/>
      <c r="CT706" s="351"/>
      <c r="CV706" s="351"/>
      <c r="CW706" s="351"/>
      <c r="CX706" s="351"/>
      <c r="CZ706" s="351"/>
      <c r="DA706" s="351"/>
      <c r="DB706" s="351"/>
      <c r="DD706" s="351"/>
      <c r="DE706" s="351"/>
      <c r="DF706" s="351"/>
      <c r="DH706" s="351"/>
      <c r="DI706" s="351"/>
      <c r="DJ706" s="351"/>
      <c r="DL706" s="351"/>
      <c r="DM706" s="351"/>
      <c r="DN706" s="351"/>
      <c r="DP706" s="351"/>
      <c r="DQ706" s="351"/>
      <c r="DR706" s="351"/>
      <c r="DT706" s="1"/>
      <c r="DU706" s="1"/>
      <c r="DV706" s="1"/>
      <c r="DW706" s="1"/>
      <c r="DX706" s="1"/>
      <c r="DY706" s="1"/>
      <c r="DZ706" s="1"/>
      <c r="EA706" s="1"/>
      <c r="EB706" s="1"/>
      <c r="EC706" s="1"/>
      <c r="ED706" s="1"/>
      <c r="EE706" s="1"/>
      <c r="EF706" s="1"/>
      <c r="EG706" s="1"/>
      <c r="EH706" s="1"/>
      <c r="EI706" s="1"/>
      <c r="EJ706" s="1"/>
      <c r="EK706" s="1"/>
      <c r="EL706" s="1"/>
      <c r="EM706" s="1"/>
      <c r="EN706" s="1"/>
      <c r="EO706" s="1"/>
      <c r="EP706" s="1"/>
      <c r="EQ706" s="1"/>
      <c r="ER706" s="1"/>
      <c r="ES706" s="1"/>
      <c r="ET706" s="1"/>
      <c r="EU706" s="1"/>
      <c r="EV706" s="1"/>
      <c r="EW706" s="1"/>
      <c r="EX706" s="1"/>
      <c r="EY706" s="1"/>
      <c r="EZ706" s="1"/>
      <c r="FA706" s="1"/>
      <c r="FB706" s="1"/>
      <c r="FC706" s="1"/>
      <c r="FD706" s="1"/>
      <c r="FE706" s="1"/>
      <c r="FF706" s="1"/>
      <c r="FG706" s="1"/>
      <c r="FH706" s="1"/>
      <c r="FI706" s="1"/>
      <c r="FJ706" s="1"/>
      <c r="FK706" s="1"/>
      <c r="FL706" s="1"/>
      <c r="FM706" s="1"/>
      <c r="FN706" s="1"/>
      <c r="FO706" s="1"/>
      <c r="FP706" s="1"/>
      <c r="FQ706" s="1"/>
      <c r="FR706" s="1"/>
      <c r="FS706" s="1"/>
      <c r="FT706" s="1"/>
      <c r="FU706" s="1"/>
      <c r="FV706" s="1"/>
      <c r="FW706" s="1"/>
      <c r="FX706" s="1"/>
      <c r="FY706" s="1"/>
      <c r="FZ706" s="1"/>
      <c r="GA706" s="1"/>
      <c r="GB706" s="1"/>
      <c r="GC706" s="1"/>
      <c r="GD706" s="1"/>
      <c r="GE706" s="1"/>
      <c r="GF706" s="1"/>
      <c r="GG706" s="1"/>
      <c r="GH706" s="1"/>
      <c r="GI706" s="1"/>
      <c r="GJ706" s="1"/>
      <c r="GK706" s="1"/>
      <c r="GL706" s="1"/>
      <c r="GM706" s="1"/>
      <c r="GN706" s="1"/>
      <c r="GO706" s="1"/>
      <c r="GP706" s="1"/>
      <c r="GQ706" s="1"/>
      <c r="GR706" s="1"/>
      <c r="GS706" s="1"/>
      <c r="GT706" s="1"/>
      <c r="GU706" s="1"/>
      <c r="GV706" s="1"/>
      <c r="GW706" s="1"/>
      <c r="GX706" s="1"/>
      <c r="GY706" s="1"/>
      <c r="GZ706" s="1"/>
      <c r="HA706" s="1"/>
      <c r="HB706" s="1"/>
      <c r="HC706" s="1"/>
      <c r="HD706" s="1"/>
      <c r="HE706" s="1"/>
      <c r="HF706" s="1"/>
      <c r="HG706" s="1"/>
      <c r="HH706" s="1"/>
      <c r="HI706" s="1"/>
      <c r="HJ706" s="1"/>
      <c r="HK706" s="1"/>
      <c r="HL706" s="1"/>
      <c r="HM706" s="1"/>
      <c r="HN706" s="1"/>
      <c r="HO706" s="1"/>
      <c r="HP706" s="1"/>
      <c r="HQ706" s="1"/>
      <c r="HR706" s="1"/>
      <c r="HS706" s="1"/>
      <c r="HT706" s="1"/>
      <c r="HU706" s="1"/>
      <c r="HV706" s="1"/>
      <c r="HW706" s="1"/>
      <c r="HX706" s="1"/>
      <c r="HY706" s="1"/>
      <c r="HZ706" s="1"/>
      <c r="IA706" s="1"/>
      <c r="IB706" s="1"/>
      <c r="IC706" s="1"/>
      <c r="ID706" s="1"/>
      <c r="IE706" s="1"/>
      <c r="IF706" s="1"/>
      <c r="IG706" s="1"/>
      <c r="IH706" s="1"/>
      <c r="II706" s="1"/>
      <c r="IJ706" s="1"/>
      <c r="IK706" s="1"/>
      <c r="IL706" s="1"/>
      <c r="IM706" s="1"/>
      <c r="IN706" s="1"/>
      <c r="IO706" s="1"/>
      <c r="IP706" s="1"/>
      <c r="IQ706" s="1"/>
      <c r="IR706" s="1"/>
      <c r="IS706" s="1"/>
      <c r="IT706" s="1"/>
      <c r="IU706" s="1"/>
      <c r="IV706" s="1"/>
      <c r="IW706" s="1"/>
      <c r="IX706" s="1"/>
      <c r="IY706" s="1"/>
      <c r="IZ706" s="1"/>
      <c r="JA706" s="1"/>
      <c r="JB706" s="1"/>
      <c r="JC706" s="1"/>
      <c r="JD706" s="1"/>
    </row>
    <row r="707" spans="1:264" s="347" customFormat="1" x14ac:dyDescent="0.2">
      <c r="A707" s="347" t="s">
        <v>524</v>
      </c>
      <c r="B707" s="348"/>
      <c r="BH707" s="398">
        <v>16859</v>
      </c>
      <c r="BI707" s="398">
        <v>9863</v>
      </c>
      <c r="BJ707" s="351">
        <f>+BH707+BI707</f>
        <v>26722</v>
      </c>
      <c r="BK707" s="348"/>
      <c r="BL707" s="398">
        <v>19002</v>
      </c>
      <c r="BM707" s="398">
        <v>5177</v>
      </c>
      <c r="BN707" s="351">
        <f>+BL707+BM707</f>
        <v>24179</v>
      </c>
      <c r="BO707" s="348"/>
      <c r="BP707" s="398">
        <v>15316</v>
      </c>
      <c r="BQ707" s="398">
        <v>11747</v>
      </c>
      <c r="BR707" s="351">
        <f>+BP707+BQ707</f>
        <v>27063</v>
      </c>
      <c r="BT707" s="398">
        <f>873-1579</f>
        <v>-706</v>
      </c>
      <c r="BU707" s="398">
        <f>3527+1062-BT707</f>
        <v>5295</v>
      </c>
      <c r="BV707" s="351">
        <f>+BT707+BU707</f>
        <v>4589</v>
      </c>
      <c r="BX707" s="398">
        <f>4498+4686</f>
        <v>9184</v>
      </c>
      <c r="BY707" s="398">
        <f>14254+8262-BX707</f>
        <v>13332</v>
      </c>
      <c r="BZ707" s="351">
        <f>+BX707+BY707</f>
        <v>22516</v>
      </c>
      <c r="CB707" s="398"/>
      <c r="CC707" s="398"/>
      <c r="CD707" s="351"/>
      <c r="CF707" s="398">
        <v>-6204</v>
      </c>
      <c r="CG707" s="420">
        <f>CH707-CF707</f>
        <v>14869</v>
      </c>
      <c r="CH707" s="398">
        <v>8665</v>
      </c>
      <c r="CJ707" s="398">
        <v>4946</v>
      </c>
      <c r="CK707" s="420">
        <f>CL707-CJ707</f>
        <v>-19006</v>
      </c>
      <c r="CL707" s="398">
        <v>-14060</v>
      </c>
      <c r="CN707" s="398">
        <v>12145</v>
      </c>
      <c r="CO707" s="420">
        <f>CP707-CN707</f>
        <v>12307</v>
      </c>
      <c r="CP707" s="398">
        <v>24452</v>
      </c>
      <c r="CR707" s="397"/>
      <c r="CS707" s="351"/>
      <c r="CT707" s="351"/>
      <c r="CV707" s="351"/>
      <c r="CW707" s="351"/>
      <c r="CX707" s="351"/>
      <c r="CZ707" s="351"/>
      <c r="DA707" s="351"/>
      <c r="DB707" s="351"/>
      <c r="DD707" s="351"/>
      <c r="DE707" s="351"/>
      <c r="DF707" s="351"/>
      <c r="DH707" s="351"/>
      <c r="DI707" s="351"/>
      <c r="DJ707" s="351"/>
      <c r="DL707" s="351"/>
      <c r="DM707" s="351"/>
      <c r="DN707" s="351"/>
      <c r="DP707" s="351"/>
      <c r="DQ707" s="351"/>
      <c r="DR707" s="351"/>
      <c r="DT707" s="1"/>
      <c r="DU707" s="1"/>
      <c r="DV707" s="1"/>
      <c r="DW707" s="1"/>
      <c r="DX707" s="1"/>
      <c r="DY707" s="1"/>
      <c r="DZ707" s="1"/>
      <c r="EA707" s="1"/>
      <c r="EB707" s="1"/>
      <c r="EC707" s="1"/>
      <c r="ED707" s="1"/>
      <c r="EE707" s="1"/>
      <c r="EF707" s="1"/>
      <c r="EG707" s="1"/>
      <c r="EH707" s="1"/>
      <c r="EI707" s="1"/>
      <c r="EJ707" s="1"/>
      <c r="EK707" s="1"/>
      <c r="EL707" s="1"/>
      <c r="EM707" s="1"/>
      <c r="EN707" s="1"/>
      <c r="EO707" s="1"/>
      <c r="EP707" s="1"/>
      <c r="EQ707" s="1"/>
      <c r="ER707" s="1"/>
      <c r="ES707" s="1"/>
      <c r="ET707" s="1"/>
      <c r="EU707" s="1"/>
      <c r="EV707" s="1"/>
      <c r="EW707" s="1"/>
      <c r="EX707" s="1"/>
      <c r="EY707" s="1"/>
      <c r="EZ707" s="1"/>
      <c r="FA707" s="1"/>
      <c r="FB707" s="1"/>
      <c r="FC707" s="1"/>
      <c r="FD707" s="1"/>
      <c r="FE707" s="1"/>
      <c r="FF707" s="1"/>
      <c r="FG707" s="1"/>
      <c r="FH707" s="1"/>
      <c r="FI707" s="1"/>
      <c r="FJ707" s="1"/>
      <c r="FK707" s="1"/>
      <c r="FL707" s="1"/>
      <c r="FM707" s="1"/>
      <c r="FN707" s="1"/>
      <c r="FO707" s="1"/>
      <c r="FP707" s="1"/>
      <c r="FQ707" s="1"/>
      <c r="FR707" s="1"/>
      <c r="FS707" s="1"/>
      <c r="FT707" s="1"/>
      <c r="FU707" s="1"/>
      <c r="FV707" s="1"/>
      <c r="FW707" s="1"/>
      <c r="FX707" s="1"/>
      <c r="FY707" s="1"/>
      <c r="FZ707" s="1"/>
      <c r="GA707" s="1"/>
      <c r="GB707" s="1"/>
      <c r="GC707" s="1"/>
      <c r="GD707" s="1"/>
      <c r="GE707" s="1"/>
      <c r="GF707" s="1"/>
      <c r="GG707" s="1"/>
      <c r="GH707" s="1"/>
      <c r="GI707" s="1"/>
      <c r="GJ707" s="1"/>
      <c r="GK707" s="1"/>
      <c r="GL707" s="1"/>
      <c r="GM707" s="1"/>
      <c r="GN707" s="1"/>
      <c r="GO707" s="1"/>
      <c r="GP707" s="1"/>
      <c r="GQ707" s="1"/>
      <c r="GR707" s="1"/>
      <c r="GS707" s="1"/>
      <c r="GT707" s="1"/>
      <c r="GU707" s="1"/>
      <c r="GV707" s="1"/>
      <c r="GW707" s="1"/>
      <c r="GX707" s="1"/>
      <c r="GY707" s="1"/>
      <c r="GZ707" s="1"/>
      <c r="HA707" s="1"/>
      <c r="HB707" s="1"/>
      <c r="HC707" s="1"/>
      <c r="HD707" s="1"/>
      <c r="HE707" s="1"/>
      <c r="HF707" s="1"/>
      <c r="HG707" s="1"/>
      <c r="HH707" s="1"/>
      <c r="HI707" s="1"/>
      <c r="HJ707" s="1"/>
      <c r="HK707" s="1"/>
      <c r="HL707" s="1"/>
      <c r="HM707" s="1"/>
      <c r="HN707" s="1"/>
      <c r="HO707" s="1"/>
      <c r="HP707" s="1"/>
      <c r="HQ707" s="1"/>
      <c r="HR707" s="1"/>
      <c r="HS707" s="1"/>
      <c r="HT707" s="1"/>
      <c r="HU707" s="1"/>
      <c r="HV707" s="1"/>
      <c r="HW707" s="1"/>
      <c r="HX707" s="1"/>
      <c r="HY707" s="1"/>
      <c r="HZ707" s="1"/>
      <c r="IA707" s="1"/>
      <c r="IB707" s="1"/>
      <c r="IC707" s="1"/>
      <c r="ID707" s="1"/>
      <c r="IE707" s="1"/>
      <c r="IF707" s="1"/>
      <c r="IG707" s="1"/>
      <c r="IH707" s="1"/>
      <c r="II707" s="1"/>
      <c r="IJ707" s="1"/>
      <c r="IK707" s="1"/>
      <c r="IL707" s="1"/>
      <c r="IM707" s="1"/>
      <c r="IN707" s="1"/>
      <c r="IO707" s="1"/>
      <c r="IP707" s="1"/>
      <c r="IQ707" s="1"/>
      <c r="IR707" s="1"/>
      <c r="IS707" s="1"/>
      <c r="IT707" s="1"/>
      <c r="IU707" s="1"/>
      <c r="IV707" s="1"/>
      <c r="IW707" s="1"/>
      <c r="IX707" s="1"/>
      <c r="IY707" s="1"/>
      <c r="IZ707" s="1"/>
      <c r="JA707" s="1"/>
      <c r="JB707" s="1"/>
      <c r="JC707" s="1"/>
      <c r="JD707" s="1"/>
    </row>
    <row r="708" spans="1:264" s="411" customFormat="1" x14ac:dyDescent="0.2">
      <c r="A708" s="411" t="s">
        <v>525</v>
      </c>
      <c r="B708" s="423"/>
      <c r="BH708" s="397">
        <f>SUM(BH703:BH707)</f>
        <v>219175</v>
      </c>
      <c r="BI708" s="397">
        <f>SUM(BI703:BI707)</f>
        <v>238901</v>
      </c>
      <c r="BJ708" s="397">
        <f>SUM(BJ703:BJ707)</f>
        <v>238901</v>
      </c>
      <c r="BK708" s="423"/>
      <c r="BL708" s="397">
        <f>SUM(BL703:BL707)</f>
        <v>260420</v>
      </c>
      <c r="BM708" s="397">
        <f>SUM(BM703:BM707)</f>
        <v>253483</v>
      </c>
      <c r="BN708" s="397">
        <f>SUM(BN703:BN707)</f>
        <v>253483</v>
      </c>
      <c r="BO708" s="423"/>
      <c r="BP708" s="397">
        <f>SUM(BP703:BP707)</f>
        <v>270266</v>
      </c>
      <c r="BQ708" s="397">
        <f>SUM(BQ703:BQ707)</f>
        <v>283644</v>
      </c>
      <c r="BR708" s="397">
        <f>SUM(BR703:BR707)</f>
        <v>283644</v>
      </c>
      <c r="BT708" s="397">
        <f>SUM(BT703:BT707)</f>
        <v>329134</v>
      </c>
      <c r="BU708" s="397">
        <f>SUM(BU703:BU707)</f>
        <v>333983</v>
      </c>
      <c r="BV708" s="397">
        <f>SUM(BV703:BV707)</f>
        <v>333983</v>
      </c>
      <c r="BW708" s="455">
        <f>BV708/(BR708+BT704)-1</f>
        <v>-2.6341705805055238E-4</v>
      </c>
      <c r="BX708" s="397">
        <f>SUM(BX703:BX707)</f>
        <v>332176</v>
      </c>
      <c r="BY708" s="397">
        <f>SUM(BY703:BY707)</f>
        <v>354338</v>
      </c>
      <c r="BZ708" s="397">
        <f>SUM(BZ703:BZ707)</f>
        <v>354338</v>
      </c>
      <c r="CA708" s="455">
        <f>BZ708/BV708-1</f>
        <v>6.094621582535642E-2</v>
      </c>
      <c r="CB708" s="397"/>
      <c r="CC708" s="397"/>
      <c r="CD708" s="397"/>
      <c r="CE708" s="455"/>
      <c r="CF708" s="397">
        <f>SUM(CF703:CF707)</f>
        <v>141925</v>
      </c>
      <c r="CG708" s="397">
        <f>SUM(CG703:CG707)</f>
        <v>155468</v>
      </c>
      <c r="CH708" s="397">
        <f>SUM(CH703:CH707)</f>
        <v>165719</v>
      </c>
      <c r="CI708" s="455"/>
      <c r="CJ708" s="397">
        <f>SUM(CJ703:CJ707)</f>
        <v>160988</v>
      </c>
      <c r="CK708" s="397">
        <f>SUM(CK703:CK707)</f>
        <v>147621</v>
      </c>
      <c r="CL708" s="397">
        <f>SUM(CL703:CL707)</f>
        <v>147621</v>
      </c>
      <c r="CM708" s="455">
        <f>CL708/CH708-1</f>
        <v>-0.10920896215883513</v>
      </c>
      <c r="CN708" s="397">
        <f>SUM(CN703:CN707)</f>
        <v>155248</v>
      </c>
      <c r="CO708" s="397">
        <f>SUM(CO703:CO707)</f>
        <v>164537</v>
      </c>
      <c r="CP708" s="397">
        <f>SUM(CP703:CP707)</f>
        <v>164537</v>
      </c>
      <c r="CQ708" s="455">
        <f>CP708/CL708-1</f>
        <v>0.11459074250953449</v>
      </c>
      <c r="CR708" s="397"/>
      <c r="CS708" s="397"/>
      <c r="CT708" s="397"/>
      <c r="CU708" s="455"/>
      <c r="CV708" s="397"/>
      <c r="CW708" s="397"/>
      <c r="CX708" s="397"/>
      <c r="CY708" s="455"/>
      <c r="CZ708" s="397"/>
      <c r="DA708" s="397"/>
      <c r="DB708" s="397"/>
      <c r="DC708" s="455"/>
      <c r="DD708" s="397"/>
      <c r="DE708" s="397"/>
      <c r="DF708" s="397"/>
      <c r="DG708" s="455"/>
      <c r="DH708" s="397"/>
      <c r="DI708" s="397"/>
      <c r="DJ708" s="397"/>
      <c r="DK708" s="455"/>
      <c r="DL708" s="397"/>
      <c r="DM708" s="397"/>
      <c r="DN708" s="397"/>
      <c r="DO708" s="455"/>
      <c r="DP708" s="397"/>
      <c r="DQ708" s="397"/>
      <c r="DR708" s="397"/>
      <c r="DS708" s="455"/>
      <c r="DT708" s="1"/>
      <c r="DU708" s="1"/>
      <c r="DV708" s="1"/>
      <c r="DW708" s="1"/>
      <c r="DX708" s="1"/>
      <c r="DY708" s="1"/>
      <c r="DZ708" s="1"/>
      <c r="EA708" s="1"/>
      <c r="EB708" s="1"/>
      <c r="EC708" s="1"/>
      <c r="ED708" s="1"/>
      <c r="EE708" s="1"/>
      <c r="EF708" s="1"/>
      <c r="EG708" s="1"/>
      <c r="EH708" s="1"/>
      <c r="EI708" s="1"/>
      <c r="EJ708" s="1"/>
      <c r="EK708" s="1"/>
      <c r="EL708" s="1"/>
      <c r="EM708" s="1"/>
      <c r="EN708" s="1"/>
      <c r="EO708" s="1"/>
      <c r="EP708" s="1"/>
      <c r="EQ708" s="1"/>
      <c r="ER708" s="1"/>
      <c r="ES708" s="1"/>
      <c r="ET708" s="1"/>
      <c r="EU708" s="1"/>
      <c r="EV708" s="1"/>
      <c r="EW708" s="1"/>
      <c r="EX708" s="1"/>
      <c r="EY708" s="1"/>
      <c r="EZ708" s="1"/>
      <c r="FA708" s="1"/>
      <c r="FB708" s="1"/>
      <c r="FC708" s="1"/>
      <c r="FD708" s="1"/>
      <c r="FE708" s="1"/>
      <c r="FF708" s="1"/>
      <c r="FG708" s="1"/>
      <c r="FH708" s="1"/>
      <c r="FI708" s="1"/>
      <c r="FJ708" s="1"/>
      <c r="FK708" s="1"/>
      <c r="FL708" s="1"/>
      <c r="FM708" s="1"/>
      <c r="FN708" s="1"/>
      <c r="FO708" s="1"/>
      <c r="FP708" s="1"/>
      <c r="FQ708" s="1"/>
      <c r="FR708" s="1"/>
      <c r="FS708" s="1"/>
      <c r="FT708" s="1"/>
      <c r="FU708" s="1"/>
      <c r="FV708" s="1"/>
      <c r="FW708" s="1"/>
      <c r="FX708" s="1"/>
      <c r="FY708" s="1"/>
      <c r="FZ708" s="1"/>
      <c r="GA708" s="1"/>
      <c r="GB708" s="1"/>
      <c r="GC708" s="1"/>
      <c r="GD708" s="1"/>
      <c r="GE708" s="1"/>
      <c r="GF708" s="1"/>
      <c r="GG708" s="1"/>
      <c r="GH708" s="1"/>
      <c r="GI708" s="1"/>
      <c r="GJ708" s="1"/>
      <c r="GK708" s="1"/>
      <c r="GL708" s="1"/>
      <c r="GM708" s="1"/>
      <c r="GN708" s="1"/>
      <c r="GO708" s="1"/>
      <c r="GP708" s="1"/>
      <c r="GQ708" s="1"/>
      <c r="GR708" s="1"/>
      <c r="GS708" s="1"/>
      <c r="GT708" s="1"/>
      <c r="GU708" s="1"/>
      <c r="GV708" s="1"/>
      <c r="GW708" s="1"/>
      <c r="GX708" s="1"/>
      <c r="GY708" s="1"/>
      <c r="GZ708" s="1"/>
      <c r="HA708" s="1"/>
      <c r="HB708" s="1"/>
      <c r="HC708" s="1"/>
      <c r="HD708" s="1"/>
      <c r="HE708" s="1"/>
      <c r="HF708" s="1"/>
      <c r="HG708" s="1"/>
      <c r="HH708" s="1"/>
      <c r="HI708" s="1"/>
      <c r="HJ708" s="1"/>
      <c r="HK708" s="1"/>
      <c r="HL708" s="1"/>
      <c r="HM708" s="1"/>
      <c r="HN708" s="1"/>
      <c r="HO708" s="1"/>
      <c r="HP708" s="1"/>
      <c r="HQ708" s="1"/>
      <c r="HR708" s="1"/>
      <c r="HS708" s="1"/>
      <c r="HT708" s="1"/>
      <c r="HU708" s="1"/>
      <c r="HV708" s="1"/>
      <c r="HW708" s="1"/>
      <c r="HX708" s="1"/>
      <c r="HY708" s="1"/>
      <c r="HZ708" s="1"/>
      <c r="IA708" s="1"/>
      <c r="IB708" s="1"/>
      <c r="IC708" s="1"/>
      <c r="ID708" s="1"/>
      <c r="IE708" s="1"/>
      <c r="IF708" s="1"/>
      <c r="IG708" s="1"/>
      <c r="IH708" s="1"/>
      <c r="II708" s="1"/>
      <c r="IJ708" s="1"/>
      <c r="IK708" s="1"/>
      <c r="IL708" s="1"/>
      <c r="IM708" s="1"/>
      <c r="IN708" s="1"/>
      <c r="IO708" s="1"/>
      <c r="IP708" s="1"/>
      <c r="IQ708" s="1"/>
      <c r="IR708" s="1"/>
      <c r="IS708" s="1"/>
      <c r="IT708" s="1"/>
      <c r="IU708" s="1"/>
      <c r="IV708" s="1"/>
      <c r="IW708" s="1"/>
      <c r="IX708" s="1"/>
      <c r="IY708" s="1"/>
      <c r="IZ708" s="1"/>
      <c r="JA708" s="1"/>
      <c r="JB708" s="1"/>
      <c r="JC708" s="1"/>
      <c r="JD708" s="1"/>
    </row>
    <row r="709" spans="1:264" s="633" customFormat="1" x14ac:dyDescent="0.2">
      <c r="A709" s="633" t="s">
        <v>379</v>
      </c>
      <c r="B709" s="634"/>
      <c r="BH709" s="555"/>
      <c r="BI709" s="555"/>
      <c r="BJ709" s="555"/>
      <c r="BK709" s="634"/>
      <c r="BL709" s="555"/>
      <c r="BM709" s="555"/>
      <c r="BN709" s="555"/>
      <c r="BO709" s="634"/>
      <c r="BP709" s="555"/>
      <c r="BQ709" s="555"/>
      <c r="BR709" s="555"/>
      <c r="BT709" s="555"/>
      <c r="BU709" s="555"/>
      <c r="BV709" s="555"/>
      <c r="BW709" s="635"/>
      <c r="BX709" s="555">
        <f>203223+128953</f>
        <v>332176</v>
      </c>
      <c r="BY709" s="555"/>
      <c r="BZ709" s="555"/>
      <c r="CA709" s="635"/>
      <c r="CB709" s="555"/>
      <c r="CC709" s="555"/>
      <c r="CD709" s="555"/>
      <c r="CE709" s="635"/>
      <c r="CF709" s="555">
        <f>141925</f>
        <v>141925</v>
      </c>
      <c r="CG709" s="555">
        <v>155468</v>
      </c>
      <c r="CH709" s="555">
        <v>165719</v>
      </c>
      <c r="CI709" s="635"/>
      <c r="CJ709" s="555">
        <v>160988</v>
      </c>
      <c r="CK709" s="555">
        <v>147621</v>
      </c>
      <c r="CL709" s="555">
        <f>CK709</f>
        <v>147621</v>
      </c>
      <c r="CM709" s="635"/>
      <c r="CN709" s="555">
        <v>155248</v>
      </c>
      <c r="CO709" s="555">
        <v>164537</v>
      </c>
      <c r="CP709" s="555">
        <v>164357</v>
      </c>
      <c r="CQ709" s="635"/>
      <c r="CR709" s="555"/>
      <c r="CS709" s="555"/>
      <c r="CT709" s="555"/>
      <c r="CU709" s="635"/>
      <c r="CV709" s="555"/>
      <c r="CW709" s="555"/>
      <c r="CX709" s="555"/>
      <c r="CY709" s="635"/>
      <c r="CZ709" s="555"/>
      <c r="DA709" s="555"/>
      <c r="DB709" s="555"/>
      <c r="DC709" s="635"/>
      <c r="DD709" s="555"/>
      <c r="DE709" s="555"/>
      <c r="DF709" s="555"/>
      <c r="DG709" s="635"/>
      <c r="DH709" s="555"/>
      <c r="DI709" s="555"/>
      <c r="DJ709" s="555"/>
      <c r="DK709" s="635"/>
      <c r="DL709" s="555"/>
      <c r="DM709" s="555"/>
      <c r="DN709" s="555"/>
      <c r="DO709" s="635"/>
      <c r="DP709" s="555"/>
      <c r="DQ709" s="555"/>
      <c r="DR709" s="555"/>
      <c r="DS709" s="635"/>
      <c r="DT709" s="636"/>
      <c r="DU709" s="636"/>
      <c r="DV709" s="636"/>
      <c r="DW709" s="636"/>
      <c r="DX709" s="636"/>
      <c r="DY709" s="636"/>
      <c r="DZ709" s="636"/>
      <c r="EA709" s="636"/>
      <c r="EB709" s="636"/>
      <c r="EC709" s="636"/>
      <c r="ED709" s="636"/>
      <c r="EE709" s="636"/>
      <c r="EF709" s="636"/>
      <c r="EG709" s="636"/>
      <c r="EH709" s="636"/>
      <c r="EI709" s="636"/>
      <c r="EJ709" s="636"/>
      <c r="EK709" s="636"/>
      <c r="EL709" s="636"/>
      <c r="EM709" s="636"/>
      <c r="EN709" s="636"/>
      <c r="EO709" s="636"/>
      <c r="EP709" s="636"/>
      <c r="EQ709" s="636"/>
      <c r="ER709" s="636"/>
      <c r="ES709" s="636"/>
      <c r="ET709" s="636"/>
      <c r="EU709" s="636"/>
      <c r="EV709" s="636"/>
      <c r="EW709" s="636"/>
      <c r="EX709" s="636"/>
      <c r="EY709" s="636"/>
      <c r="EZ709" s="636"/>
      <c r="FA709" s="636"/>
      <c r="FB709" s="636"/>
      <c r="FC709" s="636"/>
      <c r="FD709" s="636"/>
      <c r="FE709" s="636"/>
      <c r="FF709" s="636"/>
      <c r="FG709" s="636"/>
      <c r="FH709" s="636"/>
      <c r="FI709" s="636"/>
      <c r="FJ709" s="636"/>
      <c r="FK709" s="636"/>
      <c r="FL709" s="636"/>
      <c r="FM709" s="636"/>
      <c r="FN709" s="636"/>
      <c r="FO709" s="636"/>
      <c r="FP709" s="636"/>
      <c r="FQ709" s="636"/>
      <c r="FR709" s="636"/>
      <c r="FS709" s="636"/>
      <c r="FT709" s="636"/>
      <c r="FU709" s="636"/>
      <c r="FV709" s="636"/>
      <c r="FW709" s="636"/>
      <c r="FX709" s="636"/>
      <c r="FY709" s="636"/>
      <c r="FZ709" s="636"/>
      <c r="GA709" s="636"/>
      <c r="GB709" s="636"/>
      <c r="GC709" s="636"/>
      <c r="GD709" s="636"/>
      <c r="GE709" s="636"/>
      <c r="GF709" s="636"/>
      <c r="GG709" s="636"/>
      <c r="GH709" s="636"/>
      <c r="GI709" s="636"/>
      <c r="GJ709" s="636"/>
      <c r="GK709" s="636"/>
      <c r="GL709" s="636"/>
      <c r="GM709" s="636"/>
      <c r="GN709" s="636"/>
      <c r="GO709" s="636"/>
      <c r="GP709" s="636"/>
      <c r="GQ709" s="636"/>
      <c r="GR709" s="636"/>
      <c r="GS709" s="636"/>
      <c r="GT709" s="636"/>
      <c r="GU709" s="636"/>
      <c r="GV709" s="636"/>
      <c r="GW709" s="636"/>
      <c r="GX709" s="636"/>
      <c r="GY709" s="636"/>
      <c r="GZ709" s="636"/>
      <c r="HA709" s="636"/>
      <c r="HB709" s="636"/>
      <c r="HC709" s="636"/>
      <c r="HD709" s="636"/>
      <c r="HE709" s="636"/>
      <c r="HF709" s="636"/>
      <c r="HG709" s="636"/>
      <c r="HH709" s="636"/>
      <c r="HI709" s="636"/>
      <c r="HJ709" s="636"/>
      <c r="HK709" s="636"/>
      <c r="HL709" s="636"/>
      <c r="HM709" s="636"/>
      <c r="HN709" s="636"/>
      <c r="HO709" s="636"/>
      <c r="HP709" s="636"/>
      <c r="HQ709" s="636"/>
      <c r="HR709" s="636"/>
      <c r="HS709" s="636"/>
      <c r="HT709" s="636"/>
      <c r="HU709" s="636"/>
      <c r="HV709" s="636"/>
      <c r="HW709" s="636"/>
      <c r="HX709" s="636"/>
      <c r="HY709" s="636"/>
      <c r="HZ709" s="636"/>
      <c r="IA709" s="636"/>
      <c r="IB709" s="636"/>
      <c r="IC709" s="636"/>
      <c r="ID709" s="636"/>
      <c r="IE709" s="636"/>
      <c r="IF709" s="636"/>
      <c r="IG709" s="636"/>
      <c r="IH709" s="636"/>
      <c r="II709" s="636"/>
      <c r="IJ709" s="636"/>
      <c r="IK709" s="636"/>
      <c r="IL709" s="636"/>
      <c r="IM709" s="636"/>
      <c r="IN709" s="636"/>
      <c r="IO709" s="636"/>
      <c r="IP709" s="636"/>
      <c r="IQ709" s="636"/>
      <c r="IR709" s="636"/>
      <c r="IS709" s="636"/>
      <c r="IT709" s="636"/>
      <c r="IU709" s="636"/>
      <c r="IV709" s="636"/>
      <c r="IW709" s="636"/>
      <c r="IX709" s="636"/>
      <c r="IY709" s="636"/>
      <c r="IZ709" s="636"/>
      <c r="JA709" s="636"/>
      <c r="JB709" s="636"/>
      <c r="JC709" s="636"/>
      <c r="JD709" s="636"/>
    </row>
    <row r="710" spans="1:264" s="429" customFormat="1" x14ac:dyDescent="0.2">
      <c r="A710" s="429" t="s">
        <v>273</v>
      </c>
      <c r="B710" s="408"/>
      <c r="BH710" s="408"/>
      <c r="BI710" s="393">
        <f>+BI708/BH708-1</f>
        <v>9.0001140641040367E-2</v>
      </c>
      <c r="BJ710" s="408"/>
      <c r="BK710" s="408"/>
      <c r="BL710" s="393">
        <f>+BL708/BI708-1</f>
        <v>9.0074968292305213E-2</v>
      </c>
      <c r="BM710" s="393">
        <f>+BM708/BL708-1</f>
        <v>-2.6637739036940333E-2</v>
      </c>
      <c r="BN710" s="408"/>
      <c r="BO710" s="408"/>
      <c r="BP710" s="393">
        <f>+BP708/BM708-1</f>
        <v>6.6209568294520738E-2</v>
      </c>
      <c r="BQ710" s="393">
        <f>+BQ708/BP708-1</f>
        <v>4.9499382090236965E-2</v>
      </c>
      <c r="BR710" s="408"/>
      <c r="BT710" s="393">
        <f>+BT708/BQ708-1</f>
        <v>0.16037709241161457</v>
      </c>
      <c r="BU710" s="393">
        <f>+BU708/BT708-1</f>
        <v>1.4732601311320037E-2</v>
      </c>
      <c r="BV710" s="408"/>
      <c r="BX710" s="393">
        <f>+BX708/BU708-1</f>
        <v>-5.4104550231598436E-3</v>
      </c>
      <c r="BY710" s="393">
        <f>+BY708/BX708-1</f>
        <v>6.6717643658783299E-2</v>
      </c>
      <c r="BZ710" s="408"/>
      <c r="CB710" s="393"/>
      <c r="CC710" s="393"/>
      <c r="CD710" s="408"/>
      <c r="CF710" s="393"/>
      <c r="CG710" s="393">
        <f>+CG708/CF708-1</f>
        <v>9.5423639246080771E-2</v>
      </c>
      <c r="CH710" s="456"/>
      <c r="CJ710" s="393"/>
      <c r="CK710" s="393">
        <f>+CK708/CJ708-1</f>
        <v>-8.3031033368946794E-2</v>
      </c>
      <c r="CL710" s="456"/>
      <c r="CN710" s="393"/>
      <c r="CO710" s="393">
        <f>+CO708/CN708-1</f>
        <v>5.9833298979697025E-2</v>
      </c>
      <c r="CP710" s="456"/>
      <c r="CR710" s="393"/>
      <c r="CS710" s="393"/>
      <c r="CT710" s="408"/>
      <c r="CV710" s="393"/>
      <c r="CW710" s="393"/>
      <c r="CX710" s="408"/>
      <c r="CZ710" s="393"/>
      <c r="DA710" s="393"/>
      <c r="DB710" s="408"/>
      <c r="DD710" s="393"/>
      <c r="DE710" s="393"/>
      <c r="DF710" s="408"/>
      <c r="DH710" s="393"/>
      <c r="DI710" s="393"/>
      <c r="DJ710" s="408"/>
      <c r="DL710" s="393"/>
      <c r="DM710" s="393"/>
      <c r="DN710" s="408"/>
      <c r="DP710" s="393"/>
      <c r="DQ710" s="393"/>
      <c r="DR710" s="408"/>
      <c r="DT710" s="1"/>
      <c r="DU710" s="1"/>
      <c r="DV710" s="1"/>
      <c r="DW710" s="1"/>
      <c r="DX710" s="1"/>
      <c r="DY710" s="1"/>
      <c r="DZ710" s="1"/>
      <c r="EA710" s="1"/>
      <c r="EB710" s="1"/>
      <c r="EC710" s="1"/>
      <c r="ED710" s="1"/>
      <c r="EE710" s="1"/>
      <c r="EF710" s="1"/>
      <c r="EG710" s="1"/>
      <c r="EH710" s="1"/>
      <c r="EI710" s="1"/>
      <c r="EJ710" s="1"/>
      <c r="EK710" s="1"/>
      <c r="EL710" s="1"/>
      <c r="EM710" s="1"/>
      <c r="EN710" s="1"/>
      <c r="EO710" s="1"/>
      <c r="EP710" s="1"/>
      <c r="EQ710" s="1"/>
      <c r="ER710" s="1"/>
      <c r="ES710" s="1"/>
      <c r="ET710" s="1"/>
      <c r="EU710" s="1"/>
      <c r="EV710" s="1"/>
      <c r="EW710" s="1"/>
      <c r="EX710" s="1"/>
      <c r="EY710" s="1"/>
      <c r="EZ710" s="1"/>
      <c r="FA710" s="1"/>
      <c r="FB710" s="1"/>
      <c r="FC710" s="1"/>
      <c r="FD710" s="1"/>
      <c r="FE710" s="1"/>
      <c r="FF710" s="1"/>
      <c r="FG710" s="1"/>
      <c r="FH710" s="1"/>
      <c r="FI710" s="1"/>
      <c r="FJ710" s="1"/>
      <c r="FK710" s="1"/>
      <c r="FL710" s="1"/>
      <c r="FM710" s="1"/>
      <c r="FN710" s="1"/>
      <c r="FO710" s="1"/>
      <c r="FP710" s="1"/>
      <c r="FQ710" s="1"/>
      <c r="FR710" s="1"/>
      <c r="FS710" s="1"/>
      <c r="FT710" s="1"/>
      <c r="FU710" s="1"/>
      <c r="FV710" s="1"/>
      <c r="FW710" s="1"/>
      <c r="FX710" s="1"/>
      <c r="FY710" s="1"/>
      <c r="FZ710" s="1"/>
      <c r="GA710" s="1"/>
      <c r="GB710" s="1"/>
      <c r="GC710" s="1"/>
      <c r="GD710" s="1"/>
      <c r="GE710" s="1"/>
      <c r="GF710" s="1"/>
      <c r="GG710" s="1"/>
      <c r="GH710" s="1"/>
      <c r="GI710" s="1"/>
      <c r="GJ710" s="1"/>
      <c r="GK710" s="1"/>
      <c r="GL710" s="1"/>
      <c r="GM710" s="1"/>
      <c r="GN710" s="1"/>
      <c r="GO710" s="1"/>
      <c r="GP710" s="1"/>
      <c r="GQ710" s="1"/>
      <c r="GR710" s="1"/>
      <c r="GS710" s="1"/>
      <c r="GT710" s="1"/>
      <c r="GU710" s="1"/>
      <c r="GV710" s="1"/>
      <c r="GW710" s="1"/>
      <c r="GX710" s="1"/>
      <c r="GY710" s="1"/>
      <c r="GZ710" s="1"/>
      <c r="HA710" s="1"/>
      <c r="HB710" s="1"/>
      <c r="HC710" s="1"/>
      <c r="HD710" s="1"/>
      <c r="HE710" s="1"/>
      <c r="HF710" s="1"/>
      <c r="HG710" s="1"/>
      <c r="HH710" s="1"/>
      <c r="HI710" s="1"/>
      <c r="HJ710" s="1"/>
      <c r="HK710" s="1"/>
      <c r="HL710" s="1"/>
      <c r="HM710" s="1"/>
      <c r="HN710" s="1"/>
      <c r="HO710" s="1"/>
      <c r="HP710" s="1"/>
      <c r="HQ710" s="1"/>
      <c r="HR710" s="1"/>
      <c r="HS710" s="1"/>
      <c r="HT710" s="1"/>
      <c r="HU710" s="1"/>
      <c r="HV710" s="1"/>
      <c r="HW710" s="1"/>
      <c r="HX710" s="1"/>
      <c r="HY710" s="1"/>
      <c r="HZ710" s="1"/>
      <c r="IA710" s="1"/>
      <c r="IB710" s="1"/>
      <c r="IC710" s="1"/>
      <c r="ID710" s="1"/>
      <c r="IE710" s="1"/>
      <c r="IF710" s="1"/>
      <c r="IG710" s="1"/>
      <c r="IH710" s="1"/>
      <c r="II710" s="1"/>
      <c r="IJ710" s="1"/>
      <c r="IK710" s="1"/>
      <c r="IL710" s="1"/>
      <c r="IM710" s="1"/>
      <c r="IN710" s="1"/>
      <c r="IO710" s="1"/>
      <c r="IP710" s="1"/>
      <c r="IQ710" s="1"/>
      <c r="IR710" s="1"/>
      <c r="IS710" s="1"/>
      <c r="IT710" s="1"/>
      <c r="IU710" s="1"/>
      <c r="IV710" s="1"/>
      <c r="IW710" s="1"/>
      <c r="IX710" s="1"/>
      <c r="IY710" s="1"/>
      <c r="IZ710" s="1"/>
      <c r="JA710" s="1"/>
      <c r="JB710" s="1"/>
      <c r="JC710" s="1"/>
      <c r="JD710" s="1"/>
    </row>
    <row r="711" spans="1:264" s="347" customFormat="1" x14ac:dyDescent="0.2">
      <c r="A711" s="436" t="s">
        <v>526</v>
      </c>
      <c r="B711" s="466"/>
      <c r="C711" s="463"/>
      <c r="D711" s="463"/>
      <c r="E711" s="463"/>
      <c r="F711" s="463"/>
      <c r="G711" s="463"/>
      <c r="H711" s="463"/>
      <c r="I711" s="463"/>
      <c r="J711" s="463"/>
      <c r="K711" s="463"/>
      <c r="L711" s="463"/>
      <c r="M711" s="463"/>
      <c r="N711" s="463"/>
      <c r="O711" s="463"/>
      <c r="P711" s="463"/>
      <c r="Q711" s="463"/>
      <c r="R711" s="463"/>
      <c r="S711" s="463"/>
      <c r="T711" s="463"/>
      <c r="U711" s="463"/>
      <c r="V711" s="463"/>
      <c r="W711" s="463"/>
      <c r="X711" s="463"/>
      <c r="Y711" s="463"/>
      <c r="Z711" s="463"/>
      <c r="AA711" s="463"/>
      <c r="AB711" s="463"/>
      <c r="AC711" s="463"/>
      <c r="AD711" s="463"/>
      <c r="AE711" s="463"/>
      <c r="AF711" s="463"/>
      <c r="AG711" s="463"/>
      <c r="AH711" s="463"/>
      <c r="AI711" s="463"/>
      <c r="AJ711" s="463"/>
      <c r="AK711" s="463"/>
      <c r="AL711" s="463"/>
      <c r="AM711" s="463"/>
      <c r="AN711" s="463"/>
      <c r="AO711" s="463"/>
      <c r="AP711" s="463"/>
      <c r="AQ711" s="463"/>
      <c r="AR711" s="463"/>
      <c r="AS711" s="463"/>
      <c r="AT711" s="463"/>
      <c r="AU711" s="463"/>
      <c r="AV711" s="463"/>
      <c r="AW711" s="463"/>
      <c r="AX711" s="463"/>
      <c r="AY711" s="463"/>
      <c r="AZ711" s="463"/>
      <c r="BA711" s="463"/>
      <c r="BB711" s="463"/>
      <c r="BC711" s="463"/>
      <c r="BD711" s="463"/>
      <c r="BE711" s="463"/>
      <c r="BF711" s="463"/>
      <c r="BG711" s="463"/>
      <c r="BH711" s="465">
        <f t="shared" ref="BH711:BI713" si="702">BH705*(BH$4/BH$3)/BH$703</f>
        <v>0.38664063239253316</v>
      </c>
      <c r="BI711" s="465">
        <f t="shared" si="702"/>
        <v>0.45101160996126233</v>
      </c>
      <c r="BJ711" s="637"/>
      <c r="BK711" s="637"/>
      <c r="BL711" s="465">
        <f t="shared" ref="BL711:BM713" si="703">BL705*(BL$4/BL$3)/BL$703</f>
        <v>0.36398047271900696</v>
      </c>
      <c r="BM711" s="465">
        <f t="shared" si="703"/>
        <v>0.31321100084394055</v>
      </c>
      <c r="BN711" s="637"/>
      <c r="BO711" s="466"/>
      <c r="BP711" s="465">
        <f t="shared" ref="BP711:BQ713" si="704">BP705*(BP$4/BP$3)/BP$703</f>
        <v>0.35143114391171765</v>
      </c>
      <c r="BQ711" s="465">
        <f t="shared" si="704"/>
        <v>0.35435143024431059</v>
      </c>
      <c r="BR711" s="637"/>
      <c r="BS711" s="463"/>
      <c r="BT711" s="465">
        <f t="shared" ref="BT711:BU713" si="705">BT705*(BT$4/BT$3)/BT$703</f>
        <v>0.38791143123069766</v>
      </c>
      <c r="BU711" s="465">
        <f t="shared" si="705"/>
        <v>0.35458426131525844</v>
      </c>
      <c r="BV711" s="637"/>
      <c r="BW711" s="463"/>
      <c r="BX711" s="465">
        <f t="shared" ref="BX711:BY713" si="706">BX705*(BX$4/BX$3)/BX$703</f>
        <v>0.36122917086771794</v>
      </c>
      <c r="BY711" s="465">
        <f t="shared" si="706"/>
        <v>0.38265476519004371</v>
      </c>
      <c r="BZ711" s="637"/>
      <c r="CA711" s="463"/>
      <c r="CB711" s="465"/>
      <c r="CC711" s="465"/>
      <c r="CD711" s="637"/>
      <c r="CE711" s="463"/>
      <c r="CF711" s="465">
        <f t="shared" ref="CF711:CG713" si="707">CF705*(CF$4/CF$3)/CF$703</f>
        <v>0.21052782524676283</v>
      </c>
      <c r="CG711" s="465">
        <f t="shared" si="707"/>
        <v>0.18744162010711049</v>
      </c>
      <c r="CH711" s="466"/>
      <c r="CI711" s="463"/>
      <c r="CJ711" s="465">
        <f t="shared" ref="CJ711:CK713" si="708">CJ705*(CJ$4/CJ$3)/CJ$703</f>
        <v>0.21756993750146819</v>
      </c>
      <c r="CK711" s="465">
        <f t="shared" si="708"/>
        <v>0.25897473212801064</v>
      </c>
      <c r="CL711" s="466"/>
      <c r="CM711" s="463"/>
      <c r="CN711" s="465">
        <f t="shared" ref="CN711:CO713" si="709">CN705*(CN$4/CN$3)/CN$703</f>
        <v>0.21689889325867684</v>
      </c>
      <c r="CO711" s="465">
        <f t="shared" si="709"/>
        <v>0.16351026025441809</v>
      </c>
      <c r="CP711" s="466"/>
      <c r="CQ711" s="463"/>
      <c r="CR711" s="465"/>
      <c r="CS711" s="638"/>
      <c r="CT711" s="466"/>
      <c r="CU711" s="463"/>
      <c r="CV711" s="638"/>
      <c r="CW711" s="638"/>
      <c r="CX711" s="466"/>
      <c r="CY711" s="463"/>
      <c r="CZ711" s="638"/>
      <c r="DA711" s="638"/>
      <c r="DB711" s="466"/>
      <c r="DC711" s="463"/>
      <c r="DD711" s="638"/>
      <c r="DE711" s="638"/>
      <c r="DF711" s="466"/>
      <c r="DG711" s="463"/>
      <c r="DH711" s="638"/>
      <c r="DI711" s="638"/>
      <c r="DJ711" s="466"/>
      <c r="DK711" s="463"/>
      <c r="DL711" s="638"/>
      <c r="DM711" s="638"/>
      <c r="DN711" s="466"/>
      <c r="DO711" s="463"/>
      <c r="DP711" s="638"/>
      <c r="DQ711" s="638"/>
      <c r="DR711" s="466"/>
      <c r="DS711" s="463"/>
      <c r="DT711" s="1"/>
      <c r="DU711" s="1"/>
      <c r="DV711" s="1"/>
      <c r="DW711" s="1"/>
      <c r="DX711" s="1"/>
      <c r="DY711" s="1"/>
      <c r="DZ711" s="1"/>
      <c r="EA711" s="1"/>
      <c r="EB711" s="1"/>
      <c r="EC711" s="1"/>
      <c r="ED711" s="1"/>
      <c r="EE711" s="1"/>
      <c r="EF711" s="1"/>
      <c r="EG711" s="1"/>
      <c r="EH711" s="1"/>
      <c r="EI711" s="1"/>
      <c r="EJ711" s="1"/>
      <c r="EK711" s="1"/>
      <c r="EL711" s="1"/>
      <c r="EM711" s="1"/>
      <c r="EN711" s="1"/>
      <c r="EO711" s="1"/>
      <c r="EP711" s="1"/>
      <c r="EQ711" s="1"/>
      <c r="ER711" s="1"/>
      <c r="ES711" s="1"/>
      <c r="ET711" s="1"/>
      <c r="EU711" s="1"/>
      <c r="EV711" s="1"/>
      <c r="EW711" s="1"/>
      <c r="EX711" s="1"/>
      <c r="EY711" s="1"/>
      <c r="EZ711" s="1"/>
      <c r="FA711" s="1"/>
      <c r="FB711" s="1"/>
      <c r="FC711" s="1"/>
      <c r="FD711" s="1"/>
      <c r="FE711" s="1"/>
      <c r="FF711" s="1"/>
      <c r="FG711" s="1"/>
      <c r="FH711" s="1"/>
      <c r="FI711" s="1"/>
      <c r="FJ711" s="1"/>
      <c r="FK711" s="1"/>
      <c r="FL711" s="1"/>
      <c r="FM711" s="1"/>
      <c r="FN711" s="1"/>
      <c r="FO711" s="1"/>
      <c r="FP711" s="1"/>
      <c r="FQ711" s="1"/>
      <c r="FR711" s="1"/>
      <c r="FS711" s="1"/>
      <c r="FT711" s="1"/>
      <c r="FU711" s="1"/>
      <c r="FV711" s="1"/>
      <c r="FW711" s="1"/>
      <c r="FX711" s="1"/>
      <c r="FY711" s="1"/>
      <c r="FZ711" s="1"/>
      <c r="GA711" s="1"/>
      <c r="GB711" s="1"/>
      <c r="GC711" s="1"/>
      <c r="GD711" s="1"/>
      <c r="GE711" s="1"/>
      <c r="GF711" s="1"/>
      <c r="GG711" s="1"/>
      <c r="GH711" s="1"/>
      <c r="GI711" s="1"/>
      <c r="GJ711" s="1"/>
      <c r="GK711" s="1"/>
      <c r="GL711" s="1"/>
      <c r="GM711" s="1"/>
      <c r="GN711" s="1"/>
      <c r="GO711" s="1"/>
      <c r="GP711" s="1"/>
      <c r="GQ711" s="1"/>
      <c r="GR711" s="1"/>
      <c r="GS711" s="1"/>
      <c r="GT711" s="1"/>
      <c r="GU711" s="1"/>
      <c r="GV711" s="1"/>
      <c r="GW711" s="1"/>
      <c r="GX711" s="1"/>
      <c r="GY711" s="1"/>
      <c r="GZ711" s="1"/>
      <c r="HA711" s="1"/>
      <c r="HB711" s="1"/>
      <c r="HC711" s="1"/>
      <c r="HD711" s="1"/>
      <c r="HE711" s="1"/>
      <c r="HF711" s="1"/>
      <c r="HG711" s="1"/>
      <c r="HH711" s="1"/>
      <c r="HI711" s="1"/>
      <c r="HJ711" s="1"/>
      <c r="HK711" s="1"/>
      <c r="HL711" s="1"/>
      <c r="HM711" s="1"/>
      <c r="HN711" s="1"/>
      <c r="HO711" s="1"/>
      <c r="HP711" s="1"/>
      <c r="HQ711" s="1"/>
      <c r="HR711" s="1"/>
      <c r="HS711" s="1"/>
      <c r="HT711" s="1"/>
      <c r="HU711" s="1"/>
      <c r="HV711" s="1"/>
      <c r="HW711" s="1"/>
      <c r="HX711" s="1"/>
      <c r="HY711" s="1"/>
      <c r="HZ711" s="1"/>
      <c r="IA711" s="1"/>
      <c r="IB711" s="1"/>
      <c r="IC711" s="1"/>
      <c r="ID711" s="1"/>
      <c r="IE711" s="1"/>
      <c r="IF711" s="1"/>
      <c r="IG711" s="1"/>
      <c r="IH711" s="1"/>
      <c r="II711" s="1"/>
      <c r="IJ711" s="1"/>
      <c r="IK711" s="1"/>
      <c r="IL711" s="1"/>
      <c r="IM711" s="1"/>
      <c r="IN711" s="1"/>
      <c r="IO711" s="1"/>
      <c r="IP711" s="1"/>
      <c r="IQ711" s="1"/>
      <c r="IR711" s="1"/>
      <c r="IS711" s="1"/>
      <c r="IT711" s="1"/>
      <c r="IU711" s="1"/>
      <c r="IV711" s="1"/>
      <c r="IW711" s="1"/>
      <c r="IX711" s="1"/>
      <c r="IY711" s="1"/>
      <c r="IZ711" s="1"/>
      <c r="JA711" s="1"/>
      <c r="JB711" s="1"/>
      <c r="JC711" s="1"/>
      <c r="JD711" s="1"/>
    </row>
    <row r="712" spans="1:264" s="347" customFormat="1" x14ac:dyDescent="0.2">
      <c r="A712" s="600" t="s">
        <v>527</v>
      </c>
      <c r="B712" s="558"/>
      <c r="C712" s="557"/>
      <c r="D712" s="557"/>
      <c r="E712" s="557"/>
      <c r="F712" s="557"/>
      <c r="G712" s="557"/>
      <c r="H712" s="557"/>
      <c r="I712" s="557"/>
      <c r="J712" s="557"/>
      <c r="K712" s="557"/>
      <c r="L712" s="557"/>
      <c r="M712" s="557"/>
      <c r="N712" s="557"/>
      <c r="O712" s="557"/>
      <c r="P712" s="557"/>
      <c r="Q712" s="557"/>
      <c r="R712" s="557"/>
      <c r="S712" s="557"/>
      <c r="T712" s="557"/>
      <c r="U712" s="557"/>
      <c r="V712" s="557"/>
      <c r="W712" s="557"/>
      <c r="X712" s="557"/>
      <c r="Y712" s="557"/>
      <c r="Z712" s="557"/>
      <c r="AA712" s="557"/>
      <c r="AB712" s="557"/>
      <c r="AC712" s="557"/>
      <c r="AD712" s="557"/>
      <c r="AE712" s="557"/>
      <c r="AF712" s="557"/>
      <c r="AG712" s="557"/>
      <c r="AH712" s="557"/>
      <c r="AI712" s="557"/>
      <c r="AJ712" s="557"/>
      <c r="AK712" s="557"/>
      <c r="AL712" s="557"/>
      <c r="AM712" s="557"/>
      <c r="AN712" s="557"/>
      <c r="AO712" s="557"/>
      <c r="AP712" s="557"/>
      <c r="AQ712" s="557"/>
      <c r="AR712" s="557"/>
      <c r="AS712" s="557"/>
      <c r="AT712" s="557"/>
      <c r="AU712" s="557"/>
      <c r="AV712" s="557"/>
      <c r="AW712" s="557"/>
      <c r="AX712" s="557"/>
      <c r="AY712" s="557"/>
      <c r="AZ712" s="557"/>
      <c r="BA712" s="557"/>
      <c r="BB712" s="557"/>
      <c r="BC712" s="557"/>
      <c r="BD712" s="557"/>
      <c r="BE712" s="557"/>
      <c r="BF712" s="557"/>
      <c r="BG712" s="557"/>
      <c r="BH712" s="559">
        <f t="shared" si="702"/>
        <v>-0.3247939037937746</v>
      </c>
      <c r="BI712" s="559">
        <f t="shared" si="702"/>
        <v>-0.36026460351380463</v>
      </c>
      <c r="BJ712" s="639"/>
      <c r="BK712" s="639"/>
      <c r="BL712" s="559">
        <f t="shared" si="703"/>
        <v>-0.35512902561239212</v>
      </c>
      <c r="BM712" s="559">
        <f t="shared" si="703"/>
        <v>-0.28551233218247957</v>
      </c>
      <c r="BN712" s="639"/>
      <c r="BO712" s="558"/>
      <c r="BP712" s="559">
        <f t="shared" si="704"/>
        <v>-0.33995076249860851</v>
      </c>
      <c r="BQ712" s="559">
        <f t="shared" si="704"/>
        <v>-0.34218181531246095</v>
      </c>
      <c r="BR712" s="639"/>
      <c r="BS712" s="557"/>
      <c r="BT712" s="559">
        <f t="shared" si="705"/>
        <v>-0.41758246558913714</v>
      </c>
      <c r="BU712" s="559">
        <f t="shared" si="705"/>
        <v>-0.35730929458104405</v>
      </c>
      <c r="BV712" s="639"/>
      <c r="BW712" s="557"/>
      <c r="BX712" s="559">
        <f t="shared" si="706"/>
        <v>-0.36525021971308358</v>
      </c>
      <c r="BY712" s="559">
        <f t="shared" si="706"/>
        <v>-0.32904958723871602</v>
      </c>
      <c r="BZ712" s="639"/>
      <c r="CA712" s="557"/>
      <c r="CB712" s="559"/>
      <c r="CC712" s="559"/>
      <c r="CD712" s="639"/>
      <c r="CE712" s="557"/>
      <c r="CF712" s="559">
        <f t="shared" si="707"/>
        <v>-0.20878537810331857</v>
      </c>
      <c r="CG712" s="559">
        <f t="shared" si="707"/>
        <v>-0.20628240150962934</v>
      </c>
      <c r="CH712" s="558"/>
      <c r="CI712" s="557"/>
      <c r="CJ712" s="559">
        <f t="shared" si="708"/>
        <v>-0.21022591256022488</v>
      </c>
      <c r="CK712" s="559">
        <f t="shared" si="708"/>
        <v>-0.31658574238145387</v>
      </c>
      <c r="CL712" s="558"/>
      <c r="CM712" s="557"/>
      <c r="CN712" s="559">
        <f t="shared" si="709"/>
        <v>-0.27761069548547207</v>
      </c>
      <c r="CO712" s="559">
        <f t="shared" si="709"/>
        <v>-0.20271219586355649</v>
      </c>
      <c r="CP712" s="558"/>
      <c r="CQ712" s="557"/>
      <c r="CR712" s="559"/>
      <c r="CS712" s="640"/>
      <c r="CT712" s="558"/>
      <c r="CU712" s="557"/>
      <c r="CV712" s="640"/>
      <c r="CW712" s="640"/>
      <c r="CX712" s="558"/>
      <c r="CY712" s="557"/>
      <c r="CZ712" s="640"/>
      <c r="DA712" s="640"/>
      <c r="DB712" s="558"/>
      <c r="DC712" s="557"/>
      <c r="DD712" s="640"/>
      <c r="DE712" s="640"/>
      <c r="DF712" s="558"/>
      <c r="DG712" s="557"/>
      <c r="DH712" s="640"/>
      <c r="DI712" s="640"/>
      <c r="DJ712" s="558"/>
      <c r="DK712" s="557"/>
      <c r="DL712" s="640"/>
      <c r="DM712" s="640"/>
      <c r="DN712" s="558"/>
      <c r="DO712" s="557"/>
      <c r="DP712" s="640"/>
      <c r="DQ712" s="640"/>
      <c r="DR712" s="558"/>
      <c r="DS712" s="557"/>
      <c r="DT712" s="1"/>
      <c r="DU712" s="1"/>
      <c r="DV712" s="1"/>
      <c r="DW712" s="1"/>
      <c r="DX712" s="1"/>
      <c r="DY712" s="1"/>
      <c r="DZ712" s="1"/>
      <c r="EA712" s="1"/>
      <c r="EB712" s="1"/>
      <c r="EC712" s="1"/>
      <c r="ED712" s="1"/>
      <c r="EE712" s="1"/>
      <c r="EF712" s="1"/>
      <c r="EG712" s="1"/>
      <c r="EH712" s="1"/>
      <c r="EI712" s="1"/>
      <c r="EJ712" s="1"/>
      <c r="EK712" s="1"/>
      <c r="EL712" s="1"/>
      <c r="EM712" s="1"/>
      <c r="EN712" s="1"/>
      <c r="EO712" s="1"/>
      <c r="EP712" s="1"/>
      <c r="EQ712" s="1"/>
      <c r="ER712" s="1"/>
      <c r="ES712" s="1"/>
      <c r="ET712" s="1"/>
      <c r="EU712" s="1"/>
      <c r="EV712" s="1"/>
      <c r="EW712" s="1"/>
      <c r="EX712" s="1"/>
      <c r="EY712" s="1"/>
      <c r="EZ712" s="1"/>
      <c r="FA712" s="1"/>
      <c r="FB712" s="1"/>
      <c r="FC712" s="1"/>
      <c r="FD712" s="1"/>
      <c r="FE712" s="1"/>
      <c r="FF712" s="1"/>
      <c r="FG712" s="1"/>
      <c r="FH712" s="1"/>
      <c r="FI712" s="1"/>
      <c r="FJ712" s="1"/>
      <c r="FK712" s="1"/>
      <c r="FL712" s="1"/>
      <c r="FM712" s="1"/>
      <c r="FN712" s="1"/>
      <c r="FO712" s="1"/>
      <c r="FP712" s="1"/>
      <c r="FQ712" s="1"/>
      <c r="FR712" s="1"/>
      <c r="FS712" s="1"/>
      <c r="FT712" s="1"/>
      <c r="FU712" s="1"/>
      <c r="FV712" s="1"/>
      <c r="FW712" s="1"/>
      <c r="FX712" s="1"/>
      <c r="FY712" s="1"/>
      <c r="FZ712" s="1"/>
      <c r="GA712" s="1"/>
      <c r="GB712" s="1"/>
      <c r="GC712" s="1"/>
      <c r="GD712" s="1"/>
      <c r="GE712" s="1"/>
      <c r="GF712" s="1"/>
      <c r="GG712" s="1"/>
      <c r="GH712" s="1"/>
      <c r="GI712" s="1"/>
      <c r="GJ712" s="1"/>
      <c r="GK712" s="1"/>
      <c r="GL712" s="1"/>
      <c r="GM712" s="1"/>
      <c r="GN712" s="1"/>
      <c r="GO712" s="1"/>
      <c r="GP712" s="1"/>
      <c r="GQ712" s="1"/>
      <c r="GR712" s="1"/>
      <c r="GS712" s="1"/>
      <c r="GT712" s="1"/>
      <c r="GU712" s="1"/>
      <c r="GV712" s="1"/>
      <c r="GW712" s="1"/>
      <c r="GX712" s="1"/>
      <c r="GY712" s="1"/>
      <c r="GZ712" s="1"/>
      <c r="HA712" s="1"/>
      <c r="HB712" s="1"/>
      <c r="HC712" s="1"/>
      <c r="HD712" s="1"/>
      <c r="HE712" s="1"/>
      <c r="HF712" s="1"/>
      <c r="HG712" s="1"/>
      <c r="HH712" s="1"/>
      <c r="HI712" s="1"/>
      <c r="HJ712" s="1"/>
      <c r="HK712" s="1"/>
      <c r="HL712" s="1"/>
      <c r="HM712" s="1"/>
      <c r="HN712" s="1"/>
      <c r="HO712" s="1"/>
      <c r="HP712" s="1"/>
      <c r="HQ712" s="1"/>
      <c r="HR712" s="1"/>
      <c r="HS712" s="1"/>
      <c r="HT712" s="1"/>
      <c r="HU712" s="1"/>
      <c r="HV712" s="1"/>
      <c r="HW712" s="1"/>
      <c r="HX712" s="1"/>
      <c r="HY712" s="1"/>
      <c r="HZ712" s="1"/>
      <c r="IA712" s="1"/>
      <c r="IB712" s="1"/>
      <c r="IC712" s="1"/>
      <c r="ID712" s="1"/>
      <c r="IE712" s="1"/>
      <c r="IF712" s="1"/>
      <c r="IG712" s="1"/>
      <c r="IH712" s="1"/>
      <c r="II712" s="1"/>
      <c r="IJ712" s="1"/>
      <c r="IK712" s="1"/>
      <c r="IL712" s="1"/>
      <c r="IM712" s="1"/>
      <c r="IN712" s="1"/>
      <c r="IO712" s="1"/>
      <c r="IP712" s="1"/>
      <c r="IQ712" s="1"/>
      <c r="IR712" s="1"/>
      <c r="IS712" s="1"/>
      <c r="IT712" s="1"/>
      <c r="IU712" s="1"/>
      <c r="IV712" s="1"/>
      <c r="IW712" s="1"/>
      <c r="IX712" s="1"/>
      <c r="IY712" s="1"/>
      <c r="IZ712" s="1"/>
      <c r="JA712" s="1"/>
      <c r="JB712" s="1"/>
      <c r="JC712" s="1"/>
      <c r="JD712" s="1"/>
    </row>
    <row r="713" spans="1:264" s="347" customFormat="1" x14ac:dyDescent="0.2">
      <c r="A713" s="600" t="s">
        <v>528</v>
      </c>
      <c r="B713" s="558"/>
      <c r="C713" s="557"/>
      <c r="D713" s="557"/>
      <c r="E713" s="557"/>
      <c r="F713" s="557"/>
      <c r="G713" s="557"/>
      <c r="H713" s="557"/>
      <c r="I713" s="557"/>
      <c r="J713" s="557"/>
      <c r="K713" s="557"/>
      <c r="L713" s="557"/>
      <c r="M713" s="557"/>
      <c r="N713" s="557"/>
      <c r="O713" s="557"/>
      <c r="P713" s="557"/>
      <c r="Q713" s="557"/>
      <c r="R713" s="557"/>
      <c r="S713" s="557"/>
      <c r="T713" s="557"/>
      <c r="U713" s="557"/>
      <c r="V713" s="557"/>
      <c r="W713" s="557"/>
      <c r="X713" s="557"/>
      <c r="Y713" s="557"/>
      <c r="Z713" s="557"/>
      <c r="AA713" s="557"/>
      <c r="AB713" s="557"/>
      <c r="AC713" s="557"/>
      <c r="AD713" s="557"/>
      <c r="AE713" s="557"/>
      <c r="AF713" s="557"/>
      <c r="AG713" s="557"/>
      <c r="AH713" s="557"/>
      <c r="AI713" s="557"/>
      <c r="AJ713" s="557"/>
      <c r="AK713" s="557"/>
      <c r="AL713" s="557"/>
      <c r="AM713" s="557"/>
      <c r="AN713" s="557"/>
      <c r="AO713" s="557"/>
      <c r="AP713" s="557"/>
      <c r="AQ713" s="557"/>
      <c r="AR713" s="557"/>
      <c r="AS713" s="557"/>
      <c r="AT713" s="557"/>
      <c r="AU713" s="557"/>
      <c r="AV713" s="557"/>
      <c r="AW713" s="557"/>
      <c r="AX713" s="557"/>
      <c r="AY713" s="557"/>
      <c r="AZ713" s="557"/>
      <c r="BA713" s="557"/>
      <c r="BB713" s="557"/>
      <c r="BC713" s="557"/>
      <c r="BD713" s="557"/>
      <c r="BE713" s="557"/>
      <c r="BF713" s="557"/>
      <c r="BG713" s="557"/>
      <c r="BH713" s="559">
        <f t="shared" si="702"/>
        <v>0.17045512464385648</v>
      </c>
      <c r="BI713" s="559">
        <f t="shared" si="702"/>
        <v>9.0747006447457729E-2</v>
      </c>
      <c r="BJ713" s="639"/>
      <c r="BK713" s="639"/>
      <c r="BL713" s="559">
        <f t="shared" si="703"/>
        <v>0.15778161155712489</v>
      </c>
      <c r="BM713" s="559">
        <f t="shared" si="703"/>
        <v>4.008834432775614E-2</v>
      </c>
      <c r="BN713" s="639"/>
      <c r="BO713" s="558"/>
      <c r="BP713" s="559">
        <f t="shared" si="704"/>
        <v>0.11985925134504347</v>
      </c>
      <c r="BQ713" s="559">
        <f t="shared" si="704"/>
        <v>8.7649580995976431E-2</v>
      </c>
      <c r="BR713" s="639"/>
      <c r="BS713" s="557"/>
      <c r="BT713" s="559">
        <f t="shared" si="705"/>
        <v>-4.9510163689572909E-3</v>
      </c>
      <c r="BU713" s="559">
        <f t="shared" si="705"/>
        <v>3.2352132606132497E-2</v>
      </c>
      <c r="BV713" s="639"/>
      <c r="BW713" s="557"/>
      <c r="BX713" s="559">
        <f t="shared" si="706"/>
        <v>5.4548467645255047E-2</v>
      </c>
      <c r="BY713" s="559">
        <f t="shared" si="706"/>
        <v>8.0935926664450805E-2</v>
      </c>
      <c r="BZ713" s="639"/>
      <c r="CA713" s="557"/>
      <c r="CB713" s="559"/>
      <c r="CC713" s="559"/>
      <c r="CD713" s="639"/>
      <c r="CE713" s="557"/>
      <c r="CF713" s="559">
        <f t="shared" si="707"/>
        <v>-8.3154939060986602E-2</v>
      </c>
      <c r="CG713" s="559">
        <f t="shared" si="707"/>
        <v>0.21126966717500198</v>
      </c>
      <c r="CH713" s="558"/>
      <c r="CI713" s="557"/>
      <c r="CJ713" s="559">
        <f t="shared" si="708"/>
        <v>6.3281441392664617E-2</v>
      </c>
      <c r="CK713" s="559">
        <f t="shared" si="708"/>
        <v>-0.23741432369404641</v>
      </c>
      <c r="CL713" s="558"/>
      <c r="CM713" s="557"/>
      <c r="CN713" s="559">
        <f t="shared" si="709"/>
        <v>0.16320160204613285</v>
      </c>
      <c r="CO713" s="559">
        <f t="shared" si="709"/>
        <v>0.15986024570631741</v>
      </c>
      <c r="CP713" s="558"/>
      <c r="CQ713" s="557"/>
      <c r="CR713" s="559"/>
      <c r="CS713" s="640"/>
      <c r="CT713" s="558"/>
      <c r="CU713" s="557"/>
      <c r="CV713" s="640"/>
      <c r="CW713" s="640"/>
      <c r="CX713" s="558"/>
      <c r="CY713" s="557"/>
      <c r="CZ713" s="640"/>
      <c r="DA713" s="640"/>
      <c r="DB713" s="558"/>
      <c r="DC713" s="557"/>
      <c r="DD713" s="640"/>
      <c r="DE713" s="640"/>
      <c r="DF713" s="558"/>
      <c r="DG713" s="557"/>
      <c r="DH713" s="640"/>
      <c r="DI713" s="640"/>
      <c r="DJ713" s="558"/>
      <c r="DK713" s="557"/>
      <c r="DL713" s="640"/>
      <c r="DM713" s="640"/>
      <c r="DN713" s="558"/>
      <c r="DO713" s="557"/>
      <c r="DP713" s="640"/>
      <c r="DQ713" s="640"/>
      <c r="DR713" s="558"/>
      <c r="DS713" s="557"/>
      <c r="DT713" s="1"/>
      <c r="DU713" s="1"/>
      <c r="DV713" s="1"/>
      <c r="DW713" s="1"/>
      <c r="DX713" s="1"/>
      <c r="DY713" s="1"/>
      <c r="DZ713" s="1"/>
      <c r="EA713" s="1"/>
      <c r="EB713" s="1"/>
      <c r="EC713" s="1"/>
      <c r="ED713" s="1"/>
      <c r="EE713" s="1"/>
      <c r="EF713" s="1"/>
      <c r="EG713" s="1"/>
      <c r="EH713" s="1"/>
      <c r="EI713" s="1"/>
      <c r="EJ713" s="1"/>
      <c r="EK713" s="1"/>
      <c r="EL713" s="1"/>
      <c r="EM713" s="1"/>
      <c r="EN713" s="1"/>
      <c r="EO713" s="1"/>
      <c r="EP713" s="1"/>
      <c r="EQ713" s="1"/>
      <c r="ER713" s="1"/>
      <c r="ES713" s="1"/>
      <c r="ET713" s="1"/>
      <c r="EU713" s="1"/>
      <c r="EV713" s="1"/>
      <c r="EW713" s="1"/>
      <c r="EX713" s="1"/>
      <c r="EY713" s="1"/>
      <c r="EZ713" s="1"/>
      <c r="FA713" s="1"/>
      <c r="FB713" s="1"/>
      <c r="FC713" s="1"/>
      <c r="FD713" s="1"/>
      <c r="FE713" s="1"/>
      <c r="FF713" s="1"/>
      <c r="FG713" s="1"/>
      <c r="FH713" s="1"/>
      <c r="FI713" s="1"/>
      <c r="FJ713" s="1"/>
      <c r="FK713" s="1"/>
      <c r="FL713" s="1"/>
      <c r="FM713" s="1"/>
      <c r="FN713" s="1"/>
      <c r="FO713" s="1"/>
      <c r="FP713" s="1"/>
      <c r="FQ713" s="1"/>
      <c r="FR713" s="1"/>
      <c r="FS713" s="1"/>
      <c r="FT713" s="1"/>
      <c r="FU713" s="1"/>
      <c r="FV713" s="1"/>
      <c r="FW713" s="1"/>
      <c r="FX713" s="1"/>
      <c r="FY713" s="1"/>
      <c r="FZ713" s="1"/>
      <c r="GA713" s="1"/>
      <c r="GB713" s="1"/>
      <c r="GC713" s="1"/>
      <c r="GD713" s="1"/>
      <c r="GE713" s="1"/>
      <c r="GF713" s="1"/>
      <c r="GG713" s="1"/>
      <c r="GH713" s="1"/>
      <c r="GI713" s="1"/>
      <c r="GJ713" s="1"/>
      <c r="GK713" s="1"/>
      <c r="GL713" s="1"/>
      <c r="GM713" s="1"/>
      <c r="GN713" s="1"/>
      <c r="GO713" s="1"/>
      <c r="GP713" s="1"/>
      <c r="GQ713" s="1"/>
      <c r="GR713" s="1"/>
      <c r="GS713" s="1"/>
      <c r="GT713" s="1"/>
      <c r="GU713" s="1"/>
      <c r="GV713" s="1"/>
      <c r="GW713" s="1"/>
      <c r="GX713" s="1"/>
      <c r="GY713" s="1"/>
      <c r="GZ713" s="1"/>
      <c r="HA713" s="1"/>
      <c r="HB713" s="1"/>
      <c r="HC713" s="1"/>
      <c r="HD713" s="1"/>
      <c r="HE713" s="1"/>
      <c r="HF713" s="1"/>
      <c r="HG713" s="1"/>
      <c r="HH713" s="1"/>
      <c r="HI713" s="1"/>
      <c r="HJ713" s="1"/>
      <c r="HK713" s="1"/>
      <c r="HL713" s="1"/>
      <c r="HM713" s="1"/>
      <c r="HN713" s="1"/>
      <c r="HO713" s="1"/>
      <c r="HP713" s="1"/>
      <c r="HQ713" s="1"/>
      <c r="HR713" s="1"/>
      <c r="HS713" s="1"/>
      <c r="HT713" s="1"/>
      <c r="HU713" s="1"/>
      <c r="HV713" s="1"/>
      <c r="HW713" s="1"/>
      <c r="HX713" s="1"/>
      <c r="HY713" s="1"/>
      <c r="HZ713" s="1"/>
      <c r="IA713" s="1"/>
      <c r="IB713" s="1"/>
      <c r="IC713" s="1"/>
      <c r="ID713" s="1"/>
      <c r="IE713" s="1"/>
      <c r="IF713" s="1"/>
      <c r="IG713" s="1"/>
      <c r="IH713" s="1"/>
      <c r="II713" s="1"/>
      <c r="IJ713" s="1"/>
      <c r="IK713" s="1"/>
      <c r="IL713" s="1"/>
      <c r="IM713" s="1"/>
      <c r="IN713" s="1"/>
      <c r="IO713" s="1"/>
      <c r="IP713" s="1"/>
      <c r="IQ713" s="1"/>
      <c r="IR713" s="1"/>
      <c r="IS713" s="1"/>
      <c r="IT713" s="1"/>
      <c r="IU713" s="1"/>
      <c r="IV713" s="1"/>
      <c r="IW713" s="1"/>
      <c r="IX713" s="1"/>
      <c r="IY713" s="1"/>
      <c r="IZ713" s="1"/>
      <c r="JA713" s="1"/>
      <c r="JB713" s="1"/>
      <c r="JC713" s="1"/>
      <c r="JD713" s="1"/>
    </row>
    <row r="714" spans="1:264" s="347" customFormat="1" x14ac:dyDescent="0.2">
      <c r="B714" s="348"/>
      <c r="BH714" s="348"/>
      <c r="BI714" s="348"/>
      <c r="BJ714" s="348"/>
      <c r="BK714" s="348"/>
      <c r="BL714" s="348"/>
      <c r="BM714" s="348"/>
      <c r="BN714" s="348"/>
      <c r="BO714" s="348"/>
      <c r="BP714" s="348"/>
      <c r="BQ714" s="348"/>
      <c r="BR714" s="348"/>
      <c r="BT714" s="348"/>
      <c r="BU714" s="348"/>
      <c r="BV714" s="348"/>
      <c r="BX714" s="348"/>
      <c r="CB714" s="348"/>
      <c r="CF714" s="348"/>
      <c r="CJ714" s="348"/>
      <c r="CN714" s="348"/>
      <c r="CR714" s="348"/>
      <c r="CV714" s="348"/>
      <c r="CZ714" s="348"/>
      <c r="DD714" s="348"/>
      <c r="DH714" s="348"/>
      <c r="DL714" s="348"/>
      <c r="DP714" s="348"/>
      <c r="DT714" s="1"/>
      <c r="DU714" s="1"/>
      <c r="DV714" s="1"/>
      <c r="DW714" s="1"/>
      <c r="DX714" s="1"/>
      <c r="DY714" s="1"/>
      <c r="DZ714" s="1"/>
      <c r="EA714" s="1"/>
      <c r="EB714" s="1"/>
      <c r="EC714" s="1"/>
      <c r="ED714" s="1"/>
      <c r="EE714" s="1"/>
      <c r="EF714" s="1"/>
      <c r="EG714" s="1"/>
      <c r="EH714" s="1"/>
      <c r="EI714" s="1"/>
      <c r="EJ714" s="1"/>
      <c r="EK714" s="1"/>
      <c r="EL714" s="1"/>
      <c r="EM714" s="1"/>
      <c r="EN714" s="1"/>
      <c r="EO714" s="1"/>
      <c r="EP714" s="1"/>
      <c r="EQ714" s="1"/>
      <c r="ER714" s="1"/>
      <c r="ES714" s="1"/>
      <c r="ET714" s="1"/>
      <c r="EU714" s="1"/>
      <c r="EV714" s="1"/>
      <c r="EW714" s="1"/>
      <c r="EX714" s="1"/>
      <c r="EY714" s="1"/>
      <c r="EZ714" s="1"/>
      <c r="FA714" s="1"/>
      <c r="FB714" s="1"/>
      <c r="FC714" s="1"/>
      <c r="FD714" s="1"/>
      <c r="FE714" s="1"/>
      <c r="FF714" s="1"/>
      <c r="FG714" s="1"/>
      <c r="FH714" s="1"/>
      <c r="FI714" s="1"/>
      <c r="FJ714" s="1"/>
      <c r="FK714" s="1"/>
      <c r="FL714" s="1"/>
      <c r="FM714" s="1"/>
      <c r="FN714" s="1"/>
      <c r="FO714" s="1"/>
      <c r="FP714" s="1"/>
      <c r="FQ714" s="1"/>
      <c r="FR714" s="1"/>
      <c r="FS714" s="1"/>
      <c r="FT714" s="1"/>
      <c r="FU714" s="1"/>
      <c r="FV714" s="1"/>
      <c r="FW714" s="1"/>
      <c r="FX714" s="1"/>
      <c r="FY714" s="1"/>
      <c r="FZ714" s="1"/>
      <c r="GA714" s="1"/>
      <c r="GB714" s="1"/>
      <c r="GC714" s="1"/>
      <c r="GD714" s="1"/>
      <c r="GE714" s="1"/>
      <c r="GF714" s="1"/>
      <c r="GG714" s="1"/>
      <c r="GH714" s="1"/>
      <c r="GI714" s="1"/>
      <c r="GJ714" s="1"/>
      <c r="GK714" s="1"/>
      <c r="GL714" s="1"/>
      <c r="GM714" s="1"/>
      <c r="GN714" s="1"/>
      <c r="GO714" s="1"/>
      <c r="GP714" s="1"/>
      <c r="GQ714" s="1"/>
      <c r="GR714" s="1"/>
      <c r="GS714" s="1"/>
      <c r="GT714" s="1"/>
      <c r="GU714" s="1"/>
      <c r="GV714" s="1"/>
      <c r="GW714" s="1"/>
      <c r="GX714" s="1"/>
      <c r="GY714" s="1"/>
      <c r="GZ714" s="1"/>
      <c r="HA714" s="1"/>
      <c r="HB714" s="1"/>
      <c r="HC714" s="1"/>
      <c r="HD714" s="1"/>
      <c r="HE714" s="1"/>
      <c r="HF714" s="1"/>
      <c r="HG714" s="1"/>
      <c r="HH714" s="1"/>
      <c r="HI714" s="1"/>
      <c r="HJ714" s="1"/>
      <c r="HK714" s="1"/>
      <c r="HL714" s="1"/>
      <c r="HM714" s="1"/>
      <c r="HN714" s="1"/>
      <c r="HO714" s="1"/>
      <c r="HP714" s="1"/>
      <c r="HQ714" s="1"/>
      <c r="HR714" s="1"/>
      <c r="HS714" s="1"/>
      <c r="HT714" s="1"/>
      <c r="HU714" s="1"/>
      <c r="HV714" s="1"/>
      <c r="HW714" s="1"/>
      <c r="HX714" s="1"/>
      <c r="HY714" s="1"/>
      <c r="HZ714" s="1"/>
      <c r="IA714" s="1"/>
      <c r="IB714" s="1"/>
      <c r="IC714" s="1"/>
      <c r="ID714" s="1"/>
      <c r="IE714" s="1"/>
      <c r="IF714" s="1"/>
      <c r="IG714" s="1"/>
      <c r="IH714" s="1"/>
      <c r="II714" s="1"/>
      <c r="IJ714" s="1"/>
      <c r="IK714" s="1"/>
      <c r="IL714" s="1"/>
      <c r="IM714" s="1"/>
      <c r="IN714" s="1"/>
      <c r="IO714" s="1"/>
      <c r="IP714" s="1"/>
      <c r="IQ714" s="1"/>
      <c r="IR714" s="1"/>
      <c r="IS714" s="1"/>
      <c r="IT714" s="1"/>
      <c r="IU714" s="1"/>
      <c r="IV714" s="1"/>
      <c r="IW714" s="1"/>
      <c r="IX714" s="1"/>
      <c r="IY714" s="1"/>
      <c r="IZ714" s="1"/>
      <c r="JA714" s="1"/>
      <c r="JB714" s="1"/>
      <c r="JC714" s="1"/>
      <c r="JD714" s="1"/>
    </row>
    <row r="715" spans="1:264" s="347" customFormat="1" x14ac:dyDescent="0.2">
      <c r="A715" s="347" t="s">
        <v>529</v>
      </c>
      <c r="B715" s="348"/>
      <c r="BH715" s="483">
        <f>BH684*(BH$4/BH$3)/BH717</f>
        <v>0.27286857560828692</v>
      </c>
      <c r="BI715" s="483">
        <f>BI684*(BI$4/BI$3)/BI717</f>
        <v>0.27611266753269792</v>
      </c>
      <c r="BJ715" s="483">
        <f>BJ684*(BJ$4/BJ$3)/BJ717</f>
        <v>0.2744624305387775</v>
      </c>
      <c r="BK715" s="348"/>
      <c r="BL715" s="483">
        <f>BL684*(BL$4/BL$3)/BL717</f>
        <v>0.26729382604776925</v>
      </c>
      <c r="BM715" s="483">
        <f>BM684*(BM$4/BM$3)/BM717</f>
        <v>0.27990865047230218</v>
      </c>
      <c r="BN715" s="483">
        <f>BN684*(BN$4/BN$3)/BN717</f>
        <v>0.27361419068736142</v>
      </c>
      <c r="BO715" s="348"/>
      <c r="BP715" s="483">
        <f>BP684*(BP$4/BP$3)/BP717</f>
        <v>0.25969917493278949</v>
      </c>
      <c r="BQ715" s="483">
        <f>BQ684*(BQ$4/BQ$3)/BQ717</f>
        <v>0.21047581277464764</v>
      </c>
      <c r="BR715" s="483">
        <f>BR684*(BR$4/BR$3)/BR717</f>
        <v>0.23485007339064792</v>
      </c>
      <c r="BT715" s="483">
        <f>BT684*(BT$4/BT$3)/BT717</f>
        <v>0.28991374757965149</v>
      </c>
      <c r="BU715" s="483">
        <f>BU684*(BU$4/BU$3)/BU717</f>
        <v>0.15650035448422545</v>
      </c>
      <c r="BV715" s="483">
        <f>BV684*(BV$4/BV$3)/BV717</f>
        <v>0.22343434343434343</v>
      </c>
      <c r="BX715" s="483">
        <f>BX684*(BX$4/BX$3)/BX717</f>
        <v>0.41843580163043481</v>
      </c>
      <c r="BY715" s="483">
        <f>BY684*(BY$4/BY$3)/BY717</f>
        <v>0.15710223464081344</v>
      </c>
      <c r="BZ715" s="483">
        <f>BZ684*(BZ$4/BZ$3)/BZ717</f>
        <v>0.28755641521598968</v>
      </c>
      <c r="CB715" s="483"/>
      <c r="CC715" s="483"/>
      <c r="CD715" s="483"/>
      <c r="CF715" s="483"/>
      <c r="CG715" s="489"/>
      <c r="CH715" s="483"/>
      <c r="CJ715" s="483"/>
      <c r="CK715" s="489"/>
      <c r="CL715" s="483"/>
      <c r="CN715" s="489"/>
      <c r="CO715" s="489"/>
      <c r="CP715" s="483"/>
      <c r="CR715" s="489"/>
      <c r="CS715" s="489"/>
      <c r="CT715" s="483"/>
      <c r="CV715" s="489"/>
      <c r="CW715" s="489"/>
      <c r="CX715" s="483"/>
      <c r="CZ715" s="489"/>
      <c r="DA715" s="489"/>
      <c r="DB715" s="483"/>
      <c r="DD715" s="489"/>
      <c r="DE715" s="489"/>
      <c r="DF715" s="483"/>
      <c r="DH715" s="489"/>
      <c r="DI715" s="489"/>
      <c r="DJ715" s="483"/>
      <c r="DL715" s="489"/>
      <c r="DM715" s="489"/>
      <c r="DN715" s="483"/>
      <c r="DP715" s="489"/>
      <c r="DQ715" s="489"/>
      <c r="DR715" s="483"/>
      <c r="DT715" s="1"/>
      <c r="DU715" s="1"/>
      <c r="DV715" s="1"/>
      <c r="DW715" s="1"/>
      <c r="DX715" s="1"/>
      <c r="DY715" s="1"/>
      <c r="DZ715" s="1"/>
      <c r="EA715" s="1"/>
      <c r="EB715" s="1"/>
      <c r="EC715" s="1"/>
      <c r="ED715" s="1"/>
      <c r="EE715" s="1"/>
      <c r="EF715" s="1"/>
      <c r="EG715" s="1"/>
      <c r="EH715" s="1"/>
      <c r="EI715" s="1"/>
      <c r="EJ715" s="1"/>
      <c r="EK715" s="1"/>
      <c r="EL715" s="1"/>
      <c r="EM715" s="1"/>
      <c r="EN715" s="1"/>
      <c r="EO715" s="1"/>
      <c r="EP715" s="1"/>
      <c r="EQ715" s="1"/>
      <c r="ER715" s="1"/>
      <c r="ES715" s="1"/>
      <c r="ET715" s="1"/>
      <c r="EU715" s="1"/>
      <c r="EV715" s="1"/>
      <c r="EW715" s="1"/>
      <c r="EX715" s="1"/>
      <c r="EY715" s="1"/>
      <c r="EZ715" s="1"/>
      <c r="FA715" s="1"/>
      <c r="FB715" s="1"/>
      <c r="FC715" s="1"/>
      <c r="FD715" s="1"/>
      <c r="FE715" s="1"/>
      <c r="FF715" s="1"/>
      <c r="FG715" s="1"/>
      <c r="FH715" s="1"/>
      <c r="FI715" s="1"/>
      <c r="FJ715" s="1"/>
      <c r="FK715" s="1"/>
      <c r="FL715" s="1"/>
      <c r="FM715" s="1"/>
      <c r="FN715" s="1"/>
      <c r="FO715" s="1"/>
      <c r="FP715" s="1"/>
      <c r="FQ715" s="1"/>
      <c r="FR715" s="1"/>
      <c r="FS715" s="1"/>
      <c r="FT715" s="1"/>
      <c r="FU715" s="1"/>
      <c r="FV715" s="1"/>
      <c r="FW715" s="1"/>
      <c r="FX715" s="1"/>
      <c r="FY715" s="1"/>
      <c r="FZ715" s="1"/>
      <c r="GA715" s="1"/>
      <c r="GB715" s="1"/>
      <c r="GC715" s="1"/>
      <c r="GD715" s="1"/>
      <c r="GE715" s="1"/>
      <c r="GF715" s="1"/>
      <c r="GG715" s="1"/>
      <c r="GH715" s="1"/>
      <c r="GI715" s="1"/>
      <c r="GJ715" s="1"/>
      <c r="GK715" s="1"/>
      <c r="GL715" s="1"/>
      <c r="GM715" s="1"/>
      <c r="GN715" s="1"/>
      <c r="GO715" s="1"/>
      <c r="GP715" s="1"/>
      <c r="GQ715" s="1"/>
      <c r="GR715" s="1"/>
      <c r="GS715" s="1"/>
      <c r="GT715" s="1"/>
      <c r="GU715" s="1"/>
      <c r="GV715" s="1"/>
      <c r="GW715" s="1"/>
      <c r="GX715" s="1"/>
      <c r="GY715" s="1"/>
      <c r="GZ715" s="1"/>
      <c r="HA715" s="1"/>
      <c r="HB715" s="1"/>
      <c r="HC715" s="1"/>
      <c r="HD715" s="1"/>
      <c r="HE715" s="1"/>
      <c r="HF715" s="1"/>
      <c r="HG715" s="1"/>
      <c r="HH715" s="1"/>
      <c r="HI715" s="1"/>
      <c r="HJ715" s="1"/>
      <c r="HK715" s="1"/>
      <c r="HL715" s="1"/>
      <c r="HM715" s="1"/>
      <c r="HN715" s="1"/>
      <c r="HO715" s="1"/>
      <c r="HP715" s="1"/>
      <c r="HQ715" s="1"/>
      <c r="HR715" s="1"/>
      <c r="HS715" s="1"/>
      <c r="HT715" s="1"/>
      <c r="HU715" s="1"/>
      <c r="HV715" s="1"/>
      <c r="HW715" s="1"/>
      <c r="HX715" s="1"/>
      <c r="HY715" s="1"/>
      <c r="HZ715" s="1"/>
      <c r="IA715" s="1"/>
      <c r="IB715" s="1"/>
      <c r="IC715" s="1"/>
      <c r="ID715" s="1"/>
      <c r="IE715" s="1"/>
      <c r="IF715" s="1"/>
      <c r="IG715" s="1"/>
      <c r="IH715" s="1"/>
      <c r="II715" s="1"/>
      <c r="IJ715" s="1"/>
      <c r="IK715" s="1"/>
      <c r="IL715" s="1"/>
      <c r="IM715" s="1"/>
      <c r="IN715" s="1"/>
      <c r="IO715" s="1"/>
      <c r="IP715" s="1"/>
      <c r="IQ715" s="1"/>
      <c r="IR715" s="1"/>
      <c r="IS715" s="1"/>
      <c r="IT715" s="1"/>
      <c r="IU715" s="1"/>
      <c r="IV715" s="1"/>
      <c r="IW715" s="1"/>
      <c r="IX715" s="1"/>
      <c r="IY715" s="1"/>
      <c r="IZ715" s="1"/>
      <c r="JA715" s="1"/>
      <c r="JB715" s="1"/>
      <c r="JC715" s="1"/>
      <c r="JD715" s="1"/>
    </row>
    <row r="716" spans="1:264" s="347" customFormat="1" x14ac:dyDescent="0.2">
      <c r="A716" s="600" t="s">
        <v>273</v>
      </c>
      <c r="B716" s="558"/>
      <c r="C716" s="557"/>
      <c r="D716" s="557"/>
      <c r="E716" s="557"/>
      <c r="F716" s="557"/>
      <c r="G716" s="557"/>
      <c r="H716" s="557"/>
      <c r="I716" s="557"/>
      <c r="J716" s="557"/>
      <c r="K716" s="557"/>
      <c r="L716" s="557"/>
      <c r="M716" s="557"/>
      <c r="N716" s="557"/>
      <c r="O716" s="557"/>
      <c r="P716" s="557"/>
      <c r="Q716" s="557"/>
      <c r="R716" s="557"/>
      <c r="S716" s="557"/>
      <c r="T716" s="557"/>
      <c r="U716" s="557"/>
      <c r="V716" s="557"/>
      <c r="W716" s="557"/>
      <c r="X716" s="557"/>
      <c r="Y716" s="557"/>
      <c r="Z716" s="557"/>
      <c r="AA716" s="557"/>
      <c r="AB716" s="557"/>
      <c r="AC716" s="557"/>
      <c r="AD716" s="557"/>
      <c r="AE716" s="557"/>
      <c r="AF716" s="557"/>
      <c r="AG716" s="557"/>
      <c r="AH716" s="557"/>
      <c r="AI716" s="557"/>
      <c r="AJ716" s="557"/>
      <c r="AK716" s="557"/>
      <c r="AL716" s="557"/>
      <c r="AM716" s="557"/>
      <c r="AN716" s="557"/>
      <c r="AO716" s="557"/>
      <c r="AP716" s="557"/>
      <c r="AQ716" s="557"/>
      <c r="AR716" s="557"/>
      <c r="AS716" s="557"/>
      <c r="AT716" s="557"/>
      <c r="AU716" s="557"/>
      <c r="AV716" s="557"/>
      <c r="AW716" s="557"/>
      <c r="AX716" s="557"/>
      <c r="AY716" s="557"/>
      <c r="AZ716" s="557"/>
      <c r="BA716" s="557"/>
      <c r="BB716" s="557"/>
      <c r="BC716" s="557"/>
      <c r="BD716" s="557"/>
      <c r="BE716" s="557"/>
      <c r="BF716" s="557"/>
      <c r="BG716" s="557"/>
      <c r="BH716" s="559"/>
      <c r="BI716" s="559">
        <f>+BI715-BH715</f>
        <v>3.2440919244109967E-3</v>
      </c>
      <c r="BJ716" s="639"/>
      <c r="BK716" s="639"/>
      <c r="BL716" s="559">
        <f>+BL715-BI715</f>
        <v>-8.8188414849286745E-3</v>
      </c>
      <c r="BM716" s="559">
        <f>+BM715-BL715</f>
        <v>1.2614824424532933E-2</v>
      </c>
      <c r="BN716" s="639"/>
      <c r="BO716" s="558"/>
      <c r="BP716" s="559">
        <f>+BP715-BM715</f>
        <v>-2.0209475539512689E-2</v>
      </c>
      <c r="BQ716" s="559">
        <f>+BQ715-BP715</f>
        <v>-4.9223362158141853E-2</v>
      </c>
      <c r="BR716" s="639"/>
      <c r="BS716" s="557"/>
      <c r="BT716" s="559">
        <f>+BT715-BQ715</f>
        <v>7.9437934805003857E-2</v>
      </c>
      <c r="BU716" s="559">
        <f>+BU715-BT715</f>
        <v>-0.13341339309542605</v>
      </c>
      <c r="BV716" s="639"/>
      <c r="BW716" s="557"/>
      <c r="BX716" s="559">
        <f>+BX715-BU715</f>
        <v>0.26193544714620937</v>
      </c>
      <c r="BY716" s="559">
        <f>+BY715-BX715</f>
        <v>-0.2613335669896214</v>
      </c>
      <c r="BZ716" s="639"/>
      <c r="CA716" s="557"/>
      <c r="CB716" s="559"/>
      <c r="CC716" s="559"/>
      <c r="CD716" s="639"/>
      <c r="CE716" s="557"/>
      <c r="CF716" s="559"/>
      <c r="CG716" s="640"/>
      <c r="CH716" s="558"/>
      <c r="CI716" s="557"/>
      <c r="CJ716" s="559"/>
      <c r="CK716" s="640"/>
      <c r="CL716" s="558"/>
      <c r="CM716" s="557"/>
      <c r="CN716" s="640"/>
      <c r="CO716" s="640"/>
      <c r="CP716" s="558"/>
      <c r="CQ716" s="557"/>
      <c r="CR716" s="640"/>
      <c r="CS716" s="640"/>
      <c r="CT716" s="558"/>
      <c r="CU716" s="557"/>
      <c r="CV716" s="640"/>
      <c r="CW716" s="640"/>
      <c r="CX716" s="558"/>
      <c r="CY716" s="557"/>
      <c r="CZ716" s="640"/>
      <c r="DA716" s="640"/>
      <c r="DB716" s="558"/>
      <c r="DC716" s="557"/>
      <c r="DD716" s="640"/>
      <c r="DE716" s="640"/>
      <c r="DF716" s="558"/>
      <c r="DG716" s="557"/>
      <c r="DH716" s="640"/>
      <c r="DI716" s="640"/>
      <c r="DJ716" s="558"/>
      <c r="DK716" s="557"/>
      <c r="DL716" s="640"/>
      <c r="DM716" s="640"/>
      <c r="DN716" s="558"/>
      <c r="DO716" s="557"/>
      <c r="DP716" s="640"/>
      <c r="DQ716" s="640"/>
      <c r="DR716" s="558"/>
      <c r="DS716" s="557"/>
      <c r="DT716" s="1"/>
      <c r="DU716" s="1"/>
      <c r="DV716" s="1"/>
      <c r="DW716" s="1"/>
      <c r="DX716" s="1"/>
      <c r="DY716" s="1"/>
      <c r="DZ716" s="1"/>
      <c r="EA716" s="1"/>
      <c r="EB716" s="1"/>
      <c r="EC716" s="1"/>
      <c r="ED716" s="1"/>
      <c r="EE716" s="1"/>
      <c r="EF716" s="1"/>
      <c r="EG716" s="1"/>
      <c r="EH716" s="1"/>
      <c r="EI716" s="1"/>
      <c r="EJ716" s="1"/>
      <c r="EK716" s="1"/>
      <c r="EL716" s="1"/>
      <c r="EM716" s="1"/>
      <c r="EN716" s="1"/>
      <c r="EO716" s="1"/>
      <c r="EP716" s="1"/>
      <c r="EQ716" s="1"/>
      <c r="ER716" s="1"/>
      <c r="ES716" s="1"/>
      <c r="ET716" s="1"/>
      <c r="EU716" s="1"/>
      <c r="EV716" s="1"/>
      <c r="EW716" s="1"/>
      <c r="EX716" s="1"/>
      <c r="EY716" s="1"/>
      <c r="EZ716" s="1"/>
      <c r="FA716" s="1"/>
      <c r="FB716" s="1"/>
      <c r="FC716" s="1"/>
      <c r="FD716" s="1"/>
      <c r="FE716" s="1"/>
      <c r="FF716" s="1"/>
      <c r="FG716" s="1"/>
      <c r="FH716" s="1"/>
      <c r="FI716" s="1"/>
      <c r="FJ716" s="1"/>
      <c r="FK716" s="1"/>
      <c r="FL716" s="1"/>
      <c r="FM716" s="1"/>
      <c r="FN716" s="1"/>
      <c r="FO716" s="1"/>
      <c r="FP716" s="1"/>
      <c r="FQ716" s="1"/>
      <c r="FR716" s="1"/>
      <c r="FS716" s="1"/>
      <c r="FT716" s="1"/>
      <c r="FU716" s="1"/>
      <c r="FV716" s="1"/>
      <c r="FW716" s="1"/>
      <c r="FX716" s="1"/>
      <c r="FY716" s="1"/>
      <c r="FZ716" s="1"/>
      <c r="GA716" s="1"/>
      <c r="GB716" s="1"/>
      <c r="GC716" s="1"/>
      <c r="GD716" s="1"/>
      <c r="GE716" s="1"/>
      <c r="GF716" s="1"/>
      <c r="GG716" s="1"/>
      <c r="GH716" s="1"/>
      <c r="GI716" s="1"/>
      <c r="GJ716" s="1"/>
      <c r="GK716" s="1"/>
      <c r="GL716" s="1"/>
      <c r="GM716" s="1"/>
      <c r="GN716" s="1"/>
      <c r="GO716" s="1"/>
      <c r="GP716" s="1"/>
      <c r="GQ716" s="1"/>
      <c r="GR716" s="1"/>
      <c r="GS716" s="1"/>
      <c r="GT716" s="1"/>
      <c r="GU716" s="1"/>
      <c r="GV716" s="1"/>
      <c r="GW716" s="1"/>
      <c r="GX716" s="1"/>
      <c r="GY716" s="1"/>
      <c r="GZ716" s="1"/>
      <c r="HA716" s="1"/>
      <c r="HB716" s="1"/>
      <c r="HC716" s="1"/>
      <c r="HD716" s="1"/>
      <c r="HE716" s="1"/>
      <c r="HF716" s="1"/>
      <c r="HG716" s="1"/>
      <c r="HH716" s="1"/>
      <c r="HI716" s="1"/>
      <c r="HJ716" s="1"/>
      <c r="HK716" s="1"/>
      <c r="HL716" s="1"/>
      <c r="HM716" s="1"/>
      <c r="HN716" s="1"/>
      <c r="HO716" s="1"/>
      <c r="HP716" s="1"/>
      <c r="HQ716" s="1"/>
      <c r="HR716" s="1"/>
      <c r="HS716" s="1"/>
      <c r="HT716" s="1"/>
      <c r="HU716" s="1"/>
      <c r="HV716" s="1"/>
      <c r="HW716" s="1"/>
      <c r="HX716" s="1"/>
      <c r="HY716" s="1"/>
      <c r="HZ716" s="1"/>
      <c r="IA716" s="1"/>
      <c r="IB716" s="1"/>
      <c r="IC716" s="1"/>
      <c r="ID716" s="1"/>
      <c r="IE716" s="1"/>
      <c r="IF716" s="1"/>
      <c r="IG716" s="1"/>
      <c r="IH716" s="1"/>
      <c r="II716" s="1"/>
      <c r="IJ716" s="1"/>
      <c r="IK716" s="1"/>
      <c r="IL716" s="1"/>
      <c r="IM716" s="1"/>
      <c r="IN716" s="1"/>
      <c r="IO716" s="1"/>
      <c r="IP716" s="1"/>
      <c r="IQ716" s="1"/>
      <c r="IR716" s="1"/>
      <c r="IS716" s="1"/>
      <c r="IT716" s="1"/>
      <c r="IU716" s="1"/>
      <c r="IV716" s="1"/>
      <c r="IW716" s="1"/>
      <c r="IX716" s="1"/>
      <c r="IY716" s="1"/>
      <c r="IZ716" s="1"/>
      <c r="JA716" s="1"/>
      <c r="JB716" s="1"/>
      <c r="JC716" s="1"/>
      <c r="JD716" s="1"/>
    </row>
    <row r="717" spans="1:264" s="411" customFormat="1" x14ac:dyDescent="0.2">
      <c r="A717" s="411" t="s">
        <v>530</v>
      </c>
      <c r="B717" s="423"/>
      <c r="BH717" s="396">
        <v>2021</v>
      </c>
      <c r="BI717" s="396">
        <v>2118</v>
      </c>
      <c r="BJ717" s="397">
        <f>AVERAGE(BH717:BI717)</f>
        <v>2069.5</v>
      </c>
      <c r="BK717" s="396"/>
      <c r="BL717" s="396">
        <v>2219</v>
      </c>
      <c r="BM717" s="396">
        <v>2291</v>
      </c>
      <c r="BN717" s="397">
        <f>AVERAGE(BL717:BM717)</f>
        <v>2255</v>
      </c>
      <c r="BO717" s="423"/>
      <c r="BP717" s="396">
        <v>2345</v>
      </c>
      <c r="BQ717" s="396">
        <v>2424</v>
      </c>
      <c r="BR717" s="397">
        <f>AVERAGE(BP717:BQ717)</f>
        <v>2384.5</v>
      </c>
      <c r="BT717" s="396">
        <v>2470</v>
      </c>
      <c r="BU717" s="396">
        <v>2480</v>
      </c>
      <c r="BV717" s="397">
        <f>AVERAGE(BT717:BU717)</f>
        <v>2475</v>
      </c>
      <c r="BX717" s="396">
        <v>768</v>
      </c>
      <c r="BY717" s="396">
        <v>783</v>
      </c>
      <c r="BZ717" s="397">
        <f>AVERAGE(BX717:BY717)</f>
        <v>775.5</v>
      </c>
      <c r="CB717" s="396"/>
      <c r="CC717" s="396"/>
      <c r="CD717" s="397"/>
      <c r="CF717" s="396"/>
      <c r="CG717" s="397"/>
      <c r="CH717" s="397"/>
      <c r="CJ717" s="396"/>
      <c r="CK717" s="397"/>
      <c r="CL717" s="397"/>
      <c r="CN717" s="397"/>
      <c r="CO717" s="397"/>
      <c r="CP717" s="397"/>
      <c r="CR717" s="397"/>
      <c r="CS717" s="397"/>
      <c r="CT717" s="397"/>
      <c r="CV717" s="397"/>
      <c r="CW717" s="397"/>
      <c r="CX717" s="397"/>
      <c r="CZ717" s="397"/>
      <c r="DA717" s="397"/>
      <c r="DB717" s="397"/>
      <c r="DD717" s="397"/>
      <c r="DE717" s="397"/>
      <c r="DF717" s="397"/>
      <c r="DH717" s="397"/>
      <c r="DI717" s="397"/>
      <c r="DJ717" s="397"/>
      <c r="DL717" s="397"/>
      <c r="DM717" s="397"/>
      <c r="DN717" s="397"/>
      <c r="DP717" s="397"/>
      <c r="DQ717" s="397"/>
      <c r="DR717" s="397"/>
      <c r="DT717" s="1"/>
      <c r="DU717" s="1"/>
      <c r="DV717" s="1"/>
      <c r="DW717" s="1"/>
      <c r="DX717" s="1"/>
      <c r="DY717" s="1"/>
      <c r="DZ717" s="1"/>
      <c r="EA717" s="1"/>
      <c r="EB717" s="1"/>
      <c r="EC717" s="1"/>
      <c r="ED717" s="1"/>
      <c r="EE717" s="1"/>
      <c r="EF717" s="1"/>
      <c r="EG717" s="1"/>
      <c r="EH717" s="1"/>
      <c r="EI717" s="1"/>
      <c r="EJ717" s="1"/>
      <c r="EK717" s="1"/>
      <c r="EL717" s="1"/>
      <c r="EM717" s="1"/>
      <c r="EN717" s="1"/>
      <c r="EO717" s="1"/>
      <c r="EP717" s="1"/>
      <c r="EQ717" s="1"/>
      <c r="ER717" s="1"/>
      <c r="ES717" s="1"/>
      <c r="ET717" s="1"/>
      <c r="EU717" s="1"/>
      <c r="EV717" s="1"/>
      <c r="EW717" s="1"/>
      <c r="EX717" s="1"/>
      <c r="EY717" s="1"/>
      <c r="EZ717" s="1"/>
      <c r="FA717" s="1"/>
      <c r="FB717" s="1"/>
      <c r="FC717" s="1"/>
      <c r="FD717" s="1"/>
      <c r="FE717" s="1"/>
      <c r="FF717" s="1"/>
      <c r="FG717" s="1"/>
      <c r="FH717" s="1"/>
      <c r="FI717" s="1"/>
      <c r="FJ717" s="1"/>
      <c r="FK717" s="1"/>
      <c r="FL717" s="1"/>
      <c r="FM717" s="1"/>
      <c r="FN717" s="1"/>
      <c r="FO717" s="1"/>
      <c r="FP717" s="1"/>
      <c r="FQ717" s="1"/>
      <c r="FR717" s="1"/>
      <c r="FS717" s="1"/>
      <c r="FT717" s="1"/>
      <c r="FU717" s="1"/>
      <c r="FV717" s="1"/>
      <c r="FW717" s="1"/>
      <c r="FX717" s="1"/>
      <c r="FY717" s="1"/>
      <c r="FZ717" s="1"/>
      <c r="GA717" s="1"/>
      <c r="GB717" s="1"/>
      <c r="GC717" s="1"/>
      <c r="GD717" s="1"/>
      <c r="GE717" s="1"/>
      <c r="GF717" s="1"/>
      <c r="GG717" s="1"/>
      <c r="GH717" s="1"/>
      <c r="GI717" s="1"/>
      <c r="GJ717" s="1"/>
      <c r="GK717" s="1"/>
      <c r="GL717" s="1"/>
      <c r="GM717" s="1"/>
      <c r="GN717" s="1"/>
      <c r="GO717" s="1"/>
      <c r="GP717" s="1"/>
      <c r="GQ717" s="1"/>
      <c r="GR717" s="1"/>
      <c r="GS717" s="1"/>
      <c r="GT717" s="1"/>
      <c r="GU717" s="1"/>
      <c r="GV717" s="1"/>
      <c r="GW717" s="1"/>
      <c r="GX717" s="1"/>
      <c r="GY717" s="1"/>
      <c r="GZ717" s="1"/>
      <c r="HA717" s="1"/>
      <c r="HB717" s="1"/>
      <c r="HC717" s="1"/>
      <c r="HD717" s="1"/>
      <c r="HE717" s="1"/>
      <c r="HF717" s="1"/>
      <c r="HG717" s="1"/>
      <c r="HH717" s="1"/>
      <c r="HI717" s="1"/>
      <c r="HJ717" s="1"/>
      <c r="HK717" s="1"/>
      <c r="HL717" s="1"/>
      <c r="HM717" s="1"/>
      <c r="HN717" s="1"/>
      <c r="HO717" s="1"/>
      <c r="HP717" s="1"/>
      <c r="HQ717" s="1"/>
      <c r="HR717" s="1"/>
      <c r="HS717" s="1"/>
      <c r="HT717" s="1"/>
      <c r="HU717" s="1"/>
      <c r="HV717" s="1"/>
      <c r="HW717" s="1"/>
      <c r="HX717" s="1"/>
      <c r="HY717" s="1"/>
      <c r="HZ717" s="1"/>
      <c r="IA717" s="1"/>
      <c r="IB717" s="1"/>
      <c r="IC717" s="1"/>
      <c r="ID717" s="1"/>
      <c r="IE717" s="1"/>
      <c r="IF717" s="1"/>
      <c r="IG717" s="1"/>
      <c r="IH717" s="1"/>
      <c r="II717" s="1"/>
      <c r="IJ717" s="1"/>
      <c r="IK717" s="1"/>
      <c r="IL717" s="1"/>
      <c r="IM717" s="1"/>
      <c r="IN717" s="1"/>
      <c r="IO717" s="1"/>
      <c r="IP717" s="1"/>
      <c r="IQ717" s="1"/>
      <c r="IR717" s="1"/>
      <c r="IS717" s="1"/>
      <c r="IT717" s="1"/>
      <c r="IU717" s="1"/>
      <c r="IV717" s="1"/>
      <c r="IW717" s="1"/>
      <c r="IX717" s="1"/>
      <c r="IY717" s="1"/>
      <c r="IZ717" s="1"/>
      <c r="JA717" s="1"/>
      <c r="JB717" s="1"/>
      <c r="JC717" s="1"/>
      <c r="JD717" s="1"/>
    </row>
    <row r="718" spans="1:264" s="347" customFormat="1" x14ac:dyDescent="0.2">
      <c r="B718" s="348"/>
      <c r="BH718" s="348"/>
      <c r="BI718" s="348"/>
      <c r="BJ718" s="348"/>
      <c r="BK718" s="348"/>
      <c r="BL718" s="348"/>
      <c r="BM718" s="348"/>
      <c r="BN718" s="348"/>
      <c r="BO718" s="348"/>
      <c r="BP718" s="348"/>
      <c r="BQ718" s="348"/>
      <c r="BR718" s="348"/>
      <c r="BT718" s="348"/>
      <c r="BU718" s="348"/>
      <c r="BV718" s="348"/>
      <c r="BX718" s="348"/>
      <c r="CF718" s="348"/>
      <c r="CJ718" s="348"/>
      <c r="CN718" s="348"/>
      <c r="CR718" s="348"/>
      <c r="CV718" s="348"/>
      <c r="CZ718" s="348"/>
      <c r="DD718" s="348"/>
      <c r="DH718" s="348"/>
      <c r="DL718" s="348"/>
      <c r="DP718" s="348"/>
      <c r="DT718" s="1"/>
      <c r="DU718" s="1"/>
      <c r="DV718" s="1"/>
      <c r="DW718" s="1"/>
      <c r="DX718" s="1"/>
      <c r="DY718" s="1"/>
      <c r="DZ718" s="1"/>
      <c r="EA718" s="1"/>
      <c r="EB718" s="1"/>
      <c r="EC718" s="1"/>
      <c r="ED718" s="1"/>
      <c r="EE718" s="1"/>
      <c r="EF718" s="1"/>
      <c r="EG718" s="1"/>
      <c r="EH718" s="1"/>
      <c r="EI718" s="1"/>
      <c r="EJ718" s="1"/>
      <c r="EK718" s="1"/>
      <c r="EL718" s="1"/>
      <c r="EM718" s="1"/>
      <c r="EN718" s="1"/>
      <c r="EO718" s="1"/>
      <c r="EP718" s="1"/>
      <c r="EQ718" s="1"/>
      <c r="ER718" s="1"/>
      <c r="ES718" s="1"/>
      <c r="ET718" s="1"/>
      <c r="EU718" s="1"/>
      <c r="EV718" s="1"/>
      <c r="EW718" s="1"/>
      <c r="EX718" s="1"/>
      <c r="EY718" s="1"/>
      <c r="EZ718" s="1"/>
      <c r="FA718" s="1"/>
      <c r="FB718" s="1"/>
      <c r="FC718" s="1"/>
      <c r="FD718" s="1"/>
      <c r="FE718" s="1"/>
      <c r="FF718" s="1"/>
      <c r="FG718" s="1"/>
      <c r="FH718" s="1"/>
      <c r="FI718" s="1"/>
      <c r="FJ718" s="1"/>
      <c r="FK718" s="1"/>
      <c r="FL718" s="1"/>
      <c r="FM718" s="1"/>
      <c r="FN718" s="1"/>
      <c r="FO718" s="1"/>
      <c r="FP718" s="1"/>
      <c r="FQ718" s="1"/>
      <c r="FR718" s="1"/>
      <c r="FS718" s="1"/>
      <c r="FT718" s="1"/>
      <c r="FU718" s="1"/>
      <c r="FV718" s="1"/>
      <c r="FW718" s="1"/>
      <c r="FX718" s="1"/>
      <c r="FY718" s="1"/>
      <c r="FZ718" s="1"/>
      <c r="GA718" s="1"/>
      <c r="GB718" s="1"/>
      <c r="GC718" s="1"/>
      <c r="GD718" s="1"/>
      <c r="GE718" s="1"/>
      <c r="GF718" s="1"/>
      <c r="GG718" s="1"/>
      <c r="GH718" s="1"/>
      <c r="GI718" s="1"/>
      <c r="GJ718" s="1"/>
      <c r="GK718" s="1"/>
      <c r="GL718" s="1"/>
      <c r="GM718" s="1"/>
      <c r="GN718" s="1"/>
      <c r="GO718" s="1"/>
      <c r="GP718" s="1"/>
      <c r="GQ718" s="1"/>
      <c r="GR718" s="1"/>
      <c r="GS718" s="1"/>
      <c r="GT718" s="1"/>
      <c r="GU718" s="1"/>
      <c r="GV718" s="1"/>
      <c r="GW718" s="1"/>
      <c r="GX718" s="1"/>
      <c r="GY718" s="1"/>
      <c r="GZ718" s="1"/>
      <c r="HA718" s="1"/>
      <c r="HB718" s="1"/>
      <c r="HC718" s="1"/>
      <c r="HD718" s="1"/>
      <c r="HE718" s="1"/>
      <c r="HF718" s="1"/>
      <c r="HG718" s="1"/>
      <c r="HH718" s="1"/>
      <c r="HI718" s="1"/>
      <c r="HJ718" s="1"/>
      <c r="HK718" s="1"/>
      <c r="HL718" s="1"/>
      <c r="HM718" s="1"/>
      <c r="HN718" s="1"/>
      <c r="HO718" s="1"/>
      <c r="HP718" s="1"/>
      <c r="HQ718" s="1"/>
      <c r="HR718" s="1"/>
      <c r="HS718" s="1"/>
      <c r="HT718" s="1"/>
      <c r="HU718" s="1"/>
      <c r="HV718" s="1"/>
      <c r="HW718" s="1"/>
      <c r="HX718" s="1"/>
      <c r="HY718" s="1"/>
      <c r="HZ718" s="1"/>
      <c r="IA718" s="1"/>
      <c r="IB718" s="1"/>
      <c r="IC718" s="1"/>
      <c r="ID718" s="1"/>
      <c r="IE718" s="1"/>
      <c r="IF718" s="1"/>
      <c r="IG718" s="1"/>
      <c r="IH718" s="1"/>
      <c r="II718" s="1"/>
      <c r="IJ718" s="1"/>
      <c r="IK718" s="1"/>
      <c r="IL718" s="1"/>
      <c r="IM718" s="1"/>
      <c r="IN718" s="1"/>
      <c r="IO718" s="1"/>
      <c r="IP718" s="1"/>
      <c r="IQ718" s="1"/>
      <c r="IR718" s="1"/>
      <c r="IS718" s="1"/>
      <c r="IT718" s="1"/>
      <c r="IU718" s="1"/>
      <c r="IV718" s="1"/>
      <c r="IW718" s="1"/>
      <c r="IX718" s="1"/>
      <c r="IY718" s="1"/>
      <c r="IZ718" s="1"/>
      <c r="JA718" s="1"/>
      <c r="JB718" s="1"/>
      <c r="JC718" s="1"/>
      <c r="JD718" s="1"/>
    </row>
    <row r="719" spans="1:264" s="347" customFormat="1" x14ac:dyDescent="0.2">
      <c r="A719" s="411" t="s">
        <v>531</v>
      </c>
      <c r="B719" s="348"/>
      <c r="BH719" s="348"/>
      <c r="BI719" s="348"/>
      <c r="BJ719" s="348"/>
      <c r="BK719" s="348"/>
      <c r="BL719" s="348"/>
      <c r="BM719" s="348"/>
      <c r="BN719" s="348"/>
      <c r="BO719" s="348"/>
      <c r="BP719" s="348"/>
      <c r="BQ719" s="348"/>
      <c r="BR719" s="348"/>
      <c r="BT719" s="348"/>
      <c r="BU719" s="348"/>
      <c r="BV719" s="348"/>
      <c r="BX719" s="348"/>
      <c r="CB719" s="348"/>
      <c r="CF719" s="348"/>
      <c r="CJ719" s="348"/>
      <c r="CN719" s="348"/>
      <c r="CR719" s="348"/>
      <c r="CV719" s="348"/>
      <c r="CZ719" s="348"/>
      <c r="DD719" s="348"/>
      <c r="DH719" s="348"/>
      <c r="DL719" s="348"/>
      <c r="DP719" s="348"/>
      <c r="DT719" s="1"/>
      <c r="DU719" s="1"/>
      <c r="DV719" s="1"/>
      <c r="DW719" s="1"/>
      <c r="DX719" s="1"/>
      <c r="DY719" s="1"/>
      <c r="DZ719" s="1"/>
      <c r="EA719" s="1"/>
      <c r="EB719" s="1"/>
      <c r="EC719" s="1"/>
      <c r="ED719" s="1"/>
      <c r="EE719" s="1"/>
      <c r="EF719" s="1"/>
      <c r="EG719" s="1"/>
      <c r="EH719" s="1"/>
      <c r="EI719" s="1"/>
      <c r="EJ719" s="1"/>
      <c r="EK719" s="1"/>
      <c r="EL719" s="1"/>
      <c r="EM719" s="1"/>
      <c r="EN719" s="1"/>
      <c r="EO719" s="1"/>
      <c r="EP719" s="1"/>
      <c r="EQ719" s="1"/>
      <c r="ER719" s="1"/>
      <c r="ES719" s="1"/>
      <c r="ET719" s="1"/>
      <c r="EU719" s="1"/>
      <c r="EV719" s="1"/>
      <c r="EW719" s="1"/>
      <c r="EX719" s="1"/>
      <c r="EY719" s="1"/>
      <c r="EZ719" s="1"/>
      <c r="FA719" s="1"/>
      <c r="FB719" s="1"/>
      <c r="FC719" s="1"/>
      <c r="FD719" s="1"/>
      <c r="FE719" s="1"/>
      <c r="FF719" s="1"/>
      <c r="FG719" s="1"/>
      <c r="FH719" s="1"/>
      <c r="FI719" s="1"/>
      <c r="FJ719" s="1"/>
      <c r="FK719" s="1"/>
      <c r="FL719" s="1"/>
      <c r="FM719" s="1"/>
      <c r="FN719" s="1"/>
      <c r="FO719" s="1"/>
      <c r="FP719" s="1"/>
      <c r="FQ719" s="1"/>
      <c r="FR719" s="1"/>
      <c r="FS719" s="1"/>
      <c r="FT719" s="1"/>
      <c r="FU719" s="1"/>
      <c r="FV719" s="1"/>
      <c r="FW719" s="1"/>
      <c r="FX719" s="1"/>
      <c r="FY719" s="1"/>
      <c r="FZ719" s="1"/>
      <c r="GA719" s="1"/>
      <c r="GB719" s="1"/>
      <c r="GC719" s="1"/>
      <c r="GD719" s="1"/>
      <c r="GE719" s="1"/>
      <c r="GF719" s="1"/>
      <c r="GG719" s="1"/>
      <c r="GH719" s="1"/>
      <c r="GI719" s="1"/>
      <c r="GJ719" s="1"/>
      <c r="GK719" s="1"/>
      <c r="GL719" s="1"/>
      <c r="GM719" s="1"/>
      <c r="GN719" s="1"/>
      <c r="GO719" s="1"/>
      <c r="GP719" s="1"/>
      <c r="GQ719" s="1"/>
      <c r="GR719" s="1"/>
      <c r="GS719" s="1"/>
      <c r="GT719" s="1"/>
      <c r="GU719" s="1"/>
      <c r="GV719" s="1"/>
      <c r="GW719" s="1"/>
      <c r="GX719" s="1"/>
      <c r="GY719" s="1"/>
      <c r="GZ719" s="1"/>
      <c r="HA719" s="1"/>
      <c r="HB719" s="1"/>
      <c r="HC719" s="1"/>
      <c r="HD719" s="1"/>
      <c r="HE719" s="1"/>
      <c r="HF719" s="1"/>
      <c r="HG719" s="1"/>
      <c r="HH719" s="1"/>
      <c r="HI719" s="1"/>
      <c r="HJ719" s="1"/>
      <c r="HK719" s="1"/>
      <c r="HL719" s="1"/>
      <c r="HM719" s="1"/>
      <c r="HN719" s="1"/>
      <c r="HO719" s="1"/>
      <c r="HP719" s="1"/>
      <c r="HQ719" s="1"/>
      <c r="HR719" s="1"/>
      <c r="HS719" s="1"/>
      <c r="HT719" s="1"/>
      <c r="HU719" s="1"/>
      <c r="HV719" s="1"/>
      <c r="HW719" s="1"/>
      <c r="HX719" s="1"/>
      <c r="HY719" s="1"/>
      <c r="HZ719" s="1"/>
      <c r="IA719" s="1"/>
      <c r="IB719" s="1"/>
      <c r="IC719" s="1"/>
      <c r="ID719" s="1"/>
      <c r="IE719" s="1"/>
      <c r="IF719" s="1"/>
      <c r="IG719" s="1"/>
      <c r="IH719" s="1"/>
      <c r="II719" s="1"/>
      <c r="IJ719" s="1"/>
      <c r="IK719" s="1"/>
      <c r="IL719" s="1"/>
      <c r="IM719" s="1"/>
      <c r="IN719" s="1"/>
      <c r="IO719" s="1"/>
      <c r="IP719" s="1"/>
      <c r="IQ719" s="1"/>
      <c r="IR719" s="1"/>
      <c r="IS719" s="1"/>
      <c r="IT719" s="1"/>
      <c r="IU719" s="1"/>
      <c r="IV719" s="1"/>
      <c r="IW719" s="1"/>
      <c r="IX719" s="1"/>
      <c r="IY719" s="1"/>
      <c r="IZ719" s="1"/>
      <c r="JA719" s="1"/>
      <c r="JB719" s="1"/>
      <c r="JC719" s="1"/>
      <c r="JD719" s="1"/>
    </row>
    <row r="720" spans="1:264" s="347" customFormat="1" x14ac:dyDescent="0.2">
      <c r="A720" s="347" t="s">
        <v>532</v>
      </c>
      <c r="B720" s="348"/>
      <c r="BH720" s="398">
        <f>815+651</f>
        <v>1466</v>
      </c>
      <c r="BI720" s="351">
        <f>BH724</f>
        <v>1515</v>
      </c>
      <c r="BJ720" s="351">
        <f>BH720</f>
        <v>1466</v>
      </c>
      <c r="BK720" s="348"/>
      <c r="BL720" s="351">
        <f>BI724</f>
        <v>1567</v>
      </c>
      <c r="BM720" s="351">
        <f>BL724</f>
        <v>1623</v>
      </c>
      <c r="BN720" s="351">
        <f>BL720</f>
        <v>1567</v>
      </c>
      <c r="BO720" s="348"/>
      <c r="BP720" s="351">
        <f>BM724</f>
        <v>1652</v>
      </c>
      <c r="BQ720" s="351">
        <f>BP724</f>
        <v>1699</v>
      </c>
      <c r="BR720" s="351">
        <f>BP720</f>
        <v>1652</v>
      </c>
      <c r="BT720" s="351">
        <f>BQ724</f>
        <v>1774</v>
      </c>
      <c r="BU720" s="351">
        <f>BT724</f>
        <v>1766</v>
      </c>
      <c r="BV720" s="351">
        <f>BT720</f>
        <v>1774</v>
      </c>
      <c r="BX720" s="351">
        <f>BU724</f>
        <v>1773</v>
      </c>
      <c r="BY720" s="351">
        <f>BX724</f>
        <v>1752</v>
      </c>
      <c r="BZ720" s="351">
        <f>BX720</f>
        <v>1773</v>
      </c>
      <c r="CB720" s="351"/>
      <c r="CC720" s="351"/>
      <c r="CD720" s="351"/>
      <c r="CF720" s="351"/>
      <c r="CG720" s="351"/>
      <c r="CH720" s="351"/>
      <c r="CJ720" s="351"/>
      <c r="CK720" s="351"/>
      <c r="CL720" s="351"/>
      <c r="CN720" s="351"/>
      <c r="CO720" s="351"/>
      <c r="CP720" s="351"/>
      <c r="CR720" s="351"/>
      <c r="CS720" s="351"/>
      <c r="CT720" s="351"/>
      <c r="CV720" s="351"/>
      <c r="CW720" s="351"/>
      <c r="CX720" s="351"/>
      <c r="CZ720" s="351"/>
      <c r="DA720" s="351"/>
      <c r="DB720" s="351"/>
      <c r="DD720" s="351"/>
      <c r="DE720" s="351"/>
      <c r="DF720" s="351"/>
      <c r="DH720" s="351"/>
      <c r="DI720" s="351"/>
      <c r="DJ720" s="351"/>
      <c r="DL720" s="351"/>
      <c r="DM720" s="351"/>
      <c r="DN720" s="351"/>
      <c r="DP720" s="351"/>
      <c r="DQ720" s="351"/>
      <c r="DR720" s="351"/>
      <c r="DT720" s="1"/>
      <c r="DU720" s="1"/>
      <c r="DV720" s="1"/>
      <c r="DW720" s="1"/>
      <c r="DX720" s="1"/>
      <c r="DY720" s="1"/>
      <c r="DZ720" s="1"/>
      <c r="EA720" s="1"/>
      <c r="EB720" s="1"/>
      <c r="EC720" s="1"/>
      <c r="ED720" s="1"/>
      <c r="EE720" s="1"/>
      <c r="EF720" s="1"/>
      <c r="EG720" s="1"/>
      <c r="EH720" s="1"/>
      <c r="EI720" s="1"/>
      <c r="EJ720" s="1"/>
      <c r="EK720" s="1"/>
      <c r="EL720" s="1"/>
      <c r="EM720" s="1"/>
      <c r="EN720" s="1"/>
      <c r="EO720" s="1"/>
      <c r="EP720" s="1"/>
      <c r="EQ720" s="1"/>
      <c r="ER720" s="1"/>
      <c r="ES720" s="1"/>
      <c r="ET720" s="1"/>
      <c r="EU720" s="1"/>
      <c r="EV720" s="1"/>
      <c r="EW720" s="1"/>
      <c r="EX720" s="1"/>
      <c r="EY720" s="1"/>
      <c r="EZ720" s="1"/>
      <c r="FA720" s="1"/>
      <c r="FB720" s="1"/>
      <c r="FC720" s="1"/>
      <c r="FD720" s="1"/>
      <c r="FE720" s="1"/>
      <c r="FF720" s="1"/>
      <c r="FG720" s="1"/>
      <c r="FH720" s="1"/>
      <c r="FI720" s="1"/>
      <c r="FJ720" s="1"/>
      <c r="FK720" s="1"/>
      <c r="FL720" s="1"/>
      <c r="FM720" s="1"/>
      <c r="FN720" s="1"/>
      <c r="FO720" s="1"/>
      <c r="FP720" s="1"/>
      <c r="FQ720" s="1"/>
      <c r="FR720" s="1"/>
      <c r="FS720" s="1"/>
      <c r="FT720" s="1"/>
      <c r="FU720" s="1"/>
      <c r="FV720" s="1"/>
      <c r="FW720" s="1"/>
      <c r="FX720" s="1"/>
      <c r="FY720" s="1"/>
      <c r="FZ720" s="1"/>
      <c r="GA720" s="1"/>
      <c r="GB720" s="1"/>
      <c r="GC720" s="1"/>
      <c r="GD720" s="1"/>
      <c r="GE720" s="1"/>
      <c r="GF720" s="1"/>
      <c r="GG720" s="1"/>
      <c r="GH720" s="1"/>
      <c r="GI720" s="1"/>
      <c r="GJ720" s="1"/>
      <c r="GK720" s="1"/>
      <c r="GL720" s="1"/>
      <c r="GM720" s="1"/>
      <c r="GN720" s="1"/>
      <c r="GO720" s="1"/>
      <c r="GP720" s="1"/>
      <c r="GQ720" s="1"/>
      <c r="GR720" s="1"/>
      <c r="GS720" s="1"/>
      <c r="GT720" s="1"/>
      <c r="GU720" s="1"/>
      <c r="GV720" s="1"/>
      <c r="GW720" s="1"/>
      <c r="GX720" s="1"/>
      <c r="GY720" s="1"/>
      <c r="GZ720" s="1"/>
      <c r="HA720" s="1"/>
      <c r="HB720" s="1"/>
      <c r="HC720" s="1"/>
      <c r="HD720" s="1"/>
      <c r="HE720" s="1"/>
      <c r="HF720" s="1"/>
      <c r="HG720" s="1"/>
      <c r="HH720" s="1"/>
      <c r="HI720" s="1"/>
      <c r="HJ720" s="1"/>
      <c r="HK720" s="1"/>
      <c r="HL720" s="1"/>
      <c r="HM720" s="1"/>
      <c r="HN720" s="1"/>
      <c r="HO720" s="1"/>
      <c r="HP720" s="1"/>
      <c r="HQ720" s="1"/>
      <c r="HR720" s="1"/>
      <c r="HS720" s="1"/>
      <c r="HT720" s="1"/>
      <c r="HU720" s="1"/>
      <c r="HV720" s="1"/>
      <c r="HW720" s="1"/>
      <c r="HX720" s="1"/>
      <c r="HY720" s="1"/>
      <c r="HZ720" s="1"/>
      <c r="IA720" s="1"/>
      <c r="IB720" s="1"/>
      <c r="IC720" s="1"/>
      <c r="ID720" s="1"/>
      <c r="IE720" s="1"/>
      <c r="IF720" s="1"/>
      <c r="IG720" s="1"/>
      <c r="IH720" s="1"/>
      <c r="II720" s="1"/>
      <c r="IJ720" s="1"/>
      <c r="IK720" s="1"/>
      <c r="IL720" s="1"/>
      <c r="IM720" s="1"/>
      <c r="IN720" s="1"/>
      <c r="IO720" s="1"/>
      <c r="IP720" s="1"/>
      <c r="IQ720" s="1"/>
      <c r="IR720" s="1"/>
      <c r="IS720" s="1"/>
      <c r="IT720" s="1"/>
      <c r="IU720" s="1"/>
      <c r="IV720" s="1"/>
      <c r="IW720" s="1"/>
      <c r="IX720" s="1"/>
      <c r="IY720" s="1"/>
      <c r="IZ720" s="1"/>
      <c r="JA720" s="1"/>
      <c r="JB720" s="1"/>
      <c r="JC720" s="1"/>
      <c r="JD720" s="1"/>
    </row>
    <row r="721" spans="1:264" s="347" customFormat="1" x14ac:dyDescent="0.2">
      <c r="A721" s="347" t="s">
        <v>533</v>
      </c>
      <c r="B721" s="348"/>
      <c r="BH721" s="398">
        <f>133+71</f>
        <v>204</v>
      </c>
      <c r="BI721" s="398">
        <f>107+91</f>
        <v>198</v>
      </c>
      <c r="BJ721" s="351">
        <f>+BH721+BI721</f>
        <v>402</v>
      </c>
      <c r="BK721" s="348"/>
      <c r="BL721" s="398">
        <f>103+84</f>
        <v>187</v>
      </c>
      <c r="BM721" s="398">
        <f>92+53</f>
        <v>145</v>
      </c>
      <c r="BN721" s="351">
        <f>+BL721+BM721</f>
        <v>332</v>
      </c>
      <c r="BO721" s="348"/>
      <c r="BP721" s="398">
        <f>82+103</f>
        <v>185</v>
      </c>
      <c r="BQ721" s="398">
        <f>76+136</f>
        <v>212</v>
      </c>
      <c r="BR721" s="351">
        <f>+BP721+BQ721</f>
        <v>397</v>
      </c>
      <c r="BT721" s="398">
        <v>118</v>
      </c>
      <c r="BU721" s="398">
        <f>242-BT721</f>
        <v>124</v>
      </c>
      <c r="BV721" s="351">
        <f>+BT721+BU721</f>
        <v>242</v>
      </c>
      <c r="BX721" s="398">
        <v>126</v>
      </c>
      <c r="BY721" s="398">
        <f>226-BX721</f>
        <v>100</v>
      </c>
      <c r="BZ721" s="351">
        <f>+BX721+BY721</f>
        <v>226</v>
      </c>
      <c r="CB721" s="398"/>
      <c r="CC721" s="398"/>
      <c r="CD721" s="351"/>
      <c r="CF721" s="398"/>
      <c r="CG721" s="351"/>
      <c r="CH721" s="351"/>
      <c r="CJ721" s="398"/>
      <c r="CK721" s="351"/>
      <c r="CL721" s="351"/>
      <c r="CN721" s="351"/>
      <c r="CO721" s="351"/>
      <c r="CP721" s="351"/>
      <c r="CR721" s="351"/>
      <c r="CS721" s="351"/>
      <c r="CT721" s="351"/>
      <c r="CV721" s="351"/>
      <c r="CW721" s="351"/>
      <c r="CX721" s="351"/>
      <c r="CZ721" s="351"/>
      <c r="DA721" s="351"/>
      <c r="DB721" s="351"/>
      <c r="DD721" s="351"/>
      <c r="DE721" s="351"/>
      <c r="DF721" s="351"/>
      <c r="DH721" s="351"/>
      <c r="DI721" s="351"/>
      <c r="DJ721" s="351"/>
      <c r="DL721" s="351"/>
      <c r="DM721" s="351"/>
      <c r="DN721" s="351"/>
      <c r="DP721" s="351"/>
      <c r="DQ721" s="351"/>
      <c r="DR721" s="351"/>
      <c r="DT721" s="1"/>
      <c r="DU721" s="1"/>
      <c r="DV721" s="1"/>
      <c r="DW721" s="1"/>
      <c r="DX721" s="1"/>
      <c r="DY721" s="1"/>
      <c r="DZ721" s="1"/>
      <c r="EA721" s="1"/>
      <c r="EB721" s="1"/>
      <c r="EC721" s="1"/>
      <c r="ED721" s="1"/>
      <c r="EE721" s="1"/>
      <c r="EF721" s="1"/>
      <c r="EG721" s="1"/>
      <c r="EH721" s="1"/>
      <c r="EI721" s="1"/>
      <c r="EJ721" s="1"/>
      <c r="EK721" s="1"/>
      <c r="EL721" s="1"/>
      <c r="EM721" s="1"/>
      <c r="EN721" s="1"/>
      <c r="EO721" s="1"/>
      <c r="EP721" s="1"/>
      <c r="EQ721" s="1"/>
      <c r="ER721" s="1"/>
      <c r="ES721" s="1"/>
      <c r="ET721" s="1"/>
      <c r="EU721" s="1"/>
      <c r="EV721" s="1"/>
      <c r="EW721" s="1"/>
      <c r="EX721" s="1"/>
      <c r="EY721" s="1"/>
      <c r="EZ721" s="1"/>
      <c r="FA721" s="1"/>
      <c r="FB721" s="1"/>
      <c r="FC721" s="1"/>
      <c r="FD721" s="1"/>
      <c r="FE721" s="1"/>
      <c r="FF721" s="1"/>
      <c r="FG721" s="1"/>
      <c r="FH721" s="1"/>
      <c r="FI721" s="1"/>
      <c r="FJ721" s="1"/>
      <c r="FK721" s="1"/>
      <c r="FL721" s="1"/>
      <c r="FM721" s="1"/>
      <c r="FN721" s="1"/>
      <c r="FO721" s="1"/>
      <c r="FP721" s="1"/>
      <c r="FQ721" s="1"/>
      <c r="FR721" s="1"/>
      <c r="FS721" s="1"/>
      <c r="FT721" s="1"/>
      <c r="FU721" s="1"/>
      <c r="FV721" s="1"/>
      <c r="FW721" s="1"/>
      <c r="FX721" s="1"/>
      <c r="FY721" s="1"/>
      <c r="FZ721" s="1"/>
      <c r="GA721" s="1"/>
      <c r="GB721" s="1"/>
      <c r="GC721" s="1"/>
      <c r="GD721" s="1"/>
      <c r="GE721" s="1"/>
      <c r="GF721" s="1"/>
      <c r="GG721" s="1"/>
      <c r="GH721" s="1"/>
      <c r="GI721" s="1"/>
      <c r="GJ721" s="1"/>
      <c r="GK721" s="1"/>
      <c r="GL721" s="1"/>
      <c r="GM721" s="1"/>
      <c r="GN721" s="1"/>
      <c r="GO721" s="1"/>
      <c r="GP721" s="1"/>
      <c r="GQ721" s="1"/>
      <c r="GR721" s="1"/>
      <c r="GS721" s="1"/>
      <c r="GT721" s="1"/>
      <c r="GU721" s="1"/>
      <c r="GV721" s="1"/>
      <c r="GW721" s="1"/>
      <c r="GX721" s="1"/>
      <c r="GY721" s="1"/>
      <c r="GZ721" s="1"/>
      <c r="HA721" s="1"/>
      <c r="HB721" s="1"/>
      <c r="HC721" s="1"/>
      <c r="HD721" s="1"/>
      <c r="HE721" s="1"/>
      <c r="HF721" s="1"/>
      <c r="HG721" s="1"/>
      <c r="HH721" s="1"/>
      <c r="HI721" s="1"/>
      <c r="HJ721" s="1"/>
      <c r="HK721" s="1"/>
      <c r="HL721" s="1"/>
      <c r="HM721" s="1"/>
      <c r="HN721" s="1"/>
      <c r="HO721" s="1"/>
      <c r="HP721" s="1"/>
      <c r="HQ721" s="1"/>
      <c r="HR721" s="1"/>
      <c r="HS721" s="1"/>
      <c r="HT721" s="1"/>
      <c r="HU721" s="1"/>
      <c r="HV721" s="1"/>
      <c r="HW721" s="1"/>
      <c r="HX721" s="1"/>
      <c r="HY721" s="1"/>
      <c r="HZ721" s="1"/>
      <c r="IA721" s="1"/>
      <c r="IB721" s="1"/>
      <c r="IC721" s="1"/>
      <c r="ID721" s="1"/>
      <c r="IE721" s="1"/>
      <c r="IF721" s="1"/>
      <c r="IG721" s="1"/>
      <c r="IH721" s="1"/>
      <c r="II721" s="1"/>
      <c r="IJ721" s="1"/>
      <c r="IK721" s="1"/>
      <c r="IL721" s="1"/>
      <c r="IM721" s="1"/>
      <c r="IN721" s="1"/>
      <c r="IO721" s="1"/>
      <c r="IP721" s="1"/>
      <c r="IQ721" s="1"/>
      <c r="IR721" s="1"/>
      <c r="IS721" s="1"/>
      <c r="IT721" s="1"/>
      <c r="IU721" s="1"/>
      <c r="IV721" s="1"/>
      <c r="IW721" s="1"/>
      <c r="IX721" s="1"/>
      <c r="IY721" s="1"/>
      <c r="IZ721" s="1"/>
      <c r="JA721" s="1"/>
      <c r="JB721" s="1"/>
      <c r="JC721" s="1"/>
      <c r="JD721" s="1"/>
    </row>
    <row r="722" spans="1:264" s="347" customFormat="1" x14ac:dyDescent="0.2">
      <c r="A722" s="347" t="s">
        <v>534</v>
      </c>
      <c r="B722" s="348"/>
      <c r="BH722" s="398">
        <f>-92-63</f>
        <v>-155</v>
      </c>
      <c r="BI722" s="398">
        <f>-88-58</f>
        <v>-146</v>
      </c>
      <c r="BJ722" s="351">
        <f>+BH722+BI722</f>
        <v>-301</v>
      </c>
      <c r="BK722" s="348"/>
      <c r="BL722" s="398">
        <f>-91-40</f>
        <v>-131</v>
      </c>
      <c r="BM722" s="398">
        <f>-84-32</f>
        <v>-116</v>
      </c>
      <c r="BN722" s="351">
        <f>+BL722+BM722</f>
        <v>-247</v>
      </c>
      <c r="BO722" s="348"/>
      <c r="BP722" s="398">
        <f>-86-52</f>
        <v>-138</v>
      </c>
      <c r="BQ722" s="398">
        <f>-79-58</f>
        <v>-137</v>
      </c>
      <c r="BR722" s="351">
        <f>+BP722+BQ722</f>
        <v>-275</v>
      </c>
      <c r="BT722" s="398">
        <v>-126</v>
      </c>
      <c r="BU722" s="398">
        <f>-243-BT722</f>
        <v>-117</v>
      </c>
      <c r="BV722" s="351">
        <f>+BT722+BU722</f>
        <v>-243</v>
      </c>
      <c r="BX722" s="398">
        <v>-147</v>
      </c>
      <c r="BY722" s="398">
        <f>-430-BX722</f>
        <v>-283</v>
      </c>
      <c r="BZ722" s="351">
        <f>+BX722+BY722</f>
        <v>-430</v>
      </c>
      <c r="CB722" s="398"/>
      <c r="CC722" s="398"/>
      <c r="CD722" s="351"/>
      <c r="CF722" s="398"/>
      <c r="CG722" s="351"/>
      <c r="CH722" s="351"/>
      <c r="CJ722" s="398"/>
      <c r="CK722" s="351"/>
      <c r="CL722" s="351"/>
      <c r="CN722" s="351"/>
      <c r="CO722" s="351"/>
      <c r="CP722" s="351"/>
      <c r="CR722" s="351"/>
      <c r="CS722" s="351"/>
      <c r="CT722" s="351"/>
      <c r="CV722" s="351"/>
      <c r="CW722" s="351"/>
      <c r="CX722" s="351"/>
      <c r="CZ722" s="351"/>
      <c r="DA722" s="351"/>
      <c r="DB722" s="351"/>
      <c r="DD722" s="351"/>
      <c r="DE722" s="351"/>
      <c r="DF722" s="351"/>
      <c r="DH722" s="351"/>
      <c r="DI722" s="351"/>
      <c r="DJ722" s="351"/>
      <c r="DL722" s="351"/>
      <c r="DM722" s="351"/>
      <c r="DN722" s="351"/>
      <c r="DP722" s="351"/>
      <c r="DQ722" s="351"/>
      <c r="DR722" s="351"/>
      <c r="DT722" s="1"/>
      <c r="DU722" s="1"/>
      <c r="DV722" s="1"/>
      <c r="DW722" s="1"/>
      <c r="DX722" s="1"/>
      <c r="DY722" s="1"/>
      <c r="DZ722" s="1"/>
      <c r="EA722" s="1"/>
      <c r="EB722" s="1"/>
      <c r="EC722" s="1"/>
      <c r="ED722" s="1"/>
      <c r="EE722" s="1"/>
      <c r="EF722" s="1"/>
      <c r="EG722" s="1"/>
      <c r="EH722" s="1"/>
      <c r="EI722" s="1"/>
      <c r="EJ722" s="1"/>
      <c r="EK722" s="1"/>
      <c r="EL722" s="1"/>
      <c r="EM722" s="1"/>
      <c r="EN722" s="1"/>
      <c r="EO722" s="1"/>
      <c r="EP722" s="1"/>
      <c r="EQ722" s="1"/>
      <c r="ER722" s="1"/>
      <c r="ES722" s="1"/>
      <c r="ET722" s="1"/>
      <c r="EU722" s="1"/>
      <c r="EV722" s="1"/>
      <c r="EW722" s="1"/>
      <c r="EX722" s="1"/>
      <c r="EY722" s="1"/>
      <c r="EZ722" s="1"/>
      <c r="FA722" s="1"/>
      <c r="FB722" s="1"/>
      <c r="FC722" s="1"/>
      <c r="FD722" s="1"/>
      <c r="FE722" s="1"/>
      <c r="FF722" s="1"/>
      <c r="FG722" s="1"/>
      <c r="FH722" s="1"/>
      <c r="FI722" s="1"/>
      <c r="FJ722" s="1"/>
      <c r="FK722" s="1"/>
      <c r="FL722" s="1"/>
      <c r="FM722" s="1"/>
      <c r="FN722" s="1"/>
      <c r="FO722" s="1"/>
      <c r="FP722" s="1"/>
      <c r="FQ722" s="1"/>
      <c r="FR722" s="1"/>
      <c r="FS722" s="1"/>
      <c r="FT722" s="1"/>
      <c r="FU722" s="1"/>
      <c r="FV722" s="1"/>
      <c r="FW722" s="1"/>
      <c r="FX722" s="1"/>
      <c r="FY722" s="1"/>
      <c r="FZ722" s="1"/>
      <c r="GA722" s="1"/>
      <c r="GB722" s="1"/>
      <c r="GC722" s="1"/>
      <c r="GD722" s="1"/>
      <c r="GE722" s="1"/>
      <c r="GF722" s="1"/>
      <c r="GG722" s="1"/>
      <c r="GH722" s="1"/>
      <c r="GI722" s="1"/>
      <c r="GJ722" s="1"/>
      <c r="GK722" s="1"/>
      <c r="GL722" s="1"/>
      <c r="GM722" s="1"/>
      <c r="GN722" s="1"/>
      <c r="GO722" s="1"/>
      <c r="GP722" s="1"/>
      <c r="GQ722" s="1"/>
      <c r="GR722" s="1"/>
      <c r="GS722" s="1"/>
      <c r="GT722" s="1"/>
      <c r="GU722" s="1"/>
      <c r="GV722" s="1"/>
      <c r="GW722" s="1"/>
      <c r="GX722" s="1"/>
      <c r="GY722" s="1"/>
      <c r="GZ722" s="1"/>
      <c r="HA722" s="1"/>
      <c r="HB722" s="1"/>
      <c r="HC722" s="1"/>
      <c r="HD722" s="1"/>
      <c r="HE722" s="1"/>
      <c r="HF722" s="1"/>
      <c r="HG722" s="1"/>
      <c r="HH722" s="1"/>
      <c r="HI722" s="1"/>
      <c r="HJ722" s="1"/>
      <c r="HK722" s="1"/>
      <c r="HL722" s="1"/>
      <c r="HM722" s="1"/>
      <c r="HN722" s="1"/>
      <c r="HO722" s="1"/>
      <c r="HP722" s="1"/>
      <c r="HQ722" s="1"/>
      <c r="HR722" s="1"/>
      <c r="HS722" s="1"/>
      <c r="HT722" s="1"/>
      <c r="HU722" s="1"/>
      <c r="HV722" s="1"/>
      <c r="HW722" s="1"/>
      <c r="HX722" s="1"/>
      <c r="HY722" s="1"/>
      <c r="HZ722" s="1"/>
      <c r="IA722" s="1"/>
      <c r="IB722" s="1"/>
      <c r="IC722" s="1"/>
      <c r="ID722" s="1"/>
      <c r="IE722" s="1"/>
      <c r="IF722" s="1"/>
      <c r="IG722" s="1"/>
      <c r="IH722" s="1"/>
      <c r="II722" s="1"/>
      <c r="IJ722" s="1"/>
      <c r="IK722" s="1"/>
      <c r="IL722" s="1"/>
      <c r="IM722" s="1"/>
      <c r="IN722" s="1"/>
      <c r="IO722" s="1"/>
      <c r="IP722" s="1"/>
      <c r="IQ722" s="1"/>
      <c r="IR722" s="1"/>
      <c r="IS722" s="1"/>
      <c r="IT722" s="1"/>
      <c r="IU722" s="1"/>
      <c r="IV722" s="1"/>
      <c r="IW722" s="1"/>
      <c r="IX722" s="1"/>
      <c r="IY722" s="1"/>
      <c r="IZ722" s="1"/>
      <c r="JA722" s="1"/>
      <c r="JB722" s="1"/>
      <c r="JC722" s="1"/>
      <c r="JD722" s="1"/>
    </row>
    <row r="723" spans="1:264" s="347" customFormat="1" x14ac:dyDescent="0.2">
      <c r="A723" s="347" t="s">
        <v>535</v>
      </c>
      <c r="B723" s="348"/>
      <c r="BH723" s="398"/>
      <c r="BI723" s="398"/>
      <c r="BJ723" s="351"/>
      <c r="BK723" s="348"/>
      <c r="BL723" s="398"/>
      <c r="BM723" s="398"/>
      <c r="BN723" s="351"/>
      <c r="BO723" s="348"/>
      <c r="BP723" s="398"/>
      <c r="BQ723" s="398"/>
      <c r="BR723" s="351"/>
      <c r="BT723" s="398"/>
      <c r="BU723" s="398"/>
      <c r="BV723" s="351"/>
      <c r="BX723" s="398"/>
      <c r="BY723" s="398"/>
      <c r="BZ723" s="351"/>
      <c r="CB723" s="398"/>
      <c r="CC723" s="398"/>
      <c r="CD723" s="351"/>
      <c r="CF723" s="398"/>
      <c r="CG723" s="351"/>
      <c r="CH723" s="351"/>
      <c r="CJ723" s="398"/>
      <c r="CK723" s="351"/>
      <c r="CL723" s="351"/>
      <c r="CN723" s="351"/>
      <c r="CO723" s="351"/>
      <c r="CP723" s="351"/>
      <c r="CR723" s="351"/>
      <c r="CS723" s="351"/>
      <c r="CT723" s="351"/>
      <c r="CV723" s="351"/>
      <c r="CW723" s="351"/>
      <c r="CX723" s="351"/>
      <c r="CZ723" s="351"/>
      <c r="DA723" s="351"/>
      <c r="DB723" s="351"/>
      <c r="DD723" s="351"/>
      <c r="DE723" s="351"/>
      <c r="DF723" s="351"/>
      <c r="DH723" s="351"/>
      <c r="DI723" s="351"/>
      <c r="DJ723" s="351"/>
      <c r="DL723" s="351"/>
      <c r="DM723" s="351"/>
      <c r="DN723" s="351"/>
      <c r="DP723" s="351"/>
      <c r="DQ723" s="351"/>
      <c r="DR723" s="351"/>
      <c r="DT723" s="1"/>
      <c r="DU723" s="1"/>
      <c r="DV723" s="1"/>
      <c r="DW723" s="1"/>
      <c r="DX723" s="1"/>
      <c r="DY723" s="1"/>
      <c r="DZ723" s="1"/>
      <c r="EA723" s="1"/>
      <c r="EB723" s="1"/>
      <c r="EC723" s="1"/>
      <c r="ED723" s="1"/>
      <c r="EE723" s="1"/>
      <c r="EF723" s="1"/>
      <c r="EG723" s="1"/>
      <c r="EH723" s="1"/>
      <c r="EI723" s="1"/>
      <c r="EJ723" s="1"/>
      <c r="EK723" s="1"/>
      <c r="EL723" s="1"/>
      <c r="EM723" s="1"/>
      <c r="EN723" s="1"/>
      <c r="EO723" s="1"/>
      <c r="EP723" s="1"/>
      <c r="EQ723" s="1"/>
      <c r="ER723" s="1"/>
      <c r="ES723" s="1"/>
      <c r="ET723" s="1"/>
      <c r="EU723" s="1"/>
      <c r="EV723" s="1"/>
      <c r="EW723" s="1"/>
      <c r="EX723" s="1"/>
      <c r="EY723" s="1"/>
      <c r="EZ723" s="1"/>
      <c r="FA723" s="1"/>
      <c r="FB723" s="1"/>
      <c r="FC723" s="1"/>
      <c r="FD723" s="1"/>
      <c r="FE723" s="1"/>
      <c r="FF723" s="1"/>
      <c r="FG723" s="1"/>
      <c r="FH723" s="1"/>
      <c r="FI723" s="1"/>
      <c r="FJ723" s="1"/>
      <c r="FK723" s="1"/>
      <c r="FL723" s="1"/>
      <c r="FM723" s="1"/>
      <c r="FN723" s="1"/>
      <c r="FO723" s="1"/>
      <c r="FP723" s="1"/>
      <c r="FQ723" s="1"/>
      <c r="FR723" s="1"/>
      <c r="FS723" s="1"/>
      <c r="FT723" s="1"/>
      <c r="FU723" s="1"/>
      <c r="FV723" s="1"/>
      <c r="FW723" s="1"/>
      <c r="FX723" s="1"/>
      <c r="FY723" s="1"/>
      <c r="FZ723" s="1"/>
      <c r="GA723" s="1"/>
      <c r="GB723" s="1"/>
      <c r="GC723" s="1"/>
      <c r="GD723" s="1"/>
      <c r="GE723" s="1"/>
      <c r="GF723" s="1"/>
      <c r="GG723" s="1"/>
      <c r="GH723" s="1"/>
      <c r="GI723" s="1"/>
      <c r="GJ723" s="1"/>
      <c r="GK723" s="1"/>
      <c r="GL723" s="1"/>
      <c r="GM723" s="1"/>
      <c r="GN723" s="1"/>
      <c r="GO723" s="1"/>
      <c r="GP723" s="1"/>
      <c r="GQ723" s="1"/>
      <c r="GR723" s="1"/>
      <c r="GS723" s="1"/>
      <c r="GT723" s="1"/>
      <c r="GU723" s="1"/>
      <c r="GV723" s="1"/>
      <c r="GW723" s="1"/>
      <c r="GX723" s="1"/>
      <c r="GY723" s="1"/>
      <c r="GZ723" s="1"/>
      <c r="HA723" s="1"/>
      <c r="HB723" s="1"/>
      <c r="HC723" s="1"/>
      <c r="HD723" s="1"/>
      <c r="HE723" s="1"/>
      <c r="HF723" s="1"/>
      <c r="HG723" s="1"/>
      <c r="HH723" s="1"/>
      <c r="HI723" s="1"/>
      <c r="HJ723" s="1"/>
      <c r="HK723" s="1"/>
      <c r="HL723" s="1"/>
      <c r="HM723" s="1"/>
      <c r="HN723" s="1"/>
      <c r="HO723" s="1"/>
      <c r="HP723" s="1"/>
      <c r="HQ723" s="1"/>
      <c r="HR723" s="1"/>
      <c r="HS723" s="1"/>
      <c r="HT723" s="1"/>
      <c r="HU723" s="1"/>
      <c r="HV723" s="1"/>
      <c r="HW723" s="1"/>
      <c r="HX723" s="1"/>
      <c r="HY723" s="1"/>
      <c r="HZ723" s="1"/>
      <c r="IA723" s="1"/>
      <c r="IB723" s="1"/>
      <c r="IC723" s="1"/>
      <c r="ID723" s="1"/>
      <c r="IE723" s="1"/>
      <c r="IF723" s="1"/>
      <c r="IG723" s="1"/>
      <c r="IH723" s="1"/>
      <c r="II723" s="1"/>
      <c r="IJ723" s="1"/>
      <c r="IK723" s="1"/>
      <c r="IL723" s="1"/>
      <c r="IM723" s="1"/>
      <c r="IN723" s="1"/>
      <c r="IO723" s="1"/>
      <c r="IP723" s="1"/>
      <c r="IQ723" s="1"/>
      <c r="IR723" s="1"/>
      <c r="IS723" s="1"/>
      <c r="IT723" s="1"/>
      <c r="IU723" s="1"/>
      <c r="IV723" s="1"/>
      <c r="IW723" s="1"/>
      <c r="IX723" s="1"/>
      <c r="IY723" s="1"/>
      <c r="IZ723" s="1"/>
      <c r="JA723" s="1"/>
      <c r="JB723" s="1"/>
      <c r="JC723" s="1"/>
      <c r="JD723" s="1"/>
    </row>
    <row r="724" spans="1:264" s="411" customFormat="1" x14ac:dyDescent="0.2">
      <c r="A724" s="411" t="s">
        <v>536</v>
      </c>
      <c r="B724" s="423"/>
      <c r="BH724" s="397">
        <f>SUM(BH720:BH722)</f>
        <v>1515</v>
      </c>
      <c r="BI724" s="397">
        <f>SUM(BI720:BI722)</f>
        <v>1567</v>
      </c>
      <c r="BJ724" s="397">
        <f>SUM(BJ720:BJ722)</f>
        <v>1567</v>
      </c>
      <c r="BK724" s="423"/>
      <c r="BL724" s="397">
        <f>SUM(BL720:BL722)</f>
        <v>1623</v>
      </c>
      <c r="BM724" s="397">
        <f>SUM(BM720:BM722)</f>
        <v>1652</v>
      </c>
      <c r="BN724" s="397">
        <f>SUM(BN720:BN722)</f>
        <v>1652</v>
      </c>
      <c r="BO724" s="428">
        <f>BN724/BJ724-1</f>
        <v>5.4243777919591674E-2</v>
      </c>
      <c r="BP724" s="397">
        <f>SUM(BP720:BP722)</f>
        <v>1699</v>
      </c>
      <c r="BQ724" s="397">
        <f>SUM(BQ720:BQ722)</f>
        <v>1774</v>
      </c>
      <c r="BR724" s="397">
        <f>SUM(BR720:BR722)</f>
        <v>1774</v>
      </c>
      <c r="BS724" s="428">
        <f>BR724/BN724-1</f>
        <v>7.3849878934624691E-2</v>
      </c>
      <c r="BT724" s="397">
        <f>SUM(BT720:BT722)</f>
        <v>1766</v>
      </c>
      <c r="BU724" s="397">
        <f>SUM(BU720:BU722)</f>
        <v>1773</v>
      </c>
      <c r="BV724" s="397">
        <f>SUM(BV720:BV722)</f>
        <v>1773</v>
      </c>
      <c r="BW724" s="428">
        <f>BV724/BR724-1</f>
        <v>-5.6369785794818661E-4</v>
      </c>
      <c r="BX724" s="397">
        <f>SUM(BX720:BX722)</f>
        <v>1752</v>
      </c>
      <c r="BY724" s="397">
        <f>SUM(BY720:BY722)</f>
        <v>1569</v>
      </c>
      <c r="BZ724" s="397">
        <f>SUM(BZ720:BZ722)</f>
        <v>1569</v>
      </c>
      <c r="CA724" s="428">
        <f>BZ724/BV724-1</f>
        <v>-0.11505922165820648</v>
      </c>
      <c r="CB724" s="397"/>
      <c r="CC724" s="397"/>
      <c r="CD724" s="397"/>
      <c r="CE724" s="428"/>
      <c r="CF724" s="397"/>
      <c r="CG724" s="397"/>
      <c r="CH724" s="397"/>
      <c r="CI724" s="428"/>
      <c r="CJ724" s="397"/>
      <c r="CK724" s="397"/>
      <c r="CL724" s="397"/>
      <c r="CM724" s="428"/>
      <c r="CN724" s="397"/>
      <c r="CO724" s="397"/>
      <c r="CP724" s="397"/>
      <c r="CQ724" s="428"/>
      <c r="CR724" s="397"/>
      <c r="CS724" s="397"/>
      <c r="CT724" s="397"/>
      <c r="CU724" s="428"/>
      <c r="CV724" s="397"/>
      <c r="CW724" s="397"/>
      <c r="CX724" s="397"/>
      <c r="CY724" s="428"/>
      <c r="CZ724" s="397"/>
      <c r="DA724" s="397"/>
      <c r="DB724" s="397"/>
      <c r="DC724" s="428"/>
      <c r="DD724" s="397"/>
      <c r="DE724" s="397"/>
      <c r="DF724" s="397"/>
      <c r="DG724" s="428"/>
      <c r="DH724" s="397"/>
      <c r="DI724" s="397"/>
      <c r="DJ724" s="397"/>
      <c r="DK724" s="428"/>
      <c r="DL724" s="397"/>
      <c r="DM724" s="397"/>
      <c r="DN724" s="397"/>
      <c r="DO724" s="428"/>
      <c r="DP724" s="397"/>
      <c r="DQ724" s="397"/>
      <c r="DR724" s="397"/>
      <c r="DS724" s="428"/>
      <c r="DT724" s="1"/>
      <c r="DU724" s="1"/>
      <c r="DV724" s="1"/>
      <c r="DW724" s="1"/>
      <c r="DX724" s="1"/>
      <c r="DY724" s="1"/>
      <c r="DZ724" s="1"/>
      <c r="EA724" s="1"/>
      <c r="EB724" s="1"/>
      <c r="EC724" s="1"/>
      <c r="ED724" s="1"/>
      <c r="EE724" s="1"/>
      <c r="EF724" s="1"/>
      <c r="EG724" s="1"/>
      <c r="EH724" s="1"/>
      <c r="EI724" s="1"/>
      <c r="EJ724" s="1"/>
      <c r="EK724" s="1"/>
      <c r="EL724" s="1"/>
      <c r="EM724" s="1"/>
      <c r="EN724" s="1"/>
      <c r="EO724" s="1"/>
      <c r="EP724" s="1"/>
      <c r="EQ724" s="1"/>
      <c r="ER724" s="1"/>
      <c r="ES724" s="1"/>
      <c r="ET724" s="1"/>
      <c r="EU724" s="1"/>
      <c r="EV724" s="1"/>
      <c r="EW724" s="1"/>
      <c r="EX724" s="1"/>
      <c r="EY724" s="1"/>
      <c r="EZ724" s="1"/>
      <c r="FA724" s="1"/>
      <c r="FB724" s="1"/>
      <c r="FC724" s="1"/>
      <c r="FD724" s="1"/>
      <c r="FE724" s="1"/>
      <c r="FF724" s="1"/>
      <c r="FG724" s="1"/>
      <c r="FH724" s="1"/>
      <c r="FI724" s="1"/>
      <c r="FJ724" s="1"/>
      <c r="FK724" s="1"/>
      <c r="FL724" s="1"/>
      <c r="FM724" s="1"/>
      <c r="FN724" s="1"/>
      <c r="FO724" s="1"/>
      <c r="FP724" s="1"/>
      <c r="FQ724" s="1"/>
      <c r="FR724" s="1"/>
      <c r="FS724" s="1"/>
      <c r="FT724" s="1"/>
      <c r="FU724" s="1"/>
      <c r="FV724" s="1"/>
      <c r="FW724" s="1"/>
      <c r="FX724" s="1"/>
      <c r="FY724" s="1"/>
      <c r="FZ724" s="1"/>
      <c r="GA724" s="1"/>
      <c r="GB724" s="1"/>
      <c r="GC724" s="1"/>
      <c r="GD724" s="1"/>
      <c r="GE724" s="1"/>
      <c r="GF724" s="1"/>
      <c r="GG724" s="1"/>
      <c r="GH724" s="1"/>
      <c r="GI724" s="1"/>
      <c r="GJ724" s="1"/>
      <c r="GK724" s="1"/>
      <c r="GL724" s="1"/>
      <c r="GM724" s="1"/>
      <c r="GN724" s="1"/>
      <c r="GO724" s="1"/>
      <c r="GP724" s="1"/>
      <c r="GQ724" s="1"/>
      <c r="GR724" s="1"/>
      <c r="GS724" s="1"/>
      <c r="GT724" s="1"/>
      <c r="GU724" s="1"/>
      <c r="GV724" s="1"/>
      <c r="GW724" s="1"/>
      <c r="GX724" s="1"/>
      <c r="GY724" s="1"/>
      <c r="GZ724" s="1"/>
      <c r="HA724" s="1"/>
      <c r="HB724" s="1"/>
      <c r="HC724" s="1"/>
      <c r="HD724" s="1"/>
      <c r="HE724" s="1"/>
      <c r="HF724" s="1"/>
      <c r="HG724" s="1"/>
      <c r="HH724" s="1"/>
      <c r="HI724" s="1"/>
      <c r="HJ724" s="1"/>
      <c r="HK724" s="1"/>
      <c r="HL724" s="1"/>
      <c r="HM724" s="1"/>
      <c r="HN724" s="1"/>
      <c r="HO724" s="1"/>
      <c r="HP724" s="1"/>
      <c r="HQ724" s="1"/>
      <c r="HR724" s="1"/>
      <c r="HS724" s="1"/>
      <c r="HT724" s="1"/>
      <c r="HU724" s="1"/>
      <c r="HV724" s="1"/>
      <c r="HW724" s="1"/>
      <c r="HX724" s="1"/>
      <c r="HY724" s="1"/>
      <c r="HZ724" s="1"/>
      <c r="IA724" s="1"/>
      <c r="IB724" s="1"/>
      <c r="IC724" s="1"/>
      <c r="ID724" s="1"/>
      <c r="IE724" s="1"/>
      <c r="IF724" s="1"/>
      <c r="IG724" s="1"/>
      <c r="IH724" s="1"/>
      <c r="II724" s="1"/>
      <c r="IJ724" s="1"/>
      <c r="IK724" s="1"/>
      <c r="IL724" s="1"/>
      <c r="IM724" s="1"/>
      <c r="IN724" s="1"/>
      <c r="IO724" s="1"/>
      <c r="IP724" s="1"/>
      <c r="IQ724" s="1"/>
      <c r="IR724" s="1"/>
      <c r="IS724" s="1"/>
      <c r="IT724" s="1"/>
      <c r="IU724" s="1"/>
      <c r="IV724" s="1"/>
      <c r="IW724" s="1"/>
      <c r="IX724" s="1"/>
      <c r="IY724" s="1"/>
      <c r="IZ724" s="1"/>
      <c r="JA724" s="1"/>
      <c r="JB724" s="1"/>
      <c r="JC724" s="1"/>
      <c r="JD724" s="1"/>
    </row>
    <row r="725" spans="1:264" s="411" customFormat="1" x14ac:dyDescent="0.2">
      <c r="A725" s="429" t="s">
        <v>379</v>
      </c>
      <c r="B725" s="423"/>
      <c r="BH725" s="509">
        <f>856+659</f>
        <v>1515</v>
      </c>
      <c r="BI725" s="509">
        <f>875+692</f>
        <v>1567</v>
      </c>
      <c r="BJ725" s="397"/>
      <c r="BK725" s="423"/>
      <c r="BL725" s="509">
        <f>887+736</f>
        <v>1623</v>
      </c>
      <c r="BM725" s="509">
        <f>895+757</f>
        <v>1652</v>
      </c>
      <c r="BN725" s="397"/>
      <c r="BO725" s="423"/>
      <c r="BP725" s="509">
        <f>891+808</f>
        <v>1699</v>
      </c>
      <c r="BQ725" s="509">
        <f>888+886</f>
        <v>1774</v>
      </c>
      <c r="BR725" s="397"/>
      <c r="BT725" s="509">
        <v>1766</v>
      </c>
      <c r="BU725" s="509">
        <v>1773</v>
      </c>
      <c r="BV725" s="397"/>
      <c r="BX725" s="509">
        <v>1752</v>
      </c>
      <c r="BY725" s="509">
        <v>1569</v>
      </c>
      <c r="BZ725" s="397"/>
      <c r="CB725" s="509"/>
      <c r="CC725" s="509"/>
      <c r="CD725" s="397"/>
      <c r="CF725" s="509"/>
      <c r="CG725" s="397"/>
      <c r="CH725" s="397"/>
      <c r="CJ725" s="509"/>
      <c r="CK725" s="397"/>
      <c r="CL725" s="397"/>
      <c r="CN725" s="397"/>
      <c r="CO725" s="397"/>
      <c r="CP725" s="397"/>
      <c r="CR725" s="397"/>
      <c r="CS725" s="397"/>
      <c r="CT725" s="397"/>
      <c r="CV725" s="397"/>
      <c r="CW725" s="397"/>
      <c r="CX725" s="397"/>
      <c r="CZ725" s="397"/>
      <c r="DA725" s="397"/>
      <c r="DB725" s="397"/>
      <c r="DD725" s="397"/>
      <c r="DE725" s="397"/>
      <c r="DF725" s="397"/>
      <c r="DH725" s="397"/>
      <c r="DI725" s="397"/>
      <c r="DJ725" s="397"/>
      <c r="DL725" s="397"/>
      <c r="DM725" s="397"/>
      <c r="DN725" s="397"/>
      <c r="DP725" s="397"/>
      <c r="DQ725" s="397"/>
      <c r="DR725" s="397"/>
      <c r="DT725" s="1"/>
      <c r="DU725" s="1"/>
      <c r="DV725" s="1"/>
      <c r="DW725" s="1"/>
      <c r="DX725" s="1"/>
      <c r="DY725" s="1"/>
      <c r="DZ725" s="1"/>
      <c r="EA725" s="1"/>
      <c r="EB725" s="1"/>
      <c r="EC725" s="1"/>
      <c r="ED725" s="1"/>
      <c r="EE725" s="1"/>
      <c r="EF725" s="1"/>
      <c r="EG725" s="1"/>
      <c r="EH725" s="1"/>
      <c r="EI725" s="1"/>
      <c r="EJ725" s="1"/>
      <c r="EK725" s="1"/>
      <c r="EL725" s="1"/>
      <c r="EM725" s="1"/>
      <c r="EN725" s="1"/>
      <c r="EO725" s="1"/>
      <c r="EP725" s="1"/>
      <c r="EQ725" s="1"/>
      <c r="ER725" s="1"/>
      <c r="ES725" s="1"/>
      <c r="ET725" s="1"/>
      <c r="EU725" s="1"/>
      <c r="EV725" s="1"/>
      <c r="EW725" s="1"/>
      <c r="EX725" s="1"/>
      <c r="EY725" s="1"/>
      <c r="EZ725" s="1"/>
      <c r="FA725" s="1"/>
      <c r="FB725" s="1"/>
      <c r="FC725" s="1"/>
      <c r="FD725" s="1"/>
      <c r="FE725" s="1"/>
      <c r="FF725" s="1"/>
      <c r="FG725" s="1"/>
      <c r="FH725" s="1"/>
      <c r="FI725" s="1"/>
      <c r="FJ725" s="1"/>
      <c r="FK725" s="1"/>
      <c r="FL725" s="1"/>
      <c r="FM725" s="1"/>
      <c r="FN725" s="1"/>
      <c r="FO725" s="1"/>
      <c r="FP725" s="1"/>
      <c r="FQ725" s="1"/>
      <c r="FR725" s="1"/>
      <c r="FS725" s="1"/>
      <c r="FT725" s="1"/>
      <c r="FU725" s="1"/>
      <c r="FV725" s="1"/>
      <c r="FW725" s="1"/>
      <c r="FX725" s="1"/>
      <c r="FY725" s="1"/>
      <c r="FZ725" s="1"/>
      <c r="GA725" s="1"/>
      <c r="GB725" s="1"/>
      <c r="GC725" s="1"/>
      <c r="GD725" s="1"/>
      <c r="GE725" s="1"/>
      <c r="GF725" s="1"/>
      <c r="GG725" s="1"/>
      <c r="GH725" s="1"/>
      <c r="GI725" s="1"/>
      <c r="GJ725" s="1"/>
      <c r="GK725" s="1"/>
      <c r="GL725" s="1"/>
      <c r="GM725" s="1"/>
      <c r="GN725" s="1"/>
      <c r="GO725" s="1"/>
      <c r="GP725" s="1"/>
      <c r="GQ725" s="1"/>
      <c r="GR725" s="1"/>
      <c r="GS725" s="1"/>
      <c r="GT725" s="1"/>
      <c r="GU725" s="1"/>
      <c r="GV725" s="1"/>
      <c r="GW725" s="1"/>
      <c r="GX725" s="1"/>
      <c r="GY725" s="1"/>
      <c r="GZ725" s="1"/>
      <c r="HA725" s="1"/>
      <c r="HB725" s="1"/>
      <c r="HC725" s="1"/>
      <c r="HD725" s="1"/>
      <c r="HE725" s="1"/>
      <c r="HF725" s="1"/>
      <c r="HG725" s="1"/>
      <c r="HH725" s="1"/>
      <c r="HI725" s="1"/>
      <c r="HJ725" s="1"/>
      <c r="HK725" s="1"/>
      <c r="HL725" s="1"/>
      <c r="HM725" s="1"/>
      <c r="HN725" s="1"/>
      <c r="HO725" s="1"/>
      <c r="HP725" s="1"/>
      <c r="HQ725" s="1"/>
      <c r="HR725" s="1"/>
      <c r="HS725" s="1"/>
      <c r="HT725" s="1"/>
      <c r="HU725" s="1"/>
      <c r="HV725" s="1"/>
      <c r="HW725" s="1"/>
      <c r="HX725" s="1"/>
      <c r="HY725" s="1"/>
      <c r="HZ725" s="1"/>
      <c r="IA725" s="1"/>
      <c r="IB725" s="1"/>
      <c r="IC725" s="1"/>
      <c r="ID725" s="1"/>
      <c r="IE725" s="1"/>
      <c r="IF725" s="1"/>
      <c r="IG725" s="1"/>
      <c r="IH725" s="1"/>
      <c r="II725" s="1"/>
      <c r="IJ725" s="1"/>
      <c r="IK725" s="1"/>
      <c r="IL725" s="1"/>
      <c r="IM725" s="1"/>
      <c r="IN725" s="1"/>
      <c r="IO725" s="1"/>
      <c r="IP725" s="1"/>
      <c r="IQ725" s="1"/>
      <c r="IR725" s="1"/>
      <c r="IS725" s="1"/>
      <c r="IT725" s="1"/>
      <c r="IU725" s="1"/>
      <c r="IV725" s="1"/>
      <c r="IW725" s="1"/>
      <c r="IX725" s="1"/>
      <c r="IY725" s="1"/>
      <c r="IZ725" s="1"/>
      <c r="JA725" s="1"/>
      <c r="JB725" s="1"/>
      <c r="JC725" s="1"/>
      <c r="JD725" s="1"/>
    </row>
    <row r="726" spans="1:264" s="429" customFormat="1" x14ac:dyDescent="0.2">
      <c r="A726" s="429" t="s">
        <v>273</v>
      </c>
      <c r="B726" s="408"/>
      <c r="BH726" s="408"/>
      <c r="BI726" s="393">
        <f>+BI724/BH724-1</f>
        <v>3.4323432343234428E-2</v>
      </c>
      <c r="BJ726" s="408"/>
      <c r="BK726" s="408"/>
      <c r="BL726" s="393">
        <f>+BL724/BI724-1</f>
        <v>3.5737077217613322E-2</v>
      </c>
      <c r="BM726" s="393">
        <f>+BM724/BL724-1</f>
        <v>1.7868145409735137E-2</v>
      </c>
      <c r="BN726" s="408"/>
      <c r="BO726" s="408"/>
      <c r="BP726" s="393">
        <f>+BP724/BM724-1</f>
        <v>2.8450363196125927E-2</v>
      </c>
      <c r="BQ726" s="393">
        <f>+BQ724/BP724-1</f>
        <v>4.4143613890523792E-2</v>
      </c>
      <c r="BR726" s="408"/>
      <c r="BT726" s="393">
        <f>+BT724/BQ724-1</f>
        <v>-4.5095828635851598E-3</v>
      </c>
      <c r="BU726" s="393">
        <f>+BU724/BT724-1</f>
        <v>3.9637599093997888E-3</v>
      </c>
      <c r="BV726" s="408"/>
      <c r="BX726" s="393">
        <f>+BX724/BU724-1</f>
        <v>-1.1844331641285955E-2</v>
      </c>
      <c r="BY726" s="393">
        <f>+BY724/BX724-1</f>
        <v>-0.10445205479452058</v>
      </c>
      <c r="BZ726" s="408"/>
      <c r="CB726" s="393"/>
      <c r="CC726" s="393"/>
      <c r="CD726" s="408"/>
      <c r="CF726" s="393"/>
      <c r="CG726" s="393"/>
      <c r="CH726" s="408"/>
      <c r="CJ726" s="393"/>
      <c r="CK726" s="393"/>
      <c r="CL726" s="408"/>
      <c r="CN726" s="393"/>
      <c r="CO726" s="393"/>
      <c r="CP726" s="408"/>
      <c r="CR726" s="393"/>
      <c r="CS726" s="393"/>
      <c r="CT726" s="408"/>
      <c r="CV726" s="393"/>
      <c r="CW726" s="393"/>
      <c r="CX726" s="408"/>
      <c r="CZ726" s="393"/>
      <c r="DA726" s="393"/>
      <c r="DB726" s="408"/>
      <c r="DD726" s="393"/>
      <c r="DE726" s="393"/>
      <c r="DF726" s="408"/>
      <c r="DH726" s="393"/>
      <c r="DI726" s="393"/>
      <c r="DJ726" s="408"/>
      <c r="DL726" s="393"/>
      <c r="DM726" s="393"/>
      <c r="DN726" s="408"/>
      <c r="DP726" s="393"/>
      <c r="DQ726" s="393"/>
      <c r="DR726" s="408"/>
      <c r="DT726" s="1"/>
      <c r="DU726" s="1"/>
      <c r="DV726" s="1"/>
      <c r="DW726" s="1"/>
      <c r="DX726" s="1"/>
      <c r="DY726" s="1"/>
      <c r="DZ726" s="1"/>
      <c r="EA726" s="1"/>
      <c r="EB726" s="1"/>
      <c r="EC726" s="1"/>
      <c r="ED726" s="1"/>
      <c r="EE726" s="1"/>
      <c r="EF726" s="1"/>
      <c r="EG726" s="1"/>
      <c r="EH726" s="1"/>
      <c r="EI726" s="1"/>
      <c r="EJ726" s="1"/>
      <c r="EK726" s="1"/>
      <c r="EL726" s="1"/>
      <c r="EM726" s="1"/>
      <c r="EN726" s="1"/>
      <c r="EO726" s="1"/>
      <c r="EP726" s="1"/>
      <c r="EQ726" s="1"/>
      <c r="ER726" s="1"/>
      <c r="ES726" s="1"/>
      <c r="ET726" s="1"/>
      <c r="EU726" s="1"/>
      <c r="EV726" s="1"/>
      <c r="EW726" s="1"/>
      <c r="EX726" s="1"/>
      <c r="EY726" s="1"/>
      <c r="EZ726" s="1"/>
      <c r="FA726" s="1"/>
      <c r="FB726" s="1"/>
      <c r="FC726" s="1"/>
      <c r="FD726" s="1"/>
      <c r="FE726" s="1"/>
      <c r="FF726" s="1"/>
      <c r="FG726" s="1"/>
      <c r="FH726" s="1"/>
      <c r="FI726" s="1"/>
      <c r="FJ726" s="1"/>
      <c r="FK726" s="1"/>
      <c r="FL726" s="1"/>
      <c r="FM726" s="1"/>
      <c r="FN726" s="1"/>
      <c r="FO726" s="1"/>
      <c r="FP726" s="1"/>
      <c r="FQ726" s="1"/>
      <c r="FR726" s="1"/>
      <c r="FS726" s="1"/>
      <c r="FT726" s="1"/>
      <c r="FU726" s="1"/>
      <c r="FV726" s="1"/>
      <c r="FW726" s="1"/>
      <c r="FX726" s="1"/>
      <c r="FY726" s="1"/>
      <c r="FZ726" s="1"/>
      <c r="GA726" s="1"/>
      <c r="GB726" s="1"/>
      <c r="GC726" s="1"/>
      <c r="GD726" s="1"/>
      <c r="GE726" s="1"/>
      <c r="GF726" s="1"/>
      <c r="GG726" s="1"/>
      <c r="GH726" s="1"/>
      <c r="GI726" s="1"/>
      <c r="GJ726" s="1"/>
      <c r="GK726" s="1"/>
      <c r="GL726" s="1"/>
      <c r="GM726" s="1"/>
      <c r="GN726" s="1"/>
      <c r="GO726" s="1"/>
      <c r="GP726" s="1"/>
      <c r="GQ726" s="1"/>
      <c r="GR726" s="1"/>
      <c r="GS726" s="1"/>
      <c r="GT726" s="1"/>
      <c r="GU726" s="1"/>
      <c r="GV726" s="1"/>
      <c r="GW726" s="1"/>
      <c r="GX726" s="1"/>
      <c r="GY726" s="1"/>
      <c r="GZ726" s="1"/>
      <c r="HA726" s="1"/>
      <c r="HB726" s="1"/>
      <c r="HC726" s="1"/>
      <c r="HD726" s="1"/>
      <c r="HE726" s="1"/>
      <c r="HF726" s="1"/>
      <c r="HG726" s="1"/>
      <c r="HH726" s="1"/>
      <c r="HI726" s="1"/>
      <c r="HJ726" s="1"/>
      <c r="HK726" s="1"/>
      <c r="HL726" s="1"/>
      <c r="HM726" s="1"/>
      <c r="HN726" s="1"/>
      <c r="HO726" s="1"/>
      <c r="HP726" s="1"/>
      <c r="HQ726" s="1"/>
      <c r="HR726" s="1"/>
      <c r="HS726" s="1"/>
      <c r="HT726" s="1"/>
      <c r="HU726" s="1"/>
      <c r="HV726" s="1"/>
      <c r="HW726" s="1"/>
      <c r="HX726" s="1"/>
      <c r="HY726" s="1"/>
      <c r="HZ726" s="1"/>
      <c r="IA726" s="1"/>
      <c r="IB726" s="1"/>
      <c r="IC726" s="1"/>
      <c r="ID726" s="1"/>
      <c r="IE726" s="1"/>
      <c r="IF726" s="1"/>
      <c r="IG726" s="1"/>
      <c r="IH726" s="1"/>
      <c r="II726" s="1"/>
      <c r="IJ726" s="1"/>
      <c r="IK726" s="1"/>
      <c r="IL726" s="1"/>
      <c r="IM726" s="1"/>
      <c r="IN726" s="1"/>
      <c r="IO726" s="1"/>
      <c r="IP726" s="1"/>
      <c r="IQ726" s="1"/>
      <c r="IR726" s="1"/>
      <c r="IS726" s="1"/>
      <c r="IT726" s="1"/>
      <c r="IU726" s="1"/>
      <c r="IV726" s="1"/>
      <c r="IW726" s="1"/>
      <c r="IX726" s="1"/>
      <c r="IY726" s="1"/>
      <c r="IZ726" s="1"/>
      <c r="JA726" s="1"/>
      <c r="JB726" s="1"/>
      <c r="JC726" s="1"/>
      <c r="JD726" s="1"/>
    </row>
    <row r="727" spans="1:264" s="347" customFormat="1" x14ac:dyDescent="0.2">
      <c r="A727" s="436" t="s">
        <v>537</v>
      </c>
      <c r="B727" s="466"/>
      <c r="C727" s="463"/>
      <c r="D727" s="463"/>
      <c r="E727" s="463"/>
      <c r="F727" s="463"/>
      <c r="G727" s="463"/>
      <c r="H727" s="463"/>
      <c r="I727" s="463"/>
      <c r="J727" s="463"/>
      <c r="K727" s="463"/>
      <c r="L727" s="463"/>
      <c r="M727" s="463"/>
      <c r="N727" s="463"/>
      <c r="O727" s="463"/>
      <c r="P727" s="463"/>
      <c r="Q727" s="463"/>
      <c r="R727" s="463"/>
      <c r="S727" s="463"/>
      <c r="T727" s="463"/>
      <c r="U727" s="463"/>
      <c r="V727" s="463"/>
      <c r="W727" s="463"/>
      <c r="X727" s="463"/>
      <c r="Y727" s="463"/>
      <c r="Z727" s="463"/>
      <c r="AA727" s="463"/>
      <c r="AB727" s="463"/>
      <c r="AC727" s="463"/>
      <c r="AD727" s="463"/>
      <c r="AE727" s="463"/>
      <c r="AF727" s="463"/>
      <c r="AG727" s="463"/>
      <c r="AH727" s="463"/>
      <c r="AI727" s="463"/>
      <c r="AJ727" s="463"/>
      <c r="AK727" s="463"/>
      <c r="AL727" s="463"/>
      <c r="AM727" s="463"/>
      <c r="AN727" s="463"/>
      <c r="AO727" s="463"/>
      <c r="AP727" s="463"/>
      <c r="AQ727" s="463"/>
      <c r="AR727" s="463"/>
      <c r="AS727" s="463"/>
      <c r="AT727" s="463"/>
      <c r="AU727" s="463"/>
      <c r="AV727" s="463"/>
      <c r="AW727" s="463"/>
      <c r="AX727" s="463"/>
      <c r="AY727" s="463"/>
      <c r="AZ727" s="463"/>
      <c r="BA727" s="463"/>
      <c r="BB727" s="463"/>
      <c r="BC727" s="463"/>
      <c r="BD727" s="463"/>
      <c r="BE727" s="463"/>
      <c r="BF727" s="463"/>
      <c r="BG727" s="463"/>
      <c r="BH727" s="465">
        <f>BH721*(BH$4/BH$3)/BH$720</f>
        <v>0.27603950412242717</v>
      </c>
      <c r="BI727" s="465">
        <f>BI721*(BI$4/BI$3)/BI$720</f>
        <v>0.26355232208303703</v>
      </c>
      <c r="BJ727" s="637"/>
      <c r="BK727" s="637"/>
      <c r="BL727" s="465">
        <f>BL721*(BL$4/BL$3)/BL$720</f>
        <v>0.23672692211647847</v>
      </c>
      <c r="BM727" s="465">
        <f>BM721*(BM$4/BM$3)/BM$720</f>
        <v>0.18016223962854411</v>
      </c>
      <c r="BN727" s="637"/>
      <c r="BO727" s="466"/>
      <c r="BP727" s="465">
        <f>BP721*(BP$4/BP$3)/BP$720</f>
        <v>0.22214509422044426</v>
      </c>
      <c r="BQ727" s="465">
        <f>BQ721*(BQ$4/BQ$3)/BQ$720</f>
        <v>0.25162672875497127</v>
      </c>
      <c r="BR727" s="637"/>
      <c r="BS727" s="641"/>
      <c r="BT727" s="465">
        <f>BT721*(BT$4/BT$3)/BT$720</f>
        <v>0.13230969070143619</v>
      </c>
      <c r="BU727" s="465">
        <f>BU721*(BU$4/BU$3)/BU$720</f>
        <v>0.14120194641145944</v>
      </c>
      <c r="BV727" s="637"/>
      <c r="BW727" s="641"/>
      <c r="BX727" s="465">
        <f>BX721*(BX$4/BX$3)/BX$720</f>
        <v>0.14097329507834916</v>
      </c>
      <c r="BY727" s="465">
        <f>BY721*(BY$4/BY$3)/BY$720</f>
        <v>0.11510128913443832</v>
      </c>
      <c r="BZ727" s="637"/>
      <c r="CA727" s="641"/>
      <c r="CB727" s="465"/>
      <c r="CC727" s="465"/>
      <c r="CD727" s="637"/>
      <c r="CE727" s="463"/>
      <c r="CF727" s="465"/>
      <c r="CG727" s="503"/>
      <c r="CH727" s="466"/>
      <c r="CI727" s="463"/>
      <c r="CJ727" s="465"/>
      <c r="CK727" s="503"/>
      <c r="CL727" s="466"/>
      <c r="CM727" s="463"/>
      <c r="CN727" s="503"/>
      <c r="CO727" s="503"/>
      <c r="CP727" s="466"/>
      <c r="CQ727" s="463"/>
      <c r="CR727" s="503"/>
      <c r="CS727" s="503"/>
      <c r="CT727" s="466"/>
      <c r="CU727" s="463"/>
      <c r="CV727" s="503"/>
      <c r="CW727" s="503"/>
      <c r="CX727" s="466"/>
      <c r="CY727" s="463"/>
      <c r="CZ727" s="503"/>
      <c r="DA727" s="503"/>
      <c r="DB727" s="466"/>
      <c r="DC727" s="463"/>
      <c r="DD727" s="503"/>
      <c r="DE727" s="503"/>
      <c r="DF727" s="466"/>
      <c r="DG727" s="463"/>
      <c r="DH727" s="503"/>
      <c r="DI727" s="503"/>
      <c r="DJ727" s="466"/>
      <c r="DK727" s="463"/>
      <c r="DL727" s="503"/>
      <c r="DM727" s="503"/>
      <c r="DN727" s="466"/>
      <c r="DO727" s="463"/>
      <c r="DP727" s="503"/>
      <c r="DQ727" s="503"/>
      <c r="DR727" s="466"/>
      <c r="DS727" s="463"/>
      <c r="DT727" s="1"/>
      <c r="DU727" s="1"/>
      <c r="DV727" s="1"/>
      <c r="DW727" s="1"/>
      <c r="DX727" s="1"/>
      <c r="DY727" s="1"/>
      <c r="DZ727" s="1"/>
      <c r="EA727" s="1"/>
      <c r="EB727" s="1"/>
      <c r="EC727" s="1"/>
      <c r="ED727" s="1"/>
      <c r="EE727" s="1"/>
      <c r="EF727" s="1"/>
      <c r="EG727" s="1"/>
      <c r="EH727" s="1"/>
      <c r="EI727" s="1"/>
      <c r="EJ727" s="1"/>
      <c r="EK727" s="1"/>
      <c r="EL727" s="1"/>
      <c r="EM727" s="1"/>
      <c r="EN727" s="1"/>
      <c r="EO727" s="1"/>
      <c r="EP727" s="1"/>
      <c r="EQ727" s="1"/>
      <c r="ER727" s="1"/>
      <c r="ES727" s="1"/>
      <c r="ET727" s="1"/>
      <c r="EU727" s="1"/>
      <c r="EV727" s="1"/>
      <c r="EW727" s="1"/>
      <c r="EX727" s="1"/>
      <c r="EY727" s="1"/>
      <c r="EZ727" s="1"/>
      <c r="FA727" s="1"/>
      <c r="FB727" s="1"/>
      <c r="FC727" s="1"/>
      <c r="FD727" s="1"/>
      <c r="FE727" s="1"/>
      <c r="FF727" s="1"/>
      <c r="FG727" s="1"/>
      <c r="FH727" s="1"/>
      <c r="FI727" s="1"/>
      <c r="FJ727" s="1"/>
      <c r="FK727" s="1"/>
      <c r="FL727" s="1"/>
      <c r="FM727" s="1"/>
      <c r="FN727" s="1"/>
      <c r="FO727" s="1"/>
      <c r="FP727" s="1"/>
      <c r="FQ727" s="1"/>
      <c r="FR727" s="1"/>
      <c r="FS727" s="1"/>
      <c r="FT727" s="1"/>
      <c r="FU727" s="1"/>
      <c r="FV727" s="1"/>
      <c r="FW727" s="1"/>
      <c r="FX727" s="1"/>
      <c r="FY727" s="1"/>
      <c r="FZ727" s="1"/>
      <c r="GA727" s="1"/>
      <c r="GB727" s="1"/>
      <c r="GC727" s="1"/>
      <c r="GD727" s="1"/>
      <c r="GE727" s="1"/>
      <c r="GF727" s="1"/>
      <c r="GG727" s="1"/>
      <c r="GH727" s="1"/>
      <c r="GI727" s="1"/>
      <c r="GJ727" s="1"/>
      <c r="GK727" s="1"/>
      <c r="GL727" s="1"/>
      <c r="GM727" s="1"/>
      <c r="GN727" s="1"/>
      <c r="GO727" s="1"/>
      <c r="GP727" s="1"/>
      <c r="GQ727" s="1"/>
      <c r="GR727" s="1"/>
      <c r="GS727" s="1"/>
      <c r="GT727" s="1"/>
      <c r="GU727" s="1"/>
      <c r="GV727" s="1"/>
      <c r="GW727" s="1"/>
      <c r="GX727" s="1"/>
      <c r="GY727" s="1"/>
      <c r="GZ727" s="1"/>
      <c r="HA727" s="1"/>
      <c r="HB727" s="1"/>
      <c r="HC727" s="1"/>
      <c r="HD727" s="1"/>
      <c r="HE727" s="1"/>
      <c r="HF727" s="1"/>
      <c r="HG727" s="1"/>
      <c r="HH727" s="1"/>
      <c r="HI727" s="1"/>
      <c r="HJ727" s="1"/>
      <c r="HK727" s="1"/>
      <c r="HL727" s="1"/>
      <c r="HM727" s="1"/>
      <c r="HN727" s="1"/>
      <c r="HO727" s="1"/>
      <c r="HP727" s="1"/>
      <c r="HQ727" s="1"/>
      <c r="HR727" s="1"/>
      <c r="HS727" s="1"/>
      <c r="HT727" s="1"/>
      <c r="HU727" s="1"/>
      <c r="HV727" s="1"/>
      <c r="HW727" s="1"/>
      <c r="HX727" s="1"/>
      <c r="HY727" s="1"/>
      <c r="HZ727" s="1"/>
      <c r="IA727" s="1"/>
      <c r="IB727" s="1"/>
      <c r="IC727" s="1"/>
      <c r="ID727" s="1"/>
      <c r="IE727" s="1"/>
      <c r="IF727" s="1"/>
      <c r="IG727" s="1"/>
      <c r="IH727" s="1"/>
      <c r="II727" s="1"/>
      <c r="IJ727" s="1"/>
      <c r="IK727" s="1"/>
      <c r="IL727" s="1"/>
      <c r="IM727" s="1"/>
      <c r="IN727" s="1"/>
      <c r="IO727" s="1"/>
      <c r="IP727" s="1"/>
      <c r="IQ727" s="1"/>
      <c r="IR727" s="1"/>
      <c r="IS727" s="1"/>
      <c r="IT727" s="1"/>
      <c r="IU727" s="1"/>
      <c r="IV727" s="1"/>
      <c r="IW727" s="1"/>
      <c r="IX727" s="1"/>
      <c r="IY727" s="1"/>
      <c r="IZ727" s="1"/>
      <c r="JA727" s="1"/>
      <c r="JB727" s="1"/>
      <c r="JC727" s="1"/>
      <c r="JD727" s="1"/>
    </row>
    <row r="728" spans="1:264" s="347" customFormat="1" x14ac:dyDescent="0.2">
      <c r="A728" s="436" t="s">
        <v>538</v>
      </c>
      <c r="B728" s="466"/>
      <c r="C728" s="463"/>
      <c r="D728" s="463"/>
      <c r="E728" s="463"/>
      <c r="F728" s="463"/>
      <c r="G728" s="463"/>
      <c r="H728" s="463"/>
      <c r="I728" s="463"/>
      <c r="J728" s="463"/>
      <c r="K728" s="463"/>
      <c r="L728" s="463"/>
      <c r="M728" s="463"/>
      <c r="N728" s="463"/>
      <c r="O728" s="463"/>
      <c r="P728" s="463"/>
      <c r="Q728" s="463"/>
      <c r="R728" s="463"/>
      <c r="S728" s="463"/>
      <c r="T728" s="463"/>
      <c r="U728" s="463"/>
      <c r="V728" s="463"/>
      <c r="W728" s="463"/>
      <c r="X728" s="463"/>
      <c r="Y728" s="463"/>
      <c r="Z728" s="463"/>
      <c r="AA728" s="463"/>
      <c r="AB728" s="463"/>
      <c r="AC728" s="463"/>
      <c r="AD728" s="463"/>
      <c r="AE728" s="463"/>
      <c r="AF728" s="463"/>
      <c r="AG728" s="463"/>
      <c r="AH728" s="463"/>
      <c r="AI728" s="463"/>
      <c r="AJ728" s="463"/>
      <c r="AK728" s="463"/>
      <c r="AL728" s="463"/>
      <c r="AM728" s="463"/>
      <c r="AN728" s="463"/>
      <c r="AO728" s="463"/>
      <c r="AP728" s="463"/>
      <c r="AQ728" s="463"/>
      <c r="AR728" s="463"/>
      <c r="AS728" s="463"/>
      <c r="AT728" s="463"/>
      <c r="AU728" s="463"/>
      <c r="AV728" s="463"/>
      <c r="AW728" s="463"/>
      <c r="AX728" s="463"/>
      <c r="AY728" s="463"/>
      <c r="AZ728" s="463"/>
      <c r="BA728" s="463"/>
      <c r="BB728" s="463"/>
      <c r="BC728" s="463"/>
      <c r="BD728" s="463"/>
      <c r="BE728" s="463"/>
      <c r="BF728" s="463"/>
      <c r="BG728" s="463"/>
      <c r="BH728" s="465">
        <f>BH722*(BH$4/BH$3)/BH$720</f>
        <v>-0.20973589774007947</v>
      </c>
      <c r="BI728" s="465">
        <f>BI722*(BI$4/BI$3)/BI$720</f>
        <v>-0.19433656072789599</v>
      </c>
      <c r="BJ728" s="637"/>
      <c r="BK728" s="637"/>
      <c r="BL728" s="465">
        <f>BL722*(BL$4/BL$3)/BL$720</f>
        <v>-0.1658354374184956</v>
      </c>
      <c r="BM728" s="465">
        <f>BM722*(BM$4/BM$3)/BM$720</f>
        <v>-0.1441297917028353</v>
      </c>
      <c r="BN728" s="637"/>
      <c r="BO728" s="466"/>
      <c r="BP728" s="465">
        <f>BP722*(BP$4/BP$3)/BP$720</f>
        <v>-0.16570823244552058</v>
      </c>
      <c r="BQ728" s="465">
        <f>BQ722*(BQ$4/BQ$3)/BQ$720</f>
        <v>-0.16260783886524086</v>
      </c>
      <c r="BR728" s="637"/>
      <c r="BS728" s="641"/>
      <c r="BT728" s="465">
        <f>BT722*(BT$4/BT$3)/BT$720</f>
        <v>-0.14127983922356746</v>
      </c>
      <c r="BU728" s="465">
        <f>BU722*(BU$4/BU$3)/BU$720</f>
        <v>-0.13323086879145768</v>
      </c>
      <c r="BV728" s="637"/>
      <c r="BW728" s="641"/>
      <c r="BX728" s="465">
        <f>BX722*(BX$4/BX$3)/BX$720</f>
        <v>-0.16446884425807404</v>
      </c>
      <c r="BY728" s="465">
        <f>BY722*(BY$4/BY$3)/BY$720</f>
        <v>-0.32573664825046045</v>
      </c>
      <c r="BZ728" s="637"/>
      <c r="CA728" s="641"/>
      <c r="CB728" s="465"/>
      <c r="CC728" s="465"/>
      <c r="CD728" s="637"/>
      <c r="CE728" s="463"/>
      <c r="CF728" s="465"/>
      <c r="CG728" s="503"/>
      <c r="CH728" s="466"/>
      <c r="CI728" s="463"/>
      <c r="CJ728" s="465"/>
      <c r="CK728" s="503"/>
      <c r="CL728" s="466"/>
      <c r="CM728" s="463"/>
      <c r="CN728" s="503"/>
      <c r="CO728" s="503"/>
      <c r="CP728" s="466"/>
      <c r="CQ728" s="463"/>
      <c r="CR728" s="503"/>
      <c r="CS728" s="503"/>
      <c r="CT728" s="466"/>
      <c r="CU728" s="463"/>
      <c r="CV728" s="503"/>
      <c r="CW728" s="503"/>
      <c r="CX728" s="466"/>
      <c r="CY728" s="463"/>
      <c r="CZ728" s="503"/>
      <c r="DA728" s="503"/>
      <c r="DB728" s="466"/>
      <c r="DC728" s="463"/>
      <c r="DD728" s="503"/>
      <c r="DE728" s="503"/>
      <c r="DF728" s="466"/>
      <c r="DG728" s="463"/>
      <c r="DH728" s="503"/>
      <c r="DI728" s="503"/>
      <c r="DJ728" s="466"/>
      <c r="DK728" s="463"/>
      <c r="DL728" s="503"/>
      <c r="DM728" s="503"/>
      <c r="DN728" s="466"/>
      <c r="DO728" s="463"/>
      <c r="DP728" s="503"/>
      <c r="DQ728" s="503"/>
      <c r="DR728" s="466"/>
      <c r="DS728" s="463"/>
      <c r="DT728" s="1"/>
      <c r="DU728" s="1"/>
      <c r="DV728" s="1"/>
      <c r="DW728" s="1"/>
      <c r="DX728" s="1"/>
      <c r="DY728" s="1"/>
      <c r="DZ728" s="1"/>
      <c r="EA728" s="1"/>
      <c r="EB728" s="1"/>
      <c r="EC728" s="1"/>
      <c r="ED728" s="1"/>
      <c r="EE728" s="1"/>
      <c r="EF728" s="1"/>
      <c r="EG728" s="1"/>
      <c r="EH728" s="1"/>
      <c r="EI728" s="1"/>
      <c r="EJ728" s="1"/>
      <c r="EK728" s="1"/>
      <c r="EL728" s="1"/>
      <c r="EM728" s="1"/>
      <c r="EN728" s="1"/>
      <c r="EO728" s="1"/>
      <c r="EP728" s="1"/>
      <c r="EQ728" s="1"/>
      <c r="ER728" s="1"/>
      <c r="ES728" s="1"/>
      <c r="ET728" s="1"/>
      <c r="EU728" s="1"/>
      <c r="EV728" s="1"/>
      <c r="EW728" s="1"/>
      <c r="EX728" s="1"/>
      <c r="EY728" s="1"/>
      <c r="EZ728" s="1"/>
      <c r="FA728" s="1"/>
      <c r="FB728" s="1"/>
      <c r="FC728" s="1"/>
      <c r="FD728" s="1"/>
      <c r="FE728" s="1"/>
      <c r="FF728" s="1"/>
      <c r="FG728" s="1"/>
      <c r="FH728" s="1"/>
      <c r="FI728" s="1"/>
      <c r="FJ728" s="1"/>
      <c r="FK728" s="1"/>
      <c r="FL728" s="1"/>
      <c r="FM728" s="1"/>
      <c r="FN728" s="1"/>
      <c r="FO728" s="1"/>
      <c r="FP728" s="1"/>
      <c r="FQ728" s="1"/>
      <c r="FR728" s="1"/>
      <c r="FS728" s="1"/>
      <c r="FT728" s="1"/>
      <c r="FU728" s="1"/>
      <c r="FV728" s="1"/>
      <c r="FW728" s="1"/>
      <c r="FX728" s="1"/>
      <c r="FY728" s="1"/>
      <c r="FZ728" s="1"/>
      <c r="GA728" s="1"/>
      <c r="GB728" s="1"/>
      <c r="GC728" s="1"/>
      <c r="GD728" s="1"/>
      <c r="GE728" s="1"/>
      <c r="GF728" s="1"/>
      <c r="GG728" s="1"/>
      <c r="GH728" s="1"/>
      <c r="GI728" s="1"/>
      <c r="GJ728" s="1"/>
      <c r="GK728" s="1"/>
      <c r="GL728" s="1"/>
      <c r="GM728" s="1"/>
      <c r="GN728" s="1"/>
      <c r="GO728" s="1"/>
      <c r="GP728" s="1"/>
      <c r="GQ728" s="1"/>
      <c r="GR728" s="1"/>
      <c r="GS728" s="1"/>
      <c r="GT728" s="1"/>
      <c r="GU728" s="1"/>
      <c r="GV728" s="1"/>
      <c r="GW728" s="1"/>
      <c r="GX728" s="1"/>
      <c r="GY728" s="1"/>
      <c r="GZ728" s="1"/>
      <c r="HA728" s="1"/>
      <c r="HB728" s="1"/>
      <c r="HC728" s="1"/>
      <c r="HD728" s="1"/>
      <c r="HE728" s="1"/>
      <c r="HF728" s="1"/>
      <c r="HG728" s="1"/>
      <c r="HH728" s="1"/>
      <c r="HI728" s="1"/>
      <c r="HJ728" s="1"/>
      <c r="HK728" s="1"/>
      <c r="HL728" s="1"/>
      <c r="HM728" s="1"/>
      <c r="HN728" s="1"/>
      <c r="HO728" s="1"/>
      <c r="HP728" s="1"/>
      <c r="HQ728" s="1"/>
      <c r="HR728" s="1"/>
      <c r="HS728" s="1"/>
      <c r="HT728" s="1"/>
      <c r="HU728" s="1"/>
      <c r="HV728" s="1"/>
      <c r="HW728" s="1"/>
      <c r="HX728" s="1"/>
      <c r="HY728" s="1"/>
      <c r="HZ728" s="1"/>
      <c r="IA728" s="1"/>
      <c r="IB728" s="1"/>
      <c r="IC728" s="1"/>
      <c r="ID728" s="1"/>
      <c r="IE728" s="1"/>
      <c r="IF728" s="1"/>
      <c r="IG728" s="1"/>
      <c r="IH728" s="1"/>
      <c r="II728" s="1"/>
      <c r="IJ728" s="1"/>
      <c r="IK728" s="1"/>
      <c r="IL728" s="1"/>
      <c r="IM728" s="1"/>
      <c r="IN728" s="1"/>
      <c r="IO728" s="1"/>
      <c r="IP728" s="1"/>
      <c r="IQ728" s="1"/>
      <c r="IR728" s="1"/>
      <c r="IS728" s="1"/>
      <c r="IT728" s="1"/>
      <c r="IU728" s="1"/>
      <c r="IV728" s="1"/>
      <c r="IW728" s="1"/>
      <c r="IX728" s="1"/>
      <c r="IY728" s="1"/>
      <c r="IZ728" s="1"/>
      <c r="JA728" s="1"/>
      <c r="JB728" s="1"/>
      <c r="JC728" s="1"/>
      <c r="JD728" s="1"/>
    </row>
    <row r="729" spans="1:264" s="347" customFormat="1" x14ac:dyDescent="0.2">
      <c r="A729" s="429"/>
      <c r="B729" s="348"/>
      <c r="BH729" s="394"/>
      <c r="BI729" s="394"/>
      <c r="BJ729" s="642"/>
      <c r="BK729" s="642"/>
      <c r="BL729" s="394"/>
      <c r="BM729" s="394"/>
      <c r="BN729" s="642"/>
      <c r="BO729" s="348"/>
      <c r="BP729" s="394"/>
      <c r="BQ729" s="394"/>
      <c r="BR729" s="642"/>
      <c r="BT729" s="394"/>
      <c r="BU729" s="394"/>
      <c r="BV729" s="642"/>
      <c r="BX729" s="394"/>
      <c r="BY729" s="643"/>
      <c r="BZ729" s="348"/>
      <c r="CB729" s="394"/>
      <c r="CC729" s="643"/>
      <c r="CD729" s="348"/>
      <c r="CF729" s="394"/>
      <c r="CG729" s="643"/>
      <c r="CH729" s="348"/>
      <c r="CJ729" s="643"/>
      <c r="CK729" s="643"/>
      <c r="CL729" s="348"/>
      <c r="CN729" s="643"/>
      <c r="CO729" s="643"/>
      <c r="CP729" s="348"/>
      <c r="CR729" s="643"/>
      <c r="CS729" s="643"/>
      <c r="CT729" s="348"/>
      <c r="CV729" s="1"/>
      <c r="CW729" s="643"/>
      <c r="CX729" s="348"/>
      <c r="CZ729" s="643"/>
      <c r="DA729" s="643"/>
      <c r="DB729" s="348"/>
      <c r="DD729" s="643"/>
      <c r="DE729" s="643"/>
      <c r="DF729" s="348"/>
      <c r="DH729" s="643"/>
      <c r="DI729" s="643"/>
      <c r="DJ729" s="348"/>
      <c r="DL729" s="643"/>
      <c r="DM729" s="643"/>
      <c r="DN729" s="348"/>
      <c r="DP729" s="643"/>
      <c r="DQ729" s="643"/>
      <c r="DR729" s="348"/>
      <c r="DT729" s="1"/>
      <c r="DU729" s="1"/>
      <c r="DV729" s="1"/>
      <c r="DW729" s="1"/>
      <c r="DX729" s="1"/>
      <c r="DY729" s="1"/>
      <c r="DZ729" s="1"/>
      <c r="EA729" s="1"/>
      <c r="EB729" s="1"/>
      <c r="EC729" s="1"/>
      <c r="ED729" s="1"/>
      <c r="EE729" s="1"/>
      <c r="EF729" s="1"/>
      <c r="EG729" s="1"/>
      <c r="EH729" s="1"/>
      <c r="EI729" s="1"/>
      <c r="EJ729" s="1"/>
      <c r="EK729" s="1"/>
      <c r="EL729" s="1"/>
      <c r="EM729" s="1"/>
      <c r="EN729" s="1"/>
      <c r="EO729" s="1"/>
      <c r="EP729" s="1"/>
      <c r="EQ729" s="1"/>
      <c r="ER729" s="1"/>
      <c r="ES729" s="1"/>
      <c r="ET729" s="1"/>
      <c r="EU729" s="1"/>
      <c r="EV729" s="1"/>
      <c r="EW729" s="1"/>
      <c r="EX729" s="1"/>
      <c r="EY729" s="1"/>
      <c r="EZ729" s="1"/>
      <c r="FA729" s="1"/>
      <c r="FB729" s="1"/>
      <c r="FC729" s="1"/>
      <c r="FD729" s="1"/>
      <c r="FE729" s="1"/>
      <c r="FF729" s="1"/>
      <c r="FG729" s="1"/>
      <c r="FH729" s="1"/>
      <c r="FI729" s="1"/>
      <c r="FJ729" s="1"/>
      <c r="FK729" s="1"/>
      <c r="FL729" s="1"/>
      <c r="FM729" s="1"/>
      <c r="FN729" s="1"/>
      <c r="FO729" s="1"/>
      <c r="FP729" s="1"/>
      <c r="FQ729" s="1"/>
      <c r="FR729" s="1"/>
      <c r="FS729" s="1"/>
      <c r="FT729" s="1"/>
      <c r="FU729" s="1"/>
      <c r="FV729" s="1"/>
      <c r="FW729" s="1"/>
      <c r="FX729" s="1"/>
      <c r="FY729" s="1"/>
      <c r="FZ729" s="1"/>
      <c r="GA729" s="1"/>
      <c r="GB729" s="1"/>
      <c r="GC729" s="1"/>
      <c r="GD729" s="1"/>
      <c r="GE729" s="1"/>
      <c r="GF729" s="1"/>
      <c r="GG729" s="1"/>
      <c r="GH729" s="1"/>
      <c r="GI729" s="1"/>
      <c r="GJ729" s="1"/>
      <c r="GK729" s="1"/>
      <c r="GL729" s="1"/>
      <c r="GM729" s="1"/>
      <c r="GN729" s="1"/>
      <c r="GO729" s="1"/>
      <c r="GP729" s="1"/>
      <c r="GQ729" s="1"/>
      <c r="GR729" s="1"/>
      <c r="GS729" s="1"/>
      <c r="GT729" s="1"/>
      <c r="GU729" s="1"/>
      <c r="GV729" s="1"/>
      <c r="GW729" s="1"/>
      <c r="GX729" s="1"/>
      <c r="GY729" s="1"/>
      <c r="GZ729" s="1"/>
      <c r="HA729" s="1"/>
      <c r="HB729" s="1"/>
      <c r="HC729" s="1"/>
      <c r="HD729" s="1"/>
      <c r="HE729" s="1"/>
      <c r="HF729" s="1"/>
      <c r="HG729" s="1"/>
      <c r="HH729" s="1"/>
      <c r="HI729" s="1"/>
      <c r="HJ729" s="1"/>
      <c r="HK729" s="1"/>
      <c r="HL729" s="1"/>
      <c r="HM729" s="1"/>
      <c r="HN729" s="1"/>
      <c r="HO729" s="1"/>
      <c r="HP729" s="1"/>
      <c r="HQ729" s="1"/>
      <c r="HR729" s="1"/>
      <c r="HS729" s="1"/>
      <c r="HT729" s="1"/>
      <c r="HU729" s="1"/>
      <c r="HV729" s="1"/>
      <c r="HW729" s="1"/>
      <c r="HX729" s="1"/>
      <c r="HY729" s="1"/>
      <c r="HZ729" s="1"/>
      <c r="IA729" s="1"/>
      <c r="IB729" s="1"/>
      <c r="IC729" s="1"/>
      <c r="ID729" s="1"/>
      <c r="IE729" s="1"/>
      <c r="IF729" s="1"/>
      <c r="IG729" s="1"/>
      <c r="IH729" s="1"/>
      <c r="II729" s="1"/>
      <c r="IJ729" s="1"/>
      <c r="IK729" s="1"/>
      <c r="IL729" s="1"/>
      <c r="IM729" s="1"/>
      <c r="IN729" s="1"/>
      <c r="IO729" s="1"/>
      <c r="IP729" s="1"/>
      <c r="IQ729" s="1"/>
      <c r="IR729" s="1"/>
      <c r="IS729" s="1"/>
      <c r="IT729" s="1"/>
      <c r="IU729" s="1"/>
      <c r="IV729" s="1"/>
      <c r="IW729" s="1"/>
      <c r="IX729" s="1"/>
      <c r="IY729" s="1"/>
      <c r="IZ729" s="1"/>
      <c r="JA729" s="1"/>
      <c r="JB729" s="1"/>
      <c r="JC729" s="1"/>
      <c r="JD729" s="1"/>
    </row>
    <row r="730" spans="1:264" s="347" customFormat="1" x14ac:dyDescent="0.2">
      <c r="A730" s="411" t="s">
        <v>539</v>
      </c>
      <c r="B730" s="348"/>
      <c r="BH730" s="348"/>
      <c r="BI730" s="348"/>
      <c r="BJ730" s="348"/>
      <c r="BK730" s="348"/>
      <c r="BL730" s="348"/>
      <c r="BM730" s="348"/>
      <c r="BN730" s="348"/>
      <c r="BO730" s="348"/>
      <c r="BP730" s="348"/>
      <c r="BQ730" s="348"/>
      <c r="BR730" s="348"/>
      <c r="BT730" s="348"/>
      <c r="BU730" s="348"/>
      <c r="BV730" s="348"/>
      <c r="BX730" s="348"/>
      <c r="CB730" s="348"/>
      <c r="CF730" s="348"/>
      <c r="CJ730" s="348"/>
      <c r="CN730" s="348"/>
      <c r="CR730" s="348"/>
      <c r="CV730" s="1"/>
      <c r="CW730" s="1"/>
      <c r="CZ730" s="348"/>
      <c r="DD730" s="348"/>
      <c r="DH730" s="348"/>
      <c r="DL730" s="348"/>
      <c r="DP730" s="348"/>
      <c r="DT730" s="1"/>
      <c r="DU730" s="1"/>
      <c r="DV730" s="1"/>
      <c r="DW730" s="1"/>
      <c r="DX730" s="1"/>
      <c r="DY730" s="1"/>
      <c r="DZ730" s="1"/>
      <c r="EA730" s="1"/>
      <c r="EB730" s="1"/>
      <c r="EC730" s="1"/>
      <c r="ED730" s="1"/>
      <c r="EE730" s="1"/>
      <c r="EF730" s="1"/>
      <c r="EG730" s="1"/>
      <c r="EH730" s="1"/>
      <c r="EI730" s="1"/>
      <c r="EJ730" s="1"/>
      <c r="EK730" s="1"/>
      <c r="EL730" s="1"/>
      <c r="EM730" s="1"/>
      <c r="EN730" s="1"/>
      <c r="EO730" s="1"/>
      <c r="EP730" s="1"/>
      <c r="EQ730" s="1"/>
      <c r="ER730" s="1"/>
      <c r="ES730" s="1"/>
      <c r="ET730" s="1"/>
      <c r="EU730" s="1"/>
      <c r="EV730" s="1"/>
      <c r="EW730" s="1"/>
      <c r="EX730" s="1"/>
      <c r="EY730" s="1"/>
      <c r="EZ730" s="1"/>
      <c r="FA730" s="1"/>
      <c r="FB730" s="1"/>
      <c r="FC730" s="1"/>
      <c r="FD730" s="1"/>
      <c r="FE730" s="1"/>
      <c r="FF730" s="1"/>
      <c r="FG730" s="1"/>
      <c r="FH730" s="1"/>
      <c r="FI730" s="1"/>
      <c r="FJ730" s="1"/>
      <c r="FK730" s="1"/>
      <c r="FL730" s="1"/>
      <c r="FM730" s="1"/>
      <c r="FN730" s="1"/>
      <c r="FO730" s="1"/>
      <c r="FP730" s="1"/>
      <c r="FQ730" s="1"/>
      <c r="FR730" s="1"/>
      <c r="FS730" s="1"/>
      <c r="FT730" s="1"/>
      <c r="FU730" s="1"/>
      <c r="FV730" s="1"/>
      <c r="FW730" s="1"/>
      <c r="FX730" s="1"/>
      <c r="FY730" s="1"/>
      <c r="FZ730" s="1"/>
      <c r="GA730" s="1"/>
      <c r="GB730" s="1"/>
      <c r="GC730" s="1"/>
      <c r="GD730" s="1"/>
      <c r="GE730" s="1"/>
      <c r="GF730" s="1"/>
      <c r="GG730" s="1"/>
      <c r="GH730" s="1"/>
      <c r="GI730" s="1"/>
      <c r="GJ730" s="1"/>
      <c r="GK730" s="1"/>
      <c r="GL730" s="1"/>
      <c r="GM730" s="1"/>
      <c r="GN730" s="1"/>
      <c r="GO730" s="1"/>
      <c r="GP730" s="1"/>
      <c r="GQ730" s="1"/>
      <c r="GR730" s="1"/>
      <c r="GS730" s="1"/>
      <c r="GT730" s="1"/>
      <c r="GU730" s="1"/>
      <c r="GV730" s="1"/>
      <c r="GW730" s="1"/>
      <c r="GX730" s="1"/>
      <c r="GY730" s="1"/>
      <c r="GZ730" s="1"/>
      <c r="HA730" s="1"/>
      <c r="HB730" s="1"/>
      <c r="HC730" s="1"/>
      <c r="HD730" s="1"/>
      <c r="HE730" s="1"/>
      <c r="HF730" s="1"/>
      <c r="HG730" s="1"/>
      <c r="HH730" s="1"/>
      <c r="HI730" s="1"/>
      <c r="HJ730" s="1"/>
      <c r="HK730" s="1"/>
      <c r="HL730" s="1"/>
      <c r="HM730" s="1"/>
      <c r="HN730" s="1"/>
      <c r="HO730" s="1"/>
      <c r="HP730" s="1"/>
      <c r="HQ730" s="1"/>
      <c r="HR730" s="1"/>
      <c r="HS730" s="1"/>
      <c r="HT730" s="1"/>
      <c r="HU730" s="1"/>
      <c r="HV730" s="1"/>
      <c r="HW730" s="1"/>
      <c r="HX730" s="1"/>
      <c r="HY730" s="1"/>
      <c r="HZ730" s="1"/>
      <c r="IA730" s="1"/>
      <c r="IB730" s="1"/>
      <c r="IC730" s="1"/>
      <c r="ID730" s="1"/>
      <c r="IE730" s="1"/>
      <c r="IF730" s="1"/>
      <c r="IG730" s="1"/>
      <c r="IH730" s="1"/>
      <c r="II730" s="1"/>
      <c r="IJ730" s="1"/>
      <c r="IK730" s="1"/>
      <c r="IL730" s="1"/>
      <c r="IM730" s="1"/>
      <c r="IN730" s="1"/>
      <c r="IO730" s="1"/>
      <c r="IP730" s="1"/>
      <c r="IQ730" s="1"/>
      <c r="IR730" s="1"/>
      <c r="IS730" s="1"/>
      <c r="IT730" s="1"/>
      <c r="IU730" s="1"/>
      <c r="IV730" s="1"/>
      <c r="IW730" s="1"/>
      <c r="IX730" s="1"/>
      <c r="IY730" s="1"/>
      <c r="IZ730" s="1"/>
      <c r="JA730" s="1"/>
      <c r="JB730" s="1"/>
      <c r="JC730" s="1"/>
      <c r="JD730" s="1"/>
    </row>
    <row r="731" spans="1:264" s="347" customFormat="1" x14ac:dyDescent="0.2">
      <c r="B731" s="348"/>
      <c r="BH731" s="348"/>
      <c r="BI731" s="348"/>
      <c r="BJ731" s="348"/>
      <c r="BK731" s="348"/>
      <c r="BL731" s="348"/>
      <c r="BM731" s="348"/>
      <c r="BN731" s="348"/>
      <c r="BO731" s="348"/>
      <c r="BP731" s="348"/>
      <c r="BQ731" s="348"/>
      <c r="BR731" s="348"/>
      <c r="BT731" s="348"/>
      <c r="BU731" s="348"/>
      <c r="BV731" s="348"/>
      <c r="BX731" s="348"/>
      <c r="CB731" s="351"/>
      <c r="CF731" s="348"/>
      <c r="CJ731" s="348"/>
      <c r="CN731" s="348"/>
      <c r="CR731" s="348"/>
      <c r="CV731" s="1"/>
      <c r="CW731" s="1"/>
      <c r="CZ731" s="348"/>
      <c r="DD731" s="348"/>
      <c r="DH731" s="348"/>
      <c r="DL731" s="348"/>
      <c r="DP731" s="348"/>
      <c r="DT731" s="1"/>
      <c r="DU731" s="1"/>
      <c r="DV731" s="1"/>
      <c r="DW731" s="1"/>
      <c r="DX731" s="1"/>
      <c r="DY731" s="1"/>
      <c r="DZ731" s="1"/>
      <c r="EA731" s="1"/>
      <c r="EB731" s="1"/>
      <c r="EC731" s="1"/>
      <c r="ED731" s="1"/>
      <c r="EE731" s="1"/>
      <c r="EF731" s="1"/>
      <c r="EG731" s="1"/>
      <c r="EH731" s="1"/>
      <c r="EI731" s="1"/>
      <c r="EJ731" s="1"/>
      <c r="EK731" s="1"/>
      <c r="EL731" s="1"/>
      <c r="EM731" s="1"/>
      <c r="EN731" s="1"/>
      <c r="EO731" s="1"/>
      <c r="EP731" s="1"/>
      <c r="EQ731" s="1"/>
      <c r="ER731" s="1"/>
      <c r="ES731" s="1"/>
      <c r="ET731" s="1"/>
      <c r="EU731" s="1"/>
      <c r="EV731" s="1"/>
      <c r="EW731" s="1"/>
      <c r="EX731" s="1"/>
      <c r="EY731" s="1"/>
      <c r="EZ731" s="1"/>
      <c r="FA731" s="1"/>
      <c r="FB731" s="1"/>
      <c r="FC731" s="1"/>
      <c r="FD731" s="1"/>
      <c r="FE731" s="1"/>
      <c r="FF731" s="1"/>
      <c r="FG731" s="1"/>
      <c r="FH731" s="1"/>
      <c r="FI731" s="1"/>
      <c r="FJ731" s="1"/>
      <c r="FK731" s="1"/>
      <c r="FL731" s="1"/>
      <c r="FM731" s="1"/>
      <c r="FN731" s="1"/>
      <c r="FO731" s="1"/>
      <c r="FP731" s="1"/>
      <c r="FQ731" s="1"/>
      <c r="FR731" s="1"/>
      <c r="FS731" s="1"/>
      <c r="FT731" s="1"/>
      <c r="FU731" s="1"/>
      <c r="FV731" s="1"/>
      <c r="FW731" s="1"/>
      <c r="FX731" s="1"/>
      <c r="FY731" s="1"/>
      <c r="FZ731" s="1"/>
      <c r="GA731" s="1"/>
      <c r="GB731" s="1"/>
      <c r="GC731" s="1"/>
      <c r="GD731" s="1"/>
      <c r="GE731" s="1"/>
      <c r="GF731" s="1"/>
      <c r="GG731" s="1"/>
      <c r="GH731" s="1"/>
      <c r="GI731" s="1"/>
      <c r="GJ731" s="1"/>
      <c r="GK731" s="1"/>
      <c r="GL731" s="1"/>
      <c r="GM731" s="1"/>
      <c r="GN731" s="1"/>
      <c r="GO731" s="1"/>
      <c r="GP731" s="1"/>
      <c r="GQ731" s="1"/>
      <c r="GR731" s="1"/>
      <c r="GS731" s="1"/>
      <c r="GT731" s="1"/>
      <c r="GU731" s="1"/>
      <c r="GV731" s="1"/>
      <c r="GW731" s="1"/>
      <c r="GX731" s="1"/>
      <c r="GY731" s="1"/>
      <c r="GZ731" s="1"/>
      <c r="HA731" s="1"/>
      <c r="HB731" s="1"/>
      <c r="HC731" s="1"/>
      <c r="HD731" s="1"/>
      <c r="HE731" s="1"/>
      <c r="HF731" s="1"/>
      <c r="HG731" s="1"/>
      <c r="HH731" s="1"/>
      <c r="HI731" s="1"/>
      <c r="HJ731" s="1"/>
      <c r="HK731" s="1"/>
      <c r="HL731" s="1"/>
      <c r="HM731" s="1"/>
      <c r="HN731" s="1"/>
      <c r="HO731" s="1"/>
      <c r="HP731" s="1"/>
      <c r="HQ731" s="1"/>
      <c r="HR731" s="1"/>
      <c r="HS731" s="1"/>
      <c r="HT731" s="1"/>
      <c r="HU731" s="1"/>
      <c r="HV731" s="1"/>
      <c r="HW731" s="1"/>
      <c r="HX731" s="1"/>
      <c r="HY731" s="1"/>
      <c r="HZ731" s="1"/>
      <c r="IA731" s="1"/>
      <c r="IB731" s="1"/>
      <c r="IC731" s="1"/>
      <c r="ID731" s="1"/>
      <c r="IE731" s="1"/>
      <c r="IF731" s="1"/>
      <c r="IG731" s="1"/>
      <c r="IH731" s="1"/>
      <c r="II731" s="1"/>
      <c r="IJ731" s="1"/>
      <c r="IK731" s="1"/>
      <c r="IL731" s="1"/>
      <c r="IM731" s="1"/>
      <c r="IN731" s="1"/>
      <c r="IO731" s="1"/>
      <c r="IP731" s="1"/>
      <c r="IQ731" s="1"/>
      <c r="IR731" s="1"/>
      <c r="IS731" s="1"/>
      <c r="IT731" s="1"/>
      <c r="IU731" s="1"/>
      <c r="IV731" s="1"/>
      <c r="IW731" s="1"/>
      <c r="IX731" s="1"/>
      <c r="IY731" s="1"/>
      <c r="IZ731" s="1"/>
      <c r="JA731" s="1"/>
      <c r="JB731" s="1"/>
      <c r="JC731" s="1"/>
      <c r="JD731" s="1"/>
    </row>
    <row r="732" spans="1:264" s="347" customFormat="1" x14ac:dyDescent="0.2">
      <c r="A732" s="347" t="s">
        <v>540</v>
      </c>
      <c r="B732" s="348"/>
      <c r="BH732" s="348"/>
      <c r="BI732" s="348"/>
      <c r="BJ732" s="348"/>
      <c r="BK732" s="348"/>
      <c r="BL732" s="348"/>
      <c r="BM732" s="348"/>
      <c r="BN732" s="348"/>
      <c r="BO732" s="348"/>
      <c r="BP732" s="348"/>
      <c r="BQ732" s="348"/>
      <c r="BR732" s="348"/>
      <c r="BT732" s="348"/>
      <c r="BU732" s="348"/>
      <c r="BV732" s="348"/>
      <c r="BX732" s="348"/>
      <c r="CB732" s="524">
        <v>348</v>
      </c>
      <c r="CC732" s="524">
        <v>339</v>
      </c>
      <c r="CD732" s="397">
        <f>+CC732+CB732</f>
        <v>687</v>
      </c>
      <c r="CE732" s="481"/>
      <c r="CF732" s="524">
        <v>346</v>
      </c>
      <c r="CG732" s="524">
        <f>682-CF732</f>
        <v>336</v>
      </c>
      <c r="CH732" s="397">
        <f>+CG732+CF732</f>
        <v>682</v>
      </c>
      <c r="CI732" s="394">
        <f>+CH732/CD732-1</f>
        <v>-7.2780203784570396E-3</v>
      </c>
      <c r="CJ732" s="524">
        <f ca="1">698-CK732</f>
        <v>350</v>
      </c>
      <c r="CK732" s="524">
        <f ca="1">698-CJ732</f>
        <v>348</v>
      </c>
      <c r="CL732" s="397">
        <f ca="1">+CK732+CJ732</f>
        <v>698</v>
      </c>
      <c r="CM732" s="394">
        <f ca="1">+CL732/CH732-1</f>
        <v>2.346041055718473E-2</v>
      </c>
      <c r="CN732" s="524">
        <f ca="1">695-CO732</f>
        <v>350</v>
      </c>
      <c r="CO732" s="524">
        <f ca="1">695-CN732</f>
        <v>345</v>
      </c>
      <c r="CP732" s="397">
        <f ca="1">+CO732+CN732</f>
        <v>695</v>
      </c>
      <c r="CQ732" s="394">
        <f ca="1">+CP732/CL732-1</f>
        <v>-4.2979942693409656E-3</v>
      </c>
      <c r="CR732" s="524">
        <v>348</v>
      </c>
      <c r="CS732" s="524">
        <f>698-CR732</f>
        <v>350</v>
      </c>
      <c r="CT732" s="397">
        <f>+CS732+CR732</f>
        <v>698</v>
      </c>
      <c r="CU732" s="394">
        <f ca="1">+CT732/CP732-1</f>
        <v>4.3165467625898568E-3</v>
      </c>
      <c r="CV732" s="524"/>
      <c r="CW732" s="394"/>
      <c r="CX732" s="397"/>
      <c r="CY732" s="394"/>
      <c r="CZ732" s="351"/>
      <c r="DA732" s="351"/>
      <c r="DB732" s="351"/>
      <c r="DC732" s="394"/>
      <c r="DD732" s="351"/>
      <c r="DE732" s="351"/>
      <c r="DF732" s="351"/>
      <c r="DG732" s="394"/>
      <c r="DH732" s="351"/>
      <c r="DI732" s="351"/>
      <c r="DJ732" s="351"/>
      <c r="DK732" s="394"/>
      <c r="DL732" s="351"/>
      <c r="DM732" s="351"/>
      <c r="DN732" s="351"/>
      <c r="DO732" s="394"/>
      <c r="DP732" s="351"/>
      <c r="DQ732" s="351"/>
      <c r="DR732" s="351"/>
      <c r="DS732" s="394"/>
      <c r="DT732" s="1"/>
      <c r="DU732" s="1"/>
      <c r="DV732" s="1"/>
      <c r="DW732" s="1"/>
      <c r="DX732" s="1"/>
      <c r="DY732" s="1"/>
      <c r="DZ732" s="1"/>
      <c r="EA732" s="1"/>
      <c r="EB732" s="1"/>
      <c r="EC732" s="1"/>
      <c r="ED732" s="1"/>
      <c r="EE732" s="1"/>
      <c r="EF732" s="1"/>
      <c r="EG732" s="1"/>
      <c r="EH732" s="1"/>
      <c r="EI732" s="1"/>
      <c r="EJ732" s="1"/>
      <c r="EK732" s="1"/>
      <c r="EL732" s="1"/>
      <c r="EM732" s="1"/>
      <c r="EN732" s="1"/>
      <c r="EO732" s="1"/>
      <c r="EP732" s="1"/>
      <c r="EQ732" s="1"/>
      <c r="ER732" s="1"/>
      <c r="ES732" s="1"/>
      <c r="ET732" s="1"/>
      <c r="EU732" s="1"/>
      <c r="EV732" s="1"/>
      <c r="EW732" s="1"/>
      <c r="EX732" s="1"/>
      <c r="EY732" s="1"/>
      <c r="EZ732" s="1"/>
      <c r="FA732" s="1"/>
      <c r="FB732" s="1"/>
      <c r="FC732" s="1"/>
      <c r="FD732" s="1"/>
      <c r="FE732" s="1"/>
      <c r="FF732" s="1"/>
      <c r="FG732" s="1"/>
      <c r="FH732" s="1"/>
      <c r="FI732" s="1"/>
      <c r="FJ732" s="1"/>
      <c r="FK732" s="1"/>
      <c r="FL732" s="1"/>
      <c r="FM732" s="1"/>
      <c r="FN732" s="1"/>
      <c r="FO732" s="1"/>
      <c r="FP732" s="1"/>
      <c r="FQ732" s="1"/>
      <c r="FR732" s="1"/>
      <c r="FS732" s="1"/>
      <c r="FT732" s="1"/>
      <c r="FU732" s="1"/>
      <c r="FV732" s="1"/>
      <c r="FW732" s="1"/>
      <c r="FX732" s="1"/>
      <c r="FY732" s="1"/>
      <c r="FZ732" s="1"/>
      <c r="GA732" s="1"/>
      <c r="GB732" s="1"/>
      <c r="GC732" s="1"/>
      <c r="GD732" s="1"/>
      <c r="GE732" s="1"/>
      <c r="GF732" s="1"/>
      <c r="GG732" s="1"/>
      <c r="GH732" s="1"/>
      <c r="GI732" s="1"/>
      <c r="GJ732" s="1"/>
      <c r="GK732" s="1"/>
      <c r="GL732" s="1"/>
      <c r="GM732" s="1"/>
      <c r="GN732" s="1"/>
      <c r="GO732" s="1"/>
      <c r="GP732" s="1"/>
      <c r="GQ732" s="1"/>
      <c r="GR732" s="1"/>
      <c r="GS732" s="1"/>
      <c r="GT732" s="1"/>
      <c r="GU732" s="1"/>
      <c r="GV732" s="1"/>
      <c r="GW732" s="1"/>
      <c r="GX732" s="1"/>
      <c r="GY732" s="1"/>
      <c r="GZ732" s="1"/>
      <c r="HA732" s="1"/>
      <c r="HB732" s="1"/>
      <c r="HC732" s="1"/>
      <c r="HD732" s="1"/>
      <c r="HE732" s="1"/>
      <c r="HF732" s="1"/>
      <c r="HG732" s="1"/>
      <c r="HH732" s="1"/>
      <c r="HI732" s="1"/>
      <c r="HJ732" s="1"/>
      <c r="HK732" s="1"/>
      <c r="HL732" s="1"/>
      <c r="HM732" s="1"/>
      <c r="HN732" s="1"/>
      <c r="HO732" s="1"/>
      <c r="HP732" s="1"/>
      <c r="HQ732" s="1"/>
      <c r="HR732" s="1"/>
      <c r="HS732" s="1"/>
      <c r="HT732" s="1"/>
      <c r="HU732" s="1"/>
      <c r="HV732" s="1"/>
      <c r="HW732" s="1"/>
      <c r="HX732" s="1"/>
      <c r="HY732" s="1"/>
      <c r="HZ732" s="1"/>
      <c r="IA732" s="1"/>
      <c r="IB732" s="1"/>
      <c r="IC732" s="1"/>
      <c r="ID732" s="1"/>
      <c r="IE732" s="1"/>
      <c r="IF732" s="1"/>
      <c r="IG732" s="1"/>
      <c r="IH732" s="1"/>
      <c r="II732" s="1"/>
      <c r="IJ732" s="1"/>
      <c r="IK732" s="1"/>
      <c r="IL732" s="1"/>
      <c r="IM732" s="1"/>
      <c r="IN732" s="1"/>
      <c r="IO732" s="1"/>
      <c r="IP732" s="1"/>
      <c r="IQ732" s="1"/>
      <c r="IR732" s="1"/>
      <c r="IS732" s="1"/>
      <c r="IT732" s="1"/>
      <c r="IU732" s="1"/>
      <c r="IV732" s="1"/>
      <c r="IW732" s="1"/>
      <c r="IX732" s="1"/>
      <c r="IY732" s="1"/>
      <c r="IZ732" s="1"/>
      <c r="JA732" s="1"/>
      <c r="JB732" s="1"/>
      <c r="JC732" s="1"/>
      <c r="JD732" s="1"/>
    </row>
    <row r="733" spans="1:264" s="347" customFormat="1" x14ac:dyDescent="0.2">
      <c r="A733" s="347" t="s">
        <v>541</v>
      </c>
      <c r="B733" s="348"/>
      <c r="BH733" s="348"/>
      <c r="BI733" s="348"/>
      <c r="BJ733" s="348"/>
      <c r="BK733" s="348"/>
      <c r="BL733" s="348"/>
      <c r="BM733" s="348"/>
      <c r="BN733" s="348"/>
      <c r="BO733" s="348"/>
      <c r="BP733" s="348"/>
      <c r="BQ733" s="348"/>
      <c r="BR733" s="348"/>
      <c r="BT733" s="348"/>
      <c r="BU733" s="348"/>
      <c r="BV733" s="348"/>
      <c r="BX733" s="348"/>
      <c r="CB733" s="351">
        <f>CB734-CB732</f>
        <v>-236</v>
      </c>
      <c r="CC733" s="351">
        <f>CC734-CC732</f>
        <v>-213</v>
      </c>
      <c r="CD733" s="351">
        <f>CD734-CD732</f>
        <v>-449</v>
      </c>
      <c r="CF733" s="351">
        <f>CF734-CF732</f>
        <v>-275</v>
      </c>
      <c r="CG733" s="351">
        <f>CG734-CG732</f>
        <v>-258</v>
      </c>
      <c r="CH733" s="351">
        <f>CH734-CH732</f>
        <v>-533</v>
      </c>
      <c r="CJ733" s="351">
        <f ca="1">CJ734-CJ732</f>
        <v>-318</v>
      </c>
      <c r="CK733" s="351">
        <f ca="1">CK734-CK732</f>
        <v>-239</v>
      </c>
      <c r="CL733" s="351">
        <f ca="1">CL734-CL732</f>
        <v>-557</v>
      </c>
      <c r="CN733" s="351">
        <f ca="1">CN734-CN732</f>
        <v>-259</v>
      </c>
      <c r="CO733" s="351">
        <f ca="1">CO734-CO732</f>
        <v>-291</v>
      </c>
      <c r="CP733" s="351">
        <f ca="1">CP734-CP732</f>
        <v>-550</v>
      </c>
      <c r="CR733" s="351">
        <f>CR734-CR732</f>
        <v>-330</v>
      </c>
      <c r="CS733" s="351">
        <f>CS734-CS732</f>
        <v>-295</v>
      </c>
      <c r="CT733" s="351">
        <f>CT734-CT732</f>
        <v>-625</v>
      </c>
      <c r="CV733" s="351"/>
      <c r="CX733" s="351"/>
      <c r="CZ733" s="351"/>
      <c r="DA733" s="351"/>
      <c r="DB733" s="351"/>
      <c r="DD733" s="351"/>
      <c r="DE733" s="351"/>
      <c r="DF733" s="351"/>
      <c r="DH733" s="351"/>
      <c r="DI733" s="351"/>
      <c r="DJ733" s="351"/>
      <c r="DL733" s="351"/>
      <c r="DM733" s="351"/>
      <c r="DN733" s="351"/>
      <c r="DP733" s="351"/>
      <c r="DQ733" s="351"/>
      <c r="DR733" s="351"/>
      <c r="DT733" s="1"/>
      <c r="DU733" s="1"/>
      <c r="DV733" s="1"/>
      <c r="DW733" s="1"/>
      <c r="DX733" s="1"/>
      <c r="DY733" s="1"/>
      <c r="DZ733" s="1"/>
      <c r="EA733" s="1"/>
      <c r="EB733" s="1"/>
      <c r="EC733" s="1"/>
      <c r="ED733" s="1"/>
      <c r="EE733" s="1"/>
      <c r="EF733" s="1"/>
      <c r="EG733" s="1"/>
      <c r="EH733" s="1"/>
      <c r="EI733" s="1"/>
      <c r="EJ733" s="1"/>
      <c r="EK733" s="1"/>
      <c r="EL733" s="1"/>
      <c r="EM733" s="1"/>
      <c r="EN733" s="1"/>
      <c r="EO733" s="1"/>
      <c r="EP733" s="1"/>
      <c r="EQ733" s="1"/>
      <c r="ER733" s="1"/>
      <c r="ES733" s="1"/>
      <c r="ET733" s="1"/>
      <c r="EU733" s="1"/>
      <c r="EV733" s="1"/>
      <c r="EW733" s="1"/>
      <c r="EX733" s="1"/>
      <c r="EY733" s="1"/>
      <c r="EZ733" s="1"/>
      <c r="FA733" s="1"/>
      <c r="FB733" s="1"/>
      <c r="FC733" s="1"/>
      <c r="FD733" s="1"/>
      <c r="FE733" s="1"/>
      <c r="FF733" s="1"/>
      <c r="FG733" s="1"/>
      <c r="FH733" s="1"/>
      <c r="FI733" s="1"/>
      <c r="FJ733" s="1"/>
      <c r="FK733" s="1"/>
      <c r="FL733" s="1"/>
      <c r="FM733" s="1"/>
      <c r="FN733" s="1"/>
      <c r="FO733" s="1"/>
      <c r="FP733" s="1"/>
      <c r="FQ733" s="1"/>
      <c r="FR733" s="1"/>
      <c r="FS733" s="1"/>
      <c r="FT733" s="1"/>
      <c r="FU733" s="1"/>
      <c r="FV733" s="1"/>
      <c r="FW733" s="1"/>
      <c r="FX733" s="1"/>
      <c r="FY733" s="1"/>
      <c r="FZ733" s="1"/>
      <c r="GA733" s="1"/>
      <c r="GB733" s="1"/>
      <c r="GC733" s="1"/>
      <c r="GD733" s="1"/>
      <c r="GE733" s="1"/>
      <c r="GF733" s="1"/>
      <c r="GG733" s="1"/>
      <c r="GH733" s="1"/>
      <c r="GI733" s="1"/>
      <c r="GJ733" s="1"/>
      <c r="GK733" s="1"/>
      <c r="GL733" s="1"/>
      <c r="GM733" s="1"/>
      <c r="GN733" s="1"/>
      <c r="GO733" s="1"/>
      <c r="GP733" s="1"/>
      <c r="GQ733" s="1"/>
      <c r="GR733" s="1"/>
      <c r="GS733" s="1"/>
      <c r="GT733" s="1"/>
      <c r="GU733" s="1"/>
      <c r="GV733" s="1"/>
      <c r="GW733" s="1"/>
      <c r="GX733" s="1"/>
      <c r="GY733" s="1"/>
      <c r="GZ733" s="1"/>
      <c r="HA733" s="1"/>
      <c r="HB733" s="1"/>
      <c r="HC733" s="1"/>
      <c r="HD733" s="1"/>
      <c r="HE733" s="1"/>
      <c r="HF733" s="1"/>
      <c r="HG733" s="1"/>
      <c r="HH733" s="1"/>
      <c r="HI733" s="1"/>
      <c r="HJ733" s="1"/>
      <c r="HK733" s="1"/>
      <c r="HL733" s="1"/>
      <c r="HM733" s="1"/>
      <c r="HN733" s="1"/>
      <c r="HO733" s="1"/>
      <c r="HP733" s="1"/>
      <c r="HQ733" s="1"/>
      <c r="HR733" s="1"/>
      <c r="HS733" s="1"/>
      <c r="HT733" s="1"/>
      <c r="HU733" s="1"/>
      <c r="HV733" s="1"/>
      <c r="HW733" s="1"/>
      <c r="HX733" s="1"/>
      <c r="HY733" s="1"/>
      <c r="HZ733" s="1"/>
      <c r="IA733" s="1"/>
      <c r="IB733" s="1"/>
      <c r="IC733" s="1"/>
      <c r="ID733" s="1"/>
      <c r="IE733" s="1"/>
      <c r="IF733" s="1"/>
      <c r="IG733" s="1"/>
      <c r="IH733" s="1"/>
      <c r="II733" s="1"/>
      <c r="IJ733" s="1"/>
      <c r="IK733" s="1"/>
      <c r="IL733" s="1"/>
      <c r="IM733" s="1"/>
      <c r="IN733" s="1"/>
      <c r="IO733" s="1"/>
      <c r="IP733" s="1"/>
      <c r="IQ733" s="1"/>
      <c r="IR733" s="1"/>
      <c r="IS733" s="1"/>
      <c r="IT733" s="1"/>
      <c r="IU733" s="1"/>
      <c r="IV733" s="1"/>
      <c r="IW733" s="1"/>
      <c r="IX733" s="1"/>
      <c r="IY733" s="1"/>
      <c r="IZ733" s="1"/>
      <c r="JA733" s="1"/>
      <c r="JB733" s="1"/>
      <c r="JC733" s="1"/>
      <c r="JD733" s="1"/>
    </row>
    <row r="734" spans="1:264" s="411" customFormat="1" x14ac:dyDescent="0.2">
      <c r="A734" s="411" t="s">
        <v>542</v>
      </c>
      <c r="B734" s="423"/>
      <c r="BH734" s="423"/>
      <c r="BI734" s="423"/>
      <c r="BJ734" s="423"/>
      <c r="BK734" s="423"/>
      <c r="BL734" s="423"/>
      <c r="BM734" s="423"/>
      <c r="BN734" s="423"/>
      <c r="BO734" s="423"/>
      <c r="BP734" s="423"/>
      <c r="BQ734" s="423"/>
      <c r="BR734" s="423"/>
      <c r="BT734" s="423"/>
      <c r="BU734" s="423"/>
      <c r="BV734" s="423"/>
      <c r="BX734" s="423"/>
      <c r="CB734" s="397">
        <f>CB668</f>
        <v>112</v>
      </c>
      <c r="CC734" s="397">
        <f>CC668</f>
        <v>126</v>
      </c>
      <c r="CD734" s="397">
        <f>CD668</f>
        <v>238</v>
      </c>
      <c r="CF734" s="397">
        <f>CF668</f>
        <v>71</v>
      </c>
      <c r="CG734" s="397">
        <f>CG668</f>
        <v>78</v>
      </c>
      <c r="CH734" s="397">
        <f>CH668</f>
        <v>149</v>
      </c>
      <c r="CJ734" s="397">
        <f>CJ668</f>
        <v>32</v>
      </c>
      <c r="CK734" s="397">
        <f>CK668</f>
        <v>109</v>
      </c>
      <c r="CL734" s="397">
        <f>CL668</f>
        <v>141</v>
      </c>
      <c r="CN734" s="397">
        <f>CN668</f>
        <v>91</v>
      </c>
      <c r="CO734" s="397">
        <f>CO668</f>
        <v>54</v>
      </c>
      <c r="CP734" s="397">
        <f>CP668</f>
        <v>145</v>
      </c>
      <c r="CR734" s="397">
        <f>CR668</f>
        <v>18</v>
      </c>
      <c r="CS734" s="397">
        <f>CS668</f>
        <v>55</v>
      </c>
      <c r="CT734" s="397">
        <f>CT668</f>
        <v>73</v>
      </c>
      <c r="CV734" s="397"/>
      <c r="CX734" s="397"/>
      <c r="CZ734" s="397"/>
      <c r="DA734" s="397"/>
      <c r="DB734" s="397"/>
      <c r="DD734" s="397"/>
      <c r="DE734" s="397"/>
      <c r="DF734" s="397"/>
      <c r="DH734" s="397"/>
      <c r="DI734" s="397"/>
      <c r="DJ734" s="397"/>
      <c r="DL734" s="397"/>
      <c r="DM734" s="397"/>
      <c r="DN734" s="397"/>
      <c r="DP734" s="397"/>
      <c r="DQ734" s="397"/>
      <c r="DR734" s="397"/>
      <c r="DT734" s="451"/>
      <c r="DU734" s="451"/>
      <c r="DV734" s="451"/>
      <c r="DW734" s="451"/>
      <c r="DX734" s="451"/>
      <c r="DY734" s="451"/>
      <c r="DZ734" s="451"/>
      <c r="EA734" s="451"/>
      <c r="EB734" s="451"/>
      <c r="EC734" s="451"/>
      <c r="ED734" s="451"/>
      <c r="EE734" s="451"/>
      <c r="EF734" s="451"/>
      <c r="EG734" s="451"/>
      <c r="EH734" s="451"/>
      <c r="EI734" s="451"/>
      <c r="EJ734" s="451"/>
      <c r="EK734" s="451"/>
      <c r="EL734" s="451"/>
      <c r="EM734" s="451"/>
      <c r="EN734" s="451"/>
      <c r="EO734" s="451"/>
      <c r="EP734" s="451"/>
      <c r="EQ734" s="451"/>
      <c r="ER734" s="451"/>
      <c r="ES734" s="451"/>
      <c r="ET734" s="451"/>
      <c r="EU734" s="451"/>
      <c r="EV734" s="451"/>
      <c r="EW734" s="451"/>
      <c r="EX734" s="451"/>
      <c r="EY734" s="451"/>
      <c r="EZ734" s="451"/>
      <c r="FA734" s="451"/>
      <c r="FB734" s="451"/>
      <c r="FC734" s="451"/>
      <c r="FD734" s="451"/>
      <c r="FE734" s="451"/>
      <c r="FF734" s="451"/>
      <c r="FG734" s="451"/>
      <c r="FH734" s="451"/>
      <c r="FI734" s="451"/>
      <c r="FJ734" s="451"/>
      <c r="FK734" s="451"/>
      <c r="FL734" s="451"/>
      <c r="FM734" s="451"/>
      <c r="FN734" s="451"/>
      <c r="FO734" s="451"/>
      <c r="FP734" s="451"/>
      <c r="FQ734" s="451"/>
      <c r="FR734" s="451"/>
      <c r="FS734" s="451"/>
      <c r="FT734" s="451"/>
      <c r="FU734" s="451"/>
      <c r="FV734" s="451"/>
      <c r="FW734" s="451"/>
      <c r="FX734" s="451"/>
      <c r="FY734" s="451"/>
      <c r="FZ734" s="451"/>
      <c r="GA734" s="451"/>
      <c r="GB734" s="451"/>
      <c r="GC734" s="451"/>
      <c r="GD734" s="451"/>
      <c r="GE734" s="451"/>
      <c r="GF734" s="451"/>
      <c r="GG734" s="451"/>
      <c r="GH734" s="451"/>
      <c r="GI734" s="451"/>
      <c r="GJ734" s="451"/>
      <c r="GK734" s="451"/>
      <c r="GL734" s="451"/>
      <c r="GM734" s="451"/>
      <c r="GN734" s="451"/>
      <c r="GO734" s="451"/>
      <c r="GP734" s="451"/>
      <c r="GQ734" s="451"/>
      <c r="GR734" s="451"/>
      <c r="GS734" s="451"/>
      <c r="GT734" s="451"/>
      <c r="GU734" s="451"/>
      <c r="GV734" s="451"/>
      <c r="GW734" s="451"/>
      <c r="GX734" s="451"/>
      <c r="GY734" s="451"/>
      <c r="GZ734" s="451"/>
      <c r="HA734" s="451"/>
      <c r="HB734" s="451"/>
      <c r="HC734" s="451"/>
      <c r="HD734" s="451"/>
      <c r="HE734" s="451"/>
      <c r="HF734" s="451"/>
      <c r="HG734" s="451"/>
      <c r="HH734" s="451"/>
      <c r="HI734" s="451"/>
      <c r="HJ734" s="451"/>
      <c r="HK734" s="451"/>
      <c r="HL734" s="451"/>
      <c r="HM734" s="451"/>
      <c r="HN734" s="451"/>
      <c r="HO734" s="451"/>
      <c r="HP734" s="451"/>
      <c r="HQ734" s="451"/>
      <c r="HR734" s="451"/>
      <c r="HS734" s="451"/>
      <c r="HT734" s="451"/>
      <c r="HU734" s="451"/>
      <c r="HV734" s="451"/>
      <c r="HW734" s="451"/>
      <c r="HX734" s="451"/>
      <c r="HY734" s="451"/>
      <c r="HZ734" s="451"/>
      <c r="IA734" s="451"/>
      <c r="IB734" s="451"/>
      <c r="IC734" s="451"/>
      <c r="ID734" s="451"/>
      <c r="IE734" s="451"/>
      <c r="IF734" s="451"/>
      <c r="IG734" s="451"/>
      <c r="IH734" s="451"/>
      <c r="II734" s="451"/>
      <c r="IJ734" s="451"/>
      <c r="IK734" s="451"/>
      <c r="IL734" s="451"/>
      <c r="IM734" s="451"/>
      <c r="IN734" s="451"/>
      <c r="IO734" s="451"/>
      <c r="IP734" s="451"/>
      <c r="IQ734" s="451"/>
      <c r="IR734" s="451"/>
      <c r="IS734" s="451"/>
      <c r="IT734" s="451"/>
      <c r="IU734" s="451"/>
      <c r="IV734" s="451"/>
      <c r="IW734" s="451"/>
      <c r="IX734" s="451"/>
      <c r="IY734" s="451"/>
      <c r="IZ734" s="451"/>
      <c r="JA734" s="451"/>
      <c r="JB734" s="451"/>
      <c r="JC734" s="451"/>
      <c r="JD734" s="451"/>
    </row>
    <row r="735" spans="1:264" s="347" customFormat="1" x14ac:dyDescent="0.2">
      <c r="A735" s="477" t="s">
        <v>543</v>
      </c>
      <c r="B735" s="446"/>
      <c r="C735" s="447"/>
      <c r="D735" s="447"/>
      <c r="E735" s="447"/>
      <c r="F735" s="447"/>
      <c r="G735" s="447"/>
      <c r="H735" s="447"/>
      <c r="I735" s="447"/>
      <c r="J735" s="447"/>
      <c r="K735" s="447"/>
      <c r="L735" s="447"/>
      <c r="M735" s="447"/>
      <c r="N735" s="447"/>
      <c r="O735" s="447"/>
      <c r="P735" s="447"/>
      <c r="Q735" s="447"/>
      <c r="R735" s="447"/>
      <c r="S735" s="447"/>
      <c r="T735" s="447"/>
      <c r="U735" s="447"/>
      <c r="V735" s="447"/>
      <c r="W735" s="447"/>
      <c r="X735" s="447"/>
      <c r="Y735" s="447"/>
      <c r="Z735" s="447"/>
      <c r="AA735" s="447"/>
      <c r="AB735" s="447"/>
      <c r="AC735" s="447"/>
      <c r="AD735" s="447"/>
      <c r="AE735" s="447"/>
      <c r="AF735" s="447"/>
      <c r="AG735" s="447"/>
      <c r="AH735" s="447"/>
      <c r="AI735" s="447"/>
      <c r="AJ735" s="447"/>
      <c r="AK735" s="447"/>
      <c r="AL735" s="447"/>
      <c r="AM735" s="447"/>
      <c r="AN735" s="447"/>
      <c r="AO735" s="447"/>
      <c r="AP735" s="447"/>
      <c r="AQ735" s="447"/>
      <c r="AR735" s="447"/>
      <c r="AS735" s="447"/>
      <c r="AT735" s="447"/>
      <c r="AU735" s="447"/>
      <c r="AV735" s="447"/>
      <c r="AW735" s="447"/>
      <c r="AX735" s="447"/>
      <c r="AY735" s="447"/>
      <c r="AZ735" s="447"/>
      <c r="BA735" s="447"/>
      <c r="BB735" s="447"/>
      <c r="BC735" s="447"/>
      <c r="BD735" s="447"/>
      <c r="BE735" s="447"/>
      <c r="BF735" s="447"/>
      <c r="BG735" s="447"/>
      <c r="BH735" s="446"/>
      <c r="BI735" s="446"/>
      <c r="BJ735" s="446"/>
      <c r="BK735" s="446"/>
      <c r="BL735" s="446"/>
      <c r="BM735" s="446"/>
      <c r="BN735" s="446"/>
      <c r="BO735" s="446"/>
      <c r="BP735" s="446"/>
      <c r="BQ735" s="446"/>
      <c r="BR735" s="446"/>
      <c r="BS735" s="447"/>
      <c r="BT735" s="446"/>
      <c r="BU735" s="446"/>
      <c r="BV735" s="446"/>
      <c r="BW735" s="447"/>
      <c r="BX735" s="446"/>
      <c r="BY735" s="447"/>
      <c r="BZ735" s="447"/>
      <c r="CA735" s="447"/>
      <c r="CB735" s="449"/>
      <c r="CC735" s="478">
        <f>+CC732/CB732-1</f>
        <v>-2.5862068965517238E-2</v>
      </c>
      <c r="CD735" s="449"/>
      <c r="CE735" s="447"/>
      <c r="CF735" s="478">
        <f>+CF732/CC732-1</f>
        <v>2.0648967551622377E-2</v>
      </c>
      <c r="CG735" s="478">
        <f>+CG732/CF732-1</f>
        <v>-2.8901734104046284E-2</v>
      </c>
      <c r="CH735" s="449"/>
      <c r="CI735" s="447"/>
      <c r="CJ735" s="478">
        <f ca="1">+CJ732/CG732-1</f>
        <v>4.1666666666666741E-2</v>
      </c>
      <c r="CK735" s="478">
        <f ca="1">+CK732/CJ732-1</f>
        <v>-5.7142857142856718E-3</v>
      </c>
      <c r="CL735" s="449"/>
      <c r="CM735" s="447"/>
      <c r="CN735" s="478">
        <f ca="1">+CN732/CK732-1</f>
        <v>5.7471264367816577E-3</v>
      </c>
      <c r="CO735" s="478">
        <f ca="1">+CO732/CN732-1</f>
        <v>-1.4285714285714235E-2</v>
      </c>
      <c r="CP735" s="449"/>
      <c r="CQ735" s="447"/>
      <c r="CR735" s="478">
        <f ca="1">+CR732/CO732-1</f>
        <v>8.6956521739129933E-3</v>
      </c>
      <c r="CS735" s="478">
        <f>+CS732/CR732-1</f>
        <v>5.7471264367816577E-3</v>
      </c>
      <c r="CT735" s="449"/>
      <c r="CU735" s="447"/>
      <c r="CV735" s="478"/>
      <c r="CW735" s="447"/>
      <c r="CX735" s="449"/>
      <c r="CY735" s="447"/>
      <c r="CZ735" s="471"/>
      <c r="DA735" s="471"/>
      <c r="DB735" s="449"/>
      <c r="DC735" s="447"/>
      <c r="DD735" s="471"/>
      <c r="DE735" s="471"/>
      <c r="DF735" s="449"/>
      <c r="DG735" s="447"/>
      <c r="DH735" s="471"/>
      <c r="DI735" s="471"/>
      <c r="DJ735" s="449"/>
      <c r="DK735" s="447"/>
      <c r="DL735" s="471"/>
      <c r="DM735" s="471"/>
      <c r="DN735" s="449"/>
      <c r="DO735" s="447"/>
      <c r="DP735" s="471"/>
      <c r="DQ735" s="471"/>
      <c r="DR735" s="449"/>
      <c r="DS735" s="447"/>
      <c r="DT735" s="1"/>
      <c r="DU735" s="1"/>
      <c r="DV735" s="1"/>
      <c r="DW735" s="1"/>
      <c r="DX735" s="1"/>
      <c r="DY735" s="1"/>
      <c r="DZ735" s="1"/>
      <c r="EA735" s="1"/>
      <c r="EB735" s="1"/>
      <c r="EC735" s="1"/>
      <c r="ED735" s="1"/>
      <c r="EE735" s="1"/>
      <c r="EF735" s="1"/>
      <c r="EG735" s="1"/>
      <c r="EH735" s="1"/>
      <c r="EI735" s="1"/>
      <c r="EJ735" s="1"/>
      <c r="EK735" s="1"/>
      <c r="EL735" s="1"/>
      <c r="EM735" s="1"/>
      <c r="EN735" s="1"/>
      <c r="EO735" s="1"/>
      <c r="EP735" s="1"/>
      <c r="EQ735" s="1"/>
      <c r="ER735" s="1"/>
      <c r="ES735" s="1"/>
      <c r="ET735" s="1"/>
      <c r="EU735" s="1"/>
      <c r="EV735" s="1"/>
      <c r="EW735" s="1"/>
      <c r="EX735" s="1"/>
      <c r="EY735" s="1"/>
      <c r="EZ735" s="1"/>
      <c r="FA735" s="1"/>
      <c r="FB735" s="1"/>
      <c r="FC735" s="1"/>
      <c r="FD735" s="1"/>
      <c r="FE735" s="1"/>
      <c r="FF735" s="1"/>
      <c r="FG735" s="1"/>
      <c r="FH735" s="1"/>
      <c r="FI735" s="1"/>
      <c r="FJ735" s="1"/>
      <c r="FK735" s="1"/>
      <c r="FL735" s="1"/>
      <c r="FM735" s="1"/>
      <c r="FN735" s="1"/>
      <c r="FO735" s="1"/>
      <c r="FP735" s="1"/>
      <c r="FQ735" s="1"/>
      <c r="FR735" s="1"/>
      <c r="FS735" s="1"/>
      <c r="FT735" s="1"/>
      <c r="FU735" s="1"/>
      <c r="FV735" s="1"/>
      <c r="FW735" s="1"/>
      <c r="FX735" s="1"/>
      <c r="FY735" s="1"/>
      <c r="FZ735" s="1"/>
      <c r="GA735" s="1"/>
      <c r="GB735" s="1"/>
      <c r="GC735" s="1"/>
      <c r="GD735" s="1"/>
      <c r="GE735" s="1"/>
      <c r="GF735" s="1"/>
      <c r="GG735" s="1"/>
      <c r="GH735" s="1"/>
      <c r="GI735" s="1"/>
      <c r="GJ735" s="1"/>
      <c r="GK735" s="1"/>
      <c r="GL735" s="1"/>
      <c r="GM735" s="1"/>
      <c r="GN735" s="1"/>
      <c r="GO735" s="1"/>
      <c r="GP735" s="1"/>
      <c r="GQ735" s="1"/>
      <c r="GR735" s="1"/>
      <c r="GS735" s="1"/>
      <c r="GT735" s="1"/>
      <c r="GU735" s="1"/>
      <c r="GV735" s="1"/>
      <c r="GW735" s="1"/>
      <c r="GX735" s="1"/>
      <c r="GY735" s="1"/>
      <c r="GZ735" s="1"/>
      <c r="HA735" s="1"/>
      <c r="HB735" s="1"/>
      <c r="HC735" s="1"/>
      <c r="HD735" s="1"/>
      <c r="HE735" s="1"/>
      <c r="HF735" s="1"/>
      <c r="HG735" s="1"/>
      <c r="HH735" s="1"/>
      <c r="HI735" s="1"/>
      <c r="HJ735" s="1"/>
      <c r="HK735" s="1"/>
      <c r="HL735" s="1"/>
      <c r="HM735" s="1"/>
      <c r="HN735" s="1"/>
      <c r="HO735" s="1"/>
      <c r="HP735" s="1"/>
      <c r="HQ735" s="1"/>
      <c r="HR735" s="1"/>
      <c r="HS735" s="1"/>
      <c r="HT735" s="1"/>
      <c r="HU735" s="1"/>
      <c r="HV735" s="1"/>
      <c r="HW735" s="1"/>
      <c r="HX735" s="1"/>
      <c r="HY735" s="1"/>
      <c r="HZ735" s="1"/>
      <c r="IA735" s="1"/>
      <c r="IB735" s="1"/>
      <c r="IC735" s="1"/>
      <c r="ID735" s="1"/>
      <c r="IE735" s="1"/>
      <c r="IF735" s="1"/>
      <c r="IG735" s="1"/>
      <c r="IH735" s="1"/>
      <c r="II735" s="1"/>
      <c r="IJ735" s="1"/>
      <c r="IK735" s="1"/>
      <c r="IL735" s="1"/>
      <c r="IM735" s="1"/>
      <c r="IN735" s="1"/>
      <c r="IO735" s="1"/>
      <c r="IP735" s="1"/>
      <c r="IQ735" s="1"/>
      <c r="IR735" s="1"/>
      <c r="IS735" s="1"/>
      <c r="IT735" s="1"/>
      <c r="IU735" s="1"/>
      <c r="IV735" s="1"/>
      <c r="IW735" s="1"/>
      <c r="IX735" s="1"/>
      <c r="IY735" s="1"/>
      <c r="IZ735" s="1"/>
      <c r="JA735" s="1"/>
      <c r="JB735" s="1"/>
      <c r="JC735" s="1"/>
      <c r="JD735" s="1"/>
    </row>
    <row r="736" spans="1:264" s="429" customFormat="1" x14ac:dyDescent="0.2">
      <c r="A736" s="477" t="s">
        <v>544</v>
      </c>
      <c r="B736" s="540"/>
      <c r="C736" s="477"/>
      <c r="D736" s="477"/>
      <c r="E736" s="477"/>
      <c r="F736" s="477"/>
      <c r="G736" s="477"/>
      <c r="H736" s="477"/>
      <c r="I736" s="477"/>
      <c r="J736" s="477"/>
      <c r="K736" s="477"/>
      <c r="L736" s="477"/>
      <c r="M736" s="477"/>
      <c r="N736" s="477"/>
      <c r="O736" s="477"/>
      <c r="P736" s="477"/>
      <c r="Q736" s="477"/>
      <c r="R736" s="477"/>
      <c r="S736" s="477"/>
      <c r="T736" s="477"/>
      <c r="U736" s="477"/>
      <c r="V736" s="477"/>
      <c r="W736" s="477"/>
      <c r="X736" s="477"/>
      <c r="Y736" s="477"/>
      <c r="Z736" s="477"/>
      <c r="AA736" s="477"/>
      <c r="AB736" s="477"/>
      <c r="AC736" s="477"/>
      <c r="AD736" s="477"/>
      <c r="AE736" s="477"/>
      <c r="AF736" s="477"/>
      <c r="AG736" s="477"/>
      <c r="AH736" s="477"/>
      <c r="AI736" s="477"/>
      <c r="AJ736" s="477"/>
      <c r="AK736" s="477"/>
      <c r="AL736" s="477"/>
      <c r="AM736" s="477"/>
      <c r="AN736" s="477"/>
      <c r="AO736" s="477"/>
      <c r="AP736" s="477"/>
      <c r="AQ736" s="477"/>
      <c r="AR736" s="477"/>
      <c r="AS736" s="477"/>
      <c r="AT736" s="477"/>
      <c r="AU736" s="477"/>
      <c r="AV736" s="477"/>
      <c r="AW736" s="477"/>
      <c r="AX736" s="477"/>
      <c r="AY736" s="477"/>
      <c r="AZ736" s="477"/>
      <c r="BA736" s="477"/>
      <c r="BB736" s="477"/>
      <c r="BC736" s="477"/>
      <c r="BD736" s="477"/>
      <c r="BE736" s="477"/>
      <c r="BF736" s="477"/>
      <c r="BG736" s="477"/>
      <c r="BH736" s="540"/>
      <c r="BI736" s="540"/>
      <c r="BJ736" s="540"/>
      <c r="BK736" s="540"/>
      <c r="BL736" s="540"/>
      <c r="BM736" s="540"/>
      <c r="BN736" s="540"/>
      <c r="BO736" s="540"/>
      <c r="BP736" s="540"/>
      <c r="BQ736" s="540"/>
      <c r="BR736" s="540"/>
      <c r="BS736" s="477"/>
      <c r="BT736" s="540"/>
      <c r="BU736" s="540"/>
      <c r="BV736" s="540"/>
      <c r="BW736" s="477"/>
      <c r="BX736" s="540"/>
      <c r="BY736" s="477"/>
      <c r="BZ736" s="477"/>
      <c r="CA736" s="477"/>
      <c r="CB736" s="478">
        <f>-CB733/CB732</f>
        <v>0.67816091954022983</v>
      </c>
      <c r="CC736" s="478">
        <f>-CC733/CC732</f>
        <v>0.62831858407079644</v>
      </c>
      <c r="CD736" s="478">
        <f>-CD733/CD732</f>
        <v>0.653566229985444</v>
      </c>
      <c r="CE736" s="477"/>
      <c r="CF736" s="478">
        <f>-CF733/CF732</f>
        <v>0.7947976878612717</v>
      </c>
      <c r="CG736" s="478">
        <f>-CG733/CG732</f>
        <v>0.7678571428571429</v>
      </c>
      <c r="CH736" s="478">
        <f>-CH733/CH732</f>
        <v>0.78152492668621698</v>
      </c>
      <c r="CI736" s="463"/>
      <c r="CJ736" s="478">
        <f ca="1">-CJ733/CJ732</f>
        <v>0.90857142857142859</v>
      </c>
      <c r="CK736" s="478">
        <f ca="1">-CK733/CK732</f>
        <v>0.68678160919540232</v>
      </c>
      <c r="CL736" s="478">
        <f ca="1">-CL733/CL732</f>
        <v>0.79799426934097417</v>
      </c>
      <c r="CM736" s="463"/>
      <c r="CN736" s="478">
        <f ca="1">-CN733/CN732</f>
        <v>0.74</v>
      </c>
      <c r="CO736" s="478">
        <f ca="1">-CO733/CO732</f>
        <v>0.84347826086956523</v>
      </c>
      <c r="CP736" s="478">
        <f ca="1">-CP733/CP732</f>
        <v>0.79136690647482011</v>
      </c>
      <c r="CQ736" s="463"/>
      <c r="CR736" s="478">
        <f>-CR733/CR732</f>
        <v>0.94827586206896552</v>
      </c>
      <c r="CS736" s="478">
        <f>-CS733/CS732</f>
        <v>0.84285714285714286</v>
      </c>
      <c r="CT736" s="478">
        <f>-CT733/CT732</f>
        <v>0.89541547277936961</v>
      </c>
      <c r="CU736" s="463"/>
      <c r="CV736" s="478"/>
      <c r="CW736" s="463"/>
      <c r="CX736" s="478"/>
      <c r="CY736" s="463"/>
      <c r="CZ736" s="638"/>
      <c r="DA736" s="638"/>
      <c r="DB736" s="478"/>
      <c r="DC736" s="463"/>
      <c r="DD736" s="638"/>
      <c r="DE736" s="638"/>
      <c r="DF736" s="478"/>
      <c r="DG736" s="463"/>
      <c r="DH736" s="638"/>
      <c r="DI736" s="638"/>
      <c r="DJ736" s="478"/>
      <c r="DK736" s="463"/>
      <c r="DL736" s="638"/>
      <c r="DM736" s="638"/>
      <c r="DN736" s="478"/>
      <c r="DO736" s="463"/>
      <c r="DP736" s="638"/>
      <c r="DQ736" s="638"/>
      <c r="DR736" s="478"/>
      <c r="DS736" s="463"/>
      <c r="DT736" s="457"/>
      <c r="DU736" s="457"/>
      <c r="DV736" s="457"/>
      <c r="DW736" s="457"/>
      <c r="DX736" s="457"/>
      <c r="DY736" s="457"/>
      <c r="DZ736" s="457"/>
      <c r="EA736" s="457"/>
      <c r="EB736" s="457"/>
      <c r="EC736" s="457"/>
      <c r="ED736" s="457"/>
      <c r="EE736" s="457"/>
      <c r="EF736" s="457"/>
      <c r="EG736" s="457"/>
      <c r="EH736" s="457"/>
      <c r="EI736" s="457"/>
      <c r="EJ736" s="457"/>
      <c r="EK736" s="457"/>
      <c r="EL736" s="457"/>
      <c r="EM736" s="457"/>
      <c r="EN736" s="457"/>
      <c r="EO736" s="457"/>
      <c r="EP736" s="457"/>
      <c r="EQ736" s="457"/>
      <c r="ER736" s="457"/>
      <c r="ES736" s="457"/>
      <c r="ET736" s="457"/>
      <c r="EU736" s="457"/>
      <c r="EV736" s="457"/>
      <c r="EW736" s="457"/>
      <c r="EX736" s="457"/>
      <c r="EY736" s="457"/>
      <c r="EZ736" s="457"/>
      <c r="FA736" s="457"/>
      <c r="FB736" s="457"/>
      <c r="FC736" s="457"/>
      <c r="FD736" s="457"/>
      <c r="FE736" s="457"/>
      <c r="FF736" s="457"/>
      <c r="FG736" s="457"/>
      <c r="FH736" s="457"/>
      <c r="FI736" s="457"/>
      <c r="FJ736" s="457"/>
      <c r="FK736" s="457"/>
      <c r="FL736" s="457"/>
      <c r="FM736" s="457"/>
      <c r="FN736" s="457"/>
      <c r="FO736" s="457"/>
      <c r="FP736" s="457"/>
      <c r="FQ736" s="457"/>
      <c r="FR736" s="457"/>
      <c r="FS736" s="457"/>
      <c r="FT736" s="457"/>
      <c r="FU736" s="457"/>
      <c r="FV736" s="457"/>
      <c r="FW736" s="457"/>
      <c r="FX736" s="457"/>
      <c r="FY736" s="457"/>
      <c r="FZ736" s="457"/>
      <c r="GA736" s="457"/>
      <c r="GB736" s="457"/>
      <c r="GC736" s="457"/>
      <c r="GD736" s="457"/>
      <c r="GE736" s="457"/>
      <c r="GF736" s="457"/>
      <c r="GG736" s="457"/>
      <c r="GH736" s="457"/>
      <c r="GI736" s="457"/>
      <c r="GJ736" s="457"/>
      <c r="GK736" s="457"/>
      <c r="GL736" s="457"/>
      <c r="GM736" s="457"/>
      <c r="GN736" s="457"/>
      <c r="GO736" s="457"/>
      <c r="GP736" s="457"/>
      <c r="GQ736" s="457"/>
      <c r="GR736" s="457"/>
      <c r="GS736" s="457"/>
      <c r="GT736" s="457"/>
      <c r="GU736" s="457"/>
      <c r="GV736" s="457"/>
      <c r="GW736" s="457"/>
      <c r="GX736" s="457"/>
      <c r="GY736" s="457"/>
      <c r="GZ736" s="457"/>
      <c r="HA736" s="457"/>
      <c r="HB736" s="457"/>
      <c r="HC736" s="457"/>
      <c r="HD736" s="457"/>
      <c r="HE736" s="457"/>
      <c r="HF736" s="457"/>
      <c r="HG736" s="457"/>
      <c r="HH736" s="457"/>
      <c r="HI736" s="457"/>
      <c r="HJ736" s="457"/>
      <c r="HK736" s="457"/>
      <c r="HL736" s="457"/>
      <c r="HM736" s="457"/>
      <c r="HN736" s="457"/>
      <c r="HO736" s="457"/>
      <c r="HP736" s="457"/>
      <c r="HQ736" s="457"/>
      <c r="HR736" s="457"/>
      <c r="HS736" s="457"/>
      <c r="HT736" s="457"/>
      <c r="HU736" s="457"/>
      <c r="HV736" s="457"/>
      <c r="HW736" s="457"/>
      <c r="HX736" s="457"/>
      <c r="HY736" s="457"/>
      <c r="HZ736" s="457"/>
      <c r="IA736" s="457"/>
      <c r="IB736" s="457"/>
      <c r="IC736" s="457"/>
      <c r="ID736" s="457"/>
      <c r="IE736" s="457"/>
      <c r="IF736" s="457"/>
      <c r="IG736" s="457"/>
      <c r="IH736" s="457"/>
      <c r="II736" s="457"/>
      <c r="IJ736" s="457"/>
      <c r="IK736" s="457"/>
      <c r="IL736" s="457"/>
      <c r="IM736" s="457"/>
      <c r="IN736" s="457"/>
      <c r="IO736" s="457"/>
      <c r="IP736" s="457"/>
      <c r="IQ736" s="457"/>
      <c r="IR736" s="457"/>
      <c r="IS736" s="457"/>
      <c r="IT736" s="457"/>
      <c r="IU736" s="457"/>
      <c r="IV736" s="457"/>
      <c r="IW736" s="457"/>
      <c r="IX736" s="457"/>
      <c r="IY736" s="457"/>
      <c r="IZ736" s="457"/>
      <c r="JA736" s="457"/>
      <c r="JB736" s="457"/>
      <c r="JC736" s="457"/>
      <c r="JD736" s="457"/>
    </row>
    <row r="737" spans="1:264" s="429" customFormat="1" x14ac:dyDescent="0.2">
      <c r="A737" s="429" t="s">
        <v>545</v>
      </c>
      <c r="B737" s="408"/>
      <c r="BH737" s="408"/>
      <c r="BI737" s="408"/>
      <c r="BJ737" s="408"/>
      <c r="BK737" s="408"/>
      <c r="BL737" s="408"/>
      <c r="BM737" s="408"/>
      <c r="BN737" s="408"/>
      <c r="BO737" s="408"/>
      <c r="BP737" s="408"/>
      <c r="BQ737" s="408"/>
      <c r="BR737" s="408"/>
      <c r="BT737" s="408"/>
      <c r="BU737" s="408"/>
      <c r="BV737" s="408"/>
      <c r="BX737" s="408"/>
      <c r="CB737" s="394">
        <f>CB734/CB732</f>
        <v>0.32183908045977011</v>
      </c>
      <c r="CC737" s="394">
        <f>CC734/CC732</f>
        <v>0.37168141592920356</v>
      </c>
      <c r="CD737" s="394">
        <f>CD734/CD732</f>
        <v>0.34643377001455605</v>
      </c>
      <c r="CF737" s="394">
        <f>CF734/CF732</f>
        <v>0.20520231213872833</v>
      </c>
      <c r="CG737" s="394">
        <f>CG734/CG732</f>
        <v>0.23214285714285715</v>
      </c>
      <c r="CH737" s="394">
        <f>CH734/CH732</f>
        <v>0.21847507331378299</v>
      </c>
      <c r="CJ737" s="394">
        <f ca="1">CJ734/CJ732</f>
        <v>9.1428571428571428E-2</v>
      </c>
      <c r="CK737" s="394">
        <f ca="1">CK734/CK732</f>
        <v>0.31321839080459768</v>
      </c>
      <c r="CL737" s="394">
        <f ca="1">CL734/CL732</f>
        <v>0.2020057306590258</v>
      </c>
      <c r="CN737" s="394">
        <f ca="1">CN734/CN732</f>
        <v>0.26</v>
      </c>
      <c r="CO737" s="394">
        <f ca="1">CO734/CO732</f>
        <v>0.15652173913043479</v>
      </c>
      <c r="CP737" s="394">
        <f ca="1">CP734/CP732</f>
        <v>0.20863309352517986</v>
      </c>
      <c r="CR737" s="394">
        <f>CR734/CR732</f>
        <v>5.1724137931034482E-2</v>
      </c>
      <c r="CS737" s="394">
        <f>CS734/CS732</f>
        <v>0.15714285714285714</v>
      </c>
      <c r="CT737" s="394">
        <f>CT734/CT732</f>
        <v>0.10458452722063037</v>
      </c>
      <c r="CV737" s="394"/>
      <c r="CX737" s="394"/>
      <c r="CZ737" s="394"/>
      <c r="DA737" s="394"/>
      <c r="DB737" s="394"/>
      <c r="DD737" s="394"/>
      <c r="DE737" s="394"/>
      <c r="DF737" s="394"/>
      <c r="DH737" s="394"/>
      <c r="DI737" s="394"/>
      <c r="DJ737" s="394"/>
      <c r="DL737" s="394"/>
      <c r="DM737" s="394"/>
      <c r="DN737" s="394"/>
      <c r="DP737" s="394"/>
      <c r="DQ737" s="394"/>
      <c r="DR737" s="394"/>
      <c r="DT737" s="457"/>
      <c r="DU737" s="457"/>
      <c r="DV737" s="457"/>
      <c r="DW737" s="457"/>
      <c r="DX737" s="457"/>
      <c r="DY737" s="457"/>
      <c r="DZ737" s="457"/>
      <c r="EA737" s="457"/>
      <c r="EB737" s="457"/>
      <c r="EC737" s="457"/>
      <c r="ED737" s="457"/>
      <c r="EE737" s="457"/>
      <c r="EF737" s="457"/>
      <c r="EG737" s="457"/>
      <c r="EH737" s="457"/>
      <c r="EI737" s="457"/>
      <c r="EJ737" s="457"/>
      <c r="EK737" s="457"/>
      <c r="EL737" s="457"/>
      <c r="EM737" s="457"/>
      <c r="EN737" s="457"/>
      <c r="EO737" s="457"/>
      <c r="EP737" s="457"/>
      <c r="EQ737" s="457"/>
      <c r="ER737" s="457"/>
      <c r="ES737" s="457"/>
      <c r="ET737" s="457"/>
      <c r="EU737" s="457"/>
      <c r="EV737" s="457"/>
      <c r="EW737" s="457"/>
      <c r="EX737" s="457"/>
      <c r="EY737" s="457"/>
      <c r="EZ737" s="457"/>
      <c r="FA737" s="457"/>
      <c r="FB737" s="457"/>
      <c r="FC737" s="457"/>
      <c r="FD737" s="457"/>
      <c r="FE737" s="457"/>
      <c r="FF737" s="457"/>
      <c r="FG737" s="457"/>
      <c r="FH737" s="457"/>
      <c r="FI737" s="457"/>
      <c r="FJ737" s="457"/>
      <c r="FK737" s="457"/>
      <c r="FL737" s="457"/>
      <c r="FM737" s="457"/>
      <c r="FN737" s="457"/>
      <c r="FO737" s="457"/>
      <c r="FP737" s="457"/>
      <c r="FQ737" s="457"/>
      <c r="FR737" s="457"/>
      <c r="FS737" s="457"/>
      <c r="FT737" s="457"/>
      <c r="FU737" s="457"/>
      <c r="FV737" s="457"/>
      <c r="FW737" s="457"/>
      <c r="FX737" s="457"/>
      <c r="FY737" s="457"/>
      <c r="FZ737" s="457"/>
      <c r="GA737" s="457"/>
      <c r="GB737" s="457"/>
      <c r="GC737" s="457"/>
      <c r="GD737" s="457"/>
      <c r="GE737" s="457"/>
      <c r="GF737" s="457"/>
      <c r="GG737" s="457"/>
      <c r="GH737" s="457"/>
      <c r="GI737" s="457"/>
      <c r="GJ737" s="457"/>
      <c r="GK737" s="457"/>
      <c r="GL737" s="457"/>
      <c r="GM737" s="457"/>
      <c r="GN737" s="457"/>
      <c r="GO737" s="457"/>
      <c r="GP737" s="457"/>
      <c r="GQ737" s="457"/>
      <c r="GR737" s="457"/>
      <c r="GS737" s="457"/>
      <c r="GT737" s="457"/>
      <c r="GU737" s="457"/>
      <c r="GV737" s="457"/>
      <c r="GW737" s="457"/>
      <c r="GX737" s="457"/>
      <c r="GY737" s="457"/>
      <c r="GZ737" s="457"/>
      <c r="HA737" s="457"/>
      <c r="HB737" s="457"/>
      <c r="HC737" s="457"/>
      <c r="HD737" s="457"/>
      <c r="HE737" s="457"/>
      <c r="HF737" s="457"/>
      <c r="HG737" s="457"/>
      <c r="HH737" s="457"/>
      <c r="HI737" s="457"/>
      <c r="HJ737" s="457"/>
      <c r="HK737" s="457"/>
      <c r="HL737" s="457"/>
      <c r="HM737" s="457"/>
      <c r="HN737" s="457"/>
      <c r="HO737" s="457"/>
      <c r="HP737" s="457"/>
      <c r="HQ737" s="457"/>
      <c r="HR737" s="457"/>
      <c r="HS737" s="457"/>
      <c r="HT737" s="457"/>
      <c r="HU737" s="457"/>
      <c r="HV737" s="457"/>
      <c r="HW737" s="457"/>
      <c r="HX737" s="457"/>
      <c r="HY737" s="457"/>
      <c r="HZ737" s="457"/>
      <c r="IA737" s="457"/>
      <c r="IB737" s="457"/>
      <c r="IC737" s="457"/>
      <c r="ID737" s="457"/>
      <c r="IE737" s="457"/>
      <c r="IF737" s="457"/>
      <c r="IG737" s="457"/>
      <c r="IH737" s="457"/>
      <c r="II737" s="457"/>
      <c r="IJ737" s="457"/>
      <c r="IK737" s="457"/>
      <c r="IL737" s="457"/>
      <c r="IM737" s="457"/>
      <c r="IN737" s="457"/>
      <c r="IO737" s="457"/>
      <c r="IP737" s="457"/>
      <c r="IQ737" s="457"/>
      <c r="IR737" s="457"/>
      <c r="IS737" s="457"/>
      <c r="IT737" s="457"/>
      <c r="IU737" s="457"/>
      <c r="IV737" s="457"/>
      <c r="IW737" s="457"/>
      <c r="IX737" s="457"/>
      <c r="IY737" s="457"/>
      <c r="IZ737" s="457"/>
      <c r="JA737" s="457"/>
      <c r="JB737" s="457"/>
      <c r="JC737" s="457"/>
      <c r="JD737" s="457"/>
    </row>
    <row r="738" spans="1:264" s="347" customFormat="1" x14ac:dyDescent="0.2">
      <c r="A738" s="411"/>
      <c r="B738" s="348"/>
      <c r="BH738" s="348"/>
      <c r="BI738" s="348"/>
      <c r="BJ738" s="348"/>
      <c r="BK738" s="348"/>
      <c r="BL738" s="348"/>
      <c r="BM738" s="348"/>
      <c r="BN738" s="348"/>
      <c r="BO738" s="348"/>
      <c r="BP738" s="348"/>
      <c r="BQ738" s="348"/>
      <c r="BR738" s="348"/>
      <c r="BT738" s="348"/>
      <c r="BU738" s="348"/>
      <c r="BV738" s="348"/>
      <c r="BX738" s="348"/>
      <c r="CB738" s="348"/>
      <c r="CF738" s="348"/>
      <c r="CJ738" s="348"/>
      <c r="CN738" s="348"/>
      <c r="CR738" s="348"/>
      <c r="CV738" s="348"/>
      <c r="CZ738" s="348"/>
      <c r="DD738" s="348"/>
      <c r="DH738" s="348"/>
      <c r="DL738" s="348"/>
      <c r="DP738" s="348"/>
      <c r="DT738" s="1"/>
      <c r="DU738" s="1"/>
      <c r="DV738" s="1"/>
      <c r="DW738" s="1"/>
      <c r="DX738" s="1"/>
      <c r="DY738" s="1"/>
      <c r="DZ738" s="1"/>
      <c r="EA738" s="1"/>
      <c r="EB738" s="1"/>
      <c r="EC738" s="1"/>
      <c r="ED738" s="1"/>
      <c r="EE738" s="1"/>
      <c r="EF738" s="1"/>
      <c r="EG738" s="1"/>
      <c r="EH738" s="1"/>
      <c r="EI738" s="1"/>
      <c r="EJ738" s="1"/>
      <c r="EK738" s="1"/>
      <c r="EL738" s="1"/>
      <c r="EM738" s="1"/>
      <c r="EN738" s="1"/>
      <c r="EO738" s="1"/>
      <c r="EP738" s="1"/>
      <c r="EQ738" s="1"/>
      <c r="ER738" s="1"/>
      <c r="ES738" s="1"/>
      <c r="ET738" s="1"/>
      <c r="EU738" s="1"/>
      <c r="EV738" s="1"/>
      <c r="EW738" s="1"/>
      <c r="EX738" s="1"/>
      <c r="EY738" s="1"/>
      <c r="EZ738" s="1"/>
      <c r="FA738" s="1"/>
      <c r="FB738" s="1"/>
      <c r="FC738" s="1"/>
      <c r="FD738" s="1"/>
      <c r="FE738" s="1"/>
      <c r="FF738" s="1"/>
      <c r="FG738" s="1"/>
      <c r="FH738" s="1"/>
      <c r="FI738" s="1"/>
      <c r="FJ738" s="1"/>
      <c r="FK738" s="1"/>
      <c r="FL738" s="1"/>
      <c r="FM738" s="1"/>
      <c r="FN738" s="1"/>
      <c r="FO738" s="1"/>
      <c r="FP738" s="1"/>
      <c r="FQ738" s="1"/>
      <c r="FR738" s="1"/>
      <c r="FS738" s="1"/>
      <c r="FT738" s="1"/>
      <c r="FU738" s="1"/>
      <c r="FV738" s="1"/>
      <c r="FW738" s="1"/>
      <c r="FX738" s="1"/>
      <c r="FY738" s="1"/>
      <c r="FZ738" s="1"/>
      <c r="GA738" s="1"/>
      <c r="GB738" s="1"/>
      <c r="GC738" s="1"/>
      <c r="GD738" s="1"/>
      <c r="GE738" s="1"/>
      <c r="GF738" s="1"/>
      <c r="GG738" s="1"/>
      <c r="GH738" s="1"/>
      <c r="GI738" s="1"/>
      <c r="GJ738" s="1"/>
      <c r="GK738" s="1"/>
      <c r="GL738" s="1"/>
      <c r="GM738" s="1"/>
      <c r="GN738" s="1"/>
      <c r="GO738" s="1"/>
      <c r="GP738" s="1"/>
      <c r="GQ738" s="1"/>
      <c r="GR738" s="1"/>
      <c r="GS738" s="1"/>
      <c r="GT738" s="1"/>
      <c r="GU738" s="1"/>
      <c r="GV738" s="1"/>
      <c r="GW738" s="1"/>
      <c r="GX738" s="1"/>
      <c r="GY738" s="1"/>
      <c r="GZ738" s="1"/>
      <c r="HA738" s="1"/>
      <c r="HB738" s="1"/>
      <c r="HC738" s="1"/>
      <c r="HD738" s="1"/>
      <c r="HE738" s="1"/>
      <c r="HF738" s="1"/>
      <c r="HG738" s="1"/>
      <c r="HH738" s="1"/>
      <c r="HI738" s="1"/>
      <c r="HJ738" s="1"/>
      <c r="HK738" s="1"/>
      <c r="HL738" s="1"/>
      <c r="HM738" s="1"/>
      <c r="HN738" s="1"/>
      <c r="HO738" s="1"/>
      <c r="HP738" s="1"/>
      <c r="HQ738" s="1"/>
      <c r="HR738" s="1"/>
      <c r="HS738" s="1"/>
      <c r="HT738" s="1"/>
      <c r="HU738" s="1"/>
      <c r="HV738" s="1"/>
      <c r="HW738" s="1"/>
      <c r="HX738" s="1"/>
      <c r="HY738" s="1"/>
      <c r="HZ738" s="1"/>
      <c r="IA738" s="1"/>
      <c r="IB738" s="1"/>
      <c r="IC738" s="1"/>
      <c r="ID738" s="1"/>
      <c r="IE738" s="1"/>
      <c r="IF738" s="1"/>
      <c r="IG738" s="1"/>
      <c r="IH738" s="1"/>
      <c r="II738" s="1"/>
      <c r="IJ738" s="1"/>
      <c r="IK738" s="1"/>
      <c r="IL738" s="1"/>
      <c r="IM738" s="1"/>
      <c r="IN738" s="1"/>
      <c r="IO738" s="1"/>
      <c r="IP738" s="1"/>
      <c r="IQ738" s="1"/>
      <c r="IR738" s="1"/>
      <c r="IS738" s="1"/>
      <c r="IT738" s="1"/>
      <c r="IU738" s="1"/>
      <c r="IV738" s="1"/>
      <c r="IW738" s="1"/>
      <c r="IX738" s="1"/>
      <c r="IY738" s="1"/>
      <c r="IZ738" s="1"/>
      <c r="JA738" s="1"/>
      <c r="JB738" s="1"/>
      <c r="JC738" s="1"/>
      <c r="JD738" s="1"/>
    </row>
    <row r="739" spans="1:264" s="347" customFormat="1" x14ac:dyDescent="0.2">
      <c r="A739" s="347" t="s">
        <v>546</v>
      </c>
      <c r="B739" s="348"/>
      <c r="BH739" s="348"/>
      <c r="BI739" s="348"/>
      <c r="BJ739" s="348"/>
      <c r="BK739" s="348"/>
      <c r="BL739" s="348"/>
      <c r="BM739" s="348"/>
      <c r="BN739" s="348"/>
      <c r="BO739" s="348"/>
      <c r="BP739" s="348"/>
      <c r="BQ739" s="348"/>
      <c r="BR739" s="348"/>
      <c r="BT739" s="348"/>
      <c r="BU739" s="348"/>
      <c r="BV739" s="348"/>
      <c r="BX739" s="348"/>
      <c r="CB739" s="348"/>
      <c r="CF739" s="644">
        <f>CF741-CF734</f>
        <v>-48.142857142857139</v>
      </c>
      <c r="CG739" s="644">
        <f>CG741-CG734</f>
        <v>-40.857142857142854</v>
      </c>
      <c r="CH739" s="644">
        <f>+CF739+CG739</f>
        <v>-89</v>
      </c>
      <c r="CJ739" s="644">
        <f>CJ741-CJ734</f>
        <v>-52</v>
      </c>
      <c r="CK739" s="644">
        <f>CK741-CK734</f>
        <v>-51.857142857142854</v>
      </c>
      <c r="CL739" s="644">
        <f>+CJ739+CK739</f>
        <v>-103.85714285714286</v>
      </c>
      <c r="CN739" s="644">
        <f>CN741-CN734</f>
        <v>-53.857142857142854</v>
      </c>
      <c r="CO739" s="644">
        <f>CO741-CO734</f>
        <v>-61.142857142857146</v>
      </c>
      <c r="CP739" s="644">
        <f>+CN739+CO739</f>
        <v>-115</v>
      </c>
      <c r="CR739" s="644">
        <f>CR741-CR734</f>
        <v>-55.142857142857146</v>
      </c>
      <c r="CS739" s="644">
        <f>CS741-CS734</f>
        <v>-56.428571428571431</v>
      </c>
      <c r="CT739" s="644">
        <f>+CR739+CS739</f>
        <v>-111.57142857142858</v>
      </c>
      <c r="CV739" s="644"/>
      <c r="CX739" s="644"/>
      <c r="CZ739" s="644"/>
      <c r="DA739" s="644"/>
      <c r="DB739" s="644"/>
      <c r="DD739" s="644"/>
      <c r="DE739" s="644"/>
      <c r="DF739" s="644"/>
      <c r="DH739" s="644"/>
      <c r="DI739" s="644"/>
      <c r="DJ739" s="644"/>
      <c r="DL739" s="644"/>
      <c r="DM739" s="644"/>
      <c r="DN739" s="644"/>
      <c r="DP739" s="644"/>
      <c r="DQ739" s="644"/>
      <c r="DR739" s="644"/>
      <c r="DT739" s="1"/>
      <c r="DU739" s="1"/>
      <c r="DV739" s="1"/>
      <c r="DW739" s="1"/>
      <c r="DX739" s="1"/>
      <c r="DY739" s="1"/>
      <c r="DZ739" s="1"/>
      <c r="EA739" s="1"/>
      <c r="EB739" s="1"/>
      <c r="EC739" s="1"/>
      <c r="ED739" s="1"/>
      <c r="EE739" s="1"/>
      <c r="EF739" s="1"/>
      <c r="EG739" s="1"/>
      <c r="EH739" s="1"/>
      <c r="EI739" s="1"/>
      <c r="EJ739" s="1"/>
      <c r="EK739" s="1"/>
      <c r="EL739" s="1"/>
      <c r="EM739" s="1"/>
      <c r="EN739" s="1"/>
      <c r="EO739" s="1"/>
      <c r="EP739" s="1"/>
      <c r="EQ739" s="1"/>
      <c r="ER739" s="1"/>
      <c r="ES739" s="1"/>
      <c r="ET739" s="1"/>
      <c r="EU739" s="1"/>
      <c r="EV739" s="1"/>
      <c r="EW739" s="1"/>
      <c r="EX739" s="1"/>
      <c r="EY739" s="1"/>
      <c r="EZ739" s="1"/>
      <c r="FA739" s="1"/>
      <c r="FB739" s="1"/>
      <c r="FC739" s="1"/>
      <c r="FD739" s="1"/>
      <c r="FE739" s="1"/>
      <c r="FF739" s="1"/>
      <c r="FG739" s="1"/>
      <c r="FH739" s="1"/>
      <c r="FI739" s="1"/>
      <c r="FJ739" s="1"/>
      <c r="FK739" s="1"/>
      <c r="FL739" s="1"/>
      <c r="FM739" s="1"/>
      <c r="FN739" s="1"/>
      <c r="FO739" s="1"/>
      <c r="FP739" s="1"/>
      <c r="FQ739" s="1"/>
      <c r="FR739" s="1"/>
      <c r="FS739" s="1"/>
      <c r="FT739" s="1"/>
      <c r="FU739" s="1"/>
      <c r="FV739" s="1"/>
      <c r="FW739" s="1"/>
      <c r="FX739" s="1"/>
      <c r="FY739" s="1"/>
      <c r="FZ739" s="1"/>
      <c r="GA739" s="1"/>
      <c r="GB739" s="1"/>
      <c r="GC739" s="1"/>
      <c r="GD739" s="1"/>
      <c r="GE739" s="1"/>
      <c r="GF739" s="1"/>
      <c r="GG739" s="1"/>
      <c r="GH739" s="1"/>
      <c r="GI739" s="1"/>
      <c r="GJ739" s="1"/>
      <c r="GK739" s="1"/>
      <c r="GL739" s="1"/>
      <c r="GM739" s="1"/>
      <c r="GN739" s="1"/>
      <c r="GO739" s="1"/>
      <c r="GP739" s="1"/>
      <c r="GQ739" s="1"/>
      <c r="GR739" s="1"/>
      <c r="GS739" s="1"/>
      <c r="GT739" s="1"/>
      <c r="GU739" s="1"/>
      <c r="GV739" s="1"/>
      <c r="GW739" s="1"/>
      <c r="GX739" s="1"/>
      <c r="GY739" s="1"/>
      <c r="GZ739" s="1"/>
      <c r="HA739" s="1"/>
      <c r="HB739" s="1"/>
      <c r="HC739" s="1"/>
      <c r="HD739" s="1"/>
      <c r="HE739" s="1"/>
      <c r="HF739" s="1"/>
      <c r="HG739" s="1"/>
      <c r="HH739" s="1"/>
      <c r="HI739" s="1"/>
      <c r="HJ739" s="1"/>
      <c r="HK739" s="1"/>
      <c r="HL739" s="1"/>
      <c r="HM739" s="1"/>
      <c r="HN739" s="1"/>
      <c r="HO739" s="1"/>
      <c r="HP739" s="1"/>
      <c r="HQ739" s="1"/>
      <c r="HR739" s="1"/>
      <c r="HS739" s="1"/>
      <c r="HT739" s="1"/>
      <c r="HU739" s="1"/>
      <c r="HV739" s="1"/>
      <c r="HW739" s="1"/>
      <c r="HX739" s="1"/>
      <c r="HY739" s="1"/>
      <c r="HZ739" s="1"/>
      <c r="IA739" s="1"/>
      <c r="IB739" s="1"/>
      <c r="IC739" s="1"/>
      <c r="ID739" s="1"/>
      <c r="IE739" s="1"/>
      <c r="IF739" s="1"/>
      <c r="IG739" s="1"/>
      <c r="IH739" s="1"/>
      <c r="II739" s="1"/>
      <c r="IJ739" s="1"/>
      <c r="IK739" s="1"/>
      <c r="IL739" s="1"/>
      <c r="IM739" s="1"/>
      <c r="IN739" s="1"/>
      <c r="IO739" s="1"/>
      <c r="IP739" s="1"/>
      <c r="IQ739" s="1"/>
      <c r="IR739" s="1"/>
      <c r="IS739" s="1"/>
      <c r="IT739" s="1"/>
      <c r="IU739" s="1"/>
      <c r="IV739" s="1"/>
      <c r="IW739" s="1"/>
      <c r="IX739" s="1"/>
      <c r="IY739" s="1"/>
      <c r="IZ739" s="1"/>
      <c r="JA739" s="1"/>
      <c r="JB739" s="1"/>
      <c r="JC739" s="1"/>
      <c r="JD739" s="1"/>
    </row>
    <row r="740" spans="1:264" s="429" customFormat="1" x14ac:dyDescent="0.2">
      <c r="A740" s="477" t="s">
        <v>547</v>
      </c>
      <c r="B740" s="540"/>
      <c r="C740" s="477"/>
      <c r="D740" s="477"/>
      <c r="E740" s="477"/>
      <c r="F740" s="477"/>
      <c r="G740" s="477"/>
      <c r="H740" s="477"/>
      <c r="I740" s="477"/>
      <c r="J740" s="477"/>
      <c r="K740" s="477"/>
      <c r="L740" s="477"/>
      <c r="M740" s="477"/>
      <c r="N740" s="477"/>
      <c r="O740" s="477"/>
      <c r="P740" s="477"/>
      <c r="Q740" s="477"/>
      <c r="R740" s="477"/>
      <c r="S740" s="477"/>
      <c r="T740" s="477"/>
      <c r="U740" s="477"/>
      <c r="V740" s="477"/>
      <c r="W740" s="477"/>
      <c r="X740" s="477"/>
      <c r="Y740" s="477"/>
      <c r="Z740" s="477"/>
      <c r="AA740" s="477"/>
      <c r="AB740" s="477"/>
      <c r="AC740" s="477"/>
      <c r="AD740" s="477"/>
      <c r="AE740" s="477"/>
      <c r="AF740" s="477"/>
      <c r="AG740" s="477"/>
      <c r="AH740" s="477"/>
      <c r="AI740" s="477"/>
      <c r="AJ740" s="477"/>
      <c r="AK740" s="477"/>
      <c r="AL740" s="477"/>
      <c r="AM740" s="477"/>
      <c r="AN740" s="477"/>
      <c r="AO740" s="477"/>
      <c r="AP740" s="477"/>
      <c r="AQ740" s="477"/>
      <c r="AR740" s="477"/>
      <c r="AS740" s="477"/>
      <c r="AT740" s="477"/>
      <c r="AU740" s="477"/>
      <c r="AV740" s="477"/>
      <c r="AW740" s="477"/>
      <c r="AX740" s="477"/>
      <c r="AY740" s="477"/>
      <c r="AZ740" s="477"/>
      <c r="BA740" s="477"/>
      <c r="BB740" s="477"/>
      <c r="BC740" s="477"/>
      <c r="BD740" s="477"/>
      <c r="BE740" s="477"/>
      <c r="BF740" s="477"/>
      <c r="BG740" s="477"/>
      <c r="BH740" s="540"/>
      <c r="BI740" s="540"/>
      <c r="BJ740" s="540"/>
      <c r="BK740" s="540"/>
      <c r="BL740" s="540"/>
      <c r="BM740" s="540"/>
      <c r="BN740" s="540"/>
      <c r="BO740" s="540"/>
      <c r="BP740" s="540"/>
      <c r="BQ740" s="540"/>
      <c r="BR740" s="540"/>
      <c r="BS740" s="477"/>
      <c r="BT740" s="540"/>
      <c r="BU740" s="540"/>
      <c r="BV740" s="540"/>
      <c r="BW740" s="477"/>
      <c r="BX740" s="540"/>
      <c r="BY740" s="477"/>
      <c r="BZ740" s="477"/>
      <c r="CA740" s="477"/>
      <c r="CB740" s="540"/>
      <c r="CC740" s="477"/>
      <c r="CD740" s="477"/>
      <c r="CE740" s="477"/>
      <c r="CF740" s="478">
        <f>-CF739/CF732</f>
        <v>0.13914120561519405</v>
      </c>
      <c r="CG740" s="478">
        <f>-CG739/CG732</f>
        <v>0.12159863945578231</v>
      </c>
      <c r="CH740" s="478">
        <f>-CH739/CH732</f>
        <v>0.13049853372434017</v>
      </c>
      <c r="CI740" s="477"/>
      <c r="CJ740" s="478">
        <f ca="1">-CJ739/CJ732</f>
        <v>0.14857142857142858</v>
      </c>
      <c r="CK740" s="478">
        <f ca="1">-CK739/CK732</f>
        <v>0.14901477832512314</v>
      </c>
      <c r="CL740" s="478">
        <f ca="1">-CL739/CL732</f>
        <v>0.14879246827670897</v>
      </c>
      <c r="CM740" s="477"/>
      <c r="CN740" s="478">
        <f ca="1">-CN739/CN732</f>
        <v>0.15387755102040815</v>
      </c>
      <c r="CO740" s="478">
        <f ca="1">-CO739/CO732</f>
        <v>0.1772256728778468</v>
      </c>
      <c r="CP740" s="478">
        <f ca="1">-CP739/CP732</f>
        <v>0.16546762589928057</v>
      </c>
      <c r="CQ740" s="477"/>
      <c r="CR740" s="478">
        <f>-CR739/CR732</f>
        <v>0.15845648604269294</v>
      </c>
      <c r="CS740" s="478">
        <f>-CS739/CS732</f>
        <v>0.16122448979591839</v>
      </c>
      <c r="CT740" s="478">
        <f>-CT739/CT732</f>
        <v>0.15984445354072863</v>
      </c>
      <c r="CU740" s="477"/>
      <c r="CV740" s="478"/>
      <c r="CW740" s="477"/>
      <c r="CX740" s="478"/>
      <c r="CY740" s="477"/>
      <c r="CZ740" s="474"/>
      <c r="DA740" s="474"/>
      <c r="DB740" s="478"/>
      <c r="DC740" s="477"/>
      <c r="DD740" s="474"/>
      <c r="DE740" s="474"/>
      <c r="DF740" s="478"/>
      <c r="DG740" s="477"/>
      <c r="DH740" s="474"/>
      <c r="DI740" s="474"/>
      <c r="DJ740" s="478"/>
      <c r="DK740" s="477"/>
      <c r="DL740" s="474"/>
      <c r="DM740" s="474"/>
      <c r="DN740" s="478"/>
      <c r="DO740" s="477"/>
      <c r="DP740" s="474"/>
      <c r="DQ740" s="474"/>
      <c r="DR740" s="478"/>
      <c r="DS740" s="477"/>
      <c r="DT740" s="457"/>
      <c r="DU740" s="457"/>
      <c r="DV740" s="457"/>
      <c r="DW740" s="457"/>
      <c r="DX740" s="457"/>
      <c r="DY740" s="457"/>
      <c r="DZ740" s="457"/>
      <c r="EA740" s="457"/>
      <c r="EB740" s="457"/>
      <c r="EC740" s="457"/>
      <c r="ED740" s="457"/>
      <c r="EE740" s="457"/>
      <c r="EF740" s="457"/>
      <c r="EG740" s="457"/>
      <c r="EH740" s="457"/>
      <c r="EI740" s="457"/>
      <c r="EJ740" s="457"/>
      <c r="EK740" s="457"/>
      <c r="EL740" s="457"/>
      <c r="EM740" s="457"/>
      <c r="EN740" s="457"/>
      <c r="EO740" s="457"/>
      <c r="EP740" s="457"/>
      <c r="EQ740" s="457"/>
      <c r="ER740" s="457"/>
      <c r="ES740" s="457"/>
      <c r="ET740" s="457"/>
      <c r="EU740" s="457"/>
      <c r="EV740" s="457"/>
      <c r="EW740" s="457"/>
      <c r="EX740" s="457"/>
      <c r="EY740" s="457"/>
      <c r="EZ740" s="457"/>
      <c r="FA740" s="457"/>
      <c r="FB740" s="457"/>
      <c r="FC740" s="457"/>
      <c r="FD740" s="457"/>
      <c r="FE740" s="457"/>
      <c r="FF740" s="457"/>
      <c r="FG740" s="457"/>
      <c r="FH740" s="457"/>
      <c r="FI740" s="457"/>
      <c r="FJ740" s="457"/>
      <c r="FK740" s="457"/>
      <c r="FL740" s="457"/>
      <c r="FM740" s="457"/>
      <c r="FN740" s="457"/>
      <c r="FO740" s="457"/>
      <c r="FP740" s="457"/>
      <c r="FQ740" s="457"/>
      <c r="FR740" s="457"/>
      <c r="FS740" s="457"/>
      <c r="FT740" s="457"/>
      <c r="FU740" s="457"/>
      <c r="FV740" s="457"/>
      <c r="FW740" s="457"/>
      <c r="FX740" s="457"/>
      <c r="FY740" s="457"/>
      <c r="FZ740" s="457"/>
      <c r="GA740" s="457"/>
      <c r="GB740" s="457"/>
      <c r="GC740" s="457"/>
      <c r="GD740" s="457"/>
      <c r="GE740" s="457"/>
      <c r="GF740" s="457"/>
      <c r="GG740" s="457"/>
      <c r="GH740" s="457"/>
      <c r="GI740" s="457"/>
      <c r="GJ740" s="457"/>
      <c r="GK740" s="457"/>
      <c r="GL740" s="457"/>
      <c r="GM740" s="457"/>
      <c r="GN740" s="457"/>
      <c r="GO740" s="457"/>
      <c r="GP740" s="457"/>
      <c r="GQ740" s="457"/>
      <c r="GR740" s="457"/>
      <c r="GS740" s="457"/>
      <c r="GT740" s="457"/>
      <c r="GU740" s="457"/>
      <c r="GV740" s="457"/>
      <c r="GW740" s="457"/>
      <c r="GX740" s="457"/>
      <c r="GY740" s="457"/>
      <c r="GZ740" s="457"/>
      <c r="HA740" s="457"/>
      <c r="HB740" s="457"/>
      <c r="HC740" s="457"/>
      <c r="HD740" s="457"/>
      <c r="HE740" s="457"/>
      <c r="HF740" s="457"/>
      <c r="HG740" s="457"/>
      <c r="HH740" s="457"/>
      <c r="HI740" s="457"/>
      <c r="HJ740" s="457"/>
      <c r="HK740" s="457"/>
      <c r="HL740" s="457"/>
      <c r="HM740" s="457"/>
      <c r="HN740" s="457"/>
      <c r="HO740" s="457"/>
      <c r="HP740" s="457"/>
      <c r="HQ740" s="457"/>
      <c r="HR740" s="457"/>
      <c r="HS740" s="457"/>
      <c r="HT740" s="457"/>
      <c r="HU740" s="457"/>
      <c r="HV740" s="457"/>
      <c r="HW740" s="457"/>
      <c r="HX740" s="457"/>
      <c r="HY740" s="457"/>
      <c r="HZ740" s="457"/>
      <c r="IA740" s="457"/>
      <c r="IB740" s="457"/>
      <c r="IC740" s="457"/>
      <c r="ID740" s="457"/>
      <c r="IE740" s="457"/>
      <c r="IF740" s="457"/>
      <c r="IG740" s="457"/>
      <c r="IH740" s="457"/>
      <c r="II740" s="457"/>
      <c r="IJ740" s="457"/>
      <c r="IK740" s="457"/>
      <c r="IL740" s="457"/>
      <c r="IM740" s="457"/>
      <c r="IN740" s="457"/>
      <c r="IO740" s="457"/>
      <c r="IP740" s="457"/>
      <c r="IQ740" s="457"/>
      <c r="IR740" s="457"/>
      <c r="IS740" s="457"/>
      <c r="IT740" s="457"/>
      <c r="IU740" s="457"/>
      <c r="IV740" s="457"/>
      <c r="IW740" s="457"/>
      <c r="IX740" s="457"/>
      <c r="IY740" s="457"/>
      <c r="IZ740" s="457"/>
      <c r="JA740" s="457"/>
      <c r="JB740" s="457"/>
      <c r="JC740" s="457"/>
      <c r="JD740" s="457"/>
    </row>
    <row r="741" spans="1:264" s="347" customFormat="1" x14ac:dyDescent="0.2">
      <c r="A741" s="347" t="s">
        <v>548</v>
      </c>
      <c r="B741" s="348"/>
      <c r="BH741" s="348"/>
      <c r="BI741" s="348"/>
      <c r="BJ741" s="348"/>
      <c r="BK741" s="348"/>
      <c r="BL741" s="348"/>
      <c r="BM741" s="348"/>
      <c r="BN741" s="348"/>
      <c r="BO741" s="348"/>
      <c r="BP741" s="348"/>
      <c r="BQ741" s="348"/>
      <c r="BR741" s="348"/>
      <c r="BT741" s="348"/>
      <c r="BU741" s="348"/>
      <c r="BV741" s="348"/>
      <c r="BX741" s="348"/>
      <c r="CB741" s="348"/>
      <c r="CF741" s="644">
        <f>+CF742/0.7</f>
        <v>22.857142857142858</v>
      </c>
      <c r="CG741" s="644">
        <f>+CG742/0.7</f>
        <v>37.142857142857146</v>
      </c>
      <c r="CH741" s="644">
        <f t="shared" ref="CH741:CH742" si="710">+CF741+CG741</f>
        <v>60</v>
      </c>
      <c r="CJ741" s="644">
        <f>+CJ742/0.7</f>
        <v>-20</v>
      </c>
      <c r="CK741" s="644">
        <f>+CK742/0.7</f>
        <v>57.142857142857146</v>
      </c>
      <c r="CL741" s="644">
        <f t="shared" ref="CL741:CL742" si="711">+CJ741+CK741</f>
        <v>37.142857142857146</v>
      </c>
      <c r="CN741" s="644">
        <f>+CN742/0.7</f>
        <v>37.142857142857146</v>
      </c>
      <c r="CO741" s="644">
        <f>+CO742/0.7</f>
        <v>-7.1428571428571432</v>
      </c>
      <c r="CP741" s="644">
        <f t="shared" ref="CP741:CP742" si="712">+CN741+CO741</f>
        <v>30.000000000000004</v>
      </c>
      <c r="CR741" s="644">
        <f>+CR742/0.7</f>
        <v>-37.142857142857146</v>
      </c>
      <c r="CS741" s="644">
        <f>+CS742/0.7</f>
        <v>-1.4285714285714286</v>
      </c>
      <c r="CT741" s="644">
        <f t="shared" ref="CT741:CT742" si="713">+CR741+CS741</f>
        <v>-38.571428571428577</v>
      </c>
      <c r="CV741" s="644"/>
      <c r="CX741" s="644"/>
      <c r="CZ741" s="644"/>
      <c r="DA741" s="644"/>
      <c r="DB741" s="644"/>
      <c r="DD741" s="644"/>
      <c r="DE741" s="644"/>
      <c r="DF741" s="644"/>
      <c r="DH741" s="644"/>
      <c r="DI741" s="644"/>
      <c r="DJ741" s="644"/>
      <c r="DL741" s="644"/>
      <c r="DM741" s="644"/>
      <c r="DN741" s="644"/>
      <c r="DP741" s="644"/>
      <c r="DQ741" s="644"/>
      <c r="DR741" s="644"/>
      <c r="DT741" s="1"/>
      <c r="DU741" s="1"/>
      <c r="DV741" s="1"/>
      <c r="DW741" s="1"/>
      <c r="DX741" s="1"/>
      <c r="DY741" s="1"/>
      <c r="DZ741" s="1"/>
      <c r="EA741" s="1"/>
      <c r="EB741" s="1"/>
      <c r="EC741" s="1"/>
      <c r="ED741" s="1"/>
      <c r="EE741" s="1"/>
      <c r="EF741" s="1"/>
      <c r="EG741" s="1"/>
      <c r="EH741" s="1"/>
      <c r="EI741" s="1"/>
      <c r="EJ741" s="1"/>
      <c r="EK741" s="1"/>
      <c r="EL741" s="1"/>
      <c r="EM741" s="1"/>
      <c r="EN741" s="1"/>
      <c r="EO741" s="1"/>
      <c r="EP741" s="1"/>
      <c r="EQ741" s="1"/>
      <c r="ER741" s="1"/>
      <c r="ES741" s="1"/>
      <c r="ET741" s="1"/>
      <c r="EU741" s="1"/>
      <c r="EV741" s="1"/>
      <c r="EW741" s="1"/>
      <c r="EX741" s="1"/>
      <c r="EY741" s="1"/>
      <c r="EZ741" s="1"/>
      <c r="FA741" s="1"/>
      <c r="FB741" s="1"/>
      <c r="FC741" s="1"/>
      <c r="FD741" s="1"/>
      <c r="FE741" s="1"/>
      <c r="FF741" s="1"/>
      <c r="FG741" s="1"/>
      <c r="FH741" s="1"/>
      <c r="FI741" s="1"/>
      <c r="FJ741" s="1"/>
      <c r="FK741" s="1"/>
      <c r="FL741" s="1"/>
      <c r="FM741" s="1"/>
      <c r="FN741" s="1"/>
      <c r="FO741" s="1"/>
      <c r="FP741" s="1"/>
      <c r="FQ741" s="1"/>
      <c r="FR741" s="1"/>
      <c r="FS741" s="1"/>
      <c r="FT741" s="1"/>
      <c r="FU741" s="1"/>
      <c r="FV741" s="1"/>
      <c r="FW741" s="1"/>
      <c r="FX741" s="1"/>
      <c r="FY741" s="1"/>
      <c r="FZ741" s="1"/>
      <c r="GA741" s="1"/>
      <c r="GB741" s="1"/>
      <c r="GC741" s="1"/>
      <c r="GD741" s="1"/>
      <c r="GE741" s="1"/>
      <c r="GF741" s="1"/>
      <c r="GG741" s="1"/>
      <c r="GH741" s="1"/>
      <c r="GI741" s="1"/>
      <c r="GJ741" s="1"/>
      <c r="GK741" s="1"/>
      <c r="GL741" s="1"/>
      <c r="GM741" s="1"/>
      <c r="GN741" s="1"/>
      <c r="GO741" s="1"/>
      <c r="GP741" s="1"/>
      <c r="GQ741" s="1"/>
      <c r="GR741" s="1"/>
      <c r="GS741" s="1"/>
      <c r="GT741" s="1"/>
      <c r="GU741" s="1"/>
      <c r="GV741" s="1"/>
      <c r="GW741" s="1"/>
      <c r="GX741" s="1"/>
      <c r="GY741" s="1"/>
      <c r="GZ741" s="1"/>
      <c r="HA741" s="1"/>
      <c r="HB741" s="1"/>
      <c r="HC741" s="1"/>
      <c r="HD741" s="1"/>
      <c r="HE741" s="1"/>
      <c r="HF741" s="1"/>
      <c r="HG741" s="1"/>
      <c r="HH741" s="1"/>
      <c r="HI741" s="1"/>
      <c r="HJ741" s="1"/>
      <c r="HK741" s="1"/>
      <c r="HL741" s="1"/>
      <c r="HM741" s="1"/>
      <c r="HN741" s="1"/>
      <c r="HO741" s="1"/>
      <c r="HP741" s="1"/>
      <c r="HQ741" s="1"/>
      <c r="HR741" s="1"/>
      <c r="HS741" s="1"/>
      <c r="HT741" s="1"/>
      <c r="HU741" s="1"/>
      <c r="HV741" s="1"/>
      <c r="HW741" s="1"/>
      <c r="HX741" s="1"/>
      <c r="HY741" s="1"/>
      <c r="HZ741" s="1"/>
      <c r="IA741" s="1"/>
      <c r="IB741" s="1"/>
      <c r="IC741" s="1"/>
      <c r="ID741" s="1"/>
      <c r="IE741" s="1"/>
      <c r="IF741" s="1"/>
      <c r="IG741" s="1"/>
      <c r="IH741" s="1"/>
      <c r="II741" s="1"/>
      <c r="IJ741" s="1"/>
      <c r="IK741" s="1"/>
      <c r="IL741" s="1"/>
      <c r="IM741" s="1"/>
      <c r="IN741" s="1"/>
      <c r="IO741" s="1"/>
      <c r="IP741" s="1"/>
      <c r="IQ741" s="1"/>
      <c r="IR741" s="1"/>
      <c r="IS741" s="1"/>
      <c r="IT741" s="1"/>
      <c r="IU741" s="1"/>
      <c r="IV741" s="1"/>
      <c r="IW741" s="1"/>
      <c r="IX741" s="1"/>
      <c r="IY741" s="1"/>
      <c r="IZ741" s="1"/>
      <c r="JA741" s="1"/>
      <c r="JB741" s="1"/>
      <c r="JC741" s="1"/>
      <c r="JD741" s="1"/>
    </row>
    <row r="742" spans="1:264" s="411" customFormat="1" x14ac:dyDescent="0.2">
      <c r="A742" s="411" t="s">
        <v>549</v>
      </c>
      <c r="B742" s="423"/>
      <c r="BH742" s="423"/>
      <c r="BI742" s="423"/>
      <c r="BJ742" s="423"/>
      <c r="BK742" s="423"/>
      <c r="BL742" s="423"/>
      <c r="BM742" s="423"/>
      <c r="BN742" s="423"/>
      <c r="BO742" s="423"/>
      <c r="BP742" s="423"/>
      <c r="BQ742" s="423"/>
      <c r="BR742" s="423"/>
      <c r="BT742" s="423"/>
      <c r="BU742" s="423"/>
      <c r="BV742" s="423"/>
      <c r="BX742" s="423"/>
      <c r="CB742" s="423"/>
      <c r="CF742" s="645">
        <f>41-25</f>
        <v>16</v>
      </c>
      <c r="CG742" s="645">
        <f>-11+37</f>
        <v>26</v>
      </c>
      <c r="CH742" s="646">
        <f t="shared" si="710"/>
        <v>42</v>
      </c>
      <c r="CJ742" s="645">
        <f>42-56</f>
        <v>-14</v>
      </c>
      <c r="CK742" s="645">
        <f>8+32</f>
        <v>40</v>
      </c>
      <c r="CL742" s="646">
        <f t="shared" si="711"/>
        <v>26</v>
      </c>
      <c r="CN742" s="645">
        <f>38-12</f>
        <v>26</v>
      </c>
      <c r="CO742" s="645">
        <f>-12+7</f>
        <v>-5</v>
      </c>
      <c r="CP742" s="646">
        <f t="shared" si="712"/>
        <v>21</v>
      </c>
      <c r="CR742" s="645">
        <f>17-43</f>
        <v>-26</v>
      </c>
      <c r="CS742" s="645">
        <v>-1</v>
      </c>
      <c r="CT742" s="646">
        <f t="shared" si="713"/>
        <v>-27</v>
      </c>
      <c r="CV742" s="645"/>
      <c r="CX742" s="646"/>
      <c r="CZ742" s="646"/>
      <c r="DA742" s="646"/>
      <c r="DB742" s="646"/>
      <c r="DD742" s="646"/>
      <c r="DE742" s="646"/>
      <c r="DF742" s="646"/>
      <c r="DH742" s="646"/>
      <c r="DI742" s="646"/>
      <c r="DJ742" s="646"/>
      <c r="DL742" s="646"/>
      <c r="DM742" s="646"/>
      <c r="DN742" s="646"/>
      <c r="DP742" s="646"/>
      <c r="DQ742" s="646"/>
      <c r="DR742" s="646"/>
      <c r="DT742" s="451"/>
      <c r="DU742" s="451"/>
      <c r="DV742" s="451"/>
      <c r="DW742" s="451"/>
      <c r="DX742" s="451"/>
      <c r="DY742" s="451"/>
      <c r="DZ742" s="451"/>
      <c r="EA742" s="451"/>
      <c r="EB742" s="451"/>
      <c r="EC742" s="451"/>
      <c r="ED742" s="451"/>
      <c r="EE742" s="451"/>
      <c r="EF742" s="451"/>
      <c r="EG742" s="451"/>
      <c r="EH742" s="451"/>
      <c r="EI742" s="451"/>
      <c r="EJ742" s="451"/>
      <c r="EK742" s="451"/>
      <c r="EL742" s="451"/>
      <c r="EM742" s="451"/>
      <c r="EN742" s="451"/>
      <c r="EO742" s="451"/>
      <c r="EP742" s="451"/>
      <c r="EQ742" s="451"/>
      <c r="ER742" s="451"/>
      <c r="ES742" s="451"/>
      <c r="ET742" s="451"/>
      <c r="EU742" s="451"/>
      <c r="EV742" s="451"/>
      <c r="EW742" s="451"/>
      <c r="EX742" s="451"/>
      <c r="EY742" s="451"/>
      <c r="EZ742" s="451"/>
      <c r="FA742" s="451"/>
      <c r="FB742" s="451"/>
      <c r="FC742" s="451"/>
      <c r="FD742" s="451"/>
      <c r="FE742" s="451"/>
      <c r="FF742" s="451"/>
      <c r="FG742" s="451"/>
      <c r="FH742" s="451"/>
      <c r="FI742" s="451"/>
      <c r="FJ742" s="451"/>
      <c r="FK742" s="451"/>
      <c r="FL742" s="451"/>
      <c r="FM742" s="451"/>
      <c r="FN742" s="451"/>
      <c r="FO742" s="451"/>
      <c r="FP742" s="451"/>
      <c r="FQ742" s="451"/>
      <c r="FR742" s="451"/>
      <c r="FS742" s="451"/>
      <c r="FT742" s="451"/>
      <c r="FU742" s="451"/>
      <c r="FV742" s="451"/>
      <c r="FW742" s="451"/>
      <c r="FX742" s="451"/>
      <c r="FY742" s="451"/>
      <c r="FZ742" s="451"/>
      <c r="GA742" s="451"/>
      <c r="GB742" s="451"/>
      <c r="GC742" s="451"/>
      <c r="GD742" s="451"/>
      <c r="GE742" s="451"/>
      <c r="GF742" s="451"/>
      <c r="GG742" s="451"/>
      <c r="GH742" s="451"/>
      <c r="GI742" s="451"/>
      <c r="GJ742" s="451"/>
      <c r="GK742" s="451"/>
      <c r="GL742" s="451"/>
      <c r="GM742" s="451"/>
      <c r="GN742" s="451"/>
      <c r="GO742" s="451"/>
      <c r="GP742" s="451"/>
      <c r="GQ742" s="451"/>
      <c r="GR742" s="451"/>
      <c r="GS742" s="451"/>
      <c r="GT742" s="451"/>
      <c r="GU742" s="451"/>
      <c r="GV742" s="451"/>
      <c r="GW742" s="451"/>
      <c r="GX742" s="451"/>
      <c r="GY742" s="451"/>
      <c r="GZ742" s="451"/>
      <c r="HA742" s="451"/>
      <c r="HB742" s="451"/>
      <c r="HC742" s="451"/>
      <c r="HD742" s="451"/>
      <c r="HE742" s="451"/>
      <c r="HF742" s="451"/>
      <c r="HG742" s="451"/>
      <c r="HH742" s="451"/>
      <c r="HI742" s="451"/>
      <c r="HJ742" s="451"/>
      <c r="HK742" s="451"/>
      <c r="HL742" s="451"/>
      <c r="HM742" s="451"/>
      <c r="HN742" s="451"/>
      <c r="HO742" s="451"/>
      <c r="HP742" s="451"/>
      <c r="HQ742" s="451"/>
      <c r="HR742" s="451"/>
      <c r="HS742" s="451"/>
      <c r="HT742" s="451"/>
      <c r="HU742" s="451"/>
      <c r="HV742" s="451"/>
      <c r="HW742" s="451"/>
      <c r="HX742" s="451"/>
      <c r="HY742" s="451"/>
      <c r="HZ742" s="451"/>
      <c r="IA742" s="451"/>
      <c r="IB742" s="451"/>
      <c r="IC742" s="451"/>
      <c r="ID742" s="451"/>
      <c r="IE742" s="451"/>
      <c r="IF742" s="451"/>
      <c r="IG742" s="451"/>
      <c r="IH742" s="451"/>
      <c r="II742" s="451"/>
      <c r="IJ742" s="451"/>
      <c r="IK742" s="451"/>
      <c r="IL742" s="451"/>
      <c r="IM742" s="451"/>
      <c r="IN742" s="451"/>
      <c r="IO742" s="451"/>
      <c r="IP742" s="451"/>
      <c r="IQ742" s="451"/>
      <c r="IR742" s="451"/>
      <c r="IS742" s="451"/>
      <c r="IT742" s="451"/>
      <c r="IU742" s="451"/>
      <c r="IV742" s="451"/>
      <c r="IW742" s="451"/>
      <c r="IX742" s="451"/>
      <c r="IY742" s="451"/>
      <c r="IZ742" s="451"/>
      <c r="JA742" s="451"/>
      <c r="JB742" s="451"/>
      <c r="JC742" s="451"/>
      <c r="JD742" s="451"/>
    </row>
    <row r="743" spans="1:264" s="347" customFormat="1" x14ac:dyDescent="0.2">
      <c r="A743" s="411"/>
      <c r="B743" s="348"/>
      <c r="BH743" s="348"/>
      <c r="BI743" s="348"/>
      <c r="BJ743" s="348"/>
      <c r="BK743" s="348"/>
      <c r="BL743" s="348"/>
      <c r="BM743" s="348"/>
      <c r="BN743" s="348"/>
      <c r="BO743" s="348"/>
      <c r="BP743" s="348"/>
      <c r="BQ743" s="348"/>
      <c r="BR743" s="348"/>
      <c r="BT743" s="348"/>
      <c r="BU743" s="348"/>
      <c r="BV743" s="348"/>
      <c r="BX743" s="348"/>
      <c r="CB743" s="348"/>
      <c r="CF743" s="348"/>
      <c r="CJ743" s="348"/>
      <c r="CN743" s="348"/>
      <c r="CR743" s="348"/>
      <c r="CZ743" s="348"/>
      <c r="DD743" s="348"/>
      <c r="DH743" s="348"/>
      <c r="DL743" s="348"/>
      <c r="DP743" s="348"/>
      <c r="DT743" s="1"/>
      <c r="DU743" s="1"/>
      <c r="DV743" s="1"/>
      <c r="DW743" s="1"/>
      <c r="DX743" s="1"/>
      <c r="DY743" s="1"/>
      <c r="DZ743" s="1"/>
      <c r="EA743" s="1"/>
      <c r="EB743" s="1"/>
      <c r="EC743" s="1"/>
      <c r="ED743" s="1"/>
      <c r="EE743" s="1"/>
      <c r="EF743" s="1"/>
      <c r="EG743" s="1"/>
      <c r="EH743" s="1"/>
      <c r="EI743" s="1"/>
      <c r="EJ743" s="1"/>
      <c r="EK743" s="1"/>
      <c r="EL743" s="1"/>
      <c r="EM743" s="1"/>
      <c r="EN743" s="1"/>
      <c r="EO743" s="1"/>
      <c r="EP743" s="1"/>
      <c r="EQ743" s="1"/>
      <c r="ER743" s="1"/>
      <c r="ES743" s="1"/>
      <c r="ET743" s="1"/>
      <c r="EU743" s="1"/>
      <c r="EV743" s="1"/>
      <c r="EW743" s="1"/>
      <c r="EX743" s="1"/>
      <c r="EY743" s="1"/>
      <c r="EZ743" s="1"/>
      <c r="FA743" s="1"/>
      <c r="FB743" s="1"/>
      <c r="FC743" s="1"/>
      <c r="FD743" s="1"/>
      <c r="FE743" s="1"/>
      <c r="FF743" s="1"/>
      <c r="FG743" s="1"/>
      <c r="FH743" s="1"/>
      <c r="FI743" s="1"/>
      <c r="FJ743" s="1"/>
      <c r="FK743" s="1"/>
      <c r="FL743" s="1"/>
      <c r="FM743" s="1"/>
      <c r="FN743" s="1"/>
      <c r="FO743" s="1"/>
      <c r="FP743" s="1"/>
      <c r="FQ743" s="1"/>
      <c r="FR743" s="1"/>
      <c r="FS743" s="1"/>
      <c r="FT743" s="1"/>
      <c r="FU743" s="1"/>
      <c r="FV743" s="1"/>
      <c r="FW743" s="1"/>
      <c r="FX743" s="1"/>
      <c r="FY743" s="1"/>
      <c r="FZ743" s="1"/>
      <c r="GA743" s="1"/>
      <c r="GB743" s="1"/>
      <c r="GC743" s="1"/>
      <c r="GD743" s="1"/>
      <c r="GE743" s="1"/>
      <c r="GF743" s="1"/>
      <c r="GG743" s="1"/>
      <c r="GH743" s="1"/>
      <c r="GI743" s="1"/>
      <c r="GJ743" s="1"/>
      <c r="GK743" s="1"/>
      <c r="GL743" s="1"/>
      <c r="GM743" s="1"/>
      <c r="GN743" s="1"/>
      <c r="GO743" s="1"/>
      <c r="GP743" s="1"/>
      <c r="GQ743" s="1"/>
      <c r="GR743" s="1"/>
      <c r="GS743" s="1"/>
      <c r="GT743" s="1"/>
      <c r="GU743" s="1"/>
      <c r="GV743" s="1"/>
      <c r="GW743" s="1"/>
      <c r="GX743" s="1"/>
      <c r="GY743" s="1"/>
      <c r="GZ743" s="1"/>
      <c r="HA743" s="1"/>
      <c r="HB743" s="1"/>
      <c r="HC743" s="1"/>
      <c r="HD743" s="1"/>
      <c r="HE743" s="1"/>
      <c r="HF743" s="1"/>
      <c r="HG743" s="1"/>
      <c r="HH743" s="1"/>
      <c r="HI743" s="1"/>
      <c r="HJ743" s="1"/>
      <c r="HK743" s="1"/>
      <c r="HL743" s="1"/>
      <c r="HM743" s="1"/>
      <c r="HN743" s="1"/>
      <c r="HO743" s="1"/>
      <c r="HP743" s="1"/>
      <c r="HQ743" s="1"/>
      <c r="HR743" s="1"/>
      <c r="HS743" s="1"/>
      <c r="HT743" s="1"/>
      <c r="HU743" s="1"/>
      <c r="HV743" s="1"/>
      <c r="HW743" s="1"/>
      <c r="HX743" s="1"/>
      <c r="HY743" s="1"/>
      <c r="HZ743" s="1"/>
      <c r="IA743" s="1"/>
      <c r="IB743" s="1"/>
      <c r="IC743" s="1"/>
      <c r="ID743" s="1"/>
      <c r="IE743" s="1"/>
      <c r="IF743" s="1"/>
      <c r="IG743" s="1"/>
      <c r="IH743" s="1"/>
      <c r="II743" s="1"/>
      <c r="IJ743" s="1"/>
      <c r="IK743" s="1"/>
      <c r="IL743" s="1"/>
      <c r="IM743" s="1"/>
      <c r="IN743" s="1"/>
      <c r="IO743" s="1"/>
      <c r="IP743" s="1"/>
      <c r="IQ743" s="1"/>
      <c r="IR743" s="1"/>
      <c r="IS743" s="1"/>
      <c r="IT743" s="1"/>
      <c r="IU743" s="1"/>
      <c r="IV743" s="1"/>
      <c r="IW743" s="1"/>
      <c r="IX743" s="1"/>
      <c r="IY743" s="1"/>
      <c r="IZ743" s="1"/>
      <c r="JA743" s="1"/>
      <c r="JB743" s="1"/>
      <c r="JC743" s="1"/>
      <c r="JD743" s="1"/>
    </row>
    <row r="744" spans="1:264" s="347" customFormat="1" x14ac:dyDescent="0.2">
      <c r="A744" s="411"/>
      <c r="B744" s="348"/>
      <c r="BH744" s="348"/>
      <c r="BI744" s="348"/>
      <c r="BJ744" s="348"/>
      <c r="BK744" s="348"/>
      <c r="BL744" s="348"/>
      <c r="BM744" s="348"/>
      <c r="BN744" s="348"/>
      <c r="BO744" s="348"/>
      <c r="BP744" s="348"/>
      <c r="BQ744" s="348"/>
      <c r="BR744" s="348"/>
      <c r="BT744" s="348"/>
      <c r="BU744" s="348"/>
      <c r="BV744" s="348"/>
      <c r="BX744" s="348"/>
      <c r="CB744" s="348"/>
      <c r="CF744" s="348"/>
      <c r="CJ744" s="348"/>
      <c r="CN744" s="348"/>
      <c r="CR744" s="348"/>
      <c r="CZ744" s="348"/>
      <c r="DD744" s="348"/>
      <c r="DH744" s="348"/>
      <c r="DL744" s="348"/>
      <c r="DP744" s="348"/>
      <c r="DT744" s="1"/>
      <c r="DU744" s="1"/>
      <c r="DV744" s="1"/>
      <c r="DW744" s="1"/>
      <c r="DX744" s="1"/>
      <c r="DY744" s="1"/>
      <c r="DZ744" s="1"/>
      <c r="EA744" s="1"/>
      <c r="EB744" s="1"/>
      <c r="EC744" s="1"/>
      <c r="ED744" s="1"/>
      <c r="EE744" s="1"/>
      <c r="EF744" s="1"/>
      <c r="EG744" s="1"/>
      <c r="EH744" s="1"/>
      <c r="EI744" s="1"/>
      <c r="EJ744" s="1"/>
      <c r="EK744" s="1"/>
      <c r="EL744" s="1"/>
      <c r="EM744" s="1"/>
      <c r="EN744" s="1"/>
      <c r="EO744" s="1"/>
      <c r="EP744" s="1"/>
      <c r="EQ744" s="1"/>
      <c r="ER744" s="1"/>
      <c r="ES744" s="1"/>
      <c r="ET744" s="1"/>
      <c r="EU744" s="1"/>
      <c r="EV744" s="1"/>
      <c r="EW744" s="1"/>
      <c r="EX744" s="1"/>
      <c r="EY744" s="1"/>
      <c r="EZ744" s="1"/>
      <c r="FA744" s="1"/>
      <c r="FB744" s="1"/>
      <c r="FC744" s="1"/>
      <c r="FD744" s="1"/>
      <c r="FE744" s="1"/>
      <c r="FF744" s="1"/>
      <c r="FG744" s="1"/>
      <c r="FH744" s="1"/>
      <c r="FI744" s="1"/>
      <c r="FJ744" s="1"/>
      <c r="FK744" s="1"/>
      <c r="FL744" s="1"/>
      <c r="FM744" s="1"/>
      <c r="FN744" s="1"/>
      <c r="FO744" s="1"/>
      <c r="FP744" s="1"/>
      <c r="FQ744" s="1"/>
      <c r="FR744" s="1"/>
      <c r="FS744" s="1"/>
      <c r="FT744" s="1"/>
      <c r="FU744" s="1"/>
      <c r="FV744" s="1"/>
      <c r="FW744" s="1"/>
      <c r="FX744" s="1"/>
      <c r="FY744" s="1"/>
      <c r="FZ744" s="1"/>
      <c r="GA744" s="1"/>
      <c r="GB744" s="1"/>
      <c r="GC744" s="1"/>
      <c r="GD744" s="1"/>
      <c r="GE744" s="1"/>
      <c r="GF744" s="1"/>
      <c r="GG744" s="1"/>
      <c r="GH744" s="1"/>
      <c r="GI744" s="1"/>
      <c r="GJ744" s="1"/>
      <c r="GK744" s="1"/>
      <c r="GL744" s="1"/>
      <c r="GM744" s="1"/>
      <c r="GN744" s="1"/>
      <c r="GO744" s="1"/>
      <c r="GP744" s="1"/>
      <c r="GQ744" s="1"/>
      <c r="GR744" s="1"/>
      <c r="GS744" s="1"/>
      <c r="GT744" s="1"/>
      <c r="GU744" s="1"/>
      <c r="GV744" s="1"/>
      <c r="GW744" s="1"/>
      <c r="GX744" s="1"/>
      <c r="GY744" s="1"/>
      <c r="GZ744" s="1"/>
      <c r="HA744" s="1"/>
      <c r="HB744" s="1"/>
      <c r="HC744" s="1"/>
      <c r="HD744" s="1"/>
      <c r="HE744" s="1"/>
      <c r="HF744" s="1"/>
      <c r="HG744" s="1"/>
      <c r="HH744" s="1"/>
      <c r="HI744" s="1"/>
      <c r="HJ744" s="1"/>
      <c r="HK744" s="1"/>
      <c r="HL744" s="1"/>
      <c r="HM744" s="1"/>
      <c r="HN744" s="1"/>
      <c r="HO744" s="1"/>
      <c r="HP744" s="1"/>
      <c r="HQ744" s="1"/>
      <c r="HR744" s="1"/>
      <c r="HS744" s="1"/>
      <c r="HT744" s="1"/>
      <c r="HU744" s="1"/>
      <c r="HV744" s="1"/>
      <c r="HW744" s="1"/>
      <c r="HX744" s="1"/>
      <c r="HY744" s="1"/>
      <c r="HZ744" s="1"/>
      <c r="IA744" s="1"/>
      <c r="IB744" s="1"/>
      <c r="IC744" s="1"/>
      <c r="ID744" s="1"/>
      <c r="IE744" s="1"/>
      <c r="IF744" s="1"/>
      <c r="IG744" s="1"/>
      <c r="IH744" s="1"/>
      <c r="II744" s="1"/>
      <c r="IJ744" s="1"/>
      <c r="IK744" s="1"/>
      <c r="IL744" s="1"/>
      <c r="IM744" s="1"/>
      <c r="IN744" s="1"/>
      <c r="IO744" s="1"/>
      <c r="IP744" s="1"/>
      <c r="IQ744" s="1"/>
      <c r="IR744" s="1"/>
      <c r="IS744" s="1"/>
      <c r="IT744" s="1"/>
      <c r="IU744" s="1"/>
      <c r="IV744" s="1"/>
      <c r="IW744" s="1"/>
      <c r="IX744" s="1"/>
      <c r="IY744" s="1"/>
      <c r="IZ744" s="1"/>
      <c r="JA744" s="1"/>
      <c r="JB744" s="1"/>
      <c r="JC744" s="1"/>
      <c r="JD744" s="1"/>
    </row>
    <row r="745" spans="1:264" s="347" customFormat="1" x14ac:dyDescent="0.2">
      <c r="A745" s="347" t="s">
        <v>532</v>
      </c>
      <c r="B745" s="348"/>
      <c r="BH745" s="398">
        <v>505</v>
      </c>
      <c r="BI745" s="351">
        <f>BH748</f>
        <v>556</v>
      </c>
      <c r="BJ745" s="351">
        <f>BH745</f>
        <v>505</v>
      </c>
      <c r="BK745" s="348"/>
      <c r="BL745" s="351">
        <f>BI748</f>
        <v>598</v>
      </c>
      <c r="BM745" s="351">
        <f>BL748</f>
        <v>650</v>
      </c>
      <c r="BN745" s="351">
        <f>BL745</f>
        <v>598</v>
      </c>
      <c r="BO745" s="348"/>
      <c r="BP745" s="351">
        <f>BM748</f>
        <v>657</v>
      </c>
      <c r="BQ745" s="351">
        <f>BP748</f>
        <v>682</v>
      </c>
      <c r="BR745" s="351">
        <f>BP745</f>
        <v>657</v>
      </c>
      <c r="BT745" s="351">
        <f>BQ748</f>
        <v>693</v>
      </c>
      <c r="BU745" s="351">
        <f>BT748</f>
        <v>706</v>
      </c>
      <c r="BV745" s="351">
        <f>BT745</f>
        <v>693</v>
      </c>
      <c r="BX745" s="351">
        <f>BU748</f>
        <v>735</v>
      </c>
      <c r="BY745" s="351">
        <f>BX748</f>
        <v>768</v>
      </c>
      <c r="BZ745" s="351">
        <f>BX745</f>
        <v>735</v>
      </c>
      <c r="CB745" s="351"/>
      <c r="CC745" s="351"/>
      <c r="CD745" s="351"/>
      <c r="CF745" s="351"/>
      <c r="CG745" s="351"/>
      <c r="CH745" s="351"/>
      <c r="CJ745" s="351"/>
      <c r="CK745" s="351"/>
      <c r="CL745" s="351"/>
      <c r="CN745" s="351"/>
      <c r="CO745" s="351"/>
      <c r="CP745" s="351"/>
      <c r="CR745" s="351"/>
      <c r="CS745" s="351"/>
      <c r="CT745" s="351"/>
      <c r="CV745" s="351"/>
      <c r="CW745" s="351"/>
      <c r="CX745" s="351"/>
      <c r="CZ745" s="351"/>
      <c r="DA745" s="351"/>
      <c r="DB745" s="351"/>
      <c r="DD745" s="351"/>
      <c r="DE745" s="351"/>
      <c r="DF745" s="351"/>
      <c r="DH745" s="351"/>
      <c r="DI745" s="351"/>
      <c r="DJ745" s="351"/>
      <c r="DL745" s="351"/>
      <c r="DM745" s="351"/>
      <c r="DN745" s="351"/>
      <c r="DP745" s="351"/>
      <c r="DQ745" s="351"/>
      <c r="DR745" s="351"/>
      <c r="DT745" s="1"/>
      <c r="DU745" s="1"/>
      <c r="DV745" s="1"/>
      <c r="DW745" s="1"/>
      <c r="DX745" s="1"/>
      <c r="DY745" s="1"/>
      <c r="DZ745" s="1"/>
      <c r="EA745" s="1"/>
      <c r="EB745" s="1"/>
      <c r="EC745" s="1"/>
      <c r="ED745" s="1"/>
      <c r="EE745" s="1"/>
      <c r="EF745" s="1"/>
      <c r="EG745" s="1"/>
      <c r="EH745" s="1"/>
      <c r="EI745" s="1"/>
      <c r="EJ745" s="1"/>
      <c r="EK745" s="1"/>
      <c r="EL745" s="1"/>
      <c r="EM745" s="1"/>
      <c r="EN745" s="1"/>
      <c r="EO745" s="1"/>
      <c r="EP745" s="1"/>
      <c r="EQ745" s="1"/>
      <c r="ER745" s="1"/>
      <c r="ES745" s="1"/>
      <c r="ET745" s="1"/>
      <c r="EU745" s="1"/>
      <c r="EV745" s="1"/>
      <c r="EW745" s="1"/>
      <c r="EX745" s="1"/>
      <c r="EY745" s="1"/>
      <c r="EZ745" s="1"/>
      <c r="FA745" s="1"/>
      <c r="FB745" s="1"/>
      <c r="FC745" s="1"/>
      <c r="FD745" s="1"/>
      <c r="FE745" s="1"/>
      <c r="FF745" s="1"/>
      <c r="FG745" s="1"/>
      <c r="FH745" s="1"/>
      <c r="FI745" s="1"/>
      <c r="FJ745" s="1"/>
      <c r="FK745" s="1"/>
      <c r="FL745" s="1"/>
      <c r="FM745" s="1"/>
      <c r="FN745" s="1"/>
      <c r="FO745" s="1"/>
      <c r="FP745" s="1"/>
      <c r="FQ745" s="1"/>
      <c r="FR745" s="1"/>
      <c r="FS745" s="1"/>
      <c r="FT745" s="1"/>
      <c r="FU745" s="1"/>
      <c r="FV745" s="1"/>
      <c r="FW745" s="1"/>
      <c r="FX745" s="1"/>
      <c r="FY745" s="1"/>
      <c r="FZ745" s="1"/>
      <c r="GA745" s="1"/>
      <c r="GB745" s="1"/>
      <c r="GC745" s="1"/>
      <c r="GD745" s="1"/>
      <c r="GE745" s="1"/>
      <c r="GF745" s="1"/>
      <c r="GG745" s="1"/>
      <c r="GH745" s="1"/>
      <c r="GI745" s="1"/>
      <c r="GJ745" s="1"/>
      <c r="GK745" s="1"/>
      <c r="GL745" s="1"/>
      <c r="GM745" s="1"/>
      <c r="GN745" s="1"/>
      <c r="GO745" s="1"/>
      <c r="GP745" s="1"/>
      <c r="GQ745" s="1"/>
      <c r="GR745" s="1"/>
      <c r="GS745" s="1"/>
      <c r="GT745" s="1"/>
      <c r="GU745" s="1"/>
      <c r="GV745" s="1"/>
      <c r="GW745" s="1"/>
      <c r="GX745" s="1"/>
      <c r="GY745" s="1"/>
      <c r="GZ745" s="1"/>
      <c r="HA745" s="1"/>
      <c r="HB745" s="1"/>
      <c r="HC745" s="1"/>
      <c r="HD745" s="1"/>
      <c r="HE745" s="1"/>
      <c r="HF745" s="1"/>
      <c r="HG745" s="1"/>
      <c r="HH745" s="1"/>
      <c r="HI745" s="1"/>
      <c r="HJ745" s="1"/>
      <c r="HK745" s="1"/>
      <c r="HL745" s="1"/>
      <c r="HM745" s="1"/>
      <c r="HN745" s="1"/>
      <c r="HO745" s="1"/>
      <c r="HP745" s="1"/>
      <c r="HQ745" s="1"/>
      <c r="HR745" s="1"/>
      <c r="HS745" s="1"/>
      <c r="HT745" s="1"/>
      <c r="HU745" s="1"/>
      <c r="HV745" s="1"/>
      <c r="HW745" s="1"/>
      <c r="HX745" s="1"/>
      <c r="HY745" s="1"/>
      <c r="HZ745" s="1"/>
      <c r="IA745" s="1"/>
      <c r="IB745" s="1"/>
      <c r="IC745" s="1"/>
      <c r="ID745" s="1"/>
      <c r="IE745" s="1"/>
      <c r="IF745" s="1"/>
      <c r="IG745" s="1"/>
      <c r="IH745" s="1"/>
      <c r="II745" s="1"/>
      <c r="IJ745" s="1"/>
      <c r="IK745" s="1"/>
      <c r="IL745" s="1"/>
      <c r="IM745" s="1"/>
      <c r="IN745" s="1"/>
      <c r="IO745" s="1"/>
      <c r="IP745" s="1"/>
      <c r="IQ745" s="1"/>
      <c r="IR745" s="1"/>
      <c r="IS745" s="1"/>
      <c r="IT745" s="1"/>
      <c r="IU745" s="1"/>
      <c r="IV745" s="1"/>
      <c r="IW745" s="1"/>
      <c r="IX745" s="1"/>
      <c r="IY745" s="1"/>
      <c r="IZ745" s="1"/>
      <c r="JA745" s="1"/>
      <c r="JB745" s="1"/>
      <c r="JC745" s="1"/>
      <c r="JD745" s="1"/>
    </row>
    <row r="746" spans="1:264" s="347" customFormat="1" x14ac:dyDescent="0.2">
      <c r="A746" s="347" t="s">
        <v>533</v>
      </c>
      <c r="B746" s="348"/>
      <c r="BH746" s="398">
        <v>77</v>
      </c>
      <c r="BI746" s="398">
        <v>82</v>
      </c>
      <c r="BJ746" s="351">
        <f>+BH746+BI746</f>
        <v>159</v>
      </c>
      <c r="BK746" s="348"/>
      <c r="BL746" s="398">
        <v>88</v>
      </c>
      <c r="BM746" s="398">
        <v>80</v>
      </c>
      <c r="BN746" s="351">
        <f>+BL746+BM746</f>
        <v>168</v>
      </c>
      <c r="BO746" s="348"/>
      <c r="BP746" s="398">
        <v>78</v>
      </c>
      <c r="BQ746" s="398">
        <v>77</v>
      </c>
      <c r="BR746" s="351">
        <f>+BP746+BQ746</f>
        <v>155</v>
      </c>
      <c r="BT746" s="398">
        <v>77</v>
      </c>
      <c r="BU746" s="398">
        <f>148-BT746</f>
        <v>71</v>
      </c>
      <c r="BV746" s="351">
        <f>+BT746+BU746</f>
        <v>148</v>
      </c>
      <c r="BX746" s="398">
        <v>74</v>
      </c>
      <c r="BY746" s="398">
        <f>145-BX746</f>
        <v>71</v>
      </c>
      <c r="BZ746" s="351">
        <f>+BX746+BY746</f>
        <v>145</v>
      </c>
      <c r="CB746" s="398"/>
      <c r="CC746" s="398"/>
      <c r="CD746" s="351"/>
      <c r="CF746" s="398"/>
      <c r="CG746" s="351"/>
      <c r="CH746" s="351"/>
      <c r="CJ746" s="398"/>
      <c r="CK746" s="351"/>
      <c r="CL746" s="351"/>
      <c r="CN746" s="351"/>
      <c r="CO746" s="351"/>
      <c r="CP746" s="351"/>
      <c r="CR746" s="351"/>
      <c r="CS746" s="351"/>
      <c r="CT746" s="351"/>
      <c r="CV746" s="351"/>
      <c r="CW746" s="351"/>
      <c r="CX746" s="351"/>
      <c r="CZ746" s="351"/>
      <c r="DA746" s="351"/>
      <c r="DB746" s="351"/>
      <c r="DD746" s="351"/>
      <c r="DE746" s="351"/>
      <c r="DF746" s="351"/>
      <c r="DH746" s="351"/>
      <c r="DI746" s="351"/>
      <c r="DJ746" s="351"/>
      <c r="DL746" s="351"/>
      <c r="DM746" s="351"/>
      <c r="DN746" s="351"/>
      <c r="DP746" s="351"/>
      <c r="DQ746" s="351"/>
      <c r="DR746" s="351"/>
      <c r="DT746" s="1"/>
      <c r="DU746" s="1"/>
      <c r="DV746" s="1"/>
      <c r="DW746" s="1"/>
      <c r="DX746" s="1"/>
      <c r="DY746" s="1"/>
      <c r="DZ746" s="1"/>
      <c r="EA746" s="1"/>
      <c r="EB746" s="1"/>
      <c r="EC746" s="1"/>
      <c r="ED746" s="1"/>
      <c r="EE746" s="1"/>
      <c r="EF746" s="1"/>
      <c r="EG746" s="1"/>
      <c r="EH746" s="1"/>
      <c r="EI746" s="1"/>
      <c r="EJ746" s="1"/>
      <c r="EK746" s="1"/>
      <c r="EL746" s="1"/>
      <c r="EM746" s="1"/>
      <c r="EN746" s="1"/>
      <c r="EO746" s="1"/>
      <c r="EP746" s="1"/>
      <c r="EQ746" s="1"/>
      <c r="ER746" s="1"/>
      <c r="ES746" s="1"/>
      <c r="ET746" s="1"/>
      <c r="EU746" s="1"/>
      <c r="EV746" s="1"/>
      <c r="EW746" s="1"/>
      <c r="EX746" s="1"/>
      <c r="EY746" s="1"/>
      <c r="EZ746" s="1"/>
      <c r="FA746" s="1"/>
      <c r="FB746" s="1"/>
      <c r="FC746" s="1"/>
      <c r="FD746" s="1"/>
      <c r="FE746" s="1"/>
      <c r="FF746" s="1"/>
      <c r="FG746" s="1"/>
      <c r="FH746" s="1"/>
      <c r="FI746" s="1"/>
      <c r="FJ746" s="1"/>
      <c r="FK746" s="1"/>
      <c r="FL746" s="1"/>
      <c r="FM746" s="1"/>
      <c r="FN746" s="1"/>
      <c r="FO746" s="1"/>
      <c r="FP746" s="1"/>
      <c r="FQ746" s="1"/>
      <c r="FR746" s="1"/>
      <c r="FS746" s="1"/>
      <c r="FT746" s="1"/>
      <c r="FU746" s="1"/>
      <c r="FV746" s="1"/>
      <c r="FW746" s="1"/>
      <c r="FX746" s="1"/>
      <c r="FY746" s="1"/>
      <c r="FZ746" s="1"/>
      <c r="GA746" s="1"/>
      <c r="GB746" s="1"/>
      <c r="GC746" s="1"/>
      <c r="GD746" s="1"/>
      <c r="GE746" s="1"/>
      <c r="GF746" s="1"/>
      <c r="GG746" s="1"/>
      <c r="GH746" s="1"/>
      <c r="GI746" s="1"/>
      <c r="GJ746" s="1"/>
      <c r="GK746" s="1"/>
      <c r="GL746" s="1"/>
      <c r="GM746" s="1"/>
      <c r="GN746" s="1"/>
      <c r="GO746" s="1"/>
      <c r="GP746" s="1"/>
      <c r="GQ746" s="1"/>
      <c r="GR746" s="1"/>
      <c r="GS746" s="1"/>
      <c r="GT746" s="1"/>
      <c r="GU746" s="1"/>
      <c r="GV746" s="1"/>
      <c r="GW746" s="1"/>
      <c r="GX746" s="1"/>
      <c r="GY746" s="1"/>
      <c r="GZ746" s="1"/>
      <c r="HA746" s="1"/>
      <c r="HB746" s="1"/>
      <c r="HC746" s="1"/>
      <c r="HD746" s="1"/>
      <c r="HE746" s="1"/>
      <c r="HF746" s="1"/>
      <c r="HG746" s="1"/>
      <c r="HH746" s="1"/>
      <c r="HI746" s="1"/>
      <c r="HJ746" s="1"/>
      <c r="HK746" s="1"/>
      <c r="HL746" s="1"/>
      <c r="HM746" s="1"/>
      <c r="HN746" s="1"/>
      <c r="HO746" s="1"/>
      <c r="HP746" s="1"/>
      <c r="HQ746" s="1"/>
      <c r="HR746" s="1"/>
      <c r="HS746" s="1"/>
      <c r="HT746" s="1"/>
      <c r="HU746" s="1"/>
      <c r="HV746" s="1"/>
      <c r="HW746" s="1"/>
      <c r="HX746" s="1"/>
      <c r="HY746" s="1"/>
      <c r="HZ746" s="1"/>
      <c r="IA746" s="1"/>
      <c r="IB746" s="1"/>
      <c r="IC746" s="1"/>
      <c r="ID746" s="1"/>
      <c r="IE746" s="1"/>
      <c r="IF746" s="1"/>
      <c r="IG746" s="1"/>
      <c r="IH746" s="1"/>
      <c r="II746" s="1"/>
      <c r="IJ746" s="1"/>
      <c r="IK746" s="1"/>
      <c r="IL746" s="1"/>
      <c r="IM746" s="1"/>
      <c r="IN746" s="1"/>
      <c r="IO746" s="1"/>
      <c r="IP746" s="1"/>
      <c r="IQ746" s="1"/>
      <c r="IR746" s="1"/>
      <c r="IS746" s="1"/>
      <c r="IT746" s="1"/>
      <c r="IU746" s="1"/>
      <c r="IV746" s="1"/>
      <c r="IW746" s="1"/>
      <c r="IX746" s="1"/>
      <c r="IY746" s="1"/>
      <c r="IZ746" s="1"/>
      <c r="JA746" s="1"/>
      <c r="JB746" s="1"/>
      <c r="JC746" s="1"/>
      <c r="JD746" s="1"/>
    </row>
    <row r="747" spans="1:264" s="347" customFormat="1" x14ac:dyDescent="0.2">
      <c r="A747" s="347" t="s">
        <v>534</v>
      </c>
      <c r="B747" s="348"/>
      <c r="BH747" s="398">
        <v>-26</v>
      </c>
      <c r="BI747" s="398">
        <v>-40</v>
      </c>
      <c r="BJ747" s="351">
        <f>+BH747+BI747</f>
        <v>-66</v>
      </c>
      <c r="BK747" s="348"/>
      <c r="BL747" s="398">
        <v>-36</v>
      </c>
      <c r="BM747" s="398">
        <v>-73</v>
      </c>
      <c r="BN747" s="351">
        <f>+BL747+BM747</f>
        <v>-109</v>
      </c>
      <c r="BO747" s="348"/>
      <c r="BP747" s="398">
        <v>-53</v>
      </c>
      <c r="BQ747" s="398">
        <v>-66</v>
      </c>
      <c r="BR747" s="351">
        <f>+BP747+BQ747</f>
        <v>-119</v>
      </c>
      <c r="BT747" s="398">
        <v>-64</v>
      </c>
      <c r="BU747" s="398">
        <f>-106-BT747</f>
        <v>-42</v>
      </c>
      <c r="BV747" s="351">
        <f>+BT747+BU747</f>
        <v>-106</v>
      </c>
      <c r="BX747" s="398">
        <v>-41</v>
      </c>
      <c r="BY747" s="398">
        <f>-97-BX747</f>
        <v>-56</v>
      </c>
      <c r="BZ747" s="351">
        <f>+BX747+BY747</f>
        <v>-97</v>
      </c>
      <c r="CB747" s="398"/>
      <c r="CC747" s="398"/>
      <c r="CD747" s="351"/>
      <c r="CF747" s="398"/>
      <c r="CG747" s="351"/>
      <c r="CH747" s="351"/>
      <c r="CJ747" s="462"/>
      <c r="CK747" s="351"/>
      <c r="CL747" s="351"/>
      <c r="CN747" s="351"/>
      <c r="CO747" s="351"/>
      <c r="CP747" s="351"/>
      <c r="CR747" s="351"/>
      <c r="CS747" s="351"/>
      <c r="CT747" s="351"/>
      <c r="CV747" s="351"/>
      <c r="CW747" s="351"/>
      <c r="CX747" s="351"/>
      <c r="CZ747" s="351"/>
      <c r="DA747" s="351"/>
      <c r="DB747" s="351"/>
      <c r="DD747" s="351"/>
      <c r="DE747" s="351"/>
      <c r="DF747" s="351"/>
      <c r="DH747" s="351"/>
      <c r="DI747" s="351"/>
      <c r="DJ747" s="351"/>
      <c r="DL747" s="351"/>
      <c r="DM747" s="351"/>
      <c r="DN747" s="351"/>
      <c r="DP747" s="351"/>
      <c r="DQ747" s="351"/>
      <c r="DR747" s="351"/>
      <c r="DT747" s="1"/>
      <c r="DU747" s="1"/>
      <c r="DV747" s="1"/>
      <c r="DW747" s="1"/>
      <c r="DX747" s="1"/>
      <c r="DY747" s="1"/>
      <c r="DZ747" s="1"/>
      <c r="EA747" s="1"/>
      <c r="EB747" s="1"/>
      <c r="EC747" s="1"/>
      <c r="ED747" s="1"/>
      <c r="EE747" s="1"/>
      <c r="EF747" s="1"/>
      <c r="EG747" s="1"/>
      <c r="EH747" s="1"/>
      <c r="EI747" s="1"/>
      <c r="EJ747" s="1"/>
      <c r="EK747" s="1"/>
      <c r="EL747" s="1"/>
      <c r="EM747" s="1"/>
      <c r="EN747" s="1"/>
      <c r="EO747" s="1"/>
      <c r="EP747" s="1"/>
      <c r="EQ747" s="1"/>
      <c r="ER747" s="1"/>
      <c r="ES747" s="1"/>
      <c r="ET747" s="1"/>
      <c r="EU747" s="1"/>
      <c r="EV747" s="1"/>
      <c r="EW747" s="1"/>
      <c r="EX747" s="1"/>
      <c r="EY747" s="1"/>
      <c r="EZ747" s="1"/>
      <c r="FA747" s="1"/>
      <c r="FB747" s="1"/>
      <c r="FC747" s="1"/>
      <c r="FD747" s="1"/>
      <c r="FE747" s="1"/>
      <c r="FF747" s="1"/>
      <c r="FG747" s="1"/>
      <c r="FH747" s="1"/>
      <c r="FI747" s="1"/>
      <c r="FJ747" s="1"/>
      <c r="FK747" s="1"/>
      <c r="FL747" s="1"/>
      <c r="FM747" s="1"/>
      <c r="FN747" s="1"/>
      <c r="FO747" s="1"/>
      <c r="FP747" s="1"/>
      <c r="FQ747" s="1"/>
      <c r="FR747" s="1"/>
      <c r="FS747" s="1"/>
      <c r="FT747" s="1"/>
      <c r="FU747" s="1"/>
      <c r="FV747" s="1"/>
      <c r="FW747" s="1"/>
      <c r="FX747" s="1"/>
      <c r="FY747" s="1"/>
      <c r="FZ747" s="1"/>
      <c r="GA747" s="1"/>
      <c r="GB747" s="1"/>
      <c r="GC747" s="1"/>
      <c r="GD747" s="1"/>
      <c r="GE747" s="1"/>
      <c r="GF747" s="1"/>
      <c r="GG747" s="1"/>
      <c r="GH747" s="1"/>
      <c r="GI747" s="1"/>
      <c r="GJ747" s="1"/>
      <c r="GK747" s="1"/>
      <c r="GL747" s="1"/>
      <c r="GM747" s="1"/>
      <c r="GN747" s="1"/>
      <c r="GO747" s="1"/>
      <c r="GP747" s="1"/>
      <c r="GQ747" s="1"/>
      <c r="GR747" s="1"/>
      <c r="GS747" s="1"/>
      <c r="GT747" s="1"/>
      <c r="GU747" s="1"/>
      <c r="GV747" s="1"/>
      <c r="GW747" s="1"/>
      <c r="GX747" s="1"/>
      <c r="GY747" s="1"/>
      <c r="GZ747" s="1"/>
      <c r="HA747" s="1"/>
      <c r="HB747" s="1"/>
      <c r="HC747" s="1"/>
      <c r="HD747" s="1"/>
      <c r="HE747" s="1"/>
      <c r="HF747" s="1"/>
      <c r="HG747" s="1"/>
      <c r="HH747" s="1"/>
      <c r="HI747" s="1"/>
      <c r="HJ747" s="1"/>
      <c r="HK747" s="1"/>
      <c r="HL747" s="1"/>
      <c r="HM747" s="1"/>
      <c r="HN747" s="1"/>
      <c r="HO747" s="1"/>
      <c r="HP747" s="1"/>
      <c r="HQ747" s="1"/>
      <c r="HR747" s="1"/>
      <c r="HS747" s="1"/>
      <c r="HT747" s="1"/>
      <c r="HU747" s="1"/>
      <c r="HV747" s="1"/>
      <c r="HW747" s="1"/>
      <c r="HX747" s="1"/>
      <c r="HY747" s="1"/>
      <c r="HZ747" s="1"/>
      <c r="IA747" s="1"/>
      <c r="IB747" s="1"/>
      <c r="IC747" s="1"/>
      <c r="ID747" s="1"/>
      <c r="IE747" s="1"/>
      <c r="IF747" s="1"/>
      <c r="IG747" s="1"/>
      <c r="IH747" s="1"/>
      <c r="II747" s="1"/>
      <c r="IJ747" s="1"/>
      <c r="IK747" s="1"/>
      <c r="IL747" s="1"/>
      <c r="IM747" s="1"/>
      <c r="IN747" s="1"/>
      <c r="IO747" s="1"/>
      <c r="IP747" s="1"/>
      <c r="IQ747" s="1"/>
      <c r="IR747" s="1"/>
      <c r="IS747" s="1"/>
      <c r="IT747" s="1"/>
      <c r="IU747" s="1"/>
      <c r="IV747" s="1"/>
      <c r="IW747" s="1"/>
      <c r="IX747" s="1"/>
      <c r="IY747" s="1"/>
      <c r="IZ747" s="1"/>
      <c r="JA747" s="1"/>
      <c r="JB747" s="1"/>
      <c r="JC747" s="1"/>
      <c r="JD747" s="1"/>
    </row>
    <row r="748" spans="1:264" s="411" customFormat="1" x14ac:dyDescent="0.2">
      <c r="A748" s="411" t="s">
        <v>550</v>
      </c>
      <c r="B748" s="423"/>
      <c r="BH748" s="397">
        <f>SUM(BH745:BH747)</f>
        <v>556</v>
      </c>
      <c r="BI748" s="397">
        <f>SUM(BI745:BI747)</f>
        <v>598</v>
      </c>
      <c r="BJ748" s="397">
        <f>SUM(BJ745:BJ747)</f>
        <v>598</v>
      </c>
      <c r="BK748" s="423"/>
      <c r="BL748" s="397">
        <f>SUM(BL745:BL747)</f>
        <v>650</v>
      </c>
      <c r="BM748" s="397">
        <f>SUM(BM745:BM747)</f>
        <v>657</v>
      </c>
      <c r="BN748" s="397">
        <f>SUM(BN745:BN747)</f>
        <v>657</v>
      </c>
      <c r="BO748" s="423"/>
      <c r="BP748" s="397">
        <f>SUM(BP745:BP747)</f>
        <v>682</v>
      </c>
      <c r="BQ748" s="397">
        <f>SUM(BQ745:BQ747)</f>
        <v>693</v>
      </c>
      <c r="BR748" s="397">
        <f>SUM(BR745:BR747)</f>
        <v>693</v>
      </c>
      <c r="BS748" s="481">
        <f>BR748/BN748-1</f>
        <v>5.4794520547945202E-2</v>
      </c>
      <c r="BT748" s="397">
        <f>SUM(BT745:BT747)</f>
        <v>706</v>
      </c>
      <c r="BU748" s="397">
        <f>SUM(BU745:BU747)</f>
        <v>735</v>
      </c>
      <c r="BV748" s="397">
        <f>SUM(BV745:BV747)</f>
        <v>735</v>
      </c>
      <c r="BW748" s="481">
        <f>BV748/BR748-1</f>
        <v>6.0606060606060552E-2</v>
      </c>
      <c r="BX748" s="397">
        <f>SUM(BX745:BX747)</f>
        <v>768</v>
      </c>
      <c r="BY748" s="397">
        <f>SUM(BY745:BY747)</f>
        <v>783</v>
      </c>
      <c r="BZ748" s="397">
        <f>SUM(BZ745:BZ747)</f>
        <v>783</v>
      </c>
      <c r="CA748" s="481">
        <f>BZ748/BV748-1</f>
        <v>6.5306122448979487E-2</v>
      </c>
      <c r="CB748" s="524"/>
      <c r="CC748" s="524"/>
      <c r="CD748" s="397"/>
      <c r="CE748" s="481"/>
      <c r="CF748" s="524"/>
      <c r="CG748" s="397"/>
      <c r="CH748" s="397"/>
      <c r="CI748" s="481"/>
      <c r="CJ748" s="524"/>
      <c r="CK748" s="397"/>
      <c r="CL748" s="397"/>
      <c r="CM748" s="481"/>
      <c r="CN748" s="397"/>
      <c r="CO748" s="397"/>
      <c r="CP748" s="397"/>
      <c r="CQ748" s="481"/>
      <c r="CR748" s="397"/>
      <c r="CS748" s="397"/>
      <c r="CT748" s="397"/>
      <c r="CU748" s="481"/>
      <c r="CV748" s="397"/>
      <c r="CW748" s="397"/>
      <c r="CX748" s="397"/>
      <c r="CY748" s="481"/>
      <c r="CZ748" s="397"/>
      <c r="DA748" s="397"/>
      <c r="DB748" s="397"/>
      <c r="DC748" s="481"/>
      <c r="DD748" s="397"/>
      <c r="DE748" s="397"/>
      <c r="DF748" s="397"/>
      <c r="DG748" s="481"/>
      <c r="DH748" s="397"/>
      <c r="DI748" s="397"/>
      <c r="DJ748" s="397"/>
      <c r="DK748" s="481"/>
      <c r="DL748" s="397"/>
      <c r="DM748" s="397"/>
      <c r="DN748" s="397"/>
      <c r="DO748" s="481"/>
      <c r="DP748" s="397"/>
      <c r="DQ748" s="397"/>
      <c r="DR748" s="397"/>
      <c r="DS748" s="481"/>
      <c r="DT748" s="1"/>
      <c r="DU748" s="1"/>
      <c r="DV748" s="1"/>
      <c r="DW748" s="1"/>
      <c r="DX748" s="1"/>
      <c r="DY748" s="1"/>
      <c r="DZ748" s="1"/>
      <c r="EA748" s="1"/>
      <c r="EB748" s="1"/>
      <c r="EC748" s="1"/>
      <c r="ED748" s="1"/>
      <c r="EE748" s="1"/>
      <c r="EF748" s="1"/>
      <c r="EG748" s="1"/>
      <c r="EH748" s="1"/>
      <c r="EI748" s="1"/>
      <c r="EJ748" s="1"/>
      <c r="EK748" s="1"/>
      <c r="EL748" s="1"/>
      <c r="EM748" s="1"/>
      <c r="EN748" s="1"/>
      <c r="EO748" s="1"/>
      <c r="EP748" s="1"/>
      <c r="EQ748" s="1"/>
      <c r="ER748" s="1"/>
      <c r="ES748" s="1"/>
      <c r="ET748" s="1"/>
      <c r="EU748" s="1"/>
      <c r="EV748" s="1"/>
      <c r="EW748" s="1"/>
      <c r="EX748" s="1"/>
      <c r="EY748" s="1"/>
      <c r="EZ748" s="1"/>
      <c r="FA748" s="1"/>
      <c r="FB748" s="1"/>
      <c r="FC748" s="1"/>
      <c r="FD748" s="1"/>
      <c r="FE748" s="1"/>
      <c r="FF748" s="1"/>
      <c r="FG748" s="1"/>
      <c r="FH748" s="1"/>
      <c r="FI748" s="1"/>
      <c r="FJ748" s="1"/>
      <c r="FK748" s="1"/>
      <c r="FL748" s="1"/>
      <c r="FM748" s="1"/>
      <c r="FN748" s="1"/>
      <c r="FO748" s="1"/>
      <c r="FP748" s="1"/>
      <c r="FQ748" s="1"/>
      <c r="FR748" s="1"/>
      <c r="FS748" s="1"/>
      <c r="FT748" s="1"/>
      <c r="FU748" s="1"/>
      <c r="FV748" s="1"/>
      <c r="FW748" s="1"/>
      <c r="FX748" s="1"/>
      <c r="FY748" s="1"/>
      <c r="FZ748" s="1"/>
      <c r="GA748" s="1"/>
      <c r="GB748" s="1"/>
      <c r="GC748" s="1"/>
      <c r="GD748" s="1"/>
      <c r="GE748" s="1"/>
      <c r="GF748" s="1"/>
      <c r="GG748" s="1"/>
      <c r="GH748" s="1"/>
      <c r="GI748" s="1"/>
      <c r="GJ748" s="1"/>
      <c r="GK748" s="1"/>
      <c r="GL748" s="1"/>
      <c r="GM748" s="1"/>
      <c r="GN748" s="1"/>
      <c r="GO748" s="1"/>
      <c r="GP748" s="1"/>
      <c r="GQ748" s="1"/>
      <c r="GR748" s="1"/>
      <c r="GS748" s="1"/>
      <c r="GT748" s="1"/>
      <c r="GU748" s="1"/>
      <c r="GV748" s="1"/>
      <c r="GW748" s="1"/>
      <c r="GX748" s="1"/>
      <c r="GY748" s="1"/>
      <c r="GZ748" s="1"/>
      <c r="HA748" s="1"/>
      <c r="HB748" s="1"/>
      <c r="HC748" s="1"/>
      <c r="HD748" s="1"/>
      <c r="HE748" s="1"/>
      <c r="HF748" s="1"/>
      <c r="HG748" s="1"/>
      <c r="HH748" s="1"/>
      <c r="HI748" s="1"/>
      <c r="HJ748" s="1"/>
      <c r="HK748" s="1"/>
      <c r="HL748" s="1"/>
      <c r="HM748" s="1"/>
      <c r="HN748" s="1"/>
      <c r="HO748" s="1"/>
      <c r="HP748" s="1"/>
      <c r="HQ748" s="1"/>
      <c r="HR748" s="1"/>
      <c r="HS748" s="1"/>
      <c r="HT748" s="1"/>
      <c r="HU748" s="1"/>
      <c r="HV748" s="1"/>
      <c r="HW748" s="1"/>
      <c r="HX748" s="1"/>
      <c r="HY748" s="1"/>
      <c r="HZ748" s="1"/>
      <c r="IA748" s="1"/>
      <c r="IB748" s="1"/>
      <c r="IC748" s="1"/>
      <c r="ID748" s="1"/>
      <c r="IE748" s="1"/>
      <c r="IF748" s="1"/>
      <c r="IG748" s="1"/>
      <c r="IH748" s="1"/>
      <c r="II748" s="1"/>
      <c r="IJ748" s="1"/>
      <c r="IK748" s="1"/>
      <c r="IL748" s="1"/>
      <c r="IM748" s="1"/>
      <c r="IN748" s="1"/>
      <c r="IO748" s="1"/>
      <c r="IP748" s="1"/>
      <c r="IQ748" s="1"/>
      <c r="IR748" s="1"/>
      <c r="IS748" s="1"/>
      <c r="IT748" s="1"/>
      <c r="IU748" s="1"/>
      <c r="IV748" s="1"/>
      <c r="IW748" s="1"/>
      <c r="IX748" s="1"/>
      <c r="IY748" s="1"/>
      <c r="IZ748" s="1"/>
      <c r="JA748" s="1"/>
      <c r="JB748" s="1"/>
      <c r="JC748" s="1"/>
      <c r="JD748" s="1"/>
    </row>
    <row r="749" spans="1:264" s="429" customFormat="1" x14ac:dyDescent="0.2">
      <c r="A749" s="429" t="s">
        <v>273</v>
      </c>
      <c r="B749" s="408"/>
      <c r="BH749" s="408"/>
      <c r="BI749" s="394">
        <f>+BI748/BH748-1</f>
        <v>7.5539568345323715E-2</v>
      </c>
      <c r="BJ749" s="408"/>
      <c r="BK749" s="408"/>
      <c r="BL749" s="394">
        <f>+BL748/BI748-1</f>
        <v>8.6956521739130377E-2</v>
      </c>
      <c r="BM749" s="394">
        <f>+BM748/BL748-1</f>
        <v>1.0769230769230864E-2</v>
      </c>
      <c r="BN749" s="408"/>
      <c r="BO749" s="408"/>
      <c r="BP749" s="394">
        <f>+BP748/BM748-1</f>
        <v>3.8051750380517557E-2</v>
      </c>
      <c r="BQ749" s="394">
        <f>+BQ748/BP748-1</f>
        <v>1.6129032258064502E-2</v>
      </c>
      <c r="BR749" s="408"/>
      <c r="BT749" s="394">
        <f>+BT748/BQ748-1</f>
        <v>1.8759018759018753E-2</v>
      </c>
      <c r="BU749" s="394">
        <f>+BU748/BT748-1</f>
        <v>4.1076487252124538E-2</v>
      </c>
      <c r="BV749" s="408"/>
      <c r="BX749" s="394">
        <f>+BX748/BU748-1</f>
        <v>4.4897959183673564E-2</v>
      </c>
      <c r="BY749" s="394">
        <f>+BY748/BX748-1</f>
        <v>1.953125E-2</v>
      </c>
      <c r="BZ749" s="408"/>
      <c r="CB749" s="394"/>
      <c r="CC749" s="394"/>
      <c r="CD749" s="408"/>
      <c r="CF749" s="394"/>
      <c r="CG749" s="647"/>
      <c r="CH749" s="408"/>
      <c r="CJ749" s="394"/>
      <c r="CK749" s="647"/>
      <c r="CL749" s="408"/>
      <c r="CN749" s="647"/>
      <c r="CO749" s="647"/>
      <c r="CP749" s="408"/>
      <c r="CR749" s="647"/>
      <c r="CS749" s="647"/>
      <c r="CT749" s="408"/>
      <c r="CV749" s="647"/>
      <c r="CW749" s="647"/>
      <c r="CX749" s="408"/>
      <c r="CZ749" s="647"/>
      <c r="DA749" s="647"/>
      <c r="DB749" s="408"/>
      <c r="DD749" s="647"/>
      <c r="DE749" s="647"/>
      <c r="DF749" s="408"/>
      <c r="DH749" s="647"/>
      <c r="DI749" s="647"/>
      <c r="DJ749" s="408"/>
      <c r="DL749" s="647"/>
      <c r="DM749" s="647"/>
      <c r="DN749" s="408"/>
      <c r="DP749" s="647"/>
      <c r="DQ749" s="647"/>
      <c r="DR749" s="408"/>
      <c r="DT749" s="1"/>
      <c r="DU749" s="1"/>
      <c r="DV749" s="1"/>
      <c r="DW749" s="1"/>
      <c r="DX749" s="1"/>
      <c r="DY749" s="1"/>
      <c r="DZ749" s="1"/>
      <c r="EA749" s="1"/>
      <c r="EB749" s="1"/>
      <c r="EC749" s="1"/>
      <c r="ED749" s="1"/>
      <c r="EE749" s="1"/>
      <c r="EF749" s="1"/>
      <c r="EG749" s="1"/>
      <c r="EH749" s="1"/>
      <c r="EI749" s="1"/>
      <c r="EJ749" s="1"/>
      <c r="EK749" s="1"/>
      <c r="EL749" s="1"/>
      <c r="EM749" s="1"/>
      <c r="EN749" s="1"/>
      <c r="EO749" s="1"/>
      <c r="EP749" s="1"/>
      <c r="EQ749" s="1"/>
      <c r="ER749" s="1"/>
      <c r="ES749" s="1"/>
      <c r="ET749" s="1"/>
      <c r="EU749" s="1"/>
      <c r="EV749" s="1"/>
      <c r="EW749" s="1"/>
      <c r="EX749" s="1"/>
      <c r="EY749" s="1"/>
      <c r="EZ749" s="1"/>
      <c r="FA749" s="1"/>
      <c r="FB749" s="1"/>
      <c r="FC749" s="1"/>
      <c r="FD749" s="1"/>
      <c r="FE749" s="1"/>
      <c r="FF749" s="1"/>
      <c r="FG749" s="1"/>
      <c r="FH749" s="1"/>
      <c r="FI749" s="1"/>
      <c r="FJ749" s="1"/>
      <c r="FK749" s="1"/>
      <c r="FL749" s="1"/>
      <c r="FM749" s="1"/>
      <c r="FN749" s="1"/>
      <c r="FO749" s="1"/>
      <c r="FP749" s="1"/>
      <c r="FQ749" s="1"/>
      <c r="FR749" s="1"/>
      <c r="FS749" s="1"/>
      <c r="FT749" s="1"/>
      <c r="FU749" s="1"/>
      <c r="FV749" s="1"/>
      <c r="FW749" s="1"/>
      <c r="FX749" s="1"/>
      <c r="FY749" s="1"/>
      <c r="FZ749" s="1"/>
      <c r="GA749" s="1"/>
      <c r="GB749" s="1"/>
      <c r="GC749" s="1"/>
      <c r="GD749" s="1"/>
      <c r="GE749" s="1"/>
      <c r="GF749" s="1"/>
      <c r="GG749" s="1"/>
      <c r="GH749" s="1"/>
      <c r="GI749" s="1"/>
      <c r="GJ749" s="1"/>
      <c r="GK749" s="1"/>
      <c r="GL749" s="1"/>
      <c r="GM749" s="1"/>
      <c r="GN749" s="1"/>
      <c r="GO749" s="1"/>
      <c r="GP749" s="1"/>
      <c r="GQ749" s="1"/>
      <c r="GR749" s="1"/>
      <c r="GS749" s="1"/>
      <c r="GT749" s="1"/>
      <c r="GU749" s="1"/>
      <c r="GV749" s="1"/>
      <c r="GW749" s="1"/>
      <c r="GX749" s="1"/>
      <c r="GY749" s="1"/>
      <c r="GZ749" s="1"/>
      <c r="HA749" s="1"/>
      <c r="HB749" s="1"/>
      <c r="HC749" s="1"/>
      <c r="HD749" s="1"/>
      <c r="HE749" s="1"/>
      <c r="HF749" s="1"/>
      <c r="HG749" s="1"/>
      <c r="HH749" s="1"/>
      <c r="HI749" s="1"/>
      <c r="HJ749" s="1"/>
      <c r="HK749" s="1"/>
      <c r="HL749" s="1"/>
      <c r="HM749" s="1"/>
      <c r="HN749" s="1"/>
      <c r="HO749" s="1"/>
      <c r="HP749" s="1"/>
      <c r="HQ749" s="1"/>
      <c r="HR749" s="1"/>
      <c r="HS749" s="1"/>
      <c r="HT749" s="1"/>
      <c r="HU749" s="1"/>
      <c r="HV749" s="1"/>
      <c r="HW749" s="1"/>
      <c r="HX749" s="1"/>
      <c r="HY749" s="1"/>
      <c r="HZ749" s="1"/>
      <c r="IA749" s="1"/>
      <c r="IB749" s="1"/>
      <c r="IC749" s="1"/>
      <c r="ID749" s="1"/>
      <c r="IE749" s="1"/>
      <c r="IF749" s="1"/>
      <c r="IG749" s="1"/>
      <c r="IH749" s="1"/>
      <c r="II749" s="1"/>
      <c r="IJ749" s="1"/>
      <c r="IK749" s="1"/>
      <c r="IL749" s="1"/>
      <c r="IM749" s="1"/>
      <c r="IN749" s="1"/>
      <c r="IO749" s="1"/>
      <c r="IP749" s="1"/>
      <c r="IQ749" s="1"/>
      <c r="IR749" s="1"/>
      <c r="IS749" s="1"/>
      <c r="IT749" s="1"/>
      <c r="IU749" s="1"/>
      <c r="IV749" s="1"/>
      <c r="IW749" s="1"/>
      <c r="IX749" s="1"/>
      <c r="IY749" s="1"/>
      <c r="IZ749" s="1"/>
      <c r="JA749" s="1"/>
      <c r="JB749" s="1"/>
      <c r="JC749" s="1"/>
      <c r="JD749" s="1"/>
    </row>
    <row r="750" spans="1:264" s="347" customFormat="1" x14ac:dyDescent="0.2">
      <c r="A750" s="429" t="s">
        <v>537</v>
      </c>
      <c r="B750" s="348"/>
      <c r="BH750" s="394">
        <f>BH746*(BH$4/BH$3)/BH$745</f>
        <v>0.30246448557899269</v>
      </c>
      <c r="BI750" s="394">
        <f>BI746*(BI$4/BI$3)/BI$745</f>
        <v>0.29740848205413567</v>
      </c>
      <c r="BJ750" s="642"/>
      <c r="BK750" s="642"/>
      <c r="BL750" s="394">
        <f>BL746*(BL$4/BL$3)/BL$745</f>
        <v>0.2919150792496728</v>
      </c>
      <c r="BM750" s="394">
        <f>BM746*(BM$4/BM$3)/BM$745</f>
        <v>0.24819379515512113</v>
      </c>
      <c r="BN750" s="642"/>
      <c r="BO750" s="348"/>
      <c r="BP750" s="394">
        <f>BP746*(BP$4/BP$3)/BP$745</f>
        <v>0.23550724637681159</v>
      </c>
      <c r="BQ750" s="394">
        <f>BQ746*(BQ$4/BQ$3)/BQ$745</f>
        <v>0.22767777579754056</v>
      </c>
      <c r="BR750" s="642"/>
      <c r="BS750" s="648"/>
      <c r="BT750" s="394">
        <f>BT746*(BT$4/BT$3)/BT$745</f>
        <v>0.2210144927536232</v>
      </c>
      <c r="BU750" s="394">
        <f>BU746*(BU$4/BU$3)/BU$745</f>
        <v>0.20223827164337077</v>
      </c>
      <c r="BV750" s="642"/>
      <c r="BW750" s="648"/>
      <c r="BX750" s="394">
        <f>BX746*(BX$4/BX$3)/BX$745</f>
        <v>0.1997190180419994</v>
      </c>
      <c r="BY750" s="394">
        <f>BY746*(BY$4/BY$3)/BY$745</f>
        <v>0.18642811924493555</v>
      </c>
      <c r="BZ750" s="642"/>
      <c r="CA750" s="648"/>
      <c r="CB750" s="394"/>
      <c r="CC750" s="394"/>
      <c r="CD750" s="642"/>
      <c r="CF750" s="394"/>
      <c r="CG750" s="649"/>
      <c r="CH750" s="348"/>
      <c r="CJ750" s="394"/>
      <c r="CK750" s="649"/>
      <c r="CL750" s="348"/>
      <c r="CN750" s="649"/>
      <c r="CO750" s="649"/>
      <c r="CP750" s="348"/>
      <c r="CR750" s="649"/>
      <c r="CS750" s="649"/>
      <c r="CT750" s="348"/>
      <c r="CV750" s="649"/>
      <c r="CW750" s="649"/>
      <c r="CX750" s="348"/>
      <c r="CZ750" s="649"/>
      <c r="DA750" s="649"/>
      <c r="DB750" s="348"/>
      <c r="DD750" s="649"/>
      <c r="DE750" s="649"/>
      <c r="DF750" s="348"/>
      <c r="DH750" s="649"/>
      <c r="DI750" s="649"/>
      <c r="DJ750" s="348"/>
      <c r="DL750" s="649"/>
      <c r="DM750" s="649"/>
      <c r="DN750" s="348"/>
      <c r="DP750" s="649"/>
      <c r="DQ750" s="649"/>
      <c r="DR750" s="348"/>
      <c r="DT750" s="1"/>
      <c r="DU750" s="1"/>
      <c r="DV750" s="1"/>
      <c r="DW750" s="1"/>
      <c r="DX750" s="1"/>
      <c r="DY750" s="1"/>
      <c r="DZ750" s="1"/>
      <c r="EA750" s="1"/>
      <c r="EB750" s="1"/>
      <c r="EC750" s="1"/>
      <c r="ED750" s="1"/>
      <c r="EE750" s="1"/>
      <c r="EF750" s="1"/>
      <c r="EG750" s="1"/>
      <c r="EH750" s="1"/>
      <c r="EI750" s="1"/>
      <c r="EJ750" s="1"/>
      <c r="EK750" s="1"/>
      <c r="EL750" s="1"/>
      <c r="EM750" s="1"/>
      <c r="EN750" s="1"/>
      <c r="EO750" s="1"/>
      <c r="EP750" s="1"/>
      <c r="EQ750" s="1"/>
      <c r="ER750" s="1"/>
      <c r="ES750" s="1"/>
      <c r="ET750" s="1"/>
      <c r="EU750" s="1"/>
      <c r="EV750" s="1"/>
      <c r="EW750" s="1"/>
      <c r="EX750" s="1"/>
      <c r="EY750" s="1"/>
      <c r="EZ750" s="1"/>
      <c r="FA750" s="1"/>
      <c r="FB750" s="1"/>
      <c r="FC750" s="1"/>
      <c r="FD750" s="1"/>
      <c r="FE750" s="1"/>
      <c r="FF750" s="1"/>
      <c r="FG750" s="1"/>
      <c r="FH750" s="1"/>
      <c r="FI750" s="1"/>
      <c r="FJ750" s="1"/>
      <c r="FK750" s="1"/>
      <c r="FL750" s="1"/>
      <c r="FM750" s="1"/>
      <c r="FN750" s="1"/>
      <c r="FO750" s="1"/>
      <c r="FP750" s="1"/>
      <c r="FQ750" s="1"/>
      <c r="FR750" s="1"/>
      <c r="FS750" s="1"/>
      <c r="FT750" s="1"/>
      <c r="FU750" s="1"/>
      <c r="FV750" s="1"/>
      <c r="FW750" s="1"/>
      <c r="FX750" s="1"/>
      <c r="FY750" s="1"/>
      <c r="FZ750" s="1"/>
      <c r="GA750" s="1"/>
      <c r="GB750" s="1"/>
      <c r="GC750" s="1"/>
      <c r="GD750" s="1"/>
      <c r="GE750" s="1"/>
      <c r="GF750" s="1"/>
      <c r="GG750" s="1"/>
      <c r="GH750" s="1"/>
      <c r="GI750" s="1"/>
      <c r="GJ750" s="1"/>
      <c r="GK750" s="1"/>
      <c r="GL750" s="1"/>
      <c r="GM750" s="1"/>
      <c r="GN750" s="1"/>
      <c r="GO750" s="1"/>
      <c r="GP750" s="1"/>
      <c r="GQ750" s="1"/>
      <c r="GR750" s="1"/>
      <c r="GS750" s="1"/>
      <c r="GT750" s="1"/>
      <c r="GU750" s="1"/>
      <c r="GV750" s="1"/>
      <c r="GW750" s="1"/>
      <c r="GX750" s="1"/>
      <c r="GY750" s="1"/>
      <c r="GZ750" s="1"/>
      <c r="HA750" s="1"/>
      <c r="HB750" s="1"/>
      <c r="HC750" s="1"/>
      <c r="HD750" s="1"/>
      <c r="HE750" s="1"/>
      <c r="HF750" s="1"/>
      <c r="HG750" s="1"/>
      <c r="HH750" s="1"/>
      <c r="HI750" s="1"/>
      <c r="HJ750" s="1"/>
      <c r="HK750" s="1"/>
      <c r="HL750" s="1"/>
      <c r="HM750" s="1"/>
      <c r="HN750" s="1"/>
      <c r="HO750" s="1"/>
      <c r="HP750" s="1"/>
      <c r="HQ750" s="1"/>
      <c r="HR750" s="1"/>
      <c r="HS750" s="1"/>
      <c r="HT750" s="1"/>
      <c r="HU750" s="1"/>
      <c r="HV750" s="1"/>
      <c r="HW750" s="1"/>
      <c r="HX750" s="1"/>
      <c r="HY750" s="1"/>
      <c r="HZ750" s="1"/>
      <c r="IA750" s="1"/>
      <c r="IB750" s="1"/>
      <c r="IC750" s="1"/>
      <c r="ID750" s="1"/>
      <c r="IE750" s="1"/>
      <c r="IF750" s="1"/>
      <c r="IG750" s="1"/>
      <c r="IH750" s="1"/>
      <c r="II750" s="1"/>
      <c r="IJ750" s="1"/>
      <c r="IK750" s="1"/>
      <c r="IL750" s="1"/>
      <c r="IM750" s="1"/>
      <c r="IN750" s="1"/>
      <c r="IO750" s="1"/>
      <c r="IP750" s="1"/>
      <c r="IQ750" s="1"/>
      <c r="IR750" s="1"/>
      <c r="IS750" s="1"/>
      <c r="IT750" s="1"/>
      <c r="IU750" s="1"/>
      <c r="IV750" s="1"/>
      <c r="IW750" s="1"/>
      <c r="IX750" s="1"/>
      <c r="IY750" s="1"/>
      <c r="IZ750" s="1"/>
      <c r="JA750" s="1"/>
      <c r="JB750" s="1"/>
      <c r="JC750" s="1"/>
      <c r="JD750" s="1"/>
    </row>
    <row r="751" spans="1:264" s="347" customFormat="1" x14ac:dyDescent="0.2">
      <c r="A751" s="429" t="s">
        <v>538</v>
      </c>
      <c r="B751" s="348"/>
      <c r="BH751" s="394">
        <f>BH747*(BH$4/BH$3)/BH$745</f>
        <v>-0.10213086526043909</v>
      </c>
      <c r="BI751" s="394">
        <f>BI747*(BI$4/BI$3)/BI$745</f>
        <v>-0.14507730831909058</v>
      </c>
      <c r="BJ751" s="642"/>
      <c r="BK751" s="642"/>
      <c r="BL751" s="394">
        <f>BL747*(BL$4/BL$3)/BL$745</f>
        <v>-0.11941980514759344</v>
      </c>
      <c r="BM751" s="394">
        <f>BM747*(BM$4/BM$3)/BM$745</f>
        <v>-0.22647683807904803</v>
      </c>
      <c r="BN751" s="642"/>
      <c r="BO751" s="348"/>
      <c r="BP751" s="394">
        <f>BP747*(BP$4/BP$3)/BP$745</f>
        <v>-0.16002415458937197</v>
      </c>
      <c r="BQ751" s="394">
        <f>BQ747*(BQ$4/BQ$3)/BQ$745</f>
        <v>-0.19515237925503476</v>
      </c>
      <c r="BR751" s="642"/>
      <c r="BS751" s="648"/>
      <c r="BT751" s="394">
        <f>BT747*(BT$4/BT$3)/BT$745</f>
        <v>-0.18370035761340109</v>
      </c>
      <c r="BU751" s="394">
        <f>BU747*(BU$4/BU$3)/BU$745</f>
        <v>-0.11963390716931792</v>
      </c>
      <c r="BV751" s="642"/>
      <c r="BW751" s="648"/>
      <c r="BX751" s="394">
        <f>BX747*(BX$4/BX$3)/BX$745</f>
        <v>-0.11065513161786454</v>
      </c>
      <c r="BY751" s="394">
        <f>BY747*(BY$4/BY$3)/BY$745</f>
        <v>-0.14704189686924493</v>
      </c>
      <c r="BZ751" s="642"/>
      <c r="CA751" s="648"/>
      <c r="CB751" s="394"/>
      <c r="CC751" s="394"/>
      <c r="CD751" s="642"/>
      <c r="CF751" s="394"/>
      <c r="CG751" s="649"/>
      <c r="CH751" s="348"/>
      <c r="CJ751" s="394"/>
      <c r="CK751" s="649"/>
      <c r="CL751" s="348"/>
      <c r="CN751" s="649"/>
      <c r="CO751" s="649"/>
      <c r="CP751" s="348"/>
      <c r="CR751" s="649"/>
      <c r="CS751" s="649"/>
      <c r="CT751" s="348"/>
      <c r="CV751" s="649"/>
      <c r="CW751" s="649"/>
      <c r="CX751" s="348"/>
      <c r="CZ751" s="649"/>
      <c r="DA751" s="649"/>
      <c r="DB751" s="348"/>
      <c r="DD751" s="649"/>
      <c r="DE751" s="649"/>
      <c r="DF751" s="348"/>
      <c r="DH751" s="649"/>
      <c r="DI751" s="649"/>
      <c r="DJ751" s="348"/>
      <c r="DL751" s="649"/>
      <c r="DM751" s="649"/>
      <c r="DN751" s="348"/>
      <c r="DP751" s="649"/>
      <c r="DQ751" s="649"/>
      <c r="DR751" s="348"/>
      <c r="DT751" s="1"/>
      <c r="DU751" s="1"/>
      <c r="DV751" s="1"/>
      <c r="DW751" s="1"/>
      <c r="DX751" s="1"/>
      <c r="DY751" s="1"/>
      <c r="DZ751" s="1"/>
      <c r="EA751" s="1"/>
      <c r="EB751" s="1"/>
      <c r="EC751" s="1"/>
      <c r="ED751" s="1"/>
      <c r="EE751" s="1"/>
      <c r="EF751" s="1"/>
      <c r="EG751" s="1"/>
      <c r="EH751" s="1"/>
      <c r="EI751" s="1"/>
      <c r="EJ751" s="1"/>
      <c r="EK751" s="1"/>
      <c r="EL751" s="1"/>
      <c r="EM751" s="1"/>
      <c r="EN751" s="1"/>
      <c r="EO751" s="1"/>
      <c r="EP751" s="1"/>
      <c r="EQ751" s="1"/>
      <c r="ER751" s="1"/>
      <c r="ES751" s="1"/>
      <c r="ET751" s="1"/>
      <c r="EU751" s="1"/>
      <c r="EV751" s="1"/>
      <c r="EW751" s="1"/>
      <c r="EX751" s="1"/>
      <c r="EY751" s="1"/>
      <c r="EZ751" s="1"/>
      <c r="FA751" s="1"/>
      <c r="FB751" s="1"/>
      <c r="FC751" s="1"/>
      <c r="FD751" s="1"/>
      <c r="FE751" s="1"/>
      <c r="FF751" s="1"/>
      <c r="FG751" s="1"/>
      <c r="FH751" s="1"/>
      <c r="FI751" s="1"/>
      <c r="FJ751" s="1"/>
      <c r="FK751" s="1"/>
      <c r="FL751" s="1"/>
      <c r="FM751" s="1"/>
      <c r="FN751" s="1"/>
      <c r="FO751" s="1"/>
      <c r="FP751" s="1"/>
      <c r="FQ751" s="1"/>
      <c r="FR751" s="1"/>
      <c r="FS751" s="1"/>
      <c r="FT751" s="1"/>
      <c r="FU751" s="1"/>
      <c r="FV751" s="1"/>
      <c r="FW751" s="1"/>
      <c r="FX751" s="1"/>
      <c r="FY751" s="1"/>
      <c r="FZ751" s="1"/>
      <c r="GA751" s="1"/>
      <c r="GB751" s="1"/>
      <c r="GC751" s="1"/>
      <c r="GD751" s="1"/>
      <c r="GE751" s="1"/>
      <c r="GF751" s="1"/>
      <c r="GG751" s="1"/>
      <c r="GH751" s="1"/>
      <c r="GI751" s="1"/>
      <c r="GJ751" s="1"/>
      <c r="GK751" s="1"/>
      <c r="GL751" s="1"/>
      <c r="GM751" s="1"/>
      <c r="GN751" s="1"/>
      <c r="GO751" s="1"/>
      <c r="GP751" s="1"/>
      <c r="GQ751" s="1"/>
      <c r="GR751" s="1"/>
      <c r="GS751" s="1"/>
      <c r="GT751" s="1"/>
      <c r="GU751" s="1"/>
      <c r="GV751" s="1"/>
      <c r="GW751" s="1"/>
      <c r="GX751" s="1"/>
      <c r="GY751" s="1"/>
      <c r="GZ751" s="1"/>
      <c r="HA751" s="1"/>
      <c r="HB751" s="1"/>
      <c r="HC751" s="1"/>
      <c r="HD751" s="1"/>
      <c r="HE751" s="1"/>
      <c r="HF751" s="1"/>
      <c r="HG751" s="1"/>
      <c r="HH751" s="1"/>
      <c r="HI751" s="1"/>
      <c r="HJ751" s="1"/>
      <c r="HK751" s="1"/>
      <c r="HL751" s="1"/>
      <c r="HM751" s="1"/>
      <c r="HN751" s="1"/>
      <c r="HO751" s="1"/>
      <c r="HP751" s="1"/>
      <c r="HQ751" s="1"/>
      <c r="HR751" s="1"/>
      <c r="HS751" s="1"/>
      <c r="HT751" s="1"/>
      <c r="HU751" s="1"/>
      <c r="HV751" s="1"/>
      <c r="HW751" s="1"/>
      <c r="HX751" s="1"/>
      <c r="HY751" s="1"/>
      <c r="HZ751" s="1"/>
      <c r="IA751" s="1"/>
      <c r="IB751" s="1"/>
      <c r="IC751" s="1"/>
      <c r="ID751" s="1"/>
      <c r="IE751" s="1"/>
      <c r="IF751" s="1"/>
      <c r="IG751" s="1"/>
      <c r="IH751" s="1"/>
      <c r="II751" s="1"/>
      <c r="IJ751" s="1"/>
      <c r="IK751" s="1"/>
      <c r="IL751" s="1"/>
      <c r="IM751" s="1"/>
      <c r="IN751" s="1"/>
      <c r="IO751" s="1"/>
      <c r="IP751" s="1"/>
      <c r="IQ751" s="1"/>
      <c r="IR751" s="1"/>
      <c r="IS751" s="1"/>
      <c r="IT751" s="1"/>
      <c r="IU751" s="1"/>
      <c r="IV751" s="1"/>
      <c r="IW751" s="1"/>
      <c r="IX751" s="1"/>
      <c r="IY751" s="1"/>
      <c r="IZ751" s="1"/>
      <c r="JA751" s="1"/>
      <c r="JB751" s="1"/>
      <c r="JC751" s="1"/>
      <c r="JD751" s="1"/>
    </row>
    <row r="752" spans="1:264" s="347" customFormat="1" x14ac:dyDescent="0.2">
      <c r="A752" s="429"/>
      <c r="B752" s="348"/>
      <c r="BH752" s="394"/>
      <c r="BI752" s="394"/>
      <c r="BJ752" s="642"/>
      <c r="BK752" s="642"/>
      <c r="BL752" s="394"/>
      <c r="BM752" s="394"/>
      <c r="BN752" s="642"/>
      <c r="BO752" s="348"/>
      <c r="BP752" s="394"/>
      <c r="BQ752" s="394"/>
      <c r="BR752" s="642"/>
      <c r="BT752" s="394"/>
      <c r="BU752" s="394"/>
      <c r="BV752" s="642"/>
      <c r="BX752" s="394"/>
      <c r="BY752" s="643"/>
      <c r="BZ752" s="348"/>
      <c r="CB752" s="394"/>
      <c r="CC752" s="643"/>
      <c r="CD752" s="348"/>
      <c r="CF752" s="394"/>
      <c r="CG752" s="643"/>
      <c r="CH752" s="348"/>
      <c r="CJ752" s="394"/>
      <c r="CK752" s="643"/>
      <c r="CL752" s="348"/>
      <c r="CN752" s="643"/>
      <c r="CO752" s="643"/>
      <c r="CP752" s="348"/>
      <c r="CR752" s="643"/>
      <c r="CS752" s="643"/>
      <c r="CT752" s="348"/>
      <c r="CV752" s="643"/>
      <c r="CW752" s="643"/>
      <c r="CX752" s="348"/>
      <c r="CZ752" s="643"/>
      <c r="DA752" s="643"/>
      <c r="DB752" s="348"/>
      <c r="DD752" s="643"/>
      <c r="DE752" s="643"/>
      <c r="DF752" s="348"/>
      <c r="DH752" s="643"/>
      <c r="DI752" s="643"/>
      <c r="DJ752" s="348"/>
      <c r="DL752" s="643"/>
      <c r="DM752" s="643"/>
      <c r="DN752" s="348"/>
      <c r="DP752" s="643"/>
      <c r="DQ752" s="643"/>
      <c r="DR752" s="348"/>
      <c r="DT752" s="1"/>
      <c r="DU752" s="1"/>
      <c r="DV752" s="1"/>
      <c r="DW752" s="1"/>
      <c r="DX752" s="1"/>
      <c r="DY752" s="1"/>
      <c r="DZ752" s="1"/>
      <c r="EA752" s="1"/>
      <c r="EB752" s="1"/>
      <c r="EC752" s="1"/>
      <c r="ED752" s="1"/>
      <c r="EE752" s="1"/>
      <c r="EF752" s="1"/>
      <c r="EG752" s="1"/>
      <c r="EH752" s="1"/>
      <c r="EI752" s="1"/>
      <c r="EJ752" s="1"/>
      <c r="EK752" s="1"/>
      <c r="EL752" s="1"/>
      <c r="EM752" s="1"/>
      <c r="EN752" s="1"/>
      <c r="EO752" s="1"/>
      <c r="EP752" s="1"/>
      <c r="EQ752" s="1"/>
      <c r="ER752" s="1"/>
      <c r="ES752" s="1"/>
      <c r="ET752" s="1"/>
      <c r="EU752" s="1"/>
      <c r="EV752" s="1"/>
      <c r="EW752" s="1"/>
      <c r="EX752" s="1"/>
      <c r="EY752" s="1"/>
      <c r="EZ752" s="1"/>
      <c r="FA752" s="1"/>
      <c r="FB752" s="1"/>
      <c r="FC752" s="1"/>
      <c r="FD752" s="1"/>
      <c r="FE752" s="1"/>
      <c r="FF752" s="1"/>
      <c r="FG752" s="1"/>
      <c r="FH752" s="1"/>
      <c r="FI752" s="1"/>
      <c r="FJ752" s="1"/>
      <c r="FK752" s="1"/>
      <c r="FL752" s="1"/>
      <c r="FM752" s="1"/>
      <c r="FN752" s="1"/>
      <c r="FO752" s="1"/>
      <c r="FP752" s="1"/>
      <c r="FQ752" s="1"/>
      <c r="FR752" s="1"/>
      <c r="FS752" s="1"/>
      <c r="FT752" s="1"/>
      <c r="FU752" s="1"/>
      <c r="FV752" s="1"/>
      <c r="FW752" s="1"/>
      <c r="FX752" s="1"/>
      <c r="FY752" s="1"/>
      <c r="FZ752" s="1"/>
      <c r="GA752" s="1"/>
      <c r="GB752" s="1"/>
      <c r="GC752" s="1"/>
      <c r="GD752" s="1"/>
      <c r="GE752" s="1"/>
      <c r="GF752" s="1"/>
      <c r="GG752" s="1"/>
      <c r="GH752" s="1"/>
      <c r="GI752" s="1"/>
      <c r="GJ752" s="1"/>
      <c r="GK752" s="1"/>
      <c r="GL752" s="1"/>
      <c r="GM752" s="1"/>
      <c r="GN752" s="1"/>
      <c r="GO752" s="1"/>
      <c r="GP752" s="1"/>
      <c r="GQ752" s="1"/>
      <c r="GR752" s="1"/>
      <c r="GS752" s="1"/>
      <c r="GT752" s="1"/>
      <c r="GU752" s="1"/>
      <c r="GV752" s="1"/>
      <c r="GW752" s="1"/>
      <c r="GX752" s="1"/>
      <c r="GY752" s="1"/>
      <c r="GZ752" s="1"/>
      <c r="HA752" s="1"/>
      <c r="HB752" s="1"/>
      <c r="HC752" s="1"/>
      <c r="HD752" s="1"/>
      <c r="HE752" s="1"/>
      <c r="HF752" s="1"/>
      <c r="HG752" s="1"/>
      <c r="HH752" s="1"/>
      <c r="HI752" s="1"/>
      <c r="HJ752" s="1"/>
      <c r="HK752" s="1"/>
      <c r="HL752" s="1"/>
      <c r="HM752" s="1"/>
      <c r="HN752" s="1"/>
      <c r="HO752" s="1"/>
      <c r="HP752" s="1"/>
      <c r="HQ752" s="1"/>
      <c r="HR752" s="1"/>
      <c r="HS752" s="1"/>
      <c r="HT752" s="1"/>
      <c r="HU752" s="1"/>
      <c r="HV752" s="1"/>
      <c r="HW752" s="1"/>
      <c r="HX752" s="1"/>
      <c r="HY752" s="1"/>
      <c r="HZ752" s="1"/>
      <c r="IA752" s="1"/>
      <c r="IB752" s="1"/>
      <c r="IC752" s="1"/>
      <c r="ID752" s="1"/>
      <c r="IE752" s="1"/>
      <c r="IF752" s="1"/>
      <c r="IG752" s="1"/>
      <c r="IH752" s="1"/>
      <c r="II752" s="1"/>
      <c r="IJ752" s="1"/>
      <c r="IK752" s="1"/>
      <c r="IL752" s="1"/>
      <c r="IM752" s="1"/>
      <c r="IN752" s="1"/>
      <c r="IO752" s="1"/>
      <c r="IP752" s="1"/>
      <c r="IQ752" s="1"/>
      <c r="IR752" s="1"/>
      <c r="IS752" s="1"/>
      <c r="IT752" s="1"/>
      <c r="IU752" s="1"/>
      <c r="IV752" s="1"/>
      <c r="IW752" s="1"/>
      <c r="IX752" s="1"/>
      <c r="IY752" s="1"/>
      <c r="IZ752" s="1"/>
      <c r="JA752" s="1"/>
      <c r="JB752" s="1"/>
      <c r="JC752" s="1"/>
      <c r="JD752" s="1"/>
    </row>
    <row r="753" spans="1:264" s="347" customFormat="1" x14ac:dyDescent="0.2">
      <c r="A753" s="347" t="s">
        <v>551</v>
      </c>
      <c r="B753" s="348"/>
      <c r="BH753" s="351">
        <f>+BH724</f>
        <v>1515</v>
      </c>
      <c r="BI753" s="351">
        <f>+BI724</f>
        <v>1567</v>
      </c>
      <c r="BJ753" s="351">
        <f>+BJ724</f>
        <v>1567</v>
      </c>
      <c r="BK753" s="642"/>
      <c r="BL753" s="351">
        <f>+BL724</f>
        <v>1623</v>
      </c>
      <c r="BM753" s="351">
        <f>+BM724</f>
        <v>1652</v>
      </c>
      <c r="BN753" s="351">
        <f>+BN724</f>
        <v>1652</v>
      </c>
      <c r="BO753" s="348"/>
      <c r="BP753" s="351">
        <f>+BP724</f>
        <v>1699</v>
      </c>
      <c r="BQ753" s="351">
        <f>+BQ724</f>
        <v>1774</v>
      </c>
      <c r="BR753" s="351">
        <f>+BR724</f>
        <v>1774</v>
      </c>
      <c r="BT753" s="351">
        <f>+BT724</f>
        <v>1766</v>
      </c>
      <c r="BU753" s="351">
        <f>+BU724</f>
        <v>1773</v>
      </c>
      <c r="BV753" s="351">
        <f>+BV724</f>
        <v>1773</v>
      </c>
      <c r="BX753" s="351">
        <f>+BX724</f>
        <v>1752</v>
      </c>
      <c r="BY753" s="351">
        <f>+BY724</f>
        <v>1569</v>
      </c>
      <c r="BZ753" s="351">
        <f>+BZ724</f>
        <v>1569</v>
      </c>
      <c r="CB753" s="351"/>
      <c r="CC753" s="351"/>
      <c r="CD753" s="351"/>
      <c r="CF753" s="351"/>
      <c r="CG753" s="351"/>
      <c r="CH753" s="351"/>
      <c r="CJ753" s="351"/>
      <c r="CK753" s="351"/>
      <c r="CL753" s="351"/>
      <c r="CN753" s="351"/>
      <c r="CO753" s="351"/>
      <c r="CP753" s="351"/>
      <c r="CR753" s="351"/>
      <c r="CS753" s="351"/>
      <c r="CT753" s="351"/>
      <c r="CV753" s="351"/>
      <c r="CW753" s="351"/>
      <c r="CX753" s="351"/>
      <c r="CZ753" s="351"/>
      <c r="DA753" s="351"/>
      <c r="DB753" s="351"/>
      <c r="DD753" s="351"/>
      <c r="DE753" s="351"/>
      <c r="DF753" s="351"/>
      <c r="DH753" s="351"/>
      <c r="DI753" s="351"/>
      <c r="DJ753" s="351"/>
      <c r="DL753" s="351"/>
      <c r="DM753" s="351"/>
      <c r="DN753" s="351"/>
      <c r="DP753" s="351"/>
      <c r="DQ753" s="351"/>
      <c r="DR753" s="351"/>
      <c r="DT753" s="1"/>
      <c r="DU753" s="1"/>
      <c r="DV753" s="1"/>
      <c r="DW753" s="1"/>
      <c r="DX753" s="1"/>
      <c r="DY753" s="1"/>
      <c r="DZ753" s="1"/>
      <c r="EA753" s="1"/>
      <c r="EB753" s="1"/>
      <c r="EC753" s="1"/>
      <c r="ED753" s="1"/>
      <c r="EE753" s="1"/>
      <c r="EF753" s="1"/>
      <c r="EG753" s="1"/>
      <c r="EH753" s="1"/>
      <c r="EI753" s="1"/>
      <c r="EJ753" s="1"/>
      <c r="EK753" s="1"/>
      <c r="EL753" s="1"/>
      <c r="EM753" s="1"/>
      <c r="EN753" s="1"/>
      <c r="EO753" s="1"/>
      <c r="EP753" s="1"/>
      <c r="EQ753" s="1"/>
      <c r="ER753" s="1"/>
      <c r="ES753" s="1"/>
      <c r="ET753" s="1"/>
      <c r="EU753" s="1"/>
      <c r="EV753" s="1"/>
      <c r="EW753" s="1"/>
      <c r="EX753" s="1"/>
      <c r="EY753" s="1"/>
      <c r="EZ753" s="1"/>
      <c r="FA753" s="1"/>
      <c r="FB753" s="1"/>
      <c r="FC753" s="1"/>
      <c r="FD753" s="1"/>
      <c r="FE753" s="1"/>
      <c r="FF753" s="1"/>
      <c r="FG753" s="1"/>
      <c r="FH753" s="1"/>
      <c r="FI753" s="1"/>
      <c r="FJ753" s="1"/>
      <c r="FK753" s="1"/>
      <c r="FL753" s="1"/>
      <c r="FM753" s="1"/>
      <c r="FN753" s="1"/>
      <c r="FO753" s="1"/>
      <c r="FP753" s="1"/>
      <c r="FQ753" s="1"/>
      <c r="FR753" s="1"/>
      <c r="FS753" s="1"/>
      <c r="FT753" s="1"/>
      <c r="FU753" s="1"/>
      <c r="FV753" s="1"/>
      <c r="FW753" s="1"/>
      <c r="FX753" s="1"/>
      <c r="FY753" s="1"/>
      <c r="FZ753" s="1"/>
      <c r="GA753" s="1"/>
      <c r="GB753" s="1"/>
      <c r="GC753" s="1"/>
      <c r="GD753" s="1"/>
      <c r="GE753" s="1"/>
      <c r="GF753" s="1"/>
      <c r="GG753" s="1"/>
      <c r="GH753" s="1"/>
      <c r="GI753" s="1"/>
      <c r="GJ753" s="1"/>
      <c r="GK753" s="1"/>
      <c r="GL753" s="1"/>
      <c r="GM753" s="1"/>
      <c r="GN753" s="1"/>
      <c r="GO753" s="1"/>
      <c r="GP753" s="1"/>
      <c r="GQ753" s="1"/>
      <c r="GR753" s="1"/>
      <c r="GS753" s="1"/>
      <c r="GT753" s="1"/>
      <c r="GU753" s="1"/>
      <c r="GV753" s="1"/>
      <c r="GW753" s="1"/>
      <c r="GX753" s="1"/>
      <c r="GY753" s="1"/>
      <c r="GZ753" s="1"/>
      <c r="HA753" s="1"/>
      <c r="HB753" s="1"/>
      <c r="HC753" s="1"/>
      <c r="HD753" s="1"/>
      <c r="HE753" s="1"/>
      <c r="HF753" s="1"/>
      <c r="HG753" s="1"/>
      <c r="HH753" s="1"/>
      <c r="HI753" s="1"/>
      <c r="HJ753" s="1"/>
      <c r="HK753" s="1"/>
      <c r="HL753" s="1"/>
      <c r="HM753" s="1"/>
      <c r="HN753" s="1"/>
      <c r="HO753" s="1"/>
      <c r="HP753" s="1"/>
      <c r="HQ753" s="1"/>
      <c r="HR753" s="1"/>
      <c r="HS753" s="1"/>
      <c r="HT753" s="1"/>
      <c r="HU753" s="1"/>
      <c r="HV753" s="1"/>
      <c r="HW753" s="1"/>
      <c r="HX753" s="1"/>
      <c r="HY753" s="1"/>
      <c r="HZ753" s="1"/>
      <c r="IA753" s="1"/>
      <c r="IB753" s="1"/>
      <c r="IC753" s="1"/>
      <c r="ID753" s="1"/>
      <c r="IE753" s="1"/>
      <c r="IF753" s="1"/>
      <c r="IG753" s="1"/>
      <c r="IH753" s="1"/>
      <c r="II753" s="1"/>
      <c r="IJ753" s="1"/>
      <c r="IK753" s="1"/>
      <c r="IL753" s="1"/>
      <c r="IM753" s="1"/>
      <c r="IN753" s="1"/>
      <c r="IO753" s="1"/>
      <c r="IP753" s="1"/>
      <c r="IQ753" s="1"/>
      <c r="IR753" s="1"/>
      <c r="IS753" s="1"/>
      <c r="IT753" s="1"/>
      <c r="IU753" s="1"/>
      <c r="IV753" s="1"/>
      <c r="IW753" s="1"/>
      <c r="IX753" s="1"/>
      <c r="IY753" s="1"/>
      <c r="IZ753" s="1"/>
      <c r="JA753" s="1"/>
      <c r="JB753" s="1"/>
      <c r="JC753" s="1"/>
      <c r="JD753" s="1"/>
    </row>
    <row r="754" spans="1:264" s="347" customFormat="1" x14ac:dyDescent="0.2">
      <c r="A754" s="347" t="s">
        <v>552</v>
      </c>
      <c r="B754" s="348"/>
      <c r="BH754" s="351">
        <f>+BH748</f>
        <v>556</v>
      </c>
      <c r="BI754" s="351">
        <f>+BI748</f>
        <v>598</v>
      </c>
      <c r="BJ754" s="351">
        <f>+BJ748</f>
        <v>598</v>
      </c>
      <c r="BK754" s="642"/>
      <c r="BL754" s="351">
        <f>+BL748</f>
        <v>650</v>
      </c>
      <c r="BM754" s="351">
        <f>+BM748</f>
        <v>657</v>
      </c>
      <c r="BN754" s="351">
        <f>+BN748</f>
        <v>657</v>
      </c>
      <c r="BO754" s="348"/>
      <c r="BP754" s="351">
        <f>+BP748</f>
        <v>682</v>
      </c>
      <c r="BQ754" s="351">
        <f>+BQ748</f>
        <v>693</v>
      </c>
      <c r="BR754" s="351">
        <f>+BR748</f>
        <v>693</v>
      </c>
      <c r="BT754" s="351">
        <f>+BT748</f>
        <v>706</v>
      </c>
      <c r="BU754" s="351">
        <f>+BU748</f>
        <v>735</v>
      </c>
      <c r="BV754" s="351">
        <f>+BV748</f>
        <v>735</v>
      </c>
      <c r="BX754" s="351">
        <f>+BX748</f>
        <v>768</v>
      </c>
      <c r="BY754" s="351">
        <f>+BY748</f>
        <v>783</v>
      </c>
      <c r="BZ754" s="351">
        <f>+BZ748</f>
        <v>783</v>
      </c>
      <c r="CB754" s="351"/>
      <c r="CC754" s="351"/>
      <c r="CD754" s="351"/>
      <c r="CF754" s="351"/>
      <c r="CG754" s="351"/>
      <c r="CH754" s="351"/>
      <c r="CJ754" s="351"/>
      <c r="CK754" s="351"/>
      <c r="CL754" s="351"/>
      <c r="CN754" s="351"/>
      <c r="CO754" s="351"/>
      <c r="CP754" s="351"/>
      <c r="CR754" s="351"/>
      <c r="CS754" s="351"/>
      <c r="CT754" s="351"/>
      <c r="CV754" s="351"/>
      <c r="CW754" s="351"/>
      <c r="CX754" s="351"/>
      <c r="CZ754" s="351"/>
      <c r="DA754" s="351"/>
      <c r="DB754" s="351"/>
      <c r="DD754" s="351"/>
      <c r="DE754" s="351"/>
      <c r="DF754" s="351"/>
      <c r="DH754" s="351"/>
      <c r="DI754" s="351"/>
      <c r="DJ754" s="351"/>
      <c r="DL754" s="351"/>
      <c r="DM754" s="351"/>
      <c r="DN754" s="351"/>
      <c r="DP754" s="351"/>
      <c r="DQ754" s="351"/>
      <c r="DR754" s="351"/>
      <c r="DT754" s="1"/>
      <c r="DU754" s="1"/>
      <c r="DV754" s="1"/>
      <c r="DW754" s="1"/>
      <c r="DX754" s="1"/>
      <c r="DY754" s="1"/>
      <c r="DZ754" s="1"/>
      <c r="EA754" s="1"/>
      <c r="EB754" s="1"/>
      <c r="EC754" s="1"/>
      <c r="ED754" s="1"/>
      <c r="EE754" s="1"/>
      <c r="EF754" s="1"/>
      <c r="EG754" s="1"/>
      <c r="EH754" s="1"/>
      <c r="EI754" s="1"/>
      <c r="EJ754" s="1"/>
      <c r="EK754" s="1"/>
      <c r="EL754" s="1"/>
      <c r="EM754" s="1"/>
      <c r="EN754" s="1"/>
      <c r="EO754" s="1"/>
      <c r="EP754" s="1"/>
      <c r="EQ754" s="1"/>
      <c r="ER754" s="1"/>
      <c r="ES754" s="1"/>
      <c r="ET754" s="1"/>
      <c r="EU754" s="1"/>
      <c r="EV754" s="1"/>
      <c r="EW754" s="1"/>
      <c r="EX754" s="1"/>
      <c r="EY754" s="1"/>
      <c r="EZ754" s="1"/>
      <c r="FA754" s="1"/>
      <c r="FB754" s="1"/>
      <c r="FC754" s="1"/>
      <c r="FD754" s="1"/>
      <c r="FE754" s="1"/>
      <c r="FF754" s="1"/>
      <c r="FG754" s="1"/>
      <c r="FH754" s="1"/>
      <c r="FI754" s="1"/>
      <c r="FJ754" s="1"/>
      <c r="FK754" s="1"/>
      <c r="FL754" s="1"/>
      <c r="FM754" s="1"/>
      <c r="FN754" s="1"/>
      <c r="FO754" s="1"/>
      <c r="FP754" s="1"/>
      <c r="FQ754" s="1"/>
      <c r="FR754" s="1"/>
      <c r="FS754" s="1"/>
      <c r="FT754" s="1"/>
      <c r="FU754" s="1"/>
      <c r="FV754" s="1"/>
      <c r="FW754" s="1"/>
      <c r="FX754" s="1"/>
      <c r="FY754" s="1"/>
      <c r="FZ754" s="1"/>
      <c r="GA754" s="1"/>
      <c r="GB754" s="1"/>
      <c r="GC754" s="1"/>
      <c r="GD754" s="1"/>
      <c r="GE754" s="1"/>
      <c r="GF754" s="1"/>
      <c r="GG754" s="1"/>
      <c r="GH754" s="1"/>
      <c r="GI754" s="1"/>
      <c r="GJ754" s="1"/>
      <c r="GK754" s="1"/>
      <c r="GL754" s="1"/>
      <c r="GM754" s="1"/>
      <c r="GN754" s="1"/>
      <c r="GO754" s="1"/>
      <c r="GP754" s="1"/>
      <c r="GQ754" s="1"/>
      <c r="GR754" s="1"/>
      <c r="GS754" s="1"/>
      <c r="GT754" s="1"/>
      <c r="GU754" s="1"/>
      <c r="GV754" s="1"/>
      <c r="GW754" s="1"/>
      <c r="GX754" s="1"/>
      <c r="GY754" s="1"/>
      <c r="GZ754" s="1"/>
      <c r="HA754" s="1"/>
      <c r="HB754" s="1"/>
      <c r="HC754" s="1"/>
      <c r="HD754" s="1"/>
      <c r="HE754" s="1"/>
      <c r="HF754" s="1"/>
      <c r="HG754" s="1"/>
      <c r="HH754" s="1"/>
      <c r="HI754" s="1"/>
      <c r="HJ754" s="1"/>
      <c r="HK754" s="1"/>
      <c r="HL754" s="1"/>
      <c r="HM754" s="1"/>
      <c r="HN754" s="1"/>
      <c r="HO754" s="1"/>
      <c r="HP754" s="1"/>
      <c r="HQ754" s="1"/>
      <c r="HR754" s="1"/>
      <c r="HS754" s="1"/>
      <c r="HT754" s="1"/>
      <c r="HU754" s="1"/>
      <c r="HV754" s="1"/>
      <c r="HW754" s="1"/>
      <c r="HX754" s="1"/>
      <c r="HY754" s="1"/>
      <c r="HZ754" s="1"/>
      <c r="IA754" s="1"/>
      <c r="IB754" s="1"/>
      <c r="IC754" s="1"/>
      <c r="ID754" s="1"/>
      <c r="IE754" s="1"/>
      <c r="IF754" s="1"/>
      <c r="IG754" s="1"/>
      <c r="IH754" s="1"/>
      <c r="II754" s="1"/>
      <c r="IJ754" s="1"/>
      <c r="IK754" s="1"/>
      <c r="IL754" s="1"/>
      <c r="IM754" s="1"/>
      <c r="IN754" s="1"/>
      <c r="IO754" s="1"/>
      <c r="IP754" s="1"/>
      <c r="IQ754" s="1"/>
      <c r="IR754" s="1"/>
      <c r="IS754" s="1"/>
      <c r="IT754" s="1"/>
      <c r="IU754" s="1"/>
      <c r="IV754" s="1"/>
      <c r="IW754" s="1"/>
      <c r="IX754" s="1"/>
      <c r="IY754" s="1"/>
      <c r="IZ754" s="1"/>
      <c r="JA754" s="1"/>
      <c r="JB754" s="1"/>
      <c r="JC754" s="1"/>
      <c r="JD754" s="1"/>
    </row>
    <row r="755" spans="1:264" s="347" customFormat="1" x14ac:dyDescent="0.2">
      <c r="A755" s="411" t="s">
        <v>553</v>
      </c>
      <c r="B755" s="348"/>
      <c r="BH755" s="397">
        <f>SUM(BH753:BH754)</f>
        <v>2071</v>
      </c>
      <c r="BI755" s="397">
        <f>SUM(BI753:BI754)</f>
        <v>2165</v>
      </c>
      <c r="BJ755" s="397">
        <f>SUM(BJ753:BJ754)</f>
        <v>2165</v>
      </c>
      <c r="BK755" s="642"/>
      <c r="BL755" s="397">
        <f>SUM(BL753:BL754)</f>
        <v>2273</v>
      </c>
      <c r="BM755" s="397">
        <f>SUM(BM753:BM754)</f>
        <v>2309</v>
      </c>
      <c r="BN755" s="397">
        <f>SUM(BN753:BN754)</f>
        <v>2309</v>
      </c>
      <c r="BO755" s="348"/>
      <c r="BP755" s="397">
        <f>SUM(BP753:BP754)</f>
        <v>2381</v>
      </c>
      <c r="BQ755" s="397">
        <f>SUM(BQ753:BQ754)</f>
        <v>2467</v>
      </c>
      <c r="BR755" s="397">
        <f>SUM(BR753:BR754)</f>
        <v>2467</v>
      </c>
      <c r="BT755" s="397">
        <f>SUM(BT753:BT754)</f>
        <v>2472</v>
      </c>
      <c r="BU755" s="397">
        <f>SUM(BU753:BU754)</f>
        <v>2508</v>
      </c>
      <c r="BV755" s="397">
        <f>SUM(BV753:BV754)</f>
        <v>2508</v>
      </c>
      <c r="BX755" s="397">
        <f>SUM(BX753:BX754)</f>
        <v>2520</v>
      </c>
      <c r="BY755" s="397">
        <f>SUM(BY753:BY754)</f>
        <v>2352</v>
      </c>
      <c r="BZ755" s="397">
        <f>SUM(BZ753:BZ754)</f>
        <v>2352</v>
      </c>
      <c r="CB755" s="397"/>
      <c r="CC755" s="397"/>
      <c r="CD755" s="397"/>
      <c r="CF755" s="397"/>
      <c r="CG755" s="397"/>
      <c r="CH755" s="397"/>
      <c r="CJ755" s="397"/>
      <c r="CK755" s="397"/>
      <c r="CL755" s="397"/>
      <c r="CN755" s="397"/>
      <c r="CO755" s="397"/>
      <c r="CP755" s="397"/>
      <c r="CR755" s="397"/>
      <c r="CS755" s="397"/>
      <c r="CT755" s="397"/>
      <c r="CV755" s="397"/>
      <c r="CW755" s="397"/>
      <c r="CX755" s="397"/>
      <c r="CZ755" s="397"/>
      <c r="DA755" s="397"/>
      <c r="DB755" s="397"/>
      <c r="DD755" s="397"/>
      <c r="DE755" s="397"/>
      <c r="DF755" s="397"/>
      <c r="DH755" s="397"/>
      <c r="DI755" s="397"/>
      <c r="DJ755" s="397"/>
      <c r="DL755" s="397"/>
      <c r="DM755" s="397"/>
      <c r="DN755" s="397"/>
      <c r="DP755" s="397"/>
      <c r="DQ755" s="397"/>
      <c r="DR755" s="397"/>
      <c r="DT755" s="1"/>
      <c r="DU755" s="1"/>
      <c r="DV755" s="1"/>
      <c r="DW755" s="1"/>
      <c r="DX755" s="1"/>
      <c r="DY755" s="1"/>
      <c r="DZ755" s="1"/>
      <c r="EA755" s="1"/>
      <c r="EB755" s="1"/>
      <c r="EC755" s="1"/>
      <c r="ED755" s="1"/>
      <c r="EE755" s="1"/>
      <c r="EF755" s="1"/>
      <c r="EG755" s="1"/>
      <c r="EH755" s="1"/>
      <c r="EI755" s="1"/>
      <c r="EJ755" s="1"/>
      <c r="EK755" s="1"/>
      <c r="EL755" s="1"/>
      <c r="EM755" s="1"/>
      <c r="EN755" s="1"/>
      <c r="EO755" s="1"/>
      <c r="EP755" s="1"/>
      <c r="EQ755" s="1"/>
      <c r="ER755" s="1"/>
      <c r="ES755" s="1"/>
      <c r="ET755" s="1"/>
      <c r="EU755" s="1"/>
      <c r="EV755" s="1"/>
      <c r="EW755" s="1"/>
      <c r="EX755" s="1"/>
      <c r="EY755" s="1"/>
      <c r="EZ755" s="1"/>
      <c r="FA755" s="1"/>
      <c r="FB755" s="1"/>
      <c r="FC755" s="1"/>
      <c r="FD755" s="1"/>
      <c r="FE755" s="1"/>
      <c r="FF755" s="1"/>
      <c r="FG755" s="1"/>
      <c r="FH755" s="1"/>
      <c r="FI755" s="1"/>
      <c r="FJ755" s="1"/>
      <c r="FK755" s="1"/>
      <c r="FL755" s="1"/>
      <c r="FM755" s="1"/>
      <c r="FN755" s="1"/>
      <c r="FO755" s="1"/>
      <c r="FP755" s="1"/>
      <c r="FQ755" s="1"/>
      <c r="FR755" s="1"/>
      <c r="FS755" s="1"/>
      <c r="FT755" s="1"/>
      <c r="FU755" s="1"/>
      <c r="FV755" s="1"/>
      <c r="FW755" s="1"/>
      <c r="FX755" s="1"/>
      <c r="FY755" s="1"/>
      <c r="FZ755" s="1"/>
      <c r="GA755" s="1"/>
      <c r="GB755" s="1"/>
      <c r="GC755" s="1"/>
      <c r="GD755" s="1"/>
      <c r="GE755" s="1"/>
      <c r="GF755" s="1"/>
      <c r="GG755" s="1"/>
      <c r="GH755" s="1"/>
      <c r="GI755" s="1"/>
      <c r="GJ755" s="1"/>
      <c r="GK755" s="1"/>
      <c r="GL755" s="1"/>
      <c r="GM755" s="1"/>
      <c r="GN755" s="1"/>
      <c r="GO755" s="1"/>
      <c r="GP755" s="1"/>
      <c r="GQ755" s="1"/>
      <c r="GR755" s="1"/>
      <c r="GS755" s="1"/>
      <c r="GT755" s="1"/>
      <c r="GU755" s="1"/>
      <c r="GV755" s="1"/>
      <c r="GW755" s="1"/>
      <c r="GX755" s="1"/>
      <c r="GY755" s="1"/>
      <c r="GZ755" s="1"/>
      <c r="HA755" s="1"/>
      <c r="HB755" s="1"/>
      <c r="HC755" s="1"/>
      <c r="HD755" s="1"/>
      <c r="HE755" s="1"/>
      <c r="HF755" s="1"/>
      <c r="HG755" s="1"/>
      <c r="HH755" s="1"/>
      <c r="HI755" s="1"/>
      <c r="HJ755" s="1"/>
      <c r="HK755" s="1"/>
      <c r="HL755" s="1"/>
      <c r="HM755" s="1"/>
      <c r="HN755" s="1"/>
      <c r="HO755" s="1"/>
      <c r="HP755" s="1"/>
      <c r="HQ755" s="1"/>
      <c r="HR755" s="1"/>
      <c r="HS755" s="1"/>
      <c r="HT755" s="1"/>
      <c r="HU755" s="1"/>
      <c r="HV755" s="1"/>
      <c r="HW755" s="1"/>
      <c r="HX755" s="1"/>
      <c r="HY755" s="1"/>
      <c r="HZ755" s="1"/>
      <c r="IA755" s="1"/>
      <c r="IB755" s="1"/>
      <c r="IC755" s="1"/>
      <c r="ID755" s="1"/>
      <c r="IE755" s="1"/>
      <c r="IF755" s="1"/>
      <c r="IG755" s="1"/>
      <c r="IH755" s="1"/>
      <c r="II755" s="1"/>
      <c r="IJ755" s="1"/>
      <c r="IK755" s="1"/>
      <c r="IL755" s="1"/>
      <c r="IM755" s="1"/>
      <c r="IN755" s="1"/>
      <c r="IO755" s="1"/>
      <c r="IP755" s="1"/>
      <c r="IQ755" s="1"/>
      <c r="IR755" s="1"/>
      <c r="IS755" s="1"/>
      <c r="IT755" s="1"/>
      <c r="IU755" s="1"/>
      <c r="IV755" s="1"/>
      <c r="IW755" s="1"/>
      <c r="IX755" s="1"/>
      <c r="IY755" s="1"/>
      <c r="IZ755" s="1"/>
      <c r="JA755" s="1"/>
      <c r="JB755" s="1"/>
      <c r="JC755" s="1"/>
      <c r="JD755" s="1"/>
    </row>
    <row r="756" spans="1:264" s="347" customFormat="1" x14ac:dyDescent="0.2">
      <c r="A756" s="429" t="s">
        <v>379</v>
      </c>
      <c r="B756" s="348"/>
      <c r="BH756" s="509">
        <v>2071</v>
      </c>
      <c r="BI756" s="509">
        <v>2165</v>
      </c>
      <c r="BJ756" s="397"/>
      <c r="BK756" s="423"/>
      <c r="BL756" s="509">
        <v>2273</v>
      </c>
      <c r="BM756" s="509">
        <v>2309</v>
      </c>
      <c r="BN756" s="397"/>
      <c r="BO756" s="348"/>
      <c r="BP756" s="509">
        <v>2381</v>
      </c>
      <c r="BQ756" s="509">
        <v>2467</v>
      </c>
      <c r="BR756" s="397"/>
      <c r="BT756" s="509">
        <v>2472</v>
      </c>
      <c r="BU756" s="509">
        <v>2508</v>
      </c>
      <c r="BV756" s="397"/>
      <c r="BX756" s="509">
        <v>2520</v>
      </c>
      <c r="BY756" s="509">
        <v>2352</v>
      </c>
      <c r="BZ756" s="397"/>
      <c r="CC756" s="509"/>
      <c r="CD756" s="397"/>
      <c r="CG756" s="650"/>
      <c r="CH756" s="348"/>
      <c r="CK756" s="650"/>
      <c r="CL756" s="348"/>
      <c r="CN756" s="650"/>
      <c r="CO756" s="650"/>
      <c r="CP756" s="348"/>
      <c r="CR756" s="650"/>
      <c r="CS756" s="650"/>
      <c r="CT756" s="348"/>
      <c r="CV756" s="650"/>
      <c r="CW756" s="650"/>
      <c r="CX756" s="348"/>
      <c r="CZ756" s="650"/>
      <c r="DA756" s="650"/>
      <c r="DB756" s="348"/>
      <c r="DD756" s="650"/>
      <c r="DE756" s="650"/>
      <c r="DF756" s="348"/>
      <c r="DH756" s="650"/>
      <c r="DI756" s="650"/>
      <c r="DJ756" s="348"/>
      <c r="DL756" s="650"/>
      <c r="DM756" s="650"/>
      <c r="DN756" s="348"/>
      <c r="DP756" s="650"/>
      <c r="DQ756" s="650"/>
      <c r="DR756" s="348"/>
      <c r="DT756" s="1"/>
      <c r="DU756" s="1"/>
      <c r="DV756" s="1"/>
      <c r="DW756" s="1"/>
      <c r="DX756" s="1"/>
      <c r="DY756" s="1"/>
      <c r="DZ756" s="1"/>
      <c r="EA756" s="1"/>
      <c r="EB756" s="1"/>
      <c r="EC756" s="1"/>
      <c r="ED756" s="1"/>
      <c r="EE756" s="1"/>
      <c r="EF756" s="1"/>
      <c r="EG756" s="1"/>
      <c r="EH756" s="1"/>
      <c r="EI756" s="1"/>
      <c r="EJ756" s="1"/>
      <c r="EK756" s="1"/>
      <c r="EL756" s="1"/>
      <c r="EM756" s="1"/>
      <c r="EN756" s="1"/>
      <c r="EO756" s="1"/>
      <c r="EP756" s="1"/>
      <c r="EQ756" s="1"/>
      <c r="ER756" s="1"/>
      <c r="ES756" s="1"/>
      <c r="ET756" s="1"/>
      <c r="EU756" s="1"/>
      <c r="EV756" s="1"/>
      <c r="EW756" s="1"/>
      <c r="EX756" s="1"/>
      <c r="EY756" s="1"/>
      <c r="EZ756" s="1"/>
      <c r="FA756" s="1"/>
      <c r="FB756" s="1"/>
      <c r="FC756" s="1"/>
      <c r="FD756" s="1"/>
      <c r="FE756" s="1"/>
      <c r="FF756" s="1"/>
      <c r="FG756" s="1"/>
      <c r="FH756" s="1"/>
      <c r="FI756" s="1"/>
      <c r="FJ756" s="1"/>
      <c r="FK756" s="1"/>
      <c r="FL756" s="1"/>
      <c r="FM756" s="1"/>
      <c r="FN756" s="1"/>
      <c r="FO756" s="1"/>
      <c r="FP756" s="1"/>
      <c r="FQ756" s="1"/>
      <c r="FR756" s="1"/>
      <c r="FS756" s="1"/>
      <c r="FT756" s="1"/>
      <c r="FU756" s="1"/>
      <c r="FV756" s="1"/>
      <c r="FW756" s="1"/>
      <c r="FX756" s="1"/>
      <c r="FY756" s="1"/>
      <c r="FZ756" s="1"/>
      <c r="GA756" s="1"/>
      <c r="GB756" s="1"/>
      <c r="GC756" s="1"/>
      <c r="GD756" s="1"/>
      <c r="GE756" s="1"/>
      <c r="GF756" s="1"/>
      <c r="GG756" s="1"/>
      <c r="GH756" s="1"/>
      <c r="GI756" s="1"/>
      <c r="GJ756" s="1"/>
      <c r="GK756" s="1"/>
      <c r="GL756" s="1"/>
      <c r="GM756" s="1"/>
      <c r="GN756" s="1"/>
      <c r="GO756" s="1"/>
      <c r="GP756" s="1"/>
      <c r="GQ756" s="1"/>
      <c r="GR756" s="1"/>
      <c r="GS756" s="1"/>
      <c r="GT756" s="1"/>
      <c r="GU756" s="1"/>
      <c r="GV756" s="1"/>
      <c r="GW756" s="1"/>
      <c r="GX756" s="1"/>
      <c r="GY756" s="1"/>
      <c r="GZ756" s="1"/>
      <c r="HA756" s="1"/>
      <c r="HB756" s="1"/>
      <c r="HC756" s="1"/>
      <c r="HD756" s="1"/>
      <c r="HE756" s="1"/>
      <c r="HF756" s="1"/>
      <c r="HG756" s="1"/>
      <c r="HH756" s="1"/>
      <c r="HI756" s="1"/>
      <c r="HJ756" s="1"/>
      <c r="HK756" s="1"/>
      <c r="HL756" s="1"/>
      <c r="HM756" s="1"/>
      <c r="HN756" s="1"/>
      <c r="HO756" s="1"/>
      <c r="HP756" s="1"/>
      <c r="HQ756" s="1"/>
      <c r="HR756" s="1"/>
      <c r="HS756" s="1"/>
      <c r="HT756" s="1"/>
      <c r="HU756" s="1"/>
      <c r="HV756" s="1"/>
      <c r="HW756" s="1"/>
      <c r="HX756" s="1"/>
      <c r="HY756" s="1"/>
      <c r="HZ756" s="1"/>
      <c r="IA756" s="1"/>
      <c r="IB756" s="1"/>
      <c r="IC756" s="1"/>
      <c r="ID756" s="1"/>
      <c r="IE756" s="1"/>
      <c r="IF756" s="1"/>
      <c r="IG756" s="1"/>
      <c r="IH756" s="1"/>
      <c r="II756" s="1"/>
      <c r="IJ756" s="1"/>
      <c r="IK756" s="1"/>
      <c r="IL756" s="1"/>
      <c r="IM756" s="1"/>
      <c r="IN756" s="1"/>
      <c r="IO756" s="1"/>
      <c r="IP756" s="1"/>
      <c r="IQ756" s="1"/>
      <c r="IR756" s="1"/>
      <c r="IS756" s="1"/>
      <c r="IT756" s="1"/>
      <c r="IU756" s="1"/>
      <c r="IV756" s="1"/>
      <c r="IW756" s="1"/>
      <c r="IX756" s="1"/>
      <c r="IY756" s="1"/>
      <c r="IZ756" s="1"/>
      <c r="JA756" s="1"/>
      <c r="JB756" s="1"/>
      <c r="JC756" s="1"/>
      <c r="JD756" s="1"/>
    </row>
    <row r="757" spans="1:264" s="347" customFormat="1" x14ac:dyDescent="0.2">
      <c r="B757" s="348"/>
      <c r="BH757" s="348"/>
      <c r="BI757" s="348"/>
      <c r="BJ757" s="348"/>
      <c r="BK757" s="348"/>
      <c r="BL757" s="348"/>
      <c r="BM757" s="348"/>
      <c r="BN757" s="348"/>
      <c r="BO757" s="348"/>
      <c r="BP757" s="348"/>
      <c r="BQ757" s="348"/>
      <c r="BR757" s="348"/>
      <c r="BT757" s="348"/>
      <c r="BU757" s="348"/>
      <c r="BV757" s="348"/>
      <c r="BX757" s="348"/>
      <c r="CB757" s="348"/>
      <c r="CC757" s="509"/>
      <c r="CD757" s="397"/>
      <c r="CG757" s="650"/>
      <c r="CH757" s="348"/>
      <c r="CK757" s="650"/>
      <c r="CL757" s="348"/>
      <c r="CN757" s="650"/>
      <c r="CO757" s="650"/>
      <c r="CP757" s="348"/>
      <c r="CR757" s="650"/>
      <c r="CV757" s="348"/>
      <c r="CZ757" s="348"/>
      <c r="DD757" s="348"/>
      <c r="DH757" s="348"/>
      <c r="DL757" s="348"/>
      <c r="DP757" s="348"/>
      <c r="DT757" s="1"/>
      <c r="DU757" s="1"/>
      <c r="DV757" s="1"/>
      <c r="DW757" s="1"/>
      <c r="DX757" s="1"/>
      <c r="DY757" s="1"/>
      <c r="DZ757" s="1"/>
      <c r="EA757" s="1"/>
      <c r="EB757" s="1"/>
      <c r="EC757" s="1"/>
      <c r="ED757" s="1"/>
      <c r="EE757" s="1"/>
      <c r="EF757" s="1"/>
      <c r="EG757" s="1"/>
      <c r="EH757" s="1"/>
      <c r="EI757" s="1"/>
      <c r="EJ757" s="1"/>
      <c r="EK757" s="1"/>
      <c r="EL757" s="1"/>
      <c r="EM757" s="1"/>
      <c r="EN757" s="1"/>
      <c r="EO757" s="1"/>
      <c r="EP757" s="1"/>
      <c r="EQ757" s="1"/>
      <c r="ER757" s="1"/>
      <c r="ES757" s="1"/>
      <c r="ET757" s="1"/>
      <c r="EU757" s="1"/>
      <c r="EV757" s="1"/>
      <c r="EW757" s="1"/>
      <c r="EX757" s="1"/>
      <c r="EY757" s="1"/>
      <c r="EZ757" s="1"/>
      <c r="FA757" s="1"/>
      <c r="FB757" s="1"/>
      <c r="FC757" s="1"/>
      <c r="FD757" s="1"/>
      <c r="FE757" s="1"/>
      <c r="FF757" s="1"/>
      <c r="FG757" s="1"/>
      <c r="FH757" s="1"/>
      <c r="FI757" s="1"/>
      <c r="FJ757" s="1"/>
      <c r="FK757" s="1"/>
      <c r="FL757" s="1"/>
      <c r="FM757" s="1"/>
      <c r="FN757" s="1"/>
      <c r="FO757" s="1"/>
      <c r="FP757" s="1"/>
      <c r="FQ757" s="1"/>
      <c r="FR757" s="1"/>
      <c r="FS757" s="1"/>
      <c r="FT757" s="1"/>
      <c r="FU757" s="1"/>
      <c r="FV757" s="1"/>
      <c r="FW757" s="1"/>
      <c r="FX757" s="1"/>
      <c r="FY757" s="1"/>
      <c r="FZ757" s="1"/>
      <c r="GA757" s="1"/>
      <c r="GB757" s="1"/>
      <c r="GC757" s="1"/>
      <c r="GD757" s="1"/>
      <c r="GE757" s="1"/>
      <c r="GF757" s="1"/>
      <c r="GG757" s="1"/>
      <c r="GH757" s="1"/>
      <c r="GI757" s="1"/>
      <c r="GJ757" s="1"/>
      <c r="GK757" s="1"/>
      <c r="GL757" s="1"/>
      <c r="GM757" s="1"/>
      <c r="GN757" s="1"/>
      <c r="GO757" s="1"/>
      <c r="GP757" s="1"/>
      <c r="GQ757" s="1"/>
      <c r="GR757" s="1"/>
      <c r="GS757" s="1"/>
      <c r="GT757" s="1"/>
      <c r="GU757" s="1"/>
      <c r="GV757" s="1"/>
      <c r="GW757" s="1"/>
      <c r="GX757" s="1"/>
      <c r="GY757" s="1"/>
      <c r="GZ757" s="1"/>
      <c r="HA757" s="1"/>
      <c r="HB757" s="1"/>
      <c r="HC757" s="1"/>
      <c r="HD757" s="1"/>
      <c r="HE757" s="1"/>
      <c r="HF757" s="1"/>
      <c r="HG757" s="1"/>
      <c r="HH757" s="1"/>
      <c r="HI757" s="1"/>
      <c r="HJ757" s="1"/>
      <c r="HK757" s="1"/>
      <c r="HL757" s="1"/>
      <c r="HM757" s="1"/>
      <c r="HN757" s="1"/>
      <c r="HO757" s="1"/>
      <c r="HP757" s="1"/>
      <c r="HQ757" s="1"/>
      <c r="HR757" s="1"/>
      <c r="HS757" s="1"/>
      <c r="HT757" s="1"/>
      <c r="HU757" s="1"/>
      <c r="HV757" s="1"/>
      <c r="HW757" s="1"/>
      <c r="HX757" s="1"/>
      <c r="HY757" s="1"/>
      <c r="HZ757" s="1"/>
      <c r="IA757" s="1"/>
      <c r="IB757" s="1"/>
      <c r="IC757" s="1"/>
      <c r="ID757" s="1"/>
      <c r="IE757" s="1"/>
      <c r="IF757" s="1"/>
      <c r="IG757" s="1"/>
      <c r="IH757" s="1"/>
      <c r="II757" s="1"/>
      <c r="IJ757" s="1"/>
      <c r="IK757" s="1"/>
      <c r="IL757" s="1"/>
      <c r="IM757" s="1"/>
      <c r="IN757" s="1"/>
      <c r="IO757" s="1"/>
      <c r="IP757" s="1"/>
      <c r="IQ757" s="1"/>
      <c r="IR757" s="1"/>
      <c r="IS757" s="1"/>
      <c r="IT757" s="1"/>
      <c r="IU757" s="1"/>
      <c r="IV757" s="1"/>
      <c r="IW757" s="1"/>
      <c r="IX757" s="1"/>
      <c r="IY757" s="1"/>
      <c r="IZ757" s="1"/>
      <c r="JA757" s="1"/>
      <c r="JB757" s="1"/>
      <c r="JC757" s="1"/>
      <c r="JD757" s="1"/>
    </row>
    <row r="758" spans="1:264" s="347" customFormat="1" x14ac:dyDescent="0.2">
      <c r="A758" s="407" t="s">
        <v>225</v>
      </c>
      <c r="B758" s="348"/>
      <c r="BH758" s="348"/>
      <c r="BI758" s="348"/>
      <c r="BJ758" s="348"/>
      <c r="BK758" s="348"/>
      <c r="BL758" s="348"/>
      <c r="BM758" s="348"/>
      <c r="BN758" s="348"/>
      <c r="BO758" s="348"/>
      <c r="BP758" s="348"/>
      <c r="BQ758" s="348"/>
      <c r="BR758" s="348"/>
      <c r="BT758" s="348"/>
      <c r="BU758" s="348"/>
      <c r="BV758" s="348"/>
      <c r="BX758" s="348"/>
      <c r="CB758" s="348"/>
      <c r="CF758" s="348"/>
      <c r="CK758" s="650"/>
      <c r="CL758" s="348"/>
      <c r="CN758" s="348"/>
      <c r="CR758" s="348"/>
      <c r="CV758" s="348"/>
      <c r="CZ758" s="348"/>
      <c r="DD758" s="348"/>
      <c r="DH758" s="348"/>
      <c r="DL758" s="348"/>
      <c r="DP758" s="348"/>
      <c r="DT758" s="1"/>
      <c r="DU758" s="1"/>
      <c r="DV758" s="1"/>
      <c r="DW758" s="1"/>
      <c r="DX758" s="1"/>
      <c r="DY758" s="1"/>
      <c r="DZ758" s="1"/>
      <c r="EA758" s="1"/>
      <c r="EB758" s="1"/>
      <c r="EC758" s="1"/>
      <c r="ED758" s="1"/>
      <c r="EE758" s="1"/>
      <c r="EF758" s="1"/>
      <c r="EG758" s="1"/>
      <c r="EH758" s="1"/>
      <c r="EI758" s="1"/>
      <c r="EJ758" s="1"/>
      <c r="EK758" s="1"/>
      <c r="EL758" s="1"/>
      <c r="EM758" s="1"/>
      <c r="EN758" s="1"/>
      <c r="EO758" s="1"/>
      <c r="EP758" s="1"/>
      <c r="EQ758" s="1"/>
      <c r="ER758" s="1"/>
      <c r="ES758" s="1"/>
      <c r="ET758" s="1"/>
      <c r="EU758" s="1"/>
      <c r="EV758" s="1"/>
      <c r="EW758" s="1"/>
      <c r="EX758" s="1"/>
      <c r="EY758" s="1"/>
      <c r="EZ758" s="1"/>
      <c r="FA758" s="1"/>
      <c r="FB758" s="1"/>
      <c r="FC758" s="1"/>
      <c r="FD758" s="1"/>
      <c r="FE758" s="1"/>
      <c r="FF758" s="1"/>
      <c r="FG758" s="1"/>
      <c r="FH758" s="1"/>
      <c r="FI758" s="1"/>
      <c r="FJ758" s="1"/>
      <c r="FK758" s="1"/>
      <c r="FL758" s="1"/>
      <c r="FM758" s="1"/>
      <c r="FN758" s="1"/>
      <c r="FO758" s="1"/>
      <c r="FP758" s="1"/>
      <c r="FQ758" s="1"/>
      <c r="FR758" s="1"/>
      <c r="FS758" s="1"/>
      <c r="FT758" s="1"/>
      <c r="FU758" s="1"/>
      <c r="FV758" s="1"/>
      <c r="FW758" s="1"/>
      <c r="FX758" s="1"/>
      <c r="FY758" s="1"/>
      <c r="FZ758" s="1"/>
      <c r="GA758" s="1"/>
      <c r="GB758" s="1"/>
      <c r="GC758" s="1"/>
      <c r="GD758" s="1"/>
      <c r="GE758" s="1"/>
      <c r="GF758" s="1"/>
      <c r="GG758" s="1"/>
      <c r="GH758" s="1"/>
      <c r="GI758" s="1"/>
      <c r="GJ758" s="1"/>
      <c r="GK758" s="1"/>
      <c r="GL758" s="1"/>
      <c r="GM758" s="1"/>
      <c r="GN758" s="1"/>
      <c r="GO758" s="1"/>
      <c r="GP758" s="1"/>
      <c r="GQ758" s="1"/>
      <c r="GR758" s="1"/>
      <c r="GS758" s="1"/>
      <c r="GT758" s="1"/>
      <c r="GU758" s="1"/>
      <c r="GV758" s="1"/>
      <c r="GW758" s="1"/>
      <c r="GX758" s="1"/>
      <c r="GY758" s="1"/>
      <c r="GZ758" s="1"/>
      <c r="HA758" s="1"/>
      <c r="HB758" s="1"/>
      <c r="HC758" s="1"/>
      <c r="HD758" s="1"/>
      <c r="HE758" s="1"/>
      <c r="HF758" s="1"/>
      <c r="HG758" s="1"/>
      <c r="HH758" s="1"/>
      <c r="HI758" s="1"/>
      <c r="HJ758" s="1"/>
      <c r="HK758" s="1"/>
      <c r="HL758" s="1"/>
      <c r="HM758" s="1"/>
      <c r="HN758" s="1"/>
      <c r="HO758" s="1"/>
      <c r="HP758" s="1"/>
      <c r="HQ758" s="1"/>
      <c r="HR758" s="1"/>
      <c r="HS758" s="1"/>
      <c r="HT758" s="1"/>
      <c r="HU758" s="1"/>
      <c r="HV758" s="1"/>
      <c r="HW758" s="1"/>
      <c r="HX758" s="1"/>
      <c r="HY758" s="1"/>
      <c r="HZ758" s="1"/>
      <c r="IA758" s="1"/>
      <c r="IB758" s="1"/>
      <c r="IC758" s="1"/>
      <c r="ID758" s="1"/>
      <c r="IE758" s="1"/>
      <c r="IF758" s="1"/>
      <c r="IG758" s="1"/>
      <c r="IH758" s="1"/>
      <c r="II758" s="1"/>
      <c r="IJ758" s="1"/>
      <c r="IK758" s="1"/>
      <c r="IL758" s="1"/>
      <c r="IM758" s="1"/>
      <c r="IN758" s="1"/>
      <c r="IO758" s="1"/>
      <c r="IP758" s="1"/>
      <c r="IQ758" s="1"/>
      <c r="IR758" s="1"/>
      <c r="IS758" s="1"/>
      <c r="IT758" s="1"/>
      <c r="IU758" s="1"/>
      <c r="IV758" s="1"/>
      <c r="IW758" s="1"/>
      <c r="IX758" s="1"/>
      <c r="IY758" s="1"/>
      <c r="IZ758" s="1"/>
      <c r="JA758" s="1"/>
      <c r="JB758" s="1"/>
      <c r="JC758" s="1"/>
      <c r="JD758" s="1"/>
    </row>
    <row r="759" spans="1:264" s="347" customFormat="1" x14ac:dyDescent="0.2">
      <c r="A759" s="347" t="s">
        <v>554</v>
      </c>
      <c r="B759" s="348"/>
      <c r="BH759" s="398">
        <v>84</v>
      </c>
      <c r="BI759" s="398">
        <v>70</v>
      </c>
      <c r="BJ759" s="351">
        <f>+BI759+BH759</f>
        <v>154</v>
      </c>
      <c r="BK759" s="351"/>
      <c r="BL759" s="398">
        <v>81</v>
      </c>
      <c r="BM759" s="398">
        <v>154</v>
      </c>
      <c r="BN759" s="351">
        <f>+BM759+BL759</f>
        <v>235</v>
      </c>
      <c r="BO759" s="351"/>
      <c r="BP759" s="398">
        <v>80</v>
      </c>
      <c r="BQ759" s="398">
        <v>130</v>
      </c>
      <c r="BR759" s="351">
        <f>+BQ759+BP759</f>
        <v>210</v>
      </c>
      <c r="BT759" s="398">
        <v>58</v>
      </c>
      <c r="BU759" s="398">
        <v>83</v>
      </c>
      <c r="BV759" s="351">
        <f>+BU759+BT759</f>
        <v>141</v>
      </c>
      <c r="BX759" s="398">
        <v>2</v>
      </c>
      <c r="BY759" s="398">
        <v>21</v>
      </c>
      <c r="BZ759" s="351">
        <f>+BY759+BX759</f>
        <v>23</v>
      </c>
      <c r="CB759" s="398">
        <v>6</v>
      </c>
      <c r="CC759" s="398">
        <v>2</v>
      </c>
      <c r="CD759" s="351">
        <f>+CC759+CB759</f>
        <v>8</v>
      </c>
      <c r="CF759" s="398">
        <v>3</v>
      </c>
      <c r="CG759" s="398">
        <v>1</v>
      </c>
      <c r="CH759" s="351">
        <f>+CG759+CF759</f>
        <v>4</v>
      </c>
      <c r="CJ759" s="398">
        <v>0</v>
      </c>
      <c r="CK759" s="398">
        <v>3</v>
      </c>
      <c r="CL759" s="351">
        <f>+CK759+CJ759</f>
        <v>3</v>
      </c>
      <c r="CN759" s="351"/>
      <c r="CO759" s="351"/>
      <c r="CP759" s="351"/>
      <c r="CR759" s="351"/>
      <c r="CS759" s="351"/>
      <c r="CT759" s="351"/>
      <c r="CV759" s="351"/>
      <c r="CW759" s="351"/>
      <c r="CX759" s="351"/>
      <c r="CZ759" s="351"/>
      <c r="DA759" s="351"/>
      <c r="DB759" s="351"/>
      <c r="DD759" s="351"/>
      <c r="DE759" s="351"/>
      <c r="DF759" s="351"/>
      <c r="DH759" s="351"/>
      <c r="DI759" s="351"/>
      <c r="DJ759" s="351"/>
      <c r="DL759" s="351"/>
      <c r="DM759" s="351"/>
      <c r="DN759" s="351"/>
      <c r="DP759" s="351"/>
      <c r="DQ759" s="351"/>
      <c r="DR759" s="351"/>
      <c r="DT759" s="1"/>
      <c r="DU759" s="1"/>
      <c r="DV759" s="1"/>
      <c r="DW759" s="1"/>
      <c r="DX759" s="1"/>
      <c r="DY759" s="1"/>
      <c r="DZ759" s="1"/>
      <c r="EA759" s="1"/>
      <c r="EB759" s="1"/>
      <c r="EC759" s="1"/>
      <c r="ED759" s="1"/>
      <c r="EE759" s="1"/>
      <c r="EF759" s="1"/>
      <c r="EG759" s="1"/>
      <c r="EH759" s="1"/>
      <c r="EI759" s="1"/>
      <c r="EJ759" s="1"/>
      <c r="EK759" s="1"/>
      <c r="EL759" s="1"/>
      <c r="EM759" s="1"/>
      <c r="EN759" s="1"/>
      <c r="EO759" s="1"/>
      <c r="EP759" s="1"/>
      <c r="EQ759" s="1"/>
      <c r="ER759" s="1"/>
      <c r="ES759" s="1"/>
      <c r="ET759" s="1"/>
      <c r="EU759" s="1"/>
      <c r="EV759" s="1"/>
      <c r="EW759" s="1"/>
      <c r="EX759" s="1"/>
      <c r="EY759" s="1"/>
      <c r="EZ759" s="1"/>
      <c r="FA759" s="1"/>
      <c r="FB759" s="1"/>
      <c r="FC759" s="1"/>
      <c r="FD759" s="1"/>
      <c r="FE759" s="1"/>
      <c r="FF759" s="1"/>
      <c r="FG759" s="1"/>
      <c r="FH759" s="1"/>
      <c r="FI759" s="1"/>
      <c r="FJ759" s="1"/>
      <c r="FK759" s="1"/>
      <c r="FL759" s="1"/>
      <c r="FM759" s="1"/>
      <c r="FN759" s="1"/>
      <c r="FO759" s="1"/>
      <c r="FP759" s="1"/>
      <c r="FQ759" s="1"/>
      <c r="FR759" s="1"/>
      <c r="FS759" s="1"/>
      <c r="FT759" s="1"/>
      <c r="FU759" s="1"/>
      <c r="FV759" s="1"/>
      <c r="FW759" s="1"/>
      <c r="FX759" s="1"/>
      <c r="FY759" s="1"/>
      <c r="FZ759" s="1"/>
      <c r="GA759" s="1"/>
      <c r="GB759" s="1"/>
      <c r="GC759" s="1"/>
      <c r="GD759" s="1"/>
      <c r="GE759" s="1"/>
      <c r="GF759" s="1"/>
      <c r="GG759" s="1"/>
      <c r="GH759" s="1"/>
      <c r="GI759" s="1"/>
      <c r="GJ759" s="1"/>
      <c r="GK759" s="1"/>
      <c r="GL759" s="1"/>
      <c r="GM759" s="1"/>
      <c r="GN759" s="1"/>
      <c r="GO759" s="1"/>
      <c r="GP759" s="1"/>
      <c r="GQ759" s="1"/>
      <c r="GR759" s="1"/>
      <c r="GS759" s="1"/>
      <c r="GT759" s="1"/>
      <c r="GU759" s="1"/>
      <c r="GV759" s="1"/>
      <c r="GW759" s="1"/>
      <c r="GX759" s="1"/>
      <c r="GY759" s="1"/>
      <c r="GZ759" s="1"/>
      <c r="HA759" s="1"/>
      <c r="HB759" s="1"/>
      <c r="HC759" s="1"/>
      <c r="HD759" s="1"/>
      <c r="HE759" s="1"/>
      <c r="HF759" s="1"/>
      <c r="HG759" s="1"/>
      <c r="HH759" s="1"/>
      <c r="HI759" s="1"/>
      <c r="HJ759" s="1"/>
      <c r="HK759" s="1"/>
      <c r="HL759" s="1"/>
      <c r="HM759" s="1"/>
      <c r="HN759" s="1"/>
      <c r="HO759" s="1"/>
      <c r="HP759" s="1"/>
      <c r="HQ759" s="1"/>
      <c r="HR759" s="1"/>
      <c r="HS759" s="1"/>
      <c r="HT759" s="1"/>
      <c r="HU759" s="1"/>
      <c r="HV759" s="1"/>
      <c r="HW759" s="1"/>
      <c r="HX759" s="1"/>
      <c r="HY759" s="1"/>
      <c r="HZ759" s="1"/>
      <c r="IA759" s="1"/>
      <c r="IB759" s="1"/>
      <c r="IC759" s="1"/>
      <c r="ID759" s="1"/>
      <c r="IE759" s="1"/>
      <c r="IF759" s="1"/>
      <c r="IG759" s="1"/>
      <c r="IH759" s="1"/>
      <c r="II759" s="1"/>
      <c r="IJ759" s="1"/>
      <c r="IK759" s="1"/>
      <c r="IL759" s="1"/>
      <c r="IM759" s="1"/>
      <c r="IN759" s="1"/>
      <c r="IO759" s="1"/>
      <c r="IP759" s="1"/>
      <c r="IQ759" s="1"/>
      <c r="IR759" s="1"/>
      <c r="IS759" s="1"/>
      <c r="IT759" s="1"/>
      <c r="IU759" s="1"/>
      <c r="IV759" s="1"/>
      <c r="IW759" s="1"/>
      <c r="IX759" s="1"/>
      <c r="IY759" s="1"/>
      <c r="IZ759" s="1"/>
      <c r="JA759" s="1"/>
      <c r="JB759" s="1"/>
      <c r="JC759" s="1"/>
      <c r="JD759" s="1"/>
    </row>
    <row r="760" spans="1:264" s="347" customFormat="1" x14ac:dyDescent="0.2">
      <c r="A760" s="347" t="s">
        <v>48</v>
      </c>
      <c r="B760" s="348"/>
      <c r="BH760" s="398">
        <v>-27</v>
      </c>
      <c r="BI760" s="398">
        <v>-22</v>
      </c>
      <c r="BJ760" s="351">
        <f>+BI760+BH760</f>
        <v>-49</v>
      </c>
      <c r="BK760" s="351"/>
      <c r="BL760" s="398">
        <v>-19</v>
      </c>
      <c r="BM760" s="398">
        <v>-19</v>
      </c>
      <c r="BN760" s="351">
        <f>+BM760+BL760</f>
        <v>-38</v>
      </c>
      <c r="BO760" s="351"/>
      <c r="BP760" s="398">
        <v>-23</v>
      </c>
      <c r="BQ760" s="398">
        <v>-37</v>
      </c>
      <c r="BR760" s="351">
        <f>+BQ760+BP760</f>
        <v>-60</v>
      </c>
      <c r="BT760" s="398">
        <v>-14</v>
      </c>
      <c r="BU760" s="398">
        <v>-27</v>
      </c>
      <c r="BV760" s="351">
        <f>+BU760+BT760</f>
        <v>-41</v>
      </c>
      <c r="BX760" s="398">
        <v>-2</v>
      </c>
      <c r="BY760" s="398">
        <v>-5</v>
      </c>
      <c r="BZ760" s="351">
        <f>+BY760+BX760</f>
        <v>-7</v>
      </c>
      <c r="CB760" s="398">
        <v>-2</v>
      </c>
      <c r="CC760" s="398">
        <v>-2</v>
      </c>
      <c r="CD760" s="351">
        <f>+CC760+CB760</f>
        <v>-4</v>
      </c>
      <c r="CF760" s="398">
        <v>-2</v>
      </c>
      <c r="CG760" s="398">
        <v>-5</v>
      </c>
      <c r="CH760" s="351">
        <f>+CG760+CF760</f>
        <v>-7</v>
      </c>
      <c r="CJ760" s="398">
        <v>1</v>
      </c>
      <c r="CK760" s="398">
        <v>0</v>
      </c>
      <c r="CL760" s="351">
        <f>+CK760+CJ760</f>
        <v>1</v>
      </c>
      <c r="CN760" s="351"/>
      <c r="CO760" s="351"/>
      <c r="CP760" s="351"/>
      <c r="CR760" s="351"/>
      <c r="CS760" s="351"/>
      <c r="CT760" s="351"/>
      <c r="CV760" s="351"/>
      <c r="CW760" s="351"/>
      <c r="CX760" s="351"/>
      <c r="CZ760" s="351"/>
      <c r="DA760" s="351"/>
      <c r="DB760" s="351"/>
      <c r="DD760" s="351"/>
      <c r="DE760" s="351"/>
      <c r="DF760" s="351"/>
      <c r="DH760" s="351"/>
      <c r="DI760" s="351"/>
      <c r="DJ760" s="351"/>
      <c r="DL760" s="351"/>
      <c r="DM760" s="351"/>
      <c r="DN760" s="351"/>
      <c r="DP760" s="351"/>
      <c r="DQ760" s="351"/>
      <c r="DR760" s="351"/>
      <c r="DT760" s="1"/>
      <c r="DU760" s="1"/>
      <c r="DV760" s="1"/>
      <c r="DW760" s="1"/>
      <c r="DX760" s="1"/>
      <c r="DY760" s="1"/>
      <c r="DZ760" s="1"/>
      <c r="EA760" s="1"/>
      <c r="EB760" s="1"/>
      <c r="EC760" s="1"/>
      <c r="ED760" s="1"/>
      <c r="EE760" s="1"/>
      <c r="EF760" s="1"/>
      <c r="EG760" s="1"/>
      <c r="EH760" s="1"/>
      <c r="EI760" s="1"/>
      <c r="EJ760" s="1"/>
      <c r="EK760" s="1"/>
      <c r="EL760" s="1"/>
      <c r="EM760" s="1"/>
      <c r="EN760" s="1"/>
      <c r="EO760" s="1"/>
      <c r="EP760" s="1"/>
      <c r="EQ760" s="1"/>
      <c r="ER760" s="1"/>
      <c r="ES760" s="1"/>
      <c r="ET760" s="1"/>
      <c r="EU760" s="1"/>
      <c r="EV760" s="1"/>
      <c r="EW760" s="1"/>
      <c r="EX760" s="1"/>
      <c r="EY760" s="1"/>
      <c r="EZ760" s="1"/>
      <c r="FA760" s="1"/>
      <c r="FB760" s="1"/>
      <c r="FC760" s="1"/>
      <c r="FD760" s="1"/>
      <c r="FE760" s="1"/>
      <c r="FF760" s="1"/>
      <c r="FG760" s="1"/>
      <c r="FH760" s="1"/>
      <c r="FI760" s="1"/>
      <c r="FJ760" s="1"/>
      <c r="FK760" s="1"/>
      <c r="FL760" s="1"/>
      <c r="FM760" s="1"/>
      <c r="FN760" s="1"/>
      <c r="FO760" s="1"/>
      <c r="FP760" s="1"/>
      <c r="FQ760" s="1"/>
      <c r="FR760" s="1"/>
      <c r="FS760" s="1"/>
      <c r="FT760" s="1"/>
      <c r="FU760" s="1"/>
      <c r="FV760" s="1"/>
      <c r="FW760" s="1"/>
      <c r="FX760" s="1"/>
      <c r="FY760" s="1"/>
      <c r="FZ760" s="1"/>
      <c r="GA760" s="1"/>
      <c r="GB760" s="1"/>
      <c r="GC760" s="1"/>
      <c r="GD760" s="1"/>
      <c r="GE760" s="1"/>
      <c r="GF760" s="1"/>
      <c r="GG760" s="1"/>
      <c r="GH760" s="1"/>
      <c r="GI760" s="1"/>
      <c r="GJ760" s="1"/>
      <c r="GK760" s="1"/>
      <c r="GL760" s="1"/>
      <c r="GM760" s="1"/>
      <c r="GN760" s="1"/>
      <c r="GO760" s="1"/>
      <c r="GP760" s="1"/>
      <c r="GQ760" s="1"/>
      <c r="GR760" s="1"/>
      <c r="GS760" s="1"/>
      <c r="GT760" s="1"/>
      <c r="GU760" s="1"/>
      <c r="GV760" s="1"/>
      <c r="GW760" s="1"/>
      <c r="GX760" s="1"/>
      <c r="GY760" s="1"/>
      <c r="GZ760" s="1"/>
      <c r="HA760" s="1"/>
      <c r="HB760" s="1"/>
      <c r="HC760" s="1"/>
      <c r="HD760" s="1"/>
      <c r="HE760" s="1"/>
      <c r="HF760" s="1"/>
      <c r="HG760" s="1"/>
      <c r="HH760" s="1"/>
      <c r="HI760" s="1"/>
      <c r="HJ760" s="1"/>
      <c r="HK760" s="1"/>
      <c r="HL760" s="1"/>
      <c r="HM760" s="1"/>
      <c r="HN760" s="1"/>
      <c r="HO760" s="1"/>
      <c r="HP760" s="1"/>
      <c r="HQ760" s="1"/>
      <c r="HR760" s="1"/>
      <c r="HS760" s="1"/>
      <c r="HT760" s="1"/>
      <c r="HU760" s="1"/>
      <c r="HV760" s="1"/>
      <c r="HW760" s="1"/>
      <c r="HX760" s="1"/>
      <c r="HY760" s="1"/>
      <c r="HZ760" s="1"/>
      <c r="IA760" s="1"/>
      <c r="IB760" s="1"/>
      <c r="IC760" s="1"/>
      <c r="ID760" s="1"/>
      <c r="IE760" s="1"/>
      <c r="IF760" s="1"/>
      <c r="IG760" s="1"/>
      <c r="IH760" s="1"/>
      <c r="II760" s="1"/>
      <c r="IJ760" s="1"/>
      <c r="IK760" s="1"/>
      <c r="IL760" s="1"/>
      <c r="IM760" s="1"/>
      <c r="IN760" s="1"/>
      <c r="IO760" s="1"/>
      <c r="IP760" s="1"/>
      <c r="IQ760" s="1"/>
      <c r="IR760" s="1"/>
      <c r="IS760" s="1"/>
      <c r="IT760" s="1"/>
      <c r="IU760" s="1"/>
      <c r="IV760" s="1"/>
      <c r="IW760" s="1"/>
      <c r="IX760" s="1"/>
      <c r="IY760" s="1"/>
      <c r="IZ760" s="1"/>
      <c r="JA760" s="1"/>
      <c r="JB760" s="1"/>
      <c r="JC760" s="1"/>
      <c r="JD760" s="1"/>
    </row>
    <row r="761" spans="1:264" s="347" customFormat="1" x14ac:dyDescent="0.2">
      <c r="A761" s="347" t="s">
        <v>555</v>
      </c>
      <c r="B761" s="348"/>
      <c r="BH761" s="397">
        <f>SUM(BH759:BH760)</f>
        <v>57</v>
      </c>
      <c r="BI761" s="397">
        <f>SUM(BI759:BI760)</f>
        <v>48</v>
      </c>
      <c r="BJ761" s="397">
        <f>+BI761+BH761</f>
        <v>105</v>
      </c>
      <c r="BK761" s="397"/>
      <c r="BL761" s="397">
        <f>SUM(BL759:BL760)</f>
        <v>62</v>
      </c>
      <c r="BM761" s="397">
        <f>SUM(BM759:BM760)</f>
        <v>135</v>
      </c>
      <c r="BN761" s="397">
        <f>+BM761+BL761</f>
        <v>197</v>
      </c>
      <c r="BO761" s="397"/>
      <c r="BP761" s="397">
        <f>SUM(BP759:BP760)</f>
        <v>57</v>
      </c>
      <c r="BQ761" s="397">
        <f>SUM(BQ759:BQ760)</f>
        <v>93</v>
      </c>
      <c r="BR761" s="397">
        <f>+BQ761+BP761</f>
        <v>150</v>
      </c>
      <c r="BT761" s="397">
        <f>SUM(BT759:BT760)</f>
        <v>44</v>
      </c>
      <c r="BU761" s="397">
        <f>SUM(BU759:BU760)</f>
        <v>56</v>
      </c>
      <c r="BV761" s="397">
        <f>+BU761+BT761</f>
        <v>100</v>
      </c>
      <c r="BX761" s="397">
        <f>SUM(BX759:BX760)</f>
        <v>0</v>
      </c>
      <c r="BY761" s="397">
        <f>SUM(BY759:BY760)</f>
        <v>16</v>
      </c>
      <c r="BZ761" s="397">
        <f>+BY761+BX761</f>
        <v>16</v>
      </c>
      <c r="CB761" s="397">
        <f>SUM(CB759:CB760)</f>
        <v>4</v>
      </c>
      <c r="CC761" s="397">
        <f>SUM(CC759:CC760)</f>
        <v>0</v>
      </c>
      <c r="CD761" s="397">
        <f>+CC761+CB761</f>
        <v>4</v>
      </c>
      <c r="CF761" s="397">
        <f>SUM(CF759:CF760)</f>
        <v>1</v>
      </c>
      <c r="CG761" s="397">
        <f>SUM(CG759:CG760)</f>
        <v>-4</v>
      </c>
      <c r="CH761" s="397">
        <f>+CG761+CF761</f>
        <v>-3</v>
      </c>
      <c r="CJ761" s="397">
        <f>SUM(CJ759:CJ760)</f>
        <v>1</v>
      </c>
      <c r="CK761" s="397">
        <f>SUM(CK759:CK760)</f>
        <v>3</v>
      </c>
      <c r="CL761" s="397">
        <f>+CK761+CJ761</f>
        <v>4</v>
      </c>
      <c r="CN761" s="397"/>
      <c r="CO761" s="397"/>
      <c r="CP761" s="397"/>
      <c r="CR761" s="397"/>
      <c r="CS761" s="397"/>
      <c r="CT761" s="397"/>
      <c r="CV761" s="397"/>
      <c r="CW761" s="397"/>
      <c r="CX761" s="397"/>
      <c r="CZ761" s="397"/>
      <c r="DA761" s="397"/>
      <c r="DB761" s="397"/>
      <c r="DD761" s="397"/>
      <c r="DE761" s="397"/>
      <c r="DF761" s="397"/>
      <c r="DH761" s="397"/>
      <c r="DI761" s="397"/>
      <c r="DJ761" s="397"/>
      <c r="DL761" s="397"/>
      <c r="DM761" s="397"/>
      <c r="DN761" s="397"/>
      <c r="DP761" s="397"/>
      <c r="DQ761" s="397"/>
      <c r="DR761" s="397"/>
      <c r="DT761" s="1"/>
      <c r="DU761" s="1"/>
      <c r="DV761" s="1"/>
      <c r="DW761" s="1"/>
      <c r="DX761" s="1"/>
      <c r="DY761" s="1"/>
      <c r="DZ761" s="1"/>
      <c r="EA761" s="1"/>
      <c r="EB761" s="1"/>
      <c r="EC761" s="1"/>
      <c r="ED761" s="1"/>
      <c r="EE761" s="1"/>
      <c r="EF761" s="1"/>
      <c r="EG761" s="1"/>
      <c r="EH761" s="1"/>
      <c r="EI761" s="1"/>
      <c r="EJ761" s="1"/>
      <c r="EK761" s="1"/>
      <c r="EL761" s="1"/>
      <c r="EM761" s="1"/>
      <c r="EN761" s="1"/>
      <c r="EO761" s="1"/>
      <c r="EP761" s="1"/>
      <c r="EQ761" s="1"/>
      <c r="ER761" s="1"/>
      <c r="ES761" s="1"/>
      <c r="ET761" s="1"/>
      <c r="EU761" s="1"/>
      <c r="EV761" s="1"/>
      <c r="EW761" s="1"/>
      <c r="EX761" s="1"/>
      <c r="EY761" s="1"/>
      <c r="EZ761" s="1"/>
      <c r="FA761" s="1"/>
      <c r="FB761" s="1"/>
      <c r="FC761" s="1"/>
      <c r="FD761" s="1"/>
      <c r="FE761" s="1"/>
      <c r="FF761" s="1"/>
      <c r="FG761" s="1"/>
      <c r="FH761" s="1"/>
      <c r="FI761" s="1"/>
      <c r="FJ761" s="1"/>
      <c r="FK761" s="1"/>
      <c r="FL761" s="1"/>
      <c r="FM761" s="1"/>
      <c r="FN761" s="1"/>
      <c r="FO761" s="1"/>
      <c r="FP761" s="1"/>
      <c r="FQ761" s="1"/>
      <c r="FR761" s="1"/>
      <c r="FS761" s="1"/>
      <c r="FT761" s="1"/>
      <c r="FU761" s="1"/>
      <c r="FV761" s="1"/>
      <c r="FW761" s="1"/>
      <c r="FX761" s="1"/>
      <c r="FY761" s="1"/>
      <c r="FZ761" s="1"/>
      <c r="GA761" s="1"/>
      <c r="GB761" s="1"/>
      <c r="GC761" s="1"/>
      <c r="GD761" s="1"/>
      <c r="GE761" s="1"/>
      <c r="GF761" s="1"/>
      <c r="GG761" s="1"/>
      <c r="GH761" s="1"/>
      <c r="GI761" s="1"/>
      <c r="GJ761" s="1"/>
      <c r="GK761" s="1"/>
      <c r="GL761" s="1"/>
      <c r="GM761" s="1"/>
      <c r="GN761" s="1"/>
      <c r="GO761" s="1"/>
      <c r="GP761" s="1"/>
      <c r="GQ761" s="1"/>
      <c r="GR761" s="1"/>
      <c r="GS761" s="1"/>
      <c r="GT761" s="1"/>
      <c r="GU761" s="1"/>
      <c r="GV761" s="1"/>
      <c r="GW761" s="1"/>
      <c r="GX761" s="1"/>
      <c r="GY761" s="1"/>
      <c r="GZ761" s="1"/>
      <c r="HA761" s="1"/>
      <c r="HB761" s="1"/>
      <c r="HC761" s="1"/>
      <c r="HD761" s="1"/>
      <c r="HE761" s="1"/>
      <c r="HF761" s="1"/>
      <c r="HG761" s="1"/>
      <c r="HH761" s="1"/>
      <c r="HI761" s="1"/>
      <c r="HJ761" s="1"/>
      <c r="HK761" s="1"/>
      <c r="HL761" s="1"/>
      <c r="HM761" s="1"/>
      <c r="HN761" s="1"/>
      <c r="HO761" s="1"/>
      <c r="HP761" s="1"/>
      <c r="HQ761" s="1"/>
      <c r="HR761" s="1"/>
      <c r="HS761" s="1"/>
      <c r="HT761" s="1"/>
      <c r="HU761" s="1"/>
      <c r="HV761" s="1"/>
      <c r="HW761" s="1"/>
      <c r="HX761" s="1"/>
      <c r="HY761" s="1"/>
      <c r="HZ761" s="1"/>
      <c r="IA761" s="1"/>
      <c r="IB761" s="1"/>
      <c r="IC761" s="1"/>
      <c r="ID761" s="1"/>
      <c r="IE761" s="1"/>
      <c r="IF761" s="1"/>
      <c r="IG761" s="1"/>
      <c r="IH761" s="1"/>
      <c r="II761" s="1"/>
      <c r="IJ761" s="1"/>
      <c r="IK761" s="1"/>
      <c r="IL761" s="1"/>
      <c r="IM761" s="1"/>
      <c r="IN761" s="1"/>
      <c r="IO761" s="1"/>
      <c r="IP761" s="1"/>
      <c r="IQ761" s="1"/>
      <c r="IR761" s="1"/>
      <c r="IS761" s="1"/>
      <c r="IT761" s="1"/>
      <c r="IU761" s="1"/>
      <c r="IV761" s="1"/>
      <c r="IW761" s="1"/>
      <c r="IX761" s="1"/>
      <c r="IY761" s="1"/>
      <c r="IZ761" s="1"/>
      <c r="JA761" s="1"/>
      <c r="JB761" s="1"/>
      <c r="JC761" s="1"/>
      <c r="JD761" s="1"/>
    </row>
    <row r="762" spans="1:264" s="347" customFormat="1" x14ac:dyDescent="0.2">
      <c r="A762" s="347" t="s">
        <v>410</v>
      </c>
      <c r="B762" s="348"/>
      <c r="BH762" s="398">
        <f>2337+620+164</f>
        <v>3121</v>
      </c>
      <c r="BI762" s="398">
        <f>2435+627+194</f>
        <v>3256</v>
      </c>
      <c r="BJ762" s="351">
        <f>BI762</f>
        <v>3256</v>
      </c>
      <c r="BK762" s="351"/>
      <c r="BL762" s="398">
        <f>2671+648+194</f>
        <v>3513</v>
      </c>
      <c r="BM762" s="398">
        <v>3519</v>
      </c>
      <c r="BN762" s="351">
        <f>BM762</f>
        <v>3519</v>
      </c>
      <c r="BO762" s="351"/>
      <c r="BP762" s="398">
        <v>3601</v>
      </c>
      <c r="BQ762" s="398">
        <v>3722</v>
      </c>
      <c r="BR762" s="351">
        <f>BQ762</f>
        <v>3722</v>
      </c>
      <c r="BT762" s="398">
        <v>3732</v>
      </c>
      <c r="BU762" s="398">
        <v>3750</v>
      </c>
      <c r="BV762" s="351">
        <f>BU762</f>
        <v>3750</v>
      </c>
      <c r="BX762" s="398">
        <v>3817</v>
      </c>
      <c r="BY762" s="398">
        <v>3788</v>
      </c>
      <c r="BZ762" s="351">
        <f>BY762</f>
        <v>3788</v>
      </c>
      <c r="CB762" s="398">
        <v>3636</v>
      </c>
      <c r="CC762" s="398">
        <v>3836</v>
      </c>
      <c r="CD762" s="351">
        <f>CC762</f>
        <v>3836</v>
      </c>
      <c r="CF762" s="398">
        <f>1029+22</f>
        <v>1051</v>
      </c>
      <c r="CG762" s="398">
        <f>972+22</f>
        <v>994</v>
      </c>
      <c r="CH762" s="351">
        <f>CG762</f>
        <v>994</v>
      </c>
      <c r="CJ762" s="398">
        <f>2514+40</f>
        <v>2554</v>
      </c>
      <c r="CK762" s="398">
        <v>1485</v>
      </c>
      <c r="CL762" s="351">
        <f>CK762</f>
        <v>1485</v>
      </c>
      <c r="CN762" s="351"/>
      <c r="CO762" s="351"/>
      <c r="CR762" s="351"/>
      <c r="CS762" s="351"/>
      <c r="CV762" s="351"/>
      <c r="CW762" s="351"/>
      <c r="CZ762" s="351"/>
      <c r="DA762" s="351"/>
      <c r="DD762" s="351"/>
      <c r="DE762" s="351"/>
      <c r="DH762" s="351"/>
      <c r="DI762" s="351"/>
      <c r="DL762" s="351"/>
      <c r="DM762" s="351"/>
      <c r="DP762" s="351"/>
      <c r="DQ762" s="351"/>
      <c r="DT762" s="1"/>
      <c r="DU762" s="1"/>
      <c r="DV762" s="1"/>
      <c r="DW762" s="1"/>
      <c r="DX762" s="1"/>
      <c r="DY762" s="1"/>
      <c r="DZ762" s="1"/>
      <c r="EA762" s="1"/>
      <c r="EB762" s="1"/>
      <c r="EC762" s="1"/>
      <c r="ED762" s="1"/>
      <c r="EE762" s="1"/>
      <c r="EF762" s="1"/>
      <c r="EG762" s="1"/>
      <c r="EH762" s="1"/>
      <c r="EI762" s="1"/>
      <c r="EJ762" s="1"/>
      <c r="EK762" s="1"/>
      <c r="EL762" s="1"/>
      <c r="EM762" s="1"/>
      <c r="EN762" s="1"/>
      <c r="EO762" s="1"/>
      <c r="EP762" s="1"/>
      <c r="EQ762" s="1"/>
      <c r="ER762" s="1"/>
      <c r="ES762" s="1"/>
      <c r="ET762" s="1"/>
      <c r="EU762" s="1"/>
      <c r="EV762" s="1"/>
      <c r="EW762" s="1"/>
      <c r="EX762" s="1"/>
      <c r="EY762" s="1"/>
      <c r="EZ762" s="1"/>
      <c r="FA762" s="1"/>
      <c r="FB762" s="1"/>
      <c r="FC762" s="1"/>
      <c r="FD762" s="1"/>
      <c r="FE762" s="1"/>
      <c r="FF762" s="1"/>
      <c r="FG762" s="1"/>
      <c r="FH762" s="1"/>
      <c r="FI762" s="1"/>
      <c r="FJ762" s="1"/>
      <c r="FK762" s="1"/>
      <c r="FL762" s="1"/>
      <c r="FM762" s="1"/>
      <c r="FN762" s="1"/>
      <c r="FO762" s="1"/>
      <c r="FP762" s="1"/>
      <c r="FQ762" s="1"/>
      <c r="FR762" s="1"/>
      <c r="FS762" s="1"/>
      <c r="FT762" s="1"/>
      <c r="FU762" s="1"/>
      <c r="FV762" s="1"/>
      <c r="FW762" s="1"/>
      <c r="FX762" s="1"/>
      <c r="FY762" s="1"/>
      <c r="FZ762" s="1"/>
      <c r="GA762" s="1"/>
      <c r="GB762" s="1"/>
      <c r="GC762" s="1"/>
      <c r="GD762" s="1"/>
      <c r="GE762" s="1"/>
      <c r="GF762" s="1"/>
      <c r="GG762" s="1"/>
      <c r="GH762" s="1"/>
      <c r="GI762" s="1"/>
      <c r="GJ762" s="1"/>
      <c r="GK762" s="1"/>
      <c r="GL762" s="1"/>
      <c r="GM762" s="1"/>
      <c r="GN762" s="1"/>
      <c r="GO762" s="1"/>
      <c r="GP762" s="1"/>
      <c r="GQ762" s="1"/>
      <c r="GR762" s="1"/>
      <c r="GS762" s="1"/>
      <c r="GT762" s="1"/>
      <c r="GU762" s="1"/>
      <c r="GV762" s="1"/>
      <c r="GW762" s="1"/>
      <c r="GX762" s="1"/>
      <c r="GY762" s="1"/>
      <c r="GZ762" s="1"/>
      <c r="HA762" s="1"/>
      <c r="HB762" s="1"/>
      <c r="HC762" s="1"/>
      <c r="HD762" s="1"/>
      <c r="HE762" s="1"/>
      <c r="HF762" s="1"/>
      <c r="HG762" s="1"/>
      <c r="HH762" s="1"/>
      <c r="HI762" s="1"/>
      <c r="HJ762" s="1"/>
      <c r="HK762" s="1"/>
      <c r="HL762" s="1"/>
      <c r="HM762" s="1"/>
      <c r="HN762" s="1"/>
      <c r="HO762" s="1"/>
      <c r="HP762" s="1"/>
      <c r="HQ762" s="1"/>
      <c r="HR762" s="1"/>
      <c r="HS762" s="1"/>
      <c r="HT762" s="1"/>
      <c r="HU762" s="1"/>
      <c r="HV762" s="1"/>
      <c r="HW762" s="1"/>
      <c r="HX762" s="1"/>
      <c r="HY762" s="1"/>
      <c r="HZ762" s="1"/>
      <c r="IA762" s="1"/>
      <c r="IB762" s="1"/>
      <c r="IC762" s="1"/>
      <c r="ID762" s="1"/>
      <c r="IE762" s="1"/>
      <c r="IF762" s="1"/>
      <c r="IG762" s="1"/>
      <c r="IH762" s="1"/>
      <c r="II762" s="1"/>
      <c r="IJ762" s="1"/>
      <c r="IK762" s="1"/>
      <c r="IL762" s="1"/>
      <c r="IM762" s="1"/>
      <c r="IN762" s="1"/>
      <c r="IO762" s="1"/>
      <c r="IP762" s="1"/>
      <c r="IQ762" s="1"/>
      <c r="IR762" s="1"/>
      <c r="IS762" s="1"/>
      <c r="IT762" s="1"/>
      <c r="IU762" s="1"/>
      <c r="IV762" s="1"/>
      <c r="IW762" s="1"/>
      <c r="IX762" s="1"/>
      <c r="IY762" s="1"/>
      <c r="IZ762" s="1"/>
      <c r="JA762" s="1"/>
      <c r="JB762" s="1"/>
      <c r="JC762" s="1"/>
      <c r="JD762" s="1"/>
    </row>
    <row r="763" spans="1:264" s="429" customFormat="1" x14ac:dyDescent="0.2">
      <c r="A763" s="436" t="s">
        <v>273</v>
      </c>
      <c r="B763" s="437"/>
      <c r="C763" s="436"/>
      <c r="D763" s="436"/>
      <c r="E763" s="436"/>
      <c r="F763" s="436"/>
      <c r="G763" s="436"/>
      <c r="H763" s="436"/>
      <c r="I763" s="436"/>
      <c r="J763" s="436"/>
      <c r="K763" s="436"/>
      <c r="L763" s="436"/>
      <c r="M763" s="436"/>
      <c r="N763" s="436"/>
      <c r="O763" s="436"/>
      <c r="P763" s="436"/>
      <c r="Q763" s="436"/>
      <c r="R763" s="436"/>
      <c r="S763" s="436"/>
      <c r="T763" s="436"/>
      <c r="U763" s="436"/>
      <c r="V763" s="436"/>
      <c r="W763" s="436"/>
      <c r="X763" s="436"/>
      <c r="Y763" s="436"/>
      <c r="Z763" s="436"/>
      <c r="AA763" s="436"/>
      <c r="AB763" s="436"/>
      <c r="AC763" s="436"/>
      <c r="AD763" s="436"/>
      <c r="AE763" s="436"/>
      <c r="AF763" s="436"/>
      <c r="AG763" s="436"/>
      <c r="AH763" s="436"/>
      <c r="AI763" s="436"/>
      <c r="AJ763" s="436"/>
      <c r="AK763" s="436"/>
      <c r="AL763" s="436"/>
      <c r="AM763" s="436"/>
      <c r="AN763" s="436"/>
      <c r="AO763" s="436"/>
      <c r="AP763" s="436"/>
      <c r="AQ763" s="436"/>
      <c r="AR763" s="436"/>
      <c r="AS763" s="436"/>
      <c r="AT763" s="436"/>
      <c r="AU763" s="436"/>
      <c r="AV763" s="436"/>
      <c r="AW763" s="436"/>
      <c r="AX763" s="436"/>
      <c r="AY763" s="436"/>
      <c r="AZ763" s="436"/>
      <c r="BA763" s="436"/>
      <c r="BB763" s="436"/>
      <c r="BC763" s="436"/>
      <c r="BD763" s="436"/>
      <c r="BE763" s="436"/>
      <c r="BF763" s="436"/>
      <c r="BG763" s="436"/>
      <c r="BH763" s="437"/>
      <c r="BI763" s="465">
        <f>+BI762/BH762-1</f>
        <v>4.3255366869592971E-2</v>
      </c>
      <c r="BJ763" s="437"/>
      <c r="BK763" s="437"/>
      <c r="BL763" s="465">
        <f>+BL762/BI762-1</f>
        <v>7.8931203931204008E-2</v>
      </c>
      <c r="BM763" s="465">
        <f>+BM762/BL762-1</f>
        <v>1.7079419299743659E-3</v>
      </c>
      <c r="BN763" s="437"/>
      <c r="BO763" s="437"/>
      <c r="BP763" s="465">
        <f>+BP762/BM762-1</f>
        <v>2.3302074452969501E-2</v>
      </c>
      <c r="BQ763" s="465">
        <f>+BQ762/BP762-1</f>
        <v>3.3601777284087753E-2</v>
      </c>
      <c r="BR763" s="437"/>
      <c r="BS763" s="436"/>
      <c r="BT763" s="465">
        <f>+BT762/BQ762-1</f>
        <v>2.6867275658248868E-3</v>
      </c>
      <c r="BU763" s="465">
        <f>+BU762/BT762-1</f>
        <v>4.8231511254019921E-3</v>
      </c>
      <c r="BV763" s="437"/>
      <c r="BW763" s="436"/>
      <c r="BX763" s="465">
        <f>+BX762/BU762-1</f>
        <v>1.7866666666666697E-2</v>
      </c>
      <c r="BY763" s="465">
        <f>+BY762/BX762-1</f>
        <v>-7.5975897301545636E-3</v>
      </c>
      <c r="BZ763" s="437"/>
      <c r="CA763" s="436"/>
      <c r="CB763" s="465">
        <f>+CB762/BY762-1</f>
        <v>-4.0126715945089764E-2</v>
      </c>
      <c r="CC763" s="465">
        <f>+CC762/CB762-1</f>
        <v>5.5005500550054931E-2</v>
      </c>
      <c r="CD763" s="437"/>
      <c r="CE763" s="436"/>
      <c r="CF763" s="465">
        <f>+CF762/CC762-1</f>
        <v>-0.72601668404588104</v>
      </c>
      <c r="CG763" s="465">
        <f>+CG762/CF762-1</f>
        <v>-5.4234062797335891E-2</v>
      </c>
      <c r="CH763" s="437"/>
      <c r="CI763" s="436"/>
      <c r="CJ763" s="465">
        <f>+CJ762/CG762-1</f>
        <v>1.5694164989939638</v>
      </c>
      <c r="CK763" s="465">
        <f>+CK762/CJ762-1</f>
        <v>-0.4185591229444009</v>
      </c>
      <c r="CL763" s="437"/>
      <c r="CM763" s="436"/>
      <c r="CN763" s="465"/>
      <c r="CO763" s="638"/>
      <c r="CP763" s="436"/>
      <c r="CQ763" s="436"/>
      <c r="CR763" s="465"/>
      <c r="CS763" s="638"/>
      <c r="CT763" s="436"/>
      <c r="CU763" s="436"/>
      <c r="CV763" s="638"/>
      <c r="CW763" s="638"/>
      <c r="CX763" s="436"/>
      <c r="CY763" s="436"/>
      <c r="CZ763" s="638"/>
      <c r="DA763" s="638"/>
      <c r="DB763" s="436"/>
      <c r="DC763" s="436"/>
      <c r="DD763" s="638"/>
      <c r="DE763" s="638"/>
      <c r="DF763" s="436"/>
      <c r="DG763" s="436"/>
      <c r="DH763" s="638"/>
      <c r="DI763" s="638"/>
      <c r="DJ763" s="436"/>
      <c r="DK763" s="436"/>
      <c r="DL763" s="638"/>
      <c r="DM763" s="638"/>
      <c r="DN763" s="436"/>
      <c r="DO763" s="436"/>
      <c r="DP763" s="638"/>
      <c r="DQ763" s="638"/>
      <c r="DR763" s="436"/>
      <c r="DS763" s="436"/>
      <c r="DT763" s="1"/>
      <c r="DU763" s="1"/>
      <c r="DV763" s="1"/>
      <c r="DW763" s="1"/>
      <c r="DX763" s="1"/>
      <c r="DY763" s="1"/>
      <c r="DZ763" s="1"/>
      <c r="EA763" s="1"/>
      <c r="EB763" s="1"/>
      <c r="EC763" s="1"/>
      <c r="ED763" s="1"/>
      <c r="EE763" s="1"/>
      <c r="EF763" s="1"/>
      <c r="EG763" s="1"/>
      <c r="EH763" s="1"/>
      <c r="EI763" s="1"/>
      <c r="EJ763" s="1"/>
      <c r="EK763" s="1"/>
      <c r="EL763" s="1"/>
      <c r="EM763" s="1"/>
      <c r="EN763" s="1"/>
      <c r="EO763" s="1"/>
      <c r="EP763" s="1"/>
      <c r="EQ763" s="1"/>
      <c r="ER763" s="1"/>
      <c r="ES763" s="1"/>
      <c r="ET763" s="1"/>
      <c r="EU763" s="1"/>
      <c r="EV763" s="1"/>
      <c r="EW763" s="1"/>
      <c r="EX763" s="1"/>
      <c r="EY763" s="1"/>
      <c r="EZ763" s="1"/>
      <c r="FA763" s="1"/>
      <c r="FB763" s="1"/>
      <c r="FC763" s="1"/>
      <c r="FD763" s="1"/>
      <c r="FE763" s="1"/>
      <c r="FF763" s="1"/>
      <c r="FG763" s="1"/>
      <c r="FH763" s="1"/>
      <c r="FI763" s="1"/>
      <c r="FJ763" s="1"/>
      <c r="FK763" s="1"/>
      <c r="FL763" s="1"/>
      <c r="FM763" s="1"/>
      <c r="FN763" s="1"/>
      <c r="FO763" s="1"/>
      <c r="FP763" s="1"/>
      <c r="FQ763" s="1"/>
      <c r="FR763" s="1"/>
      <c r="FS763" s="1"/>
      <c r="FT763" s="1"/>
      <c r="FU763" s="1"/>
      <c r="FV763" s="1"/>
      <c r="FW763" s="1"/>
      <c r="FX763" s="1"/>
      <c r="FY763" s="1"/>
      <c r="FZ763" s="1"/>
      <c r="GA763" s="1"/>
      <c r="GB763" s="1"/>
      <c r="GC763" s="1"/>
      <c r="GD763" s="1"/>
      <c r="GE763" s="1"/>
      <c r="GF763" s="1"/>
      <c r="GG763" s="1"/>
      <c r="GH763" s="1"/>
      <c r="GI763" s="1"/>
      <c r="GJ763" s="1"/>
      <c r="GK763" s="1"/>
      <c r="GL763" s="1"/>
      <c r="GM763" s="1"/>
      <c r="GN763" s="1"/>
      <c r="GO763" s="1"/>
      <c r="GP763" s="1"/>
      <c r="GQ763" s="1"/>
      <c r="GR763" s="1"/>
      <c r="GS763" s="1"/>
      <c r="GT763" s="1"/>
      <c r="GU763" s="1"/>
      <c r="GV763" s="1"/>
      <c r="GW763" s="1"/>
      <c r="GX763" s="1"/>
      <c r="GY763" s="1"/>
      <c r="GZ763" s="1"/>
      <c r="HA763" s="1"/>
      <c r="HB763" s="1"/>
      <c r="HC763" s="1"/>
      <c r="HD763" s="1"/>
      <c r="HE763" s="1"/>
      <c r="HF763" s="1"/>
      <c r="HG763" s="1"/>
      <c r="HH763" s="1"/>
      <c r="HI763" s="1"/>
      <c r="HJ763" s="1"/>
      <c r="HK763" s="1"/>
      <c r="HL763" s="1"/>
      <c r="HM763" s="1"/>
      <c r="HN763" s="1"/>
      <c r="HO763" s="1"/>
      <c r="HP763" s="1"/>
      <c r="HQ763" s="1"/>
      <c r="HR763" s="1"/>
      <c r="HS763" s="1"/>
      <c r="HT763" s="1"/>
      <c r="HU763" s="1"/>
      <c r="HV763" s="1"/>
      <c r="HW763" s="1"/>
      <c r="HX763" s="1"/>
      <c r="HY763" s="1"/>
      <c r="HZ763" s="1"/>
      <c r="IA763" s="1"/>
      <c r="IB763" s="1"/>
      <c r="IC763" s="1"/>
      <c r="ID763" s="1"/>
      <c r="IE763" s="1"/>
      <c r="IF763" s="1"/>
      <c r="IG763" s="1"/>
      <c r="IH763" s="1"/>
      <c r="II763" s="1"/>
      <c r="IJ763" s="1"/>
      <c r="IK763" s="1"/>
      <c r="IL763" s="1"/>
      <c r="IM763" s="1"/>
      <c r="IN763" s="1"/>
      <c r="IO763" s="1"/>
      <c r="IP763" s="1"/>
      <c r="IQ763" s="1"/>
      <c r="IR763" s="1"/>
      <c r="IS763" s="1"/>
      <c r="IT763" s="1"/>
      <c r="IU763" s="1"/>
      <c r="IV763" s="1"/>
      <c r="IW763" s="1"/>
      <c r="IX763" s="1"/>
      <c r="IY763" s="1"/>
      <c r="IZ763" s="1"/>
      <c r="JA763" s="1"/>
      <c r="JB763" s="1"/>
      <c r="JC763" s="1"/>
      <c r="JD763" s="1"/>
    </row>
    <row r="764" spans="1:264" s="347" customFormat="1" x14ac:dyDescent="0.2">
      <c r="A764" s="347" t="s">
        <v>556</v>
      </c>
      <c r="B764" s="348"/>
      <c r="BH764" s="348"/>
      <c r="BI764" s="351">
        <f>AVERAGE(BH762,BI762)</f>
        <v>3188.5</v>
      </c>
      <c r="BJ764" s="348"/>
      <c r="BK764" s="348"/>
      <c r="BL764" s="351">
        <f>AVERAGE(BI762,BL762)</f>
        <v>3384.5</v>
      </c>
      <c r="BM764" s="351">
        <f>AVERAGE(BL762,BM762)</f>
        <v>3516</v>
      </c>
      <c r="BN764" s="348"/>
      <c r="BO764" s="348"/>
      <c r="BP764" s="351">
        <f>AVERAGE(BM762,BP762)</f>
        <v>3560</v>
      </c>
      <c r="BQ764" s="351">
        <f>AVERAGE(BP762,BQ762)</f>
        <v>3661.5</v>
      </c>
      <c r="BR764" s="348"/>
      <c r="BT764" s="351">
        <f>AVERAGE(BQ762,BT762)</f>
        <v>3727</v>
      </c>
      <c r="BU764" s="351">
        <f>AVERAGE(BT762,BU762)</f>
        <v>3741</v>
      </c>
      <c r="BV764" s="348"/>
      <c r="BX764" s="351">
        <f>AVERAGE(BU762,BX762)</f>
        <v>3783.5</v>
      </c>
      <c r="BY764" s="351">
        <f>AVERAGE(BX762,BY762)</f>
        <v>3802.5</v>
      </c>
      <c r="BZ764" s="348"/>
      <c r="CB764" s="351">
        <f>AVERAGE(BY762,CB762)</f>
        <v>3712</v>
      </c>
      <c r="CC764" s="351">
        <f>AVERAGE(CB762,CC762)</f>
        <v>3736</v>
      </c>
      <c r="CD764" s="348"/>
      <c r="CF764" s="351">
        <f>AVERAGE(CC762,CF762)</f>
        <v>2443.5</v>
      </c>
      <c r="CG764" s="351">
        <f>AVERAGE(CF762,CG762)</f>
        <v>1022.5</v>
      </c>
      <c r="CH764" s="348"/>
      <c r="CJ764" s="351">
        <f>AVERAGE(CG762,CJ762)</f>
        <v>1774</v>
      </c>
      <c r="CK764" s="351">
        <f>AVERAGE(CJ762,CK762)</f>
        <v>2019.5</v>
      </c>
      <c r="CL764" s="348"/>
      <c r="CN764" s="351"/>
      <c r="CO764" s="351"/>
      <c r="CR764" s="351"/>
      <c r="CS764" s="351"/>
      <c r="CV764" s="351"/>
      <c r="CW764" s="351"/>
      <c r="CZ764" s="351"/>
      <c r="DA764" s="351"/>
      <c r="DD764" s="351"/>
      <c r="DE764" s="351"/>
      <c r="DH764" s="351"/>
      <c r="DI764" s="351"/>
      <c r="DL764" s="351"/>
      <c r="DM764" s="351"/>
      <c r="DP764" s="351"/>
      <c r="DQ764" s="351"/>
      <c r="DT764" s="1"/>
      <c r="DU764" s="1"/>
      <c r="DV764" s="1"/>
      <c r="DW764" s="1"/>
      <c r="DX764" s="1"/>
      <c r="DY764" s="1"/>
      <c r="DZ764" s="1"/>
      <c r="EA764" s="1"/>
      <c r="EB764" s="1"/>
      <c r="EC764" s="1"/>
      <c r="ED764" s="1"/>
      <c r="EE764" s="1"/>
      <c r="EF764" s="1"/>
      <c r="EG764" s="1"/>
      <c r="EH764" s="1"/>
      <c r="EI764" s="1"/>
      <c r="EJ764" s="1"/>
      <c r="EK764" s="1"/>
      <c r="EL764" s="1"/>
      <c r="EM764" s="1"/>
      <c r="EN764" s="1"/>
      <c r="EO764" s="1"/>
      <c r="EP764" s="1"/>
      <c r="EQ764" s="1"/>
      <c r="ER764" s="1"/>
      <c r="ES764" s="1"/>
      <c r="ET764" s="1"/>
      <c r="EU764" s="1"/>
      <c r="EV764" s="1"/>
      <c r="EW764" s="1"/>
      <c r="EX764" s="1"/>
      <c r="EY764" s="1"/>
      <c r="EZ764" s="1"/>
      <c r="FA764" s="1"/>
      <c r="FB764" s="1"/>
      <c r="FC764" s="1"/>
      <c r="FD764" s="1"/>
      <c r="FE764" s="1"/>
      <c r="FF764" s="1"/>
      <c r="FG764" s="1"/>
      <c r="FH764" s="1"/>
      <c r="FI764" s="1"/>
      <c r="FJ764" s="1"/>
      <c r="FK764" s="1"/>
      <c r="FL764" s="1"/>
      <c r="FM764" s="1"/>
      <c r="FN764" s="1"/>
      <c r="FO764" s="1"/>
      <c r="FP764" s="1"/>
      <c r="FQ764" s="1"/>
      <c r="FR764" s="1"/>
      <c r="FS764" s="1"/>
      <c r="FT764" s="1"/>
      <c r="FU764" s="1"/>
      <c r="FV764" s="1"/>
      <c r="FW764" s="1"/>
      <c r="FX764" s="1"/>
      <c r="FY764" s="1"/>
      <c r="FZ764" s="1"/>
      <c r="GA764" s="1"/>
      <c r="GB764" s="1"/>
      <c r="GC764" s="1"/>
      <c r="GD764" s="1"/>
      <c r="GE764" s="1"/>
      <c r="GF764" s="1"/>
      <c r="GG764" s="1"/>
      <c r="GH764" s="1"/>
      <c r="GI764" s="1"/>
      <c r="GJ764" s="1"/>
      <c r="GK764" s="1"/>
      <c r="GL764" s="1"/>
      <c r="GM764" s="1"/>
      <c r="GN764" s="1"/>
      <c r="GO764" s="1"/>
      <c r="GP764" s="1"/>
      <c r="GQ764" s="1"/>
      <c r="GR764" s="1"/>
      <c r="GS764" s="1"/>
      <c r="GT764" s="1"/>
      <c r="GU764" s="1"/>
      <c r="GV764" s="1"/>
      <c r="GW764" s="1"/>
      <c r="GX764" s="1"/>
      <c r="GY764" s="1"/>
      <c r="GZ764" s="1"/>
      <c r="HA764" s="1"/>
      <c r="HB764" s="1"/>
      <c r="HC764" s="1"/>
      <c r="HD764" s="1"/>
      <c r="HE764" s="1"/>
      <c r="HF764" s="1"/>
      <c r="HG764" s="1"/>
      <c r="HH764" s="1"/>
      <c r="HI764" s="1"/>
      <c r="HJ764" s="1"/>
      <c r="HK764" s="1"/>
      <c r="HL764" s="1"/>
      <c r="HM764" s="1"/>
      <c r="HN764" s="1"/>
      <c r="HO764" s="1"/>
      <c r="HP764" s="1"/>
      <c r="HQ764" s="1"/>
      <c r="HR764" s="1"/>
      <c r="HS764" s="1"/>
      <c r="HT764" s="1"/>
      <c r="HU764" s="1"/>
      <c r="HV764" s="1"/>
      <c r="HW764" s="1"/>
      <c r="HX764" s="1"/>
      <c r="HY764" s="1"/>
      <c r="HZ764" s="1"/>
      <c r="IA764" s="1"/>
      <c r="IB764" s="1"/>
      <c r="IC764" s="1"/>
      <c r="ID764" s="1"/>
      <c r="IE764" s="1"/>
      <c r="IF764" s="1"/>
      <c r="IG764" s="1"/>
      <c r="IH764" s="1"/>
      <c r="II764" s="1"/>
      <c r="IJ764" s="1"/>
      <c r="IK764" s="1"/>
      <c r="IL764" s="1"/>
      <c r="IM764" s="1"/>
      <c r="IN764" s="1"/>
      <c r="IO764" s="1"/>
      <c r="IP764" s="1"/>
      <c r="IQ764" s="1"/>
      <c r="IR764" s="1"/>
      <c r="IS764" s="1"/>
      <c r="IT764" s="1"/>
      <c r="IU764" s="1"/>
      <c r="IV764" s="1"/>
      <c r="IW764" s="1"/>
      <c r="IX764" s="1"/>
      <c r="IY764" s="1"/>
      <c r="IZ764" s="1"/>
      <c r="JA764" s="1"/>
      <c r="JB764" s="1"/>
      <c r="JC764" s="1"/>
      <c r="JD764" s="1"/>
    </row>
    <row r="765" spans="1:264" s="347" customFormat="1" x14ac:dyDescent="0.2">
      <c r="A765" s="463" t="s">
        <v>557</v>
      </c>
      <c r="B765" s="466"/>
      <c r="C765" s="463"/>
      <c r="D765" s="463"/>
      <c r="E765" s="463"/>
      <c r="F765" s="463"/>
      <c r="G765" s="463"/>
      <c r="H765" s="463"/>
      <c r="I765" s="463"/>
      <c r="J765" s="463"/>
      <c r="K765" s="463"/>
      <c r="L765" s="463"/>
      <c r="M765" s="463"/>
      <c r="N765" s="463"/>
      <c r="O765" s="463"/>
      <c r="P765" s="463"/>
      <c r="Q765" s="463"/>
      <c r="R765" s="463"/>
      <c r="S765" s="463"/>
      <c r="T765" s="463"/>
      <c r="U765" s="463"/>
      <c r="V765" s="463"/>
      <c r="W765" s="463"/>
      <c r="X765" s="463"/>
      <c r="Y765" s="463"/>
      <c r="Z765" s="463"/>
      <c r="AA765" s="463"/>
      <c r="AB765" s="463"/>
      <c r="AC765" s="463"/>
      <c r="AD765" s="463"/>
      <c r="AE765" s="463"/>
      <c r="AF765" s="463"/>
      <c r="AG765" s="463"/>
      <c r="AH765" s="463"/>
      <c r="AI765" s="463"/>
      <c r="AJ765" s="463"/>
      <c r="AK765" s="463"/>
      <c r="AL765" s="463"/>
      <c r="AM765" s="463"/>
      <c r="AN765" s="463"/>
      <c r="AO765" s="463"/>
      <c r="AP765" s="463"/>
      <c r="AQ765" s="463"/>
      <c r="AR765" s="463"/>
      <c r="AS765" s="463"/>
      <c r="AT765" s="463"/>
      <c r="AU765" s="463"/>
      <c r="AV765" s="463"/>
      <c r="AW765" s="463"/>
      <c r="AX765" s="463"/>
      <c r="AY765" s="463"/>
      <c r="AZ765" s="463"/>
      <c r="BA765" s="463"/>
      <c r="BB765" s="463"/>
      <c r="BC765" s="463"/>
      <c r="BD765" s="463"/>
      <c r="BE765" s="463"/>
      <c r="BF765" s="463"/>
      <c r="BG765" s="463"/>
      <c r="BH765" s="465"/>
      <c r="BI765" s="465">
        <f>+BI759*(BI$4/BI$3)/BI764</f>
        <v>4.4271670376187906E-2</v>
      </c>
      <c r="BJ765" s="637"/>
      <c r="BK765" s="637"/>
      <c r="BL765" s="465">
        <f>+BL759*(BL$4/BL$3)/BL764</f>
        <v>4.7475062143916967E-2</v>
      </c>
      <c r="BM765" s="465">
        <f>+BM759*(BM$4/BM$3)/BM764</f>
        <v>8.8325508017020854E-2</v>
      </c>
      <c r="BN765" s="637"/>
      <c r="BO765" s="466"/>
      <c r="BP765" s="465">
        <f>+BP759*(BP$4/BP$3)/BP764</f>
        <v>4.4577430385930636E-2</v>
      </c>
      <c r="BQ765" s="465">
        <f>+BQ759*(BQ$4/BQ$3)/BQ764</f>
        <v>7.1597622868386376E-2</v>
      </c>
      <c r="BR765" s="637"/>
      <c r="BS765" s="463"/>
      <c r="BT765" s="465">
        <f>+BT759*(BT$4/BT$3)/BT764</f>
        <v>3.0955075185777111E-2</v>
      </c>
      <c r="BU765" s="465">
        <f>+BU759*(BU$4/BU$3)/BU764</f>
        <v>4.4616970839905887E-2</v>
      </c>
      <c r="BV765" s="637"/>
      <c r="BW765" s="463"/>
      <c r="BX765" s="465">
        <f>+BX759*(BX$4/BX$3)/BX764</f>
        <v>1.0486034899822455E-3</v>
      </c>
      <c r="BY765" s="465">
        <f>+BY759*(BY$4/BY$3)/BY764</f>
        <v>1.1136901064652871E-2</v>
      </c>
      <c r="BZ765" s="637"/>
      <c r="CA765" s="463"/>
      <c r="CB765" s="465">
        <f>+CB759*(CB$4/CB$3)/CB764</f>
        <v>3.2064046101949028E-3</v>
      </c>
      <c r="CC765" s="465">
        <f>+CC759*(CC$4/CC$3)/CC764</f>
        <v>1.0795367160788862E-3</v>
      </c>
      <c r="CD765" s="637"/>
      <c r="CE765" s="463"/>
      <c r="CF765" s="465">
        <f>+CF759*(CF$4/CF$3)/CF764</f>
        <v>2.4354765526997091E-3</v>
      </c>
      <c r="CG765" s="465">
        <f>+CG759*(CG$4/CG$3)/CG764</f>
        <v>1.9722000837509627E-3</v>
      </c>
      <c r="CH765" s="637"/>
      <c r="CI765" s="463"/>
      <c r="CJ765" s="465">
        <f>+CJ759*(CJ$4/CJ$3)/CJ764</f>
        <v>0</v>
      </c>
      <c r="CK765" s="465">
        <f>+CK759*(CK$4/CK$3)/CK764</f>
        <v>2.9873567878024427E-3</v>
      </c>
      <c r="CL765" s="637"/>
      <c r="CM765" s="463"/>
      <c r="CN765" s="465"/>
      <c r="CO765" s="638"/>
      <c r="CP765" s="466"/>
      <c r="CQ765" s="463"/>
      <c r="CR765" s="465"/>
      <c r="CS765" s="638"/>
      <c r="CT765" s="466"/>
      <c r="CU765" s="463"/>
      <c r="CV765" s="638"/>
      <c r="CW765" s="638"/>
      <c r="CX765" s="466"/>
      <c r="CY765" s="463"/>
      <c r="CZ765" s="638"/>
      <c r="DA765" s="638"/>
      <c r="DB765" s="466"/>
      <c r="DC765" s="463"/>
      <c r="DD765" s="638"/>
      <c r="DE765" s="638"/>
      <c r="DF765" s="466"/>
      <c r="DG765" s="463"/>
      <c r="DH765" s="638"/>
      <c r="DI765" s="638"/>
      <c r="DJ765" s="466"/>
      <c r="DK765" s="463"/>
      <c r="DL765" s="638"/>
      <c r="DM765" s="638"/>
      <c r="DN765" s="466"/>
      <c r="DO765" s="463"/>
      <c r="DP765" s="638"/>
      <c r="DQ765" s="638"/>
      <c r="DR765" s="466"/>
      <c r="DS765" s="463"/>
      <c r="DT765" s="1"/>
      <c r="DU765" s="1"/>
      <c r="DV765" s="1"/>
      <c r="DW765" s="1"/>
      <c r="DX765" s="1"/>
      <c r="DY765" s="1"/>
      <c r="DZ765" s="1"/>
      <c r="EA765" s="1"/>
      <c r="EB765" s="1"/>
      <c r="EC765" s="1"/>
      <c r="ED765" s="1"/>
      <c r="EE765" s="1"/>
      <c r="EF765" s="1"/>
      <c r="EG765" s="1"/>
      <c r="EH765" s="1"/>
      <c r="EI765" s="1"/>
      <c r="EJ765" s="1"/>
      <c r="EK765" s="1"/>
      <c r="EL765" s="1"/>
      <c r="EM765" s="1"/>
      <c r="EN765" s="1"/>
      <c r="EO765" s="1"/>
      <c r="EP765" s="1"/>
      <c r="EQ765" s="1"/>
      <c r="ER765" s="1"/>
      <c r="ES765" s="1"/>
      <c r="ET765" s="1"/>
      <c r="EU765" s="1"/>
      <c r="EV765" s="1"/>
      <c r="EW765" s="1"/>
      <c r="EX765" s="1"/>
      <c r="EY765" s="1"/>
      <c r="EZ765" s="1"/>
      <c r="FA765" s="1"/>
      <c r="FB765" s="1"/>
      <c r="FC765" s="1"/>
      <c r="FD765" s="1"/>
      <c r="FE765" s="1"/>
      <c r="FF765" s="1"/>
      <c r="FG765" s="1"/>
      <c r="FH765" s="1"/>
      <c r="FI765" s="1"/>
      <c r="FJ765" s="1"/>
      <c r="FK765" s="1"/>
      <c r="FL765" s="1"/>
      <c r="FM765" s="1"/>
      <c r="FN765" s="1"/>
      <c r="FO765" s="1"/>
      <c r="FP765" s="1"/>
      <c r="FQ765" s="1"/>
      <c r="FR765" s="1"/>
      <c r="FS765" s="1"/>
      <c r="FT765" s="1"/>
      <c r="FU765" s="1"/>
      <c r="FV765" s="1"/>
      <c r="FW765" s="1"/>
      <c r="FX765" s="1"/>
      <c r="FY765" s="1"/>
      <c r="FZ765" s="1"/>
      <c r="GA765" s="1"/>
      <c r="GB765" s="1"/>
      <c r="GC765" s="1"/>
      <c r="GD765" s="1"/>
      <c r="GE765" s="1"/>
      <c r="GF765" s="1"/>
      <c r="GG765" s="1"/>
      <c r="GH765" s="1"/>
      <c r="GI765" s="1"/>
      <c r="GJ765" s="1"/>
      <c r="GK765" s="1"/>
      <c r="GL765" s="1"/>
      <c r="GM765" s="1"/>
      <c r="GN765" s="1"/>
      <c r="GO765" s="1"/>
      <c r="GP765" s="1"/>
      <c r="GQ765" s="1"/>
      <c r="GR765" s="1"/>
      <c r="GS765" s="1"/>
      <c r="GT765" s="1"/>
      <c r="GU765" s="1"/>
      <c r="GV765" s="1"/>
      <c r="GW765" s="1"/>
      <c r="GX765" s="1"/>
      <c r="GY765" s="1"/>
      <c r="GZ765" s="1"/>
      <c r="HA765" s="1"/>
      <c r="HB765" s="1"/>
      <c r="HC765" s="1"/>
      <c r="HD765" s="1"/>
      <c r="HE765" s="1"/>
      <c r="HF765" s="1"/>
      <c r="HG765" s="1"/>
      <c r="HH765" s="1"/>
      <c r="HI765" s="1"/>
      <c r="HJ765" s="1"/>
      <c r="HK765" s="1"/>
      <c r="HL765" s="1"/>
      <c r="HM765" s="1"/>
      <c r="HN765" s="1"/>
      <c r="HO765" s="1"/>
      <c r="HP765" s="1"/>
      <c r="HQ765" s="1"/>
      <c r="HR765" s="1"/>
      <c r="HS765" s="1"/>
      <c r="HT765" s="1"/>
      <c r="HU765" s="1"/>
      <c r="HV765" s="1"/>
      <c r="HW765" s="1"/>
      <c r="HX765" s="1"/>
      <c r="HY765" s="1"/>
      <c r="HZ765" s="1"/>
      <c r="IA765" s="1"/>
      <c r="IB765" s="1"/>
      <c r="IC765" s="1"/>
      <c r="ID765" s="1"/>
      <c r="IE765" s="1"/>
      <c r="IF765" s="1"/>
      <c r="IG765" s="1"/>
      <c r="IH765" s="1"/>
      <c r="II765" s="1"/>
      <c r="IJ765" s="1"/>
      <c r="IK765" s="1"/>
      <c r="IL765" s="1"/>
      <c r="IM765" s="1"/>
      <c r="IN765" s="1"/>
      <c r="IO765" s="1"/>
      <c r="IP765" s="1"/>
      <c r="IQ765" s="1"/>
      <c r="IR765" s="1"/>
      <c r="IS765" s="1"/>
      <c r="IT765" s="1"/>
      <c r="IU765" s="1"/>
      <c r="IV765" s="1"/>
      <c r="IW765" s="1"/>
      <c r="IX765" s="1"/>
      <c r="IY765" s="1"/>
      <c r="IZ765" s="1"/>
      <c r="JA765" s="1"/>
      <c r="JB765" s="1"/>
      <c r="JC765" s="1"/>
      <c r="JD765" s="1"/>
    </row>
    <row r="766" spans="1:264" s="347" customFormat="1" x14ac:dyDescent="0.2">
      <c r="A766" s="463" t="s">
        <v>558</v>
      </c>
      <c r="B766" s="466"/>
      <c r="C766" s="463"/>
      <c r="D766" s="463"/>
      <c r="E766" s="463"/>
      <c r="F766" s="463"/>
      <c r="G766" s="463"/>
      <c r="H766" s="463"/>
      <c r="I766" s="463"/>
      <c r="J766" s="463"/>
      <c r="K766" s="463"/>
      <c r="L766" s="463"/>
      <c r="M766" s="463"/>
      <c r="N766" s="463"/>
      <c r="O766" s="463"/>
      <c r="P766" s="463"/>
      <c r="Q766" s="463"/>
      <c r="R766" s="463"/>
      <c r="S766" s="463"/>
      <c r="T766" s="463"/>
      <c r="U766" s="463"/>
      <c r="V766" s="463"/>
      <c r="W766" s="463"/>
      <c r="X766" s="463"/>
      <c r="Y766" s="463"/>
      <c r="Z766" s="463"/>
      <c r="AA766" s="463"/>
      <c r="AB766" s="463"/>
      <c r="AC766" s="463"/>
      <c r="AD766" s="463"/>
      <c r="AE766" s="463"/>
      <c r="AF766" s="463"/>
      <c r="AG766" s="463"/>
      <c r="AH766" s="463"/>
      <c r="AI766" s="463"/>
      <c r="AJ766" s="463"/>
      <c r="AK766" s="463"/>
      <c r="AL766" s="463"/>
      <c r="AM766" s="463"/>
      <c r="AN766" s="463"/>
      <c r="AO766" s="463"/>
      <c r="AP766" s="463"/>
      <c r="AQ766" s="463"/>
      <c r="AR766" s="463"/>
      <c r="AS766" s="463"/>
      <c r="AT766" s="463"/>
      <c r="AU766" s="463"/>
      <c r="AV766" s="463"/>
      <c r="AW766" s="463"/>
      <c r="AX766" s="463"/>
      <c r="AY766" s="463"/>
      <c r="AZ766" s="463"/>
      <c r="BA766" s="463"/>
      <c r="BB766" s="463"/>
      <c r="BC766" s="463"/>
      <c r="BD766" s="463"/>
      <c r="BE766" s="463"/>
      <c r="BF766" s="463"/>
      <c r="BG766" s="463"/>
      <c r="BH766" s="465">
        <f>-BH760/BH759</f>
        <v>0.32142857142857145</v>
      </c>
      <c r="BI766" s="465">
        <f>-BI760/BI759</f>
        <v>0.31428571428571428</v>
      </c>
      <c r="BJ766" s="466"/>
      <c r="BK766" s="466"/>
      <c r="BL766" s="465">
        <f>-BL760/BL759</f>
        <v>0.23456790123456789</v>
      </c>
      <c r="BM766" s="465">
        <f>-BM760/BM759</f>
        <v>0.12337662337662338</v>
      </c>
      <c r="BN766" s="466"/>
      <c r="BO766" s="466"/>
      <c r="BP766" s="465">
        <f>-BP760/BP759</f>
        <v>0.28749999999999998</v>
      </c>
      <c r="BQ766" s="465">
        <f>-BQ760/BQ759</f>
        <v>0.2846153846153846</v>
      </c>
      <c r="BR766" s="466"/>
      <c r="BS766" s="463"/>
      <c r="BT766" s="465">
        <f>-BT760/BT759</f>
        <v>0.2413793103448276</v>
      </c>
      <c r="BU766" s="465">
        <f>-BU760/BU759</f>
        <v>0.3253012048192771</v>
      </c>
      <c r="BV766" s="466"/>
      <c r="BW766" s="463"/>
      <c r="BX766" s="465">
        <f>-BX760/BX759</f>
        <v>1</v>
      </c>
      <c r="BY766" s="465">
        <f>-BY760/BY759</f>
        <v>0.23809523809523808</v>
      </c>
      <c r="BZ766" s="466"/>
      <c r="CA766" s="463"/>
      <c r="CB766" s="465">
        <f>-CB760/CB759</f>
        <v>0.33333333333333331</v>
      </c>
      <c r="CC766" s="465">
        <f>-CC760/CC759</f>
        <v>1</v>
      </c>
      <c r="CD766" s="466"/>
      <c r="CE766" s="463"/>
      <c r="CF766" s="465">
        <f>-CF760/CF759</f>
        <v>0.66666666666666663</v>
      </c>
      <c r="CG766" s="465">
        <f>-CG760/CG759</f>
        <v>5</v>
      </c>
      <c r="CH766" s="466"/>
      <c r="CI766" s="463"/>
      <c r="CJ766" s="465">
        <f>IFERROR(-CJ760/CJ759,0)</f>
        <v>0</v>
      </c>
      <c r="CK766" s="465">
        <f>-CK760/CK759</f>
        <v>0</v>
      </c>
      <c r="CL766" s="466"/>
      <c r="CM766" s="463"/>
      <c r="CN766" s="465"/>
      <c r="CO766" s="651"/>
      <c r="CP766" s="463"/>
      <c r="CQ766" s="463"/>
      <c r="CR766" s="465"/>
      <c r="CS766" s="651"/>
      <c r="CT766" s="463"/>
      <c r="CU766" s="463"/>
      <c r="CV766" s="651"/>
      <c r="CW766" s="651"/>
      <c r="CX766" s="463"/>
      <c r="CY766" s="463"/>
      <c r="CZ766" s="651"/>
      <c r="DA766" s="651"/>
      <c r="DB766" s="463"/>
      <c r="DC766" s="463"/>
      <c r="DD766" s="651"/>
      <c r="DE766" s="651"/>
      <c r="DF766" s="463"/>
      <c r="DG766" s="463"/>
      <c r="DH766" s="651"/>
      <c r="DI766" s="651"/>
      <c r="DJ766" s="463"/>
      <c r="DK766" s="463"/>
      <c r="DL766" s="651"/>
      <c r="DM766" s="651"/>
      <c r="DN766" s="463"/>
      <c r="DO766" s="463"/>
      <c r="DP766" s="651"/>
      <c r="DQ766" s="651"/>
      <c r="DR766" s="463"/>
      <c r="DS766" s="463"/>
      <c r="DT766" s="1"/>
      <c r="DU766" s="1"/>
      <c r="DV766" s="1"/>
      <c r="DW766" s="1"/>
      <c r="DX766" s="1"/>
      <c r="DY766" s="1"/>
      <c r="DZ766" s="1"/>
      <c r="EA766" s="1"/>
      <c r="EB766" s="1"/>
      <c r="EC766" s="1"/>
      <c r="ED766" s="1"/>
      <c r="EE766" s="1"/>
      <c r="EF766" s="1"/>
      <c r="EG766" s="1"/>
      <c r="EH766" s="1"/>
      <c r="EI766" s="1"/>
      <c r="EJ766" s="1"/>
      <c r="EK766" s="1"/>
      <c r="EL766" s="1"/>
      <c r="EM766" s="1"/>
      <c r="EN766" s="1"/>
      <c r="EO766" s="1"/>
      <c r="EP766" s="1"/>
      <c r="EQ766" s="1"/>
      <c r="ER766" s="1"/>
      <c r="ES766" s="1"/>
      <c r="ET766" s="1"/>
      <c r="EU766" s="1"/>
      <c r="EV766" s="1"/>
      <c r="EW766" s="1"/>
      <c r="EX766" s="1"/>
      <c r="EY766" s="1"/>
      <c r="EZ766" s="1"/>
      <c r="FA766" s="1"/>
      <c r="FB766" s="1"/>
      <c r="FC766" s="1"/>
      <c r="FD766" s="1"/>
      <c r="FE766" s="1"/>
      <c r="FF766" s="1"/>
      <c r="FG766" s="1"/>
      <c r="FH766" s="1"/>
      <c r="FI766" s="1"/>
      <c r="FJ766" s="1"/>
      <c r="FK766" s="1"/>
      <c r="FL766" s="1"/>
      <c r="FM766" s="1"/>
      <c r="FN766" s="1"/>
      <c r="FO766" s="1"/>
      <c r="FP766" s="1"/>
      <c r="FQ766" s="1"/>
      <c r="FR766" s="1"/>
      <c r="FS766" s="1"/>
      <c r="FT766" s="1"/>
      <c r="FU766" s="1"/>
      <c r="FV766" s="1"/>
      <c r="FW766" s="1"/>
      <c r="FX766" s="1"/>
      <c r="FY766" s="1"/>
      <c r="FZ766" s="1"/>
      <c r="GA766" s="1"/>
      <c r="GB766" s="1"/>
      <c r="GC766" s="1"/>
      <c r="GD766" s="1"/>
      <c r="GE766" s="1"/>
      <c r="GF766" s="1"/>
      <c r="GG766" s="1"/>
      <c r="GH766" s="1"/>
      <c r="GI766" s="1"/>
      <c r="GJ766" s="1"/>
      <c r="GK766" s="1"/>
      <c r="GL766" s="1"/>
      <c r="GM766" s="1"/>
      <c r="GN766" s="1"/>
      <c r="GO766" s="1"/>
      <c r="GP766" s="1"/>
      <c r="GQ766" s="1"/>
      <c r="GR766" s="1"/>
      <c r="GS766" s="1"/>
      <c r="GT766" s="1"/>
      <c r="GU766" s="1"/>
      <c r="GV766" s="1"/>
      <c r="GW766" s="1"/>
      <c r="GX766" s="1"/>
      <c r="GY766" s="1"/>
      <c r="GZ766" s="1"/>
      <c r="HA766" s="1"/>
      <c r="HB766" s="1"/>
      <c r="HC766" s="1"/>
      <c r="HD766" s="1"/>
      <c r="HE766" s="1"/>
      <c r="HF766" s="1"/>
      <c r="HG766" s="1"/>
      <c r="HH766" s="1"/>
      <c r="HI766" s="1"/>
      <c r="HJ766" s="1"/>
      <c r="HK766" s="1"/>
      <c r="HL766" s="1"/>
      <c r="HM766" s="1"/>
      <c r="HN766" s="1"/>
      <c r="HO766" s="1"/>
      <c r="HP766" s="1"/>
      <c r="HQ766" s="1"/>
      <c r="HR766" s="1"/>
      <c r="HS766" s="1"/>
      <c r="HT766" s="1"/>
      <c r="HU766" s="1"/>
      <c r="HV766" s="1"/>
      <c r="HW766" s="1"/>
      <c r="HX766" s="1"/>
      <c r="HY766" s="1"/>
      <c r="HZ766" s="1"/>
      <c r="IA766" s="1"/>
      <c r="IB766" s="1"/>
      <c r="IC766" s="1"/>
      <c r="ID766" s="1"/>
      <c r="IE766" s="1"/>
      <c r="IF766" s="1"/>
      <c r="IG766" s="1"/>
      <c r="IH766" s="1"/>
      <c r="II766" s="1"/>
      <c r="IJ766" s="1"/>
      <c r="IK766" s="1"/>
      <c r="IL766" s="1"/>
      <c r="IM766" s="1"/>
      <c r="IN766" s="1"/>
      <c r="IO766" s="1"/>
      <c r="IP766" s="1"/>
      <c r="IQ766" s="1"/>
      <c r="IR766" s="1"/>
      <c r="IS766" s="1"/>
      <c r="IT766" s="1"/>
      <c r="IU766" s="1"/>
      <c r="IV766" s="1"/>
      <c r="IW766" s="1"/>
      <c r="IX766" s="1"/>
      <c r="IY766" s="1"/>
      <c r="IZ766" s="1"/>
      <c r="JA766" s="1"/>
      <c r="JB766" s="1"/>
      <c r="JC766" s="1"/>
      <c r="JD766" s="1"/>
    </row>
    <row r="767" spans="1:264" s="347" customFormat="1" x14ac:dyDescent="0.2">
      <c r="B767" s="348"/>
      <c r="BH767" s="348"/>
      <c r="BI767" s="348"/>
      <c r="BJ767" s="348"/>
      <c r="BK767" s="348"/>
      <c r="BL767" s="348"/>
      <c r="BM767" s="348"/>
      <c r="BN767" s="348"/>
      <c r="BO767" s="348"/>
      <c r="BP767" s="348"/>
      <c r="BT767" s="348"/>
      <c r="BX767" s="348"/>
      <c r="CB767" s="348"/>
      <c r="CF767" s="348"/>
      <c r="CJ767" s="348"/>
      <c r="CN767" s="348"/>
      <c r="CR767" s="348"/>
      <c r="CV767" s="351"/>
      <c r="CW767" s="351"/>
      <c r="CZ767" s="348"/>
      <c r="DD767" s="348"/>
      <c r="DH767" s="348"/>
      <c r="DL767" s="348"/>
      <c r="DP767" s="348"/>
      <c r="DT767" s="1"/>
      <c r="DU767" s="1"/>
      <c r="DV767" s="1"/>
      <c r="DW767" s="1"/>
      <c r="DX767" s="1"/>
      <c r="DY767" s="1"/>
      <c r="DZ767" s="1"/>
      <c r="EA767" s="1"/>
      <c r="EB767" s="1"/>
      <c r="EC767" s="1"/>
      <c r="ED767" s="1"/>
      <c r="EE767" s="1"/>
      <c r="EF767" s="1"/>
      <c r="EG767" s="1"/>
      <c r="EH767" s="1"/>
      <c r="EI767" s="1"/>
      <c r="EJ767" s="1"/>
      <c r="EK767" s="1"/>
      <c r="EL767" s="1"/>
      <c r="EM767" s="1"/>
      <c r="EN767" s="1"/>
      <c r="EO767" s="1"/>
      <c r="EP767" s="1"/>
      <c r="EQ767" s="1"/>
      <c r="ER767" s="1"/>
      <c r="ES767" s="1"/>
      <c r="ET767" s="1"/>
      <c r="EU767" s="1"/>
      <c r="EV767" s="1"/>
      <c r="EW767" s="1"/>
      <c r="EX767" s="1"/>
      <c r="EY767" s="1"/>
      <c r="EZ767" s="1"/>
      <c r="FA767" s="1"/>
      <c r="FB767" s="1"/>
      <c r="FC767" s="1"/>
      <c r="FD767" s="1"/>
      <c r="FE767" s="1"/>
      <c r="FF767" s="1"/>
      <c r="FG767" s="1"/>
      <c r="FH767" s="1"/>
      <c r="FI767" s="1"/>
      <c r="FJ767" s="1"/>
      <c r="FK767" s="1"/>
      <c r="FL767" s="1"/>
      <c r="FM767" s="1"/>
      <c r="FN767" s="1"/>
      <c r="FO767" s="1"/>
      <c r="FP767" s="1"/>
      <c r="FQ767" s="1"/>
      <c r="FR767" s="1"/>
      <c r="FS767" s="1"/>
      <c r="FT767" s="1"/>
      <c r="FU767" s="1"/>
      <c r="FV767" s="1"/>
      <c r="FW767" s="1"/>
      <c r="FX767" s="1"/>
      <c r="FY767" s="1"/>
      <c r="FZ767" s="1"/>
      <c r="GA767" s="1"/>
      <c r="GB767" s="1"/>
      <c r="GC767" s="1"/>
      <c r="GD767" s="1"/>
      <c r="GE767" s="1"/>
      <c r="GF767" s="1"/>
      <c r="GG767" s="1"/>
      <c r="GH767" s="1"/>
      <c r="GI767" s="1"/>
      <c r="GJ767" s="1"/>
      <c r="GK767" s="1"/>
      <c r="GL767" s="1"/>
      <c r="GM767" s="1"/>
      <c r="GN767" s="1"/>
      <c r="GO767" s="1"/>
      <c r="GP767" s="1"/>
      <c r="GQ767" s="1"/>
      <c r="GR767" s="1"/>
      <c r="GS767" s="1"/>
      <c r="GT767" s="1"/>
      <c r="GU767" s="1"/>
      <c r="GV767" s="1"/>
      <c r="GW767" s="1"/>
      <c r="GX767" s="1"/>
      <c r="GY767" s="1"/>
      <c r="GZ767" s="1"/>
      <c r="HA767" s="1"/>
      <c r="HB767" s="1"/>
      <c r="HC767" s="1"/>
      <c r="HD767" s="1"/>
      <c r="HE767" s="1"/>
      <c r="HF767" s="1"/>
      <c r="HG767" s="1"/>
      <c r="HH767" s="1"/>
      <c r="HI767" s="1"/>
      <c r="HJ767" s="1"/>
      <c r="HK767" s="1"/>
      <c r="HL767" s="1"/>
      <c r="HM767" s="1"/>
      <c r="HN767" s="1"/>
      <c r="HO767" s="1"/>
      <c r="HP767" s="1"/>
      <c r="HQ767" s="1"/>
      <c r="HR767" s="1"/>
      <c r="HS767" s="1"/>
      <c r="HT767" s="1"/>
      <c r="HU767" s="1"/>
      <c r="HV767" s="1"/>
      <c r="HW767" s="1"/>
      <c r="HX767" s="1"/>
      <c r="HY767" s="1"/>
      <c r="HZ767" s="1"/>
      <c r="IA767" s="1"/>
      <c r="IB767" s="1"/>
      <c r="IC767" s="1"/>
      <c r="ID767" s="1"/>
      <c r="IE767" s="1"/>
      <c r="IF767" s="1"/>
      <c r="IG767" s="1"/>
      <c r="IH767" s="1"/>
      <c r="II767" s="1"/>
      <c r="IJ767" s="1"/>
      <c r="IK767" s="1"/>
      <c r="IL767" s="1"/>
      <c r="IM767" s="1"/>
      <c r="IN767" s="1"/>
      <c r="IO767" s="1"/>
      <c r="IP767" s="1"/>
      <c r="IQ767" s="1"/>
      <c r="IR767" s="1"/>
      <c r="IS767" s="1"/>
      <c r="IT767" s="1"/>
      <c r="IU767" s="1"/>
      <c r="IV767" s="1"/>
      <c r="IW767" s="1"/>
      <c r="IX767" s="1"/>
      <c r="IY767" s="1"/>
      <c r="IZ767" s="1"/>
      <c r="JA767" s="1"/>
      <c r="JB767" s="1"/>
      <c r="JC767" s="1"/>
      <c r="JD767" s="1"/>
    </row>
    <row r="768" spans="1:264" s="460" customFormat="1" x14ac:dyDescent="0.2">
      <c r="A768" s="568" t="s">
        <v>249</v>
      </c>
      <c r="B768" s="569"/>
      <c r="C768" s="568"/>
      <c r="D768" s="568"/>
      <c r="E768" s="568"/>
      <c r="F768" s="568"/>
      <c r="G768" s="568"/>
      <c r="H768" s="568"/>
      <c r="I768" s="568"/>
      <c r="J768" s="568"/>
      <c r="K768" s="568"/>
      <c r="L768" s="568"/>
      <c r="M768" s="568"/>
      <c r="N768" s="568"/>
      <c r="O768" s="568"/>
      <c r="P768" s="568"/>
      <c r="Q768" s="568"/>
      <c r="R768" s="568"/>
      <c r="S768" s="568"/>
      <c r="T768" s="568"/>
      <c r="U768" s="568"/>
      <c r="V768" s="568"/>
      <c r="W768" s="568"/>
      <c r="X768" s="568"/>
      <c r="Y768" s="568"/>
      <c r="Z768" s="568"/>
      <c r="AA768" s="568"/>
      <c r="AB768" s="568"/>
      <c r="AC768" s="568"/>
      <c r="AD768" s="568"/>
      <c r="AE768" s="568"/>
      <c r="AF768" s="568"/>
      <c r="AG768" s="568"/>
      <c r="AH768" s="568"/>
      <c r="AI768" s="568"/>
      <c r="AJ768" s="568"/>
      <c r="AK768" s="568"/>
      <c r="AL768" s="568"/>
      <c r="AM768" s="568"/>
      <c r="AN768" s="568"/>
      <c r="AO768" s="568"/>
      <c r="AP768" s="568"/>
      <c r="AQ768" s="568"/>
      <c r="AR768" s="568"/>
      <c r="AS768" s="568"/>
      <c r="AT768" s="568"/>
      <c r="AU768" s="568"/>
      <c r="AV768" s="568"/>
      <c r="AW768" s="568"/>
      <c r="AX768" s="568"/>
      <c r="AY768" s="568"/>
      <c r="AZ768" s="568"/>
      <c r="BA768" s="568"/>
      <c r="BB768" s="568"/>
      <c r="BC768" s="568"/>
      <c r="BD768" s="568"/>
      <c r="BE768" s="568"/>
      <c r="BF768" s="568"/>
      <c r="BG768" s="568"/>
      <c r="BH768" s="569"/>
      <c r="BI768" s="569"/>
      <c r="BJ768" s="569"/>
      <c r="BK768" s="569"/>
      <c r="BL768" s="569"/>
      <c r="BM768" s="569"/>
      <c r="BN768" s="569"/>
      <c r="BO768" s="569"/>
      <c r="BP768" s="569"/>
      <c r="BQ768" s="568"/>
      <c r="BR768" s="568"/>
      <c r="BS768" s="568"/>
      <c r="BT768" s="569"/>
      <c r="BU768" s="568"/>
      <c r="BV768" s="568"/>
      <c r="BW768" s="568"/>
      <c r="BX768" s="569"/>
      <c r="BY768" s="568"/>
      <c r="BZ768" s="568"/>
      <c r="CA768" s="568"/>
      <c r="CB768" s="569"/>
      <c r="CC768" s="568"/>
      <c r="CD768" s="568"/>
      <c r="CE768" s="568"/>
      <c r="CF768" s="569"/>
      <c r="CG768" s="568"/>
      <c r="CH768" s="568"/>
      <c r="CI768" s="568"/>
      <c r="CJ768" s="569"/>
      <c r="CK768" s="568"/>
      <c r="CL768" s="568"/>
      <c r="CM768" s="568"/>
      <c r="CN768" s="569"/>
      <c r="CO768" s="568"/>
      <c r="CP768" s="568"/>
      <c r="CQ768" s="568"/>
      <c r="CR768" s="569"/>
      <c r="CS768" s="568"/>
      <c r="CT768" s="568"/>
      <c r="CU768" s="568"/>
      <c r="CV768" s="569"/>
      <c r="CW768" s="568"/>
      <c r="CX768" s="568"/>
      <c r="CY768" s="568"/>
      <c r="CZ768" s="569"/>
      <c r="DA768" s="568"/>
      <c r="DB768" s="568"/>
      <c r="DC768" s="568"/>
      <c r="DD768" s="569"/>
      <c r="DE768" s="568"/>
      <c r="DF768" s="568"/>
      <c r="DG768" s="568"/>
      <c r="DH768" s="569"/>
      <c r="DI768" s="568"/>
      <c r="DJ768" s="568"/>
      <c r="DK768" s="568"/>
      <c r="DL768" s="569"/>
      <c r="DM768" s="568"/>
      <c r="DN768" s="568"/>
      <c r="DO768" s="568"/>
      <c r="DP768" s="569"/>
      <c r="DQ768" s="568"/>
      <c r="DR768" s="568"/>
      <c r="DS768" s="568"/>
      <c r="DT768" s="1"/>
      <c r="DU768" s="1"/>
      <c r="DV768" s="1"/>
      <c r="DW768" s="1"/>
      <c r="DX768" s="1"/>
      <c r="DY768" s="1"/>
      <c r="DZ768" s="1"/>
      <c r="EA768" s="1"/>
      <c r="EB768" s="1"/>
      <c r="EC768" s="1"/>
      <c r="ED768" s="1"/>
      <c r="EE768" s="1"/>
      <c r="EF768" s="1"/>
      <c r="EG768" s="1"/>
      <c r="EH768" s="1"/>
      <c r="EI768" s="1"/>
      <c r="EJ768" s="1"/>
      <c r="EK768" s="1"/>
      <c r="EL768" s="1"/>
      <c r="EM768" s="1"/>
      <c r="EN768" s="1"/>
      <c r="EO768" s="1"/>
      <c r="EP768" s="1"/>
      <c r="EQ768" s="1"/>
      <c r="ER768" s="1"/>
      <c r="ES768" s="1"/>
      <c r="ET768" s="1"/>
      <c r="EU768" s="1"/>
      <c r="EV768" s="1"/>
      <c r="EW768" s="1"/>
      <c r="EX768" s="1"/>
      <c r="EY768" s="1"/>
      <c r="EZ768" s="1"/>
      <c r="FA768" s="1"/>
      <c r="FB768" s="1"/>
      <c r="FC768" s="1"/>
      <c r="FD768" s="1"/>
      <c r="FE768" s="1"/>
      <c r="FF768" s="1"/>
      <c r="FG768" s="1"/>
      <c r="FH768" s="1"/>
      <c r="FI768" s="1"/>
      <c r="FJ768" s="1"/>
      <c r="FK768" s="1"/>
      <c r="FL768" s="1"/>
      <c r="FM768" s="1"/>
      <c r="FN768" s="1"/>
      <c r="FO768" s="1"/>
      <c r="FP768" s="1"/>
      <c r="FQ768" s="1"/>
      <c r="FR768" s="1"/>
      <c r="FS768" s="1"/>
      <c r="FT768" s="1"/>
      <c r="FU768" s="1"/>
      <c r="FV768" s="1"/>
      <c r="FW768" s="1"/>
      <c r="FX768" s="1"/>
      <c r="FY768" s="1"/>
      <c r="FZ768" s="1"/>
      <c r="GA768" s="1"/>
      <c r="GB768" s="1"/>
      <c r="GC768" s="1"/>
      <c r="GD768" s="1"/>
      <c r="GE768" s="1"/>
      <c r="GF768" s="1"/>
      <c r="GG768" s="1"/>
      <c r="GH768" s="1"/>
      <c r="GI768" s="1"/>
      <c r="GJ768" s="1"/>
      <c r="GK768" s="1"/>
      <c r="GL768" s="1"/>
      <c r="GM768" s="1"/>
      <c r="GN768" s="1"/>
      <c r="GO768" s="1"/>
      <c r="GP768" s="1"/>
      <c r="GQ768" s="1"/>
      <c r="GR768" s="1"/>
      <c r="GS768" s="1"/>
      <c r="GT768" s="1"/>
      <c r="GU768" s="1"/>
      <c r="GV768" s="1"/>
      <c r="GW768" s="1"/>
      <c r="GX768" s="1"/>
      <c r="GY768" s="1"/>
      <c r="GZ768" s="1"/>
      <c r="HA768" s="1"/>
      <c r="HB768" s="1"/>
      <c r="HC768" s="1"/>
      <c r="HD768" s="1"/>
      <c r="HE768" s="1"/>
      <c r="HF768" s="1"/>
      <c r="HG768" s="1"/>
      <c r="HH768" s="1"/>
      <c r="HI768" s="1"/>
      <c r="HJ768" s="1"/>
      <c r="HK768" s="1"/>
      <c r="HL768" s="1"/>
      <c r="HM768" s="1"/>
      <c r="HN768" s="1"/>
      <c r="HO768" s="1"/>
      <c r="HP768" s="1"/>
      <c r="HQ768" s="1"/>
      <c r="HR768" s="1"/>
      <c r="HS768" s="1"/>
      <c r="HT768" s="1"/>
      <c r="HU768" s="1"/>
      <c r="HV768" s="1"/>
      <c r="HW768" s="1"/>
      <c r="HX768" s="1"/>
      <c r="HY768" s="1"/>
      <c r="HZ768" s="1"/>
      <c r="IA768" s="1"/>
      <c r="IB768" s="1"/>
      <c r="IC768" s="1"/>
      <c r="ID768" s="1"/>
      <c r="IE768" s="1"/>
      <c r="IF768" s="1"/>
      <c r="IG768" s="1"/>
      <c r="IH768" s="1"/>
      <c r="II768" s="1"/>
      <c r="IJ768" s="1"/>
      <c r="IK768" s="1"/>
      <c r="IL768" s="1"/>
      <c r="IM768" s="1"/>
      <c r="IN768" s="1"/>
      <c r="IO768" s="1"/>
      <c r="IP768" s="1"/>
      <c r="IQ768" s="1"/>
      <c r="IR768" s="1"/>
      <c r="IS768" s="1"/>
      <c r="IT768" s="1"/>
      <c r="IU768" s="1"/>
      <c r="IV768" s="1"/>
      <c r="IW768" s="1"/>
      <c r="IX768" s="1"/>
      <c r="IY768" s="1"/>
      <c r="IZ768" s="1"/>
      <c r="JA768" s="1"/>
      <c r="JB768" s="1"/>
      <c r="JC768" s="1"/>
      <c r="JD768" s="1"/>
    </row>
    <row r="769" spans="1:264" x14ac:dyDescent="0.2">
      <c r="CV769" s="652"/>
      <c r="CW769" s="652"/>
      <c r="CY769" s="652"/>
      <c r="CZ769" s="652"/>
      <c r="DA769" s="652"/>
      <c r="DE769" s="652"/>
    </row>
    <row r="770" spans="1:264" s="347" customFormat="1" x14ac:dyDescent="0.2">
      <c r="A770" s="407" t="s">
        <v>559</v>
      </c>
      <c r="B770" s="348"/>
      <c r="BH770" s="397"/>
      <c r="BI770" s="397"/>
      <c r="BJ770" s="397"/>
      <c r="BK770" s="348"/>
      <c r="BL770" s="397"/>
      <c r="BM770" s="397"/>
      <c r="BN770" s="397"/>
      <c r="BO770" s="393"/>
      <c r="BP770" s="397"/>
      <c r="BQ770" s="397"/>
      <c r="BR770" s="397"/>
      <c r="BS770" s="393"/>
      <c r="BT770" s="397"/>
      <c r="BU770" s="397"/>
      <c r="BV770" s="397"/>
      <c r="BW770" s="393"/>
      <c r="BX770" s="397">
        <f>+BX780-BX781-BX785-BX782-BX771</f>
        <v>-5474</v>
      </c>
      <c r="BY770" s="397">
        <f>+BY780-BY781-BY785-BY782-BY771</f>
        <v>-5142</v>
      </c>
      <c r="BZ770" s="397">
        <f>+BZ780-BZ781-BZ785-BZ782-BZ771</f>
        <v>-10616</v>
      </c>
      <c r="CA770" s="393"/>
      <c r="CB770" s="397">
        <f>+CB780-CB781-CB785-CB782-CB771</f>
        <v>-4961</v>
      </c>
      <c r="CC770" s="397">
        <f>+CC780-CC781-CC785-CC782-CC771</f>
        <v>-5108</v>
      </c>
      <c r="CD770" s="397">
        <f>+CD780-CD781-CD785-CD782-CD771</f>
        <v>-10069</v>
      </c>
      <c r="CE770" s="393"/>
      <c r="CF770" s="397">
        <f>+CF780-CF781-CF785-CF782-CF771</f>
        <v>-4975</v>
      </c>
      <c r="CG770" s="397">
        <f>+CG780-CG781-CG785-CG782-CG771</f>
        <v>-5146</v>
      </c>
      <c r="CH770" s="397">
        <f>+CH780-CH781-CH785-CH782-CH771</f>
        <v>-10121</v>
      </c>
      <c r="CI770" s="393"/>
      <c r="CJ770" s="397">
        <f>+CJ780-CJ781-CJ785-CJ782-CJ771</f>
        <v>-5246</v>
      </c>
      <c r="CK770" s="397">
        <f>+CK780-CK781-CK785-CK782-CK771</f>
        <v>-5275</v>
      </c>
      <c r="CL770" s="397">
        <f>+CL780-CL781-CL785-CL782-CL771</f>
        <v>-10521</v>
      </c>
      <c r="CM770" s="393"/>
      <c r="CN770" s="397">
        <f>+CN780-CN781-CN785-CN782-CN771</f>
        <v>-5349</v>
      </c>
      <c r="CO770" s="397">
        <f>+CO780-CO781-CO785-CO782-CO771</f>
        <v>-5426</v>
      </c>
      <c r="CP770" s="397">
        <f>+CP780-CP781-CP785-CP782-CP771</f>
        <v>-10775</v>
      </c>
      <c r="CQ770" s="393"/>
      <c r="CR770" s="397">
        <f>+CR780-CR781-CR785-CR782-CR771</f>
        <v>-5397</v>
      </c>
      <c r="CS770" s="397">
        <f>+CS780-CS781-CS785-CS782-CS771</f>
        <v>-5780</v>
      </c>
      <c r="CT770" s="397">
        <f>+CT780-CT781-CT785-CT782-CT771</f>
        <v>-11177</v>
      </c>
      <c r="CU770" s="393"/>
      <c r="CV770" s="397">
        <f>+CV780-CV781-CV785-CV782-CV771</f>
        <v>-5636</v>
      </c>
      <c r="CW770" s="397">
        <f>+CW780-CW781-CW785-CW782-CW771</f>
        <v>-6085</v>
      </c>
      <c r="CX770" s="397">
        <f>+CX780-CX781-CX785-CX782-CX771</f>
        <v>-11858</v>
      </c>
      <c r="CY770" s="393"/>
      <c r="CZ770" s="397">
        <f>+CZ780-CZ781-CZ785-CZ782-CZ771</f>
        <v>-6011</v>
      </c>
      <c r="DA770" s="397">
        <f>+DA780-DA781-DA785-DA782-DA771</f>
        <v>-6207</v>
      </c>
      <c r="DB770" s="397">
        <f>+DB780-DB781-DB785-DB782-DB771</f>
        <v>-12218</v>
      </c>
      <c r="DC770" s="393"/>
      <c r="DD770" s="397">
        <f>+DD780-DD781-DD785-DD782-DD771</f>
        <v>-6372</v>
      </c>
      <c r="DE770" s="397">
        <f>+DE780-DE781-DE785-DE782-DE771</f>
        <v>-6539</v>
      </c>
      <c r="DF770" s="397">
        <f>+DF780-DF781-DF785-DF782-DF771</f>
        <v>-12911</v>
      </c>
      <c r="DG770" s="393"/>
      <c r="DH770" s="397">
        <f>+DH780-DH781-DH785-DH782-DH771</f>
        <v>-6720</v>
      </c>
      <c r="DI770" s="397">
        <f>+DI780-DI781-DI785-DI782-DI771</f>
        <v>-6790.2006014272984</v>
      </c>
      <c r="DJ770" s="397">
        <f>+DJ780-DJ781-DJ785-DJ782-DJ771</f>
        <v>-13510.200601427299</v>
      </c>
      <c r="DK770" s="393"/>
      <c r="DL770" s="397">
        <f>+DL780-DL781-DL785-DL782-DL771</f>
        <v>-7001.0985366253462</v>
      </c>
      <c r="DM770" s="397">
        <f>+DM780-DM781-DM785-DM782-DM771</f>
        <v>-7072.4476853043052</v>
      </c>
      <c r="DN770" s="397">
        <f>+DN780-DN781-DN785-DN782-DN771</f>
        <v>-14073.546221929651</v>
      </c>
      <c r="DO770" s="393"/>
      <c r="DP770" s="397">
        <f>+DP780-DP781-DP785-DP782-DP771</f>
        <v>-7290.0077743019428</v>
      </c>
      <c r="DQ770" s="397">
        <f>+DQ780-DQ781-DQ785-DQ782-DQ771</f>
        <v>-7382.2091061050687</v>
      </c>
      <c r="DR770" s="397">
        <f>+DR780-DR781-DR785-DR782-DR771</f>
        <v>-14672.21688040701</v>
      </c>
      <c r="DS770" s="393"/>
      <c r="DU770" s="1"/>
      <c r="DV770" s="1"/>
      <c r="DW770" s="1"/>
      <c r="DX770" s="1"/>
      <c r="DY770" s="1"/>
      <c r="DZ770" s="1"/>
      <c r="EA770" s="1"/>
      <c r="EB770" s="1"/>
      <c r="EC770" s="1"/>
      <c r="ED770" s="1"/>
      <c r="EE770" s="1"/>
      <c r="EF770" s="1"/>
      <c r="EG770" s="1"/>
      <c r="EH770" s="1"/>
      <c r="EI770" s="1"/>
      <c r="EJ770" s="1"/>
      <c r="EK770" s="1"/>
      <c r="EL770" s="1"/>
      <c r="EM770" s="1"/>
      <c r="EN770" s="1"/>
      <c r="EO770" s="1"/>
      <c r="EP770" s="1"/>
      <c r="EQ770" s="1"/>
      <c r="ER770" s="1"/>
      <c r="ES770" s="1"/>
      <c r="ET770" s="1"/>
      <c r="EU770" s="1"/>
      <c r="EV770" s="1"/>
      <c r="EW770" s="1"/>
      <c r="EX770" s="1"/>
      <c r="EY770" s="1"/>
      <c r="EZ770" s="1"/>
      <c r="FA770" s="1"/>
      <c r="FB770" s="1"/>
      <c r="FC770" s="1"/>
      <c r="FD770" s="1"/>
      <c r="FE770" s="1"/>
      <c r="FF770" s="1"/>
      <c r="FG770" s="1"/>
      <c r="FH770" s="1"/>
      <c r="FI770" s="1"/>
      <c r="FJ770" s="1"/>
      <c r="FK770" s="1"/>
      <c r="FL770" s="1"/>
      <c r="FM770" s="1"/>
      <c r="FN770" s="1"/>
      <c r="FO770" s="1"/>
      <c r="FP770" s="1"/>
      <c r="FQ770" s="1"/>
      <c r="FR770" s="1"/>
      <c r="FS770" s="1"/>
      <c r="FT770" s="1"/>
      <c r="FU770" s="1"/>
      <c r="FV770" s="1"/>
      <c r="FW770" s="1"/>
      <c r="FX770" s="1"/>
      <c r="FY770" s="1"/>
      <c r="FZ770" s="1"/>
      <c r="GA770" s="1"/>
      <c r="GB770" s="1"/>
      <c r="GC770" s="1"/>
      <c r="GD770" s="1"/>
      <c r="GE770" s="1"/>
      <c r="GF770" s="1"/>
      <c r="GG770" s="1"/>
      <c r="GH770" s="1"/>
      <c r="GI770" s="1"/>
      <c r="GJ770" s="1"/>
      <c r="GK770" s="1"/>
      <c r="GL770" s="1"/>
      <c r="GM770" s="1"/>
      <c r="GN770" s="1"/>
      <c r="GO770" s="1"/>
      <c r="GP770" s="1"/>
      <c r="GQ770" s="1"/>
      <c r="GR770" s="1"/>
      <c r="GS770" s="1"/>
      <c r="GT770" s="1"/>
      <c r="GU770" s="1"/>
      <c r="GV770" s="1"/>
      <c r="GW770" s="1"/>
      <c r="GX770" s="1"/>
      <c r="GY770" s="1"/>
      <c r="GZ770" s="1"/>
      <c r="HA770" s="1"/>
      <c r="HB770" s="1"/>
      <c r="HC770" s="1"/>
      <c r="HD770" s="1"/>
      <c r="HE770" s="1"/>
      <c r="HF770" s="1"/>
      <c r="HG770" s="1"/>
      <c r="HH770" s="1"/>
      <c r="HI770" s="1"/>
      <c r="HJ770" s="1"/>
      <c r="HK770" s="1"/>
      <c r="HL770" s="1"/>
      <c r="HM770" s="1"/>
      <c r="HN770" s="1"/>
      <c r="HO770" s="1"/>
      <c r="HP770" s="1"/>
      <c r="HQ770" s="1"/>
      <c r="HR770" s="1"/>
      <c r="HS770" s="1"/>
      <c r="HT770" s="1"/>
      <c r="HU770" s="1"/>
      <c r="HV770" s="1"/>
      <c r="HW770" s="1"/>
      <c r="HX770" s="1"/>
      <c r="HY770" s="1"/>
      <c r="HZ770" s="1"/>
      <c r="IA770" s="1"/>
      <c r="IB770" s="1"/>
      <c r="IC770" s="1"/>
      <c r="ID770" s="1"/>
      <c r="IE770" s="1"/>
      <c r="IF770" s="1"/>
      <c r="IG770" s="1"/>
      <c r="IH770" s="1"/>
      <c r="II770" s="1"/>
      <c r="IJ770" s="1"/>
      <c r="IK770" s="1"/>
      <c r="IL770" s="1"/>
      <c r="IM770" s="1"/>
      <c r="IN770" s="1"/>
      <c r="IO770" s="1"/>
      <c r="IP770" s="1"/>
      <c r="IQ770" s="1"/>
      <c r="IR770" s="1"/>
      <c r="IS770" s="1"/>
      <c r="IT770" s="1"/>
      <c r="IU770" s="1"/>
      <c r="IV770" s="1"/>
      <c r="IW770" s="1"/>
      <c r="IX770" s="1"/>
      <c r="IY770" s="1"/>
      <c r="IZ770" s="1"/>
      <c r="JA770" s="1"/>
      <c r="JB770" s="1"/>
      <c r="JC770" s="1"/>
      <c r="JD770" s="1"/>
    </row>
    <row r="771" spans="1:264" s="347" customFormat="1" x14ac:dyDescent="0.2">
      <c r="A771" s="409" t="s">
        <v>560</v>
      </c>
      <c r="B771" s="348"/>
      <c r="BD771" s="351"/>
      <c r="BE771" s="351"/>
      <c r="BF771" s="351"/>
      <c r="BH771" s="351">
        <f>BH809</f>
        <v>0</v>
      </c>
      <c r="BI771" s="351">
        <f>BI809</f>
        <v>0</v>
      </c>
      <c r="BJ771" s="351">
        <f>BJ809</f>
        <v>0</v>
      </c>
      <c r="BK771" s="348"/>
      <c r="BL771" s="351">
        <f>BL809</f>
        <v>-68</v>
      </c>
      <c r="BM771" s="351">
        <f>BM809</f>
        <v>-2</v>
      </c>
      <c r="BN771" s="351">
        <f>BN809</f>
        <v>-70</v>
      </c>
      <c r="BO771" s="393"/>
      <c r="BP771" s="351">
        <f>BP809</f>
        <v>-10</v>
      </c>
      <c r="BQ771" s="351">
        <f>BQ809</f>
        <v>-1</v>
      </c>
      <c r="BR771" s="351">
        <f>BR809</f>
        <v>-11</v>
      </c>
      <c r="BS771" s="393"/>
      <c r="BT771" s="351">
        <f>BT809</f>
        <v>-1</v>
      </c>
      <c r="BU771" s="351">
        <f>BU809</f>
        <v>0</v>
      </c>
      <c r="BV771" s="351">
        <f>BV809</f>
        <v>-1</v>
      </c>
      <c r="BW771" s="393"/>
      <c r="BX771" s="351">
        <f>BX809</f>
        <v>0</v>
      </c>
      <c r="BY771" s="351">
        <f>BY809</f>
        <v>-6</v>
      </c>
      <c r="BZ771" s="351">
        <f>BZ809</f>
        <v>-6</v>
      </c>
      <c r="CA771" s="393"/>
      <c r="CB771" s="351">
        <f>CB809</f>
        <v>-10</v>
      </c>
      <c r="CC771" s="351">
        <f>CC809</f>
        <v>-61</v>
      </c>
      <c r="CD771" s="351">
        <f>CD809</f>
        <v>-71</v>
      </c>
      <c r="CE771" s="393"/>
      <c r="CF771" s="351">
        <f>CF809</f>
        <v>0</v>
      </c>
      <c r="CG771" s="351">
        <f>CG809</f>
        <v>-13</v>
      </c>
      <c r="CH771" s="351">
        <f>CH809</f>
        <v>-13</v>
      </c>
      <c r="CI771" s="393"/>
      <c r="CJ771" s="351">
        <f>CJ809</f>
        <v>-11</v>
      </c>
      <c r="CK771" s="351">
        <f>CK809</f>
        <v>-3</v>
      </c>
      <c r="CL771" s="351">
        <f>CL809</f>
        <v>-14</v>
      </c>
      <c r="CM771" s="393"/>
      <c r="CN771" s="351">
        <f>CN809</f>
        <v>0</v>
      </c>
      <c r="CO771" s="351">
        <f>CO809</f>
        <v>-9</v>
      </c>
      <c r="CP771" s="351">
        <f>CP809</f>
        <v>-9</v>
      </c>
      <c r="CQ771" s="393"/>
      <c r="CR771" s="351">
        <f>CR809</f>
        <v>0</v>
      </c>
      <c r="CS771" s="351">
        <f>CS809</f>
        <v>0</v>
      </c>
      <c r="CT771" s="351">
        <f>CT809</f>
        <v>0</v>
      </c>
      <c r="CU771" s="393"/>
      <c r="CV771" s="351">
        <f>CV809</f>
        <v>0</v>
      </c>
      <c r="CW771" s="351">
        <f>CW809</f>
        <v>0</v>
      </c>
      <c r="CX771" s="351">
        <f>CX809</f>
        <v>0</v>
      </c>
      <c r="CY771" s="393"/>
      <c r="CZ771" s="351">
        <f>CZ809</f>
        <v>0</v>
      </c>
      <c r="DA771" s="351">
        <f>DA809</f>
        <v>0</v>
      </c>
      <c r="DB771" s="351">
        <f>DB809</f>
        <v>0</v>
      </c>
      <c r="DC771" s="393"/>
      <c r="DD771" s="351">
        <f>DD809</f>
        <v>0</v>
      </c>
      <c r="DE771" s="351">
        <f>DE809</f>
        <v>0</v>
      </c>
      <c r="DF771" s="351">
        <f>DF809</f>
        <v>0</v>
      </c>
      <c r="DG771" s="393"/>
      <c r="DH771" s="351">
        <f>DH809</f>
        <v>0</v>
      </c>
      <c r="DI771" s="351">
        <f>DI809</f>
        <v>0</v>
      </c>
      <c r="DJ771" s="351">
        <f>DJ809</f>
        <v>0</v>
      </c>
      <c r="DK771" s="393"/>
      <c r="DL771" s="351">
        <f>DL809</f>
        <v>0</v>
      </c>
      <c r="DM771" s="351">
        <f>DM809</f>
        <v>0</v>
      </c>
      <c r="DN771" s="351">
        <f>DN809</f>
        <v>0</v>
      </c>
      <c r="DO771" s="393"/>
      <c r="DP771" s="351">
        <f>DP809</f>
        <v>0</v>
      </c>
      <c r="DQ771" s="351">
        <f>DQ809</f>
        <v>0</v>
      </c>
      <c r="DR771" s="351">
        <f>DR809</f>
        <v>0</v>
      </c>
      <c r="DS771" s="393"/>
      <c r="DU771" s="1"/>
      <c r="DV771" s="1"/>
      <c r="DW771" s="1"/>
      <c r="DX771" s="1"/>
      <c r="DY771" s="1"/>
      <c r="DZ771" s="1"/>
      <c r="EA771" s="1"/>
      <c r="EB771" s="1"/>
      <c r="EC771" s="1"/>
      <c r="ED771" s="1"/>
      <c r="EE771" s="1"/>
      <c r="EF771" s="1"/>
      <c r="EG771" s="1"/>
      <c r="EH771" s="1"/>
      <c r="EI771" s="1"/>
      <c r="EJ771" s="1"/>
      <c r="EK771" s="1"/>
      <c r="EL771" s="1"/>
      <c r="EM771" s="1"/>
      <c r="EN771" s="1"/>
      <c r="EO771" s="1"/>
      <c r="EP771" s="1"/>
      <c r="EQ771" s="1"/>
      <c r="ER771" s="1"/>
      <c r="ES771" s="1"/>
      <c r="ET771" s="1"/>
      <c r="EU771" s="1"/>
      <c r="EV771" s="1"/>
      <c r="EW771" s="1"/>
      <c r="EX771" s="1"/>
      <c r="EY771" s="1"/>
      <c r="EZ771" s="1"/>
      <c r="FA771" s="1"/>
      <c r="FB771" s="1"/>
      <c r="FC771" s="1"/>
      <c r="FD771" s="1"/>
      <c r="FE771" s="1"/>
      <c r="FF771" s="1"/>
      <c r="FG771" s="1"/>
      <c r="FH771" s="1"/>
      <c r="FI771" s="1"/>
      <c r="FJ771" s="1"/>
      <c r="FK771" s="1"/>
      <c r="FL771" s="1"/>
      <c r="FM771" s="1"/>
      <c r="FN771" s="1"/>
      <c r="FO771" s="1"/>
      <c r="FP771" s="1"/>
      <c r="FQ771" s="1"/>
      <c r="FR771" s="1"/>
      <c r="FS771" s="1"/>
      <c r="FT771" s="1"/>
      <c r="FU771" s="1"/>
      <c r="FV771" s="1"/>
      <c r="FW771" s="1"/>
      <c r="FX771" s="1"/>
      <c r="FY771" s="1"/>
      <c r="FZ771" s="1"/>
      <c r="GA771" s="1"/>
      <c r="GB771" s="1"/>
      <c r="GC771" s="1"/>
      <c r="GD771" s="1"/>
      <c r="GE771" s="1"/>
      <c r="GF771" s="1"/>
      <c r="GG771" s="1"/>
      <c r="GH771" s="1"/>
      <c r="GI771" s="1"/>
      <c r="GJ771" s="1"/>
      <c r="GK771" s="1"/>
      <c r="GL771" s="1"/>
      <c r="GM771" s="1"/>
      <c r="GN771" s="1"/>
      <c r="GO771" s="1"/>
      <c r="GP771" s="1"/>
      <c r="GQ771" s="1"/>
      <c r="GR771" s="1"/>
      <c r="GS771" s="1"/>
      <c r="GT771" s="1"/>
      <c r="GU771" s="1"/>
      <c r="GV771" s="1"/>
      <c r="GW771" s="1"/>
      <c r="GX771" s="1"/>
      <c r="GY771" s="1"/>
      <c r="GZ771" s="1"/>
      <c r="HA771" s="1"/>
      <c r="HB771" s="1"/>
      <c r="HC771" s="1"/>
      <c r="HD771" s="1"/>
      <c r="HE771" s="1"/>
      <c r="HF771" s="1"/>
      <c r="HG771" s="1"/>
      <c r="HH771" s="1"/>
      <c r="HI771" s="1"/>
      <c r="HJ771" s="1"/>
      <c r="HK771" s="1"/>
      <c r="HL771" s="1"/>
      <c r="HM771" s="1"/>
      <c r="HN771" s="1"/>
      <c r="HO771" s="1"/>
      <c r="HP771" s="1"/>
      <c r="HQ771" s="1"/>
      <c r="HR771" s="1"/>
      <c r="HS771" s="1"/>
      <c r="HT771" s="1"/>
      <c r="HU771" s="1"/>
      <c r="HV771" s="1"/>
      <c r="HW771" s="1"/>
      <c r="HX771" s="1"/>
      <c r="HY771" s="1"/>
      <c r="HZ771" s="1"/>
      <c r="IA771" s="1"/>
      <c r="IB771" s="1"/>
      <c r="IC771" s="1"/>
      <c r="ID771" s="1"/>
      <c r="IE771" s="1"/>
      <c r="IF771" s="1"/>
      <c r="IG771" s="1"/>
      <c r="IH771" s="1"/>
      <c r="II771" s="1"/>
      <c r="IJ771" s="1"/>
      <c r="IK771" s="1"/>
      <c r="IL771" s="1"/>
      <c r="IM771" s="1"/>
      <c r="IN771" s="1"/>
      <c r="IO771" s="1"/>
      <c r="IP771" s="1"/>
      <c r="IQ771" s="1"/>
      <c r="IR771" s="1"/>
      <c r="IS771" s="1"/>
      <c r="IT771" s="1"/>
      <c r="IU771" s="1"/>
      <c r="IV771" s="1"/>
      <c r="IW771" s="1"/>
      <c r="IX771" s="1"/>
      <c r="IY771" s="1"/>
      <c r="IZ771" s="1"/>
      <c r="JA771" s="1"/>
      <c r="JB771" s="1"/>
      <c r="JC771" s="1"/>
      <c r="JD771" s="1"/>
    </row>
    <row r="772" spans="1:264" s="347" customFormat="1" x14ac:dyDescent="0.2">
      <c r="A772" s="426" t="s">
        <v>273</v>
      </c>
      <c r="B772" s="348"/>
      <c r="BH772" s="397"/>
      <c r="BI772" s="397"/>
      <c r="BJ772" s="397"/>
      <c r="BK772" s="348"/>
      <c r="BL772" s="397"/>
      <c r="BM772" s="397"/>
      <c r="BN772" s="397"/>
      <c r="BO772" s="393"/>
      <c r="BP772" s="397"/>
      <c r="BQ772" s="397"/>
      <c r="BR772" s="397"/>
      <c r="BS772" s="393"/>
      <c r="BT772" s="397"/>
      <c r="BU772" s="397"/>
      <c r="BV772" s="397"/>
      <c r="BW772" s="393"/>
      <c r="BX772" s="397"/>
      <c r="BY772" s="397"/>
      <c r="BZ772" s="397"/>
      <c r="CA772" s="393"/>
      <c r="CB772" s="393">
        <f>+CB770/BY770-1</f>
        <v>-3.520031116297162E-2</v>
      </c>
      <c r="CC772" s="393">
        <f>+CC770/CB770-1</f>
        <v>2.9631122757508566E-2</v>
      </c>
      <c r="CD772" s="393"/>
      <c r="CE772" s="393"/>
      <c r="CF772" s="393">
        <f>+CF770/CC770-1</f>
        <v>-2.6037588097102549E-2</v>
      </c>
      <c r="CG772" s="393">
        <f>+CG770/CF770-1</f>
        <v>3.4371859296482343E-2</v>
      </c>
      <c r="CH772" s="393"/>
      <c r="CI772" s="393"/>
      <c r="CJ772" s="393">
        <f>+CJ770/CG770-1</f>
        <v>1.9432568985619847E-2</v>
      </c>
      <c r="CK772" s="393">
        <f>+CK770/CJ770-1</f>
        <v>5.5280213495996211E-3</v>
      </c>
      <c r="CL772" s="393"/>
      <c r="CM772" s="393"/>
      <c r="CN772" s="393">
        <f>+CN770/CK770-1</f>
        <v>1.4028436018957313E-2</v>
      </c>
      <c r="CO772" s="393">
        <f>+CO770/CN770-1</f>
        <v>1.4395214058702477E-2</v>
      </c>
      <c r="CP772" s="393"/>
      <c r="CQ772" s="393"/>
      <c r="CR772" s="393">
        <f>+CR770/CO770-1</f>
        <v>-5.3446369332842414E-3</v>
      </c>
      <c r="CS772" s="393">
        <f>+CS770/CR770-1</f>
        <v>7.0965351120993114E-2</v>
      </c>
      <c r="CT772" s="393"/>
      <c r="CU772" s="393"/>
      <c r="CV772" s="393">
        <f>+CV770/CS770-1</f>
        <v>-2.491349480968863E-2</v>
      </c>
      <c r="CW772" s="393">
        <f>+CW770/CV770-1</f>
        <v>7.966643009226404E-2</v>
      </c>
      <c r="CX772" s="393"/>
      <c r="CY772" s="393"/>
      <c r="CZ772" s="393">
        <f>+CZ770/CW770-1</f>
        <v>-1.2161051766639286E-2</v>
      </c>
      <c r="DA772" s="393">
        <f>+DA770/CZ770-1</f>
        <v>3.2606887373149318E-2</v>
      </c>
      <c r="DB772" s="393"/>
      <c r="DC772" s="393"/>
      <c r="DD772" s="393">
        <f>+DD770/DA770-1</f>
        <v>2.658289028516192E-2</v>
      </c>
      <c r="DE772" s="393">
        <f>+DE770/DD770-1</f>
        <v>2.6208411801632137E-2</v>
      </c>
      <c r="DF772" s="393"/>
      <c r="DG772" s="393"/>
      <c r="DH772" s="393">
        <f>+DH770/DE770-1</f>
        <v>2.768007340571943E-2</v>
      </c>
      <c r="DI772" s="393">
        <f>+DI770/DH770-1</f>
        <v>1.0446518069538335E-2</v>
      </c>
      <c r="DJ772" s="393"/>
      <c r="DK772" s="393"/>
      <c r="DL772" s="393">
        <f>+DL770/DI770-1</f>
        <v>3.1059161220320597E-2</v>
      </c>
      <c r="DM772" s="393">
        <f>+DM770/DL770-1</f>
        <v>1.0191136191799677E-2</v>
      </c>
      <c r="DN772" s="393"/>
      <c r="DO772" s="393"/>
      <c r="DP772" s="393">
        <f>+DP770/DM770-1</f>
        <v>3.0761639912826988E-2</v>
      </c>
      <c r="DQ772" s="393">
        <f>+DQ770/DP770-1</f>
        <v>1.2647631478274413E-2</v>
      </c>
      <c r="DR772" s="393"/>
      <c r="DS772" s="393"/>
      <c r="DU772" s="1"/>
      <c r="DV772" s="1"/>
      <c r="DW772" s="1"/>
      <c r="DX772" s="1"/>
      <c r="DY772" s="1"/>
      <c r="DZ772" s="1"/>
      <c r="EA772" s="1"/>
      <c r="EB772" s="1"/>
      <c r="EC772" s="1"/>
      <c r="ED772" s="1"/>
      <c r="EE772" s="1"/>
      <c r="EF772" s="1"/>
      <c r="EG772" s="1"/>
      <c r="EH772" s="1"/>
      <c r="EI772" s="1"/>
      <c r="EJ772" s="1"/>
      <c r="EK772" s="1"/>
      <c r="EL772" s="1"/>
      <c r="EM772" s="1"/>
      <c r="EN772" s="1"/>
      <c r="EO772" s="1"/>
      <c r="EP772" s="1"/>
      <c r="EQ772" s="1"/>
      <c r="ER772" s="1"/>
      <c r="ES772" s="1"/>
      <c r="ET772" s="1"/>
      <c r="EU772" s="1"/>
      <c r="EV772" s="1"/>
      <c r="EW772" s="1"/>
      <c r="EX772" s="1"/>
      <c r="EY772" s="1"/>
      <c r="EZ772" s="1"/>
      <c r="FA772" s="1"/>
      <c r="FB772" s="1"/>
      <c r="FC772" s="1"/>
      <c r="FD772" s="1"/>
      <c r="FE772" s="1"/>
      <c r="FF772" s="1"/>
      <c r="FG772" s="1"/>
      <c r="FH772" s="1"/>
      <c r="FI772" s="1"/>
      <c r="FJ772" s="1"/>
      <c r="FK772" s="1"/>
      <c r="FL772" s="1"/>
      <c r="FM772" s="1"/>
      <c r="FN772" s="1"/>
      <c r="FO772" s="1"/>
      <c r="FP772" s="1"/>
      <c r="FQ772" s="1"/>
      <c r="FR772" s="1"/>
      <c r="FS772" s="1"/>
      <c r="FT772" s="1"/>
      <c r="FU772" s="1"/>
      <c r="FV772" s="1"/>
      <c r="FW772" s="1"/>
      <c r="FX772" s="1"/>
      <c r="FY772" s="1"/>
      <c r="FZ772" s="1"/>
      <c r="GA772" s="1"/>
      <c r="GB772" s="1"/>
      <c r="GC772" s="1"/>
      <c r="GD772" s="1"/>
      <c r="GE772" s="1"/>
      <c r="GF772" s="1"/>
      <c r="GG772" s="1"/>
      <c r="GH772" s="1"/>
      <c r="GI772" s="1"/>
      <c r="GJ772" s="1"/>
      <c r="GK772" s="1"/>
      <c r="GL772" s="1"/>
      <c r="GM772" s="1"/>
      <c r="GN772" s="1"/>
      <c r="GO772" s="1"/>
      <c r="GP772" s="1"/>
      <c r="GQ772" s="1"/>
      <c r="GR772" s="1"/>
      <c r="GS772" s="1"/>
      <c r="GT772" s="1"/>
      <c r="GU772" s="1"/>
      <c r="GV772" s="1"/>
      <c r="GW772" s="1"/>
      <c r="GX772" s="1"/>
      <c r="GY772" s="1"/>
      <c r="GZ772" s="1"/>
      <c r="HA772" s="1"/>
      <c r="HB772" s="1"/>
      <c r="HC772" s="1"/>
      <c r="HD772" s="1"/>
      <c r="HE772" s="1"/>
      <c r="HF772" s="1"/>
      <c r="HG772" s="1"/>
      <c r="HH772" s="1"/>
      <c r="HI772" s="1"/>
      <c r="HJ772" s="1"/>
      <c r="HK772" s="1"/>
      <c r="HL772" s="1"/>
      <c r="HM772" s="1"/>
      <c r="HN772" s="1"/>
      <c r="HO772" s="1"/>
      <c r="HP772" s="1"/>
      <c r="HQ772" s="1"/>
      <c r="HR772" s="1"/>
      <c r="HS772" s="1"/>
      <c r="HT772" s="1"/>
      <c r="HU772" s="1"/>
      <c r="HV772" s="1"/>
      <c r="HW772" s="1"/>
      <c r="HX772" s="1"/>
      <c r="HY772" s="1"/>
      <c r="HZ772" s="1"/>
      <c r="IA772" s="1"/>
      <c r="IB772" s="1"/>
      <c r="IC772" s="1"/>
      <c r="ID772" s="1"/>
      <c r="IE772" s="1"/>
      <c r="IF772" s="1"/>
      <c r="IG772" s="1"/>
      <c r="IH772" s="1"/>
      <c r="II772" s="1"/>
      <c r="IJ772" s="1"/>
      <c r="IK772" s="1"/>
      <c r="IL772" s="1"/>
      <c r="IM772" s="1"/>
      <c r="IN772" s="1"/>
      <c r="IO772" s="1"/>
      <c r="IP772" s="1"/>
      <c r="IQ772" s="1"/>
      <c r="IR772" s="1"/>
      <c r="IS772" s="1"/>
      <c r="IT772" s="1"/>
      <c r="IU772" s="1"/>
      <c r="IV772" s="1"/>
      <c r="IW772" s="1"/>
      <c r="IX772" s="1"/>
      <c r="IY772" s="1"/>
      <c r="IZ772" s="1"/>
      <c r="JA772" s="1"/>
      <c r="JB772" s="1"/>
      <c r="JC772" s="1"/>
      <c r="JD772" s="1"/>
    </row>
    <row r="773" spans="1:264" s="347" customFormat="1" x14ac:dyDescent="0.2">
      <c r="A773" s="426" t="s">
        <v>28</v>
      </c>
      <c r="B773" s="348"/>
      <c r="BH773" s="397"/>
      <c r="BI773" s="397"/>
      <c r="BJ773" s="397"/>
      <c r="BK773" s="348"/>
      <c r="BL773" s="397"/>
      <c r="BM773" s="397"/>
      <c r="BN773" s="397"/>
      <c r="BO773" s="393"/>
      <c r="BP773" s="397"/>
      <c r="BQ773" s="397"/>
      <c r="BR773" s="397"/>
      <c r="BS773" s="393"/>
      <c r="BT773" s="397"/>
      <c r="BU773" s="397"/>
      <c r="BV773" s="397"/>
      <c r="BW773" s="393"/>
      <c r="BX773" s="397"/>
      <c r="BY773" s="397"/>
      <c r="BZ773" s="397"/>
      <c r="CA773" s="393"/>
      <c r="CB773" s="393">
        <f>+CB770/BX770-1</f>
        <v>-9.3715747168432562E-2</v>
      </c>
      <c r="CC773" s="393">
        <f>+CC770/BY770-1</f>
        <v>-6.612213146635515E-3</v>
      </c>
      <c r="CD773" s="653">
        <f>+CD770/BZ770-1</f>
        <v>-5.1525998492841008E-2</v>
      </c>
      <c r="CE773" s="393"/>
      <c r="CF773" s="393">
        <f>+CF770/CB770-1</f>
        <v>2.8220116911912285E-3</v>
      </c>
      <c r="CG773" s="393">
        <f>+CG770/CC770-1</f>
        <v>7.4393108848864742E-3</v>
      </c>
      <c r="CH773" s="653">
        <f>+CH770/CD770-1</f>
        <v>5.1643658754594313E-3</v>
      </c>
      <c r="CI773" s="393"/>
      <c r="CJ773" s="393">
        <f>+CJ770/CF770-1</f>
        <v>5.4472361809045244E-2</v>
      </c>
      <c r="CK773" s="393">
        <f>+CK770/CG770-1</f>
        <v>2.5068013991449645E-2</v>
      </c>
      <c r="CL773" s="653">
        <f>+CL770/CH770-1</f>
        <v>3.9521786384744573E-2</v>
      </c>
      <c r="CM773" s="393"/>
      <c r="CN773" s="393">
        <f>+CN770/CJ770-1</f>
        <v>1.9634006862371267E-2</v>
      </c>
      <c r="CO773" s="393">
        <f>+CO770/CK770-1</f>
        <v>2.8625592417061529E-2</v>
      </c>
      <c r="CP773" s="653">
        <f>+CP770/CL770-1</f>
        <v>2.4142191806862501E-2</v>
      </c>
      <c r="CQ773" s="393"/>
      <c r="CR773" s="393">
        <f>+CR770/CN770-1</f>
        <v>8.9736399326976191E-3</v>
      </c>
      <c r="CS773" s="393">
        <f>+CS770/CO770-1</f>
        <v>6.5241430151124158E-2</v>
      </c>
      <c r="CT773" s="653">
        <f>+CT770/CP770-1</f>
        <v>3.7308584686774893E-2</v>
      </c>
      <c r="CU773" s="393"/>
      <c r="CV773" s="393">
        <f>+CV770/CR770-1</f>
        <v>4.4283861404484037E-2</v>
      </c>
      <c r="CW773" s="393">
        <f>+CW770/CS770-1</f>
        <v>5.2768166089965485E-2</v>
      </c>
      <c r="CX773" s="653">
        <f>+CX770/CT770-1</f>
        <v>6.0928692851391242E-2</v>
      </c>
      <c r="CY773" s="393"/>
      <c r="CZ773" s="393">
        <f>+CZ770/CV770-1</f>
        <v>6.6536550745209366E-2</v>
      </c>
      <c r="DA773" s="393">
        <f>+DA770/CW770-1</f>
        <v>2.0049301561216204E-2</v>
      </c>
      <c r="DB773" s="653">
        <f>+DB770/CX770-1</f>
        <v>3.0359251138471821E-2</v>
      </c>
      <c r="DC773" s="393"/>
      <c r="DD773" s="393">
        <f>+DD770/CZ770-1</f>
        <v>6.0056562967892191E-2</v>
      </c>
      <c r="DE773" s="393">
        <f>+DE770/DA770-1</f>
        <v>5.3487997422265288E-2</v>
      </c>
      <c r="DF773" s="653">
        <f>+DF770/DB770-1</f>
        <v>5.6719594041577892E-2</v>
      </c>
      <c r="DG773" s="393"/>
      <c r="DH773" s="393">
        <f>+DH770/DD770-1</f>
        <v>5.4613935969868077E-2</v>
      </c>
      <c r="DI773" s="393">
        <f>+DI770/DE770-1</f>
        <v>3.8415751862256986E-2</v>
      </c>
      <c r="DJ773" s="653">
        <f>+DJ770/DF770-1</f>
        <v>4.6410084534683538E-2</v>
      </c>
      <c r="DK773" s="393"/>
      <c r="DL773" s="393">
        <f>+DL770/DH770-1</f>
        <v>4.1830139378771669E-2</v>
      </c>
      <c r="DM773" s="393">
        <f>+DM770/DI770-1</f>
        <v>4.1566825554119724E-2</v>
      </c>
      <c r="DN773" s="653">
        <f>+DN770/DJ770-1</f>
        <v>4.1697798361545857E-2</v>
      </c>
      <c r="DO773" s="393"/>
      <c r="DP773" s="393">
        <f>+DP770/DL770-1</f>
        <v>4.1266272166461393E-2</v>
      </c>
      <c r="DQ773" s="393">
        <f>+DQ770/DM770-1</f>
        <v>4.3798333276386048E-2</v>
      </c>
      <c r="DR773" s="653">
        <f>+DR770/DN770-1</f>
        <v>4.2538721160733317E-2</v>
      </c>
      <c r="DS773" s="393"/>
      <c r="DU773" s="1"/>
      <c r="DV773" s="1"/>
      <c r="DW773" s="1"/>
      <c r="DX773" s="1"/>
      <c r="DY773" s="1"/>
      <c r="DZ773" s="1"/>
      <c r="EA773" s="1"/>
      <c r="EB773" s="1"/>
      <c r="EC773" s="1"/>
      <c r="ED773" s="1"/>
      <c r="EE773" s="1"/>
      <c r="EF773" s="1"/>
      <c r="EG773" s="1"/>
      <c r="EH773" s="1"/>
      <c r="EI773" s="1"/>
      <c r="EJ773" s="1"/>
      <c r="EK773" s="1"/>
      <c r="EL773" s="1"/>
      <c r="EM773" s="1"/>
      <c r="EN773" s="1"/>
      <c r="EO773" s="1"/>
      <c r="EP773" s="1"/>
      <c r="EQ773" s="1"/>
      <c r="ER773" s="1"/>
      <c r="ES773" s="1"/>
      <c r="ET773" s="1"/>
      <c r="EU773" s="1"/>
      <c r="EV773" s="1"/>
      <c r="EW773" s="1"/>
      <c r="EX773" s="1"/>
      <c r="EY773" s="1"/>
      <c r="EZ773" s="1"/>
      <c r="FA773" s="1"/>
      <c r="FB773" s="1"/>
      <c r="FC773" s="1"/>
      <c r="FD773" s="1"/>
      <c r="FE773" s="1"/>
      <c r="FF773" s="1"/>
      <c r="FG773" s="1"/>
      <c r="FH773" s="1"/>
      <c r="FI773" s="1"/>
      <c r="FJ773" s="1"/>
      <c r="FK773" s="1"/>
      <c r="FL773" s="1"/>
      <c r="FM773" s="1"/>
      <c r="FN773" s="1"/>
      <c r="FO773" s="1"/>
      <c r="FP773" s="1"/>
      <c r="FQ773" s="1"/>
      <c r="FR773" s="1"/>
      <c r="FS773" s="1"/>
      <c r="FT773" s="1"/>
      <c r="FU773" s="1"/>
      <c r="FV773" s="1"/>
      <c r="FW773" s="1"/>
      <c r="FX773" s="1"/>
      <c r="FY773" s="1"/>
      <c r="FZ773" s="1"/>
      <c r="GA773" s="1"/>
      <c r="GB773" s="1"/>
      <c r="GC773" s="1"/>
      <c r="GD773" s="1"/>
      <c r="GE773" s="1"/>
      <c r="GF773" s="1"/>
      <c r="GG773" s="1"/>
      <c r="GH773" s="1"/>
      <c r="GI773" s="1"/>
      <c r="GJ773" s="1"/>
      <c r="GK773" s="1"/>
      <c r="GL773" s="1"/>
      <c r="GM773" s="1"/>
      <c r="GN773" s="1"/>
      <c r="GO773" s="1"/>
      <c r="GP773" s="1"/>
      <c r="GQ773" s="1"/>
      <c r="GR773" s="1"/>
      <c r="GS773" s="1"/>
      <c r="GT773" s="1"/>
      <c r="GU773" s="1"/>
      <c r="GV773" s="1"/>
      <c r="GW773" s="1"/>
      <c r="GX773" s="1"/>
      <c r="GY773" s="1"/>
      <c r="GZ773" s="1"/>
      <c r="HA773" s="1"/>
      <c r="HB773" s="1"/>
      <c r="HC773" s="1"/>
      <c r="HD773" s="1"/>
      <c r="HE773" s="1"/>
      <c r="HF773" s="1"/>
      <c r="HG773" s="1"/>
      <c r="HH773" s="1"/>
      <c r="HI773" s="1"/>
      <c r="HJ773" s="1"/>
      <c r="HK773" s="1"/>
      <c r="HL773" s="1"/>
      <c r="HM773" s="1"/>
      <c r="HN773" s="1"/>
      <c r="HO773" s="1"/>
      <c r="HP773" s="1"/>
      <c r="HQ773" s="1"/>
      <c r="HR773" s="1"/>
      <c r="HS773" s="1"/>
      <c r="HT773" s="1"/>
      <c r="HU773" s="1"/>
      <c r="HV773" s="1"/>
      <c r="HW773" s="1"/>
      <c r="HX773" s="1"/>
      <c r="HY773" s="1"/>
      <c r="HZ773" s="1"/>
      <c r="IA773" s="1"/>
      <c r="IB773" s="1"/>
      <c r="IC773" s="1"/>
      <c r="ID773" s="1"/>
      <c r="IE773" s="1"/>
      <c r="IF773" s="1"/>
      <c r="IG773" s="1"/>
      <c r="IH773" s="1"/>
      <c r="II773" s="1"/>
      <c r="IJ773" s="1"/>
      <c r="IK773" s="1"/>
      <c r="IL773" s="1"/>
      <c r="IM773" s="1"/>
      <c r="IN773" s="1"/>
      <c r="IO773" s="1"/>
      <c r="IP773" s="1"/>
      <c r="IQ773" s="1"/>
      <c r="IR773" s="1"/>
      <c r="IS773" s="1"/>
      <c r="IT773" s="1"/>
      <c r="IU773" s="1"/>
      <c r="IV773" s="1"/>
      <c r="IW773" s="1"/>
      <c r="IX773" s="1"/>
      <c r="IY773" s="1"/>
      <c r="IZ773" s="1"/>
      <c r="JA773" s="1"/>
      <c r="JB773" s="1"/>
      <c r="JC773" s="1"/>
      <c r="JD773" s="1"/>
    </row>
    <row r="774" spans="1:264" s="411" customFormat="1" x14ac:dyDescent="0.2">
      <c r="A774" s="407" t="s">
        <v>247</v>
      </c>
      <c r="B774" s="423"/>
      <c r="BD774" s="397"/>
      <c r="BE774" s="397"/>
      <c r="BF774" s="397"/>
      <c r="BH774" s="397"/>
      <c r="BI774" s="397"/>
      <c r="BJ774" s="397"/>
      <c r="BK774" s="423"/>
      <c r="BL774" s="397"/>
      <c r="BM774" s="397"/>
      <c r="BN774" s="397"/>
      <c r="BO774" s="428"/>
      <c r="BP774" s="397"/>
      <c r="BQ774" s="397"/>
      <c r="BR774" s="397"/>
      <c r="BS774" s="428"/>
      <c r="BT774" s="397"/>
      <c r="BU774" s="397"/>
      <c r="BV774" s="397"/>
      <c r="BW774" s="428"/>
      <c r="BX774" s="397">
        <f>BX780-BX785</f>
        <v>-5474</v>
      </c>
      <c r="BY774" s="397">
        <f>BY780-BY785</f>
        <v>-5148</v>
      </c>
      <c r="BZ774" s="397">
        <f>BZ780-BZ785</f>
        <v>-10622</v>
      </c>
      <c r="CA774" s="428"/>
      <c r="CB774" s="397">
        <f>CB780-CB785</f>
        <v>-5346</v>
      </c>
      <c r="CC774" s="397">
        <f>CC780-CC785</f>
        <v>-5494</v>
      </c>
      <c r="CD774" s="397">
        <f>CD780-CD785</f>
        <v>-10840</v>
      </c>
      <c r="CE774" s="428"/>
      <c r="CF774" s="397">
        <f>CF780-CF785</f>
        <v>-4830</v>
      </c>
      <c r="CG774" s="397">
        <f>CG780-CG785</f>
        <v>-5159</v>
      </c>
      <c r="CH774" s="397">
        <f>CH780-CH785</f>
        <v>-9989</v>
      </c>
      <c r="CI774" s="428"/>
      <c r="CJ774" s="397">
        <f>CJ780-CJ785</f>
        <v>-5257</v>
      </c>
      <c r="CK774" s="397">
        <f>CK780-CK785</f>
        <v>-5278</v>
      </c>
      <c r="CL774" s="397">
        <f>CL780-CL785</f>
        <v>-10535</v>
      </c>
      <c r="CM774" s="428"/>
      <c r="CN774" s="397">
        <f>CN780-CN785</f>
        <v>-5349</v>
      </c>
      <c r="CO774" s="397">
        <f>CO780-CO785</f>
        <v>-5435</v>
      </c>
      <c r="CP774" s="397">
        <f>CP780-CP785</f>
        <v>-10784</v>
      </c>
      <c r="CQ774" s="428"/>
      <c r="CR774" s="397">
        <f>CR780-CR785</f>
        <v>-5397</v>
      </c>
      <c r="CS774" s="397">
        <f>CS780-CS785</f>
        <v>-5780</v>
      </c>
      <c r="CT774" s="397">
        <f>CT780-CT785</f>
        <v>-11177</v>
      </c>
      <c r="CU774" s="428"/>
      <c r="CV774" s="397">
        <f>CV780-CV785</f>
        <v>-5636</v>
      </c>
      <c r="CW774" s="397">
        <f>CW780-CW785</f>
        <v>-6085</v>
      </c>
      <c r="CX774" s="397">
        <f>CX780-CX785</f>
        <v>-11858</v>
      </c>
      <c r="CY774" s="428"/>
      <c r="CZ774" s="397">
        <f>CZ780-CZ785</f>
        <v>-6011</v>
      </c>
      <c r="DA774" s="397">
        <f>DA780-DA785</f>
        <v>-6207</v>
      </c>
      <c r="DB774" s="397">
        <f>DB780-DB785</f>
        <v>-12218</v>
      </c>
      <c r="DC774" s="428"/>
      <c r="DD774" s="397">
        <f>DD780-DD785</f>
        <v>-6372</v>
      </c>
      <c r="DE774" s="397">
        <f>DE780-DE785</f>
        <v>-6539</v>
      </c>
      <c r="DF774" s="397">
        <f>DF780-DF785</f>
        <v>-12911</v>
      </c>
      <c r="DG774" s="428"/>
      <c r="DH774" s="397">
        <f>DH780-DH785</f>
        <v>-6720</v>
      </c>
      <c r="DI774" s="397">
        <f>DI780-DI785</f>
        <v>-6790.2006014272984</v>
      </c>
      <c r="DJ774" s="397">
        <f>DJ780-DJ785</f>
        <v>-13510.200601427299</v>
      </c>
      <c r="DK774" s="428"/>
      <c r="DL774" s="397">
        <f>DL780-DL785</f>
        <v>-7001.0985366253462</v>
      </c>
      <c r="DM774" s="397">
        <f>DM780-DM785</f>
        <v>-7072.4476853043052</v>
      </c>
      <c r="DN774" s="397">
        <f>DN780-DN785</f>
        <v>-14073.546221929651</v>
      </c>
      <c r="DO774" s="428"/>
      <c r="DP774" s="397">
        <f>DP780-DP785</f>
        <v>-7290.0077743019428</v>
      </c>
      <c r="DQ774" s="397">
        <f>DQ780-DQ785</f>
        <v>-7382.2091061050687</v>
      </c>
      <c r="DR774" s="397">
        <f>DR780-DR785</f>
        <v>-14672.21688040701</v>
      </c>
      <c r="DS774" s="428"/>
      <c r="DU774" s="451"/>
      <c r="DV774" s="451"/>
      <c r="DW774" s="451"/>
      <c r="DX774" s="451"/>
      <c r="DY774" s="451"/>
      <c r="DZ774" s="451"/>
      <c r="EA774" s="451"/>
      <c r="EB774" s="451"/>
      <c r="EC774" s="451"/>
      <c r="ED774" s="451"/>
      <c r="EE774" s="451"/>
      <c r="EF774" s="451"/>
      <c r="EG774" s="451"/>
      <c r="EH774" s="451"/>
      <c r="EI774" s="451"/>
      <c r="EJ774" s="451"/>
      <c r="EK774" s="451"/>
      <c r="EL774" s="451"/>
      <c r="EM774" s="451"/>
      <c r="EN774" s="451"/>
      <c r="EO774" s="451"/>
      <c r="EP774" s="451"/>
      <c r="EQ774" s="451"/>
      <c r="ER774" s="451"/>
      <c r="ES774" s="451"/>
      <c r="ET774" s="451"/>
      <c r="EU774" s="451"/>
      <c r="EV774" s="451"/>
      <c r="EW774" s="451"/>
      <c r="EX774" s="451"/>
      <c r="EY774" s="451"/>
      <c r="EZ774" s="451"/>
      <c r="FA774" s="451"/>
      <c r="FB774" s="451"/>
      <c r="FC774" s="451"/>
      <c r="FD774" s="451"/>
      <c r="FE774" s="451"/>
      <c r="FF774" s="451"/>
      <c r="FG774" s="451"/>
      <c r="FH774" s="451"/>
      <c r="FI774" s="451"/>
      <c r="FJ774" s="451"/>
      <c r="FK774" s="451"/>
      <c r="FL774" s="451"/>
      <c r="FM774" s="451"/>
      <c r="FN774" s="451"/>
      <c r="FO774" s="451"/>
      <c r="FP774" s="451"/>
      <c r="FQ774" s="451"/>
      <c r="FR774" s="451"/>
      <c r="FS774" s="451"/>
      <c r="FT774" s="451"/>
      <c r="FU774" s="451"/>
      <c r="FV774" s="451"/>
      <c r="FW774" s="451"/>
      <c r="FX774" s="451"/>
      <c r="FY774" s="451"/>
      <c r="FZ774" s="451"/>
      <c r="GA774" s="451"/>
      <c r="GB774" s="451"/>
      <c r="GC774" s="451"/>
      <c r="GD774" s="451"/>
      <c r="GE774" s="451"/>
      <c r="GF774" s="451"/>
      <c r="GG774" s="451"/>
      <c r="GH774" s="451"/>
      <c r="GI774" s="451"/>
      <c r="GJ774" s="451"/>
      <c r="GK774" s="451"/>
      <c r="GL774" s="451"/>
      <c r="GM774" s="451"/>
      <c r="GN774" s="451"/>
      <c r="GO774" s="451"/>
      <c r="GP774" s="451"/>
      <c r="GQ774" s="451"/>
      <c r="GR774" s="451"/>
      <c r="GS774" s="451"/>
      <c r="GT774" s="451"/>
      <c r="GU774" s="451"/>
      <c r="GV774" s="451"/>
      <c r="GW774" s="451"/>
      <c r="GX774" s="451"/>
      <c r="GY774" s="451"/>
      <c r="GZ774" s="451"/>
      <c r="HA774" s="451"/>
      <c r="HB774" s="451"/>
      <c r="HC774" s="451"/>
      <c r="HD774" s="451"/>
      <c r="HE774" s="451"/>
      <c r="HF774" s="451"/>
      <c r="HG774" s="451"/>
      <c r="HH774" s="451"/>
      <c r="HI774" s="451"/>
      <c r="HJ774" s="451"/>
      <c r="HK774" s="451"/>
      <c r="HL774" s="451"/>
      <c r="HM774" s="451"/>
      <c r="HN774" s="451"/>
      <c r="HO774" s="451"/>
      <c r="HP774" s="451"/>
      <c r="HQ774" s="451"/>
      <c r="HR774" s="451"/>
      <c r="HS774" s="451"/>
      <c r="HT774" s="451"/>
      <c r="HU774" s="451"/>
      <c r="HV774" s="451"/>
      <c r="HW774" s="451"/>
      <c r="HX774" s="451"/>
      <c r="HY774" s="451"/>
      <c r="HZ774" s="451"/>
      <c r="IA774" s="451"/>
      <c r="IB774" s="451"/>
      <c r="IC774" s="451"/>
      <c r="ID774" s="451"/>
      <c r="IE774" s="451"/>
      <c r="IF774" s="451"/>
      <c r="IG774" s="451"/>
      <c r="IH774" s="451"/>
      <c r="II774" s="451"/>
      <c r="IJ774" s="451"/>
      <c r="IK774" s="451"/>
      <c r="IL774" s="451"/>
      <c r="IM774" s="451"/>
      <c r="IN774" s="451"/>
      <c r="IO774" s="451"/>
      <c r="IP774" s="451"/>
      <c r="IQ774" s="451"/>
      <c r="IR774" s="451"/>
      <c r="IS774" s="451"/>
      <c r="IT774" s="451"/>
      <c r="IU774" s="451"/>
      <c r="IV774" s="451"/>
      <c r="IW774" s="451"/>
      <c r="IX774" s="451"/>
      <c r="IY774" s="451"/>
      <c r="IZ774" s="451"/>
      <c r="JA774" s="451"/>
      <c r="JB774" s="451"/>
      <c r="JC774" s="451"/>
      <c r="JD774" s="451"/>
    </row>
    <row r="776" spans="1:264" s="347" customFormat="1" x14ac:dyDescent="0.2">
      <c r="A776" s="409" t="s">
        <v>227</v>
      </c>
      <c r="B776" s="348"/>
      <c r="BD776" s="351"/>
      <c r="BE776" s="351"/>
      <c r="BF776" s="351"/>
      <c r="BH776" s="351">
        <f t="shared" ref="BH776:BI779" si="714">BH26</f>
        <v>-2606</v>
      </c>
      <c r="BI776" s="351">
        <f t="shared" si="714"/>
        <v>-2626</v>
      </c>
      <c r="BJ776" s="351">
        <f>+BH776+BI776</f>
        <v>-5232</v>
      </c>
      <c r="BK776" s="348"/>
      <c r="BL776" s="351">
        <f t="shared" ref="BL776:BM779" si="715">BL26</f>
        <v>-2785</v>
      </c>
      <c r="BM776" s="351">
        <f t="shared" si="715"/>
        <v>-2757</v>
      </c>
      <c r="BN776" s="351">
        <f>+BL776+BM776</f>
        <v>-5542</v>
      </c>
      <c r="BO776" s="348"/>
      <c r="BP776" s="351">
        <f t="shared" ref="BP776:BQ779" si="716">BP26</f>
        <v>-2906</v>
      </c>
      <c r="BQ776" s="351">
        <f t="shared" si="716"/>
        <v>-2910</v>
      </c>
      <c r="BR776" s="351">
        <f>+BP776+BQ776</f>
        <v>-5816</v>
      </c>
      <c r="BT776" s="351">
        <f t="shared" ref="BT776:BU779" si="717">BT26</f>
        <v>-3079</v>
      </c>
      <c r="BU776" s="351">
        <f t="shared" si="717"/>
        <v>-3090</v>
      </c>
      <c r="BV776" s="351">
        <f>+BT776+BU776</f>
        <v>-6169</v>
      </c>
      <c r="BX776" s="351">
        <f t="shared" ref="BX776:BY779" si="718">BX26</f>
        <v>-2996</v>
      </c>
      <c r="BY776" s="351">
        <f t="shared" si="718"/>
        <v>-2869</v>
      </c>
      <c r="BZ776" s="351">
        <f>+BX776+BY776</f>
        <v>-5865</v>
      </c>
      <c r="CB776" s="351">
        <f t="shared" ref="CB776:CC779" si="719">CB26</f>
        <v>-2739</v>
      </c>
      <c r="CC776" s="351">
        <f t="shared" si="719"/>
        <v>-2700</v>
      </c>
      <c r="CD776" s="351">
        <f>+CB776+CC776</f>
        <v>-5439</v>
      </c>
      <c r="CF776" s="351">
        <f t="shared" ref="CF776:CG779" si="720">CF26</f>
        <v>-2770</v>
      </c>
      <c r="CG776" s="351">
        <f t="shared" si="720"/>
        <v>-2935</v>
      </c>
      <c r="CH776" s="351">
        <f>+CF776+CG776</f>
        <v>-5705</v>
      </c>
      <c r="CI776" s="393">
        <f>+CH776/CD776-1</f>
        <v>4.8906048906048882E-2</v>
      </c>
      <c r="CJ776" s="351">
        <f t="shared" ref="CJ776:CK779" si="721">CJ26</f>
        <v>-2836</v>
      </c>
      <c r="CK776" s="351">
        <f t="shared" si="721"/>
        <v>-2895</v>
      </c>
      <c r="CL776" s="351">
        <f>+CJ776+CK776</f>
        <v>-5731</v>
      </c>
      <c r="CM776" s="393">
        <f>+CL776/CH776-1</f>
        <v>4.5574057843995597E-3</v>
      </c>
      <c r="CN776" s="351">
        <f t="shared" ref="CN776:CO779" si="722">CN26</f>
        <v>-2963</v>
      </c>
      <c r="CO776" s="351">
        <f t="shared" si="722"/>
        <v>-3022</v>
      </c>
      <c r="CP776" s="351">
        <f>+CN776+CO776</f>
        <v>-5985</v>
      </c>
      <c r="CQ776" s="393">
        <f>+CP776/CL776-1</f>
        <v>4.4320362938405244E-2</v>
      </c>
      <c r="CR776" s="351">
        <f t="shared" ref="CR776:CS779" si="723">CR26</f>
        <v>-3358</v>
      </c>
      <c r="CS776" s="351">
        <f t="shared" si="723"/>
        <v>-3194</v>
      </c>
      <c r="CT776" s="351">
        <f>+CR776+CS776</f>
        <v>-6552</v>
      </c>
      <c r="CU776" s="393">
        <f>+CT776/CP776-1</f>
        <v>9.473684210526323E-2</v>
      </c>
      <c r="CV776" s="351">
        <f t="shared" ref="CV776:CW779" si="724">CV26</f>
        <v>-3537</v>
      </c>
      <c r="CW776" s="351">
        <f t="shared" si="724"/>
        <v>-3702</v>
      </c>
      <c r="CX776" s="351">
        <f>+CV776+CW776</f>
        <v>-7239</v>
      </c>
      <c r="CY776" s="393">
        <f>+CX776/CT776-1</f>
        <v>0.10485347985347993</v>
      </c>
      <c r="CZ776" s="351">
        <f t="shared" ref="CZ776:DA779" si="725">CZ26</f>
        <v>-3719</v>
      </c>
      <c r="DA776" s="351">
        <f t="shared" si="725"/>
        <v>-3729</v>
      </c>
      <c r="DB776" s="351">
        <f>+CZ776+DA776</f>
        <v>-7448</v>
      </c>
      <c r="DC776" s="393">
        <f>+DB776/CX776-1</f>
        <v>2.8871391076115582E-2</v>
      </c>
      <c r="DD776" s="351">
        <f t="shared" ref="DD776:DE779" si="726">DD26</f>
        <v>-3970</v>
      </c>
      <c r="DE776" s="351">
        <f t="shared" si="726"/>
        <v>-4000</v>
      </c>
      <c r="DF776" s="351">
        <f>+DD776+DE776</f>
        <v>-7970</v>
      </c>
      <c r="DG776" s="393">
        <f>+DF776/DB776-1</f>
        <v>7.0085929108485434E-2</v>
      </c>
      <c r="DH776" s="351">
        <f t="shared" ref="DH776" si="727">DH26</f>
        <v>-4139</v>
      </c>
      <c r="DI776" s="351">
        <f>DI793</f>
        <v>-4143.6701904683941</v>
      </c>
      <c r="DJ776" s="351">
        <f>+DH776+DI776</f>
        <v>-8282.6701904683941</v>
      </c>
      <c r="DK776" s="393">
        <f>+DJ776/DF776-1</f>
        <v>3.9230889644716882E-2</v>
      </c>
      <c r="DL776" s="351">
        <f>DL793</f>
        <v>-4382.5308347795726</v>
      </c>
      <c r="DM776" s="351">
        <f>DM793</f>
        <v>-4375.9582294325219</v>
      </c>
      <c r="DN776" s="351">
        <f>+DL776+DM776</f>
        <v>-8758.4890642120954</v>
      </c>
      <c r="DO776" s="393">
        <f>+DN776/DJ776-1</f>
        <v>5.7447521487849151E-2</v>
      </c>
      <c r="DP776" s="351">
        <f>DP793</f>
        <v>-4593.0487245006943</v>
      </c>
      <c r="DQ776" s="351">
        <f>DQ793</f>
        <v>-4611.4983022848164</v>
      </c>
      <c r="DR776" s="351">
        <f>+DP776+DQ776</f>
        <v>-9204.5470267855108</v>
      </c>
      <c r="DS776" s="393">
        <f>+DR776/DN776-1</f>
        <v>5.0928642977479344E-2</v>
      </c>
      <c r="DT776" s="1"/>
      <c r="DU776" s="1"/>
      <c r="DV776" s="1"/>
      <c r="DW776" s="1"/>
      <c r="DX776" s="1"/>
      <c r="DY776" s="1"/>
      <c r="DZ776" s="1"/>
      <c r="EA776" s="1"/>
      <c r="EB776" s="1"/>
      <c r="EC776" s="1"/>
      <c r="ED776" s="1"/>
      <c r="EE776" s="1"/>
      <c r="EF776" s="1"/>
      <c r="EG776" s="1"/>
      <c r="EH776" s="1"/>
      <c r="EI776" s="1"/>
      <c r="EJ776" s="1"/>
      <c r="EK776" s="1"/>
      <c r="EL776" s="1"/>
      <c r="EM776" s="1"/>
      <c r="EN776" s="1"/>
      <c r="EO776" s="1"/>
      <c r="EP776" s="1"/>
      <c r="EQ776" s="1"/>
      <c r="ER776" s="1"/>
      <c r="ES776" s="1"/>
      <c r="ET776" s="1"/>
      <c r="EU776" s="1"/>
      <c r="EV776" s="1"/>
      <c r="EW776" s="1"/>
      <c r="EX776" s="1"/>
      <c r="EY776" s="1"/>
      <c r="EZ776" s="1"/>
      <c r="FA776" s="1"/>
      <c r="FB776" s="1"/>
      <c r="FC776" s="1"/>
      <c r="FD776" s="1"/>
      <c r="FE776" s="1"/>
      <c r="FF776" s="1"/>
      <c r="FG776" s="1"/>
      <c r="FH776" s="1"/>
      <c r="FI776" s="1"/>
      <c r="FJ776" s="1"/>
      <c r="FK776" s="1"/>
      <c r="FL776" s="1"/>
      <c r="FM776" s="1"/>
      <c r="FN776" s="1"/>
      <c r="FO776" s="1"/>
      <c r="FP776" s="1"/>
      <c r="FQ776" s="1"/>
      <c r="FR776" s="1"/>
      <c r="FS776" s="1"/>
      <c r="FT776" s="1"/>
      <c r="FU776" s="1"/>
      <c r="FV776" s="1"/>
      <c r="FW776" s="1"/>
      <c r="FX776" s="1"/>
      <c r="FY776" s="1"/>
      <c r="FZ776" s="1"/>
      <c r="GA776" s="1"/>
      <c r="GB776" s="1"/>
      <c r="GC776" s="1"/>
      <c r="GD776" s="1"/>
      <c r="GE776" s="1"/>
      <c r="GF776" s="1"/>
      <c r="GG776" s="1"/>
      <c r="GH776" s="1"/>
      <c r="GI776" s="1"/>
      <c r="GJ776" s="1"/>
      <c r="GK776" s="1"/>
      <c r="GL776" s="1"/>
      <c r="GM776" s="1"/>
      <c r="GN776" s="1"/>
      <c r="GO776" s="1"/>
      <c r="GP776" s="1"/>
      <c r="GQ776" s="1"/>
      <c r="GR776" s="1"/>
      <c r="GS776" s="1"/>
      <c r="GT776" s="1"/>
      <c r="GU776" s="1"/>
      <c r="GV776" s="1"/>
      <c r="GW776" s="1"/>
      <c r="GX776" s="1"/>
      <c r="GY776" s="1"/>
      <c r="GZ776" s="1"/>
      <c r="HA776" s="1"/>
      <c r="HB776" s="1"/>
      <c r="HC776" s="1"/>
      <c r="HD776" s="1"/>
      <c r="HE776" s="1"/>
      <c r="HF776" s="1"/>
      <c r="HG776" s="1"/>
      <c r="HH776" s="1"/>
      <c r="HI776" s="1"/>
      <c r="HJ776" s="1"/>
      <c r="HK776" s="1"/>
      <c r="HL776" s="1"/>
      <c r="HM776" s="1"/>
      <c r="HN776" s="1"/>
      <c r="HO776" s="1"/>
      <c r="HP776" s="1"/>
      <c r="HQ776" s="1"/>
      <c r="HR776" s="1"/>
      <c r="HS776" s="1"/>
      <c r="HT776" s="1"/>
      <c r="HU776" s="1"/>
      <c r="HV776" s="1"/>
      <c r="HW776" s="1"/>
      <c r="HX776" s="1"/>
      <c r="HY776" s="1"/>
      <c r="HZ776" s="1"/>
      <c r="IA776" s="1"/>
      <c r="IB776" s="1"/>
      <c r="IC776" s="1"/>
      <c r="ID776" s="1"/>
      <c r="IE776" s="1"/>
      <c r="IF776" s="1"/>
      <c r="IG776" s="1"/>
      <c r="IH776" s="1"/>
      <c r="II776" s="1"/>
      <c r="IJ776" s="1"/>
      <c r="IK776" s="1"/>
      <c r="IL776" s="1"/>
      <c r="IM776" s="1"/>
      <c r="IN776" s="1"/>
      <c r="IO776" s="1"/>
      <c r="IP776" s="1"/>
      <c r="IQ776" s="1"/>
      <c r="IR776" s="1"/>
      <c r="IS776" s="1"/>
      <c r="IT776" s="1"/>
      <c r="IU776" s="1"/>
      <c r="IV776" s="1"/>
      <c r="IW776" s="1"/>
      <c r="IX776" s="1"/>
      <c r="IY776" s="1"/>
      <c r="IZ776" s="1"/>
      <c r="JA776" s="1"/>
      <c r="JB776" s="1"/>
      <c r="JC776" s="1"/>
      <c r="JD776" s="1"/>
    </row>
    <row r="777" spans="1:264" s="347" customFormat="1" x14ac:dyDescent="0.2">
      <c r="A777" s="347" t="s">
        <v>228</v>
      </c>
      <c r="B777" s="348"/>
      <c r="BD777" s="351"/>
      <c r="BE777" s="351"/>
      <c r="BF777" s="351"/>
      <c r="BH777" s="351">
        <f t="shared" si="714"/>
        <v>-506</v>
      </c>
      <c r="BI777" s="351">
        <f t="shared" si="714"/>
        <v>-512</v>
      </c>
      <c r="BJ777" s="351">
        <f>+BH777+BI777</f>
        <v>-1018</v>
      </c>
      <c r="BK777" s="348"/>
      <c r="BL777" s="351">
        <f t="shared" si="715"/>
        <v>-524</v>
      </c>
      <c r="BM777" s="351">
        <f t="shared" si="715"/>
        <v>-529</v>
      </c>
      <c r="BN777" s="351">
        <f>+BL777+BM777</f>
        <v>-1053</v>
      </c>
      <c r="BO777" s="348"/>
      <c r="BP777" s="351">
        <f t="shared" si="716"/>
        <v>-539</v>
      </c>
      <c r="BQ777" s="351">
        <f t="shared" si="716"/>
        <v>-547</v>
      </c>
      <c r="BR777" s="351">
        <f>+BP777+BQ777</f>
        <v>-1086</v>
      </c>
      <c r="BT777" s="351">
        <f t="shared" si="717"/>
        <v>-559</v>
      </c>
      <c r="BU777" s="351">
        <f t="shared" si="717"/>
        <v>-575</v>
      </c>
      <c r="BV777" s="351">
        <f>+BT777+BU777</f>
        <v>-1134</v>
      </c>
      <c r="BX777" s="351">
        <f t="shared" si="718"/>
        <v>-556</v>
      </c>
      <c r="BY777" s="351">
        <f t="shared" si="718"/>
        <v>-554</v>
      </c>
      <c r="BZ777" s="351">
        <f>+BX777+BY777</f>
        <v>-1110</v>
      </c>
      <c r="CB777" s="351">
        <f t="shared" si="719"/>
        <v>-554</v>
      </c>
      <c r="CC777" s="351">
        <f t="shared" si="719"/>
        <v>-580</v>
      </c>
      <c r="CD777" s="351">
        <f>+CB777+CC777</f>
        <v>-1134</v>
      </c>
      <c r="CF777" s="351">
        <f t="shared" si="720"/>
        <v>-541</v>
      </c>
      <c r="CG777" s="351">
        <f t="shared" si="720"/>
        <v>-541</v>
      </c>
      <c r="CH777" s="351">
        <f>+CF777+CG777</f>
        <v>-1082</v>
      </c>
      <c r="CI777" s="393">
        <f>+CH777/CD777-1</f>
        <v>-4.585537918871252E-2</v>
      </c>
      <c r="CJ777" s="351">
        <f t="shared" si="721"/>
        <v>-511</v>
      </c>
      <c r="CK777" s="351">
        <f t="shared" si="721"/>
        <v>-576</v>
      </c>
      <c r="CL777" s="351">
        <f>+CJ777+CK777</f>
        <v>-1087</v>
      </c>
      <c r="CM777" s="393">
        <f>+CL777/CH777-1</f>
        <v>4.6210720887245316E-3</v>
      </c>
      <c r="CN777" s="351">
        <f t="shared" si="722"/>
        <v>-576</v>
      </c>
      <c r="CO777" s="351">
        <f t="shared" si="722"/>
        <v>-578</v>
      </c>
      <c r="CP777" s="351">
        <f>+CN777+CO777</f>
        <v>-1154</v>
      </c>
      <c r="CQ777" s="393">
        <f>+CP777/CL777-1</f>
        <v>6.1637534498619972E-2</v>
      </c>
      <c r="CR777" s="351">
        <f t="shared" si="723"/>
        <v>-486</v>
      </c>
      <c r="CS777" s="351">
        <f t="shared" si="723"/>
        <v>-489</v>
      </c>
      <c r="CT777" s="351">
        <f>+CR777+CS777</f>
        <v>-975</v>
      </c>
      <c r="CU777" s="393">
        <f>+CT777/CP777-1</f>
        <v>-0.15511265164644716</v>
      </c>
      <c r="CV777" s="351">
        <f t="shared" si="724"/>
        <v>-479</v>
      </c>
      <c r="CW777" s="351">
        <f t="shared" si="724"/>
        <v>-471</v>
      </c>
      <c r="CX777" s="351">
        <f>+CV777+CW777</f>
        <v>-950</v>
      </c>
      <c r="CY777" s="393">
        <f>+CX777/CT777-1</f>
        <v>-2.5641025641025661E-2</v>
      </c>
      <c r="CZ777" s="351">
        <f t="shared" si="725"/>
        <v>-501</v>
      </c>
      <c r="DA777" s="351">
        <f t="shared" si="725"/>
        <v>-494</v>
      </c>
      <c r="DB777" s="351">
        <f>+CZ777+DA777</f>
        <v>-995</v>
      </c>
      <c r="DC777" s="393">
        <f>+DB777/CX777-1</f>
        <v>4.7368421052631504E-2</v>
      </c>
      <c r="DD777" s="351">
        <f t="shared" si="726"/>
        <v>-460</v>
      </c>
      <c r="DE777" s="351">
        <f t="shared" si="726"/>
        <v>-497</v>
      </c>
      <c r="DF777" s="351">
        <f>+DD777+DE777</f>
        <v>-957</v>
      </c>
      <c r="DG777" s="393">
        <f>+DF777/DB777-1</f>
        <v>-3.8190954773869357E-2</v>
      </c>
      <c r="DH777" s="351">
        <f t="shared" ref="DH777" si="728">DH27</f>
        <v>-465</v>
      </c>
      <c r="DI777" s="351">
        <f>DI801</f>
        <v>-465</v>
      </c>
      <c r="DJ777" s="351">
        <f>+DH777+DI777</f>
        <v>-930</v>
      </c>
      <c r="DK777" s="393">
        <f>+DJ777/DF777-1</f>
        <v>-2.8213166144200663E-2</v>
      </c>
      <c r="DL777" s="351">
        <f>DL801</f>
        <v>-451.05</v>
      </c>
      <c r="DM777" s="351">
        <f>DM801</f>
        <v>-460.07100000000003</v>
      </c>
      <c r="DN777" s="351">
        <f>+DL777+DM777</f>
        <v>-911.12100000000009</v>
      </c>
      <c r="DO777" s="393">
        <f>+DN777/DJ777-1</f>
        <v>-2.0299999999999874E-2</v>
      </c>
      <c r="DP777" s="351">
        <f>DP801</f>
        <v>-450.86958000000004</v>
      </c>
      <c r="DQ777" s="351">
        <f>DQ801</f>
        <v>-450.86958000000004</v>
      </c>
      <c r="DR777" s="351">
        <f>+DP777+DQ777</f>
        <v>-901.73916000000008</v>
      </c>
      <c r="DS777" s="393">
        <f>+DR777/DN777-1</f>
        <v>-1.0297029702970306E-2</v>
      </c>
      <c r="DT777" s="1"/>
      <c r="DU777" s="1"/>
      <c r="DV777" s="1"/>
      <c r="DW777" s="1"/>
      <c r="DX777" s="1"/>
      <c r="DY777" s="1"/>
      <c r="DZ777" s="1"/>
      <c r="EA777" s="1"/>
      <c r="EB777" s="1"/>
      <c r="EC777" s="1"/>
      <c r="ED777" s="1"/>
      <c r="EE777" s="1"/>
      <c r="EF777" s="1"/>
      <c r="EG777" s="1"/>
      <c r="EH777" s="1"/>
      <c r="EI777" s="1"/>
      <c r="EJ777" s="1"/>
      <c r="EK777" s="1"/>
      <c r="EL777" s="1"/>
      <c r="EM777" s="1"/>
      <c r="EN777" s="1"/>
      <c r="EO777" s="1"/>
      <c r="EP777" s="1"/>
      <c r="EQ777" s="1"/>
      <c r="ER777" s="1"/>
      <c r="ES777" s="1"/>
      <c r="ET777" s="1"/>
      <c r="EU777" s="1"/>
      <c r="EV777" s="1"/>
      <c r="EW777" s="1"/>
      <c r="EX777" s="1"/>
      <c r="EY777" s="1"/>
      <c r="EZ777" s="1"/>
      <c r="FA777" s="1"/>
      <c r="FB777" s="1"/>
      <c r="FC777" s="1"/>
      <c r="FD777" s="1"/>
      <c r="FE777" s="1"/>
      <c r="FF777" s="1"/>
      <c r="FG777" s="1"/>
      <c r="FH777" s="1"/>
      <c r="FI777" s="1"/>
      <c r="FJ777" s="1"/>
      <c r="FK777" s="1"/>
      <c r="FL777" s="1"/>
      <c r="FM777" s="1"/>
      <c r="FN777" s="1"/>
      <c r="FO777" s="1"/>
      <c r="FP777" s="1"/>
      <c r="FQ777" s="1"/>
      <c r="FR777" s="1"/>
      <c r="FS777" s="1"/>
      <c r="FT777" s="1"/>
      <c r="FU777" s="1"/>
      <c r="FV777" s="1"/>
      <c r="FW777" s="1"/>
      <c r="FX777" s="1"/>
      <c r="FY777" s="1"/>
      <c r="FZ777" s="1"/>
      <c r="GA777" s="1"/>
      <c r="GB777" s="1"/>
      <c r="GC777" s="1"/>
      <c r="GD777" s="1"/>
      <c r="GE777" s="1"/>
      <c r="GF777" s="1"/>
      <c r="GG777" s="1"/>
      <c r="GH777" s="1"/>
      <c r="GI777" s="1"/>
      <c r="GJ777" s="1"/>
      <c r="GK777" s="1"/>
      <c r="GL777" s="1"/>
      <c r="GM777" s="1"/>
      <c r="GN777" s="1"/>
      <c r="GO777" s="1"/>
      <c r="GP777" s="1"/>
      <c r="GQ777" s="1"/>
      <c r="GR777" s="1"/>
      <c r="GS777" s="1"/>
      <c r="GT777" s="1"/>
      <c r="GU777" s="1"/>
      <c r="GV777" s="1"/>
      <c r="GW777" s="1"/>
      <c r="GX777" s="1"/>
      <c r="GY777" s="1"/>
      <c r="GZ777" s="1"/>
      <c r="HA777" s="1"/>
      <c r="HB777" s="1"/>
      <c r="HC777" s="1"/>
      <c r="HD777" s="1"/>
      <c r="HE777" s="1"/>
      <c r="HF777" s="1"/>
      <c r="HG777" s="1"/>
      <c r="HH777" s="1"/>
      <c r="HI777" s="1"/>
      <c r="HJ777" s="1"/>
      <c r="HK777" s="1"/>
      <c r="HL777" s="1"/>
      <c r="HM777" s="1"/>
      <c r="HN777" s="1"/>
      <c r="HO777" s="1"/>
      <c r="HP777" s="1"/>
      <c r="HQ777" s="1"/>
      <c r="HR777" s="1"/>
      <c r="HS777" s="1"/>
      <c r="HT777" s="1"/>
      <c r="HU777" s="1"/>
      <c r="HV777" s="1"/>
      <c r="HW777" s="1"/>
      <c r="HX777" s="1"/>
      <c r="HY777" s="1"/>
      <c r="HZ777" s="1"/>
      <c r="IA777" s="1"/>
      <c r="IB777" s="1"/>
      <c r="IC777" s="1"/>
      <c r="ID777" s="1"/>
      <c r="IE777" s="1"/>
      <c r="IF777" s="1"/>
      <c r="IG777" s="1"/>
      <c r="IH777" s="1"/>
      <c r="II777" s="1"/>
      <c r="IJ777" s="1"/>
      <c r="IK777" s="1"/>
      <c r="IL777" s="1"/>
      <c r="IM777" s="1"/>
      <c r="IN777" s="1"/>
      <c r="IO777" s="1"/>
      <c r="IP777" s="1"/>
      <c r="IQ777" s="1"/>
      <c r="IR777" s="1"/>
      <c r="IS777" s="1"/>
      <c r="IT777" s="1"/>
      <c r="IU777" s="1"/>
      <c r="IV777" s="1"/>
      <c r="IW777" s="1"/>
      <c r="IX777" s="1"/>
      <c r="IY777" s="1"/>
      <c r="IZ777" s="1"/>
      <c r="JA777" s="1"/>
      <c r="JB777" s="1"/>
      <c r="JC777" s="1"/>
      <c r="JD777" s="1"/>
    </row>
    <row r="778" spans="1:264" s="347" customFormat="1" x14ac:dyDescent="0.2">
      <c r="A778" s="347" t="s">
        <v>229</v>
      </c>
      <c r="B778" s="348"/>
      <c r="BD778" s="351"/>
      <c r="BE778" s="351"/>
      <c r="BF778" s="351"/>
      <c r="BH778" s="351">
        <f t="shared" si="714"/>
        <v>-627</v>
      </c>
      <c r="BI778" s="351">
        <f t="shared" si="714"/>
        <v>-672</v>
      </c>
      <c r="BJ778" s="351">
        <f>+BH778+BI778</f>
        <v>-1299</v>
      </c>
      <c r="BK778" s="348"/>
      <c r="BL778" s="351">
        <f t="shared" si="715"/>
        <v>-700</v>
      </c>
      <c r="BM778" s="351">
        <f t="shared" si="715"/>
        <v>-680</v>
      </c>
      <c r="BN778" s="351">
        <f>+BL778+BM778</f>
        <v>-1380</v>
      </c>
      <c r="BO778" s="348"/>
      <c r="BP778" s="351">
        <f t="shared" si="716"/>
        <v>-628</v>
      </c>
      <c r="BQ778" s="351">
        <f t="shared" si="716"/>
        <v>-664</v>
      </c>
      <c r="BR778" s="351">
        <f>+BP778+BQ778</f>
        <v>-1292</v>
      </c>
      <c r="BT778" s="351">
        <f t="shared" si="717"/>
        <v>-752</v>
      </c>
      <c r="BU778" s="351">
        <f t="shared" si="717"/>
        <v>-733</v>
      </c>
      <c r="BV778" s="351">
        <f>+BT778+BU778</f>
        <v>-1485</v>
      </c>
      <c r="BX778" s="351">
        <f t="shared" si="718"/>
        <v>-1102</v>
      </c>
      <c r="BY778" s="351">
        <f t="shared" si="718"/>
        <v>-869</v>
      </c>
      <c r="BZ778" s="351">
        <f>+BX778+BY778</f>
        <v>-1971</v>
      </c>
      <c r="CB778" s="351">
        <f t="shared" si="719"/>
        <v>-825</v>
      </c>
      <c r="CC778" s="351">
        <f t="shared" si="719"/>
        <v>-974</v>
      </c>
      <c r="CD778" s="351">
        <f>+CB778+CC778</f>
        <v>-1799</v>
      </c>
      <c r="CF778" s="351">
        <f t="shared" si="720"/>
        <v>-873</v>
      </c>
      <c r="CG778" s="351">
        <f t="shared" si="720"/>
        <v>-946</v>
      </c>
      <c r="CH778" s="351">
        <f>+CF778+CG778</f>
        <v>-1819</v>
      </c>
      <c r="CI778" s="393">
        <f>+CH778/CD778-1</f>
        <v>1.1117287381878782E-2</v>
      </c>
      <c r="CJ778" s="351">
        <f t="shared" si="721"/>
        <v>-1105</v>
      </c>
      <c r="CK778" s="351">
        <f t="shared" si="721"/>
        <v>-915</v>
      </c>
      <c r="CL778" s="351">
        <f>+CJ778+CK778</f>
        <v>-2020</v>
      </c>
      <c r="CM778" s="393">
        <f>+CL778/CH778-1</f>
        <v>0.11050027487630576</v>
      </c>
      <c r="CN778" s="351">
        <f t="shared" si="722"/>
        <v>-1009</v>
      </c>
      <c r="CO778" s="351">
        <f t="shared" si="722"/>
        <v>-1037</v>
      </c>
      <c r="CP778" s="351">
        <f>+CN778+CO778</f>
        <v>-2046</v>
      </c>
      <c r="CQ778" s="393">
        <f>+CP778/CL778-1</f>
        <v>1.2871287128712883E-2</v>
      </c>
      <c r="CR778" s="351">
        <f t="shared" si="723"/>
        <v>-960</v>
      </c>
      <c r="CS778" s="351">
        <f t="shared" si="723"/>
        <v>-1396</v>
      </c>
      <c r="CT778" s="351">
        <f>+CR778+CS778</f>
        <v>-2356</v>
      </c>
      <c r="CU778" s="393">
        <f>+CT778/CP778-1</f>
        <v>0.1515151515151516</v>
      </c>
      <c r="CV778" s="351">
        <f t="shared" si="724"/>
        <v>-1026</v>
      </c>
      <c r="CW778" s="351">
        <f t="shared" si="724"/>
        <v>-1010</v>
      </c>
      <c r="CX778" s="351">
        <f>+CV778+CW778</f>
        <v>-2036</v>
      </c>
      <c r="CY778" s="393">
        <f>+CX778/CT778-1</f>
        <v>-0.13582342954159587</v>
      </c>
      <c r="CZ778" s="351">
        <f t="shared" si="725"/>
        <v>-1106</v>
      </c>
      <c r="DA778" s="351">
        <f t="shared" si="725"/>
        <v>-1119</v>
      </c>
      <c r="DB778" s="351">
        <f>+CZ778+DA778</f>
        <v>-2225</v>
      </c>
      <c r="DC778" s="393">
        <f>+DB778/CX778-1</f>
        <v>9.2829076620825068E-2</v>
      </c>
      <c r="DD778" s="351">
        <f t="shared" si="726"/>
        <v>-1187</v>
      </c>
      <c r="DE778" s="351">
        <f t="shared" si="726"/>
        <v>-1202</v>
      </c>
      <c r="DF778" s="351">
        <f>+DD778+DE778</f>
        <v>-2389</v>
      </c>
      <c r="DG778" s="393">
        <f>+DF778/DB778-1</f>
        <v>7.3707865168539222E-2</v>
      </c>
      <c r="DH778" s="351">
        <f t="shared" ref="DH778" si="729">DH28</f>
        <v>-1321</v>
      </c>
      <c r="DI778" s="351">
        <f>DI810</f>
        <v>-1311.2804109589042</v>
      </c>
      <c r="DJ778" s="351">
        <f>+DH778+DI778</f>
        <v>-2632.2804109589042</v>
      </c>
      <c r="DK778" s="393">
        <f>+DJ778/DF778-1</f>
        <v>0.10183357511883817</v>
      </c>
      <c r="DL778" s="351">
        <f>DL810</f>
        <v>-1347.2677018457734</v>
      </c>
      <c r="DM778" s="351">
        <f>DM810</f>
        <v>-1366.1684558717834</v>
      </c>
      <c r="DN778" s="351">
        <f>+DL778+DM778</f>
        <v>-2713.4361577175569</v>
      </c>
      <c r="DO778" s="393">
        <f>+DN778/DJ778-1</f>
        <v>3.0830965584357495E-2</v>
      </c>
      <c r="DP778" s="351">
        <f>DP810</f>
        <v>-1413.5357198012491</v>
      </c>
      <c r="DQ778" s="351">
        <f>DQ810</f>
        <v>-1424.7991675702522</v>
      </c>
      <c r="DR778" s="351">
        <f>+DP778+DQ778</f>
        <v>-2838.3348873715013</v>
      </c>
      <c r="DS778" s="393">
        <f>+DR778/DN778-1</f>
        <v>4.6029728504467515E-2</v>
      </c>
      <c r="DT778" s="1"/>
      <c r="DU778" s="1"/>
      <c r="DV778" s="1"/>
      <c r="DW778" s="1"/>
      <c r="DX778" s="1"/>
      <c r="DY778" s="1"/>
      <c r="DZ778" s="1"/>
      <c r="EA778" s="1"/>
      <c r="EB778" s="1"/>
      <c r="EC778" s="1"/>
      <c r="ED778" s="1"/>
      <c r="EE778" s="1"/>
      <c r="EF778" s="1"/>
      <c r="EG778" s="1"/>
      <c r="EH778" s="1"/>
      <c r="EI778" s="1"/>
      <c r="EJ778" s="1"/>
      <c r="EK778" s="1"/>
      <c r="EL778" s="1"/>
      <c r="EM778" s="1"/>
      <c r="EN778" s="1"/>
      <c r="EO778" s="1"/>
      <c r="EP778" s="1"/>
      <c r="EQ778" s="1"/>
      <c r="ER778" s="1"/>
      <c r="ES778" s="1"/>
      <c r="ET778" s="1"/>
      <c r="EU778" s="1"/>
      <c r="EV778" s="1"/>
      <c r="EW778" s="1"/>
      <c r="EX778" s="1"/>
      <c r="EY778" s="1"/>
      <c r="EZ778" s="1"/>
      <c r="FA778" s="1"/>
      <c r="FB778" s="1"/>
      <c r="FC778" s="1"/>
      <c r="FD778" s="1"/>
      <c r="FE778" s="1"/>
      <c r="FF778" s="1"/>
      <c r="FG778" s="1"/>
      <c r="FH778" s="1"/>
      <c r="FI778" s="1"/>
      <c r="FJ778" s="1"/>
      <c r="FK778" s="1"/>
      <c r="FL778" s="1"/>
      <c r="FM778" s="1"/>
      <c r="FN778" s="1"/>
      <c r="FO778" s="1"/>
      <c r="FP778" s="1"/>
      <c r="FQ778" s="1"/>
      <c r="FR778" s="1"/>
      <c r="FS778" s="1"/>
      <c r="FT778" s="1"/>
      <c r="FU778" s="1"/>
      <c r="FV778" s="1"/>
      <c r="FW778" s="1"/>
      <c r="FX778" s="1"/>
      <c r="FY778" s="1"/>
      <c r="FZ778" s="1"/>
      <c r="GA778" s="1"/>
      <c r="GB778" s="1"/>
      <c r="GC778" s="1"/>
      <c r="GD778" s="1"/>
      <c r="GE778" s="1"/>
      <c r="GF778" s="1"/>
      <c r="GG778" s="1"/>
      <c r="GH778" s="1"/>
      <c r="GI778" s="1"/>
      <c r="GJ778" s="1"/>
      <c r="GK778" s="1"/>
      <c r="GL778" s="1"/>
      <c r="GM778" s="1"/>
      <c r="GN778" s="1"/>
      <c r="GO778" s="1"/>
      <c r="GP778" s="1"/>
      <c r="GQ778" s="1"/>
      <c r="GR778" s="1"/>
      <c r="GS778" s="1"/>
      <c r="GT778" s="1"/>
      <c r="GU778" s="1"/>
      <c r="GV778" s="1"/>
      <c r="GW778" s="1"/>
      <c r="GX778" s="1"/>
      <c r="GY778" s="1"/>
      <c r="GZ778" s="1"/>
      <c r="HA778" s="1"/>
      <c r="HB778" s="1"/>
      <c r="HC778" s="1"/>
      <c r="HD778" s="1"/>
      <c r="HE778" s="1"/>
      <c r="HF778" s="1"/>
      <c r="HG778" s="1"/>
      <c r="HH778" s="1"/>
      <c r="HI778" s="1"/>
      <c r="HJ778" s="1"/>
      <c r="HK778" s="1"/>
      <c r="HL778" s="1"/>
      <c r="HM778" s="1"/>
      <c r="HN778" s="1"/>
      <c r="HO778" s="1"/>
      <c r="HP778" s="1"/>
      <c r="HQ778" s="1"/>
      <c r="HR778" s="1"/>
      <c r="HS778" s="1"/>
      <c r="HT778" s="1"/>
      <c r="HU778" s="1"/>
      <c r="HV778" s="1"/>
      <c r="HW778" s="1"/>
      <c r="HX778" s="1"/>
      <c r="HY778" s="1"/>
      <c r="HZ778" s="1"/>
      <c r="IA778" s="1"/>
      <c r="IB778" s="1"/>
      <c r="IC778" s="1"/>
      <c r="ID778" s="1"/>
      <c r="IE778" s="1"/>
      <c r="IF778" s="1"/>
      <c r="IG778" s="1"/>
      <c r="IH778" s="1"/>
      <c r="II778" s="1"/>
      <c r="IJ778" s="1"/>
      <c r="IK778" s="1"/>
      <c r="IL778" s="1"/>
      <c r="IM778" s="1"/>
      <c r="IN778" s="1"/>
      <c r="IO778" s="1"/>
      <c r="IP778" s="1"/>
      <c r="IQ778" s="1"/>
      <c r="IR778" s="1"/>
      <c r="IS778" s="1"/>
      <c r="IT778" s="1"/>
      <c r="IU778" s="1"/>
      <c r="IV778" s="1"/>
      <c r="IW778" s="1"/>
      <c r="IX778" s="1"/>
      <c r="IY778" s="1"/>
      <c r="IZ778" s="1"/>
      <c r="JA778" s="1"/>
      <c r="JB778" s="1"/>
      <c r="JC778" s="1"/>
      <c r="JD778" s="1"/>
    </row>
    <row r="779" spans="1:264" s="347" customFormat="1" x14ac:dyDescent="0.2">
      <c r="A779" s="409" t="s">
        <v>230</v>
      </c>
      <c r="B779" s="348"/>
      <c r="BD779" s="351"/>
      <c r="BE779" s="351"/>
      <c r="BF779" s="351"/>
      <c r="BH779" s="351">
        <f t="shared" si="714"/>
        <v>-728</v>
      </c>
      <c r="BI779" s="351">
        <f t="shared" si="714"/>
        <v>-733</v>
      </c>
      <c r="BJ779" s="351">
        <f>+BH779+BI779</f>
        <v>-1461</v>
      </c>
      <c r="BK779" s="348"/>
      <c r="BL779" s="351">
        <f t="shared" si="715"/>
        <v>-742</v>
      </c>
      <c r="BM779" s="351">
        <f t="shared" si="715"/>
        <v>-782</v>
      </c>
      <c r="BN779" s="351">
        <f>+BL779+BM779</f>
        <v>-1524</v>
      </c>
      <c r="BO779" s="348"/>
      <c r="BP779" s="351">
        <f t="shared" si="716"/>
        <v>-841</v>
      </c>
      <c r="BQ779" s="351">
        <f t="shared" si="716"/>
        <v>-958</v>
      </c>
      <c r="BR779" s="351">
        <f>+BP779+BQ779</f>
        <v>-1799</v>
      </c>
      <c r="BT779" s="351">
        <f t="shared" si="717"/>
        <v>-820</v>
      </c>
      <c r="BU779" s="351">
        <f t="shared" si="717"/>
        <v>-826</v>
      </c>
      <c r="BV779" s="351">
        <f>+BT779+BU779</f>
        <v>-1646</v>
      </c>
      <c r="BX779" s="351">
        <f t="shared" si="718"/>
        <v>-820</v>
      </c>
      <c r="BY779" s="351">
        <f t="shared" si="718"/>
        <v>-856</v>
      </c>
      <c r="BZ779" s="351">
        <f>+BX779+BY779</f>
        <v>-1676</v>
      </c>
      <c r="CB779" s="351">
        <f t="shared" si="719"/>
        <v>-1338</v>
      </c>
      <c r="CC779" s="351">
        <f t="shared" si="719"/>
        <v>-1285</v>
      </c>
      <c r="CD779" s="351">
        <f>+CB779+CC779</f>
        <v>-2623</v>
      </c>
      <c r="CF779" s="351">
        <f t="shared" si="720"/>
        <v>-882</v>
      </c>
      <c r="CG779" s="351">
        <f t="shared" si="720"/>
        <v>-1336</v>
      </c>
      <c r="CH779" s="351">
        <f>+CF779+CG779</f>
        <v>-2218</v>
      </c>
      <c r="CI779" s="393">
        <f>+CH779/CD779-1</f>
        <v>-0.15440335493709489</v>
      </c>
      <c r="CJ779" s="351">
        <f t="shared" si="721"/>
        <v>-805</v>
      </c>
      <c r="CK779" s="351">
        <f t="shared" si="721"/>
        <v>-1353</v>
      </c>
      <c r="CL779" s="351">
        <f>+CJ779+CK779</f>
        <v>-2158</v>
      </c>
      <c r="CM779" s="393">
        <f>+CL779/CH779-1</f>
        <v>-2.7051397655545539E-2</v>
      </c>
      <c r="CN779" s="351">
        <f t="shared" si="722"/>
        <v>-1043</v>
      </c>
      <c r="CO779" s="351">
        <f t="shared" si="722"/>
        <v>-1131</v>
      </c>
      <c r="CP779" s="351">
        <f>+CN779+CO779</f>
        <v>-2174</v>
      </c>
      <c r="CQ779" s="393">
        <f>+CP779/CL779-1</f>
        <v>7.4142724745134281E-3</v>
      </c>
      <c r="CR779" s="351">
        <f t="shared" si="723"/>
        <v>-686</v>
      </c>
      <c r="CS779" s="351">
        <f t="shared" si="723"/>
        <v>-859</v>
      </c>
      <c r="CT779" s="351">
        <f>+CR779+CS779</f>
        <v>-1545</v>
      </c>
      <c r="CU779" s="393">
        <f>+CT779/CP779-1</f>
        <v>-0.28932842686292548</v>
      </c>
      <c r="CV779" s="351">
        <f t="shared" si="724"/>
        <v>-731</v>
      </c>
      <c r="CW779" s="351">
        <f t="shared" si="724"/>
        <v>-902</v>
      </c>
      <c r="CX779" s="351">
        <f>+CV779+CW779</f>
        <v>-1633</v>
      </c>
      <c r="CY779" s="393">
        <f>+CX779/CT779-1</f>
        <v>5.6957928802588986E-2</v>
      </c>
      <c r="CZ779" s="351">
        <f t="shared" si="725"/>
        <v>-685</v>
      </c>
      <c r="DA779" s="351">
        <f t="shared" si="725"/>
        <v>-865</v>
      </c>
      <c r="DB779" s="351">
        <f>+CZ779+DA779</f>
        <v>-1550</v>
      </c>
      <c r="DC779" s="393">
        <f>+DB779/CX779-1</f>
        <v>-5.0826699326393165E-2</v>
      </c>
      <c r="DD779" s="351">
        <f t="shared" si="726"/>
        <v>-755</v>
      </c>
      <c r="DE779" s="351">
        <f t="shared" si="726"/>
        <v>-925</v>
      </c>
      <c r="DF779" s="351">
        <f>+DD779+DE779</f>
        <v>-1680</v>
      </c>
      <c r="DG779" s="393">
        <f>+DF779/DB779-1</f>
        <v>8.3870967741935587E-2</v>
      </c>
      <c r="DH779" s="351">
        <f t="shared" ref="DH779" si="730">DH29</f>
        <v>-965</v>
      </c>
      <c r="DI779" s="351">
        <f>DI829</f>
        <v>-870.25</v>
      </c>
      <c r="DJ779" s="351">
        <f>+DH779+DI779</f>
        <v>-1835.25</v>
      </c>
      <c r="DK779" s="393">
        <f>+DJ779/DF779-1</f>
        <v>9.2410714285714235E-2</v>
      </c>
      <c r="DL779" s="351">
        <f>DL829</f>
        <v>-820.25</v>
      </c>
      <c r="DM779" s="351">
        <f>DM829</f>
        <v>-870.25</v>
      </c>
      <c r="DN779" s="351">
        <f>+DL779+DM779</f>
        <v>-1690.5</v>
      </c>
      <c r="DO779" s="393">
        <f>+DN779/DJ779-1</f>
        <v>-7.8872088271352725E-2</v>
      </c>
      <c r="DP779" s="351">
        <f>DP829</f>
        <v>-832.55374999999992</v>
      </c>
      <c r="DQ779" s="351">
        <f>DQ829</f>
        <v>-895.04205624999986</v>
      </c>
      <c r="DR779" s="351">
        <f>+DP779+DQ779</f>
        <v>-1727.5958062499999</v>
      </c>
      <c r="DS779" s="393">
        <f>+DR779/DN779-1</f>
        <v>2.1943688997337896E-2</v>
      </c>
      <c r="DT779" s="1"/>
      <c r="DU779" s="1"/>
      <c r="DV779" s="1"/>
      <c r="DW779" s="1"/>
      <c r="DX779" s="1"/>
      <c r="DY779" s="1"/>
      <c r="DZ779" s="1"/>
      <c r="EA779" s="1"/>
      <c r="EB779" s="1"/>
      <c r="EC779" s="1"/>
      <c r="ED779" s="1"/>
      <c r="EE779" s="1"/>
      <c r="EF779" s="1"/>
      <c r="EG779" s="1"/>
      <c r="EH779" s="1"/>
      <c r="EI779" s="1"/>
      <c r="EJ779" s="1"/>
      <c r="EK779" s="1"/>
      <c r="EL779" s="1"/>
      <c r="EM779" s="1"/>
      <c r="EN779" s="1"/>
      <c r="EO779" s="1"/>
      <c r="EP779" s="1"/>
      <c r="EQ779" s="1"/>
      <c r="ER779" s="1"/>
      <c r="ES779" s="1"/>
      <c r="ET779" s="1"/>
      <c r="EU779" s="1"/>
      <c r="EV779" s="1"/>
      <c r="EW779" s="1"/>
      <c r="EX779" s="1"/>
      <c r="EY779" s="1"/>
      <c r="EZ779" s="1"/>
      <c r="FA779" s="1"/>
      <c r="FB779" s="1"/>
      <c r="FC779" s="1"/>
      <c r="FD779" s="1"/>
      <c r="FE779" s="1"/>
      <c r="FF779" s="1"/>
      <c r="FG779" s="1"/>
      <c r="FH779" s="1"/>
      <c r="FI779" s="1"/>
      <c r="FJ779" s="1"/>
      <c r="FK779" s="1"/>
      <c r="FL779" s="1"/>
      <c r="FM779" s="1"/>
      <c r="FN779" s="1"/>
      <c r="FO779" s="1"/>
      <c r="FP779" s="1"/>
      <c r="FQ779" s="1"/>
      <c r="FR779" s="1"/>
      <c r="FS779" s="1"/>
      <c r="FT779" s="1"/>
      <c r="FU779" s="1"/>
      <c r="FV779" s="1"/>
      <c r="FW779" s="1"/>
      <c r="FX779" s="1"/>
      <c r="FY779" s="1"/>
      <c r="FZ779" s="1"/>
      <c r="GA779" s="1"/>
      <c r="GB779" s="1"/>
      <c r="GC779" s="1"/>
      <c r="GD779" s="1"/>
      <c r="GE779" s="1"/>
      <c r="GF779" s="1"/>
      <c r="GG779" s="1"/>
      <c r="GH779" s="1"/>
      <c r="GI779" s="1"/>
      <c r="GJ779" s="1"/>
      <c r="GK779" s="1"/>
      <c r="GL779" s="1"/>
      <c r="GM779" s="1"/>
      <c r="GN779" s="1"/>
      <c r="GO779" s="1"/>
      <c r="GP779" s="1"/>
      <c r="GQ779" s="1"/>
      <c r="GR779" s="1"/>
      <c r="GS779" s="1"/>
      <c r="GT779" s="1"/>
      <c r="GU779" s="1"/>
      <c r="GV779" s="1"/>
      <c r="GW779" s="1"/>
      <c r="GX779" s="1"/>
      <c r="GY779" s="1"/>
      <c r="GZ779" s="1"/>
      <c r="HA779" s="1"/>
      <c r="HB779" s="1"/>
      <c r="HC779" s="1"/>
      <c r="HD779" s="1"/>
      <c r="HE779" s="1"/>
      <c r="HF779" s="1"/>
      <c r="HG779" s="1"/>
      <c r="HH779" s="1"/>
      <c r="HI779" s="1"/>
      <c r="HJ779" s="1"/>
      <c r="HK779" s="1"/>
      <c r="HL779" s="1"/>
      <c r="HM779" s="1"/>
      <c r="HN779" s="1"/>
      <c r="HO779" s="1"/>
      <c r="HP779" s="1"/>
      <c r="HQ779" s="1"/>
      <c r="HR779" s="1"/>
      <c r="HS779" s="1"/>
      <c r="HT779" s="1"/>
      <c r="HU779" s="1"/>
      <c r="HV779" s="1"/>
      <c r="HW779" s="1"/>
      <c r="HX779" s="1"/>
      <c r="HY779" s="1"/>
      <c r="HZ779" s="1"/>
      <c r="IA779" s="1"/>
      <c r="IB779" s="1"/>
      <c r="IC779" s="1"/>
      <c r="ID779" s="1"/>
      <c r="IE779" s="1"/>
      <c r="IF779" s="1"/>
      <c r="IG779" s="1"/>
      <c r="IH779" s="1"/>
      <c r="II779" s="1"/>
      <c r="IJ779" s="1"/>
      <c r="IK779" s="1"/>
      <c r="IL779" s="1"/>
      <c r="IM779" s="1"/>
      <c r="IN779" s="1"/>
      <c r="IO779" s="1"/>
      <c r="IP779" s="1"/>
      <c r="IQ779" s="1"/>
      <c r="IR779" s="1"/>
      <c r="IS779" s="1"/>
      <c r="IT779" s="1"/>
      <c r="IU779" s="1"/>
      <c r="IV779" s="1"/>
      <c r="IW779" s="1"/>
      <c r="IX779" s="1"/>
      <c r="IY779" s="1"/>
      <c r="IZ779" s="1"/>
      <c r="JA779" s="1"/>
      <c r="JB779" s="1"/>
      <c r="JC779" s="1"/>
      <c r="JD779" s="1"/>
    </row>
    <row r="780" spans="1:264" s="347" customFormat="1" x14ac:dyDescent="0.2">
      <c r="A780" s="407" t="s">
        <v>36</v>
      </c>
      <c r="B780" s="348"/>
      <c r="BD780" s="397"/>
      <c r="BE780" s="397"/>
      <c r="BF780" s="397"/>
      <c r="BH780" s="397">
        <f>SUM(BH776:BH779)</f>
        <v>-4467</v>
      </c>
      <c r="BI780" s="397">
        <f>SUM(BI776:BI779)</f>
        <v>-4543</v>
      </c>
      <c r="BJ780" s="397">
        <f>SUM(BJ776:BJ779)</f>
        <v>-9010</v>
      </c>
      <c r="BK780" s="348"/>
      <c r="BL780" s="397">
        <f>SUM(BL776:BL779)</f>
        <v>-4751</v>
      </c>
      <c r="BM780" s="397">
        <f>SUM(BM776:BM779)</f>
        <v>-4748</v>
      </c>
      <c r="BN780" s="397">
        <f>SUM(BN776:BN779)</f>
        <v>-9499</v>
      </c>
      <c r="BO780" s="393">
        <f>+BN780/BJ780-1</f>
        <v>5.4273029966703579E-2</v>
      </c>
      <c r="BP780" s="397">
        <f>SUM(BP776:BP779)</f>
        <v>-4914</v>
      </c>
      <c r="BQ780" s="397">
        <f>SUM(BQ776:BQ779)</f>
        <v>-5079</v>
      </c>
      <c r="BR780" s="397">
        <f>SUM(BR776:BR779)</f>
        <v>-9993</v>
      </c>
      <c r="BS780" s="393">
        <f>+BR780/BN780-1</f>
        <v>5.2005474260448548E-2</v>
      </c>
      <c r="BT780" s="397">
        <f>SUM(BT776:BT779)</f>
        <v>-5210</v>
      </c>
      <c r="BU780" s="397">
        <f>SUM(BU776:BU779)</f>
        <v>-5224</v>
      </c>
      <c r="BV780" s="397">
        <f>SUM(BV776:BV779)</f>
        <v>-10434</v>
      </c>
      <c r="BW780" s="393">
        <f>+BV780/BR780-1</f>
        <v>4.413089162413697E-2</v>
      </c>
      <c r="BX780" s="397">
        <f>SUM(BX776:BX779)</f>
        <v>-5474</v>
      </c>
      <c r="BY780" s="397">
        <f>SUM(BY776:BY779)</f>
        <v>-5148</v>
      </c>
      <c r="BZ780" s="397">
        <f>SUM(BZ776:BZ779)</f>
        <v>-10622</v>
      </c>
      <c r="CA780" s="393">
        <f>+BZ780/BV780-1</f>
        <v>1.8018018018018056E-2</v>
      </c>
      <c r="CB780" s="397">
        <f>SUM(CB776:CB779)</f>
        <v>-5456</v>
      </c>
      <c r="CC780" s="397">
        <f>SUM(CC776:CC779)</f>
        <v>-5539</v>
      </c>
      <c r="CD780" s="397">
        <f>SUM(CD776:CD779)</f>
        <v>-10995</v>
      </c>
      <c r="CE780" s="393">
        <f>+CD780/BZ780-1</f>
        <v>3.5115797401619187E-2</v>
      </c>
      <c r="CF780" s="397">
        <f>SUM(CF776:CF779)</f>
        <v>-5066</v>
      </c>
      <c r="CG780" s="397">
        <f>SUM(CG776:CG779)</f>
        <v>-5758</v>
      </c>
      <c r="CH780" s="397">
        <f>SUM(CH776:CH779)</f>
        <v>-10824</v>
      </c>
      <c r="CI780" s="393">
        <f>+CH780/CD780-1</f>
        <v>-1.5552523874488355E-2</v>
      </c>
      <c r="CJ780" s="397">
        <f>SUM(CJ776:CJ779)</f>
        <v>-5257</v>
      </c>
      <c r="CK780" s="397">
        <f>SUM(CK776:CK779)</f>
        <v>-5739</v>
      </c>
      <c r="CL780" s="397">
        <f>SUM(CL776:CL779)</f>
        <v>-10996</v>
      </c>
      <c r="CM780" s="393">
        <f>+CL780/CH780-1</f>
        <v>1.5890613451589042E-2</v>
      </c>
      <c r="CN780" s="397">
        <f>SUM(CN776:CN779)</f>
        <v>-5591</v>
      </c>
      <c r="CO780" s="397">
        <f>SUM(CO776:CO779)</f>
        <v>-5768</v>
      </c>
      <c r="CP780" s="397">
        <f>SUM(CP776:CP779)</f>
        <v>-11359</v>
      </c>
      <c r="CQ780" s="393">
        <f>+CP780/CL780-1</f>
        <v>3.3012004365223779E-2</v>
      </c>
      <c r="CR780" s="397">
        <f>SUM(CR776:CR779)</f>
        <v>-5490</v>
      </c>
      <c r="CS780" s="397">
        <f>SUM(CS776:CS779)</f>
        <v>-5938</v>
      </c>
      <c r="CT780" s="397">
        <f>SUM(CT776:CT779)</f>
        <v>-11428</v>
      </c>
      <c r="CU780" s="393">
        <f>+CT780/CP780-1</f>
        <v>6.0744783871820029E-3</v>
      </c>
      <c r="CV780" s="397">
        <f>SUM(CV776:CV779)</f>
        <v>-5773</v>
      </c>
      <c r="CW780" s="397">
        <f>SUM(CW776:CW779)</f>
        <v>-6085</v>
      </c>
      <c r="CX780" s="397">
        <f>SUM(CX776:CX779)</f>
        <v>-11858</v>
      </c>
      <c r="CY780" s="393">
        <f>+CX780/CT780-1</f>
        <v>3.762688134406722E-2</v>
      </c>
      <c r="CZ780" s="397">
        <f>SUM(CZ776:CZ779)</f>
        <v>-6011</v>
      </c>
      <c r="DA780" s="397">
        <f>SUM(DA776:DA779)</f>
        <v>-6207</v>
      </c>
      <c r="DB780" s="397">
        <f>SUM(DB776:DB779)</f>
        <v>-12218</v>
      </c>
      <c r="DC780" s="393">
        <f>+DB780/CX780-1</f>
        <v>3.0359251138471821E-2</v>
      </c>
      <c r="DD780" s="397">
        <f>SUM(DD776:DD779)</f>
        <v>-6372</v>
      </c>
      <c r="DE780" s="397">
        <f>SUM(DE776:DE779)</f>
        <v>-6624</v>
      </c>
      <c r="DF780" s="397">
        <f>SUM(DF776:DF779)</f>
        <v>-12996</v>
      </c>
      <c r="DG780" s="393">
        <f>+DF780/DB780-1</f>
        <v>6.3676542805696457E-2</v>
      </c>
      <c r="DH780" s="397">
        <f>SUM(DH776:DH779)</f>
        <v>-6890</v>
      </c>
      <c r="DI780" s="397">
        <f>SUM(DI776:DI779)</f>
        <v>-6790.2006014272984</v>
      </c>
      <c r="DJ780" s="397">
        <f>SUM(DJ776:DJ779)</f>
        <v>-13680.200601427299</v>
      </c>
      <c r="DK780" s="393">
        <f>+DJ780/DF780-1</f>
        <v>5.2647014575815554E-2</v>
      </c>
      <c r="DL780" s="397">
        <f>SUM(DL776:DL779)</f>
        <v>-7001.0985366253462</v>
      </c>
      <c r="DM780" s="397">
        <f>SUM(DM776:DM779)</f>
        <v>-7072.4476853043052</v>
      </c>
      <c r="DN780" s="397">
        <f>SUM(DN776:DN779)</f>
        <v>-14073.546221929651</v>
      </c>
      <c r="DO780" s="393">
        <f>+DN780/DJ780-1</f>
        <v>2.875291320372253E-2</v>
      </c>
      <c r="DP780" s="397">
        <f>SUM(DP776:DP779)</f>
        <v>-7290.0077743019428</v>
      </c>
      <c r="DQ780" s="397">
        <f>SUM(DQ776:DQ779)</f>
        <v>-7382.2091061050687</v>
      </c>
      <c r="DR780" s="397">
        <f>SUM(DR776:DR779)</f>
        <v>-14672.21688040701</v>
      </c>
      <c r="DS780" s="393">
        <f>+DR780/DN780-1</f>
        <v>4.2538721160733317E-2</v>
      </c>
      <c r="DT780" s="1"/>
      <c r="DU780" s="1"/>
      <c r="DV780" s="1"/>
      <c r="DW780" s="1"/>
      <c r="DX780" s="1"/>
      <c r="DY780" s="1"/>
      <c r="DZ780" s="1"/>
      <c r="EA780" s="1"/>
      <c r="EB780" s="1"/>
      <c r="EC780" s="1"/>
      <c r="ED780" s="1"/>
      <c r="EE780" s="1"/>
      <c r="EF780" s="1"/>
      <c r="EG780" s="1"/>
      <c r="EH780" s="1"/>
      <c r="EI780" s="1"/>
      <c r="EJ780" s="1"/>
      <c r="EK780" s="1"/>
      <c r="EL780" s="1"/>
      <c r="EM780" s="1"/>
      <c r="EN780" s="1"/>
      <c r="EO780" s="1"/>
      <c r="EP780" s="1"/>
      <c r="EQ780" s="1"/>
      <c r="ER780" s="1"/>
      <c r="ES780" s="1"/>
      <c r="ET780" s="1"/>
      <c r="EU780" s="1"/>
      <c r="EV780" s="1"/>
      <c r="EW780" s="1"/>
      <c r="EX780" s="1"/>
      <c r="EY780" s="1"/>
      <c r="EZ780" s="1"/>
      <c r="FA780" s="1"/>
      <c r="FB780" s="1"/>
      <c r="FC780" s="1"/>
      <c r="FD780" s="1"/>
      <c r="FE780" s="1"/>
      <c r="FF780" s="1"/>
      <c r="FG780" s="1"/>
      <c r="FH780" s="1"/>
      <c r="FI780" s="1"/>
      <c r="FJ780" s="1"/>
      <c r="FK780" s="1"/>
      <c r="FL780" s="1"/>
      <c r="FM780" s="1"/>
      <c r="FN780" s="1"/>
      <c r="FO780" s="1"/>
      <c r="FP780" s="1"/>
      <c r="FQ780" s="1"/>
      <c r="FR780" s="1"/>
      <c r="FS780" s="1"/>
      <c r="FT780" s="1"/>
      <c r="FU780" s="1"/>
      <c r="FV780" s="1"/>
      <c r="FW780" s="1"/>
      <c r="FX780" s="1"/>
      <c r="FY780" s="1"/>
      <c r="FZ780" s="1"/>
      <c r="GA780" s="1"/>
      <c r="GB780" s="1"/>
      <c r="GC780" s="1"/>
      <c r="GD780" s="1"/>
      <c r="GE780" s="1"/>
      <c r="GF780" s="1"/>
      <c r="GG780" s="1"/>
      <c r="GH780" s="1"/>
      <c r="GI780" s="1"/>
      <c r="GJ780" s="1"/>
      <c r="GK780" s="1"/>
      <c r="GL780" s="1"/>
      <c r="GM780" s="1"/>
      <c r="GN780" s="1"/>
      <c r="GO780" s="1"/>
      <c r="GP780" s="1"/>
      <c r="GQ780" s="1"/>
      <c r="GR780" s="1"/>
      <c r="GS780" s="1"/>
      <c r="GT780" s="1"/>
      <c r="GU780" s="1"/>
      <c r="GV780" s="1"/>
      <c r="GW780" s="1"/>
      <c r="GX780" s="1"/>
      <c r="GY780" s="1"/>
      <c r="GZ780" s="1"/>
      <c r="HA780" s="1"/>
      <c r="HB780" s="1"/>
      <c r="HC780" s="1"/>
      <c r="HD780" s="1"/>
      <c r="HE780" s="1"/>
      <c r="HF780" s="1"/>
      <c r="HG780" s="1"/>
      <c r="HH780" s="1"/>
      <c r="HI780" s="1"/>
      <c r="HJ780" s="1"/>
      <c r="HK780" s="1"/>
      <c r="HL780" s="1"/>
      <c r="HM780" s="1"/>
      <c r="HN780" s="1"/>
      <c r="HO780" s="1"/>
      <c r="HP780" s="1"/>
      <c r="HQ780" s="1"/>
      <c r="HR780" s="1"/>
      <c r="HS780" s="1"/>
      <c r="HT780" s="1"/>
      <c r="HU780" s="1"/>
      <c r="HV780" s="1"/>
      <c r="HW780" s="1"/>
      <c r="HX780" s="1"/>
      <c r="HY780" s="1"/>
      <c r="HZ780" s="1"/>
      <c r="IA780" s="1"/>
      <c r="IB780" s="1"/>
      <c r="IC780" s="1"/>
      <c r="ID780" s="1"/>
      <c r="IE780" s="1"/>
      <c r="IF780" s="1"/>
      <c r="IG780" s="1"/>
      <c r="IH780" s="1"/>
      <c r="II780" s="1"/>
      <c r="IJ780" s="1"/>
      <c r="IK780" s="1"/>
      <c r="IL780" s="1"/>
      <c r="IM780" s="1"/>
      <c r="IN780" s="1"/>
      <c r="IO780" s="1"/>
      <c r="IP780" s="1"/>
      <c r="IQ780" s="1"/>
      <c r="IR780" s="1"/>
      <c r="IS780" s="1"/>
      <c r="IT780" s="1"/>
      <c r="IU780" s="1"/>
      <c r="IV780" s="1"/>
      <c r="IW780" s="1"/>
      <c r="IX780" s="1"/>
      <c r="IY780" s="1"/>
      <c r="IZ780" s="1"/>
      <c r="JA780" s="1"/>
      <c r="JB780" s="1"/>
      <c r="JC780" s="1"/>
      <c r="JD780" s="1"/>
    </row>
    <row r="781" spans="1:264" s="347" customFormat="1" x14ac:dyDescent="0.2">
      <c r="A781" s="409" t="s">
        <v>561</v>
      </c>
      <c r="B781" s="348"/>
      <c r="BD781" s="351"/>
      <c r="BE781" s="351"/>
      <c r="BF781" s="351"/>
      <c r="BH781" s="351">
        <f>BH826</f>
        <v>0</v>
      </c>
      <c r="BI781" s="351">
        <f>BI826</f>
        <v>0</v>
      </c>
      <c r="BJ781" s="351">
        <f>BJ826</f>
        <v>0</v>
      </c>
      <c r="BK781" s="348"/>
      <c r="BL781" s="351">
        <f>BL826</f>
        <v>0</v>
      </c>
      <c r="BM781" s="351">
        <f>BM826</f>
        <v>0</v>
      </c>
      <c r="BN781" s="351">
        <f>BN826</f>
        <v>0</v>
      </c>
      <c r="BO781" s="393"/>
      <c r="BP781" s="351">
        <f>BP826</f>
        <v>0</v>
      </c>
      <c r="BQ781" s="351">
        <f>BQ826</f>
        <v>0</v>
      </c>
      <c r="BR781" s="351">
        <f>BR826</f>
        <v>0</v>
      </c>
      <c r="BS781" s="393"/>
      <c r="BT781" s="351">
        <f>BT826</f>
        <v>0</v>
      </c>
      <c r="BU781" s="351">
        <f>BU826</f>
        <v>0</v>
      </c>
      <c r="BV781" s="351">
        <f>BV826</f>
        <v>0</v>
      </c>
      <c r="BW781" s="393"/>
      <c r="BX781" s="351">
        <f>BX826</f>
        <v>0</v>
      </c>
      <c r="BY781" s="351">
        <f>BY826</f>
        <v>0</v>
      </c>
      <c r="BZ781" s="351">
        <f>BZ826</f>
        <v>0</v>
      </c>
      <c r="CA781" s="393"/>
      <c r="CB781" s="351">
        <f>CB826</f>
        <v>-375</v>
      </c>
      <c r="CC781" s="351">
        <f>CC826</f>
        <v>-325</v>
      </c>
      <c r="CD781" s="351">
        <f>CD826</f>
        <v>-700</v>
      </c>
      <c r="CE781" s="393"/>
      <c r="CF781" s="351">
        <f>CF826</f>
        <v>0</v>
      </c>
      <c r="CG781" s="351">
        <f>CG826</f>
        <v>0</v>
      </c>
      <c r="CH781" s="351">
        <f>CH826</f>
        <v>0</v>
      </c>
      <c r="CI781" s="393"/>
      <c r="CJ781" s="351">
        <f>CJ826</f>
        <v>0</v>
      </c>
      <c r="CK781" s="351">
        <f>CK826</f>
        <v>0</v>
      </c>
      <c r="CL781" s="351">
        <f>CL826</f>
        <v>0</v>
      </c>
      <c r="CM781" s="393"/>
      <c r="CN781" s="351">
        <f>CN826</f>
        <v>0</v>
      </c>
      <c r="CO781" s="351">
        <f>CO826</f>
        <v>0</v>
      </c>
      <c r="CP781" s="351">
        <f>CP826</f>
        <v>0</v>
      </c>
      <c r="CQ781" s="393"/>
      <c r="CR781" s="351">
        <f>CR826</f>
        <v>0</v>
      </c>
      <c r="CS781" s="351">
        <f>CS826</f>
        <v>0</v>
      </c>
      <c r="CT781" s="351">
        <f>CT826</f>
        <v>0</v>
      </c>
      <c r="CU781" s="393"/>
      <c r="CV781" s="351">
        <f>CV826</f>
        <v>0</v>
      </c>
      <c r="CW781" s="351">
        <f>CW826</f>
        <v>0</v>
      </c>
      <c r="CX781" s="351">
        <f>CX826</f>
        <v>0</v>
      </c>
      <c r="CY781" s="393"/>
      <c r="CZ781" s="351">
        <f>CZ826</f>
        <v>0</v>
      </c>
      <c r="DA781" s="351">
        <f>DA826</f>
        <v>0</v>
      </c>
      <c r="DB781" s="351">
        <f>DB826</f>
        <v>0</v>
      </c>
      <c r="DC781" s="393"/>
      <c r="DD781" s="351">
        <f>DD826</f>
        <v>0</v>
      </c>
      <c r="DE781" s="351">
        <f>DE826</f>
        <v>0</v>
      </c>
      <c r="DF781" s="351">
        <f>DF826</f>
        <v>0</v>
      </c>
      <c r="DG781" s="393"/>
      <c r="DH781" s="351">
        <f>DH826</f>
        <v>0</v>
      </c>
      <c r="DI781" s="351">
        <f>DI826</f>
        <v>0</v>
      </c>
      <c r="DJ781" s="351">
        <f>DJ826</f>
        <v>0</v>
      </c>
      <c r="DK781" s="393"/>
      <c r="DL781" s="351">
        <f>DL826</f>
        <v>0</v>
      </c>
      <c r="DM781" s="351">
        <f>DM826</f>
        <v>0</v>
      </c>
      <c r="DN781" s="351">
        <f>DN826</f>
        <v>0</v>
      </c>
      <c r="DO781" s="393"/>
      <c r="DP781" s="351">
        <f>DP826</f>
        <v>0</v>
      </c>
      <c r="DQ781" s="351">
        <f>DQ826</f>
        <v>0</v>
      </c>
      <c r="DR781" s="351">
        <f>DR826</f>
        <v>0</v>
      </c>
      <c r="DS781" s="393"/>
      <c r="DU781" s="1"/>
      <c r="DV781" s="1"/>
      <c r="DW781" s="1"/>
      <c r="DX781" s="1"/>
      <c r="DY781" s="1"/>
      <c r="DZ781" s="1"/>
      <c r="EA781" s="1"/>
      <c r="EB781" s="1"/>
      <c r="EC781" s="1"/>
      <c r="ED781" s="1"/>
      <c r="EE781" s="1"/>
      <c r="EF781" s="1"/>
      <c r="EG781" s="1"/>
      <c r="EH781" s="1"/>
      <c r="EI781" s="1"/>
      <c r="EJ781" s="1"/>
      <c r="EK781" s="1"/>
      <c r="EL781" s="1"/>
      <c r="EM781" s="1"/>
      <c r="EN781" s="1"/>
      <c r="EO781" s="1"/>
      <c r="EP781" s="1"/>
      <c r="EQ781" s="1"/>
      <c r="ER781" s="1"/>
      <c r="ES781" s="1"/>
      <c r="ET781" s="1"/>
      <c r="EU781" s="1"/>
      <c r="EV781" s="1"/>
      <c r="EW781" s="1"/>
      <c r="EX781" s="1"/>
      <c r="EY781" s="1"/>
      <c r="EZ781" s="1"/>
      <c r="FA781" s="1"/>
      <c r="FB781" s="1"/>
      <c r="FC781" s="1"/>
      <c r="FD781" s="1"/>
      <c r="FE781" s="1"/>
      <c r="FF781" s="1"/>
      <c r="FG781" s="1"/>
      <c r="FH781" s="1"/>
      <c r="FI781" s="1"/>
      <c r="FJ781" s="1"/>
      <c r="FK781" s="1"/>
      <c r="FL781" s="1"/>
      <c r="FM781" s="1"/>
      <c r="FN781" s="1"/>
      <c r="FO781" s="1"/>
      <c r="FP781" s="1"/>
      <c r="FQ781" s="1"/>
      <c r="FR781" s="1"/>
      <c r="FS781" s="1"/>
      <c r="FT781" s="1"/>
      <c r="FU781" s="1"/>
      <c r="FV781" s="1"/>
      <c r="FW781" s="1"/>
      <c r="FX781" s="1"/>
      <c r="FY781" s="1"/>
      <c r="FZ781" s="1"/>
      <c r="GA781" s="1"/>
      <c r="GB781" s="1"/>
      <c r="GC781" s="1"/>
      <c r="GD781" s="1"/>
      <c r="GE781" s="1"/>
      <c r="GF781" s="1"/>
      <c r="GG781" s="1"/>
      <c r="GH781" s="1"/>
      <c r="GI781" s="1"/>
      <c r="GJ781" s="1"/>
      <c r="GK781" s="1"/>
      <c r="GL781" s="1"/>
      <c r="GM781" s="1"/>
      <c r="GN781" s="1"/>
      <c r="GO781" s="1"/>
      <c r="GP781" s="1"/>
      <c r="GQ781" s="1"/>
      <c r="GR781" s="1"/>
      <c r="GS781" s="1"/>
      <c r="GT781" s="1"/>
      <c r="GU781" s="1"/>
      <c r="GV781" s="1"/>
      <c r="GW781" s="1"/>
      <c r="GX781" s="1"/>
      <c r="GY781" s="1"/>
      <c r="GZ781" s="1"/>
      <c r="HA781" s="1"/>
      <c r="HB781" s="1"/>
      <c r="HC781" s="1"/>
      <c r="HD781" s="1"/>
      <c r="HE781" s="1"/>
      <c r="HF781" s="1"/>
      <c r="HG781" s="1"/>
      <c r="HH781" s="1"/>
      <c r="HI781" s="1"/>
      <c r="HJ781" s="1"/>
      <c r="HK781" s="1"/>
      <c r="HL781" s="1"/>
      <c r="HM781" s="1"/>
      <c r="HN781" s="1"/>
      <c r="HO781" s="1"/>
      <c r="HP781" s="1"/>
      <c r="HQ781" s="1"/>
      <c r="HR781" s="1"/>
      <c r="HS781" s="1"/>
      <c r="HT781" s="1"/>
      <c r="HU781" s="1"/>
      <c r="HV781" s="1"/>
      <c r="HW781" s="1"/>
      <c r="HX781" s="1"/>
      <c r="HY781" s="1"/>
      <c r="HZ781" s="1"/>
      <c r="IA781" s="1"/>
      <c r="IB781" s="1"/>
      <c r="IC781" s="1"/>
      <c r="ID781" s="1"/>
      <c r="IE781" s="1"/>
      <c r="IF781" s="1"/>
      <c r="IG781" s="1"/>
      <c r="IH781" s="1"/>
      <c r="II781" s="1"/>
      <c r="IJ781" s="1"/>
      <c r="IK781" s="1"/>
      <c r="IL781" s="1"/>
      <c r="IM781" s="1"/>
      <c r="IN781" s="1"/>
      <c r="IO781" s="1"/>
      <c r="IP781" s="1"/>
      <c r="IQ781" s="1"/>
      <c r="IR781" s="1"/>
      <c r="IS781" s="1"/>
      <c r="IT781" s="1"/>
      <c r="IU781" s="1"/>
      <c r="IV781" s="1"/>
      <c r="IW781" s="1"/>
      <c r="IX781" s="1"/>
      <c r="IY781" s="1"/>
      <c r="IZ781" s="1"/>
      <c r="JA781" s="1"/>
      <c r="JB781" s="1"/>
      <c r="JC781" s="1"/>
      <c r="JD781" s="1"/>
    </row>
    <row r="782" spans="1:264" s="347" customFormat="1" x14ac:dyDescent="0.2">
      <c r="A782" s="409" t="s">
        <v>562</v>
      </c>
      <c r="B782" s="348"/>
      <c r="BD782" s="351"/>
      <c r="BE782" s="351"/>
      <c r="BF782" s="351"/>
      <c r="BH782" s="351"/>
      <c r="BI782" s="351"/>
      <c r="BJ782" s="351"/>
      <c r="BK782" s="348"/>
      <c r="BL782" s="351"/>
      <c r="BM782" s="351"/>
      <c r="BN782" s="351"/>
      <c r="BO782" s="393"/>
      <c r="BP782" s="351"/>
      <c r="BQ782" s="351"/>
      <c r="BR782" s="351"/>
      <c r="BS782" s="393"/>
      <c r="BT782" s="351"/>
      <c r="BU782" s="351"/>
      <c r="BV782" s="351"/>
      <c r="BW782" s="393"/>
      <c r="BX782" s="351">
        <f>BX828</f>
        <v>0</v>
      </c>
      <c r="BY782" s="351">
        <f>BY828</f>
        <v>0</v>
      </c>
      <c r="BZ782" s="351">
        <f>BZ828</f>
        <v>0</v>
      </c>
      <c r="CA782" s="393"/>
      <c r="CB782" s="351">
        <f>CB828</f>
        <v>0</v>
      </c>
      <c r="CC782" s="351">
        <f>CC828</f>
        <v>0</v>
      </c>
      <c r="CD782" s="351">
        <f>CD828</f>
        <v>0</v>
      </c>
      <c r="CE782" s="393"/>
      <c r="CF782" s="351">
        <f>CF828</f>
        <v>145</v>
      </c>
      <c r="CG782" s="351">
        <f>CG828</f>
        <v>0</v>
      </c>
      <c r="CH782" s="351">
        <f>CH828</f>
        <v>145</v>
      </c>
      <c r="CI782" s="393"/>
      <c r="CJ782" s="351">
        <f>CJ828</f>
        <v>0</v>
      </c>
      <c r="CK782" s="351">
        <f>CK828</f>
        <v>0</v>
      </c>
      <c r="CL782" s="351">
        <f>CL828</f>
        <v>0</v>
      </c>
      <c r="CM782" s="393"/>
      <c r="CN782" s="351">
        <f>CN828</f>
        <v>0</v>
      </c>
      <c r="CO782" s="351">
        <f>CO828</f>
        <v>0</v>
      </c>
      <c r="CP782" s="351">
        <f>CP828</f>
        <v>0</v>
      </c>
      <c r="CQ782" s="393"/>
      <c r="CR782" s="351">
        <f>CR828</f>
        <v>0</v>
      </c>
      <c r="CS782" s="351">
        <f>CS828</f>
        <v>0</v>
      </c>
      <c r="CT782" s="351">
        <f>CT828</f>
        <v>0</v>
      </c>
      <c r="CU782" s="393"/>
      <c r="CV782" s="351">
        <f>CV828</f>
        <v>0</v>
      </c>
      <c r="CW782" s="351">
        <f>CW828</f>
        <v>0</v>
      </c>
      <c r="CX782" s="351">
        <f>CX828</f>
        <v>0</v>
      </c>
      <c r="CY782" s="393"/>
      <c r="CZ782" s="351">
        <f>CZ828</f>
        <v>0</v>
      </c>
      <c r="DA782" s="351">
        <f>DA828</f>
        <v>0</v>
      </c>
      <c r="DB782" s="351">
        <f>DB828</f>
        <v>0</v>
      </c>
      <c r="DC782" s="393"/>
      <c r="DD782" s="351">
        <f>DD828</f>
        <v>0</v>
      </c>
      <c r="DE782" s="351">
        <f>DE828</f>
        <v>0</v>
      </c>
      <c r="DF782" s="351">
        <f>DF828</f>
        <v>0</v>
      </c>
      <c r="DG782" s="393"/>
      <c r="DH782" s="351">
        <f>DH828</f>
        <v>0</v>
      </c>
      <c r="DI782" s="351">
        <f>DI828</f>
        <v>0</v>
      </c>
      <c r="DJ782" s="351">
        <f>DJ828</f>
        <v>0</v>
      </c>
      <c r="DK782" s="393"/>
      <c r="DL782" s="351">
        <f>DL828</f>
        <v>0</v>
      </c>
      <c r="DM782" s="351">
        <f>DM828</f>
        <v>0</v>
      </c>
      <c r="DN782" s="351">
        <f>DN828</f>
        <v>0</v>
      </c>
      <c r="DO782" s="393"/>
      <c r="DP782" s="351">
        <f>DP828</f>
        <v>0</v>
      </c>
      <c r="DQ782" s="351">
        <f>DQ828</f>
        <v>0</v>
      </c>
      <c r="DR782" s="351">
        <f>DR828</f>
        <v>0</v>
      </c>
      <c r="DS782" s="393"/>
      <c r="DU782" s="1"/>
      <c r="DV782" s="1"/>
      <c r="DW782" s="1"/>
      <c r="DX782" s="1"/>
      <c r="DY782" s="1"/>
      <c r="DZ782" s="1"/>
      <c r="EA782" s="1"/>
      <c r="EB782" s="1"/>
      <c r="EC782" s="1"/>
      <c r="ED782" s="1"/>
      <c r="EE782" s="1"/>
      <c r="EF782" s="1"/>
      <c r="EG782" s="1"/>
      <c r="EH782" s="1"/>
      <c r="EI782" s="1"/>
      <c r="EJ782" s="1"/>
      <c r="EK782" s="1"/>
      <c r="EL782" s="1"/>
      <c r="EM782" s="1"/>
      <c r="EN782" s="1"/>
      <c r="EO782" s="1"/>
      <c r="EP782" s="1"/>
      <c r="EQ782" s="1"/>
      <c r="ER782" s="1"/>
      <c r="ES782" s="1"/>
      <c r="ET782" s="1"/>
      <c r="EU782" s="1"/>
      <c r="EV782" s="1"/>
      <c r="EW782" s="1"/>
      <c r="EX782" s="1"/>
      <c r="EY782" s="1"/>
      <c r="EZ782" s="1"/>
      <c r="FA782" s="1"/>
      <c r="FB782" s="1"/>
      <c r="FC782" s="1"/>
      <c r="FD782" s="1"/>
      <c r="FE782" s="1"/>
      <c r="FF782" s="1"/>
      <c r="FG782" s="1"/>
      <c r="FH782" s="1"/>
      <c r="FI782" s="1"/>
      <c r="FJ782" s="1"/>
      <c r="FK782" s="1"/>
      <c r="FL782" s="1"/>
      <c r="FM782" s="1"/>
      <c r="FN782" s="1"/>
      <c r="FO782" s="1"/>
      <c r="FP782" s="1"/>
      <c r="FQ782" s="1"/>
      <c r="FR782" s="1"/>
      <c r="FS782" s="1"/>
      <c r="FT782" s="1"/>
      <c r="FU782" s="1"/>
      <c r="FV782" s="1"/>
      <c r="FW782" s="1"/>
      <c r="FX782" s="1"/>
      <c r="FY782" s="1"/>
      <c r="FZ782" s="1"/>
      <c r="GA782" s="1"/>
      <c r="GB782" s="1"/>
      <c r="GC782" s="1"/>
      <c r="GD782" s="1"/>
      <c r="GE782" s="1"/>
      <c r="GF782" s="1"/>
      <c r="GG782" s="1"/>
      <c r="GH782" s="1"/>
      <c r="GI782" s="1"/>
      <c r="GJ782" s="1"/>
      <c r="GK782" s="1"/>
      <c r="GL782" s="1"/>
      <c r="GM782" s="1"/>
      <c r="GN782" s="1"/>
      <c r="GO782" s="1"/>
      <c r="GP782" s="1"/>
      <c r="GQ782" s="1"/>
      <c r="GR782" s="1"/>
      <c r="GS782" s="1"/>
      <c r="GT782" s="1"/>
      <c r="GU782" s="1"/>
      <c r="GV782" s="1"/>
      <c r="GW782" s="1"/>
      <c r="GX782" s="1"/>
      <c r="GY782" s="1"/>
      <c r="GZ782" s="1"/>
      <c r="HA782" s="1"/>
      <c r="HB782" s="1"/>
      <c r="HC782" s="1"/>
      <c r="HD782" s="1"/>
      <c r="HE782" s="1"/>
      <c r="HF782" s="1"/>
      <c r="HG782" s="1"/>
      <c r="HH782" s="1"/>
      <c r="HI782" s="1"/>
      <c r="HJ782" s="1"/>
      <c r="HK782" s="1"/>
      <c r="HL782" s="1"/>
      <c r="HM782" s="1"/>
      <c r="HN782" s="1"/>
      <c r="HO782" s="1"/>
      <c r="HP782" s="1"/>
      <c r="HQ782" s="1"/>
      <c r="HR782" s="1"/>
      <c r="HS782" s="1"/>
      <c r="HT782" s="1"/>
      <c r="HU782" s="1"/>
      <c r="HV782" s="1"/>
      <c r="HW782" s="1"/>
      <c r="HX782" s="1"/>
      <c r="HY782" s="1"/>
      <c r="HZ782" s="1"/>
      <c r="IA782" s="1"/>
      <c r="IB782" s="1"/>
      <c r="IC782" s="1"/>
      <c r="ID782" s="1"/>
      <c r="IE782" s="1"/>
      <c r="IF782" s="1"/>
      <c r="IG782" s="1"/>
      <c r="IH782" s="1"/>
      <c r="II782" s="1"/>
      <c r="IJ782" s="1"/>
      <c r="IK782" s="1"/>
      <c r="IL782" s="1"/>
      <c r="IM782" s="1"/>
      <c r="IN782" s="1"/>
      <c r="IO782" s="1"/>
      <c r="IP782" s="1"/>
      <c r="IQ782" s="1"/>
      <c r="IR782" s="1"/>
      <c r="IS782" s="1"/>
      <c r="IT782" s="1"/>
      <c r="IU782" s="1"/>
      <c r="IV782" s="1"/>
      <c r="IW782" s="1"/>
      <c r="IX782" s="1"/>
      <c r="IY782" s="1"/>
      <c r="IZ782" s="1"/>
      <c r="JA782" s="1"/>
      <c r="JB782" s="1"/>
      <c r="JC782" s="1"/>
      <c r="JD782" s="1"/>
    </row>
    <row r="783" spans="1:264" s="347" customFormat="1" x14ac:dyDescent="0.2">
      <c r="A783" s="409" t="s">
        <v>563</v>
      </c>
      <c r="B783" s="348"/>
      <c r="BD783" s="351"/>
      <c r="BE783" s="351"/>
      <c r="BF783" s="351"/>
      <c r="BH783" s="351"/>
      <c r="BI783" s="351"/>
      <c r="BJ783" s="351"/>
      <c r="BK783" s="348"/>
      <c r="BL783" s="351"/>
      <c r="BM783" s="351"/>
      <c r="BN783" s="351"/>
      <c r="BO783" s="393"/>
      <c r="BP783" s="351"/>
      <c r="BQ783" s="351"/>
      <c r="BR783" s="351"/>
      <c r="BS783" s="393"/>
      <c r="BT783" s="351"/>
      <c r="BU783" s="351"/>
      <c r="BV783" s="351"/>
      <c r="BW783" s="393"/>
      <c r="BX783" s="351"/>
      <c r="BY783" s="351"/>
      <c r="BZ783" s="351"/>
      <c r="CA783" s="393"/>
      <c r="CB783" s="351">
        <f>CB808</f>
        <v>0</v>
      </c>
      <c r="CC783" s="351">
        <f>CC808</f>
        <v>0</v>
      </c>
      <c r="CD783" s="351">
        <f>CD808</f>
        <v>0</v>
      </c>
      <c r="CE783" s="393"/>
      <c r="CF783" s="351">
        <f>CF808</f>
        <v>0</v>
      </c>
      <c r="CG783" s="351">
        <f>CG808</f>
        <v>0</v>
      </c>
      <c r="CH783" s="351">
        <f>CH808</f>
        <v>0</v>
      </c>
      <c r="CI783" s="393"/>
      <c r="CJ783" s="351">
        <f>CJ808</f>
        <v>-220</v>
      </c>
      <c r="CK783" s="351">
        <f>CK808</f>
        <v>0</v>
      </c>
      <c r="CL783" s="351">
        <f>CL808</f>
        <v>-220</v>
      </c>
      <c r="CM783" s="393"/>
      <c r="CN783" s="351">
        <f>CN808</f>
        <v>0</v>
      </c>
      <c r="CO783" s="351">
        <f>CO808</f>
        <v>0</v>
      </c>
      <c r="CP783" s="351">
        <f>CP808</f>
        <v>0</v>
      </c>
      <c r="CQ783" s="393"/>
      <c r="CR783" s="351">
        <f>CR808</f>
        <v>0</v>
      </c>
      <c r="CS783" s="351">
        <f>CS808</f>
        <v>-389</v>
      </c>
      <c r="CT783" s="351">
        <f>CT808</f>
        <v>-389</v>
      </c>
      <c r="CU783" s="393"/>
      <c r="CV783" s="351">
        <f>CV808</f>
        <v>0</v>
      </c>
      <c r="CW783" s="351">
        <f>CW808</f>
        <v>0</v>
      </c>
      <c r="CX783" s="351">
        <f>CX808</f>
        <v>0</v>
      </c>
      <c r="CY783" s="393"/>
      <c r="CZ783" s="351">
        <f>CZ808</f>
        <v>0</v>
      </c>
      <c r="DA783" s="351">
        <f>DA808</f>
        <v>0</v>
      </c>
      <c r="DB783" s="351">
        <f>DB808</f>
        <v>0</v>
      </c>
      <c r="DC783" s="393"/>
      <c r="DD783" s="351">
        <f>DD808</f>
        <v>0</v>
      </c>
      <c r="DE783" s="351">
        <f>DE808</f>
        <v>0</v>
      </c>
      <c r="DF783" s="351">
        <f>DF808</f>
        <v>0</v>
      </c>
      <c r="DG783" s="393"/>
      <c r="DH783" s="351">
        <f>DH808</f>
        <v>0</v>
      </c>
      <c r="DI783" s="351">
        <f>DI808</f>
        <v>0</v>
      </c>
      <c r="DJ783" s="351">
        <f>DJ808</f>
        <v>0</v>
      </c>
      <c r="DK783" s="393"/>
      <c r="DL783" s="351">
        <f>DL808</f>
        <v>0</v>
      </c>
      <c r="DM783" s="351">
        <f>DM808</f>
        <v>0</v>
      </c>
      <c r="DN783" s="351">
        <f>DN808</f>
        <v>0</v>
      </c>
      <c r="DO783" s="393"/>
      <c r="DP783" s="351">
        <f>DP808</f>
        <v>0</v>
      </c>
      <c r="DQ783" s="351">
        <f>DQ808</f>
        <v>0</v>
      </c>
      <c r="DR783" s="351">
        <f>DR808</f>
        <v>0</v>
      </c>
      <c r="DS783" s="393"/>
      <c r="DU783" s="1"/>
      <c r="DV783" s="1"/>
      <c r="DW783" s="1"/>
      <c r="DX783" s="1"/>
      <c r="DY783" s="1"/>
      <c r="DZ783" s="1"/>
      <c r="EA783" s="1"/>
      <c r="EB783" s="1"/>
      <c r="EC783" s="1"/>
      <c r="ED783" s="1"/>
      <c r="EE783" s="1"/>
      <c r="EF783" s="1"/>
      <c r="EG783" s="1"/>
      <c r="EH783" s="1"/>
      <c r="EI783" s="1"/>
      <c r="EJ783" s="1"/>
      <c r="EK783" s="1"/>
      <c r="EL783" s="1"/>
      <c r="EM783" s="1"/>
      <c r="EN783" s="1"/>
      <c r="EO783" s="1"/>
      <c r="EP783" s="1"/>
      <c r="EQ783" s="1"/>
      <c r="ER783" s="1"/>
      <c r="ES783" s="1"/>
      <c r="ET783" s="1"/>
      <c r="EU783" s="1"/>
      <c r="EV783" s="1"/>
      <c r="EW783" s="1"/>
      <c r="EX783" s="1"/>
      <c r="EY783" s="1"/>
      <c r="EZ783" s="1"/>
      <c r="FA783" s="1"/>
      <c r="FB783" s="1"/>
      <c r="FC783" s="1"/>
      <c r="FD783" s="1"/>
      <c r="FE783" s="1"/>
      <c r="FF783" s="1"/>
      <c r="FG783" s="1"/>
      <c r="FH783" s="1"/>
      <c r="FI783" s="1"/>
      <c r="FJ783" s="1"/>
      <c r="FK783" s="1"/>
      <c r="FL783" s="1"/>
      <c r="FM783" s="1"/>
      <c r="FN783" s="1"/>
      <c r="FO783" s="1"/>
      <c r="FP783" s="1"/>
      <c r="FQ783" s="1"/>
      <c r="FR783" s="1"/>
      <c r="FS783" s="1"/>
      <c r="FT783" s="1"/>
      <c r="FU783" s="1"/>
      <c r="FV783" s="1"/>
      <c r="FW783" s="1"/>
      <c r="FX783" s="1"/>
      <c r="FY783" s="1"/>
      <c r="FZ783" s="1"/>
      <c r="GA783" s="1"/>
      <c r="GB783" s="1"/>
      <c r="GC783" s="1"/>
      <c r="GD783" s="1"/>
      <c r="GE783" s="1"/>
      <c r="GF783" s="1"/>
      <c r="GG783" s="1"/>
      <c r="GH783" s="1"/>
      <c r="GI783" s="1"/>
      <c r="GJ783" s="1"/>
      <c r="GK783" s="1"/>
      <c r="GL783" s="1"/>
      <c r="GM783" s="1"/>
      <c r="GN783" s="1"/>
      <c r="GO783" s="1"/>
      <c r="GP783" s="1"/>
      <c r="GQ783" s="1"/>
      <c r="GR783" s="1"/>
      <c r="GS783" s="1"/>
      <c r="GT783" s="1"/>
      <c r="GU783" s="1"/>
      <c r="GV783" s="1"/>
      <c r="GW783" s="1"/>
      <c r="GX783" s="1"/>
      <c r="GY783" s="1"/>
      <c r="GZ783" s="1"/>
      <c r="HA783" s="1"/>
      <c r="HB783" s="1"/>
      <c r="HC783" s="1"/>
      <c r="HD783" s="1"/>
      <c r="HE783" s="1"/>
      <c r="HF783" s="1"/>
      <c r="HG783" s="1"/>
      <c r="HH783" s="1"/>
      <c r="HI783" s="1"/>
      <c r="HJ783" s="1"/>
      <c r="HK783" s="1"/>
      <c r="HL783" s="1"/>
      <c r="HM783" s="1"/>
      <c r="HN783" s="1"/>
      <c r="HO783" s="1"/>
      <c r="HP783" s="1"/>
      <c r="HQ783" s="1"/>
      <c r="HR783" s="1"/>
      <c r="HS783" s="1"/>
      <c r="HT783" s="1"/>
      <c r="HU783" s="1"/>
      <c r="HV783" s="1"/>
      <c r="HW783" s="1"/>
      <c r="HX783" s="1"/>
      <c r="HY783" s="1"/>
      <c r="HZ783" s="1"/>
      <c r="IA783" s="1"/>
      <c r="IB783" s="1"/>
      <c r="IC783" s="1"/>
      <c r="ID783" s="1"/>
      <c r="IE783" s="1"/>
      <c r="IF783" s="1"/>
      <c r="IG783" s="1"/>
      <c r="IH783" s="1"/>
      <c r="II783" s="1"/>
      <c r="IJ783" s="1"/>
      <c r="IK783" s="1"/>
      <c r="IL783" s="1"/>
      <c r="IM783" s="1"/>
      <c r="IN783" s="1"/>
      <c r="IO783" s="1"/>
      <c r="IP783" s="1"/>
      <c r="IQ783" s="1"/>
      <c r="IR783" s="1"/>
      <c r="IS783" s="1"/>
      <c r="IT783" s="1"/>
      <c r="IU783" s="1"/>
      <c r="IV783" s="1"/>
      <c r="IW783" s="1"/>
      <c r="IX783" s="1"/>
      <c r="IY783" s="1"/>
      <c r="IZ783" s="1"/>
      <c r="JA783" s="1"/>
      <c r="JB783" s="1"/>
      <c r="JC783" s="1"/>
      <c r="JD783" s="1"/>
    </row>
    <row r="784" spans="1:264" s="347" customFormat="1" x14ac:dyDescent="0.2">
      <c r="A784" s="409" t="s">
        <v>564</v>
      </c>
      <c r="B784" s="348"/>
      <c r="BD784" s="351"/>
      <c r="BE784" s="351"/>
      <c r="BF784" s="351"/>
      <c r="BH784" s="351"/>
      <c r="BI784" s="351"/>
      <c r="BJ784" s="351"/>
      <c r="BK784" s="348"/>
      <c r="BL784" s="351"/>
      <c r="BM784" s="351"/>
      <c r="BN784" s="351"/>
      <c r="BO784" s="393"/>
      <c r="BP784" s="351"/>
      <c r="BQ784" s="351"/>
      <c r="BR784" s="351"/>
      <c r="BS784" s="393"/>
      <c r="BT784" s="351"/>
      <c r="BU784" s="351"/>
      <c r="BV784" s="351"/>
      <c r="BW784" s="393"/>
      <c r="BX784" s="351"/>
      <c r="BY784" s="351"/>
      <c r="BZ784" s="351"/>
      <c r="CA784" s="393"/>
      <c r="CB784" s="351"/>
      <c r="CC784" s="351"/>
      <c r="CD784" s="351"/>
      <c r="CE784" s="393"/>
      <c r="CF784" s="351"/>
      <c r="CG784" s="351"/>
      <c r="CH784" s="351"/>
      <c r="CI784" s="393"/>
      <c r="CJ784" s="351">
        <f>CJ827</f>
        <v>0</v>
      </c>
      <c r="CK784" s="351">
        <f>CK827</f>
        <v>0</v>
      </c>
      <c r="CL784" s="351">
        <f>CL827</f>
        <v>0</v>
      </c>
      <c r="CM784" s="393"/>
      <c r="CN784" s="351">
        <f>CN827</f>
        <v>0</v>
      </c>
      <c r="CO784" s="351">
        <f>CO827</f>
        <v>0</v>
      </c>
      <c r="CP784" s="351">
        <f>CP827</f>
        <v>0</v>
      </c>
      <c r="CQ784" s="393"/>
      <c r="CR784" s="351">
        <f>CR827</f>
        <v>0</v>
      </c>
      <c r="CS784" s="351">
        <f>CS827</f>
        <v>0</v>
      </c>
      <c r="CT784" s="351">
        <f>CT827</f>
        <v>0</v>
      </c>
      <c r="CU784" s="393"/>
      <c r="CV784" s="351">
        <f>CV827</f>
        <v>0</v>
      </c>
      <c r="CW784" s="351">
        <f>CW827</f>
        <v>-212</v>
      </c>
      <c r="CX784" s="351">
        <f>CX827</f>
        <v>-212</v>
      </c>
      <c r="CY784" s="393"/>
      <c r="CZ784" s="351">
        <f>CZ827</f>
        <v>0</v>
      </c>
      <c r="DA784" s="351">
        <f>DA827</f>
        <v>-89</v>
      </c>
      <c r="DB784" s="351">
        <f>DB827</f>
        <v>-89</v>
      </c>
      <c r="DC784" s="393"/>
      <c r="DD784" s="351">
        <f>DD827</f>
        <v>0</v>
      </c>
      <c r="DE784" s="351">
        <f>DE827</f>
        <v>-45</v>
      </c>
      <c r="DF784" s="351">
        <f>DF827</f>
        <v>-45</v>
      </c>
      <c r="DG784" s="393"/>
      <c r="DH784" s="351">
        <f>DH827</f>
        <v>0</v>
      </c>
      <c r="DI784" s="351">
        <f>DI827</f>
        <v>-50</v>
      </c>
      <c r="DJ784" s="351">
        <f>DJ827</f>
        <v>-50</v>
      </c>
      <c r="DK784" s="393"/>
      <c r="DL784" s="351">
        <f>DL827</f>
        <v>0</v>
      </c>
      <c r="DM784" s="351">
        <f>DM827</f>
        <v>-50</v>
      </c>
      <c r="DN784" s="351">
        <f>DN827</f>
        <v>-50</v>
      </c>
      <c r="DO784" s="393"/>
      <c r="DP784" s="351">
        <f>DP827</f>
        <v>0</v>
      </c>
      <c r="DQ784" s="351">
        <f>DQ827</f>
        <v>-50</v>
      </c>
      <c r="DR784" s="351">
        <f>DR827</f>
        <v>-50</v>
      </c>
      <c r="DS784" s="393"/>
      <c r="DU784" s="1"/>
      <c r="DV784" s="1"/>
      <c r="DW784" s="1"/>
      <c r="DX784" s="1"/>
      <c r="DY784" s="1"/>
      <c r="DZ784" s="1"/>
      <c r="EA784" s="1"/>
      <c r="EB784" s="1"/>
      <c r="EC784" s="1"/>
      <c r="ED784" s="1"/>
      <c r="EE784" s="1"/>
      <c r="EF784" s="1"/>
      <c r="EG784" s="1"/>
      <c r="EH784" s="1"/>
      <c r="EI784" s="1"/>
      <c r="EJ784" s="1"/>
      <c r="EK784" s="1"/>
      <c r="EL784" s="1"/>
      <c r="EM784" s="1"/>
      <c r="EN784" s="1"/>
      <c r="EO784" s="1"/>
      <c r="EP784" s="1"/>
      <c r="EQ784" s="1"/>
      <c r="ER784" s="1"/>
      <c r="ES784" s="1"/>
      <c r="ET784" s="1"/>
      <c r="EU784" s="1"/>
      <c r="EV784" s="1"/>
      <c r="EW784" s="1"/>
      <c r="EX784" s="1"/>
      <c r="EY784" s="1"/>
      <c r="EZ784" s="1"/>
      <c r="FA784" s="1"/>
      <c r="FB784" s="1"/>
      <c r="FC784" s="1"/>
      <c r="FD784" s="1"/>
      <c r="FE784" s="1"/>
      <c r="FF784" s="1"/>
      <c r="FG784" s="1"/>
      <c r="FH784" s="1"/>
      <c r="FI784" s="1"/>
      <c r="FJ784" s="1"/>
      <c r="FK784" s="1"/>
      <c r="FL784" s="1"/>
      <c r="FM784" s="1"/>
      <c r="FN784" s="1"/>
      <c r="FO784" s="1"/>
      <c r="FP784" s="1"/>
      <c r="FQ784" s="1"/>
      <c r="FR784" s="1"/>
      <c r="FS784" s="1"/>
      <c r="FT784" s="1"/>
      <c r="FU784" s="1"/>
      <c r="FV784" s="1"/>
      <c r="FW784" s="1"/>
      <c r="FX784" s="1"/>
      <c r="FY784" s="1"/>
      <c r="FZ784" s="1"/>
      <c r="GA784" s="1"/>
      <c r="GB784" s="1"/>
      <c r="GC784" s="1"/>
      <c r="GD784" s="1"/>
      <c r="GE784" s="1"/>
      <c r="GF784" s="1"/>
      <c r="GG784" s="1"/>
      <c r="GH784" s="1"/>
      <c r="GI784" s="1"/>
      <c r="GJ784" s="1"/>
      <c r="GK784" s="1"/>
      <c r="GL784" s="1"/>
      <c r="GM784" s="1"/>
      <c r="GN784" s="1"/>
      <c r="GO784" s="1"/>
      <c r="GP784" s="1"/>
      <c r="GQ784" s="1"/>
      <c r="GR784" s="1"/>
      <c r="GS784" s="1"/>
      <c r="GT784" s="1"/>
      <c r="GU784" s="1"/>
      <c r="GV784" s="1"/>
      <c r="GW784" s="1"/>
      <c r="GX784" s="1"/>
      <c r="GY784" s="1"/>
      <c r="GZ784" s="1"/>
      <c r="HA784" s="1"/>
      <c r="HB784" s="1"/>
      <c r="HC784" s="1"/>
      <c r="HD784" s="1"/>
      <c r="HE784" s="1"/>
      <c r="HF784" s="1"/>
      <c r="HG784" s="1"/>
      <c r="HH784" s="1"/>
      <c r="HI784" s="1"/>
      <c r="HJ784" s="1"/>
      <c r="HK784" s="1"/>
      <c r="HL784" s="1"/>
      <c r="HM784" s="1"/>
      <c r="HN784" s="1"/>
      <c r="HO784" s="1"/>
      <c r="HP784" s="1"/>
      <c r="HQ784" s="1"/>
      <c r="HR784" s="1"/>
      <c r="HS784" s="1"/>
      <c r="HT784" s="1"/>
      <c r="HU784" s="1"/>
      <c r="HV784" s="1"/>
      <c r="HW784" s="1"/>
      <c r="HX784" s="1"/>
      <c r="HY784" s="1"/>
      <c r="HZ784" s="1"/>
      <c r="IA784" s="1"/>
      <c r="IB784" s="1"/>
      <c r="IC784" s="1"/>
      <c r="ID784" s="1"/>
      <c r="IE784" s="1"/>
      <c r="IF784" s="1"/>
      <c r="IG784" s="1"/>
      <c r="IH784" s="1"/>
      <c r="II784" s="1"/>
      <c r="IJ784" s="1"/>
      <c r="IK784" s="1"/>
      <c r="IL784" s="1"/>
      <c r="IM784" s="1"/>
      <c r="IN784" s="1"/>
      <c r="IO784" s="1"/>
      <c r="IP784" s="1"/>
      <c r="IQ784" s="1"/>
      <c r="IR784" s="1"/>
      <c r="IS784" s="1"/>
      <c r="IT784" s="1"/>
      <c r="IU784" s="1"/>
      <c r="IV784" s="1"/>
      <c r="IW784" s="1"/>
      <c r="IX784" s="1"/>
      <c r="IY784" s="1"/>
      <c r="IZ784" s="1"/>
      <c r="JA784" s="1"/>
      <c r="JB784" s="1"/>
      <c r="JC784" s="1"/>
      <c r="JD784" s="1"/>
    </row>
    <row r="785" spans="1:264" s="347" customFormat="1" x14ac:dyDescent="0.2">
      <c r="A785" s="409" t="s">
        <v>248</v>
      </c>
      <c r="B785" s="348"/>
      <c r="BD785" s="351"/>
      <c r="BE785" s="351"/>
      <c r="BF785" s="351"/>
      <c r="BH785" s="351">
        <f>BH840</f>
        <v>0</v>
      </c>
      <c r="BI785" s="351">
        <f>BI840</f>
        <v>0</v>
      </c>
      <c r="BJ785" s="351">
        <f>BJ840</f>
        <v>0</v>
      </c>
      <c r="BK785" s="348"/>
      <c r="BL785" s="351">
        <f>BL840</f>
        <v>0</v>
      </c>
      <c r="BM785" s="351">
        <f>BM840</f>
        <v>0</v>
      </c>
      <c r="BN785" s="351">
        <f>BN840</f>
        <v>0</v>
      </c>
      <c r="BO785" s="393"/>
      <c r="BP785" s="351">
        <f>BP840</f>
        <v>0</v>
      </c>
      <c r="BQ785" s="351">
        <f>BQ840</f>
        <v>0</v>
      </c>
      <c r="BR785" s="351">
        <f>BR840</f>
        <v>0</v>
      </c>
      <c r="BS785" s="393"/>
      <c r="BT785" s="351">
        <f>BT840</f>
        <v>0</v>
      </c>
      <c r="BU785" s="351">
        <f>BU840</f>
        <v>0</v>
      </c>
      <c r="BV785" s="351">
        <f>BV840</f>
        <v>0</v>
      </c>
      <c r="BW785" s="393"/>
      <c r="BX785" s="351">
        <f>BX840</f>
        <v>0</v>
      </c>
      <c r="BY785" s="351">
        <f>BY840</f>
        <v>0</v>
      </c>
      <c r="BZ785" s="351">
        <f>BZ840</f>
        <v>0</v>
      </c>
      <c r="CA785" s="393"/>
      <c r="CB785" s="351">
        <f>CB840</f>
        <v>-110</v>
      </c>
      <c r="CC785" s="351">
        <f>CC840</f>
        <v>-45</v>
      </c>
      <c r="CD785" s="351">
        <f>CD840</f>
        <v>-155</v>
      </c>
      <c r="CE785" s="393"/>
      <c r="CF785" s="351">
        <f>CF840</f>
        <v>-236</v>
      </c>
      <c r="CG785" s="351">
        <f>CG840</f>
        <v>-599</v>
      </c>
      <c r="CH785" s="351">
        <f>CH840</f>
        <v>-835</v>
      </c>
      <c r="CI785" s="393"/>
      <c r="CJ785" s="351">
        <f>CJ840</f>
        <v>0</v>
      </c>
      <c r="CK785" s="351">
        <f>CK840</f>
        <v>-461</v>
      </c>
      <c r="CL785" s="351">
        <f>CL840</f>
        <v>-461</v>
      </c>
      <c r="CM785" s="393"/>
      <c r="CN785" s="351">
        <f>CN840</f>
        <v>-242</v>
      </c>
      <c r="CO785" s="351">
        <f>CO840</f>
        <v>-333</v>
      </c>
      <c r="CP785" s="351">
        <f>CP840</f>
        <v>-575</v>
      </c>
      <c r="CQ785" s="393"/>
      <c r="CR785" s="351">
        <f>CR840</f>
        <v>-93</v>
      </c>
      <c r="CS785" s="351">
        <f>CS840</f>
        <v>-158</v>
      </c>
      <c r="CT785" s="351">
        <f>CT840</f>
        <v>-251</v>
      </c>
      <c r="CU785" s="393"/>
      <c r="CV785" s="351">
        <f>CV840</f>
        <v>-137</v>
      </c>
      <c r="CW785" s="351">
        <f>CW840</f>
        <v>0</v>
      </c>
      <c r="CX785" s="351">
        <f>CX840</f>
        <v>0</v>
      </c>
      <c r="CY785" s="393"/>
      <c r="CZ785" s="351">
        <f>CZ840</f>
        <v>0</v>
      </c>
      <c r="DA785" s="351">
        <f>DA840</f>
        <v>0</v>
      </c>
      <c r="DB785" s="351">
        <f>DB840</f>
        <v>0</v>
      </c>
      <c r="DC785" s="393"/>
      <c r="DD785" s="351">
        <f>DD840</f>
        <v>0</v>
      </c>
      <c r="DE785" s="351">
        <f>DE840</f>
        <v>-85</v>
      </c>
      <c r="DF785" s="351">
        <f>DF840</f>
        <v>-85</v>
      </c>
      <c r="DG785" s="393"/>
      <c r="DH785" s="351">
        <f>DH840</f>
        <v>-170</v>
      </c>
      <c r="DI785" s="351">
        <f>DI840</f>
        <v>0</v>
      </c>
      <c r="DJ785" s="351">
        <f>DJ840</f>
        <v>-170</v>
      </c>
      <c r="DK785" s="393"/>
      <c r="DL785" s="351">
        <f>DL840</f>
        <v>0</v>
      </c>
      <c r="DM785" s="351">
        <f>DM840</f>
        <v>0</v>
      </c>
      <c r="DN785" s="351">
        <f>DN840</f>
        <v>0</v>
      </c>
      <c r="DO785" s="393"/>
      <c r="DP785" s="351">
        <f>DP840</f>
        <v>0</v>
      </c>
      <c r="DQ785" s="351">
        <f>DQ840</f>
        <v>0</v>
      </c>
      <c r="DR785" s="351">
        <f>DR840</f>
        <v>0</v>
      </c>
      <c r="DS785" s="393"/>
      <c r="DU785" s="1"/>
      <c r="DV785" s="1"/>
      <c r="DW785" s="1"/>
      <c r="DX785" s="1"/>
      <c r="DY785" s="1"/>
      <c r="DZ785" s="1"/>
      <c r="EA785" s="1"/>
      <c r="EB785" s="1"/>
      <c r="EC785" s="1"/>
      <c r="ED785" s="1"/>
      <c r="EE785" s="1"/>
      <c r="EF785" s="1"/>
      <c r="EG785" s="1"/>
      <c r="EH785" s="1"/>
      <c r="EI785" s="1"/>
      <c r="EJ785" s="1"/>
      <c r="EK785" s="1"/>
      <c r="EL785" s="1"/>
      <c r="EM785" s="1"/>
      <c r="EN785" s="1"/>
      <c r="EO785" s="1"/>
      <c r="EP785" s="1"/>
      <c r="EQ785" s="1"/>
      <c r="ER785" s="1"/>
      <c r="ES785" s="1"/>
      <c r="ET785" s="1"/>
      <c r="EU785" s="1"/>
      <c r="EV785" s="1"/>
      <c r="EW785" s="1"/>
      <c r="EX785" s="1"/>
      <c r="EY785" s="1"/>
      <c r="EZ785" s="1"/>
      <c r="FA785" s="1"/>
      <c r="FB785" s="1"/>
      <c r="FC785" s="1"/>
      <c r="FD785" s="1"/>
      <c r="FE785" s="1"/>
      <c r="FF785" s="1"/>
      <c r="FG785" s="1"/>
      <c r="FH785" s="1"/>
      <c r="FI785" s="1"/>
      <c r="FJ785" s="1"/>
      <c r="FK785" s="1"/>
      <c r="FL785" s="1"/>
      <c r="FM785" s="1"/>
      <c r="FN785" s="1"/>
      <c r="FO785" s="1"/>
      <c r="FP785" s="1"/>
      <c r="FQ785" s="1"/>
      <c r="FR785" s="1"/>
      <c r="FS785" s="1"/>
      <c r="FT785" s="1"/>
      <c r="FU785" s="1"/>
      <c r="FV785" s="1"/>
      <c r="FW785" s="1"/>
      <c r="FX785" s="1"/>
      <c r="FY785" s="1"/>
      <c r="FZ785" s="1"/>
      <c r="GA785" s="1"/>
      <c r="GB785" s="1"/>
      <c r="GC785" s="1"/>
      <c r="GD785" s="1"/>
      <c r="GE785" s="1"/>
      <c r="GF785" s="1"/>
      <c r="GG785" s="1"/>
      <c r="GH785" s="1"/>
      <c r="GI785" s="1"/>
      <c r="GJ785" s="1"/>
      <c r="GK785" s="1"/>
      <c r="GL785" s="1"/>
      <c r="GM785" s="1"/>
      <c r="GN785" s="1"/>
      <c r="GO785" s="1"/>
      <c r="GP785" s="1"/>
      <c r="GQ785" s="1"/>
      <c r="GR785" s="1"/>
      <c r="GS785" s="1"/>
      <c r="GT785" s="1"/>
      <c r="GU785" s="1"/>
      <c r="GV785" s="1"/>
      <c r="GW785" s="1"/>
      <c r="GX785" s="1"/>
      <c r="GY785" s="1"/>
      <c r="GZ785" s="1"/>
      <c r="HA785" s="1"/>
      <c r="HB785" s="1"/>
      <c r="HC785" s="1"/>
      <c r="HD785" s="1"/>
      <c r="HE785" s="1"/>
      <c r="HF785" s="1"/>
      <c r="HG785" s="1"/>
      <c r="HH785" s="1"/>
      <c r="HI785" s="1"/>
      <c r="HJ785" s="1"/>
      <c r="HK785" s="1"/>
      <c r="HL785" s="1"/>
      <c r="HM785" s="1"/>
      <c r="HN785" s="1"/>
      <c r="HO785" s="1"/>
      <c r="HP785" s="1"/>
      <c r="HQ785" s="1"/>
      <c r="HR785" s="1"/>
      <c r="HS785" s="1"/>
      <c r="HT785" s="1"/>
      <c r="HU785" s="1"/>
      <c r="HV785" s="1"/>
      <c r="HW785" s="1"/>
      <c r="HX785" s="1"/>
      <c r="HY785" s="1"/>
      <c r="HZ785" s="1"/>
      <c r="IA785" s="1"/>
      <c r="IB785" s="1"/>
      <c r="IC785" s="1"/>
      <c r="ID785" s="1"/>
      <c r="IE785" s="1"/>
      <c r="IF785" s="1"/>
      <c r="IG785" s="1"/>
      <c r="IH785" s="1"/>
      <c r="II785" s="1"/>
      <c r="IJ785" s="1"/>
      <c r="IK785" s="1"/>
      <c r="IL785" s="1"/>
      <c r="IM785" s="1"/>
      <c r="IN785" s="1"/>
      <c r="IO785" s="1"/>
      <c r="IP785" s="1"/>
      <c r="IQ785" s="1"/>
      <c r="IR785" s="1"/>
      <c r="IS785" s="1"/>
      <c r="IT785" s="1"/>
      <c r="IU785" s="1"/>
      <c r="IV785" s="1"/>
      <c r="IW785" s="1"/>
      <c r="IX785" s="1"/>
      <c r="IY785" s="1"/>
      <c r="IZ785" s="1"/>
      <c r="JA785" s="1"/>
      <c r="JB785" s="1"/>
      <c r="JC785" s="1"/>
      <c r="JD785" s="1"/>
    </row>
    <row r="786" spans="1:264" s="347" customFormat="1" x14ac:dyDescent="0.2">
      <c r="A786" s="654" t="s">
        <v>565</v>
      </c>
      <c r="B786" s="446"/>
      <c r="C786" s="447"/>
      <c r="D786" s="447"/>
      <c r="E786" s="447"/>
      <c r="F786" s="447"/>
      <c r="G786" s="447"/>
      <c r="H786" s="447"/>
      <c r="I786" s="447"/>
      <c r="J786" s="447"/>
      <c r="K786" s="447"/>
      <c r="L786" s="447"/>
      <c r="M786" s="447"/>
      <c r="N786" s="447"/>
      <c r="O786" s="447"/>
      <c r="P786" s="447"/>
      <c r="Q786" s="447"/>
      <c r="R786" s="447"/>
      <c r="S786" s="447"/>
      <c r="T786" s="447"/>
      <c r="U786" s="447"/>
      <c r="V786" s="447"/>
      <c r="W786" s="447"/>
      <c r="X786" s="447"/>
      <c r="Y786" s="447"/>
      <c r="Z786" s="447"/>
      <c r="AA786" s="447"/>
      <c r="AB786" s="447"/>
      <c r="AC786" s="447"/>
      <c r="AD786" s="447"/>
      <c r="AE786" s="447"/>
      <c r="AF786" s="447"/>
      <c r="AG786" s="447"/>
      <c r="AH786" s="447"/>
      <c r="AI786" s="447"/>
      <c r="AJ786" s="447"/>
      <c r="AK786" s="447"/>
      <c r="AL786" s="447"/>
      <c r="AM786" s="447"/>
      <c r="AN786" s="447"/>
      <c r="AO786" s="447"/>
      <c r="AP786" s="447"/>
      <c r="AQ786" s="447"/>
      <c r="AR786" s="447"/>
      <c r="AS786" s="447"/>
      <c r="AT786" s="447"/>
      <c r="AU786" s="447"/>
      <c r="AV786" s="447"/>
      <c r="AW786" s="447"/>
      <c r="AX786" s="447"/>
      <c r="AY786" s="447"/>
      <c r="AZ786" s="447"/>
      <c r="BA786" s="447"/>
      <c r="BB786" s="447"/>
      <c r="BC786" s="447"/>
      <c r="BD786" s="449"/>
      <c r="BE786" s="449"/>
      <c r="BF786" s="449"/>
      <c r="BG786" s="447"/>
      <c r="BH786" s="449"/>
      <c r="BI786" s="449"/>
      <c r="BJ786" s="449"/>
      <c r="BK786" s="446"/>
      <c r="BL786" s="449"/>
      <c r="BM786" s="449"/>
      <c r="BN786" s="449"/>
      <c r="BO786" s="478"/>
      <c r="BP786" s="449"/>
      <c r="BQ786" s="449"/>
      <c r="BR786" s="449"/>
      <c r="BS786" s="478"/>
      <c r="BT786" s="449"/>
      <c r="BU786" s="449"/>
      <c r="BV786" s="449"/>
      <c r="BW786" s="478"/>
      <c r="BX786" s="449"/>
      <c r="BY786" s="449"/>
      <c r="BZ786" s="449"/>
      <c r="CA786" s="478"/>
      <c r="CB786" s="448">
        <v>0</v>
      </c>
      <c r="CC786" s="448">
        <v>0</v>
      </c>
      <c r="CD786" s="449">
        <f>+CB786+CC786</f>
        <v>0</v>
      </c>
      <c r="CE786" s="478"/>
      <c r="CF786" s="448">
        <v>0</v>
      </c>
      <c r="CG786" s="448">
        <v>0</v>
      </c>
      <c r="CH786" s="449">
        <f>+CF786+CG786</f>
        <v>0</v>
      </c>
      <c r="CI786" s="478"/>
      <c r="CJ786" s="450">
        <v>200</v>
      </c>
      <c r="CK786" s="448">
        <v>0</v>
      </c>
      <c r="CL786" s="449">
        <f>+CJ786+CK786</f>
        <v>200</v>
      </c>
      <c r="CM786" s="478"/>
      <c r="CN786" s="450">
        <v>0</v>
      </c>
      <c r="CO786" s="448">
        <v>0</v>
      </c>
      <c r="CP786" s="449">
        <f>+CN786+CO786</f>
        <v>0</v>
      </c>
      <c r="CQ786" s="478"/>
      <c r="CR786" s="450">
        <v>0</v>
      </c>
      <c r="CS786" s="448">
        <v>0</v>
      </c>
      <c r="CT786" s="449">
        <f>+CR786+CS786</f>
        <v>0</v>
      </c>
      <c r="CU786" s="478"/>
      <c r="CV786" s="450">
        <v>0</v>
      </c>
      <c r="CW786" s="448">
        <v>0</v>
      </c>
      <c r="CX786" s="449">
        <f>+CV786+CW786</f>
        <v>0</v>
      </c>
      <c r="CY786" s="478"/>
      <c r="CZ786" s="450">
        <v>0</v>
      </c>
      <c r="DA786" s="448">
        <v>0</v>
      </c>
      <c r="DB786" s="449">
        <f>+CZ786+DA786</f>
        <v>0</v>
      </c>
      <c r="DC786" s="478"/>
      <c r="DD786" s="450">
        <v>0</v>
      </c>
      <c r="DE786" s="448">
        <v>0</v>
      </c>
      <c r="DF786" s="449">
        <f>+DD786+DE786</f>
        <v>0</v>
      </c>
      <c r="DG786" s="478"/>
      <c r="DH786" s="450">
        <v>0</v>
      </c>
      <c r="DI786" s="448">
        <v>0</v>
      </c>
      <c r="DJ786" s="449">
        <f>+DH786+DI786</f>
        <v>0</v>
      </c>
      <c r="DK786" s="478"/>
      <c r="DL786" s="448">
        <v>0</v>
      </c>
      <c r="DM786" s="448">
        <v>0</v>
      </c>
      <c r="DN786" s="449">
        <f>+DL786+DM786</f>
        <v>0</v>
      </c>
      <c r="DO786" s="478"/>
      <c r="DP786" s="448">
        <v>0</v>
      </c>
      <c r="DQ786" s="448">
        <v>0</v>
      </c>
      <c r="DR786" s="449">
        <f>+DP786+DQ786</f>
        <v>0</v>
      </c>
      <c r="DS786" s="478"/>
      <c r="DU786" s="1"/>
      <c r="DV786" s="1"/>
      <c r="DW786" s="1"/>
      <c r="DX786" s="1"/>
      <c r="DY786" s="1"/>
      <c r="DZ786" s="1"/>
      <c r="EA786" s="1"/>
      <c r="EB786" s="1"/>
      <c r="EC786" s="1"/>
      <c r="ED786" s="1"/>
      <c r="EE786" s="1"/>
      <c r="EF786" s="1"/>
      <c r="EG786" s="1"/>
      <c r="EH786" s="1"/>
      <c r="EI786" s="1"/>
      <c r="EJ786" s="1"/>
      <c r="EK786" s="1"/>
      <c r="EL786" s="1"/>
      <c r="EM786" s="1"/>
      <c r="EN786" s="1"/>
      <c r="EO786" s="1"/>
      <c r="EP786" s="1"/>
      <c r="EQ786" s="1"/>
      <c r="ER786" s="1"/>
      <c r="ES786" s="1"/>
      <c r="ET786" s="1"/>
      <c r="EU786" s="1"/>
      <c r="EV786" s="1"/>
      <c r="EW786" s="1"/>
      <c r="EX786" s="1"/>
      <c r="EY786" s="1"/>
      <c r="EZ786" s="1"/>
      <c r="FA786" s="1"/>
      <c r="FB786" s="1"/>
      <c r="FC786" s="1"/>
      <c r="FD786" s="1"/>
      <c r="FE786" s="1"/>
      <c r="FF786" s="1"/>
      <c r="FG786" s="1"/>
      <c r="FH786" s="1"/>
      <c r="FI786" s="1"/>
      <c r="FJ786" s="1"/>
      <c r="FK786" s="1"/>
      <c r="FL786" s="1"/>
      <c r="FM786" s="1"/>
      <c r="FN786" s="1"/>
      <c r="FO786" s="1"/>
      <c r="FP786" s="1"/>
      <c r="FQ786" s="1"/>
      <c r="FR786" s="1"/>
      <c r="FS786" s="1"/>
      <c r="FT786" s="1"/>
      <c r="FU786" s="1"/>
      <c r="FV786" s="1"/>
      <c r="FW786" s="1"/>
      <c r="FX786" s="1"/>
      <c r="FY786" s="1"/>
      <c r="FZ786" s="1"/>
      <c r="GA786" s="1"/>
      <c r="GB786" s="1"/>
      <c r="GC786" s="1"/>
      <c r="GD786" s="1"/>
      <c r="GE786" s="1"/>
      <c r="GF786" s="1"/>
      <c r="GG786" s="1"/>
      <c r="GH786" s="1"/>
      <c r="GI786" s="1"/>
      <c r="GJ786" s="1"/>
      <c r="GK786" s="1"/>
      <c r="GL786" s="1"/>
      <c r="GM786" s="1"/>
      <c r="GN786" s="1"/>
      <c r="GO786" s="1"/>
      <c r="GP786" s="1"/>
      <c r="GQ786" s="1"/>
      <c r="GR786" s="1"/>
      <c r="GS786" s="1"/>
      <c r="GT786" s="1"/>
      <c r="GU786" s="1"/>
      <c r="GV786" s="1"/>
      <c r="GW786" s="1"/>
      <c r="GX786" s="1"/>
      <c r="GY786" s="1"/>
      <c r="GZ786" s="1"/>
      <c r="HA786" s="1"/>
      <c r="HB786" s="1"/>
      <c r="HC786" s="1"/>
      <c r="HD786" s="1"/>
      <c r="HE786" s="1"/>
      <c r="HF786" s="1"/>
      <c r="HG786" s="1"/>
      <c r="HH786" s="1"/>
      <c r="HI786" s="1"/>
      <c r="HJ786" s="1"/>
      <c r="HK786" s="1"/>
      <c r="HL786" s="1"/>
      <c r="HM786" s="1"/>
      <c r="HN786" s="1"/>
      <c r="HO786" s="1"/>
      <c r="HP786" s="1"/>
      <c r="HQ786" s="1"/>
      <c r="HR786" s="1"/>
      <c r="HS786" s="1"/>
      <c r="HT786" s="1"/>
      <c r="HU786" s="1"/>
      <c r="HV786" s="1"/>
      <c r="HW786" s="1"/>
      <c r="HX786" s="1"/>
      <c r="HY786" s="1"/>
      <c r="HZ786" s="1"/>
      <c r="IA786" s="1"/>
      <c r="IB786" s="1"/>
      <c r="IC786" s="1"/>
      <c r="ID786" s="1"/>
      <c r="IE786" s="1"/>
      <c r="IF786" s="1"/>
      <c r="IG786" s="1"/>
      <c r="IH786" s="1"/>
      <c r="II786" s="1"/>
      <c r="IJ786" s="1"/>
      <c r="IK786" s="1"/>
      <c r="IL786" s="1"/>
      <c r="IM786" s="1"/>
      <c r="IN786" s="1"/>
      <c r="IO786" s="1"/>
      <c r="IP786" s="1"/>
      <c r="IQ786" s="1"/>
      <c r="IR786" s="1"/>
      <c r="IS786" s="1"/>
      <c r="IT786" s="1"/>
      <c r="IU786" s="1"/>
      <c r="IV786" s="1"/>
      <c r="IW786" s="1"/>
      <c r="IX786" s="1"/>
      <c r="IY786" s="1"/>
      <c r="IZ786" s="1"/>
      <c r="JA786" s="1"/>
      <c r="JB786" s="1"/>
      <c r="JC786" s="1"/>
      <c r="JD786" s="1"/>
    </row>
    <row r="787" spans="1:264" s="347" customFormat="1" x14ac:dyDescent="0.2">
      <c r="A787" s="655" t="s">
        <v>266</v>
      </c>
      <c r="B787" s="656"/>
      <c r="C787" s="657"/>
      <c r="D787" s="657"/>
      <c r="E787" s="657"/>
      <c r="F787" s="657"/>
      <c r="G787" s="657"/>
      <c r="H787" s="657"/>
      <c r="I787" s="657"/>
      <c r="J787" s="657"/>
      <c r="K787" s="657"/>
      <c r="L787" s="657"/>
      <c r="M787" s="657"/>
      <c r="N787" s="657"/>
      <c r="O787" s="657"/>
      <c r="P787" s="657"/>
      <c r="Q787" s="657"/>
      <c r="R787" s="657"/>
      <c r="S787" s="657"/>
      <c r="T787" s="657"/>
      <c r="U787" s="657"/>
      <c r="V787" s="657"/>
      <c r="W787" s="657"/>
      <c r="X787" s="657"/>
      <c r="Y787" s="657"/>
      <c r="Z787" s="657"/>
      <c r="AA787" s="657"/>
      <c r="AB787" s="657"/>
      <c r="AC787" s="657"/>
      <c r="AD787" s="657"/>
      <c r="AE787" s="657"/>
      <c r="AF787" s="657"/>
      <c r="AG787" s="657"/>
      <c r="AH787" s="657"/>
      <c r="AI787" s="657"/>
      <c r="AJ787" s="657"/>
      <c r="AK787" s="657"/>
      <c r="AL787" s="657"/>
      <c r="AM787" s="657"/>
      <c r="AN787" s="657"/>
      <c r="AO787" s="657"/>
      <c r="AP787" s="657"/>
      <c r="AQ787" s="657"/>
      <c r="AR787" s="657"/>
      <c r="AS787" s="657"/>
      <c r="AT787" s="657"/>
      <c r="AU787" s="657"/>
      <c r="AV787" s="657"/>
      <c r="AW787" s="657"/>
      <c r="AX787" s="657"/>
      <c r="AY787" s="657"/>
      <c r="AZ787" s="657"/>
      <c r="BA787" s="657"/>
      <c r="BB787" s="657"/>
      <c r="BC787" s="657"/>
      <c r="BD787" s="658"/>
      <c r="BE787" s="658"/>
      <c r="BF787" s="658"/>
      <c r="BG787" s="657"/>
      <c r="BH787" s="658">
        <f>BH780-SUM(BH781:BH786)</f>
        <v>-4467</v>
      </c>
      <c r="BI787" s="658">
        <f>BI780-SUM(BI781:BI786)</f>
        <v>-4543</v>
      </c>
      <c r="BJ787" s="658">
        <f>BJ780-SUM(BJ781:BJ786)</f>
        <v>-9010</v>
      </c>
      <c r="BK787" s="656"/>
      <c r="BL787" s="658">
        <f>BL780-SUM(BL781:BL786)</f>
        <v>-4751</v>
      </c>
      <c r="BM787" s="658">
        <f>BM780-SUM(BM781:BM786)</f>
        <v>-4748</v>
      </c>
      <c r="BN787" s="658">
        <f>BN780-SUM(BN781:BN786)</f>
        <v>-9499</v>
      </c>
      <c r="BO787" s="659">
        <f>+BN787/BJ787-1</f>
        <v>5.4273029966703579E-2</v>
      </c>
      <c r="BP787" s="658">
        <f>BP780-SUM(BP781:BP786)</f>
        <v>-4914</v>
      </c>
      <c r="BQ787" s="658">
        <f>BQ780-SUM(BQ781:BQ786)</f>
        <v>-5079</v>
      </c>
      <c r="BR787" s="658">
        <f>BR780-SUM(BR781:BR786)</f>
        <v>-9993</v>
      </c>
      <c r="BS787" s="659">
        <f>+BR787/BN787-1</f>
        <v>5.2005474260448548E-2</v>
      </c>
      <c r="BT787" s="658">
        <f>BT780-SUM(BT781:BT786)</f>
        <v>-5210</v>
      </c>
      <c r="BU787" s="658">
        <f>BU780-SUM(BU781:BU786)</f>
        <v>-5224</v>
      </c>
      <c r="BV787" s="658">
        <f>BV780-SUM(BV781:BV786)</f>
        <v>-10434</v>
      </c>
      <c r="BW787" s="659">
        <f>+BV787/BR787-1</f>
        <v>4.413089162413697E-2</v>
      </c>
      <c r="BX787" s="658">
        <f>BX780-SUM(BX781:BX786)</f>
        <v>-5474</v>
      </c>
      <c r="BY787" s="658">
        <f>BY780-SUM(BY781:BY786)</f>
        <v>-5148</v>
      </c>
      <c r="BZ787" s="658">
        <f>BZ780-SUM(BZ781:BZ786)</f>
        <v>-10622</v>
      </c>
      <c r="CA787" s="659">
        <f>+BZ787/BV787-1</f>
        <v>1.8018018018018056E-2</v>
      </c>
      <c r="CB787" s="658">
        <f>CB780-SUM(CB781:CB786)</f>
        <v>-4971</v>
      </c>
      <c r="CC787" s="658">
        <f>CC780-SUM(CC781:CC786)</f>
        <v>-5169</v>
      </c>
      <c r="CD787" s="658">
        <f>CD780-SUM(CD781:CD786)</f>
        <v>-10140</v>
      </c>
      <c r="CE787" s="659">
        <f>+CD787/BZ787-1</f>
        <v>-4.5377518358124647E-2</v>
      </c>
      <c r="CF787" s="658">
        <f>CF780-SUM(CF781:CF786)</f>
        <v>-4975</v>
      </c>
      <c r="CG787" s="658">
        <f>CG780-SUM(CG781:CG786)</f>
        <v>-5159</v>
      </c>
      <c r="CH787" s="658">
        <f>CH780-SUM(CH781:CH786)</f>
        <v>-10134</v>
      </c>
      <c r="CI787" s="659">
        <f>+CH787/CD787-1</f>
        <v>-5.9171597633134176E-4</v>
      </c>
      <c r="CJ787" s="658">
        <f>CJ780-SUM(CJ781:CJ786)</f>
        <v>-5237</v>
      </c>
      <c r="CK787" s="658">
        <f>CK780-SUM(CK781:CK786)</f>
        <v>-5278</v>
      </c>
      <c r="CL787" s="658">
        <f>CL780-SUM(CL781:CL786)</f>
        <v>-10515</v>
      </c>
      <c r="CM787" s="659">
        <f>+CL787/CH787-1</f>
        <v>3.7596210775606931E-2</v>
      </c>
      <c r="CN787" s="658">
        <f>CN780-SUM(CN781:CN786)</f>
        <v>-5349</v>
      </c>
      <c r="CO787" s="658">
        <f>CO780-SUM(CO781:CO786)</f>
        <v>-5435</v>
      </c>
      <c r="CP787" s="658">
        <f>CP780-SUM(CP781:CP786)</f>
        <v>-10784</v>
      </c>
      <c r="CQ787" s="659">
        <f>+CP787/CL787-1</f>
        <v>2.5582501188778028E-2</v>
      </c>
      <c r="CR787" s="658">
        <f>CR780-SUM(CR781:CR786)</f>
        <v>-5397</v>
      </c>
      <c r="CS787" s="658">
        <f>CS780-SUM(CS781:CS786)</f>
        <v>-5391</v>
      </c>
      <c r="CT787" s="658">
        <f>CT780-SUM(CT781:CT786)</f>
        <v>-10788</v>
      </c>
      <c r="CU787" s="659">
        <f>+CT787/CP787-1</f>
        <v>3.7091988130555364E-4</v>
      </c>
      <c r="CV787" s="658">
        <f>CV780-SUM(CV781:CV786)</f>
        <v>-5636</v>
      </c>
      <c r="CW787" s="658">
        <f>CW780-SUM(CW781:CW786)</f>
        <v>-5873</v>
      </c>
      <c r="CX787" s="658">
        <f>CX780-SUM(CX781:CX786)</f>
        <v>-11646</v>
      </c>
      <c r="CY787" s="659">
        <f>+CX787/CT787-1</f>
        <v>7.953281423804226E-2</v>
      </c>
      <c r="CZ787" s="658">
        <f>CZ780-SUM(CZ781:CZ786)</f>
        <v>-6011</v>
      </c>
      <c r="DA787" s="658">
        <f>DA780-SUM(DA781:DA786)</f>
        <v>-6118</v>
      </c>
      <c r="DB787" s="658">
        <f>DB780-SUM(DB781:DB786)</f>
        <v>-12129</v>
      </c>
      <c r="DC787" s="659">
        <f>+DB787/CX787-1</f>
        <v>4.1473467284904642E-2</v>
      </c>
      <c r="DD787" s="658">
        <f>DD780-SUM(DD781:DD786)</f>
        <v>-6372</v>
      </c>
      <c r="DE787" s="658">
        <f>DE780-SUM(DE781:DE786)</f>
        <v>-6494</v>
      </c>
      <c r="DF787" s="658">
        <f>DF780-SUM(DF781:DF786)</f>
        <v>-12866</v>
      </c>
      <c r="DG787" s="659">
        <f>+DF787/DB787-1</f>
        <v>6.0763459477285897E-2</v>
      </c>
      <c r="DH787" s="658">
        <f>DH780-SUM(DH781:DH786)</f>
        <v>-6720</v>
      </c>
      <c r="DI787" s="658">
        <f>DI780-SUM(DI781:DI786)</f>
        <v>-6740.2006014272984</v>
      </c>
      <c r="DJ787" s="658">
        <f>DJ780-SUM(DJ781:DJ786)</f>
        <v>-13460.200601427299</v>
      </c>
      <c r="DK787" s="659">
        <f>+DJ787/DF787-1</f>
        <v>4.6183786835636509E-2</v>
      </c>
      <c r="DL787" s="658">
        <f>DL780-SUM(DL781:DL786)</f>
        <v>-7001.0985366253462</v>
      </c>
      <c r="DM787" s="658">
        <f>DM780-SUM(DM781:DM786)</f>
        <v>-7022.4476853043052</v>
      </c>
      <c r="DN787" s="658">
        <f>DN780-SUM(DN781:DN786)</f>
        <v>-14023.546221929651</v>
      </c>
      <c r="DO787" s="659">
        <f>+DN787/DJ787-1</f>
        <v>4.1852691292179944E-2</v>
      </c>
      <c r="DP787" s="658">
        <f>DP780-SUM(DP781:DP786)</f>
        <v>-7290.0077743019428</v>
      </c>
      <c r="DQ787" s="658">
        <f>DQ780-SUM(DQ781:DQ786)</f>
        <v>-7332.2091061050687</v>
      </c>
      <c r="DR787" s="658">
        <f>DR780-SUM(DR781:DR786)</f>
        <v>-14622.21688040701</v>
      </c>
      <c r="DS787" s="659">
        <f>+DR787/DN787-1</f>
        <v>4.2690390077024354E-2</v>
      </c>
      <c r="DU787" s="1"/>
      <c r="DV787" s="1"/>
      <c r="DW787" s="1"/>
      <c r="DX787" s="1"/>
      <c r="DY787" s="1"/>
      <c r="DZ787" s="1"/>
      <c r="EA787" s="1"/>
      <c r="EB787" s="1"/>
      <c r="EC787" s="1"/>
      <c r="ED787" s="1"/>
      <c r="EE787" s="1"/>
      <c r="EF787" s="1"/>
      <c r="EG787" s="1"/>
      <c r="EH787" s="1"/>
      <c r="EI787" s="1"/>
      <c r="EJ787" s="1"/>
      <c r="EK787" s="1"/>
      <c r="EL787" s="1"/>
      <c r="EM787" s="1"/>
      <c r="EN787" s="1"/>
      <c r="EO787" s="1"/>
      <c r="EP787" s="1"/>
      <c r="EQ787" s="1"/>
      <c r="ER787" s="1"/>
      <c r="ES787" s="1"/>
      <c r="ET787" s="1"/>
      <c r="EU787" s="1"/>
      <c r="EV787" s="1"/>
      <c r="EW787" s="1"/>
      <c r="EX787" s="1"/>
      <c r="EY787" s="1"/>
      <c r="EZ787" s="1"/>
      <c r="FA787" s="1"/>
      <c r="FB787" s="1"/>
      <c r="FC787" s="1"/>
      <c r="FD787" s="1"/>
      <c r="FE787" s="1"/>
      <c r="FF787" s="1"/>
      <c r="FG787" s="1"/>
      <c r="FH787" s="1"/>
      <c r="FI787" s="1"/>
      <c r="FJ787" s="1"/>
      <c r="FK787" s="1"/>
      <c r="FL787" s="1"/>
      <c r="FM787" s="1"/>
      <c r="FN787" s="1"/>
      <c r="FO787" s="1"/>
      <c r="FP787" s="1"/>
      <c r="FQ787" s="1"/>
      <c r="FR787" s="1"/>
      <c r="FS787" s="1"/>
      <c r="FT787" s="1"/>
      <c r="FU787" s="1"/>
      <c r="FV787" s="1"/>
      <c r="FW787" s="1"/>
      <c r="FX787" s="1"/>
      <c r="FY787" s="1"/>
      <c r="FZ787" s="1"/>
      <c r="GA787" s="1"/>
      <c r="GB787" s="1"/>
      <c r="GC787" s="1"/>
      <c r="GD787" s="1"/>
      <c r="GE787" s="1"/>
      <c r="GF787" s="1"/>
      <c r="GG787" s="1"/>
      <c r="GH787" s="1"/>
      <c r="GI787" s="1"/>
      <c r="GJ787" s="1"/>
      <c r="GK787" s="1"/>
      <c r="GL787" s="1"/>
      <c r="GM787" s="1"/>
      <c r="GN787" s="1"/>
      <c r="GO787" s="1"/>
      <c r="GP787" s="1"/>
      <c r="GQ787" s="1"/>
      <c r="GR787" s="1"/>
      <c r="GS787" s="1"/>
      <c r="GT787" s="1"/>
      <c r="GU787" s="1"/>
      <c r="GV787" s="1"/>
      <c r="GW787" s="1"/>
      <c r="GX787" s="1"/>
      <c r="GY787" s="1"/>
      <c r="GZ787" s="1"/>
      <c r="HA787" s="1"/>
      <c r="HB787" s="1"/>
      <c r="HC787" s="1"/>
      <c r="HD787" s="1"/>
      <c r="HE787" s="1"/>
      <c r="HF787" s="1"/>
      <c r="HG787" s="1"/>
      <c r="HH787" s="1"/>
      <c r="HI787" s="1"/>
      <c r="HJ787" s="1"/>
      <c r="HK787" s="1"/>
      <c r="HL787" s="1"/>
      <c r="HM787" s="1"/>
      <c r="HN787" s="1"/>
      <c r="HO787" s="1"/>
      <c r="HP787" s="1"/>
      <c r="HQ787" s="1"/>
      <c r="HR787" s="1"/>
      <c r="HS787" s="1"/>
      <c r="HT787" s="1"/>
      <c r="HU787" s="1"/>
      <c r="HV787" s="1"/>
      <c r="HW787" s="1"/>
      <c r="HX787" s="1"/>
      <c r="HY787" s="1"/>
      <c r="HZ787" s="1"/>
      <c r="IA787" s="1"/>
      <c r="IB787" s="1"/>
      <c r="IC787" s="1"/>
      <c r="ID787" s="1"/>
      <c r="IE787" s="1"/>
      <c r="IF787" s="1"/>
      <c r="IG787" s="1"/>
      <c r="IH787" s="1"/>
      <c r="II787" s="1"/>
      <c r="IJ787" s="1"/>
      <c r="IK787" s="1"/>
      <c r="IL787" s="1"/>
      <c r="IM787" s="1"/>
      <c r="IN787" s="1"/>
      <c r="IO787" s="1"/>
      <c r="IP787" s="1"/>
      <c r="IQ787" s="1"/>
      <c r="IR787" s="1"/>
      <c r="IS787" s="1"/>
      <c r="IT787" s="1"/>
      <c r="IU787" s="1"/>
      <c r="IV787" s="1"/>
      <c r="IW787" s="1"/>
      <c r="IX787" s="1"/>
      <c r="IY787" s="1"/>
      <c r="IZ787" s="1"/>
      <c r="JA787" s="1"/>
      <c r="JB787" s="1"/>
      <c r="JC787" s="1"/>
      <c r="JD787" s="1"/>
    </row>
    <row r="788" spans="1:264" s="347" customFormat="1" x14ac:dyDescent="0.2">
      <c r="A788" s="407"/>
      <c r="B788" s="348"/>
      <c r="BH788" s="397"/>
      <c r="BI788" s="397"/>
      <c r="BJ788" s="397"/>
      <c r="BK788" s="348"/>
      <c r="BL788" s="397"/>
      <c r="BM788" s="397"/>
      <c r="BN788" s="397"/>
      <c r="BO788" s="393"/>
      <c r="BP788" s="397"/>
      <c r="BQ788" s="397"/>
      <c r="BR788" s="397"/>
      <c r="BS788" s="393"/>
      <c r="BT788" s="397"/>
      <c r="BU788" s="397"/>
      <c r="BV788" s="397"/>
      <c r="BW788" s="393"/>
      <c r="BX788" s="397"/>
      <c r="BY788" s="397"/>
      <c r="BZ788" s="397"/>
      <c r="CA788" s="393"/>
      <c r="CB788" s="397"/>
      <c r="CC788" s="397"/>
      <c r="CD788" s="397"/>
      <c r="CE788" s="393"/>
      <c r="CF788" s="397"/>
      <c r="CG788" s="397"/>
      <c r="CH788" s="397"/>
      <c r="CI788" s="393"/>
      <c r="CJ788" s="397"/>
      <c r="CK788" s="397"/>
      <c r="CL788" s="397"/>
      <c r="CM788" s="621"/>
      <c r="CN788" s="397"/>
      <c r="CO788" s="397"/>
      <c r="CP788" s="397"/>
      <c r="CQ788" s="393"/>
      <c r="CR788" s="397"/>
      <c r="CS788" s="397"/>
      <c r="CT788" s="397"/>
      <c r="CU788" s="393"/>
      <c r="CV788" s="397"/>
      <c r="CW788" s="397"/>
      <c r="CX788" s="397"/>
      <c r="CY788" s="393"/>
      <c r="CZ788" s="397"/>
      <c r="DA788" s="397"/>
      <c r="DB788" s="397"/>
      <c r="DC788" s="393"/>
      <c r="DD788" s="397"/>
      <c r="DE788" s="397"/>
      <c r="DF788" s="397"/>
      <c r="DG788" s="393"/>
      <c r="DH788" s="397"/>
      <c r="DI788" s="1510"/>
      <c r="DJ788" s="524"/>
      <c r="DK788" s="1481"/>
      <c r="DL788" s="524"/>
      <c r="DM788" s="524"/>
      <c r="DN788" s="524"/>
      <c r="DO788" s="1481"/>
      <c r="DP788" s="524"/>
      <c r="DQ788" s="524"/>
      <c r="DR788" s="524"/>
      <c r="DS788" s="1481"/>
      <c r="DU788" s="1"/>
      <c r="DV788" s="1"/>
      <c r="DW788" s="1"/>
      <c r="DX788" s="1"/>
      <c r="DY788" s="1"/>
      <c r="DZ788" s="1"/>
      <c r="EA788" s="1"/>
      <c r="EB788" s="1"/>
      <c r="EC788" s="1"/>
      <c r="ED788" s="1"/>
      <c r="EE788" s="1"/>
      <c r="EF788" s="1"/>
      <c r="EG788" s="1"/>
      <c r="EH788" s="1"/>
      <c r="EI788" s="1"/>
      <c r="EJ788" s="1"/>
      <c r="EK788" s="1"/>
      <c r="EL788" s="1"/>
      <c r="EM788" s="1"/>
      <c r="EN788" s="1"/>
      <c r="EO788" s="1"/>
      <c r="EP788" s="1"/>
      <c r="EQ788" s="1"/>
      <c r="ER788" s="1"/>
      <c r="ES788" s="1"/>
      <c r="ET788" s="1"/>
      <c r="EU788" s="1"/>
      <c r="EV788" s="1"/>
      <c r="EW788" s="1"/>
      <c r="EX788" s="1"/>
      <c r="EY788" s="1"/>
      <c r="EZ788" s="1"/>
      <c r="FA788" s="1"/>
      <c r="FB788" s="1"/>
      <c r="FC788" s="1"/>
      <c r="FD788" s="1"/>
      <c r="FE788" s="1"/>
      <c r="FF788" s="1"/>
      <c r="FG788" s="1"/>
      <c r="FH788" s="1"/>
      <c r="FI788" s="1"/>
      <c r="FJ788" s="1"/>
      <c r="FK788" s="1"/>
      <c r="FL788" s="1"/>
      <c r="FM788" s="1"/>
      <c r="FN788" s="1"/>
      <c r="FO788" s="1"/>
      <c r="FP788" s="1"/>
      <c r="FQ788" s="1"/>
      <c r="FR788" s="1"/>
      <c r="FS788" s="1"/>
      <c r="FT788" s="1"/>
      <c r="FU788" s="1"/>
      <c r="FV788" s="1"/>
      <c r="FW788" s="1"/>
      <c r="FX788" s="1"/>
      <c r="FY788" s="1"/>
      <c r="FZ788" s="1"/>
      <c r="GA788" s="1"/>
      <c r="GB788" s="1"/>
      <c r="GC788" s="1"/>
      <c r="GD788" s="1"/>
      <c r="GE788" s="1"/>
      <c r="GF788" s="1"/>
      <c r="GG788" s="1"/>
      <c r="GH788" s="1"/>
      <c r="GI788" s="1"/>
      <c r="GJ788" s="1"/>
      <c r="GK788" s="1"/>
      <c r="GL788" s="1"/>
      <c r="GM788" s="1"/>
      <c r="GN788" s="1"/>
      <c r="GO788" s="1"/>
      <c r="GP788" s="1"/>
      <c r="GQ788" s="1"/>
      <c r="GR788" s="1"/>
      <c r="GS788" s="1"/>
      <c r="GT788" s="1"/>
      <c r="GU788" s="1"/>
      <c r="GV788" s="1"/>
      <c r="GW788" s="1"/>
      <c r="GX788" s="1"/>
      <c r="GY788" s="1"/>
      <c r="GZ788" s="1"/>
      <c r="HA788" s="1"/>
      <c r="HB788" s="1"/>
      <c r="HC788" s="1"/>
      <c r="HD788" s="1"/>
      <c r="HE788" s="1"/>
      <c r="HF788" s="1"/>
      <c r="HG788" s="1"/>
      <c r="HH788" s="1"/>
      <c r="HI788" s="1"/>
      <c r="HJ788" s="1"/>
      <c r="HK788" s="1"/>
      <c r="HL788" s="1"/>
      <c r="HM788" s="1"/>
      <c r="HN788" s="1"/>
      <c r="HO788" s="1"/>
      <c r="HP788" s="1"/>
      <c r="HQ788" s="1"/>
      <c r="HR788" s="1"/>
      <c r="HS788" s="1"/>
      <c r="HT788" s="1"/>
      <c r="HU788" s="1"/>
      <c r="HV788" s="1"/>
      <c r="HW788" s="1"/>
      <c r="HX788" s="1"/>
      <c r="HY788" s="1"/>
      <c r="HZ788" s="1"/>
      <c r="IA788" s="1"/>
      <c r="IB788" s="1"/>
      <c r="IC788" s="1"/>
      <c r="ID788" s="1"/>
      <c r="IE788" s="1"/>
      <c r="IF788" s="1"/>
      <c r="IG788" s="1"/>
      <c r="IH788" s="1"/>
      <c r="II788" s="1"/>
      <c r="IJ788" s="1"/>
      <c r="IK788" s="1"/>
      <c r="IL788" s="1"/>
      <c r="IM788" s="1"/>
      <c r="IN788" s="1"/>
      <c r="IO788" s="1"/>
      <c r="IP788" s="1"/>
      <c r="IQ788" s="1"/>
      <c r="IR788" s="1"/>
      <c r="IS788" s="1"/>
      <c r="IT788" s="1"/>
      <c r="IU788" s="1"/>
      <c r="IV788" s="1"/>
      <c r="IW788" s="1"/>
      <c r="IX788" s="1"/>
      <c r="IY788" s="1"/>
      <c r="IZ788" s="1"/>
      <c r="JA788" s="1"/>
      <c r="JB788" s="1"/>
      <c r="JC788" s="1"/>
      <c r="JD788" s="1"/>
    </row>
    <row r="789" spans="1:264" s="429" customFormat="1" x14ac:dyDescent="0.2">
      <c r="A789" s="429" t="s">
        <v>566</v>
      </c>
      <c r="B789" s="408"/>
      <c r="BH789" s="393">
        <f>-BH780/BH25</f>
        <v>0.43415297890951504</v>
      </c>
      <c r="BI789" s="393">
        <f>-BI780/BI25</f>
        <v>0.4313520698822636</v>
      </c>
      <c r="BJ789" s="393">
        <f>-BJ780/BJ25</f>
        <v>0.43273617981845253</v>
      </c>
      <c r="BK789" s="408"/>
      <c r="BL789" s="393">
        <f>-BL780/BL25</f>
        <v>0.4261750986724076</v>
      </c>
      <c r="BM789" s="393">
        <f>-BM780/BM25</f>
        <v>0.42193192926330758</v>
      </c>
      <c r="BN789" s="393">
        <f>-BN780/BN25</f>
        <v>0.42404356948350519</v>
      </c>
      <c r="BO789" s="408"/>
      <c r="BP789" s="393">
        <f>-BP780/BP25</f>
        <v>0.41917597884500557</v>
      </c>
      <c r="BQ789" s="393">
        <f>-BQ780/BQ25</f>
        <v>0.42842682412484184</v>
      </c>
      <c r="BR789" s="393">
        <f>-BR780/BR25</f>
        <v>0.423827296632454</v>
      </c>
      <c r="BT789" s="393">
        <f>-BT780/BT25</f>
        <v>0.41948470209339772</v>
      </c>
      <c r="BU789" s="393">
        <f>-BU780/BU25</f>
        <v>0.42378518698791273</v>
      </c>
      <c r="BV789" s="393">
        <f>-BV780/BV25</f>
        <v>0.42162686386228632</v>
      </c>
      <c r="BX789" s="393">
        <f>-BX780/BX25</f>
        <v>0.42649006622516555</v>
      </c>
      <c r="BY789" s="393">
        <f>-BY780/BY25</f>
        <v>0.41366010445962231</v>
      </c>
      <c r="BZ789" s="393">
        <f>-BZ780/BZ25</f>
        <v>0.42017405063291141</v>
      </c>
      <c r="CB789" s="393">
        <f>-CB780/CB25</f>
        <v>0.43133844572693492</v>
      </c>
      <c r="CC789" s="393">
        <f>-CC780/CC25</f>
        <v>0.45131589668377742</v>
      </c>
      <c r="CD789" s="393">
        <f>-CD780/CD25</f>
        <v>0.44117647058823528</v>
      </c>
      <c r="CF789" s="393">
        <f>-CF780/CF25</f>
        <v>0.4225187656380317</v>
      </c>
      <c r="CG789" s="393">
        <f>-CG780/CG25</f>
        <v>0.49685046164466307</v>
      </c>
      <c r="CH789" s="393">
        <f>-CH780/CH25</f>
        <v>0.45905254675770812</v>
      </c>
      <c r="CJ789" s="393">
        <f>-CJ780/CJ25</f>
        <v>0.43724527988022954</v>
      </c>
      <c r="CK789" s="393">
        <f>-CK780/CK25</f>
        <v>0.48892485943090819</v>
      </c>
      <c r="CL789" s="393">
        <f>-CL780/CL25</f>
        <v>0.46277513572661083</v>
      </c>
      <c r="CN789" s="393">
        <f>-CN780/CN25</f>
        <v>0.46743583312432069</v>
      </c>
      <c r="CO789" s="393">
        <f>-CO780/CO25</f>
        <v>0.47298072980729805</v>
      </c>
      <c r="CP789" s="393">
        <f>-CP780/CP25</f>
        <v>0.47023513826792518</v>
      </c>
      <c r="CR789" s="393">
        <f>-CR780/CR25</f>
        <v>0.45345667795490213</v>
      </c>
      <c r="CS789" s="393">
        <f>-CS780/CS25</f>
        <v>0.47194404705134319</v>
      </c>
      <c r="CT789" s="393">
        <f>-CT780/CT25</f>
        <v>0.46287820486856496</v>
      </c>
      <c r="CU789" s="1"/>
      <c r="CV789" s="393">
        <f>-CV780/CV25</f>
        <v>0.42376862658738895</v>
      </c>
      <c r="CW789" s="393">
        <f>-CW780/CW25</f>
        <v>0.45034043812907043</v>
      </c>
      <c r="CX789" s="393">
        <f>-CX780/CX25</f>
        <v>0.43700018426386583</v>
      </c>
      <c r="CZ789" s="393">
        <f>-CZ780/CZ25</f>
        <v>0.44039856399736244</v>
      </c>
      <c r="DA789" s="393">
        <f>-DA780/DA25</f>
        <v>0.45892791127541588</v>
      </c>
      <c r="DB789" s="393">
        <f>-DB780/DB25</f>
        <v>0.44962096121292411</v>
      </c>
      <c r="DD789" s="393">
        <f>-DD780/DD25</f>
        <v>0.45201106618429454</v>
      </c>
      <c r="DE789" s="393">
        <f>-DE780/DE25</f>
        <v>0.46102449888641428</v>
      </c>
      <c r="DF789" s="393">
        <f>-DF780/DF25</f>
        <v>0.45656068856490428</v>
      </c>
      <c r="DH789" s="393">
        <f>-DH780/DH25</f>
        <v>0.45869116570135143</v>
      </c>
      <c r="DI789" s="393">
        <f>-DI780/DI25</f>
        <v>0.44608434368698735</v>
      </c>
      <c r="DJ789" s="393">
        <f>-DJ780/DJ25</f>
        <v>0.45234590539948238</v>
      </c>
      <c r="DL789" s="393">
        <f>-DL780/DL25</f>
        <v>0.43829663827578358</v>
      </c>
      <c r="DM789" s="393">
        <f>-DM780/DM25</f>
        <v>0.44099579512028436</v>
      </c>
      <c r="DN789" s="393">
        <f>-DN780/DN25</f>
        <v>0.4396489159549643</v>
      </c>
      <c r="DP789" s="393">
        <f>-DP780/DP25</f>
        <v>0.43780234354762682</v>
      </c>
      <c r="DQ789" s="393">
        <f>-DQ780/DQ25</f>
        <v>0.44133129153637363</v>
      </c>
      <c r="DR789" s="393">
        <f>-DR780/DR25</f>
        <v>0.43957082292190497</v>
      </c>
      <c r="DU789" s="1"/>
      <c r="DV789" s="1"/>
      <c r="DW789" s="1"/>
      <c r="DX789" s="1"/>
      <c r="DY789" s="1"/>
      <c r="DZ789" s="1"/>
      <c r="EA789" s="1"/>
      <c r="EB789" s="1"/>
      <c r="EC789" s="1"/>
      <c r="ED789" s="1"/>
      <c r="EE789" s="1"/>
      <c r="EF789" s="1"/>
      <c r="EG789" s="1"/>
      <c r="EH789" s="1"/>
      <c r="EI789" s="1"/>
      <c r="EJ789" s="1"/>
      <c r="EK789" s="1"/>
      <c r="EL789" s="1"/>
      <c r="EM789" s="1"/>
      <c r="EN789" s="1"/>
      <c r="EO789" s="1"/>
      <c r="EP789" s="1"/>
      <c r="EQ789" s="1"/>
      <c r="ER789" s="1"/>
      <c r="ES789" s="1"/>
      <c r="ET789" s="1"/>
      <c r="EU789" s="1"/>
      <c r="EV789" s="1"/>
      <c r="EW789" s="1"/>
      <c r="EX789" s="1"/>
      <c r="EY789" s="1"/>
      <c r="EZ789" s="1"/>
      <c r="FA789" s="1"/>
      <c r="FB789" s="1"/>
      <c r="FC789" s="1"/>
      <c r="FD789" s="1"/>
      <c r="FE789" s="1"/>
      <c r="FF789" s="1"/>
      <c r="FG789" s="1"/>
      <c r="FH789" s="1"/>
      <c r="FI789" s="1"/>
      <c r="FJ789" s="1"/>
      <c r="FK789" s="1"/>
      <c r="FL789" s="1"/>
      <c r="FM789" s="1"/>
      <c r="FN789" s="1"/>
      <c r="FO789" s="1"/>
      <c r="FP789" s="1"/>
      <c r="FQ789" s="1"/>
      <c r="FR789" s="1"/>
      <c r="FS789" s="1"/>
      <c r="FT789" s="1"/>
      <c r="FU789" s="1"/>
      <c r="FV789" s="1"/>
      <c r="FW789" s="1"/>
      <c r="FX789" s="1"/>
      <c r="FY789" s="1"/>
      <c r="FZ789" s="1"/>
      <c r="GA789" s="1"/>
      <c r="GB789" s="1"/>
      <c r="GC789" s="1"/>
      <c r="GD789" s="1"/>
      <c r="GE789" s="1"/>
      <c r="GF789" s="1"/>
      <c r="GG789" s="1"/>
      <c r="GH789" s="1"/>
      <c r="GI789" s="1"/>
      <c r="GJ789" s="1"/>
      <c r="GK789" s="1"/>
      <c r="GL789" s="1"/>
      <c r="GM789" s="1"/>
      <c r="GN789" s="1"/>
      <c r="GO789" s="1"/>
      <c r="GP789" s="1"/>
      <c r="GQ789" s="1"/>
      <c r="GR789" s="1"/>
      <c r="GS789" s="1"/>
      <c r="GT789" s="1"/>
      <c r="GU789" s="1"/>
      <c r="GV789" s="1"/>
      <c r="GW789" s="1"/>
      <c r="GX789" s="1"/>
      <c r="GY789" s="1"/>
      <c r="GZ789" s="1"/>
      <c r="HA789" s="1"/>
      <c r="HB789" s="1"/>
      <c r="HC789" s="1"/>
      <c r="HD789" s="1"/>
      <c r="HE789" s="1"/>
      <c r="HF789" s="1"/>
      <c r="HG789" s="1"/>
      <c r="HH789" s="1"/>
      <c r="HI789" s="1"/>
      <c r="HJ789" s="1"/>
      <c r="HK789" s="1"/>
      <c r="HL789" s="1"/>
      <c r="HM789" s="1"/>
      <c r="HN789" s="1"/>
      <c r="HO789" s="1"/>
      <c r="HP789" s="1"/>
      <c r="HQ789" s="1"/>
      <c r="HR789" s="1"/>
      <c r="HS789" s="1"/>
      <c r="HT789" s="1"/>
      <c r="HU789" s="1"/>
      <c r="HV789" s="1"/>
      <c r="HW789" s="1"/>
      <c r="HX789" s="1"/>
      <c r="HY789" s="1"/>
      <c r="HZ789" s="1"/>
      <c r="IA789" s="1"/>
      <c r="IB789" s="1"/>
      <c r="IC789" s="1"/>
      <c r="ID789" s="1"/>
      <c r="IE789" s="1"/>
      <c r="IF789" s="1"/>
      <c r="IG789" s="1"/>
      <c r="IH789" s="1"/>
      <c r="II789" s="1"/>
      <c r="IJ789" s="1"/>
      <c r="IK789" s="1"/>
      <c r="IL789" s="1"/>
      <c r="IM789" s="1"/>
      <c r="IN789" s="1"/>
      <c r="IO789" s="1"/>
      <c r="IP789" s="1"/>
      <c r="IQ789" s="1"/>
      <c r="IR789" s="1"/>
      <c r="IS789" s="1"/>
      <c r="IT789" s="1"/>
      <c r="IU789" s="1"/>
      <c r="IV789" s="1"/>
      <c r="IW789" s="1"/>
      <c r="IX789" s="1"/>
      <c r="IY789" s="1"/>
      <c r="IZ789" s="1"/>
      <c r="JA789" s="1"/>
      <c r="JB789" s="1"/>
      <c r="JC789" s="1"/>
      <c r="JD789" s="1"/>
    </row>
    <row r="790" spans="1:264" s="429" customFormat="1" x14ac:dyDescent="0.2">
      <c r="A790" s="429" t="s">
        <v>567</v>
      </c>
      <c r="B790" s="408"/>
      <c r="BH790" s="393"/>
      <c r="BI790" s="393"/>
      <c r="BJ790" s="393"/>
      <c r="BK790" s="408"/>
      <c r="BL790" s="393"/>
      <c r="BM790" s="393"/>
      <c r="BN790" s="393"/>
      <c r="BO790" s="408"/>
      <c r="BP790" s="393"/>
      <c r="BQ790" s="393"/>
      <c r="BR790" s="393"/>
      <c r="BT790" s="393"/>
      <c r="BU790" s="393"/>
      <c r="BV790" s="393"/>
      <c r="BX790" s="393"/>
      <c r="BY790" s="393"/>
      <c r="BZ790" s="393"/>
      <c r="CB790" s="393">
        <f>-CB787/CB546</f>
        <v>0.39584328714763495</v>
      </c>
      <c r="CC790" s="393">
        <f>-CC787/CC546</f>
        <v>0.4259228740936058</v>
      </c>
      <c r="CD790" s="393">
        <f>-CD787/CD546</f>
        <v>0.41062606301125781</v>
      </c>
      <c r="CF790" s="393">
        <f>-CF787/CF546</f>
        <v>0.41492910758965806</v>
      </c>
      <c r="CG790" s="393">
        <f>-CG787/CG546</f>
        <v>0.44516351712831131</v>
      </c>
      <c r="CH790" s="393">
        <f>-CH787/CH546</f>
        <v>0.42978921922049279</v>
      </c>
      <c r="CJ790" s="393">
        <f>-CJ787/CJ546</f>
        <v>0.43558180154703485</v>
      </c>
      <c r="CK790" s="393">
        <f>-CK787/CK546</f>
        <v>0.44965070710512867</v>
      </c>
      <c r="CL790" s="393">
        <f>-CL787/CL546</f>
        <v>0.44253187997138166</v>
      </c>
      <c r="CN790" s="393">
        <f>-CN787/CN546</f>
        <v>0.44720341108602962</v>
      </c>
      <c r="CO790" s="393">
        <f>-CO787/CO546</f>
        <v>0.44567445674456746</v>
      </c>
      <c r="CP790" s="393">
        <f>-CP787/CP546</f>
        <v>0.44643152839874151</v>
      </c>
      <c r="CR790" s="393">
        <f>-CR787/CR546</f>
        <v>0.44577517138845296</v>
      </c>
      <c r="CS790" s="393">
        <f>-CS787/CS546</f>
        <v>0.44679264047737444</v>
      </c>
      <c r="CT790" s="393">
        <f>-CT787/CT546</f>
        <v>0.44628304306457617</v>
      </c>
      <c r="CU790" s="1"/>
      <c r="CV790" s="393">
        <f>-CV787/CV546</f>
        <v>0.41371210452910517</v>
      </c>
      <c r="CW790" s="393">
        <f>-CW787/CW546</f>
        <v>0.43465068087625813</v>
      </c>
      <c r="CX790" s="393">
        <f>-CX787/CX546</f>
        <v>0.42918739635157543</v>
      </c>
      <c r="CZ790" s="393">
        <f>-CZ787/CZ546</f>
        <v>0.44039856399736244</v>
      </c>
      <c r="DA790" s="393">
        <f>-DA787/DA546</f>
        <v>0.45234750462107209</v>
      </c>
      <c r="DB790" s="393">
        <f>-DB787/DB546</f>
        <v>0.44634577169353057</v>
      </c>
      <c r="DD790" s="393">
        <f>-DD787/DD546</f>
        <v>0.45201106618429454</v>
      </c>
      <c r="DE790" s="393">
        <f>-DE787/DE546</f>
        <v>0.45197661469933187</v>
      </c>
      <c r="DF790" s="393">
        <f>-DF787/DF546</f>
        <v>0.45199367644475674</v>
      </c>
      <c r="DH790" s="393">
        <f>-DH787/DH546</f>
        <v>0.44737367685240664</v>
      </c>
      <c r="DI790" s="393">
        <f>-DI787/DI546</f>
        <v>0.44279957811177573</v>
      </c>
      <c r="DJ790" s="393">
        <f>-DJ787/DJ546</f>
        <v>0.44507144341699484</v>
      </c>
      <c r="DL790" s="393">
        <f>-DL787/DL546</f>
        <v>0.43829663827578358</v>
      </c>
      <c r="DM790" s="393">
        <f>-DM787/DM546</f>
        <v>0.43787809234790037</v>
      </c>
      <c r="DN790" s="393">
        <f>-DN787/DN546</f>
        <v>0.43808694675039422</v>
      </c>
      <c r="DP790" s="393">
        <f>-DP787/DP546</f>
        <v>0.43780234354762682</v>
      </c>
      <c r="DQ790" s="393">
        <f>-DQ787/DQ546</f>
        <v>0.4383421368999153</v>
      </c>
      <c r="DR790" s="393">
        <f>-DR787/DR546</f>
        <v>0.43807285289288739</v>
      </c>
      <c r="DU790" s="1"/>
      <c r="DV790" s="1"/>
      <c r="DW790" s="1"/>
      <c r="DX790" s="1"/>
      <c r="DY790" s="1"/>
      <c r="DZ790" s="1"/>
      <c r="EA790" s="1"/>
      <c r="EB790" s="1"/>
      <c r="EC790" s="1"/>
      <c r="ED790" s="1"/>
      <c r="EE790" s="1"/>
      <c r="EF790" s="1"/>
      <c r="EG790" s="1"/>
      <c r="EH790" s="1"/>
      <c r="EI790" s="1"/>
      <c r="EJ790" s="1"/>
      <c r="EK790" s="1"/>
      <c r="EL790" s="1"/>
      <c r="EM790" s="1"/>
      <c r="EN790" s="1"/>
      <c r="EO790" s="1"/>
      <c r="EP790" s="1"/>
      <c r="EQ790" s="1"/>
      <c r="ER790" s="1"/>
      <c r="ES790" s="1"/>
      <c r="ET790" s="1"/>
      <c r="EU790" s="1"/>
      <c r="EV790" s="1"/>
      <c r="EW790" s="1"/>
      <c r="EX790" s="1"/>
      <c r="EY790" s="1"/>
      <c r="EZ790" s="1"/>
      <c r="FA790" s="1"/>
      <c r="FB790" s="1"/>
      <c r="FC790" s="1"/>
      <c r="FD790" s="1"/>
      <c r="FE790" s="1"/>
      <c r="FF790" s="1"/>
      <c r="FG790" s="1"/>
      <c r="FH790" s="1"/>
      <c r="FI790" s="1"/>
      <c r="FJ790" s="1"/>
      <c r="FK790" s="1"/>
      <c r="FL790" s="1"/>
      <c r="FM790" s="1"/>
      <c r="FN790" s="1"/>
      <c r="FO790" s="1"/>
      <c r="FP790" s="1"/>
      <c r="FQ790" s="1"/>
      <c r="FR790" s="1"/>
      <c r="FS790" s="1"/>
      <c r="FT790" s="1"/>
      <c r="FU790" s="1"/>
      <c r="FV790" s="1"/>
      <c r="FW790" s="1"/>
      <c r="FX790" s="1"/>
      <c r="FY790" s="1"/>
      <c r="FZ790" s="1"/>
      <c r="GA790" s="1"/>
      <c r="GB790" s="1"/>
      <c r="GC790" s="1"/>
      <c r="GD790" s="1"/>
      <c r="GE790" s="1"/>
      <c r="GF790" s="1"/>
      <c r="GG790" s="1"/>
      <c r="GH790" s="1"/>
      <c r="GI790" s="1"/>
      <c r="GJ790" s="1"/>
      <c r="GK790" s="1"/>
      <c r="GL790" s="1"/>
      <c r="GM790" s="1"/>
      <c r="GN790" s="1"/>
      <c r="GO790" s="1"/>
      <c r="GP790" s="1"/>
      <c r="GQ790" s="1"/>
      <c r="GR790" s="1"/>
      <c r="GS790" s="1"/>
      <c r="GT790" s="1"/>
      <c r="GU790" s="1"/>
      <c r="GV790" s="1"/>
      <c r="GW790" s="1"/>
      <c r="GX790" s="1"/>
      <c r="GY790" s="1"/>
      <c r="GZ790" s="1"/>
      <c r="HA790" s="1"/>
      <c r="HB790" s="1"/>
      <c r="HC790" s="1"/>
      <c r="HD790" s="1"/>
      <c r="HE790" s="1"/>
      <c r="HF790" s="1"/>
      <c r="HG790" s="1"/>
      <c r="HH790" s="1"/>
      <c r="HI790" s="1"/>
      <c r="HJ790" s="1"/>
      <c r="HK790" s="1"/>
      <c r="HL790" s="1"/>
      <c r="HM790" s="1"/>
      <c r="HN790" s="1"/>
      <c r="HO790" s="1"/>
      <c r="HP790" s="1"/>
      <c r="HQ790" s="1"/>
      <c r="HR790" s="1"/>
      <c r="HS790" s="1"/>
      <c r="HT790" s="1"/>
      <c r="HU790" s="1"/>
      <c r="HV790" s="1"/>
      <c r="HW790" s="1"/>
      <c r="HX790" s="1"/>
      <c r="HY790" s="1"/>
      <c r="HZ790" s="1"/>
      <c r="IA790" s="1"/>
      <c r="IB790" s="1"/>
      <c r="IC790" s="1"/>
      <c r="ID790" s="1"/>
      <c r="IE790" s="1"/>
      <c r="IF790" s="1"/>
      <c r="IG790" s="1"/>
      <c r="IH790" s="1"/>
      <c r="II790" s="1"/>
      <c r="IJ790" s="1"/>
      <c r="IK790" s="1"/>
      <c r="IL790" s="1"/>
      <c r="IM790" s="1"/>
      <c r="IN790" s="1"/>
      <c r="IO790" s="1"/>
      <c r="IP790" s="1"/>
      <c r="IQ790" s="1"/>
      <c r="IR790" s="1"/>
      <c r="IS790" s="1"/>
      <c r="IT790" s="1"/>
      <c r="IU790" s="1"/>
      <c r="IV790" s="1"/>
      <c r="IW790" s="1"/>
      <c r="IX790" s="1"/>
      <c r="IY790" s="1"/>
      <c r="IZ790" s="1"/>
      <c r="JA790" s="1"/>
      <c r="JB790" s="1"/>
      <c r="JC790" s="1"/>
      <c r="JD790" s="1"/>
    </row>
    <row r="791" spans="1:264" s="429" customFormat="1" x14ac:dyDescent="0.2">
      <c r="A791" s="429" t="s">
        <v>568</v>
      </c>
      <c r="B791" s="408"/>
      <c r="BH791" s="502">
        <f>-BH780*(BH$4/BH$3)/(BH490)</f>
        <v>1.2283873204809861E-2</v>
      </c>
      <c r="BI791" s="502">
        <f>-BI780*(BI$4/BI$3)/(BI490)</f>
        <v>1.2463876672101521E-2</v>
      </c>
      <c r="BJ791" s="502">
        <f>-BJ780*(BJ$4/BJ$3)/(BJ490)</f>
        <v>1.2373994012140522E-2</v>
      </c>
      <c r="BK791" s="408"/>
      <c r="BL791" s="502">
        <f>-BL780*(BL$4/BL$3)/(BL490)</f>
        <v>1.2325747942745909E-2</v>
      </c>
      <c r="BM791" s="502">
        <f>-BM780*(BM$4/BM$3)/(BM490)</f>
        <v>1.201444556448566E-2</v>
      </c>
      <c r="BN791" s="502">
        <f>-BN780*(BN$4/BN$3)/(BN490)</f>
        <v>1.2168158597260724E-2</v>
      </c>
      <c r="BO791" s="408"/>
      <c r="BP791" s="502">
        <f>-BP780*(BP$4/BP$3)/(BP490)</f>
        <v>1.1942156076611326E-2</v>
      </c>
      <c r="BQ791" s="502">
        <f>-BQ780*(BQ$4/BQ$3)/(BQ490)</f>
        <v>1.1759755210897947E-2</v>
      </c>
      <c r="BR791" s="502">
        <f>-BR780*(BR$4/BR$3)/(BR490)</f>
        <v>1.1846925347654445E-2</v>
      </c>
      <c r="BT791" s="502">
        <f>-BT780*(BT$4/BT$3)/(BT490)</f>
        <v>1.1397348410353029E-2</v>
      </c>
      <c r="BU791" s="502">
        <f>-BU780*(BU$4/BU$3)/(BU490)</f>
        <v>1.1376382432433718E-2</v>
      </c>
      <c r="BV791" s="502">
        <f>-BV780*(BV$4/BV$3)/(BV490)</f>
        <v>1.1386360920577569E-2</v>
      </c>
      <c r="BX791" s="502">
        <f>-BX780*(BX$4/BX$3)/(BX490)</f>
        <v>1.134518620366849E-2</v>
      </c>
      <c r="BY791" s="502">
        <f>-BY780*(BY$4/BY$3)/(BY490)</f>
        <v>1.0509584941476609E-2</v>
      </c>
      <c r="BZ791" s="502">
        <f>-BZ780*(BZ$4/BZ$3)/(BZ490)</f>
        <v>1.09242409750569E-2</v>
      </c>
      <c r="CB791" s="502">
        <f>-CB780*(CB$4/CB$3)/(CB490)</f>
        <v>1.1141432185835491E-2</v>
      </c>
      <c r="CC791" s="502">
        <f>-CC780*(CC$4/CC$3)/(CC490)</f>
        <v>1.1383474445170098E-2</v>
      </c>
      <c r="CD791" s="502">
        <f>-CD780*(CD$4/CD$3)/(CD490)</f>
        <v>1.1262057161469937E-2</v>
      </c>
      <c r="CF791" s="502">
        <f>-CF780*(CF$4/CF$3)/(CF490)</f>
        <v>1.0277458988876206E-2</v>
      </c>
      <c r="CG791" s="502">
        <f>-CG780*(CG$4/CG$3)/(CG490)</f>
        <v>1.1930653016189566E-2</v>
      </c>
      <c r="CH791" s="502">
        <f>-CH780*(CH$4/CH$3)/(CH490)</f>
        <v>1.1095325079493946E-2</v>
      </c>
      <c r="CJ791" s="502">
        <f>-CJ780*(CJ$4/CJ$3)/(CJ490)</f>
        <v>1.0633491625035641E-2</v>
      </c>
      <c r="CK791" s="502">
        <f>-CK780*(CK$4/CK$3)/(CK490)</f>
        <v>1.1355472098094673E-2</v>
      </c>
      <c r="CL791" s="502">
        <f>-CL780*(CL$4/CL$3)/(CL490)</f>
        <v>1.0998452654942053E-2</v>
      </c>
      <c r="CN791" s="502">
        <f>-CN780*(CN$4/CN$3)/(CN490)</f>
        <v>1.0756237359524266E-2</v>
      </c>
      <c r="CO791" s="502">
        <f>-CO780*(CO$4/CO$3)/(CO490)</f>
        <v>1.1110858494045812E-2</v>
      </c>
      <c r="CP791" s="502">
        <f>-CP780*(CP$4/CP$3)/(CP490)</f>
        <v>1.0918661308105416E-2</v>
      </c>
      <c r="CR791" s="502">
        <f>-CR780*(CR$4/CR$3)/(CR490)</f>
        <v>9.6791528325890896E-3</v>
      </c>
      <c r="CS791" s="502">
        <f>-CS780*(CS$4/CS$3)/(CS490)</f>
        <v>1.0210208221174279E-2</v>
      </c>
      <c r="CT791" s="502">
        <f>-CT780*(CT$4/CT$3)/(CT490)</f>
        <v>9.9479534357783343E-3</v>
      </c>
      <c r="CU791" s="1"/>
      <c r="CV791" s="502">
        <f>-CV780*(CV$4/CV$3)/(CV490)</f>
        <v>9.3282822235309544E-3</v>
      </c>
      <c r="CW791" s="502">
        <f>-CW780*(CW$4/CW$3)/(CW490)</f>
        <v>9.8970171920170925E-3</v>
      </c>
      <c r="CX791" s="502">
        <f>-CX780*(CX$4/CX$3)/(CX490)</f>
        <v>9.6117214692040698E-3</v>
      </c>
      <c r="CZ791" s="502">
        <f>-CZ780*(CZ$4/CZ$3)/(CZ490)</f>
        <v>9.470834239078775E-3</v>
      </c>
      <c r="DA791" s="502">
        <f>-DA780*(DA$4/DA$3)/(DA490)</f>
        <v>9.8203607330678254E-3</v>
      </c>
      <c r="DB791" s="502">
        <f>-DB780*(DB$4/DB$3)/(DB490)</f>
        <v>9.6452310655698887E-3</v>
      </c>
      <c r="DD791" s="502">
        <f>-DD780*(DD$4/DD$3)/(DD490)</f>
        <v>9.9778647203042064E-3</v>
      </c>
      <c r="DE791" s="502">
        <f>-DE780*(DE$4/DE$3)/(DE490)</f>
        <v>1.0138324543243479E-2</v>
      </c>
      <c r="DF791" s="502">
        <f>-DF780*(DF$4/DF$3)/(DF490)</f>
        <v>1.0059010384093823E-2</v>
      </c>
      <c r="DH791" s="502">
        <f>-DH780*(DH$4/DH$3)/(DH490)</f>
        <v>9.9463178457251267E-3</v>
      </c>
      <c r="DI791" s="502">
        <f ca="1">-DI780*(DI$4/DI$3)/(DI490)</f>
        <v>9.6028622503473281E-3</v>
      </c>
      <c r="DJ791" s="502">
        <f ca="1">-DJ780*(DJ$4/DJ$3)/(DJ490)</f>
        <v>9.7713401470927372E-3</v>
      </c>
      <c r="DL791" s="502">
        <f ca="1">-DL780*(DL$4/DL$3)/(DL490)</f>
        <v>9.4368270884846606E-3</v>
      </c>
      <c r="DM791" s="502">
        <f ca="1">-DM780*(DM$4/DM$3)/(DM490)</f>
        <v>9.4064077114172709E-3</v>
      </c>
      <c r="DN791" s="502">
        <f ca="1">-DN780*(DN$4/DN$3)/(DN490)</f>
        <v>9.4203617408448233E-3</v>
      </c>
      <c r="DP791" s="502">
        <f ca="1">-DP780*(DP$4/DP$3)/(DP490)</f>
        <v>9.310991100269143E-3</v>
      </c>
      <c r="DQ791" s="502">
        <f ca="1">-DQ780*(DQ$4/DQ$3)/(DQ490)</f>
        <v>9.3073444879936615E-3</v>
      </c>
      <c r="DR791" s="502">
        <f ca="1">-DR780*(DR$4/DR$3)/(DR490)</f>
        <v>9.3085483921065328E-3</v>
      </c>
      <c r="DU791" s="1"/>
      <c r="DV791" s="1"/>
      <c r="DW791" s="1"/>
      <c r="DX791" s="1"/>
      <c r="DY791" s="1"/>
      <c r="DZ791" s="1"/>
      <c r="EA791" s="1"/>
      <c r="EB791" s="1"/>
      <c r="EC791" s="1"/>
      <c r="ED791" s="1"/>
      <c r="EE791" s="1"/>
      <c r="EF791" s="1"/>
      <c r="EG791" s="1"/>
      <c r="EH791" s="1"/>
      <c r="EI791" s="1"/>
      <c r="EJ791" s="1"/>
      <c r="EK791" s="1"/>
      <c r="EL791" s="1"/>
      <c r="EM791" s="1"/>
      <c r="EN791" s="1"/>
      <c r="EO791" s="1"/>
      <c r="EP791" s="1"/>
      <c r="EQ791" s="1"/>
      <c r="ER791" s="1"/>
      <c r="ES791" s="1"/>
      <c r="ET791" s="1"/>
      <c r="EU791" s="1"/>
      <c r="EV791" s="1"/>
      <c r="EW791" s="1"/>
      <c r="EX791" s="1"/>
      <c r="EY791" s="1"/>
      <c r="EZ791" s="1"/>
      <c r="FA791" s="1"/>
      <c r="FB791" s="1"/>
      <c r="FC791" s="1"/>
      <c r="FD791" s="1"/>
      <c r="FE791" s="1"/>
      <c r="FF791" s="1"/>
      <c r="FG791" s="1"/>
      <c r="FH791" s="1"/>
      <c r="FI791" s="1"/>
      <c r="FJ791" s="1"/>
      <c r="FK791" s="1"/>
      <c r="FL791" s="1"/>
      <c r="FM791" s="1"/>
      <c r="FN791" s="1"/>
      <c r="FO791" s="1"/>
      <c r="FP791" s="1"/>
      <c r="FQ791" s="1"/>
      <c r="FR791" s="1"/>
      <c r="FS791" s="1"/>
      <c r="FT791" s="1"/>
      <c r="FU791" s="1"/>
      <c r="FV791" s="1"/>
      <c r="FW791" s="1"/>
      <c r="FX791" s="1"/>
      <c r="FY791" s="1"/>
      <c r="FZ791" s="1"/>
      <c r="GA791" s="1"/>
      <c r="GB791" s="1"/>
      <c r="GC791" s="1"/>
      <c r="GD791" s="1"/>
      <c r="GE791" s="1"/>
      <c r="GF791" s="1"/>
      <c r="GG791" s="1"/>
      <c r="GH791" s="1"/>
      <c r="GI791" s="1"/>
      <c r="GJ791" s="1"/>
      <c r="GK791" s="1"/>
      <c r="GL791" s="1"/>
      <c r="GM791" s="1"/>
      <c r="GN791" s="1"/>
      <c r="GO791" s="1"/>
      <c r="GP791" s="1"/>
      <c r="GQ791" s="1"/>
      <c r="GR791" s="1"/>
      <c r="GS791" s="1"/>
      <c r="GT791" s="1"/>
      <c r="GU791" s="1"/>
      <c r="GV791" s="1"/>
      <c r="GW791" s="1"/>
      <c r="GX791" s="1"/>
      <c r="GY791" s="1"/>
      <c r="GZ791" s="1"/>
      <c r="HA791" s="1"/>
      <c r="HB791" s="1"/>
      <c r="HC791" s="1"/>
      <c r="HD791" s="1"/>
      <c r="HE791" s="1"/>
      <c r="HF791" s="1"/>
      <c r="HG791" s="1"/>
      <c r="HH791" s="1"/>
      <c r="HI791" s="1"/>
      <c r="HJ791" s="1"/>
      <c r="HK791" s="1"/>
      <c r="HL791" s="1"/>
      <c r="HM791" s="1"/>
      <c r="HN791" s="1"/>
      <c r="HO791" s="1"/>
      <c r="HP791" s="1"/>
      <c r="HQ791" s="1"/>
      <c r="HR791" s="1"/>
      <c r="HS791" s="1"/>
      <c r="HT791" s="1"/>
      <c r="HU791" s="1"/>
      <c r="HV791" s="1"/>
      <c r="HW791" s="1"/>
      <c r="HX791" s="1"/>
      <c r="HY791" s="1"/>
      <c r="HZ791" s="1"/>
      <c r="IA791" s="1"/>
      <c r="IB791" s="1"/>
      <c r="IC791" s="1"/>
      <c r="ID791" s="1"/>
      <c r="IE791" s="1"/>
      <c r="IF791" s="1"/>
      <c r="IG791" s="1"/>
      <c r="IH791" s="1"/>
      <c r="II791" s="1"/>
      <c r="IJ791" s="1"/>
      <c r="IK791" s="1"/>
      <c r="IL791" s="1"/>
      <c r="IM791" s="1"/>
      <c r="IN791" s="1"/>
      <c r="IO791" s="1"/>
      <c r="IP791" s="1"/>
      <c r="IQ791" s="1"/>
      <c r="IR791" s="1"/>
      <c r="IS791" s="1"/>
      <c r="IT791" s="1"/>
      <c r="IU791" s="1"/>
      <c r="IV791" s="1"/>
      <c r="IW791" s="1"/>
      <c r="IX791" s="1"/>
      <c r="IY791" s="1"/>
      <c r="IZ791" s="1"/>
      <c r="JA791" s="1"/>
      <c r="JB791" s="1"/>
      <c r="JC791" s="1"/>
      <c r="JD791" s="1"/>
    </row>
    <row r="792" spans="1:264" s="347" customFormat="1" x14ac:dyDescent="0.2">
      <c r="B792" s="348"/>
      <c r="BH792" s="348"/>
      <c r="BI792" s="348"/>
      <c r="BJ792" s="348"/>
      <c r="BK792" s="348"/>
      <c r="BL792" s="348"/>
      <c r="BM792" s="348"/>
      <c r="BN792" s="348"/>
      <c r="BO792" s="348"/>
      <c r="BP792" s="348"/>
      <c r="BQ792" s="348"/>
      <c r="BR792" s="348"/>
      <c r="BT792" s="348"/>
      <c r="BU792" s="348"/>
      <c r="BV792" s="348"/>
      <c r="BX792" s="348"/>
      <c r="CA792" s="347">
        <f>CB792*-CB776</f>
        <v>464.14738065265806</v>
      </c>
      <c r="CB792" s="484">
        <f>7000/CB794</f>
        <v>0.16945870049385106</v>
      </c>
      <c r="CF792" s="348"/>
      <c r="CJ792" s="348"/>
      <c r="CN792" s="348"/>
      <c r="CR792" s="348"/>
      <c r="CV792" s="348"/>
      <c r="CY792" s="1"/>
      <c r="CZ792" s="348"/>
      <c r="DC792" s="1"/>
      <c r="DD792" s="348"/>
      <c r="DG792" s="1"/>
      <c r="DH792" s="348"/>
      <c r="DI792" s="1"/>
      <c r="DJ792" s="1"/>
      <c r="DK792" s="1"/>
      <c r="DL792" s="1"/>
      <c r="DM792" s="1"/>
      <c r="DN792" s="1"/>
      <c r="DO792" s="1"/>
      <c r="DP792" s="1"/>
      <c r="DQ792" s="1"/>
      <c r="DR792" s="1"/>
      <c r="DS792" s="1"/>
      <c r="DU792" s="1"/>
      <c r="DV792" s="1"/>
      <c r="DW792" s="1"/>
      <c r="DX792" s="1"/>
      <c r="DY792" s="1"/>
      <c r="DZ792" s="1"/>
      <c r="EA792" s="1"/>
      <c r="EB792" s="1"/>
      <c r="EC792" s="1"/>
      <c r="ED792" s="1"/>
      <c r="EE792" s="1"/>
      <c r="EF792" s="1"/>
      <c r="EG792" s="1"/>
      <c r="EH792" s="1"/>
      <c r="EI792" s="1"/>
      <c r="EJ792" s="1"/>
      <c r="EK792" s="1"/>
      <c r="EL792" s="1"/>
      <c r="EM792" s="1"/>
      <c r="EN792" s="1"/>
      <c r="EO792" s="1"/>
      <c r="EP792" s="1"/>
      <c r="EQ792" s="1"/>
      <c r="ER792" s="1"/>
      <c r="ES792" s="1"/>
      <c r="ET792" s="1"/>
      <c r="EU792" s="1"/>
      <c r="EV792" s="1"/>
      <c r="EW792" s="1"/>
      <c r="EX792" s="1"/>
      <c r="EY792" s="1"/>
      <c r="EZ792" s="1"/>
      <c r="FA792" s="1"/>
      <c r="FB792" s="1"/>
      <c r="FC792" s="1"/>
      <c r="FD792" s="1"/>
      <c r="FE792" s="1"/>
      <c r="FF792" s="1"/>
      <c r="FG792" s="1"/>
      <c r="FH792" s="1"/>
      <c r="FI792" s="1"/>
      <c r="FJ792" s="1"/>
      <c r="FK792" s="1"/>
      <c r="FL792" s="1"/>
      <c r="FM792" s="1"/>
      <c r="FN792" s="1"/>
      <c r="FO792" s="1"/>
      <c r="FP792" s="1"/>
      <c r="FQ792" s="1"/>
      <c r="FR792" s="1"/>
      <c r="FS792" s="1"/>
      <c r="FT792" s="1"/>
      <c r="FU792" s="1"/>
      <c r="FV792" s="1"/>
      <c r="FW792" s="1"/>
      <c r="FX792" s="1"/>
      <c r="FY792" s="1"/>
      <c r="FZ792" s="1"/>
      <c r="GA792" s="1"/>
      <c r="GB792" s="1"/>
      <c r="GC792" s="1"/>
      <c r="GD792" s="1"/>
      <c r="GE792" s="1"/>
      <c r="GF792" s="1"/>
      <c r="GG792" s="1"/>
      <c r="GH792" s="1"/>
      <c r="GI792" s="1"/>
      <c r="GJ792" s="1"/>
      <c r="GK792" s="1"/>
      <c r="GL792" s="1"/>
      <c r="GM792" s="1"/>
      <c r="GN792" s="1"/>
      <c r="GO792" s="1"/>
      <c r="GP792" s="1"/>
      <c r="GQ792" s="1"/>
      <c r="GR792" s="1"/>
      <c r="GS792" s="1"/>
      <c r="GT792" s="1"/>
      <c r="GU792" s="1"/>
      <c r="GV792" s="1"/>
      <c r="GW792" s="1"/>
      <c r="GX792" s="1"/>
      <c r="GY792" s="1"/>
      <c r="GZ792" s="1"/>
      <c r="HA792" s="1"/>
      <c r="HB792" s="1"/>
      <c r="HC792" s="1"/>
      <c r="HD792" s="1"/>
      <c r="HE792" s="1"/>
      <c r="HF792" s="1"/>
      <c r="HG792" s="1"/>
      <c r="HH792" s="1"/>
      <c r="HI792" s="1"/>
      <c r="HJ792" s="1"/>
      <c r="HK792" s="1"/>
      <c r="HL792" s="1"/>
      <c r="HM792" s="1"/>
      <c r="HN792" s="1"/>
      <c r="HO792" s="1"/>
      <c r="HP792" s="1"/>
      <c r="HQ792" s="1"/>
      <c r="HR792" s="1"/>
      <c r="HS792" s="1"/>
      <c r="HT792" s="1"/>
      <c r="HU792" s="1"/>
      <c r="HV792" s="1"/>
      <c r="HW792" s="1"/>
      <c r="HX792" s="1"/>
      <c r="HY792" s="1"/>
      <c r="HZ792" s="1"/>
      <c r="IA792" s="1"/>
      <c r="IB792" s="1"/>
      <c r="IC792" s="1"/>
      <c r="ID792" s="1"/>
      <c r="IE792" s="1"/>
      <c r="IF792" s="1"/>
      <c r="IG792" s="1"/>
      <c r="IH792" s="1"/>
      <c r="II792" s="1"/>
      <c r="IJ792" s="1"/>
      <c r="IK792" s="1"/>
      <c r="IL792" s="1"/>
      <c r="IM792" s="1"/>
      <c r="IN792" s="1"/>
      <c r="IO792" s="1"/>
      <c r="IP792" s="1"/>
      <c r="IQ792" s="1"/>
      <c r="IR792" s="1"/>
      <c r="IS792" s="1"/>
      <c r="IT792" s="1"/>
      <c r="IU792" s="1"/>
      <c r="IV792" s="1"/>
      <c r="IW792" s="1"/>
      <c r="IX792" s="1"/>
      <c r="IY792" s="1"/>
      <c r="IZ792" s="1"/>
      <c r="JA792" s="1"/>
      <c r="JB792" s="1"/>
      <c r="JC792" s="1"/>
      <c r="JD792" s="1"/>
    </row>
    <row r="793" spans="1:264" s="411" customFormat="1" x14ac:dyDescent="0.2">
      <c r="A793" s="407" t="s">
        <v>227</v>
      </c>
      <c r="B793" s="423"/>
      <c r="BH793" s="397">
        <f>BH776</f>
        <v>-2606</v>
      </c>
      <c r="BI793" s="397">
        <f>BI776</f>
        <v>-2626</v>
      </c>
      <c r="BJ793" s="397">
        <f>+BI793+BH793</f>
        <v>-5232</v>
      </c>
      <c r="BK793" s="423"/>
      <c r="BL793" s="397">
        <f>BL776</f>
        <v>-2785</v>
      </c>
      <c r="BM793" s="397">
        <f>BM776</f>
        <v>-2757</v>
      </c>
      <c r="BN793" s="397">
        <f>+BM793+BL793</f>
        <v>-5542</v>
      </c>
      <c r="BO793" s="428">
        <f>+BN793/BJ793-1</f>
        <v>5.9250764525993871E-2</v>
      </c>
      <c r="BP793" s="397">
        <f>BP776</f>
        <v>-2906</v>
      </c>
      <c r="BQ793" s="397">
        <f>BQ776</f>
        <v>-2910</v>
      </c>
      <c r="BR793" s="397">
        <f>+BQ793+BP793</f>
        <v>-5816</v>
      </c>
      <c r="BS793" s="428">
        <f>+BR793/BN793-1</f>
        <v>4.9440635149765377E-2</v>
      </c>
      <c r="BT793" s="397">
        <f>BT776</f>
        <v>-3079</v>
      </c>
      <c r="BU793" s="397">
        <f>BU776</f>
        <v>-3090</v>
      </c>
      <c r="BV793" s="397">
        <f>+BU793+BT793</f>
        <v>-6169</v>
      </c>
      <c r="BW793" s="428">
        <f>+BV793/BR793-1</f>
        <v>6.0694635488308224E-2</v>
      </c>
      <c r="BX793" s="397">
        <f>BX776</f>
        <v>-2996</v>
      </c>
      <c r="BY793" s="397">
        <f>BY776</f>
        <v>-2869</v>
      </c>
      <c r="BZ793" s="397">
        <f>+BY793+BX793</f>
        <v>-5865</v>
      </c>
      <c r="CA793" s="428">
        <f>+BZ793/BV793-1</f>
        <v>-4.9278651321121747E-2</v>
      </c>
      <c r="CB793" s="397">
        <f>CB776</f>
        <v>-2739</v>
      </c>
      <c r="CC793" s="397">
        <f>CC776</f>
        <v>-2700</v>
      </c>
      <c r="CD793" s="397">
        <f>+CC793+CB793</f>
        <v>-5439</v>
      </c>
      <c r="CE793" s="428">
        <f>+CD793/BZ793-1</f>
        <v>-7.2634271099744296E-2</v>
      </c>
      <c r="CF793" s="397">
        <f>CF776</f>
        <v>-2770</v>
      </c>
      <c r="CG793" s="397">
        <f>CG776</f>
        <v>-2935</v>
      </c>
      <c r="CH793" s="397">
        <f>+CG793+CF793</f>
        <v>-5705</v>
      </c>
      <c r="CI793" s="428">
        <f>+CH793/CD793-1</f>
        <v>4.8906048906048882E-2</v>
      </c>
      <c r="CJ793" s="397">
        <f>CJ776</f>
        <v>-2836</v>
      </c>
      <c r="CK793" s="397">
        <f>CK776</f>
        <v>-2895</v>
      </c>
      <c r="CL793" s="397">
        <f>+CK793+CJ793</f>
        <v>-5731</v>
      </c>
      <c r="CM793" s="428">
        <f>+CL793/CH793-1</f>
        <v>4.5574057843995597E-3</v>
      </c>
      <c r="CN793" s="397">
        <f>CN776</f>
        <v>-2963</v>
      </c>
      <c r="CO793" s="397">
        <f>CO776</f>
        <v>-3022</v>
      </c>
      <c r="CP793" s="397">
        <f>+CO793+CN793</f>
        <v>-5985</v>
      </c>
      <c r="CQ793" s="428">
        <f>+CP793/CL793-1</f>
        <v>4.4320362938405244E-2</v>
      </c>
      <c r="CR793" s="397">
        <f>CR776</f>
        <v>-3358</v>
      </c>
      <c r="CS793" s="397">
        <f>CS776</f>
        <v>-3194</v>
      </c>
      <c r="CT793" s="397">
        <f>+CS793+CR793</f>
        <v>-6552</v>
      </c>
      <c r="CU793" s="428">
        <f>+CT793/CP793-1</f>
        <v>9.473684210526323E-2</v>
      </c>
      <c r="CV793" s="397">
        <f>CV776</f>
        <v>-3537</v>
      </c>
      <c r="CW793" s="397">
        <f>CW776</f>
        <v>-3702</v>
      </c>
      <c r="CX793" s="397">
        <f>+CW793+CV793</f>
        <v>-7239</v>
      </c>
      <c r="CY793" s="428">
        <f>+CX793/CT793-1</f>
        <v>0.10485347985347993</v>
      </c>
      <c r="CZ793" s="397">
        <f>CZ776</f>
        <v>-3719</v>
      </c>
      <c r="DA793" s="397">
        <f>DA776</f>
        <v>-3729</v>
      </c>
      <c r="DB793" s="397">
        <f>+DA793+CZ793</f>
        <v>-7448</v>
      </c>
      <c r="DC793" s="428">
        <f>+DB793/CX793-1</f>
        <v>2.8871391076115582E-2</v>
      </c>
      <c r="DD793" s="397">
        <f>DD776</f>
        <v>-3970</v>
      </c>
      <c r="DE793" s="397">
        <f>DE776</f>
        <v>-4000</v>
      </c>
      <c r="DF793" s="397">
        <f>+DE793+DD793</f>
        <v>-7970</v>
      </c>
      <c r="DG793" s="428">
        <f>+DF793/DB793-1</f>
        <v>7.0085929108485434E-2</v>
      </c>
      <c r="DH793" s="397">
        <f>DH776</f>
        <v>-4139</v>
      </c>
      <c r="DI793" s="397">
        <f>-DI797/1000*(DI3/DI4)*DI796</f>
        <v>-4143.6701904683941</v>
      </c>
      <c r="DJ793" s="397">
        <f>+DH793+DI793</f>
        <v>-8282.6701904683941</v>
      </c>
      <c r="DK793" s="428">
        <f>+DJ793/DF793-1</f>
        <v>3.9230889644716882E-2</v>
      </c>
      <c r="DL793" s="397">
        <f>-DL797/1000*(DL3/DL4)*DL796</f>
        <v>-4382.5308347795726</v>
      </c>
      <c r="DM793" s="397">
        <f>-DM797/1000*(DM3/DM4)*DM796</f>
        <v>-4375.9582294325219</v>
      </c>
      <c r="DN793" s="397">
        <f>+DL793+DM793</f>
        <v>-8758.4890642120954</v>
      </c>
      <c r="DO793" s="428">
        <f>+DN793/DJ793-1</f>
        <v>5.7447521487849151E-2</v>
      </c>
      <c r="DP793" s="397">
        <f>-DP797/1000*(DP3/DP4)*DP796</f>
        <v>-4593.0487245006943</v>
      </c>
      <c r="DQ793" s="397">
        <f>-DQ797/1000*(DQ3/DQ4)*DQ796</f>
        <v>-4611.4983022848164</v>
      </c>
      <c r="DR793" s="397">
        <f>+DP793+DQ793</f>
        <v>-9204.5470267855108</v>
      </c>
      <c r="DS793" s="428">
        <f>+DR793/DN793-1</f>
        <v>5.0928642977479344E-2</v>
      </c>
      <c r="DU793" s="1"/>
      <c r="DV793" s="1"/>
      <c r="DW793" s="1"/>
      <c r="DX793" s="1"/>
      <c r="DY793" s="1"/>
      <c r="DZ793" s="1"/>
      <c r="EA793" s="1"/>
      <c r="EB793" s="1"/>
      <c r="EC793" s="1"/>
      <c r="ED793" s="1"/>
      <c r="EE793" s="1"/>
      <c r="EF793" s="1"/>
      <c r="EG793" s="1"/>
      <c r="EH793" s="1"/>
      <c r="EI793" s="1"/>
      <c r="EJ793" s="1"/>
      <c r="EK793" s="1"/>
      <c r="EL793" s="1"/>
      <c r="EM793" s="1"/>
      <c r="EN793" s="1"/>
      <c r="EO793" s="1"/>
      <c r="EP793" s="1"/>
      <c r="EQ793" s="1"/>
      <c r="ER793" s="1"/>
      <c r="ES793" s="1"/>
      <c r="ET793" s="1"/>
      <c r="EU793" s="1"/>
      <c r="EV793" s="1"/>
      <c r="EW793" s="1"/>
      <c r="EX793" s="1"/>
      <c r="EY793" s="1"/>
      <c r="EZ793" s="1"/>
      <c r="FA793" s="1"/>
      <c r="FB793" s="1"/>
      <c r="FC793" s="1"/>
      <c r="FD793" s="1"/>
      <c r="FE793" s="1"/>
      <c r="FF793" s="1"/>
      <c r="FG793" s="1"/>
      <c r="FH793" s="1"/>
      <c r="FI793" s="1"/>
      <c r="FJ793" s="1"/>
      <c r="FK793" s="1"/>
      <c r="FL793" s="1"/>
      <c r="FM793" s="1"/>
      <c r="FN793" s="1"/>
      <c r="FO793" s="1"/>
      <c r="FP793" s="1"/>
      <c r="FQ793" s="1"/>
      <c r="FR793" s="1"/>
      <c r="FS793" s="1"/>
      <c r="FT793" s="1"/>
      <c r="FU793" s="1"/>
      <c r="FV793" s="1"/>
      <c r="FW793" s="1"/>
      <c r="FX793" s="1"/>
      <c r="FY793" s="1"/>
      <c r="FZ793" s="1"/>
      <c r="GA793" s="1"/>
      <c r="GB793" s="1"/>
      <c r="GC793" s="1"/>
      <c r="GD793" s="1"/>
      <c r="GE793" s="1"/>
      <c r="GF793" s="1"/>
      <c r="GG793" s="1"/>
      <c r="GH793" s="1"/>
      <c r="GI793" s="1"/>
      <c r="GJ793" s="1"/>
      <c r="GK793" s="1"/>
      <c r="GL793" s="1"/>
      <c r="GM793" s="1"/>
      <c r="GN793" s="1"/>
      <c r="GO793" s="1"/>
      <c r="GP793" s="1"/>
      <c r="GQ793" s="1"/>
      <c r="GR793" s="1"/>
      <c r="GS793" s="1"/>
      <c r="GT793" s="1"/>
      <c r="GU793" s="1"/>
      <c r="GV793" s="1"/>
      <c r="GW793" s="1"/>
      <c r="GX793" s="1"/>
      <c r="GY793" s="1"/>
      <c r="GZ793" s="1"/>
      <c r="HA793" s="1"/>
      <c r="HB793" s="1"/>
      <c r="HC793" s="1"/>
      <c r="HD793" s="1"/>
      <c r="HE793" s="1"/>
      <c r="HF793" s="1"/>
      <c r="HG793" s="1"/>
      <c r="HH793" s="1"/>
      <c r="HI793" s="1"/>
      <c r="HJ793" s="1"/>
      <c r="HK793" s="1"/>
      <c r="HL793" s="1"/>
      <c r="HM793" s="1"/>
      <c r="HN793" s="1"/>
      <c r="HO793" s="1"/>
      <c r="HP793" s="1"/>
      <c r="HQ793" s="1"/>
      <c r="HR793" s="1"/>
      <c r="HS793" s="1"/>
      <c r="HT793" s="1"/>
      <c r="HU793" s="1"/>
      <c r="HV793" s="1"/>
      <c r="HW793" s="1"/>
      <c r="HX793" s="1"/>
      <c r="HY793" s="1"/>
      <c r="HZ793" s="1"/>
      <c r="IA793" s="1"/>
      <c r="IB793" s="1"/>
      <c r="IC793" s="1"/>
      <c r="ID793" s="1"/>
      <c r="IE793" s="1"/>
      <c r="IF793" s="1"/>
      <c r="IG793" s="1"/>
      <c r="IH793" s="1"/>
      <c r="II793" s="1"/>
      <c r="IJ793" s="1"/>
      <c r="IK793" s="1"/>
      <c r="IL793" s="1"/>
      <c r="IM793" s="1"/>
      <c r="IN793" s="1"/>
      <c r="IO793" s="1"/>
      <c r="IP793" s="1"/>
      <c r="IQ793" s="1"/>
      <c r="IR793" s="1"/>
      <c r="IS793" s="1"/>
      <c r="IT793" s="1"/>
      <c r="IU793" s="1"/>
      <c r="IV793" s="1"/>
      <c r="IW793" s="1"/>
      <c r="IX793" s="1"/>
      <c r="IY793" s="1"/>
      <c r="IZ793" s="1"/>
      <c r="JA793" s="1"/>
      <c r="JB793" s="1"/>
      <c r="JC793" s="1"/>
      <c r="JD793" s="1"/>
    </row>
    <row r="794" spans="1:264" s="347" customFormat="1" x14ac:dyDescent="0.2">
      <c r="A794" s="347" t="s">
        <v>569</v>
      </c>
      <c r="B794" s="348"/>
      <c r="BE794" s="398">
        <v>44844</v>
      </c>
      <c r="BH794" s="398">
        <v>44363</v>
      </c>
      <c r="BI794" s="398">
        <v>44969</v>
      </c>
      <c r="BJ794" s="351">
        <f>BI794</f>
        <v>44969</v>
      </c>
      <c r="BK794" s="348"/>
      <c r="BL794" s="398">
        <v>44007</v>
      </c>
      <c r="BM794" s="398">
        <v>44329</v>
      </c>
      <c r="BN794" s="351">
        <f>BM794</f>
        <v>44329</v>
      </c>
      <c r="BO794" s="393">
        <f>+BN794/BJ794-1</f>
        <v>-1.4232026507149387E-2</v>
      </c>
      <c r="BP794" s="398">
        <v>44520</v>
      </c>
      <c r="BQ794" s="398">
        <v>45948</v>
      </c>
      <c r="BR794" s="351">
        <f>BQ794</f>
        <v>45948</v>
      </c>
      <c r="BT794" s="398">
        <v>45221</v>
      </c>
      <c r="BU794" s="398">
        <v>45129</v>
      </c>
      <c r="BV794" s="351">
        <f>BU794</f>
        <v>45129</v>
      </c>
      <c r="BX794" s="398">
        <v>45271</v>
      </c>
      <c r="BY794" s="420">
        <f>BZ794</f>
        <v>43620</v>
      </c>
      <c r="BZ794" s="399">
        <f>43620</f>
        <v>43620</v>
      </c>
      <c r="CB794" s="398">
        <v>41308</v>
      </c>
      <c r="CC794" s="398">
        <v>42462</v>
      </c>
      <c r="CD794" s="351">
        <f>CC794</f>
        <v>42462</v>
      </c>
      <c r="CF794" s="398">
        <v>42519</v>
      </c>
      <c r="CG794" s="398">
        <v>41458</v>
      </c>
      <c r="CH794" s="351">
        <f>CG794</f>
        <v>41458</v>
      </c>
      <c r="CJ794" s="398">
        <v>40519</v>
      </c>
      <c r="CK794" s="398">
        <v>41778</v>
      </c>
      <c r="CL794" s="351">
        <f>CK794</f>
        <v>41778</v>
      </c>
      <c r="CN794" s="398">
        <v>42720</v>
      </c>
      <c r="CO794" s="398">
        <v>44375</v>
      </c>
      <c r="CP794" s="351">
        <f>CO794</f>
        <v>44375</v>
      </c>
      <c r="CR794" s="398">
        <v>47532</v>
      </c>
      <c r="CS794" s="398">
        <v>49245</v>
      </c>
      <c r="CT794" s="351">
        <f>CS794</f>
        <v>49245</v>
      </c>
      <c r="CV794" s="398">
        <v>48538</v>
      </c>
      <c r="CW794" s="398">
        <v>49454</v>
      </c>
      <c r="CX794" s="351">
        <f>CW794</f>
        <v>49454</v>
      </c>
      <c r="CZ794" s="398">
        <v>48930</v>
      </c>
      <c r="DA794" s="398">
        <v>48887</v>
      </c>
      <c r="DB794" s="351">
        <f>DA794</f>
        <v>48887</v>
      </c>
      <c r="DD794" s="398">
        <v>49682</v>
      </c>
      <c r="DE794" s="398">
        <v>51346</v>
      </c>
      <c r="DF794" s="351">
        <f>DE794</f>
        <v>51346</v>
      </c>
      <c r="DH794" s="398">
        <v>51617</v>
      </c>
      <c r="DI794" s="479">
        <f>+DH794*(1+DI795)</f>
        <v>52133.17</v>
      </c>
      <c r="DJ794" s="351">
        <f>DI794</f>
        <v>52133.17</v>
      </c>
      <c r="DL794" s="479">
        <f>+DI794*(1+DL795)</f>
        <v>52654.501700000001</v>
      </c>
      <c r="DM794" s="479">
        <f>+DL794*(1+DM795)</f>
        <v>53181.046717000005</v>
      </c>
      <c r="DN794" s="351">
        <f>DM794</f>
        <v>53181.046717000005</v>
      </c>
      <c r="DP794" s="479">
        <f>+DM794*(1+DP795)</f>
        <v>53712.857184170003</v>
      </c>
      <c r="DQ794" s="479">
        <f>+DP794*(1+DQ795)</f>
        <v>54249.985756011702</v>
      </c>
      <c r="DR794" s="351">
        <f>DQ794</f>
        <v>54249.985756011702</v>
      </c>
      <c r="DU794" s="1"/>
      <c r="DV794" s="1"/>
      <c r="DW794" s="1"/>
      <c r="DX794" s="1"/>
      <c r="DY794" s="1"/>
      <c r="DZ794" s="1"/>
      <c r="EA794" s="1"/>
      <c r="EB794" s="1"/>
      <c r="EC794" s="1"/>
      <c r="ED794" s="1"/>
      <c r="EE794" s="1"/>
      <c r="EF794" s="1"/>
      <c r="EG794" s="1"/>
      <c r="EH794" s="1"/>
      <c r="EI794" s="1"/>
      <c r="EJ794" s="1"/>
      <c r="EK794" s="1"/>
      <c r="EL794" s="1"/>
      <c r="EM794" s="1"/>
      <c r="EN794" s="1"/>
      <c r="EO794" s="1"/>
      <c r="EP794" s="1"/>
      <c r="EQ794" s="1"/>
      <c r="ER794" s="1"/>
      <c r="ES794" s="1"/>
      <c r="ET794" s="1"/>
      <c r="EU794" s="1"/>
      <c r="EV794" s="1"/>
      <c r="EW794" s="1"/>
      <c r="EX794" s="1"/>
      <c r="EY794" s="1"/>
      <c r="EZ794" s="1"/>
      <c r="FA794" s="1"/>
      <c r="FB794" s="1"/>
      <c r="FC794" s="1"/>
      <c r="FD794" s="1"/>
      <c r="FE794" s="1"/>
      <c r="FF794" s="1"/>
      <c r="FG794" s="1"/>
      <c r="FH794" s="1"/>
      <c r="FI794" s="1"/>
      <c r="FJ794" s="1"/>
      <c r="FK794" s="1"/>
      <c r="FL794" s="1"/>
      <c r="FM794" s="1"/>
      <c r="FN794" s="1"/>
      <c r="FO794" s="1"/>
      <c r="FP794" s="1"/>
      <c r="FQ794" s="1"/>
      <c r="FR794" s="1"/>
      <c r="FS794" s="1"/>
      <c r="FT794" s="1"/>
      <c r="FU794" s="1"/>
      <c r="FV794" s="1"/>
      <c r="FW794" s="1"/>
      <c r="FX794" s="1"/>
      <c r="FY794" s="1"/>
      <c r="FZ794" s="1"/>
      <c r="GA794" s="1"/>
      <c r="GB794" s="1"/>
      <c r="GC794" s="1"/>
      <c r="GD794" s="1"/>
      <c r="GE794" s="1"/>
      <c r="GF794" s="1"/>
      <c r="GG794" s="1"/>
      <c r="GH794" s="1"/>
      <c r="GI794" s="1"/>
      <c r="GJ794" s="1"/>
      <c r="GK794" s="1"/>
      <c r="GL794" s="1"/>
      <c r="GM794" s="1"/>
      <c r="GN794" s="1"/>
      <c r="GO794" s="1"/>
      <c r="GP794" s="1"/>
      <c r="GQ794" s="1"/>
      <c r="GR794" s="1"/>
      <c r="GS794" s="1"/>
      <c r="GT794" s="1"/>
      <c r="GU794" s="1"/>
      <c r="GV794" s="1"/>
      <c r="GW794" s="1"/>
      <c r="GX794" s="1"/>
      <c r="GY794" s="1"/>
      <c r="GZ794" s="1"/>
      <c r="HA794" s="1"/>
      <c r="HB794" s="1"/>
      <c r="HC794" s="1"/>
      <c r="HD794" s="1"/>
      <c r="HE794" s="1"/>
      <c r="HF794" s="1"/>
      <c r="HG794" s="1"/>
      <c r="HH794" s="1"/>
      <c r="HI794" s="1"/>
      <c r="HJ794" s="1"/>
      <c r="HK794" s="1"/>
      <c r="HL794" s="1"/>
      <c r="HM794" s="1"/>
      <c r="HN794" s="1"/>
      <c r="HO794" s="1"/>
      <c r="HP794" s="1"/>
      <c r="HQ794" s="1"/>
      <c r="HR794" s="1"/>
      <c r="HS794" s="1"/>
      <c r="HT794" s="1"/>
      <c r="HU794" s="1"/>
      <c r="HV794" s="1"/>
      <c r="HW794" s="1"/>
      <c r="HX794" s="1"/>
      <c r="HY794" s="1"/>
      <c r="HZ794" s="1"/>
      <c r="IA794" s="1"/>
      <c r="IB794" s="1"/>
      <c r="IC794" s="1"/>
      <c r="ID794" s="1"/>
      <c r="IE794" s="1"/>
      <c r="IF794" s="1"/>
      <c r="IG794" s="1"/>
      <c r="IH794" s="1"/>
      <c r="II794" s="1"/>
      <c r="IJ794" s="1"/>
      <c r="IK794" s="1"/>
      <c r="IL794" s="1"/>
      <c r="IM794" s="1"/>
      <c r="IN794" s="1"/>
      <c r="IO794" s="1"/>
      <c r="IP794" s="1"/>
      <c r="IQ794" s="1"/>
      <c r="IR794" s="1"/>
      <c r="IS794" s="1"/>
      <c r="IT794" s="1"/>
      <c r="IU794" s="1"/>
      <c r="IV794" s="1"/>
      <c r="IW794" s="1"/>
      <c r="IX794" s="1"/>
      <c r="IY794" s="1"/>
      <c r="IZ794" s="1"/>
      <c r="JA794" s="1"/>
      <c r="JB794" s="1"/>
      <c r="JC794" s="1"/>
      <c r="JD794" s="1"/>
    </row>
    <row r="795" spans="1:264" s="347" customFormat="1" x14ac:dyDescent="0.2">
      <c r="A795" s="436" t="s">
        <v>273</v>
      </c>
      <c r="B795" s="437"/>
      <c r="C795" s="436"/>
      <c r="D795" s="436"/>
      <c r="E795" s="436"/>
      <c r="F795" s="436"/>
      <c r="G795" s="436"/>
      <c r="H795" s="436"/>
      <c r="I795" s="436"/>
      <c r="J795" s="436"/>
      <c r="K795" s="436"/>
      <c r="L795" s="436"/>
      <c r="M795" s="436"/>
      <c r="N795" s="436"/>
      <c r="O795" s="436"/>
      <c r="P795" s="436"/>
      <c r="Q795" s="436"/>
      <c r="R795" s="436"/>
      <c r="S795" s="436"/>
      <c r="T795" s="436"/>
      <c r="U795" s="436"/>
      <c r="V795" s="436"/>
      <c r="W795" s="436"/>
      <c r="X795" s="436"/>
      <c r="Y795" s="436"/>
      <c r="Z795" s="436"/>
      <c r="AA795" s="436"/>
      <c r="AB795" s="436"/>
      <c r="AC795" s="436"/>
      <c r="AD795" s="436"/>
      <c r="AE795" s="436"/>
      <c r="AF795" s="436"/>
      <c r="AG795" s="436"/>
      <c r="AH795" s="436"/>
      <c r="AI795" s="436"/>
      <c r="AJ795" s="436"/>
      <c r="AK795" s="436"/>
      <c r="AL795" s="436"/>
      <c r="AM795" s="436"/>
      <c r="AN795" s="436"/>
      <c r="AO795" s="436"/>
      <c r="AP795" s="436"/>
      <c r="AQ795" s="436"/>
      <c r="AR795" s="436"/>
      <c r="AS795" s="436"/>
      <c r="AT795" s="436"/>
      <c r="AU795" s="436"/>
      <c r="AV795" s="436"/>
      <c r="AW795" s="436"/>
      <c r="AX795" s="436"/>
      <c r="AY795" s="436"/>
      <c r="AZ795" s="436"/>
      <c r="BA795" s="436"/>
      <c r="BB795" s="436"/>
      <c r="BC795" s="436"/>
      <c r="BD795" s="436"/>
      <c r="BE795" s="436"/>
      <c r="BF795" s="436"/>
      <c r="BG795" s="436"/>
      <c r="BH795" s="660">
        <f>+BH794/BE794-1</f>
        <v>-1.0726072607260773E-2</v>
      </c>
      <c r="BI795" s="660">
        <f>+BI794/BH794-1</f>
        <v>1.3660032008655953E-2</v>
      </c>
      <c r="BJ795" s="661"/>
      <c r="BK795" s="437"/>
      <c r="BL795" s="660">
        <f>+BL794/BI794-1</f>
        <v>-2.1392514843558863E-2</v>
      </c>
      <c r="BM795" s="660">
        <f>+BM794/BL794-1</f>
        <v>7.3170177471766351E-3</v>
      </c>
      <c r="BN795" s="661"/>
      <c r="BO795" s="437"/>
      <c r="BP795" s="660">
        <f>+BP794/BM794-1</f>
        <v>4.3086918270207608E-3</v>
      </c>
      <c r="BQ795" s="660">
        <f>+BQ794/BP794-1</f>
        <v>3.2075471698113311E-2</v>
      </c>
      <c r="BR795" s="661"/>
      <c r="BS795" s="463"/>
      <c r="BT795" s="660">
        <f>+BT794/BQ794-1</f>
        <v>-1.5822233829546395E-2</v>
      </c>
      <c r="BU795" s="660">
        <f>+BU794/BT794-1</f>
        <v>-2.0344530196148014E-3</v>
      </c>
      <c r="BV795" s="661"/>
      <c r="BW795" s="463"/>
      <c r="BX795" s="660">
        <f>+BX794/BU794-1</f>
        <v>3.1465354871589302E-3</v>
      </c>
      <c r="BY795" s="660">
        <f>+BY794/BX794-1</f>
        <v>-3.6469262883523701E-2</v>
      </c>
      <c r="BZ795" s="661"/>
      <c r="CA795" s="463"/>
      <c r="CB795" s="660">
        <f>+CB794/BY794-1</f>
        <v>-5.3003209536909623E-2</v>
      </c>
      <c r="CC795" s="660">
        <f>+CC794/CB794-1</f>
        <v>2.7936477195700693E-2</v>
      </c>
      <c r="CD795" s="661"/>
      <c r="CE795" s="463"/>
      <c r="CF795" s="660">
        <f>+CF794/CC794-1</f>
        <v>1.3423767132965114E-3</v>
      </c>
      <c r="CG795" s="660">
        <f>+CG794/CF794-1</f>
        <v>-2.4953550177567729E-2</v>
      </c>
      <c r="CH795" s="661"/>
      <c r="CI795" s="463"/>
      <c r="CJ795" s="660">
        <f>+CJ794/CG794-1</f>
        <v>-2.2649428337112254E-2</v>
      </c>
      <c r="CK795" s="660">
        <f>+CK794/CJ794-1</f>
        <v>3.1071842839161867E-2</v>
      </c>
      <c r="CL795" s="661"/>
      <c r="CM795" s="463"/>
      <c r="CN795" s="660">
        <f>+CN794/CK794-1</f>
        <v>2.2547752405572385E-2</v>
      </c>
      <c r="CO795" s="660">
        <f>+CO794/CN794-1</f>
        <v>3.8740636704119868E-2</v>
      </c>
      <c r="CP795" s="661"/>
      <c r="CQ795" s="463"/>
      <c r="CR795" s="660">
        <f>+CR794/CO794-1</f>
        <v>7.1143661971831085E-2</v>
      </c>
      <c r="CS795" s="660">
        <f>+CS794/CR794-1</f>
        <v>3.603887907094161E-2</v>
      </c>
      <c r="CT795" s="661"/>
      <c r="CU795" s="463"/>
      <c r="CV795" s="660">
        <f>+CV794/CS794-1</f>
        <v>-1.4356787491115797E-2</v>
      </c>
      <c r="CW795" s="660">
        <f>+CW794/CV794-1</f>
        <v>1.887181177634023E-2</v>
      </c>
      <c r="CX795" s="661"/>
      <c r="CY795" s="463"/>
      <c r="CZ795" s="660">
        <f>+CZ794/CW794-1</f>
        <v>-1.0595705099688546E-2</v>
      </c>
      <c r="DA795" s="660">
        <f>+DA794/CZ794-1</f>
        <v>-8.7880645820559433E-4</v>
      </c>
      <c r="DB795" s="661"/>
      <c r="DC795" s="463"/>
      <c r="DD795" s="660">
        <f>+DD794/DA794-1</f>
        <v>1.6261991940597742E-2</v>
      </c>
      <c r="DE795" s="660">
        <f>+DE794/DD794-1</f>
        <v>3.3493015579082908E-2</v>
      </c>
      <c r="DF795" s="661"/>
      <c r="DG795" s="463"/>
      <c r="DH795" s="660">
        <f>+DH794/DE794-1</f>
        <v>5.2779184357105713E-3</v>
      </c>
      <c r="DI795" s="482">
        <v>0.01</v>
      </c>
      <c r="DJ795" s="437"/>
      <c r="DK795" s="463"/>
      <c r="DL795" s="482">
        <v>0.01</v>
      </c>
      <c r="DM795" s="482">
        <v>0.01</v>
      </c>
      <c r="DN795" s="437"/>
      <c r="DO795" s="463"/>
      <c r="DP795" s="482">
        <v>0.01</v>
      </c>
      <c r="DQ795" s="482">
        <v>0.01</v>
      </c>
      <c r="DR795" s="437"/>
      <c r="DS795" s="463"/>
      <c r="DU795" s="1"/>
      <c r="DV795" s="1"/>
      <c r="DW795" s="1"/>
      <c r="DX795" s="1"/>
      <c r="DY795" s="1"/>
      <c r="DZ795" s="1"/>
      <c r="EA795" s="1"/>
      <c r="EB795" s="1"/>
      <c r="EC795" s="1"/>
      <c r="ED795" s="1"/>
      <c r="EE795" s="1"/>
      <c r="EF795" s="1"/>
      <c r="EG795" s="1"/>
      <c r="EH795" s="1"/>
      <c r="EI795" s="1"/>
      <c r="EJ795" s="1"/>
      <c r="EK795" s="1"/>
      <c r="EL795" s="1"/>
      <c r="EM795" s="1"/>
      <c r="EN795" s="1"/>
      <c r="EO795" s="1"/>
      <c r="EP795" s="1"/>
      <c r="EQ795" s="1"/>
      <c r="ER795" s="1"/>
      <c r="ES795" s="1"/>
      <c r="ET795" s="1"/>
      <c r="EU795" s="1"/>
      <c r="EV795" s="1"/>
      <c r="EW795" s="1"/>
      <c r="EX795" s="1"/>
      <c r="EY795" s="1"/>
      <c r="EZ795" s="1"/>
      <c r="FA795" s="1"/>
      <c r="FB795" s="1"/>
      <c r="FC795" s="1"/>
      <c r="FD795" s="1"/>
      <c r="FE795" s="1"/>
      <c r="FF795" s="1"/>
      <c r="FG795" s="1"/>
      <c r="FH795" s="1"/>
      <c r="FI795" s="1"/>
      <c r="FJ795" s="1"/>
      <c r="FK795" s="1"/>
      <c r="FL795" s="1"/>
      <c r="FM795" s="1"/>
      <c r="FN795" s="1"/>
      <c r="FO795" s="1"/>
      <c r="FP795" s="1"/>
      <c r="FQ795" s="1"/>
      <c r="FR795" s="1"/>
      <c r="FS795" s="1"/>
      <c r="FT795" s="1"/>
      <c r="FU795" s="1"/>
      <c r="FV795" s="1"/>
      <c r="FW795" s="1"/>
      <c r="FX795" s="1"/>
      <c r="FY795" s="1"/>
      <c r="FZ795" s="1"/>
      <c r="GA795" s="1"/>
      <c r="GB795" s="1"/>
      <c r="GC795" s="1"/>
      <c r="GD795" s="1"/>
      <c r="GE795" s="1"/>
      <c r="GF795" s="1"/>
      <c r="GG795" s="1"/>
      <c r="GH795" s="1"/>
      <c r="GI795" s="1"/>
      <c r="GJ795" s="1"/>
      <c r="GK795" s="1"/>
      <c r="GL795" s="1"/>
      <c r="GM795" s="1"/>
      <c r="GN795" s="1"/>
      <c r="GO795" s="1"/>
      <c r="GP795" s="1"/>
      <c r="GQ795" s="1"/>
      <c r="GR795" s="1"/>
      <c r="GS795" s="1"/>
      <c r="GT795" s="1"/>
      <c r="GU795" s="1"/>
      <c r="GV795" s="1"/>
      <c r="GW795" s="1"/>
      <c r="GX795" s="1"/>
      <c r="GY795" s="1"/>
      <c r="GZ795" s="1"/>
      <c r="HA795" s="1"/>
      <c r="HB795" s="1"/>
      <c r="HC795" s="1"/>
      <c r="HD795" s="1"/>
      <c r="HE795" s="1"/>
      <c r="HF795" s="1"/>
      <c r="HG795" s="1"/>
      <c r="HH795" s="1"/>
      <c r="HI795" s="1"/>
      <c r="HJ795" s="1"/>
      <c r="HK795" s="1"/>
      <c r="HL795" s="1"/>
      <c r="HM795" s="1"/>
      <c r="HN795" s="1"/>
      <c r="HO795" s="1"/>
      <c r="HP795" s="1"/>
      <c r="HQ795" s="1"/>
      <c r="HR795" s="1"/>
      <c r="HS795" s="1"/>
      <c r="HT795" s="1"/>
      <c r="HU795" s="1"/>
      <c r="HV795" s="1"/>
      <c r="HW795" s="1"/>
      <c r="HX795" s="1"/>
      <c r="HY795" s="1"/>
      <c r="HZ795" s="1"/>
      <c r="IA795" s="1"/>
      <c r="IB795" s="1"/>
      <c r="IC795" s="1"/>
      <c r="ID795" s="1"/>
      <c r="IE795" s="1"/>
      <c r="IF795" s="1"/>
      <c r="IG795" s="1"/>
      <c r="IH795" s="1"/>
      <c r="II795" s="1"/>
      <c r="IJ795" s="1"/>
      <c r="IK795" s="1"/>
      <c r="IL795" s="1"/>
      <c r="IM795" s="1"/>
      <c r="IN795" s="1"/>
      <c r="IO795" s="1"/>
      <c r="IP795" s="1"/>
      <c r="IQ795" s="1"/>
      <c r="IR795" s="1"/>
      <c r="IS795" s="1"/>
      <c r="IT795" s="1"/>
      <c r="IU795" s="1"/>
      <c r="IV795" s="1"/>
      <c r="IW795" s="1"/>
      <c r="IX795" s="1"/>
      <c r="IY795" s="1"/>
      <c r="IZ795" s="1"/>
      <c r="JA795" s="1"/>
      <c r="JB795" s="1"/>
      <c r="JC795" s="1"/>
      <c r="JD795" s="1"/>
    </row>
    <row r="796" spans="1:264" s="347" customFormat="1" x14ac:dyDescent="0.2">
      <c r="A796" s="347" t="s">
        <v>570</v>
      </c>
      <c r="B796" s="348"/>
      <c r="BH796" s="351">
        <f>AVERAGE(BH794,BE794)</f>
        <v>44603.5</v>
      </c>
      <c r="BI796" s="351">
        <f>AVERAGE(BI794,BH794)</f>
        <v>44666</v>
      </c>
      <c r="BJ796" s="351">
        <f>AVERAGE(BH796:BI796)</f>
        <v>44634.75</v>
      </c>
      <c r="BK796" s="348"/>
      <c r="BL796" s="351">
        <f>AVERAGE(BL794,BI794)</f>
        <v>44488</v>
      </c>
      <c r="BM796" s="351">
        <f>AVERAGE(BM794,BL794)</f>
        <v>44168</v>
      </c>
      <c r="BN796" s="351">
        <f>AVERAGE(BL796:BM796)</f>
        <v>44328</v>
      </c>
      <c r="BO796" s="393">
        <f>+BN796/BJ796-1</f>
        <v>-6.8724480365633944E-3</v>
      </c>
      <c r="BP796" s="351">
        <f>AVERAGE(BP794,BM794)</f>
        <v>44424.5</v>
      </c>
      <c r="BQ796" s="351">
        <f>AVERAGE(BQ794,BP794)</f>
        <v>45234</v>
      </c>
      <c r="BR796" s="351">
        <f>AVERAGE(BP796:BQ796)</f>
        <v>44829.25</v>
      </c>
      <c r="BT796" s="351">
        <f>AVERAGE(BT794,BQ794)</f>
        <v>45584.5</v>
      </c>
      <c r="BU796" s="351">
        <f>AVERAGE(BU794,BT794)</f>
        <v>45175</v>
      </c>
      <c r="BV796" s="351">
        <f>AVERAGE(BT796:BU796)</f>
        <v>45379.75</v>
      </c>
      <c r="BX796" s="351">
        <f>AVERAGE(BX794,BU794)</f>
        <v>45200</v>
      </c>
      <c r="BY796" s="351">
        <f>AVERAGE(BY794,BX794)</f>
        <v>44445.5</v>
      </c>
      <c r="BZ796" s="351">
        <f>AVERAGE(BX796:BY796)</f>
        <v>44822.75</v>
      </c>
      <c r="CB796" s="351">
        <f>AVERAGE(CB794,BY794)</f>
        <v>42464</v>
      </c>
      <c r="CC796" s="351">
        <f>AVERAGE(CC794,CB794)</f>
        <v>41885</v>
      </c>
      <c r="CD796" s="351">
        <f>AVERAGE(CB796:CC796)</f>
        <v>42174.5</v>
      </c>
      <c r="CE796" s="428">
        <f>+CD796/BZ796-1</f>
        <v>-5.9082720270398403E-2</v>
      </c>
      <c r="CF796" s="351">
        <f>AVERAGE(CF794,CC794)</f>
        <v>42490.5</v>
      </c>
      <c r="CG796" s="351">
        <f>AVERAGE(CG794,CF794)</f>
        <v>41988.5</v>
      </c>
      <c r="CH796" s="351">
        <f>AVERAGE(CF796:CG796)</f>
        <v>42239.5</v>
      </c>
      <c r="CJ796" s="351">
        <f>AVERAGE(CJ794,CG794)</f>
        <v>40988.5</v>
      </c>
      <c r="CK796" s="351">
        <f>AVERAGE(CK794,CJ794)</f>
        <v>41148.5</v>
      </c>
      <c r="CL796" s="351">
        <f>AVERAGE(CJ796:CK796)</f>
        <v>41068.5</v>
      </c>
      <c r="CN796" s="351">
        <f>AVERAGE(CN794,CK794)</f>
        <v>42249</v>
      </c>
      <c r="CO796" s="351">
        <f>AVERAGE(CO794,CN794)</f>
        <v>43547.5</v>
      </c>
      <c r="CP796" s="351">
        <f>AVERAGE(CN796:CO796)</f>
        <v>42898.25</v>
      </c>
      <c r="CR796" s="351">
        <f>AVERAGE(CR794,CO794)</f>
        <v>45953.5</v>
      </c>
      <c r="CS796" s="351">
        <f>AVERAGE(CS794,CR794)</f>
        <v>48388.5</v>
      </c>
      <c r="CT796" s="351">
        <f>AVERAGE(CR796:CS796)</f>
        <v>47171</v>
      </c>
      <c r="CU796" s="428">
        <f>+CT796/CP796-1</f>
        <v>9.9601965115126978E-2</v>
      </c>
      <c r="CV796" s="351">
        <f>AVERAGE(CV794,CS794)</f>
        <v>48891.5</v>
      </c>
      <c r="CW796" s="351">
        <f>AVERAGE(CW794,CV794)</f>
        <v>48996</v>
      </c>
      <c r="CX796" s="351">
        <f>AVERAGE(CV796:CW796)</f>
        <v>48943.75</v>
      </c>
      <c r="CY796" s="428">
        <f>+CX796/CT796-1</f>
        <v>3.7581352949905611E-2</v>
      </c>
      <c r="CZ796" s="351">
        <f>AVERAGE(CZ794,CW794)</f>
        <v>49192</v>
      </c>
      <c r="DA796" s="351">
        <f>AVERAGE(DA794,CZ794)</f>
        <v>48908.5</v>
      </c>
      <c r="DB796" s="351">
        <f>AVERAGE(CZ796:DA796)</f>
        <v>49050.25</v>
      </c>
      <c r="DD796" s="351">
        <f>AVERAGE(DD794,DA794)</f>
        <v>49284.5</v>
      </c>
      <c r="DE796" s="351">
        <f>AVERAGE(DE794,DD794)</f>
        <v>50514</v>
      </c>
      <c r="DF796" s="351">
        <f>AVERAGE(DD796:DE796)</f>
        <v>49899.25</v>
      </c>
      <c r="DH796" s="351">
        <f>AVERAGE(DH794,DE794)</f>
        <v>51481.5</v>
      </c>
      <c r="DI796" s="351">
        <f>AVERAGE(DI794,DH794)</f>
        <v>51875.084999999999</v>
      </c>
      <c r="DJ796" s="351">
        <f>AVERAGE(DH796:DI796)</f>
        <v>51678.292499999996</v>
      </c>
      <c r="DL796" s="662">
        <f>DL794</f>
        <v>52654.501700000001</v>
      </c>
      <c r="DM796" s="351">
        <f>AVERAGE(DM794,DL794)</f>
        <v>52917.774208500006</v>
      </c>
      <c r="DN796" s="351">
        <f>AVERAGE(DL796:DM796)</f>
        <v>52786.137954250007</v>
      </c>
      <c r="DP796" s="662">
        <f>DP794</f>
        <v>53712.857184170003</v>
      </c>
      <c r="DQ796" s="351">
        <f>AVERAGE(DQ794,DP794)</f>
        <v>53981.421470090849</v>
      </c>
      <c r="DR796" s="351">
        <f>AVERAGE(DP796:DQ796)</f>
        <v>53847.139327130426</v>
      </c>
      <c r="DU796" s="1"/>
      <c r="DV796" s="1"/>
      <c r="DW796" s="1"/>
      <c r="DX796" s="1"/>
      <c r="DY796" s="1"/>
      <c r="DZ796" s="1"/>
      <c r="EA796" s="1"/>
      <c r="EB796" s="1"/>
      <c r="EC796" s="1"/>
      <c r="ED796" s="1"/>
      <c r="EE796" s="1"/>
      <c r="EF796" s="1"/>
      <c r="EG796" s="1"/>
      <c r="EH796" s="1"/>
      <c r="EI796" s="1"/>
      <c r="EJ796" s="1"/>
      <c r="EK796" s="1"/>
      <c r="EL796" s="1"/>
      <c r="EM796" s="1"/>
      <c r="EN796" s="1"/>
      <c r="EO796" s="1"/>
      <c r="EP796" s="1"/>
      <c r="EQ796" s="1"/>
      <c r="ER796" s="1"/>
      <c r="ES796" s="1"/>
      <c r="ET796" s="1"/>
      <c r="EU796" s="1"/>
      <c r="EV796" s="1"/>
      <c r="EW796" s="1"/>
      <c r="EX796" s="1"/>
      <c r="EY796" s="1"/>
      <c r="EZ796" s="1"/>
      <c r="FA796" s="1"/>
      <c r="FB796" s="1"/>
      <c r="FC796" s="1"/>
      <c r="FD796" s="1"/>
      <c r="FE796" s="1"/>
      <c r="FF796" s="1"/>
      <c r="FG796" s="1"/>
      <c r="FH796" s="1"/>
      <c r="FI796" s="1"/>
      <c r="FJ796" s="1"/>
      <c r="FK796" s="1"/>
      <c r="FL796" s="1"/>
      <c r="FM796" s="1"/>
      <c r="FN796" s="1"/>
      <c r="FO796" s="1"/>
      <c r="FP796" s="1"/>
      <c r="FQ796" s="1"/>
      <c r="FR796" s="1"/>
      <c r="FS796" s="1"/>
      <c r="FT796" s="1"/>
      <c r="FU796" s="1"/>
      <c r="FV796" s="1"/>
      <c r="FW796" s="1"/>
      <c r="FX796" s="1"/>
      <c r="FY796" s="1"/>
      <c r="FZ796" s="1"/>
      <c r="GA796" s="1"/>
      <c r="GB796" s="1"/>
      <c r="GC796" s="1"/>
      <c r="GD796" s="1"/>
      <c r="GE796" s="1"/>
      <c r="GF796" s="1"/>
      <c r="GG796" s="1"/>
      <c r="GH796" s="1"/>
      <c r="GI796" s="1"/>
      <c r="GJ796" s="1"/>
      <c r="GK796" s="1"/>
      <c r="GL796" s="1"/>
      <c r="GM796" s="1"/>
      <c r="GN796" s="1"/>
      <c r="GO796" s="1"/>
      <c r="GP796" s="1"/>
      <c r="GQ796" s="1"/>
      <c r="GR796" s="1"/>
      <c r="GS796" s="1"/>
      <c r="GT796" s="1"/>
      <c r="GU796" s="1"/>
      <c r="GV796" s="1"/>
      <c r="GW796" s="1"/>
      <c r="GX796" s="1"/>
      <c r="GY796" s="1"/>
      <c r="GZ796" s="1"/>
      <c r="HA796" s="1"/>
      <c r="HB796" s="1"/>
      <c r="HC796" s="1"/>
      <c r="HD796" s="1"/>
      <c r="HE796" s="1"/>
      <c r="HF796" s="1"/>
      <c r="HG796" s="1"/>
      <c r="HH796" s="1"/>
      <c r="HI796" s="1"/>
      <c r="HJ796" s="1"/>
      <c r="HK796" s="1"/>
      <c r="HL796" s="1"/>
      <c r="HM796" s="1"/>
      <c r="HN796" s="1"/>
      <c r="HO796" s="1"/>
      <c r="HP796" s="1"/>
      <c r="HQ796" s="1"/>
      <c r="HR796" s="1"/>
      <c r="HS796" s="1"/>
      <c r="HT796" s="1"/>
      <c r="HU796" s="1"/>
      <c r="HV796" s="1"/>
      <c r="HW796" s="1"/>
      <c r="HX796" s="1"/>
      <c r="HY796" s="1"/>
      <c r="HZ796" s="1"/>
      <c r="IA796" s="1"/>
      <c r="IB796" s="1"/>
      <c r="IC796" s="1"/>
      <c r="ID796" s="1"/>
      <c r="IE796" s="1"/>
      <c r="IF796" s="1"/>
      <c r="IG796" s="1"/>
      <c r="IH796" s="1"/>
      <c r="II796" s="1"/>
      <c r="IJ796" s="1"/>
      <c r="IK796" s="1"/>
      <c r="IL796" s="1"/>
      <c r="IM796" s="1"/>
      <c r="IN796" s="1"/>
      <c r="IO796" s="1"/>
      <c r="IP796" s="1"/>
      <c r="IQ796" s="1"/>
      <c r="IR796" s="1"/>
      <c r="IS796" s="1"/>
      <c r="IT796" s="1"/>
      <c r="IU796" s="1"/>
      <c r="IV796" s="1"/>
      <c r="IW796" s="1"/>
      <c r="IX796" s="1"/>
      <c r="IY796" s="1"/>
      <c r="IZ796" s="1"/>
      <c r="JA796" s="1"/>
      <c r="JB796" s="1"/>
      <c r="JC796" s="1"/>
      <c r="JD796" s="1"/>
    </row>
    <row r="797" spans="1:264" s="347" customFormat="1" x14ac:dyDescent="0.2">
      <c r="A797" s="347" t="s">
        <v>571</v>
      </c>
      <c r="B797" s="348"/>
      <c r="BH797" s="663">
        <f>-BH793*1000*(BH4/BH3)/BH796</f>
        <v>115.89922023081637</v>
      </c>
      <c r="BI797" s="663">
        <f>-BI793*1000*(BI4/BI3)/BI796</f>
        <v>118.55829628528305</v>
      </c>
      <c r="BJ797" s="663">
        <f>-BJ793*1000*(BJ4/BJ3)/BJ796</f>
        <v>117.21808680456371</v>
      </c>
      <c r="BK797" s="348"/>
      <c r="BL797" s="663">
        <f>-BL793*1000*(BL4/BL3)/BL796</f>
        <v>124.18163080615778</v>
      </c>
      <c r="BM797" s="663">
        <f>-BM793*1000*(BM4/BM3)/BM796</f>
        <v>125.8761124025694</v>
      </c>
      <c r="BN797" s="663">
        <f>-BN793*1000*(BN4/BN3)/BN796</f>
        <v>125.02255910485472</v>
      </c>
      <c r="BO797" s="393">
        <f>+BN797/BJ797-1</f>
        <v>6.6580785551493493E-2</v>
      </c>
      <c r="BP797" s="663">
        <f>-BP793*1000*(BP4/BP3)/BP796</f>
        <v>129.7621709916238</v>
      </c>
      <c r="BQ797" s="663">
        <f>-BQ793*1000*(BQ4/BQ3)/BQ796</f>
        <v>129.73055763803544</v>
      </c>
      <c r="BR797" s="663">
        <f>-BR793*1000*(BR4/BR3)/BR796</f>
        <v>129.73672323315694</v>
      </c>
      <c r="BT797" s="663">
        <f>-BT793*1000*(BT4/BT3)/BT796</f>
        <v>134.35559474592574</v>
      </c>
      <c r="BU797" s="663">
        <f>-BU793*1000*(BU4/BU3)/BU796</f>
        <v>137.55298381751066</v>
      </c>
      <c r="BV797" s="663">
        <f>-BV793*1000*(BV4/BV3)/BV796</f>
        <v>135.94169205427531</v>
      </c>
      <c r="BX797" s="663">
        <f>-BX793*1000*(BX4/BX3)/BX796</f>
        <v>131.48566756444788</v>
      </c>
      <c r="BY797" s="663">
        <f>-BY793*1000*(BY4/BY3)/BY796</f>
        <v>130.17183935804178</v>
      </c>
      <c r="BZ797" s="663">
        <f>-BZ793*1000*(BZ4/BZ3)/BZ796</f>
        <v>130.84873194973534</v>
      </c>
      <c r="CB797" s="663">
        <f>-CB793*1000*(CB4/CB3)/CB796</f>
        <v>127.95173302807902</v>
      </c>
      <c r="CC797" s="663">
        <f>-CC793*1000*(CC4/CC3)/CC796</f>
        <v>129.99287050771088</v>
      </c>
      <c r="CD797" s="663">
        <f>-CD793*1000*(CD4/CD3)/CD796</f>
        <v>128.96418451908144</v>
      </c>
      <c r="CF797" s="663">
        <f>-CF793*1000*(CF4/CF3)/CF796</f>
        <v>129.31918797194052</v>
      </c>
      <c r="CG797" s="663">
        <f>-CG793*1000*(CG4/CG3)/CG796</f>
        <v>140.95874843921024</v>
      </c>
      <c r="CH797" s="663">
        <f>-CH793*1000*(CH4/CH3)/CH796</f>
        <v>135.06315178920204</v>
      </c>
      <c r="CJ797" s="663">
        <f>-CJ793*1000*(CJ4/CJ3)/CJ796</f>
        <v>137.62821066990688</v>
      </c>
      <c r="CK797" s="663">
        <f>-CK793*1000*(CK4/CK3)/CK796</f>
        <v>141.48299905982446</v>
      </c>
      <c r="CL797" s="663">
        <f>-CL793*1000*(CL4/CL3)/CL796</f>
        <v>139.54734163653407</v>
      </c>
      <c r="CN797" s="663">
        <f>-CN793*1000*(CN4/CN3)/CN796</f>
        <v>139.12022100857547</v>
      </c>
      <c r="CO797" s="663">
        <f>-CO793*1000*(CO4/CO3)/CO796</f>
        <v>139.94117682507735</v>
      </c>
      <c r="CP797" s="663">
        <f>-CP793*1000*(CP4/CP3)/CP796</f>
        <v>139.51618072998315</v>
      </c>
      <c r="CR797" s="663">
        <f>-CR793*1000*(CR4/CR3)/CR796</f>
        <v>144.95631453534551</v>
      </c>
      <c r="CS797" s="663">
        <f>-CS793*1000*(CS4/CS3)/CS796</f>
        <v>133.10888385710112</v>
      </c>
      <c r="CT797" s="663">
        <f>-CT793*1000*(CT4/CT3)/CT796</f>
        <v>138.89889974772635</v>
      </c>
      <c r="CV797" s="663">
        <f>-CV793*1000*(CV4/CV3)/CV796</f>
        <v>143.50820739267829</v>
      </c>
      <c r="CW797" s="663">
        <f>-CW793*1000*(CW4/CW3)/CW796</f>
        <v>152.3667057723508</v>
      </c>
      <c r="CX797" s="663">
        <f>-CX793*1000*(CX4/CX3)/CX796</f>
        <v>147.90448218618312</v>
      </c>
      <c r="CY797" s="428">
        <f>+CX797/CT797-1</f>
        <v>6.4835520330348562E-2</v>
      </c>
      <c r="CZ797" s="663">
        <f>-CZ793*1000*(CZ4/CZ3)/CZ796</f>
        <v>150.38168984705891</v>
      </c>
      <c r="DA797" s="663">
        <f>-DA793*1000*(DA4/DA3)/DA796</f>
        <v>153.32668190555879</v>
      </c>
      <c r="DB797" s="663">
        <f>-DB793*1000*(DB4/DB3)/DB796</f>
        <v>151.84428213923476</v>
      </c>
      <c r="DC797" s="428">
        <f>+DB797/CX797-1</f>
        <v>2.6637461521228367E-2</v>
      </c>
      <c r="DD797" s="663">
        <f>-DD793*1000*(DD4/DD3)/DD796</f>
        <v>159.79205914903133</v>
      </c>
      <c r="DE797" s="663">
        <f>-DE793*1000*(DE4/DE3)/DE796</f>
        <v>159.68441110467271</v>
      </c>
      <c r="DF797" s="663">
        <f>-DF793*1000*(DF4/DF3)/DF796</f>
        <v>159.72183950660582</v>
      </c>
      <c r="DG797" s="428">
        <f>+DF797/DB797-1</f>
        <v>5.1879183439700771E-2</v>
      </c>
      <c r="DH797" s="663">
        <f>-DH793*1000*(DH4/DH3)/DH796</f>
        <v>159.48479170862981</v>
      </c>
      <c r="DI797" s="663">
        <f>+DH797*(1+DI798)</f>
        <v>161.07963962571611</v>
      </c>
      <c r="DJ797" s="663">
        <f>-DJ793*1000*(DJ4/DJ3)/DJ796</f>
        <v>160.27368145858136</v>
      </c>
      <c r="DK797" s="428">
        <f>+DJ797/DF797-1</f>
        <v>3.4550187606168237E-3</v>
      </c>
      <c r="DL797" s="663">
        <f>+DI797*(1+DL798)</f>
        <v>165.10663061635901</v>
      </c>
      <c r="DM797" s="663">
        <f>+DL797*(1+DM798)</f>
        <v>166.7576969225226</v>
      </c>
      <c r="DN797" s="663">
        <f>-DN793*1000*(DN4/DN3)/DN796</f>
        <v>165.92403618925709</v>
      </c>
      <c r="DO797" s="428">
        <f>+DN797/DJ797-1</f>
        <v>3.5254414070072571E-2</v>
      </c>
      <c r="DP797" s="663">
        <f>+DM797*(1+DP798)</f>
        <v>170.09285086097304</v>
      </c>
      <c r="DQ797" s="663">
        <f>+DP797*(1+DQ798)</f>
        <v>171.79377936958278</v>
      </c>
      <c r="DR797" s="663">
        <f>-DR793*1000*(DR4/DR3)/DR796</f>
        <v>170.93845916059422</v>
      </c>
      <c r="DS797" s="428">
        <f>+DR797/DN797-1</f>
        <v>3.0221196919399507E-2</v>
      </c>
      <c r="DU797" s="1"/>
      <c r="DV797" s="1"/>
      <c r="DW797" s="1"/>
      <c r="DX797" s="1"/>
      <c r="DY797" s="1"/>
      <c r="DZ797" s="1"/>
      <c r="EA797" s="1"/>
      <c r="EB797" s="1"/>
      <c r="EC797" s="1"/>
      <c r="ED797" s="1"/>
      <c r="EE797" s="1"/>
      <c r="EF797" s="1"/>
      <c r="EG797" s="1"/>
      <c r="EH797" s="1"/>
      <c r="EI797" s="1"/>
      <c r="EJ797" s="1"/>
      <c r="EK797" s="1"/>
      <c r="EL797" s="1"/>
      <c r="EM797" s="1"/>
      <c r="EN797" s="1"/>
      <c r="EO797" s="1"/>
      <c r="EP797" s="1"/>
      <c r="EQ797" s="1"/>
      <c r="ER797" s="1"/>
      <c r="ES797" s="1"/>
      <c r="ET797" s="1"/>
      <c r="EU797" s="1"/>
      <c r="EV797" s="1"/>
      <c r="EW797" s="1"/>
      <c r="EX797" s="1"/>
      <c r="EY797" s="1"/>
      <c r="EZ797" s="1"/>
      <c r="FA797" s="1"/>
      <c r="FB797" s="1"/>
      <c r="FC797" s="1"/>
      <c r="FD797" s="1"/>
      <c r="FE797" s="1"/>
      <c r="FF797" s="1"/>
      <c r="FG797" s="1"/>
      <c r="FH797" s="1"/>
      <c r="FI797" s="1"/>
      <c r="FJ797" s="1"/>
      <c r="FK797" s="1"/>
      <c r="FL797" s="1"/>
      <c r="FM797" s="1"/>
      <c r="FN797" s="1"/>
      <c r="FO797" s="1"/>
      <c r="FP797" s="1"/>
      <c r="FQ797" s="1"/>
      <c r="FR797" s="1"/>
      <c r="FS797" s="1"/>
      <c r="FT797" s="1"/>
      <c r="FU797" s="1"/>
      <c r="FV797" s="1"/>
      <c r="FW797" s="1"/>
      <c r="FX797" s="1"/>
      <c r="FY797" s="1"/>
      <c r="FZ797" s="1"/>
      <c r="GA797" s="1"/>
      <c r="GB797" s="1"/>
      <c r="GC797" s="1"/>
      <c r="GD797" s="1"/>
      <c r="GE797" s="1"/>
      <c r="GF797" s="1"/>
      <c r="GG797" s="1"/>
      <c r="GH797" s="1"/>
      <c r="GI797" s="1"/>
      <c r="GJ797" s="1"/>
      <c r="GK797" s="1"/>
      <c r="GL797" s="1"/>
      <c r="GM797" s="1"/>
      <c r="GN797" s="1"/>
      <c r="GO797" s="1"/>
      <c r="GP797" s="1"/>
      <c r="GQ797" s="1"/>
      <c r="GR797" s="1"/>
      <c r="GS797" s="1"/>
      <c r="GT797" s="1"/>
      <c r="GU797" s="1"/>
      <c r="GV797" s="1"/>
      <c r="GW797" s="1"/>
      <c r="GX797" s="1"/>
      <c r="GY797" s="1"/>
      <c r="GZ797" s="1"/>
      <c r="HA797" s="1"/>
      <c r="HB797" s="1"/>
      <c r="HC797" s="1"/>
      <c r="HD797" s="1"/>
      <c r="HE797" s="1"/>
      <c r="HF797" s="1"/>
      <c r="HG797" s="1"/>
      <c r="HH797" s="1"/>
      <c r="HI797" s="1"/>
      <c r="HJ797" s="1"/>
      <c r="HK797" s="1"/>
      <c r="HL797" s="1"/>
      <c r="HM797" s="1"/>
      <c r="HN797" s="1"/>
      <c r="HO797" s="1"/>
      <c r="HP797" s="1"/>
      <c r="HQ797" s="1"/>
      <c r="HR797" s="1"/>
      <c r="HS797" s="1"/>
      <c r="HT797" s="1"/>
      <c r="HU797" s="1"/>
      <c r="HV797" s="1"/>
      <c r="HW797" s="1"/>
      <c r="HX797" s="1"/>
      <c r="HY797" s="1"/>
      <c r="HZ797" s="1"/>
      <c r="IA797" s="1"/>
      <c r="IB797" s="1"/>
      <c r="IC797" s="1"/>
      <c r="ID797" s="1"/>
      <c r="IE797" s="1"/>
      <c r="IF797" s="1"/>
      <c r="IG797" s="1"/>
      <c r="IH797" s="1"/>
      <c r="II797" s="1"/>
      <c r="IJ797" s="1"/>
      <c r="IK797" s="1"/>
      <c r="IL797" s="1"/>
      <c r="IM797" s="1"/>
      <c r="IN797" s="1"/>
      <c r="IO797" s="1"/>
      <c r="IP797" s="1"/>
      <c r="IQ797" s="1"/>
      <c r="IR797" s="1"/>
      <c r="IS797" s="1"/>
      <c r="IT797" s="1"/>
      <c r="IU797" s="1"/>
      <c r="IV797" s="1"/>
      <c r="IW797" s="1"/>
      <c r="IX797" s="1"/>
      <c r="IY797" s="1"/>
      <c r="IZ797" s="1"/>
      <c r="JA797" s="1"/>
      <c r="JB797" s="1"/>
      <c r="JC797" s="1"/>
      <c r="JD797" s="1"/>
    </row>
    <row r="798" spans="1:264" s="347" customFormat="1" x14ac:dyDescent="0.2">
      <c r="A798" s="436" t="s">
        <v>273</v>
      </c>
      <c r="B798" s="437"/>
      <c r="C798" s="436"/>
      <c r="D798" s="436"/>
      <c r="E798" s="436"/>
      <c r="F798" s="436"/>
      <c r="G798" s="436"/>
      <c r="H798" s="436"/>
      <c r="I798" s="436"/>
      <c r="J798" s="436"/>
      <c r="K798" s="436"/>
      <c r="L798" s="436"/>
      <c r="M798" s="436"/>
      <c r="N798" s="436"/>
      <c r="O798" s="436"/>
      <c r="P798" s="436"/>
      <c r="Q798" s="436"/>
      <c r="R798" s="436"/>
      <c r="S798" s="436"/>
      <c r="T798" s="436"/>
      <c r="U798" s="436"/>
      <c r="V798" s="436"/>
      <c r="W798" s="436"/>
      <c r="X798" s="436"/>
      <c r="Y798" s="436"/>
      <c r="Z798" s="436"/>
      <c r="AA798" s="436"/>
      <c r="AB798" s="436"/>
      <c r="AC798" s="436"/>
      <c r="AD798" s="436"/>
      <c r="AE798" s="436"/>
      <c r="AF798" s="436"/>
      <c r="AG798" s="436"/>
      <c r="AH798" s="436"/>
      <c r="AI798" s="436"/>
      <c r="AJ798" s="436"/>
      <c r="AK798" s="436"/>
      <c r="AL798" s="436"/>
      <c r="AM798" s="436"/>
      <c r="AN798" s="436"/>
      <c r="AO798" s="436"/>
      <c r="AP798" s="436"/>
      <c r="AQ798" s="436"/>
      <c r="AR798" s="436"/>
      <c r="AS798" s="436"/>
      <c r="AT798" s="436"/>
      <c r="AU798" s="436"/>
      <c r="AV798" s="436"/>
      <c r="AW798" s="436"/>
      <c r="AX798" s="436"/>
      <c r="AY798" s="436"/>
      <c r="AZ798" s="436"/>
      <c r="BA798" s="436"/>
      <c r="BB798" s="436"/>
      <c r="BC798" s="436"/>
      <c r="BD798" s="436"/>
      <c r="BE798" s="436"/>
      <c r="BF798" s="436"/>
      <c r="BG798" s="436"/>
      <c r="BH798" s="660"/>
      <c r="BI798" s="660">
        <f>+BI797/BH797-1</f>
        <v>2.2943002111412536E-2</v>
      </c>
      <c r="BJ798" s="661"/>
      <c r="BK798" s="437"/>
      <c r="BL798" s="660">
        <f>+BL797/BI797-1</f>
        <v>4.7430966006322128E-2</v>
      </c>
      <c r="BM798" s="660">
        <f>+BM797/BL797-1</f>
        <v>1.3645187177937945E-2</v>
      </c>
      <c r="BN798" s="661"/>
      <c r="BO798" s="437"/>
      <c r="BP798" s="660">
        <f>+BP797/BM797-1</f>
        <v>3.0872089349456955E-2</v>
      </c>
      <c r="BQ798" s="660">
        <f>+BQ797/BP797-1</f>
        <v>-2.4362534432631477E-4</v>
      </c>
      <c r="BR798" s="661"/>
      <c r="BS798" s="463"/>
      <c r="BT798" s="660">
        <f>+BT797/BQ797-1</f>
        <v>3.5651100188706097E-2</v>
      </c>
      <c r="BU798" s="660">
        <f>+BU797/BT797-1</f>
        <v>2.3797960015222053E-2</v>
      </c>
      <c r="BV798" s="661"/>
      <c r="BW798" s="463"/>
      <c r="BX798" s="660">
        <f>+BX797/BU797-1</f>
        <v>-4.4108939585870366E-2</v>
      </c>
      <c r="BY798" s="660">
        <f>+BY797/BX797-1</f>
        <v>-9.9921780886279565E-3</v>
      </c>
      <c r="BZ798" s="661"/>
      <c r="CA798" s="463"/>
      <c r="CB798" s="660">
        <f>+CB797/BY797-1</f>
        <v>-1.7055196737723599E-2</v>
      </c>
      <c r="CC798" s="660">
        <f>+CC797/CB797-1</f>
        <v>1.595240198258141E-2</v>
      </c>
      <c r="CD798" s="661"/>
      <c r="CE798" s="463"/>
      <c r="CF798" s="660">
        <f>+CF797/CC797-1</f>
        <v>-5.1824575697049236E-3</v>
      </c>
      <c r="CG798" s="660">
        <f>+CG797/CF797-1</f>
        <v>9.0006445677614844E-2</v>
      </c>
      <c r="CH798" s="661"/>
      <c r="CI798" s="463"/>
      <c r="CJ798" s="660">
        <f>+CJ797/CG797-1</f>
        <v>-2.3627747877881355E-2</v>
      </c>
      <c r="CK798" s="660">
        <f>+CK797/CJ797-1</f>
        <v>2.8008708179481312E-2</v>
      </c>
      <c r="CL798" s="661"/>
      <c r="CM798" s="463"/>
      <c r="CN798" s="660">
        <f>+CN797/CK797-1</f>
        <v>-1.6700084582246699E-2</v>
      </c>
      <c r="CO798" s="660">
        <f>+CO797/CN797-1</f>
        <v>5.9010531362746477E-3</v>
      </c>
      <c r="CP798" s="661"/>
      <c r="CQ798" s="463"/>
      <c r="CR798" s="660">
        <f>+CR797/CO797-1</f>
        <v>3.5837469885914519E-2</v>
      </c>
      <c r="CS798" s="660">
        <f>+CS797/CR797-1</f>
        <v>-8.1731042322792824E-2</v>
      </c>
      <c r="CT798" s="661"/>
      <c r="CU798" s="463"/>
      <c r="CV798" s="660">
        <f>+CV797/CS797-1</f>
        <v>7.8126442309751187E-2</v>
      </c>
      <c r="CW798" s="660">
        <f>+CW797/CV797-1</f>
        <v>6.1728165521803158E-2</v>
      </c>
      <c r="CX798" s="661"/>
      <c r="CY798" s="463"/>
      <c r="CZ798" s="660">
        <f>+CZ797/CW797-1</f>
        <v>-1.3027885030589825E-2</v>
      </c>
      <c r="DA798" s="660">
        <f>+DA797/CZ797-1</f>
        <v>1.9583448367251233E-2</v>
      </c>
      <c r="DB798" s="661"/>
      <c r="DC798" s="463"/>
      <c r="DD798" s="660">
        <f>+DD797/DA797-1</f>
        <v>4.2167332933317425E-2</v>
      </c>
      <c r="DE798" s="660">
        <f>+DE797/DD797-1</f>
        <v>-6.7367580674471128E-4</v>
      </c>
      <c r="DF798" s="661"/>
      <c r="DG798" s="463"/>
      <c r="DH798" s="660">
        <f>+DH797/DE797-1</f>
        <v>-1.2500869349860722E-3</v>
      </c>
      <c r="DI798" s="468">
        <v>0.01</v>
      </c>
      <c r="DJ798" s="437"/>
      <c r="DK798" s="463"/>
      <c r="DL798" s="468">
        <v>2.5000000000000001E-2</v>
      </c>
      <c r="DM798" s="482">
        <v>0.01</v>
      </c>
      <c r="DN798" s="437"/>
      <c r="DO798" s="463"/>
      <c r="DP798" s="468">
        <v>0.02</v>
      </c>
      <c r="DQ798" s="482">
        <v>0.01</v>
      </c>
      <c r="DR798" s="437"/>
      <c r="DS798" s="463"/>
      <c r="DU798" s="1"/>
      <c r="DV798" s="1"/>
      <c r="DW798" s="1"/>
      <c r="DX798" s="1"/>
      <c r="DY798" s="1"/>
      <c r="DZ798" s="1"/>
      <c r="EA798" s="1"/>
      <c r="EB798" s="1"/>
      <c r="EC798" s="1"/>
      <c r="ED798" s="1"/>
      <c r="EE798" s="1"/>
      <c r="EF798" s="1"/>
      <c r="EG798" s="1"/>
      <c r="EH798" s="1"/>
      <c r="EI798" s="1"/>
      <c r="EJ798" s="1"/>
      <c r="EK798" s="1"/>
      <c r="EL798" s="1"/>
      <c r="EM798" s="1"/>
      <c r="EN798" s="1"/>
      <c r="EO798" s="1"/>
      <c r="EP798" s="1"/>
      <c r="EQ798" s="1"/>
      <c r="ER798" s="1"/>
      <c r="ES798" s="1"/>
      <c r="ET798" s="1"/>
      <c r="EU798" s="1"/>
      <c r="EV798" s="1"/>
      <c r="EW798" s="1"/>
      <c r="EX798" s="1"/>
      <c r="EY798" s="1"/>
      <c r="EZ798" s="1"/>
      <c r="FA798" s="1"/>
      <c r="FB798" s="1"/>
      <c r="FC798" s="1"/>
      <c r="FD798" s="1"/>
      <c r="FE798" s="1"/>
      <c r="FF798" s="1"/>
      <c r="FG798" s="1"/>
      <c r="FH798" s="1"/>
      <c r="FI798" s="1"/>
      <c r="FJ798" s="1"/>
      <c r="FK798" s="1"/>
      <c r="FL798" s="1"/>
      <c r="FM798" s="1"/>
      <c r="FN798" s="1"/>
      <c r="FO798" s="1"/>
      <c r="FP798" s="1"/>
      <c r="FQ798" s="1"/>
      <c r="FR798" s="1"/>
      <c r="FS798" s="1"/>
      <c r="FT798" s="1"/>
      <c r="FU798" s="1"/>
      <c r="FV798" s="1"/>
      <c r="FW798" s="1"/>
      <c r="FX798" s="1"/>
      <c r="FY798" s="1"/>
      <c r="FZ798" s="1"/>
      <c r="GA798" s="1"/>
      <c r="GB798" s="1"/>
      <c r="GC798" s="1"/>
      <c r="GD798" s="1"/>
      <c r="GE798" s="1"/>
      <c r="GF798" s="1"/>
      <c r="GG798" s="1"/>
      <c r="GH798" s="1"/>
      <c r="GI798" s="1"/>
      <c r="GJ798" s="1"/>
      <c r="GK798" s="1"/>
      <c r="GL798" s="1"/>
      <c r="GM798" s="1"/>
      <c r="GN798" s="1"/>
      <c r="GO798" s="1"/>
      <c r="GP798" s="1"/>
      <c r="GQ798" s="1"/>
      <c r="GR798" s="1"/>
      <c r="GS798" s="1"/>
      <c r="GT798" s="1"/>
      <c r="GU798" s="1"/>
      <c r="GV798" s="1"/>
      <c r="GW798" s="1"/>
      <c r="GX798" s="1"/>
      <c r="GY798" s="1"/>
      <c r="GZ798" s="1"/>
      <c r="HA798" s="1"/>
      <c r="HB798" s="1"/>
      <c r="HC798" s="1"/>
      <c r="HD798" s="1"/>
      <c r="HE798" s="1"/>
      <c r="HF798" s="1"/>
      <c r="HG798" s="1"/>
      <c r="HH798" s="1"/>
      <c r="HI798" s="1"/>
      <c r="HJ798" s="1"/>
      <c r="HK798" s="1"/>
      <c r="HL798" s="1"/>
      <c r="HM798" s="1"/>
      <c r="HN798" s="1"/>
      <c r="HO798" s="1"/>
      <c r="HP798" s="1"/>
      <c r="HQ798" s="1"/>
      <c r="HR798" s="1"/>
      <c r="HS798" s="1"/>
      <c r="HT798" s="1"/>
      <c r="HU798" s="1"/>
      <c r="HV798" s="1"/>
      <c r="HW798" s="1"/>
      <c r="HX798" s="1"/>
      <c r="HY798" s="1"/>
      <c r="HZ798" s="1"/>
      <c r="IA798" s="1"/>
      <c r="IB798" s="1"/>
      <c r="IC798" s="1"/>
      <c r="ID798" s="1"/>
      <c r="IE798" s="1"/>
      <c r="IF798" s="1"/>
      <c r="IG798" s="1"/>
      <c r="IH798" s="1"/>
      <c r="II798" s="1"/>
      <c r="IJ798" s="1"/>
      <c r="IK798" s="1"/>
      <c r="IL798" s="1"/>
      <c r="IM798" s="1"/>
      <c r="IN798" s="1"/>
      <c r="IO798" s="1"/>
      <c r="IP798" s="1"/>
      <c r="IQ798" s="1"/>
      <c r="IR798" s="1"/>
      <c r="IS798" s="1"/>
      <c r="IT798" s="1"/>
      <c r="IU798" s="1"/>
      <c r="IV798" s="1"/>
      <c r="IW798" s="1"/>
      <c r="IX798" s="1"/>
      <c r="IY798" s="1"/>
      <c r="IZ798" s="1"/>
      <c r="JA798" s="1"/>
      <c r="JB798" s="1"/>
      <c r="JC798" s="1"/>
      <c r="JD798" s="1"/>
    </row>
    <row r="799" spans="1:264" s="347" customFormat="1" x14ac:dyDescent="0.2">
      <c r="A799" s="429" t="s">
        <v>28</v>
      </c>
      <c r="B799" s="408"/>
      <c r="C799" s="429"/>
      <c r="D799" s="429"/>
      <c r="E799" s="429"/>
      <c r="F799" s="429"/>
      <c r="G799" s="429"/>
      <c r="H799" s="429"/>
      <c r="I799" s="429"/>
      <c r="J799" s="429"/>
      <c r="K799" s="429"/>
      <c r="L799" s="429"/>
      <c r="M799" s="429"/>
      <c r="N799" s="429"/>
      <c r="O799" s="429"/>
      <c r="P799" s="429"/>
      <c r="Q799" s="429"/>
      <c r="R799" s="429"/>
      <c r="S799" s="429"/>
      <c r="T799" s="429"/>
      <c r="U799" s="429"/>
      <c r="V799" s="429"/>
      <c r="W799" s="429"/>
      <c r="X799" s="429"/>
      <c r="Y799" s="429"/>
      <c r="Z799" s="429"/>
      <c r="AA799" s="429"/>
      <c r="AB799" s="429"/>
      <c r="AC799" s="429"/>
      <c r="AD799" s="429"/>
      <c r="AE799" s="429"/>
      <c r="AF799" s="429"/>
      <c r="AG799" s="429"/>
      <c r="AH799" s="429"/>
      <c r="AI799" s="429"/>
      <c r="AJ799" s="429"/>
      <c r="AK799" s="429"/>
      <c r="AL799" s="429"/>
      <c r="AM799" s="429"/>
      <c r="AN799" s="429"/>
      <c r="AO799" s="429"/>
      <c r="AP799" s="429"/>
      <c r="AQ799" s="429"/>
      <c r="AR799" s="429"/>
      <c r="AS799" s="429"/>
      <c r="AT799" s="429"/>
      <c r="AU799" s="429"/>
      <c r="AV799" s="429"/>
      <c r="AW799" s="429"/>
      <c r="AX799" s="429"/>
      <c r="AY799" s="429"/>
      <c r="AZ799" s="429"/>
      <c r="BA799" s="429"/>
      <c r="BB799" s="429"/>
      <c r="BC799" s="429"/>
      <c r="BD799" s="429"/>
      <c r="BE799" s="429"/>
      <c r="BF799" s="429"/>
      <c r="BG799" s="429"/>
      <c r="BH799" s="664"/>
      <c r="BI799" s="664"/>
      <c r="BJ799" s="456"/>
      <c r="BK799" s="408"/>
      <c r="BL799" s="664">
        <f>+BL797/BH797-1</f>
        <v>7.1462176870964011E-2</v>
      </c>
      <c r="BM799" s="664"/>
      <c r="BN799" s="456"/>
      <c r="BO799" s="408"/>
      <c r="BP799" s="664">
        <f>+BP797/BL797-1</f>
        <v>4.4938531965142303E-2</v>
      </c>
      <c r="BQ799" s="664"/>
      <c r="BR799" s="456"/>
      <c r="BT799" s="664">
        <f>+BT797/BP797-1</f>
        <v>3.5398789332820702E-2</v>
      </c>
      <c r="BU799" s="664"/>
      <c r="BV799" s="456"/>
      <c r="BX799" s="664">
        <f>+BX797/BT797-1</f>
        <v>-2.1360682351226679E-2</v>
      </c>
      <c r="BY799" s="664">
        <f>+BY797/BU797-1</f>
        <v>-5.3660373294855845E-2</v>
      </c>
      <c r="BZ799" s="664">
        <f>+BZ797/BV797-1</f>
        <v>-3.7464298314799471E-2</v>
      </c>
      <c r="CB799" s="664">
        <f>+CB797/BX797-1</f>
        <v>-2.6876956263211738E-2</v>
      </c>
      <c r="CC799" s="664">
        <f>+CC797/BY797-1</f>
        <v>-1.3748661093944126E-3</v>
      </c>
      <c r="CD799" s="664">
        <f>+CD797/BZ797-1</f>
        <v>-1.4402489061780432E-2</v>
      </c>
      <c r="CF799" s="664">
        <f>+CF797/CB797-1</f>
        <v>1.0687271766466999E-2</v>
      </c>
      <c r="CG799" s="664">
        <f>+CG797/CC797-1</f>
        <v>8.4357533522185779E-2</v>
      </c>
      <c r="CH799" s="664">
        <f>+CH797/CD797-1</f>
        <v>4.7291946154385256E-2</v>
      </c>
      <c r="CJ799" s="664">
        <f>+CJ797/CF797-1</f>
        <v>6.4252048193878419E-2</v>
      </c>
      <c r="CK799" s="664">
        <f>+CK797/CG797-1</f>
        <v>3.7191776063498772E-3</v>
      </c>
      <c r="CL799" s="664">
        <f>+CL797/CH797-1</f>
        <v>3.3200690106289565E-2</v>
      </c>
      <c r="CN799" s="664">
        <f>+CN797/CJ797-1</f>
        <v>1.0840875801597871E-2</v>
      </c>
      <c r="CO799" s="664">
        <f>+CO797/CK797-1</f>
        <v>-1.0897579532472168E-2</v>
      </c>
      <c r="CP799" s="664">
        <f>+CP797/CL797-1</f>
        <v>-2.2329989368108372E-4</v>
      </c>
      <c r="CR799" s="664">
        <f>+CR797/CN797-1</f>
        <v>4.1950001836255746E-2</v>
      </c>
      <c r="CS799" s="664">
        <f>+CS797/CO797-1</f>
        <v>-4.8822606204865671E-2</v>
      </c>
      <c r="CT799" s="664">
        <f>+CT797/CP797-1</f>
        <v>-4.4244400830573127E-3</v>
      </c>
      <c r="CV799" s="664">
        <f>+CV797/CR797-1</f>
        <v>-9.9899555759892511E-3</v>
      </c>
      <c r="CW799" s="664">
        <f>+CW797/CS797-1</f>
        <v>0.14467720979408027</v>
      </c>
      <c r="CX799" s="664">
        <f>+CX797/CT797-1</f>
        <v>6.4835520330348562E-2</v>
      </c>
      <c r="CZ799" s="664">
        <f>+CZ797/CV797-1</f>
        <v>4.7896093047646193E-2</v>
      </c>
      <c r="DA799" s="664">
        <f>+DA797/CW797-1</f>
        <v>6.3004324228304043E-3</v>
      </c>
      <c r="DB799" s="664">
        <f>+DB797/CX797-1</f>
        <v>2.6637461521228367E-2</v>
      </c>
      <c r="DD799" s="664">
        <f>+DD797/CZ797-1</f>
        <v>6.2576563087852977E-2</v>
      </c>
      <c r="DE799" s="664">
        <f>+DE797/DA797-1</f>
        <v>4.1465250014540489E-2</v>
      </c>
      <c r="DF799" s="664">
        <f>+DF797/DB797-1</f>
        <v>5.1879183439700771E-2</v>
      </c>
      <c r="DH799" s="664">
        <f>+DH797/DD797-1</f>
        <v>-1.9229205884063738E-3</v>
      </c>
      <c r="DI799" s="664">
        <f>+DI797/DE797-1</f>
        <v>8.7374121956640405E-3</v>
      </c>
      <c r="DJ799" s="664">
        <f>+DJ797/DF797-1</f>
        <v>3.4550187606168237E-3</v>
      </c>
      <c r="DL799" s="664">
        <f>+DL797/DH797-1</f>
        <v>3.5250000000000004E-2</v>
      </c>
      <c r="DM799" s="664">
        <f>+DM797/DI797-1</f>
        <v>3.5250000000000004E-2</v>
      </c>
      <c r="DN799" s="664">
        <f>+DN797/DJ797-1</f>
        <v>3.5254414070072571E-2</v>
      </c>
      <c r="DP799" s="664">
        <f>+DP797/DL797-1</f>
        <v>3.0200000000000005E-2</v>
      </c>
      <c r="DQ799" s="664">
        <f>+DQ797/DM797-1</f>
        <v>3.0200000000000005E-2</v>
      </c>
      <c r="DR799" s="664">
        <f>+DR797/DN797-1</f>
        <v>3.0221196919399507E-2</v>
      </c>
      <c r="DU799" s="1"/>
      <c r="DV799" s="1"/>
      <c r="DW799" s="1"/>
      <c r="DX799" s="1"/>
      <c r="DY799" s="1"/>
      <c r="DZ799" s="1"/>
      <c r="EA799" s="1"/>
      <c r="EB799" s="1"/>
      <c r="EC799" s="1"/>
      <c r="ED799" s="1"/>
      <c r="EE799" s="1"/>
      <c r="EF799" s="1"/>
      <c r="EG799" s="1"/>
      <c r="EH799" s="1"/>
      <c r="EI799" s="1"/>
      <c r="EJ799" s="1"/>
      <c r="EK799" s="1"/>
      <c r="EL799" s="1"/>
      <c r="EM799" s="1"/>
      <c r="EN799" s="1"/>
      <c r="EO799" s="1"/>
      <c r="EP799" s="1"/>
      <c r="EQ799" s="1"/>
      <c r="ER799" s="1"/>
      <c r="ES799" s="1"/>
      <c r="ET799" s="1"/>
      <c r="EU799" s="1"/>
      <c r="EV799" s="1"/>
      <c r="EW799" s="1"/>
      <c r="EX799" s="1"/>
      <c r="EY799" s="1"/>
      <c r="EZ799" s="1"/>
      <c r="FA799" s="1"/>
      <c r="FB799" s="1"/>
      <c r="FC799" s="1"/>
      <c r="FD799" s="1"/>
      <c r="FE799" s="1"/>
      <c r="FF799" s="1"/>
      <c r="FG799" s="1"/>
      <c r="FH799" s="1"/>
      <c r="FI799" s="1"/>
      <c r="FJ799" s="1"/>
      <c r="FK799" s="1"/>
      <c r="FL799" s="1"/>
      <c r="FM799" s="1"/>
      <c r="FN799" s="1"/>
      <c r="FO799" s="1"/>
      <c r="FP799" s="1"/>
      <c r="FQ799" s="1"/>
      <c r="FR799" s="1"/>
      <c r="FS799" s="1"/>
      <c r="FT799" s="1"/>
      <c r="FU799" s="1"/>
      <c r="FV799" s="1"/>
      <c r="FW799" s="1"/>
      <c r="FX799" s="1"/>
      <c r="FY799" s="1"/>
      <c r="FZ799" s="1"/>
      <c r="GA799" s="1"/>
      <c r="GB799" s="1"/>
      <c r="GC799" s="1"/>
      <c r="GD799" s="1"/>
      <c r="GE799" s="1"/>
      <c r="GF799" s="1"/>
      <c r="GG799" s="1"/>
      <c r="GH799" s="1"/>
      <c r="GI799" s="1"/>
      <c r="GJ799" s="1"/>
      <c r="GK799" s="1"/>
      <c r="GL799" s="1"/>
      <c r="GM799" s="1"/>
      <c r="GN799" s="1"/>
      <c r="GO799" s="1"/>
      <c r="GP799" s="1"/>
      <c r="GQ799" s="1"/>
      <c r="GR799" s="1"/>
      <c r="GS799" s="1"/>
      <c r="GT799" s="1"/>
      <c r="GU799" s="1"/>
      <c r="GV799" s="1"/>
      <c r="GW799" s="1"/>
      <c r="GX799" s="1"/>
      <c r="GY799" s="1"/>
      <c r="GZ799" s="1"/>
      <c r="HA799" s="1"/>
      <c r="HB799" s="1"/>
      <c r="HC799" s="1"/>
      <c r="HD799" s="1"/>
      <c r="HE799" s="1"/>
      <c r="HF799" s="1"/>
      <c r="HG799" s="1"/>
      <c r="HH799" s="1"/>
      <c r="HI799" s="1"/>
      <c r="HJ799" s="1"/>
      <c r="HK799" s="1"/>
      <c r="HL799" s="1"/>
      <c r="HM799" s="1"/>
      <c r="HN799" s="1"/>
      <c r="HO799" s="1"/>
      <c r="HP799" s="1"/>
      <c r="HQ799" s="1"/>
      <c r="HR799" s="1"/>
      <c r="HS799" s="1"/>
      <c r="HT799" s="1"/>
      <c r="HU799" s="1"/>
      <c r="HV799" s="1"/>
      <c r="HW799" s="1"/>
      <c r="HX799" s="1"/>
      <c r="HY799" s="1"/>
      <c r="HZ799" s="1"/>
      <c r="IA799" s="1"/>
      <c r="IB799" s="1"/>
      <c r="IC799" s="1"/>
      <c r="ID799" s="1"/>
      <c r="IE799" s="1"/>
      <c r="IF799" s="1"/>
      <c r="IG799" s="1"/>
      <c r="IH799" s="1"/>
      <c r="II799" s="1"/>
      <c r="IJ799" s="1"/>
      <c r="IK799" s="1"/>
      <c r="IL799" s="1"/>
      <c r="IM799" s="1"/>
      <c r="IN799" s="1"/>
      <c r="IO799" s="1"/>
      <c r="IP799" s="1"/>
      <c r="IQ799" s="1"/>
      <c r="IR799" s="1"/>
      <c r="IS799" s="1"/>
      <c r="IT799" s="1"/>
      <c r="IU799" s="1"/>
      <c r="IV799" s="1"/>
      <c r="IW799" s="1"/>
      <c r="IX799" s="1"/>
      <c r="IY799" s="1"/>
      <c r="IZ799" s="1"/>
      <c r="JA799" s="1"/>
      <c r="JB799" s="1"/>
      <c r="JC799" s="1"/>
      <c r="JD799" s="1"/>
    </row>
    <row r="800" spans="1:264" s="347" customFormat="1" x14ac:dyDescent="0.2">
      <c r="B800" s="348"/>
      <c r="BH800" s="348"/>
      <c r="BI800" s="348"/>
      <c r="BJ800" s="348"/>
      <c r="BK800" s="348"/>
      <c r="BL800" s="348"/>
      <c r="BM800" s="348"/>
      <c r="BN800" s="348"/>
      <c r="BO800" s="348"/>
      <c r="BP800" s="348"/>
      <c r="BQ800" s="348"/>
      <c r="BR800" s="348"/>
      <c r="BT800" s="348"/>
      <c r="BU800" s="348"/>
      <c r="BV800" s="348"/>
      <c r="BX800" s="348"/>
      <c r="CB800" s="348"/>
      <c r="CF800" s="348"/>
      <c r="CJ800" s="348"/>
      <c r="CN800" s="348"/>
      <c r="CR800" s="348"/>
      <c r="CV800" s="348"/>
      <c r="CZ800" s="348"/>
      <c r="DD800" s="348"/>
      <c r="DH800" s="348"/>
      <c r="DL800" s="348"/>
      <c r="DP800" s="348"/>
      <c r="DU800" s="1"/>
      <c r="DV800" s="1"/>
      <c r="DW800" s="1"/>
      <c r="DX800" s="1"/>
      <c r="DY800" s="1"/>
      <c r="DZ800" s="1"/>
      <c r="EA800" s="1"/>
      <c r="EB800" s="1"/>
      <c r="EC800" s="1"/>
      <c r="ED800" s="1"/>
      <c r="EE800" s="1"/>
      <c r="EF800" s="1"/>
      <c r="EG800" s="1"/>
      <c r="EH800" s="1"/>
      <c r="EI800" s="1"/>
      <c r="EJ800" s="1"/>
      <c r="EK800" s="1"/>
      <c r="EL800" s="1"/>
      <c r="EM800" s="1"/>
      <c r="EN800" s="1"/>
      <c r="EO800" s="1"/>
      <c r="EP800" s="1"/>
      <c r="EQ800" s="1"/>
      <c r="ER800" s="1"/>
      <c r="ES800" s="1"/>
      <c r="ET800" s="1"/>
      <c r="EU800" s="1"/>
      <c r="EV800" s="1"/>
      <c r="EW800" s="1"/>
      <c r="EX800" s="1"/>
      <c r="EY800" s="1"/>
      <c r="EZ800" s="1"/>
      <c r="FA800" s="1"/>
      <c r="FB800" s="1"/>
      <c r="FC800" s="1"/>
      <c r="FD800" s="1"/>
      <c r="FE800" s="1"/>
      <c r="FF800" s="1"/>
      <c r="FG800" s="1"/>
      <c r="FH800" s="1"/>
      <c r="FI800" s="1"/>
      <c r="FJ800" s="1"/>
      <c r="FK800" s="1"/>
      <c r="FL800" s="1"/>
      <c r="FM800" s="1"/>
      <c r="FN800" s="1"/>
      <c r="FO800" s="1"/>
      <c r="FP800" s="1"/>
      <c r="FQ800" s="1"/>
      <c r="FR800" s="1"/>
      <c r="FS800" s="1"/>
      <c r="FT800" s="1"/>
      <c r="FU800" s="1"/>
      <c r="FV800" s="1"/>
      <c r="FW800" s="1"/>
      <c r="FX800" s="1"/>
      <c r="FY800" s="1"/>
      <c r="FZ800" s="1"/>
      <c r="GA800" s="1"/>
      <c r="GB800" s="1"/>
      <c r="GC800" s="1"/>
      <c r="GD800" s="1"/>
      <c r="GE800" s="1"/>
      <c r="GF800" s="1"/>
      <c r="GG800" s="1"/>
      <c r="GH800" s="1"/>
      <c r="GI800" s="1"/>
      <c r="GJ800" s="1"/>
      <c r="GK800" s="1"/>
      <c r="GL800" s="1"/>
      <c r="GM800" s="1"/>
      <c r="GN800" s="1"/>
      <c r="GO800" s="1"/>
      <c r="GP800" s="1"/>
      <c r="GQ800" s="1"/>
      <c r="GR800" s="1"/>
      <c r="GS800" s="1"/>
      <c r="GT800" s="1"/>
      <c r="GU800" s="1"/>
      <c r="GV800" s="1"/>
      <c r="GW800" s="1"/>
      <c r="GX800" s="1"/>
      <c r="GY800" s="1"/>
      <c r="GZ800" s="1"/>
      <c r="HA800" s="1"/>
      <c r="HB800" s="1"/>
      <c r="HC800" s="1"/>
      <c r="HD800" s="1"/>
      <c r="HE800" s="1"/>
      <c r="HF800" s="1"/>
      <c r="HG800" s="1"/>
      <c r="HH800" s="1"/>
      <c r="HI800" s="1"/>
      <c r="HJ800" s="1"/>
      <c r="HK800" s="1"/>
      <c r="HL800" s="1"/>
      <c r="HM800" s="1"/>
      <c r="HN800" s="1"/>
      <c r="HO800" s="1"/>
      <c r="HP800" s="1"/>
      <c r="HQ800" s="1"/>
      <c r="HR800" s="1"/>
      <c r="HS800" s="1"/>
      <c r="HT800" s="1"/>
      <c r="HU800" s="1"/>
      <c r="HV800" s="1"/>
      <c r="HW800" s="1"/>
      <c r="HX800" s="1"/>
      <c r="HY800" s="1"/>
      <c r="HZ800" s="1"/>
      <c r="IA800" s="1"/>
      <c r="IB800" s="1"/>
      <c r="IC800" s="1"/>
      <c r="ID800" s="1"/>
      <c r="IE800" s="1"/>
      <c r="IF800" s="1"/>
      <c r="IG800" s="1"/>
      <c r="IH800" s="1"/>
      <c r="II800" s="1"/>
      <c r="IJ800" s="1"/>
      <c r="IK800" s="1"/>
      <c r="IL800" s="1"/>
      <c r="IM800" s="1"/>
      <c r="IN800" s="1"/>
      <c r="IO800" s="1"/>
      <c r="IP800" s="1"/>
      <c r="IQ800" s="1"/>
      <c r="IR800" s="1"/>
      <c r="IS800" s="1"/>
      <c r="IT800" s="1"/>
      <c r="IU800" s="1"/>
      <c r="IV800" s="1"/>
      <c r="IW800" s="1"/>
      <c r="IX800" s="1"/>
      <c r="IY800" s="1"/>
      <c r="IZ800" s="1"/>
      <c r="JA800" s="1"/>
      <c r="JB800" s="1"/>
      <c r="JC800" s="1"/>
      <c r="JD800" s="1"/>
    </row>
    <row r="801" spans="1:264" s="411" customFormat="1" x14ac:dyDescent="0.2">
      <c r="A801" s="411" t="s">
        <v>228</v>
      </c>
      <c r="B801" s="423"/>
      <c r="BH801" s="397">
        <f>BH777</f>
        <v>-506</v>
      </c>
      <c r="BI801" s="397">
        <f>BI777</f>
        <v>-512</v>
      </c>
      <c r="BJ801" s="397">
        <f>+BH801+BI801</f>
        <v>-1018</v>
      </c>
      <c r="BK801" s="423"/>
      <c r="BL801" s="397">
        <f>BL777</f>
        <v>-524</v>
      </c>
      <c r="BM801" s="397">
        <f>BM777</f>
        <v>-529</v>
      </c>
      <c r="BN801" s="397">
        <f>+BL801+BM801</f>
        <v>-1053</v>
      </c>
      <c r="BO801" s="428">
        <f>+BN801/BJ801-1</f>
        <v>3.4381139489194412E-2</v>
      </c>
      <c r="BP801" s="397">
        <f>BP777</f>
        <v>-539</v>
      </c>
      <c r="BQ801" s="397">
        <f>BQ777</f>
        <v>-547</v>
      </c>
      <c r="BR801" s="397">
        <f>+BP801+BQ801</f>
        <v>-1086</v>
      </c>
      <c r="BS801" s="428">
        <f>+BR801/BN801-1</f>
        <v>3.1339031339031376E-2</v>
      </c>
      <c r="BT801" s="397">
        <f>BT777</f>
        <v>-559</v>
      </c>
      <c r="BU801" s="397">
        <f>BU777</f>
        <v>-575</v>
      </c>
      <c r="BV801" s="397">
        <f>+BT801+BU801</f>
        <v>-1134</v>
      </c>
      <c r="BW801" s="428">
        <f>+BV801/BR801-1</f>
        <v>4.4198895027624419E-2</v>
      </c>
      <c r="BX801" s="397">
        <f>BX777</f>
        <v>-556</v>
      </c>
      <c r="BY801" s="397">
        <f>BY777</f>
        <v>-554</v>
      </c>
      <c r="BZ801" s="397">
        <f>+BX801+BY801</f>
        <v>-1110</v>
      </c>
      <c r="CA801" s="428">
        <f>+BZ801/BV801-1</f>
        <v>-2.1164021164021163E-2</v>
      </c>
      <c r="CB801" s="397">
        <f>CB777</f>
        <v>-554</v>
      </c>
      <c r="CC801" s="397">
        <f>CC777</f>
        <v>-580</v>
      </c>
      <c r="CD801" s="397">
        <f>+CB801+CC801</f>
        <v>-1134</v>
      </c>
      <c r="CE801" s="428">
        <f>+CD801/BZ801-1</f>
        <v>2.1621621621621623E-2</v>
      </c>
      <c r="CF801" s="397">
        <f>CF777</f>
        <v>-541</v>
      </c>
      <c r="CG801" s="397">
        <f>CG777</f>
        <v>-541</v>
      </c>
      <c r="CH801" s="397">
        <f>+CF801+CG801</f>
        <v>-1082</v>
      </c>
      <c r="CI801" s="428">
        <f>+CH801/CD801-1</f>
        <v>-4.585537918871252E-2</v>
      </c>
      <c r="CJ801" s="397">
        <f>CJ777</f>
        <v>-511</v>
      </c>
      <c r="CK801" s="397">
        <f>CK777</f>
        <v>-576</v>
      </c>
      <c r="CL801" s="397">
        <f>+CJ801+CK801</f>
        <v>-1087</v>
      </c>
      <c r="CM801" s="428">
        <f>+CL801/CH801-1</f>
        <v>4.6210720887245316E-3</v>
      </c>
      <c r="CN801" s="397">
        <f>CN777</f>
        <v>-576</v>
      </c>
      <c r="CO801" s="397">
        <f>CO777</f>
        <v>-578</v>
      </c>
      <c r="CP801" s="397">
        <f>+CN801+CO801</f>
        <v>-1154</v>
      </c>
      <c r="CQ801" s="428">
        <f>+CP801/CL801-1</f>
        <v>6.1637534498619972E-2</v>
      </c>
      <c r="CR801" s="397">
        <f>CR777</f>
        <v>-486</v>
      </c>
      <c r="CS801" s="397">
        <f>CS777</f>
        <v>-489</v>
      </c>
      <c r="CT801" s="397">
        <f>+CR801+CS801</f>
        <v>-975</v>
      </c>
      <c r="CU801" s="428">
        <f>+CT801/CP801-1</f>
        <v>-0.15511265164644716</v>
      </c>
      <c r="CV801" s="397">
        <f>CV777</f>
        <v>-479</v>
      </c>
      <c r="CW801" s="397">
        <f>CW777</f>
        <v>-471</v>
      </c>
      <c r="CX801" s="397">
        <f>+CV801+CW801</f>
        <v>-950</v>
      </c>
      <c r="CY801" s="428">
        <f>+CX801/CT801-1</f>
        <v>-2.5641025641025661E-2</v>
      </c>
      <c r="CZ801" s="397">
        <f>CZ777</f>
        <v>-501</v>
      </c>
      <c r="DA801" s="397">
        <f>DA777</f>
        <v>-494</v>
      </c>
      <c r="DB801" s="397">
        <f>+CZ801+DA801</f>
        <v>-995</v>
      </c>
      <c r="DC801" s="428">
        <f>+DB801/CX801-1</f>
        <v>4.7368421052631504E-2</v>
      </c>
      <c r="DD801" s="397">
        <f>DD777</f>
        <v>-460</v>
      </c>
      <c r="DE801" s="397">
        <f>DE777</f>
        <v>-497</v>
      </c>
      <c r="DF801" s="397">
        <f>+DD801+DE801</f>
        <v>-957</v>
      </c>
      <c r="DG801" s="428">
        <f>+DF801/DB801-1</f>
        <v>-3.8190954773869357E-2</v>
      </c>
      <c r="DH801" s="397">
        <f>DH777</f>
        <v>-465</v>
      </c>
      <c r="DI801" s="480">
        <f>+DH801*(1+DI802)</f>
        <v>-465</v>
      </c>
      <c r="DJ801" s="397">
        <f>+DH801+DI801</f>
        <v>-930</v>
      </c>
      <c r="DK801" s="428">
        <f>+DJ801/DF801-1</f>
        <v>-2.8213166144200663E-2</v>
      </c>
      <c r="DL801" s="480">
        <f>+DI801*(1+DL802)</f>
        <v>-451.05</v>
      </c>
      <c r="DM801" s="480">
        <f>+DL801*(1+DM802)</f>
        <v>-460.07100000000003</v>
      </c>
      <c r="DN801" s="397">
        <f>+DL801+DM801</f>
        <v>-911.12100000000009</v>
      </c>
      <c r="DO801" s="428">
        <f>+DN801/DJ801-1</f>
        <v>-2.0299999999999874E-2</v>
      </c>
      <c r="DP801" s="480">
        <f>+DM801*(1+DP802)</f>
        <v>-450.86958000000004</v>
      </c>
      <c r="DQ801" s="480">
        <f>+DP801*(1+DQ802)</f>
        <v>-450.86958000000004</v>
      </c>
      <c r="DR801" s="397">
        <f>+DP801+DQ801</f>
        <v>-901.73916000000008</v>
      </c>
      <c r="DS801" s="428">
        <f>+DR801/DN801-1</f>
        <v>-1.0297029702970306E-2</v>
      </c>
      <c r="DU801" s="1"/>
      <c r="DV801" s="1"/>
      <c r="DW801" s="1"/>
      <c r="DX801" s="1"/>
      <c r="DY801" s="1"/>
      <c r="DZ801" s="1"/>
      <c r="EA801" s="1"/>
      <c r="EB801" s="1"/>
      <c r="EC801" s="1"/>
      <c r="ED801" s="1"/>
      <c r="EE801" s="1"/>
      <c r="EF801" s="1"/>
      <c r="EG801" s="1"/>
      <c r="EH801" s="1"/>
      <c r="EI801" s="1"/>
      <c r="EJ801" s="1"/>
      <c r="EK801" s="1"/>
      <c r="EL801" s="1"/>
      <c r="EM801" s="1"/>
      <c r="EN801" s="1"/>
      <c r="EO801" s="1"/>
      <c r="EP801" s="1"/>
      <c r="EQ801" s="1"/>
      <c r="ER801" s="1"/>
      <c r="ES801" s="1"/>
      <c r="ET801" s="1"/>
      <c r="EU801" s="1"/>
      <c r="EV801" s="1"/>
      <c r="EW801" s="1"/>
      <c r="EX801" s="1"/>
      <c r="EY801" s="1"/>
      <c r="EZ801" s="1"/>
      <c r="FA801" s="1"/>
      <c r="FB801" s="1"/>
      <c r="FC801" s="1"/>
      <c r="FD801" s="1"/>
      <c r="FE801" s="1"/>
      <c r="FF801" s="1"/>
      <c r="FG801" s="1"/>
      <c r="FH801" s="1"/>
      <c r="FI801" s="1"/>
      <c r="FJ801" s="1"/>
      <c r="FK801" s="1"/>
      <c r="FL801" s="1"/>
      <c r="FM801" s="1"/>
      <c r="FN801" s="1"/>
      <c r="FO801" s="1"/>
      <c r="FP801" s="1"/>
      <c r="FQ801" s="1"/>
      <c r="FR801" s="1"/>
      <c r="FS801" s="1"/>
      <c r="FT801" s="1"/>
      <c r="FU801" s="1"/>
      <c r="FV801" s="1"/>
      <c r="FW801" s="1"/>
      <c r="FX801" s="1"/>
      <c r="FY801" s="1"/>
      <c r="FZ801" s="1"/>
      <c r="GA801" s="1"/>
      <c r="GB801" s="1"/>
      <c r="GC801" s="1"/>
      <c r="GD801" s="1"/>
      <c r="GE801" s="1"/>
      <c r="GF801" s="1"/>
      <c r="GG801" s="1"/>
      <c r="GH801" s="1"/>
      <c r="GI801" s="1"/>
      <c r="GJ801" s="1"/>
      <c r="GK801" s="1"/>
      <c r="GL801" s="1"/>
      <c r="GM801" s="1"/>
      <c r="GN801" s="1"/>
      <c r="GO801" s="1"/>
      <c r="GP801" s="1"/>
      <c r="GQ801" s="1"/>
      <c r="GR801" s="1"/>
      <c r="GS801" s="1"/>
      <c r="GT801" s="1"/>
      <c r="GU801" s="1"/>
      <c r="GV801" s="1"/>
      <c r="GW801" s="1"/>
      <c r="GX801" s="1"/>
      <c r="GY801" s="1"/>
      <c r="GZ801" s="1"/>
      <c r="HA801" s="1"/>
      <c r="HB801" s="1"/>
      <c r="HC801" s="1"/>
      <c r="HD801" s="1"/>
      <c r="HE801" s="1"/>
      <c r="HF801" s="1"/>
      <c r="HG801" s="1"/>
      <c r="HH801" s="1"/>
      <c r="HI801" s="1"/>
      <c r="HJ801" s="1"/>
      <c r="HK801" s="1"/>
      <c r="HL801" s="1"/>
      <c r="HM801" s="1"/>
      <c r="HN801" s="1"/>
      <c r="HO801" s="1"/>
      <c r="HP801" s="1"/>
      <c r="HQ801" s="1"/>
      <c r="HR801" s="1"/>
      <c r="HS801" s="1"/>
      <c r="HT801" s="1"/>
      <c r="HU801" s="1"/>
      <c r="HV801" s="1"/>
      <c r="HW801" s="1"/>
      <c r="HX801" s="1"/>
      <c r="HY801" s="1"/>
      <c r="HZ801" s="1"/>
      <c r="IA801" s="1"/>
      <c r="IB801" s="1"/>
      <c r="IC801" s="1"/>
      <c r="ID801" s="1"/>
      <c r="IE801" s="1"/>
      <c r="IF801" s="1"/>
      <c r="IG801" s="1"/>
      <c r="IH801" s="1"/>
      <c r="II801" s="1"/>
      <c r="IJ801" s="1"/>
      <c r="IK801" s="1"/>
      <c r="IL801" s="1"/>
      <c r="IM801" s="1"/>
      <c r="IN801" s="1"/>
      <c r="IO801" s="1"/>
      <c r="IP801" s="1"/>
      <c r="IQ801" s="1"/>
      <c r="IR801" s="1"/>
      <c r="IS801" s="1"/>
      <c r="IT801" s="1"/>
      <c r="IU801" s="1"/>
      <c r="IV801" s="1"/>
      <c r="IW801" s="1"/>
      <c r="IX801" s="1"/>
      <c r="IY801" s="1"/>
      <c r="IZ801" s="1"/>
      <c r="JA801" s="1"/>
      <c r="JB801" s="1"/>
      <c r="JC801" s="1"/>
      <c r="JD801" s="1"/>
    </row>
    <row r="802" spans="1:264" s="347" customFormat="1" x14ac:dyDescent="0.2">
      <c r="A802" s="436" t="s">
        <v>273</v>
      </c>
      <c r="B802" s="437"/>
      <c r="C802" s="436"/>
      <c r="D802" s="436"/>
      <c r="E802" s="436"/>
      <c r="F802" s="436"/>
      <c r="G802" s="436"/>
      <c r="H802" s="436"/>
      <c r="I802" s="436"/>
      <c r="J802" s="436"/>
      <c r="K802" s="436"/>
      <c r="L802" s="436"/>
      <c r="M802" s="436"/>
      <c r="N802" s="436"/>
      <c r="O802" s="436"/>
      <c r="P802" s="436"/>
      <c r="Q802" s="436"/>
      <c r="R802" s="436"/>
      <c r="S802" s="436"/>
      <c r="T802" s="436"/>
      <c r="U802" s="436"/>
      <c r="V802" s="436"/>
      <c r="W802" s="436"/>
      <c r="X802" s="436"/>
      <c r="Y802" s="436"/>
      <c r="Z802" s="436"/>
      <c r="AA802" s="436"/>
      <c r="AB802" s="436"/>
      <c r="AC802" s="436"/>
      <c r="AD802" s="436"/>
      <c r="AE802" s="436"/>
      <c r="AF802" s="436"/>
      <c r="AG802" s="436"/>
      <c r="AH802" s="436"/>
      <c r="AI802" s="436"/>
      <c r="AJ802" s="436"/>
      <c r="AK802" s="436"/>
      <c r="AL802" s="436"/>
      <c r="AM802" s="436"/>
      <c r="AN802" s="436"/>
      <c r="AO802" s="436"/>
      <c r="AP802" s="436"/>
      <c r="AQ802" s="436"/>
      <c r="AR802" s="436"/>
      <c r="AS802" s="436"/>
      <c r="AT802" s="436"/>
      <c r="AU802" s="436"/>
      <c r="AV802" s="436"/>
      <c r="AW802" s="436"/>
      <c r="AX802" s="436"/>
      <c r="AY802" s="436"/>
      <c r="AZ802" s="436"/>
      <c r="BA802" s="436"/>
      <c r="BB802" s="436"/>
      <c r="BC802" s="436"/>
      <c r="BD802" s="436"/>
      <c r="BE802" s="436"/>
      <c r="BF802" s="436"/>
      <c r="BG802" s="436"/>
      <c r="BH802" s="660"/>
      <c r="BI802" s="660">
        <f>+BI801/BH801-1</f>
        <v>1.1857707509881354E-2</v>
      </c>
      <c r="BJ802" s="661"/>
      <c r="BK802" s="437"/>
      <c r="BL802" s="660">
        <f>+BL801/BI801-1</f>
        <v>2.34375E-2</v>
      </c>
      <c r="BM802" s="660">
        <f>+BM801/BL801-1</f>
        <v>9.5419847328244156E-3</v>
      </c>
      <c r="BN802" s="661"/>
      <c r="BO802" s="437"/>
      <c r="BP802" s="660">
        <f>+BP801/BM801-1</f>
        <v>1.8903591682419618E-2</v>
      </c>
      <c r="BQ802" s="660">
        <f>+BQ801/BP801-1</f>
        <v>1.4842300556586308E-2</v>
      </c>
      <c r="BR802" s="661"/>
      <c r="BS802" s="463"/>
      <c r="BT802" s="660">
        <f>+BT801/BQ801-1</f>
        <v>2.1937842778793515E-2</v>
      </c>
      <c r="BU802" s="660">
        <f>+BU801/BT801-1</f>
        <v>2.8622540250447193E-2</v>
      </c>
      <c r="BV802" s="661"/>
      <c r="BW802" s="463"/>
      <c r="BX802" s="660">
        <f>+BX801/BU801-1</f>
        <v>-3.3043478260869619E-2</v>
      </c>
      <c r="BY802" s="660">
        <f>+BY801/BX801-1</f>
        <v>-3.597122302158251E-3</v>
      </c>
      <c r="BZ802" s="661"/>
      <c r="CA802" s="463"/>
      <c r="CB802" s="660">
        <f>+CB801/BY801-1</f>
        <v>0</v>
      </c>
      <c r="CC802" s="660">
        <f>+CC801/CB801-1</f>
        <v>4.6931407942238268E-2</v>
      </c>
      <c r="CD802" s="661"/>
      <c r="CE802" s="463"/>
      <c r="CF802" s="660">
        <f>+CF801/CC801-1</f>
        <v>-6.7241379310344795E-2</v>
      </c>
      <c r="CG802" s="660">
        <f>+CG801/CF801-1</f>
        <v>0</v>
      </c>
      <c r="CH802" s="661"/>
      <c r="CI802" s="463"/>
      <c r="CJ802" s="660">
        <f>+CJ801/CG801-1</f>
        <v>-5.5452865064695045E-2</v>
      </c>
      <c r="CK802" s="660">
        <f>+CK801/CJ801-1</f>
        <v>0.12720156555772988</v>
      </c>
      <c r="CL802" s="661"/>
      <c r="CM802" s="463"/>
      <c r="CN802" s="660">
        <f>+CN801/CK801-1</f>
        <v>0</v>
      </c>
      <c r="CO802" s="660">
        <f>+CO801/CN801-1</f>
        <v>3.4722222222223209E-3</v>
      </c>
      <c r="CP802" s="661"/>
      <c r="CQ802" s="463"/>
      <c r="CR802" s="660">
        <f>+CR801/CO801-1</f>
        <v>-0.15916955017301038</v>
      </c>
      <c r="CS802" s="660">
        <f>+CS801/CR801-1</f>
        <v>6.1728395061728669E-3</v>
      </c>
      <c r="CT802" s="661"/>
      <c r="CU802" s="463"/>
      <c r="CV802" s="660">
        <f>+CV801/CS801-1</f>
        <v>-2.0449897750511203E-2</v>
      </c>
      <c r="CW802" s="660">
        <f>+CW801/CV801-1</f>
        <v>-1.6701461377870541E-2</v>
      </c>
      <c r="CX802" s="661"/>
      <c r="CY802" s="463"/>
      <c r="CZ802" s="660">
        <f>+CZ801/CW801-1</f>
        <v>6.3694267515923553E-2</v>
      </c>
      <c r="DA802" s="660">
        <f>+DA801/CZ801-1</f>
        <v>-1.3972055888223589E-2</v>
      </c>
      <c r="DB802" s="661"/>
      <c r="DC802" s="463"/>
      <c r="DD802" s="660">
        <f>+DD801/DA801-1</f>
        <v>-6.8825910931174072E-2</v>
      </c>
      <c r="DE802" s="660">
        <f>+DE801/DD801-1</f>
        <v>8.0434782608695743E-2</v>
      </c>
      <c r="DF802" s="661"/>
      <c r="DG802" s="463"/>
      <c r="DH802" s="660">
        <f>+DH801/DE801-1</f>
        <v>-6.4386317907444646E-2</v>
      </c>
      <c r="DI802" s="482">
        <v>0</v>
      </c>
      <c r="DJ802" s="437"/>
      <c r="DK802" s="463"/>
      <c r="DL802" s="482">
        <v>-0.03</v>
      </c>
      <c r="DM802" s="482">
        <v>0.02</v>
      </c>
      <c r="DN802" s="437"/>
      <c r="DO802" s="463"/>
      <c r="DP802" s="482">
        <v>-0.02</v>
      </c>
      <c r="DQ802" s="482">
        <v>0</v>
      </c>
      <c r="DR802" s="437"/>
      <c r="DS802" s="463"/>
      <c r="DU802" s="1"/>
      <c r="DV802" s="1"/>
      <c r="DW802" s="1"/>
      <c r="DX802" s="1"/>
      <c r="DY802" s="1"/>
      <c r="DZ802" s="1"/>
      <c r="EA802" s="1"/>
      <c r="EB802" s="1"/>
      <c r="EC802" s="1"/>
      <c r="ED802" s="1"/>
      <c r="EE802" s="1"/>
      <c r="EF802" s="1"/>
      <c r="EG802" s="1"/>
      <c r="EH802" s="1"/>
      <c r="EI802" s="1"/>
      <c r="EJ802" s="1"/>
      <c r="EK802" s="1"/>
      <c r="EL802" s="1"/>
      <c r="EM802" s="1"/>
      <c r="EN802" s="1"/>
      <c r="EO802" s="1"/>
      <c r="EP802" s="1"/>
      <c r="EQ802" s="1"/>
      <c r="ER802" s="1"/>
      <c r="ES802" s="1"/>
      <c r="ET802" s="1"/>
      <c r="EU802" s="1"/>
      <c r="EV802" s="1"/>
      <c r="EW802" s="1"/>
      <c r="EX802" s="1"/>
      <c r="EY802" s="1"/>
      <c r="EZ802" s="1"/>
      <c r="FA802" s="1"/>
      <c r="FB802" s="1"/>
      <c r="FC802" s="1"/>
      <c r="FD802" s="1"/>
      <c r="FE802" s="1"/>
      <c r="FF802" s="1"/>
      <c r="FG802" s="1"/>
      <c r="FH802" s="1"/>
      <c r="FI802" s="1"/>
      <c r="FJ802" s="1"/>
      <c r="FK802" s="1"/>
      <c r="FL802" s="1"/>
      <c r="FM802" s="1"/>
      <c r="FN802" s="1"/>
      <c r="FO802" s="1"/>
      <c r="FP802" s="1"/>
      <c r="FQ802" s="1"/>
      <c r="FR802" s="1"/>
      <c r="FS802" s="1"/>
      <c r="FT802" s="1"/>
      <c r="FU802" s="1"/>
      <c r="FV802" s="1"/>
      <c r="FW802" s="1"/>
      <c r="FX802" s="1"/>
      <c r="FY802" s="1"/>
      <c r="FZ802" s="1"/>
      <c r="GA802" s="1"/>
      <c r="GB802" s="1"/>
      <c r="GC802" s="1"/>
      <c r="GD802" s="1"/>
      <c r="GE802" s="1"/>
      <c r="GF802" s="1"/>
      <c r="GG802" s="1"/>
      <c r="GH802" s="1"/>
      <c r="GI802" s="1"/>
      <c r="GJ802" s="1"/>
      <c r="GK802" s="1"/>
      <c r="GL802" s="1"/>
      <c r="GM802" s="1"/>
      <c r="GN802" s="1"/>
      <c r="GO802" s="1"/>
      <c r="GP802" s="1"/>
      <c r="GQ802" s="1"/>
      <c r="GR802" s="1"/>
      <c r="GS802" s="1"/>
      <c r="GT802" s="1"/>
      <c r="GU802" s="1"/>
      <c r="GV802" s="1"/>
      <c r="GW802" s="1"/>
      <c r="GX802" s="1"/>
      <c r="GY802" s="1"/>
      <c r="GZ802" s="1"/>
      <c r="HA802" s="1"/>
      <c r="HB802" s="1"/>
      <c r="HC802" s="1"/>
      <c r="HD802" s="1"/>
      <c r="HE802" s="1"/>
      <c r="HF802" s="1"/>
      <c r="HG802" s="1"/>
      <c r="HH802" s="1"/>
      <c r="HI802" s="1"/>
      <c r="HJ802" s="1"/>
      <c r="HK802" s="1"/>
      <c r="HL802" s="1"/>
      <c r="HM802" s="1"/>
      <c r="HN802" s="1"/>
      <c r="HO802" s="1"/>
      <c r="HP802" s="1"/>
      <c r="HQ802" s="1"/>
      <c r="HR802" s="1"/>
      <c r="HS802" s="1"/>
      <c r="HT802" s="1"/>
      <c r="HU802" s="1"/>
      <c r="HV802" s="1"/>
      <c r="HW802" s="1"/>
      <c r="HX802" s="1"/>
      <c r="HY802" s="1"/>
      <c r="HZ802" s="1"/>
      <c r="IA802" s="1"/>
      <c r="IB802" s="1"/>
      <c r="IC802" s="1"/>
      <c r="ID802" s="1"/>
      <c r="IE802" s="1"/>
      <c r="IF802" s="1"/>
      <c r="IG802" s="1"/>
      <c r="IH802" s="1"/>
      <c r="II802" s="1"/>
      <c r="IJ802" s="1"/>
      <c r="IK802" s="1"/>
      <c r="IL802" s="1"/>
      <c r="IM802" s="1"/>
      <c r="IN802" s="1"/>
      <c r="IO802" s="1"/>
      <c r="IP802" s="1"/>
      <c r="IQ802" s="1"/>
      <c r="IR802" s="1"/>
      <c r="IS802" s="1"/>
      <c r="IT802" s="1"/>
      <c r="IU802" s="1"/>
      <c r="IV802" s="1"/>
      <c r="IW802" s="1"/>
      <c r="IX802" s="1"/>
      <c r="IY802" s="1"/>
      <c r="IZ802" s="1"/>
      <c r="JA802" s="1"/>
      <c r="JB802" s="1"/>
      <c r="JC802" s="1"/>
      <c r="JD802" s="1"/>
    </row>
    <row r="803" spans="1:264" s="347" customFormat="1" x14ac:dyDescent="0.2">
      <c r="A803" s="429" t="s">
        <v>28</v>
      </c>
      <c r="B803" s="408"/>
      <c r="C803" s="429"/>
      <c r="D803" s="429"/>
      <c r="E803" s="429"/>
      <c r="F803" s="429"/>
      <c r="G803" s="429"/>
      <c r="H803" s="429"/>
      <c r="I803" s="429"/>
      <c r="J803" s="429"/>
      <c r="K803" s="429"/>
      <c r="L803" s="429"/>
      <c r="M803" s="429"/>
      <c r="N803" s="429"/>
      <c r="O803" s="429"/>
      <c r="P803" s="429"/>
      <c r="Q803" s="429"/>
      <c r="R803" s="429"/>
      <c r="S803" s="429"/>
      <c r="T803" s="429"/>
      <c r="U803" s="429"/>
      <c r="V803" s="429"/>
      <c r="W803" s="429"/>
      <c r="X803" s="429"/>
      <c r="Y803" s="429"/>
      <c r="Z803" s="429"/>
      <c r="AA803" s="429"/>
      <c r="AB803" s="429"/>
      <c r="AC803" s="429"/>
      <c r="AD803" s="429"/>
      <c r="AE803" s="429"/>
      <c r="AF803" s="429"/>
      <c r="AG803" s="429"/>
      <c r="AH803" s="429"/>
      <c r="AI803" s="429"/>
      <c r="AJ803" s="429"/>
      <c r="AK803" s="429"/>
      <c r="AL803" s="429"/>
      <c r="AM803" s="429"/>
      <c r="AN803" s="429"/>
      <c r="AO803" s="429"/>
      <c r="AP803" s="429"/>
      <c r="AQ803" s="429"/>
      <c r="AR803" s="429"/>
      <c r="AS803" s="429"/>
      <c r="AT803" s="429"/>
      <c r="AU803" s="429"/>
      <c r="AV803" s="429"/>
      <c r="AW803" s="429"/>
      <c r="AX803" s="429"/>
      <c r="AY803" s="429"/>
      <c r="AZ803" s="429"/>
      <c r="BA803" s="429"/>
      <c r="BB803" s="429"/>
      <c r="BC803" s="429"/>
      <c r="BD803" s="429"/>
      <c r="BE803" s="429"/>
      <c r="BF803" s="429"/>
      <c r="BG803" s="429"/>
      <c r="BH803" s="664"/>
      <c r="BI803" s="664"/>
      <c r="BJ803" s="456"/>
      <c r="BK803" s="408"/>
      <c r="BL803" s="664">
        <f>+BL801/BH801-1</f>
        <v>3.5573122529644285E-2</v>
      </c>
      <c r="BM803" s="664"/>
      <c r="BN803" s="456"/>
      <c r="BO803" s="408"/>
      <c r="BP803" s="664">
        <f>+BP801/BL801-1</f>
        <v>2.8625954198473247E-2</v>
      </c>
      <c r="BQ803" s="664"/>
      <c r="BR803" s="456"/>
      <c r="BT803" s="664">
        <f>+BT801/BP801-1</f>
        <v>3.7105751391465658E-2</v>
      </c>
      <c r="BU803" s="664"/>
      <c r="BV803" s="456"/>
      <c r="BX803" s="664">
        <f>+BX801/BT801-1</f>
        <v>-5.3667262969588903E-3</v>
      </c>
      <c r="BY803" s="664"/>
      <c r="BZ803" s="456"/>
      <c r="CB803" s="664">
        <f>+CB801/BX801-1</f>
        <v>-3.597122302158251E-3</v>
      </c>
      <c r="CC803" s="664"/>
      <c r="CD803" s="456"/>
      <c r="CF803" s="664">
        <f>+CF801/CB801-1</f>
        <v>-2.3465703971119134E-2</v>
      </c>
      <c r="CG803" s="664"/>
      <c r="CH803" s="456"/>
      <c r="CJ803" s="664">
        <f>+CJ801/CF801-1</f>
        <v>-5.5452865064695045E-2</v>
      </c>
      <c r="CK803" s="664">
        <f>+CK801/CG801-1</f>
        <v>6.4695009242144108E-2</v>
      </c>
      <c r="CL803" s="664">
        <f>+CL801/CH801-1</f>
        <v>4.6210720887245316E-3</v>
      </c>
      <c r="CN803" s="664">
        <f>+CN801/CJ801-1</f>
        <v>0.12720156555772988</v>
      </c>
      <c r="CO803" s="664">
        <f>+CO801/CK801-1</f>
        <v>3.4722222222223209E-3</v>
      </c>
      <c r="CP803" s="664">
        <f>+CP801/CL801-1</f>
        <v>6.1637534498619972E-2</v>
      </c>
      <c r="CR803" s="664">
        <f>+CR801/CN801-1</f>
        <v>-0.15625</v>
      </c>
      <c r="CS803" s="664">
        <f>+CS801/CO801-1</f>
        <v>-0.15397923875432529</v>
      </c>
      <c r="CT803" s="664">
        <f>+CT801/CP801-1</f>
        <v>-0.15511265164644716</v>
      </c>
      <c r="CV803" s="664">
        <f>+CV801/CR801-1</f>
        <v>-1.4403292181069949E-2</v>
      </c>
      <c r="CW803" s="664">
        <f>+CW801/CS801-1</f>
        <v>-3.6809815950920255E-2</v>
      </c>
      <c r="CX803" s="664">
        <f>+CX801/CT801-1</f>
        <v>-2.5641025641025661E-2</v>
      </c>
      <c r="CZ803" s="664">
        <f>+CZ801/CV801-1</f>
        <v>4.5929018789144127E-2</v>
      </c>
      <c r="DA803" s="664">
        <f>+DA801/CW801-1</f>
        <v>4.8832271762208057E-2</v>
      </c>
      <c r="DB803" s="664">
        <f>+DB801/CX801-1</f>
        <v>4.7368421052631504E-2</v>
      </c>
      <c r="DD803" s="664">
        <f>+DD801/CZ801-1</f>
        <v>-8.1836327345309434E-2</v>
      </c>
      <c r="DE803" s="664">
        <f>+DE801/DA801-1</f>
        <v>6.0728744939271273E-3</v>
      </c>
      <c r="DF803" s="664">
        <f>+DF801/DB801-1</f>
        <v>-3.8190954773869357E-2</v>
      </c>
      <c r="DH803" s="664">
        <f>+DH801/DD801-1</f>
        <v>1.0869565217391353E-2</v>
      </c>
      <c r="DI803" s="664">
        <f>+DI801/DE801-1</f>
        <v>-6.4386317907444646E-2</v>
      </c>
      <c r="DJ803" s="664">
        <f>+DJ801/DF801-1</f>
        <v>-2.8213166144200663E-2</v>
      </c>
      <c r="DL803" s="664">
        <f>+DL801/DH801-1</f>
        <v>-3.0000000000000027E-2</v>
      </c>
      <c r="DM803" s="664">
        <f>+DM801/DI801-1</f>
        <v>-1.0599999999999943E-2</v>
      </c>
      <c r="DN803" s="664">
        <f>+DN801/DJ801-1</f>
        <v>-2.0299999999999874E-2</v>
      </c>
      <c r="DP803" s="664">
        <f>+DP801/DL801-1</f>
        <v>-3.9999999999995595E-4</v>
      </c>
      <c r="DQ803" s="664">
        <f>+DQ801/DM801-1</f>
        <v>-2.0000000000000018E-2</v>
      </c>
      <c r="DR803" s="664">
        <f>+DR801/DN801-1</f>
        <v>-1.0297029702970306E-2</v>
      </c>
      <c r="DU803" s="1"/>
      <c r="DV803" s="1"/>
      <c r="DW803" s="1"/>
      <c r="DX803" s="1"/>
      <c r="DY803" s="1"/>
      <c r="DZ803" s="1"/>
      <c r="EA803" s="1"/>
      <c r="EB803" s="1"/>
      <c r="EC803" s="1"/>
      <c r="ED803" s="1"/>
      <c r="EE803" s="1"/>
      <c r="EF803" s="1"/>
      <c r="EG803" s="1"/>
      <c r="EH803" s="1"/>
      <c r="EI803" s="1"/>
      <c r="EJ803" s="1"/>
      <c r="EK803" s="1"/>
      <c r="EL803" s="1"/>
      <c r="EM803" s="1"/>
      <c r="EN803" s="1"/>
      <c r="EO803" s="1"/>
      <c r="EP803" s="1"/>
      <c r="EQ803" s="1"/>
      <c r="ER803" s="1"/>
      <c r="ES803" s="1"/>
      <c r="ET803" s="1"/>
      <c r="EU803" s="1"/>
      <c r="EV803" s="1"/>
      <c r="EW803" s="1"/>
      <c r="EX803" s="1"/>
      <c r="EY803" s="1"/>
      <c r="EZ803" s="1"/>
      <c r="FA803" s="1"/>
      <c r="FB803" s="1"/>
      <c r="FC803" s="1"/>
      <c r="FD803" s="1"/>
      <c r="FE803" s="1"/>
      <c r="FF803" s="1"/>
      <c r="FG803" s="1"/>
      <c r="FH803" s="1"/>
      <c r="FI803" s="1"/>
      <c r="FJ803" s="1"/>
      <c r="FK803" s="1"/>
      <c r="FL803" s="1"/>
      <c r="FM803" s="1"/>
      <c r="FN803" s="1"/>
      <c r="FO803" s="1"/>
      <c r="FP803" s="1"/>
      <c r="FQ803" s="1"/>
      <c r="FR803" s="1"/>
      <c r="FS803" s="1"/>
      <c r="FT803" s="1"/>
      <c r="FU803" s="1"/>
      <c r="FV803" s="1"/>
      <c r="FW803" s="1"/>
      <c r="FX803" s="1"/>
      <c r="FY803" s="1"/>
      <c r="FZ803" s="1"/>
      <c r="GA803" s="1"/>
      <c r="GB803" s="1"/>
      <c r="GC803" s="1"/>
      <c r="GD803" s="1"/>
      <c r="GE803" s="1"/>
      <c r="GF803" s="1"/>
      <c r="GG803" s="1"/>
      <c r="GH803" s="1"/>
      <c r="GI803" s="1"/>
      <c r="GJ803" s="1"/>
      <c r="GK803" s="1"/>
      <c r="GL803" s="1"/>
      <c r="GM803" s="1"/>
      <c r="GN803" s="1"/>
      <c r="GO803" s="1"/>
      <c r="GP803" s="1"/>
      <c r="GQ803" s="1"/>
      <c r="GR803" s="1"/>
      <c r="GS803" s="1"/>
      <c r="GT803" s="1"/>
      <c r="GU803" s="1"/>
      <c r="GV803" s="1"/>
      <c r="GW803" s="1"/>
      <c r="GX803" s="1"/>
      <c r="GY803" s="1"/>
      <c r="GZ803" s="1"/>
      <c r="HA803" s="1"/>
      <c r="HB803" s="1"/>
      <c r="HC803" s="1"/>
      <c r="HD803" s="1"/>
      <c r="HE803" s="1"/>
      <c r="HF803" s="1"/>
      <c r="HG803" s="1"/>
      <c r="HH803" s="1"/>
      <c r="HI803" s="1"/>
      <c r="HJ803" s="1"/>
      <c r="HK803" s="1"/>
      <c r="HL803" s="1"/>
      <c r="HM803" s="1"/>
      <c r="HN803" s="1"/>
      <c r="HO803" s="1"/>
      <c r="HP803" s="1"/>
      <c r="HQ803" s="1"/>
      <c r="HR803" s="1"/>
      <c r="HS803" s="1"/>
      <c r="HT803" s="1"/>
      <c r="HU803" s="1"/>
      <c r="HV803" s="1"/>
      <c r="HW803" s="1"/>
      <c r="HX803" s="1"/>
      <c r="HY803" s="1"/>
      <c r="HZ803" s="1"/>
      <c r="IA803" s="1"/>
      <c r="IB803" s="1"/>
      <c r="IC803" s="1"/>
      <c r="ID803" s="1"/>
      <c r="IE803" s="1"/>
      <c r="IF803" s="1"/>
      <c r="IG803" s="1"/>
      <c r="IH803" s="1"/>
      <c r="II803" s="1"/>
      <c r="IJ803" s="1"/>
      <c r="IK803" s="1"/>
      <c r="IL803" s="1"/>
      <c r="IM803" s="1"/>
      <c r="IN803" s="1"/>
      <c r="IO803" s="1"/>
      <c r="IP803" s="1"/>
      <c r="IQ803" s="1"/>
      <c r="IR803" s="1"/>
      <c r="IS803" s="1"/>
      <c r="IT803" s="1"/>
      <c r="IU803" s="1"/>
      <c r="IV803" s="1"/>
      <c r="IW803" s="1"/>
      <c r="IX803" s="1"/>
      <c r="IY803" s="1"/>
      <c r="IZ803" s="1"/>
      <c r="JA803" s="1"/>
      <c r="JB803" s="1"/>
      <c r="JC803" s="1"/>
      <c r="JD803" s="1"/>
    </row>
    <row r="804" spans="1:264" s="347" customFormat="1" x14ac:dyDescent="0.2">
      <c r="B804" s="348"/>
      <c r="BH804" s="348"/>
      <c r="BI804" s="348"/>
      <c r="BJ804" s="348"/>
      <c r="BK804" s="348"/>
      <c r="BL804" s="348"/>
      <c r="BM804" s="348"/>
      <c r="BN804" s="348"/>
      <c r="BO804" s="348"/>
      <c r="BP804" s="348"/>
      <c r="BQ804" s="348"/>
      <c r="BR804" s="348"/>
      <c r="BT804" s="348"/>
      <c r="BU804" s="348"/>
      <c r="BV804" s="348"/>
      <c r="BX804" s="348"/>
      <c r="CB804" s="348"/>
      <c r="CF804" s="348"/>
      <c r="CH804" s="400"/>
      <c r="CI804" s="400"/>
      <c r="CJ804" s="348"/>
      <c r="CL804" s="400">
        <f>-662-CL806</f>
        <v>0</v>
      </c>
      <c r="CN804" s="348"/>
      <c r="CR804" s="348"/>
      <c r="CV804" s="348"/>
      <c r="CZ804" s="348"/>
      <c r="DD804" s="348"/>
      <c r="DH804" s="348"/>
      <c r="DU804" s="1"/>
      <c r="DV804" s="1"/>
      <c r="DW804" s="1"/>
      <c r="DX804" s="1"/>
      <c r="DY804" s="1"/>
      <c r="DZ804" s="1"/>
      <c r="EA804" s="1"/>
      <c r="EB804" s="1"/>
      <c r="EC804" s="1"/>
      <c r="ED804" s="1"/>
      <c r="EE804" s="1"/>
      <c r="EF804" s="1"/>
      <c r="EG804" s="1"/>
      <c r="EH804" s="1"/>
      <c r="EI804" s="1"/>
      <c r="EJ804" s="1"/>
      <c r="EK804" s="1"/>
      <c r="EL804" s="1"/>
      <c r="EM804" s="1"/>
      <c r="EN804" s="1"/>
      <c r="EO804" s="1"/>
      <c r="EP804" s="1"/>
      <c r="EQ804" s="1"/>
      <c r="ER804" s="1"/>
      <c r="ES804" s="1"/>
      <c r="ET804" s="1"/>
      <c r="EU804" s="1"/>
      <c r="EV804" s="1"/>
      <c r="EW804" s="1"/>
      <c r="EX804" s="1"/>
      <c r="EY804" s="1"/>
      <c r="EZ804" s="1"/>
      <c r="FA804" s="1"/>
      <c r="FB804" s="1"/>
      <c r="FC804" s="1"/>
      <c r="FD804" s="1"/>
      <c r="FE804" s="1"/>
      <c r="FF804" s="1"/>
      <c r="FG804" s="1"/>
      <c r="FH804" s="1"/>
      <c r="FI804" s="1"/>
      <c r="FJ804" s="1"/>
      <c r="FK804" s="1"/>
      <c r="FL804" s="1"/>
      <c r="FM804" s="1"/>
      <c r="FN804" s="1"/>
      <c r="FO804" s="1"/>
      <c r="FP804" s="1"/>
      <c r="FQ804" s="1"/>
      <c r="FR804" s="1"/>
      <c r="FS804" s="1"/>
      <c r="FT804" s="1"/>
      <c r="FU804" s="1"/>
      <c r="FV804" s="1"/>
      <c r="FW804" s="1"/>
      <c r="FX804" s="1"/>
      <c r="FY804" s="1"/>
      <c r="FZ804" s="1"/>
      <c r="GA804" s="1"/>
      <c r="GB804" s="1"/>
      <c r="GC804" s="1"/>
      <c r="GD804" s="1"/>
      <c r="GE804" s="1"/>
      <c r="GF804" s="1"/>
      <c r="GG804" s="1"/>
      <c r="GH804" s="1"/>
      <c r="GI804" s="1"/>
      <c r="GJ804" s="1"/>
      <c r="GK804" s="1"/>
      <c r="GL804" s="1"/>
      <c r="GM804" s="1"/>
      <c r="GN804" s="1"/>
      <c r="GO804" s="1"/>
      <c r="GP804" s="1"/>
      <c r="GQ804" s="1"/>
      <c r="GR804" s="1"/>
      <c r="GS804" s="1"/>
      <c r="GT804" s="1"/>
      <c r="GU804" s="1"/>
      <c r="GV804" s="1"/>
      <c r="GW804" s="1"/>
      <c r="GX804" s="1"/>
      <c r="GY804" s="1"/>
      <c r="GZ804" s="1"/>
      <c r="HA804" s="1"/>
      <c r="HB804" s="1"/>
      <c r="HC804" s="1"/>
      <c r="HD804" s="1"/>
      <c r="HE804" s="1"/>
      <c r="HF804" s="1"/>
      <c r="HG804" s="1"/>
      <c r="HH804" s="1"/>
      <c r="HI804" s="1"/>
      <c r="HJ804" s="1"/>
      <c r="HK804" s="1"/>
      <c r="HL804" s="1"/>
      <c r="HM804" s="1"/>
      <c r="HN804" s="1"/>
      <c r="HO804" s="1"/>
      <c r="HP804" s="1"/>
      <c r="HQ804" s="1"/>
      <c r="HR804" s="1"/>
      <c r="HS804" s="1"/>
      <c r="HT804" s="1"/>
      <c r="HU804" s="1"/>
      <c r="HV804" s="1"/>
      <c r="HW804" s="1"/>
      <c r="HX804" s="1"/>
      <c r="HY804" s="1"/>
      <c r="HZ804" s="1"/>
      <c r="IA804" s="1"/>
      <c r="IB804" s="1"/>
      <c r="IC804" s="1"/>
      <c r="ID804" s="1"/>
      <c r="IE804" s="1"/>
      <c r="IF804" s="1"/>
      <c r="IG804" s="1"/>
      <c r="IH804" s="1"/>
      <c r="II804" s="1"/>
      <c r="IJ804" s="1"/>
      <c r="IK804" s="1"/>
      <c r="IL804" s="1"/>
      <c r="IM804" s="1"/>
      <c r="IN804" s="1"/>
      <c r="IO804" s="1"/>
      <c r="IP804" s="1"/>
      <c r="IQ804" s="1"/>
      <c r="IR804" s="1"/>
      <c r="IS804" s="1"/>
      <c r="IT804" s="1"/>
      <c r="IU804" s="1"/>
      <c r="IV804" s="1"/>
      <c r="IW804" s="1"/>
      <c r="IX804" s="1"/>
      <c r="IY804" s="1"/>
      <c r="IZ804" s="1"/>
      <c r="JA804" s="1"/>
      <c r="JB804" s="1"/>
      <c r="JC804" s="1"/>
      <c r="JD804" s="1"/>
    </row>
    <row r="805" spans="1:264" s="347" customFormat="1" x14ac:dyDescent="0.2">
      <c r="A805" s="347" t="s">
        <v>572</v>
      </c>
      <c r="B805" s="348"/>
      <c r="BH805" s="398">
        <v>-112</v>
      </c>
      <c r="BI805" s="398">
        <v>-133</v>
      </c>
      <c r="BJ805" s="351">
        <f>+BH805+BI805</f>
        <v>-245</v>
      </c>
      <c r="BK805" s="348"/>
      <c r="BL805" s="398">
        <v>-130</v>
      </c>
      <c r="BM805" s="398">
        <v>-198</v>
      </c>
      <c r="BN805" s="351">
        <f>+BL805+BM805</f>
        <v>-328</v>
      </c>
      <c r="BO805" s="393">
        <f>+BN805/BJ805-1</f>
        <v>0.3387755102040817</v>
      </c>
      <c r="BP805" s="398">
        <v>-143</v>
      </c>
      <c r="BQ805" s="398">
        <v>-165</v>
      </c>
      <c r="BR805" s="351">
        <f>+BP805+BQ805</f>
        <v>-308</v>
      </c>
      <c r="BS805" s="393">
        <f>+BR805/BN805-1</f>
        <v>-6.0975609756097615E-2</v>
      </c>
      <c r="BT805" s="398">
        <v>-177</v>
      </c>
      <c r="BU805" s="398">
        <v>-202</v>
      </c>
      <c r="BV805" s="351">
        <f>+BT805+BU805</f>
        <v>-379</v>
      </c>
      <c r="BW805" s="393">
        <f>+BV805/BR805-1</f>
        <v>0.23051948051948057</v>
      </c>
      <c r="BX805" s="509">
        <f>-605-BX809</f>
        <v>-605</v>
      </c>
      <c r="BY805" s="665">
        <f>BZ805-BX805</f>
        <v>-157</v>
      </c>
      <c r="BZ805" s="399">
        <f>-762</f>
        <v>-762</v>
      </c>
      <c r="CA805" s="393">
        <f>+BZ805/BV805-1</f>
        <v>1.0105540897097627</v>
      </c>
      <c r="CB805" s="398">
        <v>-260</v>
      </c>
      <c r="CC805" s="398">
        <v>-303</v>
      </c>
      <c r="CD805" s="351">
        <f>+CB805+CC805</f>
        <v>-563</v>
      </c>
      <c r="CE805" s="393">
        <f>+CD805/BZ805-1</f>
        <v>-0.26115485564304464</v>
      </c>
      <c r="CF805" s="398">
        <f>-310-163</f>
        <v>-473</v>
      </c>
      <c r="CG805" s="398">
        <f>-288-164</f>
        <v>-452</v>
      </c>
      <c r="CH805" s="351">
        <f>+CF805+CG805</f>
        <v>-925</v>
      </c>
      <c r="CI805" s="393">
        <f>+CH805/CD805-1</f>
        <v>0.6429840142095915</v>
      </c>
      <c r="CJ805" s="404">
        <f>-585+220-95</f>
        <v>-460</v>
      </c>
      <c r="CK805" s="398">
        <f>-363-95</f>
        <v>-458</v>
      </c>
      <c r="CL805" s="351">
        <f>+CJ805+CK805</f>
        <v>-918</v>
      </c>
      <c r="CM805" s="393">
        <f>+CL805/CH805-1</f>
        <v>-7.5675675675676013E-3</v>
      </c>
      <c r="CN805" s="404">
        <v>-320</v>
      </c>
      <c r="CO805" s="398">
        <v>-210</v>
      </c>
      <c r="CP805" s="351">
        <f>+CN805+CO805</f>
        <v>-530</v>
      </c>
      <c r="CQ805" s="393">
        <f>+CP805/CL805-1</f>
        <v>-0.42265795206971679</v>
      </c>
      <c r="CR805" s="404">
        <v>-160</v>
      </c>
      <c r="CS805" s="398">
        <f>-601+445</f>
        <v>-156</v>
      </c>
      <c r="CT805" s="351">
        <f>+CR805+CS805</f>
        <v>-316</v>
      </c>
      <c r="CU805" s="393">
        <f>+CT805/CP805-1</f>
        <v>-0.4037735849056604</v>
      </c>
      <c r="CV805" s="404">
        <v>-183</v>
      </c>
      <c r="CW805" s="398">
        <v>-212</v>
      </c>
      <c r="CX805" s="351">
        <f>+CV805+CW805</f>
        <v>-395</v>
      </c>
      <c r="CY805" s="393">
        <f>+CX805/CT805-1</f>
        <v>0.25</v>
      </c>
      <c r="CZ805" s="404">
        <v>-314</v>
      </c>
      <c r="DA805" s="398">
        <v>-371</v>
      </c>
      <c r="DB805" s="351">
        <f>+CZ805+DA805</f>
        <v>-685</v>
      </c>
      <c r="DC805" s="393">
        <f>+DB805/CX805-1</f>
        <v>0.73417721518987333</v>
      </c>
      <c r="DD805" s="404">
        <v>-329</v>
      </c>
      <c r="DE805" s="398">
        <v>-354</v>
      </c>
      <c r="DF805" s="351">
        <f>+DD805+DE805</f>
        <v>-683</v>
      </c>
      <c r="DG805" s="393">
        <f>+DF805/DB805-1</f>
        <v>-2.9197080291970545E-3</v>
      </c>
      <c r="DH805" s="404">
        <v>-358</v>
      </c>
      <c r="DI805" s="666">
        <f>DI819+DI820</f>
        <v>-387.2904109589042</v>
      </c>
      <c r="DJ805" s="351">
        <f>+DH805+DI805</f>
        <v>-745.2904109589042</v>
      </c>
      <c r="DK805" s="393">
        <f>+DJ805/DF805-1</f>
        <v>9.1201187348322499E-2</v>
      </c>
      <c r="DL805" s="666">
        <f>DL819+DL820</f>
        <v>-421.78980184577347</v>
      </c>
      <c r="DM805" s="666">
        <f>DM819+DM820</f>
        <v>-439.03273687178347</v>
      </c>
      <c r="DN805" s="351">
        <f>+DL805+DM805</f>
        <v>-860.82253871755688</v>
      </c>
      <c r="DO805" s="393">
        <f>+DN805/DJ805-1</f>
        <v>0.1550162541471678</v>
      </c>
      <c r="DP805" s="666">
        <f>DP819+DP820</f>
        <v>-484.57366441124924</v>
      </c>
      <c r="DQ805" s="666">
        <f>DQ819+DQ820</f>
        <v>-493.84361201035222</v>
      </c>
      <c r="DR805" s="351">
        <f>+DP805+DQ805</f>
        <v>-978.4172764216014</v>
      </c>
      <c r="DS805" s="393">
        <f>+DR805/DN805-1</f>
        <v>0.13660741025581857</v>
      </c>
      <c r="DT805" s="1"/>
      <c r="DU805" s="1"/>
      <c r="DV805" s="1"/>
      <c r="DW805" s="1"/>
      <c r="DX805" s="1"/>
      <c r="DY805" s="1"/>
      <c r="DZ805" s="1"/>
      <c r="EA805" s="1"/>
      <c r="EB805" s="1"/>
      <c r="EC805" s="1"/>
      <c r="ED805" s="1"/>
      <c r="EE805" s="1"/>
      <c r="EF805" s="1"/>
      <c r="EG805" s="1"/>
      <c r="EH805" s="1"/>
      <c r="EI805" s="1"/>
      <c r="EJ805" s="1"/>
      <c r="EK805" s="1"/>
      <c r="EL805" s="1"/>
      <c r="EM805" s="1"/>
      <c r="EN805" s="1"/>
      <c r="EO805" s="1"/>
      <c r="EP805" s="1"/>
      <c r="EQ805" s="1"/>
      <c r="ER805" s="1"/>
      <c r="ES805" s="1"/>
      <c r="ET805" s="1"/>
      <c r="EU805" s="1"/>
      <c r="EV805" s="1"/>
      <c r="EW805" s="1"/>
      <c r="EX805" s="1"/>
      <c r="EY805" s="1"/>
      <c r="EZ805" s="1"/>
      <c r="FA805" s="1"/>
      <c r="FB805" s="1"/>
      <c r="FC805" s="1"/>
      <c r="FD805" s="1"/>
      <c r="FE805" s="1"/>
      <c r="FF805" s="1"/>
      <c r="FG805" s="1"/>
      <c r="FH805" s="1"/>
      <c r="FI805" s="1"/>
      <c r="FJ805" s="1"/>
      <c r="FK805" s="1"/>
      <c r="FL805" s="1"/>
      <c r="FM805" s="1"/>
      <c r="FN805" s="1"/>
      <c r="FO805" s="1"/>
      <c r="FP805" s="1"/>
      <c r="FQ805" s="1"/>
      <c r="FR805" s="1"/>
      <c r="FS805" s="1"/>
      <c r="FT805" s="1"/>
      <c r="FU805" s="1"/>
      <c r="FV805" s="1"/>
      <c r="FW805" s="1"/>
      <c r="FX805" s="1"/>
      <c r="FY805" s="1"/>
      <c r="FZ805" s="1"/>
      <c r="GA805" s="1"/>
      <c r="GB805" s="1"/>
      <c r="GC805" s="1"/>
      <c r="GD805" s="1"/>
      <c r="GE805" s="1"/>
      <c r="GF805" s="1"/>
      <c r="GG805" s="1"/>
      <c r="GH805" s="1"/>
      <c r="GI805" s="1"/>
      <c r="GJ805" s="1"/>
      <c r="GK805" s="1"/>
      <c r="GL805" s="1"/>
      <c r="GM805" s="1"/>
      <c r="GN805" s="1"/>
      <c r="GO805" s="1"/>
      <c r="GP805" s="1"/>
      <c r="GQ805" s="1"/>
      <c r="GR805" s="1"/>
      <c r="GS805" s="1"/>
      <c r="GT805" s="1"/>
      <c r="GU805" s="1"/>
      <c r="GV805" s="1"/>
      <c r="GW805" s="1"/>
      <c r="GX805" s="1"/>
      <c r="GY805" s="1"/>
      <c r="GZ805" s="1"/>
      <c r="HA805" s="1"/>
      <c r="HB805" s="1"/>
      <c r="HC805" s="1"/>
      <c r="HD805" s="1"/>
      <c r="HE805" s="1"/>
      <c r="HF805" s="1"/>
      <c r="HG805" s="1"/>
      <c r="HH805" s="1"/>
      <c r="HI805" s="1"/>
      <c r="HJ805" s="1"/>
      <c r="HK805" s="1"/>
      <c r="HL805" s="1"/>
      <c r="HM805" s="1"/>
      <c r="HN805" s="1"/>
      <c r="HO805" s="1"/>
      <c r="HP805" s="1"/>
      <c r="HQ805" s="1"/>
      <c r="HR805" s="1"/>
      <c r="HS805" s="1"/>
      <c r="HT805" s="1"/>
      <c r="HU805" s="1"/>
      <c r="HV805" s="1"/>
      <c r="HW805" s="1"/>
      <c r="HX805" s="1"/>
      <c r="HY805" s="1"/>
      <c r="HZ805" s="1"/>
      <c r="IA805" s="1"/>
      <c r="IB805" s="1"/>
      <c r="IC805" s="1"/>
      <c r="ID805" s="1"/>
      <c r="IE805" s="1"/>
      <c r="IF805" s="1"/>
      <c r="IG805" s="1"/>
      <c r="IH805" s="1"/>
      <c r="II805" s="1"/>
      <c r="IJ805" s="1"/>
      <c r="IK805" s="1"/>
      <c r="IL805" s="1"/>
      <c r="IM805" s="1"/>
      <c r="IN805" s="1"/>
      <c r="IO805" s="1"/>
      <c r="IP805" s="1"/>
      <c r="IQ805" s="1"/>
      <c r="IR805" s="1"/>
      <c r="IS805" s="1"/>
      <c r="IT805" s="1"/>
      <c r="IU805" s="1"/>
      <c r="IV805" s="1"/>
      <c r="IW805" s="1"/>
      <c r="IX805" s="1"/>
      <c r="IY805" s="1"/>
      <c r="IZ805" s="1"/>
      <c r="JA805" s="1"/>
      <c r="JB805" s="1"/>
      <c r="JC805" s="1"/>
      <c r="JD805" s="1"/>
    </row>
    <row r="806" spans="1:264" s="347" customFormat="1" x14ac:dyDescent="0.2">
      <c r="A806" s="347" t="s">
        <v>573</v>
      </c>
      <c r="B806" s="348"/>
      <c r="BH806" s="398">
        <v>-211</v>
      </c>
      <c r="BI806" s="398">
        <v>-228</v>
      </c>
      <c r="BJ806" s="351">
        <f>+BH806+BI806</f>
        <v>-439</v>
      </c>
      <c r="BK806" s="348"/>
      <c r="BL806" s="398">
        <v>-208</v>
      </c>
      <c r="BM806" s="398">
        <v>-204</v>
      </c>
      <c r="BN806" s="351">
        <f>+BL806+BM806</f>
        <v>-412</v>
      </c>
      <c r="BO806" s="393">
        <f>+BN806/BJ806-1</f>
        <v>-6.1503416856492077E-2</v>
      </c>
      <c r="BP806" s="398">
        <v>-197</v>
      </c>
      <c r="BQ806" s="398">
        <v>-233</v>
      </c>
      <c r="BR806" s="351">
        <f>+BP806+BQ806</f>
        <v>-430</v>
      </c>
      <c r="BS806" s="393">
        <f>+BR806/BN806-1</f>
        <v>4.3689320388349495E-2</v>
      </c>
      <c r="BT806" s="398">
        <v>-280</v>
      </c>
      <c r="BU806" s="398">
        <v>-231</v>
      </c>
      <c r="BV806" s="351">
        <f>+BT806+BU806</f>
        <v>-511</v>
      </c>
      <c r="BW806" s="393">
        <f>+BV806/BR806-1</f>
        <v>0.18837209302325575</v>
      </c>
      <c r="BX806" s="509">
        <v>-189</v>
      </c>
      <c r="BY806" s="665">
        <f>BZ806-BX806</f>
        <v>-397</v>
      </c>
      <c r="BZ806" s="399">
        <f>-586</f>
        <v>-586</v>
      </c>
      <c r="CA806" s="393">
        <f>+BZ806/BV806-1</f>
        <v>0.14677103718199613</v>
      </c>
      <c r="CB806" s="398">
        <v>-255</v>
      </c>
      <c r="CC806" s="398">
        <v>-298</v>
      </c>
      <c r="CD806" s="351">
        <f>+CB806+CC806</f>
        <v>-553</v>
      </c>
      <c r="CE806" s="393">
        <f>+CD806/BZ806-1</f>
        <v>-5.6313993174061383E-2</v>
      </c>
      <c r="CF806" s="398">
        <f>-338+65</f>
        <v>-273</v>
      </c>
      <c r="CG806" s="398">
        <f>-383+70</f>
        <v>-313</v>
      </c>
      <c r="CH806" s="351">
        <f>+CF806+CG806</f>
        <v>-586</v>
      </c>
      <c r="CI806" s="393">
        <f>+CH806/CD806-1</f>
        <v>5.9674502712477429E-2</v>
      </c>
      <c r="CJ806" s="398">
        <f>-291-47.5</f>
        <v>-338.5</v>
      </c>
      <c r="CK806" s="398">
        <f>-276-47.5</f>
        <v>-323.5</v>
      </c>
      <c r="CL806" s="351">
        <f>+CJ806+CK806</f>
        <v>-662</v>
      </c>
      <c r="CM806" s="393">
        <f>+CL806/CH806-1</f>
        <v>0.12969283276450505</v>
      </c>
      <c r="CN806" s="398">
        <v>-373</v>
      </c>
      <c r="CO806" s="398">
        <v>-497</v>
      </c>
      <c r="CP806" s="351">
        <f>+CN806+CO806</f>
        <v>-870</v>
      </c>
      <c r="CQ806" s="393">
        <f>+CP806/CL806-1</f>
        <v>0.3141993957703928</v>
      </c>
      <c r="CR806" s="398">
        <v>-488</v>
      </c>
      <c r="CS806" s="398">
        <v>-502</v>
      </c>
      <c r="CT806" s="351">
        <f>+CR806+CS806</f>
        <v>-990</v>
      </c>
      <c r="CU806" s="393">
        <f>+CT806/CP806-1</f>
        <v>0.13793103448275867</v>
      </c>
      <c r="CV806" s="398">
        <v>-553</v>
      </c>
      <c r="CW806" s="398">
        <v>-515</v>
      </c>
      <c r="CX806" s="351">
        <f>+CV806+CW806</f>
        <v>-1068</v>
      </c>
      <c r="CY806" s="393">
        <f>+CX806/CT806-1</f>
        <v>7.8787878787878851E-2</v>
      </c>
      <c r="CZ806" s="398">
        <v>-507</v>
      </c>
      <c r="DA806" s="398">
        <v>-491</v>
      </c>
      <c r="DB806" s="351">
        <f>+CZ806+DA806</f>
        <v>-998</v>
      </c>
      <c r="DC806" s="393">
        <f>+DB806/CX806-1</f>
        <v>-6.5543071161048738E-2</v>
      </c>
      <c r="DD806" s="398">
        <v>-606</v>
      </c>
      <c r="DE806" s="398">
        <v>-572</v>
      </c>
      <c r="DF806" s="351">
        <f>+DD806+DE806</f>
        <v>-1178</v>
      </c>
      <c r="DG806" s="393">
        <f>+DF806/DB806-1</f>
        <v>0.18036072144288573</v>
      </c>
      <c r="DH806" s="398">
        <v>-659</v>
      </c>
      <c r="DI806" s="351">
        <f>+DH806*(1+DI813)</f>
        <v>-665.59</v>
      </c>
      <c r="DJ806" s="351">
        <f>+DH806+DI806</f>
        <v>-1324.5900000000001</v>
      </c>
      <c r="DK806" s="393">
        <f>+DJ806/DF806-1</f>
        <v>0.1244397283531411</v>
      </c>
      <c r="DL806" s="351">
        <f>+DI806*(1+DL813)</f>
        <v>-672.24590000000001</v>
      </c>
      <c r="DM806" s="351">
        <f>+DL806*(1+DM813)</f>
        <v>-678.96835899999996</v>
      </c>
      <c r="DN806" s="351">
        <f>+DL806+DM806</f>
        <v>-1351.2142589999999</v>
      </c>
      <c r="DO806" s="393">
        <f>+DN806/DJ806-1</f>
        <v>2.0099999999999785E-2</v>
      </c>
      <c r="DP806" s="351">
        <f>+DM806*(1+DP813)</f>
        <v>-685.75804258999995</v>
      </c>
      <c r="DQ806" s="351">
        <f>+DP806*(1+DQ813)</f>
        <v>-692.61562301589993</v>
      </c>
      <c r="DR806" s="351">
        <f>+DP806+DQ806</f>
        <v>-1378.3736656059</v>
      </c>
      <c r="DS806" s="393">
        <f>+DR806/DN806-1</f>
        <v>2.0100000000000007E-2</v>
      </c>
      <c r="DT806" s="1"/>
      <c r="DU806" s="1"/>
      <c r="DV806" s="1"/>
      <c r="DW806" s="1"/>
      <c r="DX806" s="1"/>
      <c r="DY806" s="1"/>
      <c r="DZ806" s="1"/>
      <c r="EA806" s="1"/>
      <c r="EB806" s="1"/>
      <c r="EC806" s="1"/>
      <c r="ED806" s="1"/>
      <c r="EE806" s="1"/>
      <c r="EF806" s="1"/>
      <c r="EG806" s="1"/>
      <c r="EH806" s="1"/>
      <c r="EI806" s="1"/>
      <c r="EJ806" s="1"/>
      <c r="EK806" s="1"/>
      <c r="EL806" s="1"/>
      <c r="EM806" s="1"/>
      <c r="EN806" s="1"/>
      <c r="EO806" s="1"/>
      <c r="EP806" s="1"/>
      <c r="EQ806" s="1"/>
      <c r="ER806" s="1"/>
      <c r="ES806" s="1"/>
      <c r="ET806" s="1"/>
      <c r="EU806" s="1"/>
      <c r="EV806" s="1"/>
      <c r="EW806" s="1"/>
      <c r="EX806" s="1"/>
      <c r="EY806" s="1"/>
      <c r="EZ806" s="1"/>
      <c r="FA806" s="1"/>
      <c r="FB806" s="1"/>
      <c r="FC806" s="1"/>
      <c r="FD806" s="1"/>
      <c r="FE806" s="1"/>
      <c r="FF806" s="1"/>
      <c r="FG806" s="1"/>
      <c r="FH806" s="1"/>
      <c r="FI806" s="1"/>
      <c r="FJ806" s="1"/>
      <c r="FK806" s="1"/>
      <c r="FL806" s="1"/>
      <c r="FM806" s="1"/>
      <c r="FN806" s="1"/>
      <c r="FO806" s="1"/>
      <c r="FP806" s="1"/>
      <c r="FQ806" s="1"/>
      <c r="FR806" s="1"/>
      <c r="FS806" s="1"/>
      <c r="FT806" s="1"/>
      <c r="FU806" s="1"/>
      <c r="FV806" s="1"/>
      <c r="FW806" s="1"/>
      <c r="FX806" s="1"/>
      <c r="FY806" s="1"/>
      <c r="FZ806" s="1"/>
      <c r="GA806" s="1"/>
      <c r="GB806" s="1"/>
      <c r="GC806" s="1"/>
      <c r="GD806" s="1"/>
      <c r="GE806" s="1"/>
      <c r="GF806" s="1"/>
      <c r="GG806" s="1"/>
      <c r="GH806" s="1"/>
      <c r="GI806" s="1"/>
      <c r="GJ806" s="1"/>
      <c r="GK806" s="1"/>
      <c r="GL806" s="1"/>
      <c r="GM806" s="1"/>
      <c r="GN806" s="1"/>
      <c r="GO806" s="1"/>
      <c r="GP806" s="1"/>
      <c r="GQ806" s="1"/>
      <c r="GR806" s="1"/>
      <c r="GS806" s="1"/>
      <c r="GT806" s="1"/>
      <c r="GU806" s="1"/>
      <c r="GV806" s="1"/>
      <c r="GW806" s="1"/>
      <c r="GX806" s="1"/>
      <c r="GY806" s="1"/>
      <c r="GZ806" s="1"/>
      <c r="HA806" s="1"/>
      <c r="HB806" s="1"/>
      <c r="HC806" s="1"/>
      <c r="HD806" s="1"/>
      <c r="HE806" s="1"/>
      <c r="HF806" s="1"/>
      <c r="HG806" s="1"/>
      <c r="HH806" s="1"/>
      <c r="HI806" s="1"/>
      <c r="HJ806" s="1"/>
      <c r="HK806" s="1"/>
      <c r="HL806" s="1"/>
      <c r="HM806" s="1"/>
      <c r="HN806" s="1"/>
      <c r="HO806" s="1"/>
      <c r="HP806" s="1"/>
      <c r="HQ806" s="1"/>
      <c r="HR806" s="1"/>
      <c r="HS806" s="1"/>
      <c r="HT806" s="1"/>
      <c r="HU806" s="1"/>
      <c r="HV806" s="1"/>
      <c r="HW806" s="1"/>
      <c r="HX806" s="1"/>
      <c r="HY806" s="1"/>
      <c r="HZ806" s="1"/>
      <c r="IA806" s="1"/>
      <c r="IB806" s="1"/>
      <c r="IC806" s="1"/>
      <c r="ID806" s="1"/>
      <c r="IE806" s="1"/>
      <c r="IF806" s="1"/>
      <c r="IG806" s="1"/>
      <c r="IH806" s="1"/>
      <c r="II806" s="1"/>
      <c r="IJ806" s="1"/>
      <c r="IK806" s="1"/>
      <c r="IL806" s="1"/>
      <c r="IM806" s="1"/>
      <c r="IN806" s="1"/>
      <c r="IO806" s="1"/>
      <c r="IP806" s="1"/>
      <c r="IQ806" s="1"/>
      <c r="IR806" s="1"/>
      <c r="IS806" s="1"/>
      <c r="IT806" s="1"/>
      <c r="IU806" s="1"/>
      <c r="IV806" s="1"/>
      <c r="IW806" s="1"/>
      <c r="IX806" s="1"/>
      <c r="IY806" s="1"/>
      <c r="IZ806" s="1"/>
      <c r="JA806" s="1"/>
      <c r="JB806" s="1"/>
      <c r="JC806" s="1"/>
      <c r="JD806" s="1"/>
    </row>
    <row r="807" spans="1:264" s="347" customFormat="1" x14ac:dyDescent="0.2">
      <c r="A807" s="347" t="s">
        <v>574</v>
      </c>
      <c r="B807" s="348"/>
      <c r="BH807" s="351">
        <f>+BH810-BH805-BH806-BH809</f>
        <v>-304</v>
      </c>
      <c r="BI807" s="351">
        <f>+BI810-BI805-BI806-BI809</f>
        <v>-311</v>
      </c>
      <c r="BJ807" s="351">
        <f>+BH807+BI807</f>
        <v>-615</v>
      </c>
      <c r="BK807" s="348"/>
      <c r="BL807" s="351">
        <f>+BL810-BL805-BL806-BL809</f>
        <v>-294</v>
      </c>
      <c r="BM807" s="351">
        <f>+BM810-BM805-BM806-BM809</f>
        <v>-276</v>
      </c>
      <c r="BN807" s="351">
        <f>+BL807+BM807</f>
        <v>-570</v>
      </c>
      <c r="BO807" s="393">
        <f>+BN807/BJ807-1</f>
        <v>-7.3170731707317027E-2</v>
      </c>
      <c r="BP807" s="351">
        <f>+BP810-BP805-BP806-BP809</f>
        <v>-278</v>
      </c>
      <c r="BQ807" s="351">
        <f>+BQ810-BQ805-BQ806-BQ809</f>
        <v>-265</v>
      </c>
      <c r="BR807" s="351">
        <f>+BP807+BQ807</f>
        <v>-543</v>
      </c>
      <c r="BS807" s="393">
        <f>+BR807/BN807-1</f>
        <v>-4.7368421052631615E-2</v>
      </c>
      <c r="BT807" s="351">
        <f>+BT810-BT805-BT806-BT809-BT808</f>
        <v>-294</v>
      </c>
      <c r="BU807" s="351">
        <f>+BU810-BU805-BU806-BU809-BU808</f>
        <v>-300</v>
      </c>
      <c r="BV807" s="351">
        <f>+BT807+BU807</f>
        <v>-594</v>
      </c>
      <c r="BW807" s="393">
        <f>+BV807/BR807-1</f>
        <v>9.3922651933701751E-2</v>
      </c>
      <c r="BX807" s="351">
        <f>+BX810-BX805-BX806-BX809-BX808</f>
        <v>-308</v>
      </c>
      <c r="BY807" s="351">
        <f>+BY810-BY805-BY806-BY809-BY808</f>
        <v>-309</v>
      </c>
      <c r="BZ807" s="351">
        <f>+BX807+BY807</f>
        <v>-617</v>
      </c>
      <c r="CA807" s="393">
        <f>+BZ807/BV807-1</f>
        <v>3.8720538720538711E-2</v>
      </c>
      <c r="CB807" s="351">
        <f>+CB810-CB805-CB806-CB809-CB808</f>
        <v>-300</v>
      </c>
      <c r="CC807" s="351">
        <f>+CC810-CC805-CC806-CC809-CC808</f>
        <v>-312</v>
      </c>
      <c r="CD807" s="351">
        <f>+CB807+CC807</f>
        <v>-612</v>
      </c>
      <c r="CE807" s="393">
        <f>+CD807/BZ807-1</f>
        <v>-8.1037277147487652E-3</v>
      </c>
      <c r="CF807" s="351">
        <f>+CF810-CF805-CF806-CF809-CF808</f>
        <v>-127</v>
      </c>
      <c r="CG807" s="351">
        <f>+CG810-CG805-CG806-CG809-CG808</f>
        <v>-168</v>
      </c>
      <c r="CH807" s="351">
        <f>+CF807+CG807</f>
        <v>-295</v>
      </c>
      <c r="CI807" s="393">
        <f>+CH807/CD807-1</f>
        <v>-0.51797385620915026</v>
      </c>
      <c r="CJ807" s="351">
        <f>+CJ810-CJ805-CJ806-CJ809-CJ808</f>
        <v>-75.5</v>
      </c>
      <c r="CK807" s="351">
        <f>+CK810-CK805-CK806-CK809-CK808</f>
        <v>-130.5</v>
      </c>
      <c r="CL807" s="351">
        <f>+CJ807+CK807</f>
        <v>-206</v>
      </c>
      <c r="CM807" s="393">
        <f>+CL807/CH807-1</f>
        <v>-0.30169491525423731</v>
      </c>
      <c r="CN807" s="351">
        <f>+CN810-CN805-CN806-CN809-CN808</f>
        <v>-316</v>
      </c>
      <c r="CO807" s="351">
        <f>+CO810-CO805-CO806-CO809-CO808</f>
        <v>-321</v>
      </c>
      <c r="CP807" s="351">
        <f>+CN807+CO807</f>
        <v>-637</v>
      </c>
      <c r="CQ807" s="393">
        <f>+CP807/CL807-1</f>
        <v>2.092233009708738</v>
      </c>
      <c r="CR807" s="351">
        <f>+CR810-CR805-CR806-CR809-CR808</f>
        <v>-312</v>
      </c>
      <c r="CS807" s="351">
        <f>+CS810-CS805-CS806-CS809-CS808</f>
        <v>-349</v>
      </c>
      <c r="CT807" s="351">
        <f>+CR807+CS807</f>
        <v>-661</v>
      </c>
      <c r="CU807" s="393">
        <f>+CT807/CP807-1</f>
        <v>3.7676609105180559E-2</v>
      </c>
      <c r="CV807" s="351">
        <f>+CV810-CV805-CV806-CV809-CV808</f>
        <v>-290</v>
      </c>
      <c r="CW807" s="351">
        <f>+CW810-CW805-CW806-CW809-CW808</f>
        <v>-283</v>
      </c>
      <c r="CX807" s="351">
        <f>+CV807+CW807</f>
        <v>-573</v>
      </c>
      <c r="CY807" s="393">
        <f>+CX807/CT807-1</f>
        <v>-0.13313161875945534</v>
      </c>
      <c r="CZ807" s="351">
        <f>+CZ810-CZ805-CZ806-CZ809-CZ808</f>
        <v>-285</v>
      </c>
      <c r="DA807" s="351">
        <f>+DA810-DA805-DA806-DA809-DA808</f>
        <v>-257</v>
      </c>
      <c r="DB807" s="351">
        <f>+CZ807+DA807</f>
        <v>-542</v>
      </c>
      <c r="DC807" s="393">
        <f>+DB807/CX807-1</f>
        <v>-5.4101221640488695E-2</v>
      </c>
      <c r="DD807" s="351">
        <f>+DD810-DD805-DD806-DD809-DD808</f>
        <v>-252</v>
      </c>
      <c r="DE807" s="351">
        <f>+DE810-DE805-DE806-DE809-DE808</f>
        <v>-276</v>
      </c>
      <c r="DF807" s="351">
        <f>+DD807+DE807</f>
        <v>-528</v>
      </c>
      <c r="DG807" s="393">
        <f>+DF807/DB807-1</f>
        <v>-2.5830258302583009E-2</v>
      </c>
      <c r="DH807" s="351">
        <f>+DH810-DH805-DH806-DH809-DH808</f>
        <v>-304</v>
      </c>
      <c r="DI807" s="351">
        <f>+DH807*(1+DI814)</f>
        <v>-258.39999999999998</v>
      </c>
      <c r="DJ807" s="351">
        <f>+DH807+DI807</f>
        <v>-562.4</v>
      </c>
      <c r="DK807" s="393">
        <f>+DJ807/DF807-1</f>
        <v>6.5151515151515182E-2</v>
      </c>
      <c r="DL807" s="351">
        <f>+DI807*(1+DL814)</f>
        <v>-253.23199999999997</v>
      </c>
      <c r="DM807" s="351">
        <f>+DL807*(1+DM814)</f>
        <v>-248.16735999999997</v>
      </c>
      <c r="DN807" s="351">
        <f>+DL807+DM807</f>
        <v>-501.39935999999994</v>
      </c>
      <c r="DO807" s="393">
        <f>+DN807/DJ807-1</f>
        <v>-0.10846486486486495</v>
      </c>
      <c r="DP807" s="351">
        <f>+DM807*(1+DP814)</f>
        <v>-243.20401279999996</v>
      </c>
      <c r="DQ807" s="351">
        <f>+DP807*(1+DQ814)</f>
        <v>-238.33993254399996</v>
      </c>
      <c r="DR807" s="351">
        <f>+DP807+DQ807</f>
        <v>-481.54394534399989</v>
      </c>
      <c r="DS807" s="393">
        <f>+DR807/DN807-1</f>
        <v>-3.960000000000008E-2</v>
      </c>
      <c r="DT807" s="1"/>
      <c r="DU807" s="1"/>
      <c r="DV807" s="1"/>
      <c r="DW807" s="1"/>
      <c r="DX807" s="1"/>
      <c r="DY807" s="1"/>
      <c r="DZ807" s="1"/>
      <c r="EA807" s="1"/>
      <c r="EB807" s="1"/>
      <c r="EC807" s="1"/>
      <c r="ED807" s="1"/>
      <c r="EE807" s="1"/>
      <c r="EF807" s="1"/>
      <c r="EG807" s="1"/>
      <c r="EH807" s="1"/>
      <c r="EI807" s="1"/>
      <c r="EJ807" s="1"/>
      <c r="EK807" s="1"/>
      <c r="EL807" s="1"/>
      <c r="EM807" s="1"/>
      <c r="EN807" s="1"/>
      <c r="EO807" s="1"/>
      <c r="EP807" s="1"/>
      <c r="EQ807" s="1"/>
      <c r="ER807" s="1"/>
      <c r="ES807" s="1"/>
      <c r="ET807" s="1"/>
      <c r="EU807" s="1"/>
      <c r="EV807" s="1"/>
      <c r="EW807" s="1"/>
      <c r="EX807" s="1"/>
      <c r="EY807" s="1"/>
      <c r="EZ807" s="1"/>
      <c r="FA807" s="1"/>
      <c r="FB807" s="1"/>
      <c r="FC807" s="1"/>
      <c r="FD807" s="1"/>
      <c r="FE807" s="1"/>
      <c r="FF807" s="1"/>
      <c r="FG807" s="1"/>
      <c r="FH807" s="1"/>
      <c r="FI807" s="1"/>
      <c r="FJ807" s="1"/>
      <c r="FK807" s="1"/>
      <c r="FL807" s="1"/>
      <c r="FM807" s="1"/>
      <c r="FN807" s="1"/>
      <c r="FO807" s="1"/>
      <c r="FP807" s="1"/>
      <c r="FQ807" s="1"/>
      <c r="FR807" s="1"/>
      <c r="FS807" s="1"/>
      <c r="FT807" s="1"/>
      <c r="FU807" s="1"/>
      <c r="FV807" s="1"/>
      <c r="FW807" s="1"/>
      <c r="FX807" s="1"/>
      <c r="FY807" s="1"/>
      <c r="FZ807" s="1"/>
      <c r="GA807" s="1"/>
      <c r="GB807" s="1"/>
      <c r="GC807" s="1"/>
      <c r="GD807" s="1"/>
      <c r="GE807" s="1"/>
      <c r="GF807" s="1"/>
      <c r="GG807" s="1"/>
      <c r="GH807" s="1"/>
      <c r="GI807" s="1"/>
      <c r="GJ807" s="1"/>
      <c r="GK807" s="1"/>
      <c r="GL807" s="1"/>
      <c r="GM807" s="1"/>
      <c r="GN807" s="1"/>
      <c r="GO807" s="1"/>
      <c r="GP807" s="1"/>
      <c r="GQ807" s="1"/>
      <c r="GR807" s="1"/>
      <c r="GS807" s="1"/>
      <c r="GT807" s="1"/>
      <c r="GU807" s="1"/>
      <c r="GV807" s="1"/>
      <c r="GW807" s="1"/>
      <c r="GX807" s="1"/>
      <c r="GY807" s="1"/>
      <c r="GZ807" s="1"/>
      <c r="HA807" s="1"/>
      <c r="HB807" s="1"/>
      <c r="HC807" s="1"/>
      <c r="HD807" s="1"/>
      <c r="HE807" s="1"/>
      <c r="HF807" s="1"/>
      <c r="HG807" s="1"/>
      <c r="HH807" s="1"/>
      <c r="HI807" s="1"/>
      <c r="HJ807" s="1"/>
      <c r="HK807" s="1"/>
      <c r="HL807" s="1"/>
      <c r="HM807" s="1"/>
      <c r="HN807" s="1"/>
      <c r="HO807" s="1"/>
      <c r="HP807" s="1"/>
      <c r="HQ807" s="1"/>
      <c r="HR807" s="1"/>
      <c r="HS807" s="1"/>
      <c r="HT807" s="1"/>
      <c r="HU807" s="1"/>
      <c r="HV807" s="1"/>
      <c r="HW807" s="1"/>
      <c r="HX807" s="1"/>
      <c r="HY807" s="1"/>
      <c r="HZ807" s="1"/>
      <c r="IA807" s="1"/>
      <c r="IB807" s="1"/>
      <c r="IC807" s="1"/>
      <c r="ID807" s="1"/>
      <c r="IE807" s="1"/>
      <c r="IF807" s="1"/>
      <c r="IG807" s="1"/>
      <c r="IH807" s="1"/>
      <c r="II807" s="1"/>
      <c r="IJ807" s="1"/>
      <c r="IK807" s="1"/>
      <c r="IL807" s="1"/>
      <c r="IM807" s="1"/>
      <c r="IN807" s="1"/>
      <c r="IO807" s="1"/>
      <c r="IP807" s="1"/>
      <c r="IQ807" s="1"/>
      <c r="IR807" s="1"/>
      <c r="IS807" s="1"/>
      <c r="IT807" s="1"/>
      <c r="IU807" s="1"/>
      <c r="IV807" s="1"/>
      <c r="IW807" s="1"/>
      <c r="IX807" s="1"/>
      <c r="IY807" s="1"/>
      <c r="IZ807" s="1"/>
      <c r="JA807" s="1"/>
      <c r="JB807" s="1"/>
      <c r="JC807" s="1"/>
      <c r="JD807" s="1"/>
    </row>
    <row r="808" spans="1:264" s="347" customFormat="1" x14ac:dyDescent="0.2">
      <c r="A808" s="447" t="s">
        <v>575</v>
      </c>
      <c r="B808" s="446"/>
      <c r="C808" s="447"/>
      <c r="D808" s="447"/>
      <c r="E808" s="447"/>
      <c r="F808" s="447"/>
      <c r="G808" s="447"/>
      <c r="H808" s="447"/>
      <c r="I808" s="447"/>
      <c r="J808" s="447"/>
      <c r="K808" s="447"/>
      <c r="L808" s="447"/>
      <c r="M808" s="447"/>
      <c r="N808" s="447"/>
      <c r="O808" s="447"/>
      <c r="P808" s="447"/>
      <c r="Q808" s="447"/>
      <c r="R808" s="447"/>
      <c r="S808" s="447"/>
      <c r="T808" s="447"/>
      <c r="U808" s="447"/>
      <c r="V808" s="447"/>
      <c r="W808" s="447"/>
      <c r="X808" s="447"/>
      <c r="Y808" s="447"/>
      <c r="Z808" s="447"/>
      <c r="AA808" s="447"/>
      <c r="AB808" s="447"/>
      <c r="AC808" s="447"/>
      <c r="AD808" s="447"/>
      <c r="AE808" s="447"/>
      <c r="AF808" s="447"/>
      <c r="AG808" s="447"/>
      <c r="AH808" s="447"/>
      <c r="AI808" s="447"/>
      <c r="AJ808" s="447"/>
      <c r="AK808" s="447"/>
      <c r="AL808" s="447"/>
      <c r="AM808" s="447"/>
      <c r="AN808" s="447"/>
      <c r="AO808" s="447"/>
      <c r="AP808" s="447"/>
      <c r="AQ808" s="447"/>
      <c r="AR808" s="447"/>
      <c r="AS808" s="447"/>
      <c r="AT808" s="447"/>
      <c r="AU808" s="447"/>
      <c r="AV808" s="447"/>
      <c r="AW808" s="447"/>
      <c r="AX808" s="447"/>
      <c r="AY808" s="447"/>
      <c r="AZ808" s="447"/>
      <c r="BA808" s="447"/>
      <c r="BB808" s="447"/>
      <c r="BC808" s="447"/>
      <c r="BD808" s="447"/>
      <c r="BE808" s="447"/>
      <c r="BF808" s="447"/>
      <c r="BG808" s="447"/>
      <c r="BH808" s="449"/>
      <c r="BI808" s="449"/>
      <c r="BJ808" s="449"/>
      <c r="BK808" s="446"/>
      <c r="BL808" s="449"/>
      <c r="BM808" s="449"/>
      <c r="BN808" s="449"/>
      <c r="BO808" s="478"/>
      <c r="BP808" s="449"/>
      <c r="BQ808" s="449"/>
      <c r="BR808" s="449"/>
      <c r="BS808" s="478"/>
      <c r="BT808" s="448">
        <v>0</v>
      </c>
      <c r="BU808" s="448">
        <v>0</v>
      </c>
      <c r="BV808" s="449">
        <f>+BT808+BU808</f>
        <v>0</v>
      </c>
      <c r="BW808" s="478"/>
      <c r="BX808" s="448">
        <v>0</v>
      </c>
      <c r="BY808" s="448">
        <v>0</v>
      </c>
      <c r="BZ808" s="449">
        <f>+BX808+BY808</f>
        <v>0</v>
      </c>
      <c r="CA808" s="478"/>
      <c r="CB808" s="448">
        <v>0</v>
      </c>
      <c r="CC808" s="448">
        <v>0</v>
      </c>
      <c r="CD808" s="449">
        <f>+CB808+CC808</f>
        <v>0</v>
      </c>
      <c r="CE808" s="478"/>
      <c r="CF808" s="448">
        <v>0</v>
      </c>
      <c r="CG808" s="448">
        <v>0</v>
      </c>
      <c r="CH808" s="449">
        <f>+CF808+CG808</f>
        <v>0</v>
      </c>
      <c r="CI808" s="478"/>
      <c r="CJ808" s="448">
        <v>-220</v>
      </c>
      <c r="CK808" s="448">
        <v>0</v>
      </c>
      <c r="CL808" s="449">
        <f>+CJ808+CK808</f>
        <v>-220</v>
      </c>
      <c r="CM808" s="478"/>
      <c r="CN808" s="667">
        <v>0</v>
      </c>
      <c r="CO808" s="448">
        <v>0</v>
      </c>
      <c r="CP808" s="449">
        <f>+CN808+CO808</f>
        <v>0</v>
      </c>
      <c r="CQ808" s="478"/>
      <c r="CR808" s="667">
        <v>0</v>
      </c>
      <c r="CS808" s="448">
        <v>-389</v>
      </c>
      <c r="CT808" s="449">
        <f>+CR808+CS808</f>
        <v>-389</v>
      </c>
      <c r="CU808" s="478"/>
      <c r="CV808" s="667">
        <v>0</v>
      </c>
      <c r="CW808" s="448">
        <v>0</v>
      </c>
      <c r="CX808" s="449">
        <f>+CV808+CW808</f>
        <v>0</v>
      </c>
      <c r="CY808" s="478"/>
      <c r="CZ808" s="667">
        <v>0</v>
      </c>
      <c r="DA808" s="448">
        <v>0</v>
      </c>
      <c r="DB808" s="449">
        <f>+CZ808+DA808</f>
        <v>0</v>
      </c>
      <c r="DC808" s="478"/>
      <c r="DD808" s="667">
        <v>0</v>
      </c>
      <c r="DE808" s="448">
        <v>0</v>
      </c>
      <c r="DF808" s="449">
        <f>+DD808+DE808</f>
        <v>0</v>
      </c>
      <c r="DG808" s="478"/>
      <c r="DH808" s="667">
        <v>0</v>
      </c>
      <c r="DI808" s="606">
        <v>0</v>
      </c>
      <c r="DJ808" s="449">
        <f>+DH808+DI808</f>
        <v>0</v>
      </c>
      <c r="DK808" s="478"/>
      <c r="DL808" s="606">
        <v>0</v>
      </c>
      <c r="DM808" s="606">
        <v>0</v>
      </c>
      <c r="DN808" s="449">
        <f>+DL808+DM808</f>
        <v>0</v>
      </c>
      <c r="DO808" s="478"/>
      <c r="DP808" s="606">
        <v>0</v>
      </c>
      <c r="DQ808" s="606">
        <v>0</v>
      </c>
      <c r="DR808" s="449">
        <f>+DP808+DQ808</f>
        <v>0</v>
      </c>
      <c r="DS808" s="478"/>
      <c r="DT808" s="1"/>
      <c r="DU808" s="1"/>
      <c r="DV808" s="1"/>
      <c r="DW808" s="1"/>
      <c r="DX808" s="1"/>
      <c r="DY808" s="1"/>
      <c r="DZ808" s="1"/>
      <c r="EA808" s="1"/>
      <c r="EB808" s="1"/>
      <c r="EC808" s="1"/>
      <c r="ED808" s="1"/>
      <c r="EE808" s="1"/>
      <c r="EF808" s="1"/>
      <c r="EG808" s="1"/>
      <c r="EH808" s="1"/>
      <c r="EI808" s="1"/>
      <c r="EJ808" s="1"/>
      <c r="EK808" s="1"/>
      <c r="EL808" s="1"/>
      <c r="EM808" s="1"/>
      <c r="EN808" s="1"/>
      <c r="EO808" s="1"/>
      <c r="EP808" s="1"/>
      <c r="EQ808" s="1"/>
      <c r="ER808" s="1"/>
      <c r="ES808" s="1"/>
      <c r="ET808" s="1"/>
      <c r="EU808" s="1"/>
      <c r="EV808" s="1"/>
      <c r="EW808" s="1"/>
      <c r="EX808" s="1"/>
      <c r="EY808" s="1"/>
      <c r="EZ808" s="1"/>
      <c r="FA808" s="1"/>
      <c r="FB808" s="1"/>
      <c r="FC808" s="1"/>
      <c r="FD808" s="1"/>
      <c r="FE808" s="1"/>
      <c r="FF808" s="1"/>
      <c r="FG808" s="1"/>
      <c r="FH808" s="1"/>
      <c r="FI808" s="1"/>
      <c r="FJ808" s="1"/>
      <c r="FK808" s="1"/>
      <c r="FL808" s="1"/>
      <c r="FM808" s="1"/>
      <c r="FN808" s="1"/>
      <c r="FO808" s="1"/>
      <c r="FP808" s="1"/>
      <c r="FQ808" s="1"/>
      <c r="FR808" s="1"/>
      <c r="FS808" s="1"/>
      <c r="FT808" s="1"/>
      <c r="FU808" s="1"/>
      <c r="FV808" s="1"/>
      <c r="FW808" s="1"/>
      <c r="FX808" s="1"/>
      <c r="FY808" s="1"/>
      <c r="FZ808" s="1"/>
      <c r="GA808" s="1"/>
      <c r="GB808" s="1"/>
      <c r="GC808" s="1"/>
      <c r="GD808" s="1"/>
      <c r="GE808" s="1"/>
      <c r="GF808" s="1"/>
      <c r="GG808" s="1"/>
      <c r="GH808" s="1"/>
      <c r="GI808" s="1"/>
      <c r="GJ808" s="1"/>
      <c r="GK808" s="1"/>
      <c r="GL808" s="1"/>
      <c r="GM808" s="1"/>
      <c r="GN808" s="1"/>
      <c r="GO808" s="1"/>
      <c r="GP808" s="1"/>
      <c r="GQ808" s="1"/>
      <c r="GR808" s="1"/>
      <c r="GS808" s="1"/>
      <c r="GT808" s="1"/>
      <c r="GU808" s="1"/>
      <c r="GV808" s="1"/>
      <c r="GW808" s="1"/>
      <c r="GX808" s="1"/>
      <c r="GY808" s="1"/>
      <c r="GZ808" s="1"/>
      <c r="HA808" s="1"/>
      <c r="HB808" s="1"/>
      <c r="HC808" s="1"/>
      <c r="HD808" s="1"/>
      <c r="HE808" s="1"/>
      <c r="HF808" s="1"/>
      <c r="HG808" s="1"/>
      <c r="HH808" s="1"/>
      <c r="HI808" s="1"/>
      <c r="HJ808" s="1"/>
      <c r="HK808" s="1"/>
      <c r="HL808" s="1"/>
      <c r="HM808" s="1"/>
      <c r="HN808" s="1"/>
      <c r="HO808" s="1"/>
      <c r="HP808" s="1"/>
      <c r="HQ808" s="1"/>
      <c r="HR808" s="1"/>
      <c r="HS808" s="1"/>
      <c r="HT808" s="1"/>
      <c r="HU808" s="1"/>
      <c r="HV808" s="1"/>
      <c r="HW808" s="1"/>
      <c r="HX808" s="1"/>
      <c r="HY808" s="1"/>
      <c r="HZ808" s="1"/>
      <c r="IA808" s="1"/>
      <c r="IB808" s="1"/>
      <c r="IC808" s="1"/>
      <c r="ID808" s="1"/>
      <c r="IE808" s="1"/>
      <c r="IF808" s="1"/>
      <c r="IG808" s="1"/>
      <c r="IH808" s="1"/>
      <c r="II808" s="1"/>
      <c r="IJ808" s="1"/>
      <c r="IK808" s="1"/>
      <c r="IL808" s="1"/>
      <c r="IM808" s="1"/>
      <c r="IN808" s="1"/>
      <c r="IO808" s="1"/>
      <c r="IP808" s="1"/>
      <c r="IQ808" s="1"/>
      <c r="IR808" s="1"/>
      <c r="IS808" s="1"/>
      <c r="IT808" s="1"/>
      <c r="IU808" s="1"/>
      <c r="IV808" s="1"/>
      <c r="IW808" s="1"/>
      <c r="IX808" s="1"/>
      <c r="IY808" s="1"/>
      <c r="IZ808" s="1"/>
      <c r="JA808" s="1"/>
      <c r="JB808" s="1"/>
      <c r="JC808" s="1"/>
      <c r="JD808" s="1"/>
    </row>
    <row r="809" spans="1:264" s="347" customFormat="1" x14ac:dyDescent="0.2">
      <c r="A809" s="447" t="s">
        <v>560</v>
      </c>
      <c r="B809" s="446"/>
      <c r="C809" s="447"/>
      <c r="D809" s="447"/>
      <c r="E809" s="447"/>
      <c r="F809" s="447"/>
      <c r="G809" s="447"/>
      <c r="H809" s="447"/>
      <c r="I809" s="447"/>
      <c r="J809" s="447"/>
      <c r="K809" s="447"/>
      <c r="L809" s="447"/>
      <c r="M809" s="447"/>
      <c r="N809" s="447"/>
      <c r="O809" s="447"/>
      <c r="P809" s="447"/>
      <c r="Q809" s="447"/>
      <c r="R809" s="447"/>
      <c r="S809" s="447"/>
      <c r="T809" s="447"/>
      <c r="U809" s="447"/>
      <c r="V809" s="447"/>
      <c r="W809" s="447"/>
      <c r="X809" s="447"/>
      <c r="Y809" s="447"/>
      <c r="Z809" s="447"/>
      <c r="AA809" s="447"/>
      <c r="AB809" s="447"/>
      <c r="AC809" s="447"/>
      <c r="AD809" s="447"/>
      <c r="AE809" s="447"/>
      <c r="AF809" s="447"/>
      <c r="AG809" s="447"/>
      <c r="AH809" s="447"/>
      <c r="AI809" s="447"/>
      <c r="AJ809" s="447"/>
      <c r="AK809" s="447"/>
      <c r="AL809" s="447"/>
      <c r="AM809" s="447"/>
      <c r="AN809" s="447"/>
      <c r="AO809" s="447"/>
      <c r="AP809" s="447"/>
      <c r="AQ809" s="447"/>
      <c r="AR809" s="447"/>
      <c r="AS809" s="447"/>
      <c r="AT809" s="447"/>
      <c r="AU809" s="447"/>
      <c r="AV809" s="447"/>
      <c r="AW809" s="447"/>
      <c r="AX809" s="447"/>
      <c r="AY809" s="447"/>
      <c r="AZ809" s="447"/>
      <c r="BA809" s="447"/>
      <c r="BB809" s="447"/>
      <c r="BC809" s="447"/>
      <c r="BD809" s="447"/>
      <c r="BE809" s="447"/>
      <c r="BF809" s="447"/>
      <c r="BG809" s="447"/>
      <c r="BH809" s="449">
        <v>0</v>
      </c>
      <c r="BI809" s="449">
        <v>0</v>
      </c>
      <c r="BJ809" s="449">
        <f>+BH809+BI809</f>
        <v>0</v>
      </c>
      <c r="BK809" s="446"/>
      <c r="BL809" s="449">
        <v>-68</v>
      </c>
      <c r="BM809" s="449">
        <v>-2</v>
      </c>
      <c r="BN809" s="449">
        <f>+BL809+BM809</f>
        <v>-70</v>
      </c>
      <c r="BO809" s="478"/>
      <c r="BP809" s="449">
        <v>-10</v>
      </c>
      <c r="BQ809" s="449">
        <v>-1</v>
      </c>
      <c r="BR809" s="449">
        <f>+BP809+BQ809</f>
        <v>-11</v>
      </c>
      <c r="BS809" s="478"/>
      <c r="BT809" s="448">
        <v>-1</v>
      </c>
      <c r="BU809" s="448">
        <v>0</v>
      </c>
      <c r="BV809" s="449">
        <f>+BT809+BU809</f>
        <v>-1</v>
      </c>
      <c r="BW809" s="478"/>
      <c r="BX809" s="448">
        <v>0</v>
      </c>
      <c r="BY809" s="448">
        <v>-6</v>
      </c>
      <c r="BZ809" s="449">
        <f>+BX809+BY809</f>
        <v>-6</v>
      </c>
      <c r="CA809" s="478"/>
      <c r="CB809" s="448">
        <v>-10</v>
      </c>
      <c r="CC809" s="448">
        <v>-61</v>
      </c>
      <c r="CD809" s="449">
        <f>+CB809+CC809</f>
        <v>-71</v>
      </c>
      <c r="CE809" s="478"/>
      <c r="CF809" s="448">
        <v>0</v>
      </c>
      <c r="CG809" s="448">
        <v>-13</v>
      </c>
      <c r="CH809" s="449">
        <f>+CF809+CG809</f>
        <v>-13</v>
      </c>
      <c r="CI809" s="478"/>
      <c r="CJ809" s="448">
        <v>-11</v>
      </c>
      <c r="CK809" s="448">
        <v>-3</v>
      </c>
      <c r="CL809" s="449">
        <f>+CJ809+CK809</f>
        <v>-14</v>
      </c>
      <c r="CM809" s="478"/>
      <c r="CN809" s="667">
        <v>0</v>
      </c>
      <c r="CO809" s="448">
        <v>-9</v>
      </c>
      <c r="CP809" s="449">
        <f>+CN809+CO809</f>
        <v>-9</v>
      </c>
      <c r="CQ809" s="478"/>
      <c r="CR809" s="667">
        <v>0</v>
      </c>
      <c r="CS809" s="448">
        <v>0</v>
      </c>
      <c r="CT809" s="449">
        <f>+CR809+CS809</f>
        <v>0</v>
      </c>
      <c r="CU809" s="478"/>
      <c r="CV809" s="667">
        <v>0</v>
      </c>
      <c r="CW809" s="448">
        <v>0</v>
      </c>
      <c r="CX809" s="449">
        <f>+CV809+CW809</f>
        <v>0</v>
      </c>
      <c r="CY809" s="478"/>
      <c r="CZ809" s="667">
        <v>0</v>
      </c>
      <c r="DA809" s="448">
        <v>0</v>
      </c>
      <c r="DB809" s="449">
        <f>+CZ809+DA809</f>
        <v>0</v>
      </c>
      <c r="DC809" s="478"/>
      <c r="DD809" s="667">
        <v>0</v>
      </c>
      <c r="DE809" s="448">
        <v>0</v>
      </c>
      <c r="DF809" s="449">
        <f>+DD809+DE809</f>
        <v>0</v>
      </c>
      <c r="DG809" s="478"/>
      <c r="DH809" s="667">
        <v>0</v>
      </c>
      <c r="DI809" s="606">
        <v>0</v>
      </c>
      <c r="DJ809" s="449">
        <f>+DH809+DI809</f>
        <v>0</v>
      </c>
      <c r="DK809" s="478"/>
      <c r="DL809" s="606">
        <v>0</v>
      </c>
      <c r="DM809" s="606">
        <v>0</v>
      </c>
      <c r="DN809" s="449">
        <f>+DL809+DM809</f>
        <v>0</v>
      </c>
      <c r="DO809" s="478"/>
      <c r="DP809" s="606">
        <v>0</v>
      </c>
      <c r="DQ809" s="606">
        <v>0</v>
      </c>
      <c r="DR809" s="449">
        <f>+DP809+DQ809</f>
        <v>0</v>
      </c>
      <c r="DS809" s="478"/>
      <c r="DT809" s="1"/>
      <c r="DU809" s="1"/>
      <c r="DV809" s="1"/>
      <c r="DW809" s="1"/>
      <c r="DX809" s="1"/>
      <c r="DY809" s="1"/>
      <c r="DZ809" s="1"/>
      <c r="EA809" s="1"/>
      <c r="EB809" s="1"/>
      <c r="EC809" s="1"/>
      <c r="ED809" s="1"/>
      <c r="EE809" s="1"/>
      <c r="EF809" s="1"/>
      <c r="EG809" s="1"/>
      <c r="EH809" s="1"/>
      <c r="EI809" s="1"/>
      <c r="EJ809" s="1"/>
      <c r="EK809" s="1"/>
      <c r="EL809" s="1"/>
      <c r="EM809" s="1"/>
      <c r="EN809" s="1"/>
      <c r="EO809" s="1"/>
      <c r="EP809" s="1"/>
      <c r="EQ809" s="1"/>
      <c r="ER809" s="1"/>
      <c r="ES809" s="1"/>
      <c r="ET809" s="1"/>
      <c r="EU809" s="1"/>
      <c r="EV809" s="1"/>
      <c r="EW809" s="1"/>
      <c r="EX809" s="1"/>
      <c r="EY809" s="1"/>
      <c r="EZ809" s="1"/>
      <c r="FA809" s="1"/>
      <c r="FB809" s="1"/>
      <c r="FC809" s="1"/>
      <c r="FD809" s="1"/>
      <c r="FE809" s="1"/>
      <c r="FF809" s="1"/>
      <c r="FG809" s="1"/>
      <c r="FH809" s="1"/>
      <c r="FI809" s="1"/>
      <c r="FJ809" s="1"/>
      <c r="FK809" s="1"/>
      <c r="FL809" s="1"/>
      <c r="FM809" s="1"/>
      <c r="FN809" s="1"/>
      <c r="FO809" s="1"/>
      <c r="FP809" s="1"/>
      <c r="FQ809" s="1"/>
      <c r="FR809" s="1"/>
      <c r="FS809" s="1"/>
      <c r="FT809" s="1"/>
      <c r="FU809" s="1"/>
      <c r="FV809" s="1"/>
      <c r="FW809" s="1"/>
      <c r="FX809" s="1"/>
      <c r="FY809" s="1"/>
      <c r="FZ809" s="1"/>
      <c r="GA809" s="1"/>
      <c r="GB809" s="1"/>
      <c r="GC809" s="1"/>
      <c r="GD809" s="1"/>
      <c r="GE809" s="1"/>
      <c r="GF809" s="1"/>
      <c r="GG809" s="1"/>
      <c r="GH809" s="1"/>
      <c r="GI809" s="1"/>
      <c r="GJ809" s="1"/>
      <c r="GK809" s="1"/>
      <c r="GL809" s="1"/>
      <c r="GM809" s="1"/>
      <c r="GN809" s="1"/>
      <c r="GO809" s="1"/>
      <c r="GP809" s="1"/>
      <c r="GQ809" s="1"/>
      <c r="GR809" s="1"/>
      <c r="GS809" s="1"/>
      <c r="GT809" s="1"/>
      <c r="GU809" s="1"/>
      <c r="GV809" s="1"/>
      <c r="GW809" s="1"/>
      <c r="GX809" s="1"/>
      <c r="GY809" s="1"/>
      <c r="GZ809" s="1"/>
      <c r="HA809" s="1"/>
      <c r="HB809" s="1"/>
      <c r="HC809" s="1"/>
      <c r="HD809" s="1"/>
      <c r="HE809" s="1"/>
      <c r="HF809" s="1"/>
      <c r="HG809" s="1"/>
      <c r="HH809" s="1"/>
      <c r="HI809" s="1"/>
      <c r="HJ809" s="1"/>
      <c r="HK809" s="1"/>
      <c r="HL809" s="1"/>
      <c r="HM809" s="1"/>
      <c r="HN809" s="1"/>
      <c r="HO809" s="1"/>
      <c r="HP809" s="1"/>
      <c r="HQ809" s="1"/>
      <c r="HR809" s="1"/>
      <c r="HS809" s="1"/>
      <c r="HT809" s="1"/>
      <c r="HU809" s="1"/>
      <c r="HV809" s="1"/>
      <c r="HW809" s="1"/>
      <c r="HX809" s="1"/>
      <c r="HY809" s="1"/>
      <c r="HZ809" s="1"/>
      <c r="IA809" s="1"/>
      <c r="IB809" s="1"/>
      <c r="IC809" s="1"/>
      <c r="ID809" s="1"/>
      <c r="IE809" s="1"/>
      <c r="IF809" s="1"/>
      <c r="IG809" s="1"/>
      <c r="IH809" s="1"/>
      <c r="II809" s="1"/>
      <c r="IJ809" s="1"/>
      <c r="IK809" s="1"/>
      <c r="IL809" s="1"/>
      <c r="IM809" s="1"/>
      <c r="IN809" s="1"/>
      <c r="IO809" s="1"/>
      <c r="IP809" s="1"/>
      <c r="IQ809" s="1"/>
      <c r="IR809" s="1"/>
      <c r="IS809" s="1"/>
      <c r="IT809" s="1"/>
      <c r="IU809" s="1"/>
      <c r="IV809" s="1"/>
      <c r="IW809" s="1"/>
      <c r="IX809" s="1"/>
      <c r="IY809" s="1"/>
      <c r="IZ809" s="1"/>
      <c r="JA809" s="1"/>
      <c r="JB809" s="1"/>
      <c r="JC809" s="1"/>
      <c r="JD809" s="1"/>
    </row>
    <row r="810" spans="1:264" s="411" customFormat="1" x14ac:dyDescent="0.2">
      <c r="A810" s="411" t="s">
        <v>576</v>
      </c>
      <c r="B810" s="423"/>
      <c r="BH810" s="397">
        <f>BH778</f>
        <v>-627</v>
      </c>
      <c r="BI810" s="397">
        <f>BI778</f>
        <v>-672</v>
      </c>
      <c r="BJ810" s="397">
        <f>BJ778</f>
        <v>-1299</v>
      </c>
      <c r="BK810" s="423"/>
      <c r="BL810" s="397">
        <f>BL778</f>
        <v>-700</v>
      </c>
      <c r="BM810" s="397">
        <f>BM778</f>
        <v>-680</v>
      </c>
      <c r="BN810" s="397">
        <f>BN778</f>
        <v>-1380</v>
      </c>
      <c r="BO810" s="393">
        <f>+BN810/BJ810-1</f>
        <v>6.2355658198614217E-2</v>
      </c>
      <c r="BP810" s="397">
        <f>BP778</f>
        <v>-628</v>
      </c>
      <c r="BQ810" s="397">
        <f>BQ778</f>
        <v>-664</v>
      </c>
      <c r="BR810" s="397">
        <f>BR778</f>
        <v>-1292</v>
      </c>
      <c r="BS810" s="393">
        <f>+BR810/BN810-1</f>
        <v>-6.3768115942029024E-2</v>
      </c>
      <c r="BT810" s="397">
        <f>BT778</f>
        <v>-752</v>
      </c>
      <c r="BU810" s="397">
        <f>BU778</f>
        <v>-733</v>
      </c>
      <c r="BV810" s="397">
        <f>BV778</f>
        <v>-1485</v>
      </c>
      <c r="BW810" s="393">
        <f>+BV810/BR810-1</f>
        <v>0.14938080495356032</v>
      </c>
      <c r="BX810" s="508">
        <f>BX778</f>
        <v>-1102</v>
      </c>
      <c r="BY810" s="508">
        <f>BY778</f>
        <v>-869</v>
      </c>
      <c r="BZ810" s="397">
        <f>BZ778</f>
        <v>-1971</v>
      </c>
      <c r="CA810" s="393">
        <f>+BZ810/BV810-1</f>
        <v>0.32727272727272738</v>
      </c>
      <c r="CB810" s="397">
        <f>CB778</f>
        <v>-825</v>
      </c>
      <c r="CC810" s="397">
        <f>CC778</f>
        <v>-974</v>
      </c>
      <c r="CD810" s="397">
        <f>CD778</f>
        <v>-1799</v>
      </c>
      <c r="CE810" s="393">
        <f>+CD810/BZ810-1</f>
        <v>-8.7265347539320137E-2</v>
      </c>
      <c r="CF810" s="397">
        <f>CF778</f>
        <v>-873</v>
      </c>
      <c r="CG810" s="397">
        <f>CG778</f>
        <v>-946</v>
      </c>
      <c r="CH810" s="397">
        <f>CH778</f>
        <v>-1819</v>
      </c>
      <c r="CI810" s="393">
        <f>+CH810/CD810-1</f>
        <v>1.1117287381878782E-2</v>
      </c>
      <c r="CJ810" s="397">
        <f>CJ778</f>
        <v>-1105</v>
      </c>
      <c r="CK810" s="397">
        <f>CK778</f>
        <v>-915</v>
      </c>
      <c r="CL810" s="397">
        <f>CL778</f>
        <v>-2020</v>
      </c>
      <c r="CM810" s="393">
        <f>+CL810/CH810-1</f>
        <v>0.11050027487630576</v>
      </c>
      <c r="CN810" s="397">
        <f>CN778</f>
        <v>-1009</v>
      </c>
      <c r="CO810" s="397">
        <f>CO778</f>
        <v>-1037</v>
      </c>
      <c r="CP810" s="397">
        <f>CP778</f>
        <v>-2046</v>
      </c>
      <c r="CQ810" s="393">
        <f>+CP810/CL810-1</f>
        <v>1.2871287128712883E-2</v>
      </c>
      <c r="CR810" s="397">
        <f>CR778</f>
        <v>-960</v>
      </c>
      <c r="CS810" s="397">
        <f>CS778</f>
        <v>-1396</v>
      </c>
      <c r="CT810" s="397">
        <f>CT778</f>
        <v>-2356</v>
      </c>
      <c r="CU810" s="393">
        <f>+CT810/CP810-1</f>
        <v>0.1515151515151516</v>
      </c>
      <c r="CV810" s="397">
        <f>CV778</f>
        <v>-1026</v>
      </c>
      <c r="CW810" s="397">
        <f>CW778</f>
        <v>-1010</v>
      </c>
      <c r="CX810" s="397">
        <f>CX778</f>
        <v>-2036</v>
      </c>
      <c r="CY810" s="393">
        <f>+CX810/CT810-1</f>
        <v>-0.13582342954159587</v>
      </c>
      <c r="CZ810" s="397">
        <f>CZ778</f>
        <v>-1106</v>
      </c>
      <c r="DA810" s="397">
        <f>DA778</f>
        <v>-1119</v>
      </c>
      <c r="DB810" s="397">
        <f>DB778</f>
        <v>-2225</v>
      </c>
      <c r="DC810" s="393">
        <f>+DB810/CX810-1</f>
        <v>9.2829076620825068E-2</v>
      </c>
      <c r="DD810" s="397">
        <f>DD778</f>
        <v>-1187</v>
      </c>
      <c r="DE810" s="397">
        <f>DE778</f>
        <v>-1202</v>
      </c>
      <c r="DF810" s="397">
        <f>DF778</f>
        <v>-2389</v>
      </c>
      <c r="DG810" s="393">
        <f>+DF810/DB810-1</f>
        <v>7.3707865168539222E-2</v>
      </c>
      <c r="DH810" s="397">
        <f>DH778</f>
        <v>-1321</v>
      </c>
      <c r="DI810" s="397">
        <f>SUM(DI805:DI809)</f>
        <v>-1311.2804109589042</v>
      </c>
      <c r="DJ810" s="397">
        <f>SUM(DJ805:DJ809)</f>
        <v>-2632.2804109589047</v>
      </c>
      <c r="DK810" s="393">
        <f>+DJ810/DF810-1</f>
        <v>0.10183357511883839</v>
      </c>
      <c r="DL810" s="397">
        <f>SUM(DL805:DL809)</f>
        <v>-1347.2677018457734</v>
      </c>
      <c r="DM810" s="397">
        <f>SUM(DM805:DM809)</f>
        <v>-1366.1684558717834</v>
      </c>
      <c r="DN810" s="397">
        <f>SUM(DN805:DN809)</f>
        <v>-2713.4361577175564</v>
      </c>
      <c r="DO810" s="393">
        <f>+DN810/DJ810-1</f>
        <v>3.0830965584357273E-2</v>
      </c>
      <c r="DP810" s="397">
        <f>SUM(DP805:DP809)</f>
        <v>-1413.5357198012491</v>
      </c>
      <c r="DQ810" s="397">
        <f>SUM(DQ805:DQ809)</f>
        <v>-1424.7991675702522</v>
      </c>
      <c r="DR810" s="397">
        <f>SUM(DR805:DR809)</f>
        <v>-2838.3348873715013</v>
      </c>
      <c r="DS810" s="393">
        <f>+DR810/DN810-1</f>
        <v>4.6029728504467515E-2</v>
      </c>
      <c r="DT810" s="1"/>
      <c r="DU810" s="1"/>
      <c r="DV810" s="1"/>
      <c r="DW810" s="1"/>
      <c r="DX810" s="1"/>
      <c r="DY810" s="1"/>
      <c r="DZ810" s="1"/>
      <c r="EA810" s="1"/>
      <c r="EB810" s="1"/>
      <c r="EC810" s="1"/>
      <c r="ED810" s="1"/>
      <c r="EE810" s="1"/>
      <c r="EF810" s="1"/>
      <c r="EG810" s="1"/>
      <c r="EH810" s="1"/>
      <c r="EI810" s="1"/>
      <c r="EJ810" s="1"/>
      <c r="EK810" s="1"/>
      <c r="EL810" s="1"/>
      <c r="EM810" s="1"/>
      <c r="EN810" s="1"/>
      <c r="EO810" s="1"/>
      <c r="EP810" s="1"/>
      <c r="EQ810" s="1"/>
      <c r="ER810" s="1"/>
      <c r="ES810" s="1"/>
      <c r="ET810" s="1"/>
      <c r="EU810" s="1"/>
      <c r="EV810" s="1"/>
      <c r="EW810" s="1"/>
      <c r="EX810" s="1"/>
      <c r="EY810" s="1"/>
      <c r="EZ810" s="1"/>
      <c r="FA810" s="1"/>
      <c r="FB810" s="1"/>
      <c r="FC810" s="1"/>
      <c r="FD810" s="1"/>
      <c r="FE810" s="1"/>
      <c r="FF810" s="1"/>
      <c r="FG810" s="1"/>
      <c r="FH810" s="1"/>
      <c r="FI810" s="1"/>
      <c r="FJ810" s="1"/>
      <c r="FK810" s="1"/>
      <c r="FL810" s="1"/>
      <c r="FM810" s="1"/>
      <c r="FN810" s="1"/>
      <c r="FO810" s="1"/>
      <c r="FP810" s="1"/>
      <c r="FQ810" s="1"/>
      <c r="FR810" s="1"/>
      <c r="FS810" s="1"/>
      <c r="FT810" s="1"/>
      <c r="FU810" s="1"/>
      <c r="FV810" s="1"/>
      <c r="FW810" s="1"/>
      <c r="FX810" s="1"/>
      <c r="FY810" s="1"/>
      <c r="FZ810" s="1"/>
      <c r="GA810" s="1"/>
      <c r="GB810" s="1"/>
      <c r="GC810" s="1"/>
      <c r="GD810" s="1"/>
      <c r="GE810" s="1"/>
      <c r="GF810" s="1"/>
      <c r="GG810" s="1"/>
      <c r="GH810" s="1"/>
      <c r="GI810" s="1"/>
      <c r="GJ810" s="1"/>
      <c r="GK810" s="1"/>
      <c r="GL810" s="1"/>
      <c r="GM810" s="1"/>
      <c r="GN810" s="1"/>
      <c r="GO810" s="1"/>
      <c r="GP810" s="1"/>
      <c r="GQ810" s="1"/>
      <c r="GR810" s="1"/>
      <c r="GS810" s="1"/>
      <c r="GT810" s="1"/>
      <c r="GU810" s="1"/>
      <c r="GV810" s="1"/>
      <c r="GW810" s="1"/>
      <c r="GX810" s="1"/>
      <c r="GY810" s="1"/>
      <c r="GZ810" s="1"/>
      <c r="HA810" s="1"/>
      <c r="HB810" s="1"/>
      <c r="HC810" s="1"/>
      <c r="HD810" s="1"/>
      <c r="HE810" s="1"/>
      <c r="HF810" s="1"/>
      <c r="HG810" s="1"/>
      <c r="HH810" s="1"/>
      <c r="HI810" s="1"/>
      <c r="HJ810" s="1"/>
      <c r="HK810" s="1"/>
      <c r="HL810" s="1"/>
      <c r="HM810" s="1"/>
      <c r="HN810" s="1"/>
      <c r="HO810" s="1"/>
      <c r="HP810" s="1"/>
      <c r="HQ810" s="1"/>
      <c r="HR810" s="1"/>
      <c r="HS810" s="1"/>
      <c r="HT810" s="1"/>
      <c r="HU810" s="1"/>
      <c r="HV810" s="1"/>
      <c r="HW810" s="1"/>
      <c r="HX810" s="1"/>
      <c r="HY810" s="1"/>
      <c r="HZ810" s="1"/>
      <c r="IA810" s="1"/>
      <c r="IB810" s="1"/>
      <c r="IC810" s="1"/>
      <c r="ID810" s="1"/>
      <c r="IE810" s="1"/>
      <c r="IF810" s="1"/>
      <c r="IG810" s="1"/>
      <c r="IH810" s="1"/>
      <c r="II810" s="1"/>
      <c r="IJ810" s="1"/>
      <c r="IK810" s="1"/>
      <c r="IL810" s="1"/>
      <c r="IM810" s="1"/>
      <c r="IN810" s="1"/>
      <c r="IO810" s="1"/>
      <c r="IP810" s="1"/>
      <c r="IQ810" s="1"/>
      <c r="IR810" s="1"/>
      <c r="IS810" s="1"/>
      <c r="IT810" s="1"/>
      <c r="IU810" s="1"/>
      <c r="IV810" s="1"/>
      <c r="IW810" s="1"/>
      <c r="IX810" s="1"/>
      <c r="IY810" s="1"/>
      <c r="IZ810" s="1"/>
      <c r="JA810" s="1"/>
      <c r="JB810" s="1"/>
      <c r="JC810" s="1"/>
      <c r="JD810" s="1"/>
    </row>
    <row r="811" spans="1:264" s="347" customFormat="1" ht="15" x14ac:dyDescent="0.25">
      <c r="A811" s="424" t="s">
        <v>273</v>
      </c>
      <c r="B811" s="348"/>
      <c r="BH811" s="348"/>
      <c r="BI811" s="348"/>
      <c r="BJ811" s="348"/>
      <c r="BK811" s="348"/>
      <c r="BL811" s="348"/>
      <c r="BM811" s="348"/>
      <c r="BN811" s="348"/>
      <c r="BO811" s="348"/>
      <c r="BP811" s="348"/>
      <c r="BQ811" s="348"/>
      <c r="BR811" s="348"/>
      <c r="BT811" s="348"/>
      <c r="BU811" s="348"/>
      <c r="BV811" s="348"/>
      <c r="BX811" s="348"/>
      <c r="CB811" s="348"/>
      <c r="CF811" s="348"/>
      <c r="CJ811" s="348"/>
      <c r="CN811" s="348"/>
      <c r="CR811" s="348"/>
      <c r="CV811" s="348"/>
      <c r="CZ811" s="348"/>
      <c r="DD811" s="348"/>
      <c r="DH811" s="348"/>
      <c r="DI811"/>
      <c r="DJ811"/>
      <c r="DK811"/>
      <c r="DL811"/>
      <c r="DM811"/>
      <c r="DN811"/>
      <c r="DP811"/>
      <c r="DQ811"/>
      <c r="DR811"/>
      <c r="DT811" s="1"/>
      <c r="DU811" s="1"/>
      <c r="DV811" s="1"/>
      <c r="DW811" s="1"/>
      <c r="DX811" s="1"/>
      <c r="DY811" s="1"/>
      <c r="DZ811" s="1"/>
      <c r="EA811" s="1"/>
      <c r="EB811" s="1"/>
      <c r="EC811" s="1"/>
      <c r="ED811" s="1"/>
      <c r="EE811" s="1"/>
      <c r="EF811" s="1"/>
      <c r="EG811" s="1"/>
      <c r="EH811" s="1"/>
      <c r="EI811" s="1"/>
      <c r="EJ811" s="1"/>
      <c r="EK811" s="1"/>
      <c r="EL811" s="1"/>
      <c r="EM811" s="1"/>
      <c r="EN811" s="1"/>
      <c r="EO811" s="1"/>
      <c r="EP811" s="1"/>
      <c r="EQ811" s="1"/>
      <c r="ER811" s="1"/>
      <c r="ES811" s="1"/>
      <c r="ET811" s="1"/>
      <c r="EU811" s="1"/>
      <c r="EV811" s="1"/>
      <c r="EW811" s="1"/>
      <c r="EX811" s="1"/>
      <c r="EY811" s="1"/>
      <c r="EZ811" s="1"/>
      <c r="FA811" s="1"/>
      <c r="FB811" s="1"/>
      <c r="FC811" s="1"/>
      <c r="FD811" s="1"/>
      <c r="FE811" s="1"/>
      <c r="FF811" s="1"/>
      <c r="FG811" s="1"/>
      <c r="FH811" s="1"/>
      <c r="FI811" s="1"/>
      <c r="FJ811" s="1"/>
      <c r="FK811" s="1"/>
      <c r="FL811" s="1"/>
      <c r="FM811" s="1"/>
      <c r="FN811" s="1"/>
      <c r="FO811" s="1"/>
      <c r="FP811" s="1"/>
      <c r="FQ811" s="1"/>
      <c r="FR811" s="1"/>
      <c r="FS811" s="1"/>
      <c r="FT811" s="1"/>
      <c r="FU811" s="1"/>
      <c r="FV811" s="1"/>
      <c r="FW811" s="1"/>
      <c r="FX811" s="1"/>
      <c r="FY811" s="1"/>
      <c r="FZ811" s="1"/>
      <c r="GA811" s="1"/>
      <c r="GB811" s="1"/>
      <c r="GC811" s="1"/>
      <c r="GD811" s="1"/>
      <c r="GE811" s="1"/>
      <c r="GF811" s="1"/>
      <c r="GG811" s="1"/>
      <c r="GH811" s="1"/>
      <c r="GI811" s="1"/>
      <c r="GJ811" s="1"/>
      <c r="GK811" s="1"/>
      <c r="GL811" s="1"/>
      <c r="GM811" s="1"/>
      <c r="GN811" s="1"/>
      <c r="GO811" s="1"/>
      <c r="GP811" s="1"/>
      <c r="GQ811" s="1"/>
      <c r="GR811" s="1"/>
      <c r="GS811" s="1"/>
      <c r="GT811" s="1"/>
      <c r="GU811" s="1"/>
      <c r="GV811" s="1"/>
      <c r="GW811" s="1"/>
      <c r="GX811" s="1"/>
      <c r="GY811" s="1"/>
      <c r="GZ811" s="1"/>
      <c r="HA811" s="1"/>
      <c r="HB811" s="1"/>
      <c r="HC811" s="1"/>
      <c r="HD811" s="1"/>
      <c r="HE811" s="1"/>
      <c r="HF811" s="1"/>
      <c r="HG811" s="1"/>
      <c r="HH811" s="1"/>
      <c r="HI811" s="1"/>
      <c r="HJ811" s="1"/>
      <c r="HK811" s="1"/>
      <c r="HL811" s="1"/>
      <c r="HM811" s="1"/>
      <c r="HN811" s="1"/>
      <c r="HO811" s="1"/>
      <c r="HP811" s="1"/>
      <c r="HQ811" s="1"/>
      <c r="HR811" s="1"/>
      <c r="HS811" s="1"/>
      <c r="HT811" s="1"/>
      <c r="HU811" s="1"/>
      <c r="HV811" s="1"/>
      <c r="HW811" s="1"/>
      <c r="HX811" s="1"/>
      <c r="HY811" s="1"/>
      <c r="HZ811" s="1"/>
      <c r="IA811" s="1"/>
      <c r="IB811" s="1"/>
      <c r="IC811" s="1"/>
      <c r="ID811" s="1"/>
      <c r="IE811" s="1"/>
      <c r="IF811" s="1"/>
      <c r="IG811" s="1"/>
      <c r="IH811" s="1"/>
      <c r="II811" s="1"/>
      <c r="IJ811" s="1"/>
      <c r="IK811" s="1"/>
      <c r="IL811" s="1"/>
      <c r="IM811" s="1"/>
      <c r="IN811" s="1"/>
      <c r="IO811" s="1"/>
      <c r="IP811" s="1"/>
      <c r="IQ811" s="1"/>
      <c r="IR811" s="1"/>
      <c r="IS811" s="1"/>
      <c r="IT811" s="1"/>
      <c r="IU811" s="1"/>
      <c r="IV811" s="1"/>
      <c r="IW811" s="1"/>
      <c r="IX811" s="1"/>
      <c r="IY811" s="1"/>
      <c r="IZ811" s="1"/>
      <c r="JA811" s="1"/>
      <c r="JB811" s="1"/>
      <c r="JC811" s="1"/>
      <c r="JD811" s="1"/>
    </row>
    <row r="812" spans="1:264" s="347" customFormat="1" x14ac:dyDescent="0.2">
      <c r="A812" s="429" t="str">
        <f>A805</f>
        <v>Software Amortisation</v>
      </c>
      <c r="B812" s="348"/>
      <c r="BH812" s="348"/>
      <c r="BI812" s="664">
        <f>+BI805/BH805-1</f>
        <v>0.1875</v>
      </c>
      <c r="BJ812" s="456"/>
      <c r="BK812" s="408"/>
      <c r="BL812" s="664">
        <f>+BL805/BI805-1</f>
        <v>-2.2556390977443663E-2</v>
      </c>
      <c r="BM812" s="664">
        <f>+BM805/BL805-1</f>
        <v>0.52307692307692299</v>
      </c>
      <c r="BN812" s="456"/>
      <c r="BO812" s="408"/>
      <c r="BP812" s="664">
        <f>+BP805/BM805-1</f>
        <v>-0.27777777777777779</v>
      </c>
      <c r="BQ812" s="664">
        <f>+BQ805/BP805-1</f>
        <v>0.15384615384615374</v>
      </c>
      <c r="BR812" s="456"/>
      <c r="BT812" s="664">
        <f>+BT805/BQ805-1</f>
        <v>7.2727272727272751E-2</v>
      </c>
      <c r="BU812" s="664">
        <f>+BU805/BT805-1</f>
        <v>0.14124293785310726</v>
      </c>
      <c r="BV812" s="456"/>
      <c r="BX812" s="664">
        <f>+BX805/BU805-1</f>
        <v>1.995049504950495</v>
      </c>
      <c r="BY812" s="664">
        <f>+BY805/BX805-1</f>
        <v>-0.74049586776859511</v>
      </c>
      <c r="BZ812" s="408"/>
      <c r="CB812" s="664">
        <f>+CB805/BY805-1</f>
        <v>0.65605095541401282</v>
      </c>
      <c r="CC812" s="664">
        <f>+CC805/CB805-1</f>
        <v>0.16538461538461546</v>
      </c>
      <c r="CD812" s="408"/>
      <c r="CF812" s="664">
        <f>+CF805/CC805-1</f>
        <v>0.56105610561056096</v>
      </c>
      <c r="CG812" s="664">
        <f>+CG805/CF805-1</f>
        <v>-4.4397463002114113E-2</v>
      </c>
      <c r="CH812" s="408"/>
      <c r="CJ812" s="664">
        <f>+CJ805/CG805-1</f>
        <v>1.7699115044247815E-2</v>
      </c>
      <c r="CK812" s="664">
        <f>+CK805/CJ805-1</f>
        <v>-4.3478260869564966E-3</v>
      </c>
      <c r="CL812" s="408"/>
      <c r="CN812" s="664">
        <f>+CN805/CK805-1</f>
        <v>-0.30131004366812231</v>
      </c>
      <c r="CO812" s="664">
        <f>+CO805/CN805-1</f>
        <v>-0.34375</v>
      </c>
      <c r="CP812" s="408"/>
      <c r="CR812" s="664">
        <f>+CR805/CO805-1</f>
        <v>-0.23809523809523814</v>
      </c>
      <c r="CS812" s="664">
        <f>+CS805/CR805-1</f>
        <v>-2.5000000000000022E-2</v>
      </c>
      <c r="CT812" s="408"/>
      <c r="CV812" s="664">
        <f>+CV805/CS805-1</f>
        <v>0.17307692307692313</v>
      </c>
      <c r="CW812" s="664">
        <f>+CW805/CV805-1</f>
        <v>0.15846994535519121</v>
      </c>
      <c r="CX812" s="408"/>
      <c r="CZ812" s="664">
        <f>+CZ805/CW805-1</f>
        <v>0.48113207547169812</v>
      </c>
      <c r="DA812" s="664">
        <f>+DA805/CZ805-1</f>
        <v>0.18152866242038224</v>
      </c>
      <c r="DB812" s="408"/>
      <c r="DD812" s="664">
        <f>+DD805/DA805-1</f>
        <v>-0.1132075471698113</v>
      </c>
      <c r="DE812" s="664">
        <f>+DE805/DD805-1</f>
        <v>7.5987841945288848E-2</v>
      </c>
      <c r="DF812" s="408"/>
      <c r="DH812" s="664">
        <f>+DH805/DE805-1</f>
        <v>1.1299435028248483E-2</v>
      </c>
      <c r="DI812" s="664">
        <f>+DI805/DH805-1</f>
        <v>8.1816790388000493E-2</v>
      </c>
      <c r="DJ812" s="408"/>
      <c r="DL812" s="664">
        <f>+DL805/DI805-1</f>
        <v>8.907886668676146E-2</v>
      </c>
      <c r="DM812" s="664">
        <f>+DM805/DL805-1</f>
        <v>4.0880398128532391E-2</v>
      </c>
      <c r="DN812" s="408"/>
      <c r="DP812" s="664">
        <f>+DP805/DM805-1</f>
        <v>0.10373014063588082</v>
      </c>
      <c r="DQ812" s="664">
        <f>+DQ805/DP805-1</f>
        <v>1.9130110197725703E-2</v>
      </c>
      <c r="DR812" s="408"/>
      <c r="DT812" s="1"/>
      <c r="DU812" s="1"/>
      <c r="DV812" s="1"/>
      <c r="DW812" s="1"/>
      <c r="DX812" s="1"/>
      <c r="DY812" s="1"/>
      <c r="DZ812" s="1"/>
      <c r="EA812" s="1"/>
      <c r="EB812" s="1"/>
      <c r="EC812" s="1"/>
      <c r="ED812" s="1"/>
      <c r="EE812" s="1"/>
      <c r="EF812" s="1"/>
      <c r="EG812" s="1"/>
      <c r="EH812" s="1"/>
      <c r="EI812" s="1"/>
      <c r="EJ812" s="1"/>
      <c r="EK812" s="1"/>
      <c r="EL812" s="1"/>
      <c r="EM812" s="1"/>
      <c r="EN812" s="1"/>
      <c r="EO812" s="1"/>
      <c r="EP812" s="1"/>
      <c r="EQ812" s="1"/>
      <c r="ER812" s="1"/>
      <c r="ES812" s="1"/>
      <c r="ET812" s="1"/>
      <c r="EU812" s="1"/>
      <c r="EV812" s="1"/>
      <c r="EW812" s="1"/>
      <c r="EX812" s="1"/>
      <c r="EY812" s="1"/>
      <c r="EZ812" s="1"/>
      <c r="FA812" s="1"/>
      <c r="FB812" s="1"/>
      <c r="FC812" s="1"/>
      <c r="FD812" s="1"/>
      <c r="FE812" s="1"/>
      <c r="FF812" s="1"/>
      <c r="FG812" s="1"/>
      <c r="FH812" s="1"/>
      <c r="FI812" s="1"/>
      <c r="FJ812" s="1"/>
      <c r="FK812" s="1"/>
      <c r="FL812" s="1"/>
      <c r="FM812" s="1"/>
      <c r="FN812" s="1"/>
      <c r="FO812" s="1"/>
      <c r="FP812" s="1"/>
      <c r="FQ812" s="1"/>
      <c r="FR812" s="1"/>
      <c r="FS812" s="1"/>
      <c r="FT812" s="1"/>
      <c r="FU812" s="1"/>
      <c r="FV812" s="1"/>
      <c r="FW812" s="1"/>
      <c r="FX812" s="1"/>
      <c r="FY812" s="1"/>
      <c r="FZ812" s="1"/>
      <c r="GA812" s="1"/>
      <c r="GB812" s="1"/>
      <c r="GC812" s="1"/>
      <c r="GD812" s="1"/>
      <c r="GE812" s="1"/>
      <c r="GF812" s="1"/>
      <c r="GG812" s="1"/>
      <c r="GH812" s="1"/>
      <c r="GI812" s="1"/>
      <c r="GJ812" s="1"/>
      <c r="GK812" s="1"/>
      <c r="GL812" s="1"/>
      <c r="GM812" s="1"/>
      <c r="GN812" s="1"/>
      <c r="GO812" s="1"/>
      <c r="GP812" s="1"/>
      <c r="GQ812" s="1"/>
      <c r="GR812" s="1"/>
      <c r="GS812" s="1"/>
      <c r="GT812" s="1"/>
      <c r="GU812" s="1"/>
      <c r="GV812" s="1"/>
      <c r="GW812" s="1"/>
      <c r="GX812" s="1"/>
      <c r="GY812" s="1"/>
      <c r="GZ812" s="1"/>
      <c r="HA812" s="1"/>
      <c r="HB812" s="1"/>
      <c r="HC812" s="1"/>
      <c r="HD812" s="1"/>
      <c r="HE812" s="1"/>
      <c r="HF812" s="1"/>
      <c r="HG812" s="1"/>
      <c r="HH812" s="1"/>
      <c r="HI812" s="1"/>
      <c r="HJ812" s="1"/>
      <c r="HK812" s="1"/>
      <c r="HL812" s="1"/>
      <c r="HM812" s="1"/>
      <c r="HN812" s="1"/>
      <c r="HO812" s="1"/>
      <c r="HP812" s="1"/>
      <c r="HQ812" s="1"/>
      <c r="HR812" s="1"/>
      <c r="HS812" s="1"/>
      <c r="HT812" s="1"/>
      <c r="HU812" s="1"/>
      <c r="HV812" s="1"/>
      <c r="HW812" s="1"/>
      <c r="HX812" s="1"/>
      <c r="HY812" s="1"/>
      <c r="HZ812" s="1"/>
      <c r="IA812" s="1"/>
      <c r="IB812" s="1"/>
      <c r="IC812" s="1"/>
      <c r="ID812" s="1"/>
      <c r="IE812" s="1"/>
      <c r="IF812" s="1"/>
      <c r="IG812" s="1"/>
      <c r="IH812" s="1"/>
      <c r="II812" s="1"/>
      <c r="IJ812" s="1"/>
      <c r="IK812" s="1"/>
      <c r="IL812" s="1"/>
      <c r="IM812" s="1"/>
      <c r="IN812" s="1"/>
      <c r="IO812" s="1"/>
      <c r="IP812" s="1"/>
      <c r="IQ812" s="1"/>
      <c r="IR812" s="1"/>
      <c r="IS812" s="1"/>
      <c r="IT812" s="1"/>
      <c r="IU812" s="1"/>
      <c r="IV812" s="1"/>
      <c r="IW812" s="1"/>
      <c r="IX812" s="1"/>
      <c r="IY812" s="1"/>
      <c r="IZ812" s="1"/>
      <c r="JA812" s="1"/>
      <c r="JB812" s="1"/>
      <c r="JC812" s="1"/>
      <c r="JD812" s="1"/>
    </row>
    <row r="813" spans="1:264" s="347" customFormat="1" x14ac:dyDescent="0.2">
      <c r="A813" s="436" t="str">
        <f>A806</f>
        <v>Application, Maintenance, Development</v>
      </c>
      <c r="B813" s="466"/>
      <c r="C813" s="463"/>
      <c r="D813" s="463"/>
      <c r="E813" s="463"/>
      <c r="F813" s="463"/>
      <c r="G813" s="463"/>
      <c r="H813" s="463"/>
      <c r="I813" s="463"/>
      <c r="J813" s="463"/>
      <c r="K813" s="463"/>
      <c r="L813" s="463"/>
      <c r="M813" s="463"/>
      <c r="N813" s="463"/>
      <c r="O813" s="463"/>
      <c r="P813" s="463"/>
      <c r="Q813" s="463"/>
      <c r="R813" s="463"/>
      <c r="S813" s="463"/>
      <c r="T813" s="463"/>
      <c r="U813" s="463"/>
      <c r="V813" s="463"/>
      <c r="W813" s="463"/>
      <c r="X813" s="463"/>
      <c r="Y813" s="463"/>
      <c r="Z813" s="463"/>
      <c r="AA813" s="463"/>
      <c r="AB813" s="463"/>
      <c r="AC813" s="463"/>
      <c r="AD813" s="463"/>
      <c r="AE813" s="463"/>
      <c r="AF813" s="463"/>
      <c r="AG813" s="463"/>
      <c r="AH813" s="463"/>
      <c r="AI813" s="463"/>
      <c r="AJ813" s="463"/>
      <c r="AK813" s="463"/>
      <c r="AL813" s="463"/>
      <c r="AM813" s="463"/>
      <c r="AN813" s="463"/>
      <c r="AO813" s="463"/>
      <c r="AP813" s="463"/>
      <c r="AQ813" s="463"/>
      <c r="AR813" s="463"/>
      <c r="AS813" s="463"/>
      <c r="AT813" s="463"/>
      <c r="AU813" s="463"/>
      <c r="AV813" s="463"/>
      <c r="AW813" s="463"/>
      <c r="AX813" s="463"/>
      <c r="AY813" s="463"/>
      <c r="AZ813" s="463"/>
      <c r="BA813" s="463"/>
      <c r="BB813" s="463"/>
      <c r="BC813" s="463"/>
      <c r="BD813" s="463"/>
      <c r="BE813" s="463"/>
      <c r="BF813" s="463"/>
      <c r="BG813" s="463"/>
      <c r="BH813" s="466"/>
      <c r="BI813" s="660">
        <f>+BI806/BH806-1</f>
        <v>8.0568720379146974E-2</v>
      </c>
      <c r="BJ813" s="661"/>
      <c r="BK813" s="437"/>
      <c r="BL813" s="660">
        <f>+BL806/BI806-1</f>
        <v>-8.7719298245614086E-2</v>
      </c>
      <c r="BM813" s="660">
        <f>+BM806/BL806-1</f>
        <v>-1.9230769230769273E-2</v>
      </c>
      <c r="BN813" s="661"/>
      <c r="BO813" s="437"/>
      <c r="BP813" s="660">
        <f>+BP806/BM806-1</f>
        <v>-3.4313725490196068E-2</v>
      </c>
      <c r="BQ813" s="660">
        <f>+BQ806/BP806-1</f>
        <v>0.18274111675126914</v>
      </c>
      <c r="BR813" s="661"/>
      <c r="BS813" s="463"/>
      <c r="BT813" s="660">
        <f>+BT806/BQ806-1</f>
        <v>0.20171673819742497</v>
      </c>
      <c r="BU813" s="660">
        <f>+BU806/BT806-1</f>
        <v>-0.17500000000000004</v>
      </c>
      <c r="BV813" s="661"/>
      <c r="BW813" s="463"/>
      <c r="BX813" s="660">
        <f>+BX806/BU806-1</f>
        <v>-0.18181818181818177</v>
      </c>
      <c r="BY813" s="660">
        <f>+BY806/BX806-1</f>
        <v>1.1005291005291005</v>
      </c>
      <c r="BZ813" s="437"/>
      <c r="CA813" s="463"/>
      <c r="CB813" s="660">
        <f>+CB806/BY806-1</f>
        <v>-0.35768261964735515</v>
      </c>
      <c r="CC813" s="660">
        <f>+CC806/CB806-1</f>
        <v>0.16862745098039222</v>
      </c>
      <c r="CD813" s="437"/>
      <c r="CE813" s="463"/>
      <c r="CF813" s="660">
        <f>+CF806/CC806-1</f>
        <v>-8.3892617449664475E-2</v>
      </c>
      <c r="CG813" s="660">
        <f>+CG806/CF806-1</f>
        <v>0.14652014652014644</v>
      </c>
      <c r="CH813" s="437"/>
      <c r="CI813" s="463"/>
      <c r="CJ813" s="660">
        <f>+CJ806/CG806-1</f>
        <v>8.1469648562300323E-2</v>
      </c>
      <c r="CK813" s="660">
        <f>+CK806/CJ806-1</f>
        <v>-4.4313146233382561E-2</v>
      </c>
      <c r="CL813" s="437"/>
      <c r="CM813" s="463"/>
      <c r="CN813" s="660">
        <f>+CN806/CK806-1</f>
        <v>0.15301391035548684</v>
      </c>
      <c r="CO813" s="660">
        <f>+CO806/CN806-1</f>
        <v>0.33243967828418231</v>
      </c>
      <c r="CP813" s="437"/>
      <c r="CQ813" s="463"/>
      <c r="CR813" s="660">
        <f>+CR806/CO806-1</f>
        <v>-1.810865191146882E-2</v>
      </c>
      <c r="CS813" s="660">
        <f>+CS806/CR806-1</f>
        <v>2.8688524590164022E-2</v>
      </c>
      <c r="CT813" s="437"/>
      <c r="CU813" s="463"/>
      <c r="CV813" s="660">
        <f>+CV806/CS806-1</f>
        <v>0.10159362549800788</v>
      </c>
      <c r="CW813" s="660">
        <f>+CW806/CV806-1</f>
        <v>-6.8716094032549746E-2</v>
      </c>
      <c r="CX813" s="437"/>
      <c r="CY813" s="463"/>
      <c r="CZ813" s="660">
        <f>+CZ806/CW806-1</f>
        <v>-1.5533980582524309E-2</v>
      </c>
      <c r="DA813" s="660">
        <f>+DA806/CZ806-1</f>
        <v>-3.1558185404339301E-2</v>
      </c>
      <c r="DB813" s="437"/>
      <c r="DC813" s="463"/>
      <c r="DD813" s="660">
        <f>+DD806/DA806-1</f>
        <v>0.2342158859470469</v>
      </c>
      <c r="DE813" s="660">
        <f>+DE806/DD806-1</f>
        <v>-5.6105610561056118E-2</v>
      </c>
      <c r="DF813" s="437"/>
      <c r="DG813" s="463"/>
      <c r="DH813" s="660">
        <f>+DH806/DE806-1</f>
        <v>0.15209790209790208</v>
      </c>
      <c r="DI813" s="482">
        <v>0.01</v>
      </c>
      <c r="DJ813" s="437"/>
      <c r="DK813" s="463"/>
      <c r="DL813" s="482">
        <v>0.01</v>
      </c>
      <c r="DM813" s="482">
        <v>0.01</v>
      </c>
      <c r="DN813" s="437"/>
      <c r="DO813" s="463"/>
      <c r="DP813" s="482">
        <v>0.01</v>
      </c>
      <c r="DQ813" s="482">
        <v>0.01</v>
      </c>
      <c r="DR813" s="437"/>
      <c r="DS813" s="463"/>
      <c r="DT813" s="1"/>
      <c r="DU813" s="1"/>
      <c r="DV813" s="1"/>
      <c r="DW813" s="1"/>
      <c r="DX813" s="1"/>
      <c r="DY813" s="1"/>
      <c r="DZ813" s="1"/>
      <c r="EA813" s="1"/>
      <c r="EB813" s="1"/>
      <c r="EC813" s="1"/>
      <c r="ED813" s="1"/>
      <c r="EE813" s="1"/>
      <c r="EF813" s="1"/>
      <c r="EG813" s="1"/>
      <c r="EH813" s="1"/>
      <c r="EI813" s="1"/>
      <c r="EJ813" s="1"/>
      <c r="EK813" s="1"/>
      <c r="EL813" s="1"/>
      <c r="EM813" s="1"/>
      <c r="EN813" s="1"/>
      <c r="EO813" s="1"/>
      <c r="EP813" s="1"/>
      <c r="EQ813" s="1"/>
      <c r="ER813" s="1"/>
      <c r="ES813" s="1"/>
      <c r="ET813" s="1"/>
      <c r="EU813" s="1"/>
      <c r="EV813" s="1"/>
      <c r="EW813" s="1"/>
      <c r="EX813" s="1"/>
      <c r="EY813" s="1"/>
      <c r="EZ813" s="1"/>
      <c r="FA813" s="1"/>
      <c r="FB813" s="1"/>
      <c r="FC813" s="1"/>
      <c r="FD813" s="1"/>
      <c r="FE813" s="1"/>
      <c r="FF813" s="1"/>
      <c r="FG813" s="1"/>
      <c r="FH813" s="1"/>
      <c r="FI813" s="1"/>
      <c r="FJ813" s="1"/>
      <c r="FK813" s="1"/>
      <c r="FL813" s="1"/>
      <c r="FM813" s="1"/>
      <c r="FN813" s="1"/>
      <c r="FO813" s="1"/>
      <c r="FP813" s="1"/>
      <c r="FQ813" s="1"/>
      <c r="FR813" s="1"/>
      <c r="FS813" s="1"/>
      <c r="FT813" s="1"/>
      <c r="FU813" s="1"/>
      <c r="FV813" s="1"/>
      <c r="FW813" s="1"/>
      <c r="FX813" s="1"/>
      <c r="FY813" s="1"/>
      <c r="FZ813" s="1"/>
      <c r="GA813" s="1"/>
      <c r="GB813" s="1"/>
      <c r="GC813" s="1"/>
      <c r="GD813" s="1"/>
      <c r="GE813" s="1"/>
      <c r="GF813" s="1"/>
      <c r="GG813" s="1"/>
      <c r="GH813" s="1"/>
      <c r="GI813" s="1"/>
      <c r="GJ813" s="1"/>
      <c r="GK813" s="1"/>
      <c r="GL813" s="1"/>
      <c r="GM813" s="1"/>
      <c r="GN813" s="1"/>
      <c r="GO813" s="1"/>
      <c r="GP813" s="1"/>
      <c r="GQ813" s="1"/>
      <c r="GR813" s="1"/>
      <c r="GS813" s="1"/>
      <c r="GT813" s="1"/>
      <c r="GU813" s="1"/>
      <c r="GV813" s="1"/>
      <c r="GW813" s="1"/>
      <c r="GX813" s="1"/>
      <c r="GY813" s="1"/>
      <c r="GZ813" s="1"/>
      <c r="HA813" s="1"/>
      <c r="HB813" s="1"/>
      <c r="HC813" s="1"/>
      <c r="HD813" s="1"/>
      <c r="HE813" s="1"/>
      <c r="HF813" s="1"/>
      <c r="HG813" s="1"/>
      <c r="HH813" s="1"/>
      <c r="HI813" s="1"/>
      <c r="HJ813" s="1"/>
      <c r="HK813" s="1"/>
      <c r="HL813" s="1"/>
      <c r="HM813" s="1"/>
      <c r="HN813" s="1"/>
      <c r="HO813" s="1"/>
      <c r="HP813" s="1"/>
      <c r="HQ813" s="1"/>
      <c r="HR813" s="1"/>
      <c r="HS813" s="1"/>
      <c r="HT813" s="1"/>
      <c r="HU813" s="1"/>
      <c r="HV813" s="1"/>
      <c r="HW813" s="1"/>
      <c r="HX813" s="1"/>
      <c r="HY813" s="1"/>
      <c r="HZ813" s="1"/>
      <c r="IA813" s="1"/>
      <c r="IB813" s="1"/>
      <c r="IC813" s="1"/>
      <c r="ID813" s="1"/>
      <c r="IE813" s="1"/>
      <c r="IF813" s="1"/>
      <c r="IG813" s="1"/>
      <c r="IH813" s="1"/>
      <c r="II813" s="1"/>
      <c r="IJ813" s="1"/>
      <c r="IK813" s="1"/>
      <c r="IL813" s="1"/>
      <c r="IM813" s="1"/>
      <c r="IN813" s="1"/>
      <c r="IO813" s="1"/>
      <c r="IP813" s="1"/>
      <c r="IQ813" s="1"/>
      <c r="IR813" s="1"/>
      <c r="IS813" s="1"/>
      <c r="IT813" s="1"/>
      <c r="IU813" s="1"/>
      <c r="IV813" s="1"/>
      <c r="IW813" s="1"/>
      <c r="IX813" s="1"/>
      <c r="IY813" s="1"/>
      <c r="IZ813" s="1"/>
      <c r="JA813" s="1"/>
      <c r="JB813" s="1"/>
      <c r="JC813" s="1"/>
      <c r="JD813" s="1"/>
    </row>
    <row r="814" spans="1:264" s="347" customFormat="1" x14ac:dyDescent="0.2">
      <c r="A814" s="436" t="str">
        <f>A807</f>
        <v>Other IT Costs</v>
      </c>
      <c r="B814" s="466"/>
      <c r="C814" s="463"/>
      <c r="D814" s="463"/>
      <c r="E814" s="463"/>
      <c r="F814" s="463"/>
      <c r="G814" s="463"/>
      <c r="H814" s="463"/>
      <c r="I814" s="463"/>
      <c r="J814" s="463"/>
      <c r="K814" s="463"/>
      <c r="L814" s="463"/>
      <c r="M814" s="463"/>
      <c r="N814" s="463"/>
      <c r="O814" s="463"/>
      <c r="P814" s="463"/>
      <c r="Q814" s="463"/>
      <c r="R814" s="463"/>
      <c r="S814" s="463"/>
      <c r="T814" s="463"/>
      <c r="U814" s="463"/>
      <c r="V814" s="463"/>
      <c r="W814" s="463"/>
      <c r="X814" s="463"/>
      <c r="Y814" s="463"/>
      <c r="Z814" s="463"/>
      <c r="AA814" s="463"/>
      <c r="AB814" s="463"/>
      <c r="AC814" s="463"/>
      <c r="AD814" s="463"/>
      <c r="AE814" s="463"/>
      <c r="AF814" s="463"/>
      <c r="AG814" s="463"/>
      <c r="AH814" s="463"/>
      <c r="AI814" s="463"/>
      <c r="AJ814" s="463"/>
      <c r="AK814" s="463"/>
      <c r="AL814" s="463"/>
      <c r="AM814" s="463"/>
      <c r="AN814" s="463"/>
      <c r="AO814" s="463"/>
      <c r="AP814" s="463"/>
      <c r="AQ814" s="463"/>
      <c r="AR814" s="463"/>
      <c r="AS814" s="463"/>
      <c r="AT814" s="463"/>
      <c r="AU814" s="463"/>
      <c r="AV814" s="463"/>
      <c r="AW814" s="463"/>
      <c r="AX814" s="463"/>
      <c r="AY814" s="463"/>
      <c r="AZ814" s="463"/>
      <c r="BA814" s="463"/>
      <c r="BB814" s="463"/>
      <c r="BC814" s="463"/>
      <c r="BD814" s="463"/>
      <c r="BE814" s="463"/>
      <c r="BF814" s="463"/>
      <c r="BG814" s="463"/>
      <c r="BH814" s="466"/>
      <c r="BI814" s="660">
        <f>+BI807/BH807-1</f>
        <v>2.3026315789473673E-2</v>
      </c>
      <c r="BJ814" s="661"/>
      <c r="BK814" s="437"/>
      <c r="BL814" s="660">
        <f>+BL807/BI807-1</f>
        <v>-5.4662379421221874E-2</v>
      </c>
      <c r="BM814" s="660">
        <f>+BM807/BL807-1</f>
        <v>-6.1224489795918324E-2</v>
      </c>
      <c r="BN814" s="661"/>
      <c r="BO814" s="437"/>
      <c r="BP814" s="660">
        <f>+BP807/BM807-1</f>
        <v>7.2463768115942351E-3</v>
      </c>
      <c r="BQ814" s="660">
        <f>+BQ807/BP807-1</f>
        <v>-4.6762589928057596E-2</v>
      </c>
      <c r="BR814" s="661"/>
      <c r="BS814" s="463"/>
      <c r="BT814" s="660">
        <f>+BT807/BQ807-1</f>
        <v>0.10943396226415092</v>
      </c>
      <c r="BU814" s="660">
        <f>+BU807/BT807-1</f>
        <v>2.0408163265306145E-2</v>
      </c>
      <c r="BV814" s="661"/>
      <c r="BW814" s="463"/>
      <c r="BX814" s="660">
        <f>+BX807/BU807-1</f>
        <v>2.6666666666666616E-2</v>
      </c>
      <c r="BY814" s="660">
        <f>+BY807/BX807-1</f>
        <v>3.2467532467532756E-3</v>
      </c>
      <c r="BZ814" s="437"/>
      <c r="CA814" s="463"/>
      <c r="CB814" s="660">
        <f>+CB807/BY807-1</f>
        <v>-2.9126213592232997E-2</v>
      </c>
      <c r="CC814" s="660">
        <f>+CC807/CB807-1</f>
        <v>4.0000000000000036E-2</v>
      </c>
      <c r="CD814" s="437"/>
      <c r="CE814" s="463"/>
      <c r="CF814" s="660">
        <f>+CF807/CC807-1</f>
        <v>-0.59294871794871795</v>
      </c>
      <c r="CG814" s="660">
        <f>+CG807/CF807-1</f>
        <v>0.32283464566929143</v>
      </c>
      <c r="CH814" s="437"/>
      <c r="CI814" s="463"/>
      <c r="CJ814" s="660">
        <f>+CJ807/CG807-1</f>
        <v>-0.55059523809523814</v>
      </c>
      <c r="CK814" s="660">
        <f>+CK807/CJ807-1</f>
        <v>0.72847682119205293</v>
      </c>
      <c r="CL814" s="437"/>
      <c r="CM814" s="463"/>
      <c r="CN814" s="660">
        <f>+CN807/CK807-1</f>
        <v>1.421455938697318</v>
      </c>
      <c r="CO814" s="660">
        <f>+CO807/CN807-1</f>
        <v>1.5822784810126667E-2</v>
      </c>
      <c r="CP814" s="437"/>
      <c r="CQ814" s="463"/>
      <c r="CR814" s="660">
        <f>+CR807/CO807-1</f>
        <v>-2.8037383177570097E-2</v>
      </c>
      <c r="CS814" s="660">
        <f>+CS807/CR807-1</f>
        <v>0.11858974358974361</v>
      </c>
      <c r="CT814" s="437"/>
      <c r="CU814" s="463"/>
      <c r="CV814" s="660">
        <f>+CV807/CS807-1</f>
        <v>-0.16905444126074498</v>
      </c>
      <c r="CW814" s="660">
        <f>+CW807/CV807-1</f>
        <v>-2.4137931034482807E-2</v>
      </c>
      <c r="CX814" s="437"/>
      <c r="CY814" s="463"/>
      <c r="CZ814" s="660">
        <f>+CZ807/CW807-1</f>
        <v>7.0671378091873294E-3</v>
      </c>
      <c r="DA814" s="660">
        <f>+DA807/CZ807-1</f>
        <v>-9.8245614035087692E-2</v>
      </c>
      <c r="DB814" s="437"/>
      <c r="DC814" s="463"/>
      <c r="DD814" s="660">
        <f>+DD807/DA807-1</f>
        <v>-1.945525291828798E-2</v>
      </c>
      <c r="DE814" s="660">
        <f>+DE807/DD807-1</f>
        <v>9.5238095238095344E-2</v>
      </c>
      <c r="DF814" s="437"/>
      <c r="DG814" s="463"/>
      <c r="DH814" s="660">
        <f>+DH807/DE807-1</f>
        <v>0.10144927536231885</v>
      </c>
      <c r="DI814" s="1516">
        <v>-0.15</v>
      </c>
      <c r="DJ814" s="437"/>
      <c r="DK814" s="463"/>
      <c r="DL814" s="482">
        <v>-0.02</v>
      </c>
      <c r="DM814" s="482">
        <v>-0.02</v>
      </c>
      <c r="DN814" s="437"/>
      <c r="DO814" s="463"/>
      <c r="DP814" s="482">
        <v>-0.02</v>
      </c>
      <c r="DQ814" s="482">
        <v>-0.02</v>
      </c>
      <c r="DR814" s="437"/>
      <c r="DS814" s="463"/>
      <c r="DT814" s="1"/>
      <c r="DU814" s="1"/>
      <c r="DV814" s="1"/>
      <c r="DW814" s="1"/>
      <c r="DX814" s="1"/>
      <c r="DY814" s="1"/>
      <c r="DZ814" s="1"/>
      <c r="EA814" s="1"/>
      <c r="EB814" s="1"/>
      <c r="EC814" s="1"/>
      <c r="ED814" s="1"/>
      <c r="EE814" s="1"/>
      <c r="EF814" s="1"/>
      <c r="EG814" s="1"/>
      <c r="EH814" s="1"/>
      <c r="EI814" s="1"/>
      <c r="EJ814" s="1"/>
      <c r="EK814" s="1"/>
      <c r="EL814" s="1"/>
      <c r="EM814" s="1"/>
      <c r="EN814" s="1"/>
      <c r="EO814" s="1"/>
      <c r="EP814" s="1"/>
      <c r="EQ814" s="1"/>
      <c r="ER814" s="1"/>
      <c r="ES814" s="1"/>
      <c r="ET814" s="1"/>
      <c r="EU814" s="1"/>
      <c r="EV814" s="1"/>
      <c r="EW814" s="1"/>
      <c r="EX814" s="1"/>
      <c r="EY814" s="1"/>
      <c r="EZ814" s="1"/>
      <c r="FA814" s="1"/>
      <c r="FB814" s="1"/>
      <c r="FC814" s="1"/>
      <c r="FD814" s="1"/>
      <c r="FE814" s="1"/>
      <c r="FF814" s="1"/>
      <c r="FG814" s="1"/>
      <c r="FH814" s="1"/>
      <c r="FI814" s="1"/>
      <c r="FJ814" s="1"/>
      <c r="FK814" s="1"/>
      <c r="FL814" s="1"/>
      <c r="FM814" s="1"/>
      <c r="FN814" s="1"/>
      <c r="FO814" s="1"/>
      <c r="FP814" s="1"/>
      <c r="FQ814" s="1"/>
      <c r="FR814" s="1"/>
      <c r="FS814" s="1"/>
      <c r="FT814" s="1"/>
      <c r="FU814" s="1"/>
      <c r="FV814" s="1"/>
      <c r="FW814" s="1"/>
      <c r="FX814" s="1"/>
      <c r="FY814" s="1"/>
      <c r="FZ814" s="1"/>
      <c r="GA814" s="1"/>
      <c r="GB814" s="1"/>
      <c r="GC814" s="1"/>
      <c r="GD814" s="1"/>
      <c r="GE814" s="1"/>
      <c r="GF814" s="1"/>
      <c r="GG814" s="1"/>
      <c r="GH814" s="1"/>
      <c r="GI814" s="1"/>
      <c r="GJ814" s="1"/>
      <c r="GK814" s="1"/>
      <c r="GL814" s="1"/>
      <c r="GM814" s="1"/>
      <c r="GN814" s="1"/>
      <c r="GO814" s="1"/>
      <c r="GP814" s="1"/>
      <c r="GQ814" s="1"/>
      <c r="GR814" s="1"/>
      <c r="GS814" s="1"/>
      <c r="GT814" s="1"/>
      <c r="GU814" s="1"/>
      <c r="GV814" s="1"/>
      <c r="GW814" s="1"/>
      <c r="GX814" s="1"/>
      <c r="GY814" s="1"/>
      <c r="GZ814" s="1"/>
      <c r="HA814" s="1"/>
      <c r="HB814" s="1"/>
      <c r="HC814" s="1"/>
      <c r="HD814" s="1"/>
      <c r="HE814" s="1"/>
      <c r="HF814" s="1"/>
      <c r="HG814" s="1"/>
      <c r="HH814" s="1"/>
      <c r="HI814" s="1"/>
      <c r="HJ814" s="1"/>
      <c r="HK814" s="1"/>
      <c r="HL814" s="1"/>
      <c r="HM814" s="1"/>
      <c r="HN814" s="1"/>
      <c r="HO814" s="1"/>
      <c r="HP814" s="1"/>
      <c r="HQ814" s="1"/>
      <c r="HR814" s="1"/>
      <c r="HS814" s="1"/>
      <c r="HT814" s="1"/>
      <c r="HU814" s="1"/>
      <c r="HV814" s="1"/>
      <c r="HW814" s="1"/>
      <c r="HX814" s="1"/>
      <c r="HY814" s="1"/>
      <c r="HZ814" s="1"/>
      <c r="IA814" s="1"/>
      <c r="IB814" s="1"/>
      <c r="IC814" s="1"/>
      <c r="ID814" s="1"/>
      <c r="IE814" s="1"/>
      <c r="IF814" s="1"/>
      <c r="IG814" s="1"/>
      <c r="IH814" s="1"/>
      <c r="II814" s="1"/>
      <c r="IJ814" s="1"/>
      <c r="IK814" s="1"/>
      <c r="IL814" s="1"/>
      <c r="IM814" s="1"/>
      <c r="IN814" s="1"/>
      <c r="IO814" s="1"/>
      <c r="IP814" s="1"/>
      <c r="IQ814" s="1"/>
      <c r="IR814" s="1"/>
      <c r="IS814" s="1"/>
      <c r="IT814" s="1"/>
      <c r="IU814" s="1"/>
      <c r="IV814" s="1"/>
      <c r="IW814" s="1"/>
      <c r="IX814" s="1"/>
      <c r="IY814" s="1"/>
      <c r="IZ814" s="1"/>
      <c r="JA814" s="1"/>
      <c r="JB814" s="1"/>
      <c r="JC814" s="1"/>
      <c r="JD814" s="1"/>
    </row>
    <row r="815" spans="1:264" s="347" customFormat="1" x14ac:dyDescent="0.2">
      <c r="A815" s="429" t="str">
        <f>A809</f>
        <v>Write-downs</v>
      </c>
      <c r="B815" s="348"/>
      <c r="BH815" s="348"/>
      <c r="BI815" s="408" t="s">
        <v>577</v>
      </c>
      <c r="BJ815" s="348"/>
      <c r="BK815" s="348"/>
      <c r="BL815" s="408" t="s">
        <v>577</v>
      </c>
      <c r="BM815" s="408" t="s">
        <v>577</v>
      </c>
      <c r="BN815" s="348"/>
      <c r="BO815" s="348"/>
      <c r="BP815" s="408" t="s">
        <v>577</v>
      </c>
      <c r="BQ815" s="408" t="s">
        <v>577</v>
      </c>
      <c r="BR815" s="348"/>
      <c r="BT815" s="408" t="s">
        <v>577</v>
      </c>
      <c r="BU815" s="408" t="s">
        <v>577</v>
      </c>
      <c r="BV815" s="348"/>
      <c r="BX815" s="408" t="s">
        <v>577</v>
      </c>
      <c r="BY815" s="408" t="s">
        <v>577</v>
      </c>
      <c r="CB815" s="408" t="s">
        <v>577</v>
      </c>
      <c r="CC815" s="408" t="s">
        <v>577</v>
      </c>
      <c r="CF815" s="408" t="s">
        <v>577</v>
      </c>
      <c r="CG815" s="408" t="s">
        <v>577</v>
      </c>
      <c r="CJ815" s="408" t="s">
        <v>577</v>
      </c>
      <c r="CK815" s="408" t="s">
        <v>577</v>
      </c>
      <c r="CN815" s="408" t="s">
        <v>577</v>
      </c>
      <c r="CO815" s="408" t="s">
        <v>577</v>
      </c>
      <c r="CR815" s="408" t="s">
        <v>577</v>
      </c>
      <c r="CS815" s="408" t="s">
        <v>577</v>
      </c>
      <c r="CV815" s="408" t="s">
        <v>577</v>
      </c>
      <c r="CW815" s="408" t="s">
        <v>577</v>
      </c>
      <c r="CZ815" s="408" t="s">
        <v>577</v>
      </c>
      <c r="DA815" s="408" t="s">
        <v>577</v>
      </c>
      <c r="DD815" s="408" t="s">
        <v>577</v>
      </c>
      <c r="DE815" s="408" t="s">
        <v>577</v>
      </c>
      <c r="DH815" s="408" t="s">
        <v>577</v>
      </c>
      <c r="DI815" s="408" t="s">
        <v>577</v>
      </c>
      <c r="DL815" s="408" t="s">
        <v>577</v>
      </c>
      <c r="DM815" s="408" t="s">
        <v>577</v>
      </c>
      <c r="DP815" s="408" t="s">
        <v>577</v>
      </c>
      <c r="DQ815" s="408" t="s">
        <v>577</v>
      </c>
      <c r="DT815" s="1"/>
      <c r="DU815" s="1"/>
      <c r="DV815" s="1"/>
      <c r="DW815" s="1"/>
      <c r="DX815" s="1"/>
      <c r="DY815" s="1"/>
      <c r="DZ815" s="1"/>
      <c r="EA815" s="1"/>
      <c r="EB815" s="1"/>
      <c r="EC815" s="1"/>
      <c r="ED815" s="1"/>
      <c r="EE815" s="1"/>
      <c r="EF815" s="1"/>
      <c r="EG815" s="1"/>
      <c r="EH815" s="1"/>
      <c r="EI815" s="1"/>
      <c r="EJ815" s="1"/>
      <c r="EK815" s="1"/>
      <c r="EL815" s="1"/>
      <c r="EM815" s="1"/>
      <c r="EN815" s="1"/>
      <c r="EO815" s="1"/>
      <c r="EP815" s="1"/>
      <c r="EQ815" s="1"/>
      <c r="ER815" s="1"/>
      <c r="ES815" s="1"/>
      <c r="ET815" s="1"/>
      <c r="EU815" s="1"/>
      <c r="EV815" s="1"/>
      <c r="EW815" s="1"/>
      <c r="EX815" s="1"/>
      <c r="EY815" s="1"/>
      <c r="EZ815" s="1"/>
      <c r="FA815" s="1"/>
      <c r="FB815" s="1"/>
      <c r="FC815" s="1"/>
      <c r="FD815" s="1"/>
      <c r="FE815" s="1"/>
      <c r="FF815" s="1"/>
      <c r="FG815" s="1"/>
      <c r="FH815" s="1"/>
      <c r="FI815" s="1"/>
      <c r="FJ815" s="1"/>
      <c r="FK815" s="1"/>
      <c r="FL815" s="1"/>
      <c r="FM815" s="1"/>
      <c r="FN815" s="1"/>
      <c r="FO815" s="1"/>
      <c r="FP815" s="1"/>
      <c r="FQ815" s="1"/>
      <c r="FR815" s="1"/>
      <c r="FS815" s="1"/>
      <c r="FT815" s="1"/>
      <c r="FU815" s="1"/>
      <c r="FV815" s="1"/>
      <c r="FW815" s="1"/>
      <c r="FX815" s="1"/>
      <c r="FY815" s="1"/>
      <c r="FZ815" s="1"/>
      <c r="GA815" s="1"/>
      <c r="GB815" s="1"/>
      <c r="GC815" s="1"/>
      <c r="GD815" s="1"/>
      <c r="GE815" s="1"/>
      <c r="GF815" s="1"/>
      <c r="GG815" s="1"/>
      <c r="GH815" s="1"/>
      <c r="GI815" s="1"/>
      <c r="GJ815" s="1"/>
      <c r="GK815" s="1"/>
      <c r="GL815" s="1"/>
      <c r="GM815" s="1"/>
      <c r="GN815" s="1"/>
      <c r="GO815" s="1"/>
      <c r="GP815" s="1"/>
      <c r="GQ815" s="1"/>
      <c r="GR815" s="1"/>
      <c r="GS815" s="1"/>
      <c r="GT815" s="1"/>
      <c r="GU815" s="1"/>
      <c r="GV815" s="1"/>
      <c r="GW815" s="1"/>
      <c r="GX815" s="1"/>
      <c r="GY815" s="1"/>
      <c r="GZ815" s="1"/>
      <c r="HA815" s="1"/>
      <c r="HB815" s="1"/>
      <c r="HC815" s="1"/>
      <c r="HD815" s="1"/>
      <c r="HE815" s="1"/>
      <c r="HF815" s="1"/>
      <c r="HG815" s="1"/>
      <c r="HH815" s="1"/>
      <c r="HI815" s="1"/>
      <c r="HJ815" s="1"/>
      <c r="HK815" s="1"/>
      <c r="HL815" s="1"/>
      <c r="HM815" s="1"/>
      <c r="HN815" s="1"/>
      <c r="HO815" s="1"/>
      <c r="HP815" s="1"/>
      <c r="HQ815" s="1"/>
      <c r="HR815" s="1"/>
      <c r="HS815" s="1"/>
      <c r="HT815" s="1"/>
      <c r="HU815" s="1"/>
      <c r="HV815" s="1"/>
      <c r="HW815" s="1"/>
      <c r="HX815" s="1"/>
      <c r="HY815" s="1"/>
      <c r="HZ815" s="1"/>
      <c r="IA815" s="1"/>
      <c r="IB815" s="1"/>
      <c r="IC815" s="1"/>
      <c r="ID815" s="1"/>
      <c r="IE815" s="1"/>
      <c r="IF815" s="1"/>
      <c r="IG815" s="1"/>
      <c r="IH815" s="1"/>
      <c r="II815" s="1"/>
      <c r="IJ815" s="1"/>
      <c r="IK815" s="1"/>
      <c r="IL815" s="1"/>
      <c r="IM815" s="1"/>
      <c r="IN815" s="1"/>
      <c r="IO815" s="1"/>
      <c r="IP815" s="1"/>
      <c r="IQ815" s="1"/>
      <c r="IR815" s="1"/>
      <c r="IS815" s="1"/>
      <c r="IT815" s="1"/>
      <c r="IU815" s="1"/>
      <c r="IV815" s="1"/>
      <c r="IW815" s="1"/>
      <c r="IX815" s="1"/>
      <c r="IY815" s="1"/>
      <c r="IZ815" s="1"/>
      <c r="JA815" s="1"/>
      <c r="JB815" s="1"/>
      <c r="JC815" s="1"/>
      <c r="JD815" s="1"/>
    </row>
    <row r="816" spans="1:264" s="347" customFormat="1" x14ac:dyDescent="0.2">
      <c r="A816" s="424" t="str">
        <f>A810</f>
        <v>Total IT Services Expense</v>
      </c>
      <c r="B816" s="348"/>
      <c r="BH816" s="348"/>
      <c r="BI816" s="481">
        <f>+BI810/BH810-1</f>
        <v>7.1770334928229707E-2</v>
      </c>
      <c r="BJ816" s="508"/>
      <c r="BK816" s="536"/>
      <c r="BL816" s="481">
        <f>+BL810/BI810-1</f>
        <v>4.1666666666666741E-2</v>
      </c>
      <c r="BM816" s="481">
        <f>+BM810/BL810-1</f>
        <v>-2.8571428571428581E-2</v>
      </c>
      <c r="BN816" s="508"/>
      <c r="BO816" s="536"/>
      <c r="BP816" s="481">
        <f>+BP810/BM810-1</f>
        <v>-7.6470588235294068E-2</v>
      </c>
      <c r="BQ816" s="481">
        <f>+BQ810/BP810-1</f>
        <v>5.7324840764331197E-2</v>
      </c>
      <c r="BR816" s="508"/>
      <c r="BS816" s="411"/>
      <c r="BT816" s="481">
        <f>+BT810/BQ810-1</f>
        <v>0.1325301204819278</v>
      </c>
      <c r="BU816" s="481">
        <f>+BU810/BT810-1</f>
        <v>-2.5265957446808485E-2</v>
      </c>
      <c r="BV816" s="508"/>
      <c r="BW816" s="411"/>
      <c r="BX816" s="481">
        <f>+BX810/BU810-1</f>
        <v>0.50341064120054568</v>
      </c>
      <c r="BY816" s="481">
        <f>+BY810/BX810-1</f>
        <v>-0.21143375680580767</v>
      </c>
      <c r="BZ816" s="536"/>
      <c r="CA816" s="411"/>
      <c r="CB816" s="481">
        <f>+CB810/BY810-1</f>
        <v>-5.0632911392405111E-2</v>
      </c>
      <c r="CC816" s="481">
        <f>+CC810/CB810-1</f>
        <v>0.18060606060606066</v>
      </c>
      <c r="CD816" s="536"/>
      <c r="CE816" s="411"/>
      <c r="CF816" s="481">
        <f>+CF810/CC810-1</f>
        <v>-0.10369609856262829</v>
      </c>
      <c r="CG816" s="481">
        <f>+CG810/CF810-1</f>
        <v>8.3619702176403132E-2</v>
      </c>
      <c r="CH816" s="536"/>
      <c r="CI816" s="411"/>
      <c r="CJ816" s="481">
        <f>+CJ810/CG810-1</f>
        <v>0.16807610993657507</v>
      </c>
      <c r="CK816" s="481">
        <f>+CK810/CJ810-1</f>
        <v>-0.17194570135746612</v>
      </c>
      <c r="CL816" s="536"/>
      <c r="CM816" s="411"/>
      <c r="CN816" s="481">
        <f>+CN810/CK810-1</f>
        <v>0.10273224043715845</v>
      </c>
      <c r="CO816" s="481">
        <f>+CO810/CN810-1</f>
        <v>2.7750247770069292E-2</v>
      </c>
      <c r="CP816" s="536"/>
      <c r="CQ816" s="411"/>
      <c r="CR816" s="481">
        <f>+CR810/CO810-1</f>
        <v>-7.4252651880424292E-2</v>
      </c>
      <c r="CS816" s="481">
        <f>+CS810/CR810-1</f>
        <v>0.45416666666666661</v>
      </c>
      <c r="CT816" s="536"/>
      <c r="CU816" s="411"/>
      <c r="CV816" s="481">
        <f>+CV810/CS810-1</f>
        <v>-0.26504297994269344</v>
      </c>
      <c r="CW816" s="481">
        <f>+CW810/CV810-1</f>
        <v>-1.5594541910331383E-2</v>
      </c>
      <c r="CX816" s="536"/>
      <c r="CY816" s="411"/>
      <c r="CZ816" s="481">
        <f>+CZ810/CW810-1</f>
        <v>9.5049504950495134E-2</v>
      </c>
      <c r="DA816" s="481">
        <f>+DA810/CZ810-1</f>
        <v>1.1754068716093968E-2</v>
      </c>
      <c r="DB816" s="536"/>
      <c r="DC816" s="411"/>
      <c r="DD816" s="481">
        <f>+DD810/DA810-1</f>
        <v>6.0768543342269776E-2</v>
      </c>
      <c r="DE816" s="481">
        <f>+DE810/DD810-1</f>
        <v>1.2636899747261898E-2</v>
      </c>
      <c r="DF816" s="536"/>
      <c r="DG816" s="411"/>
      <c r="DH816" s="481">
        <f>+DH810/DE810-1</f>
        <v>9.9001663893510727E-2</v>
      </c>
      <c r="DI816" s="481">
        <f>+DI810/DH810-1</f>
        <v>-7.357750977362465E-3</v>
      </c>
      <c r="DJ816" s="536"/>
      <c r="DK816" s="411"/>
      <c r="DL816" s="481">
        <f>+DL810/DI810-1</f>
        <v>2.7444389915466383E-2</v>
      </c>
      <c r="DM816" s="481">
        <f>+DM810/DL810-1</f>
        <v>1.4028952078429358E-2</v>
      </c>
      <c r="DN816" s="536"/>
      <c r="DO816" s="411"/>
      <c r="DP816" s="481">
        <f>+DP810/DM810-1</f>
        <v>3.4671612952181352E-2</v>
      </c>
      <c r="DQ816" s="481">
        <f>+DQ810/DP810-1</f>
        <v>7.9682795497992842E-3</v>
      </c>
      <c r="DR816" s="536"/>
      <c r="DS816" s="411"/>
      <c r="DT816" s="1"/>
      <c r="DU816" s="1"/>
      <c r="DV816" s="1"/>
      <c r="DW816" s="1"/>
      <c r="DX816" s="1"/>
      <c r="DY816" s="1"/>
      <c r="DZ816" s="1"/>
      <c r="EA816" s="1"/>
      <c r="EB816" s="1"/>
      <c r="EC816" s="1"/>
      <c r="ED816" s="1"/>
      <c r="EE816" s="1"/>
      <c r="EF816" s="1"/>
      <c r="EG816" s="1"/>
      <c r="EH816" s="1"/>
      <c r="EI816" s="1"/>
      <c r="EJ816" s="1"/>
      <c r="EK816" s="1"/>
      <c r="EL816" s="1"/>
      <c r="EM816" s="1"/>
      <c r="EN816" s="1"/>
      <c r="EO816" s="1"/>
      <c r="EP816" s="1"/>
      <c r="EQ816" s="1"/>
      <c r="ER816" s="1"/>
      <c r="ES816" s="1"/>
      <c r="ET816" s="1"/>
      <c r="EU816" s="1"/>
      <c r="EV816" s="1"/>
      <c r="EW816" s="1"/>
      <c r="EX816" s="1"/>
      <c r="EY816" s="1"/>
      <c r="EZ816" s="1"/>
      <c r="FA816" s="1"/>
      <c r="FB816" s="1"/>
      <c r="FC816" s="1"/>
      <c r="FD816" s="1"/>
      <c r="FE816" s="1"/>
      <c r="FF816" s="1"/>
      <c r="FG816" s="1"/>
      <c r="FH816" s="1"/>
      <c r="FI816" s="1"/>
      <c r="FJ816" s="1"/>
      <c r="FK816" s="1"/>
      <c r="FL816" s="1"/>
      <c r="FM816" s="1"/>
      <c r="FN816" s="1"/>
      <c r="FO816" s="1"/>
      <c r="FP816" s="1"/>
      <c r="FQ816" s="1"/>
      <c r="FR816" s="1"/>
      <c r="FS816" s="1"/>
      <c r="FT816" s="1"/>
      <c r="FU816" s="1"/>
      <c r="FV816" s="1"/>
      <c r="FW816" s="1"/>
      <c r="FX816" s="1"/>
      <c r="FY816" s="1"/>
      <c r="FZ816" s="1"/>
      <c r="GA816" s="1"/>
      <c r="GB816" s="1"/>
      <c r="GC816" s="1"/>
      <c r="GD816" s="1"/>
      <c r="GE816" s="1"/>
      <c r="GF816" s="1"/>
      <c r="GG816" s="1"/>
      <c r="GH816" s="1"/>
      <c r="GI816" s="1"/>
      <c r="GJ816" s="1"/>
      <c r="GK816" s="1"/>
      <c r="GL816" s="1"/>
      <c r="GM816" s="1"/>
      <c r="GN816" s="1"/>
      <c r="GO816" s="1"/>
      <c r="GP816" s="1"/>
      <c r="GQ816" s="1"/>
      <c r="GR816" s="1"/>
      <c r="GS816" s="1"/>
      <c r="GT816" s="1"/>
      <c r="GU816" s="1"/>
      <c r="GV816" s="1"/>
      <c r="GW816" s="1"/>
      <c r="GX816" s="1"/>
      <c r="GY816" s="1"/>
      <c r="GZ816" s="1"/>
      <c r="HA816" s="1"/>
      <c r="HB816" s="1"/>
      <c r="HC816" s="1"/>
      <c r="HD816" s="1"/>
      <c r="HE816" s="1"/>
      <c r="HF816" s="1"/>
      <c r="HG816" s="1"/>
      <c r="HH816" s="1"/>
      <c r="HI816" s="1"/>
      <c r="HJ816" s="1"/>
      <c r="HK816" s="1"/>
      <c r="HL816" s="1"/>
      <c r="HM816" s="1"/>
      <c r="HN816" s="1"/>
      <c r="HO816" s="1"/>
      <c r="HP816" s="1"/>
      <c r="HQ816" s="1"/>
      <c r="HR816" s="1"/>
      <c r="HS816" s="1"/>
      <c r="HT816" s="1"/>
      <c r="HU816" s="1"/>
      <c r="HV816" s="1"/>
      <c r="HW816" s="1"/>
      <c r="HX816" s="1"/>
      <c r="HY816" s="1"/>
      <c r="HZ816" s="1"/>
      <c r="IA816" s="1"/>
      <c r="IB816" s="1"/>
      <c r="IC816" s="1"/>
      <c r="ID816" s="1"/>
      <c r="IE816" s="1"/>
      <c r="IF816" s="1"/>
      <c r="IG816" s="1"/>
      <c r="IH816" s="1"/>
      <c r="II816" s="1"/>
      <c r="IJ816" s="1"/>
      <c r="IK816" s="1"/>
      <c r="IL816" s="1"/>
      <c r="IM816" s="1"/>
      <c r="IN816" s="1"/>
      <c r="IO816" s="1"/>
      <c r="IP816" s="1"/>
      <c r="IQ816" s="1"/>
      <c r="IR816" s="1"/>
      <c r="IS816" s="1"/>
      <c r="IT816" s="1"/>
      <c r="IU816" s="1"/>
      <c r="IV816" s="1"/>
      <c r="IW816" s="1"/>
      <c r="IX816" s="1"/>
      <c r="IY816" s="1"/>
      <c r="IZ816" s="1"/>
      <c r="JA816" s="1"/>
      <c r="JB816" s="1"/>
      <c r="JC816" s="1"/>
      <c r="JD816" s="1"/>
    </row>
    <row r="817" spans="1:264" s="347" customFormat="1" x14ac:dyDescent="0.2">
      <c r="B817" s="348"/>
      <c r="BH817" s="348"/>
      <c r="BI817" s="348"/>
      <c r="BJ817" s="348"/>
      <c r="BK817" s="348"/>
      <c r="BL817" s="348"/>
      <c r="BM817" s="348"/>
      <c r="BN817" s="348"/>
      <c r="BO817" s="348"/>
      <c r="BP817" s="348"/>
      <c r="BQ817" s="348"/>
      <c r="BR817" s="348"/>
      <c r="BT817" s="348"/>
      <c r="BU817" s="348"/>
      <c r="BV817" s="348"/>
      <c r="BX817" s="348"/>
      <c r="CB817" s="348"/>
      <c r="CF817" s="348"/>
      <c r="CJ817" s="348"/>
      <c r="DT817" s="1"/>
      <c r="DU817" s="1"/>
      <c r="DV817" s="1"/>
      <c r="DW817" s="1"/>
      <c r="DX817" s="1"/>
      <c r="DY817" s="1"/>
      <c r="DZ817" s="1"/>
      <c r="EA817" s="1"/>
      <c r="EB817" s="1"/>
      <c r="EC817" s="1"/>
      <c r="ED817" s="1"/>
      <c r="EE817" s="1"/>
      <c r="EF817" s="1"/>
      <c r="EG817" s="1"/>
      <c r="EH817" s="1"/>
      <c r="EI817" s="1"/>
      <c r="EJ817" s="1"/>
      <c r="EK817" s="1"/>
      <c r="EL817" s="1"/>
      <c r="EM817" s="1"/>
      <c r="EN817" s="1"/>
      <c r="EO817" s="1"/>
      <c r="EP817" s="1"/>
      <c r="EQ817" s="1"/>
      <c r="ER817" s="1"/>
      <c r="ES817" s="1"/>
      <c r="ET817" s="1"/>
      <c r="EU817" s="1"/>
      <c r="EV817" s="1"/>
      <c r="EW817" s="1"/>
      <c r="EX817" s="1"/>
      <c r="EY817" s="1"/>
      <c r="EZ817" s="1"/>
      <c r="FA817" s="1"/>
      <c r="FB817" s="1"/>
      <c r="FC817" s="1"/>
      <c r="FD817" s="1"/>
      <c r="FE817" s="1"/>
      <c r="FF817" s="1"/>
      <c r="FG817" s="1"/>
      <c r="FH817" s="1"/>
      <c r="FI817" s="1"/>
      <c r="FJ817" s="1"/>
      <c r="FK817" s="1"/>
      <c r="FL817" s="1"/>
      <c r="FM817" s="1"/>
      <c r="FN817" s="1"/>
      <c r="FO817" s="1"/>
      <c r="FP817" s="1"/>
      <c r="FQ817" s="1"/>
      <c r="FR817" s="1"/>
      <c r="FS817" s="1"/>
      <c r="FT817" s="1"/>
      <c r="FU817" s="1"/>
      <c r="FV817" s="1"/>
      <c r="FW817" s="1"/>
      <c r="FX817" s="1"/>
      <c r="FY817" s="1"/>
      <c r="FZ817" s="1"/>
      <c r="GA817" s="1"/>
      <c r="GB817" s="1"/>
      <c r="GC817" s="1"/>
      <c r="GD817" s="1"/>
      <c r="GE817" s="1"/>
      <c r="GF817" s="1"/>
      <c r="GG817" s="1"/>
      <c r="GH817" s="1"/>
      <c r="GI817" s="1"/>
      <c r="GJ817" s="1"/>
      <c r="GK817" s="1"/>
      <c r="GL817" s="1"/>
      <c r="GM817" s="1"/>
      <c r="GN817" s="1"/>
      <c r="GO817" s="1"/>
      <c r="GP817" s="1"/>
      <c r="GQ817" s="1"/>
      <c r="GR817" s="1"/>
      <c r="GS817" s="1"/>
      <c r="GT817" s="1"/>
      <c r="GU817" s="1"/>
      <c r="GV817" s="1"/>
      <c r="GW817" s="1"/>
      <c r="GX817" s="1"/>
      <c r="GY817" s="1"/>
      <c r="GZ817" s="1"/>
      <c r="HA817" s="1"/>
      <c r="HB817" s="1"/>
      <c r="HC817" s="1"/>
      <c r="HD817" s="1"/>
      <c r="HE817" s="1"/>
      <c r="HF817" s="1"/>
      <c r="HG817" s="1"/>
      <c r="HH817" s="1"/>
      <c r="HI817" s="1"/>
      <c r="HJ817" s="1"/>
      <c r="HK817" s="1"/>
      <c r="HL817" s="1"/>
      <c r="HM817" s="1"/>
      <c r="HN817" s="1"/>
      <c r="HO817" s="1"/>
      <c r="HP817" s="1"/>
      <c r="HQ817" s="1"/>
      <c r="HR817" s="1"/>
      <c r="HS817" s="1"/>
      <c r="HT817" s="1"/>
      <c r="HU817" s="1"/>
      <c r="HV817" s="1"/>
      <c r="HW817" s="1"/>
      <c r="HX817" s="1"/>
      <c r="HY817" s="1"/>
      <c r="HZ817" s="1"/>
      <c r="IA817" s="1"/>
      <c r="IB817" s="1"/>
      <c r="IC817" s="1"/>
      <c r="ID817" s="1"/>
      <c r="IE817" s="1"/>
      <c r="IF817" s="1"/>
      <c r="IG817" s="1"/>
      <c r="IH817" s="1"/>
      <c r="II817" s="1"/>
      <c r="IJ817" s="1"/>
      <c r="IK817" s="1"/>
      <c r="IL817" s="1"/>
      <c r="IM817" s="1"/>
      <c r="IN817" s="1"/>
      <c r="IO817" s="1"/>
      <c r="IP817" s="1"/>
      <c r="IQ817" s="1"/>
      <c r="IR817" s="1"/>
      <c r="IS817" s="1"/>
      <c r="IT817" s="1"/>
      <c r="IU817" s="1"/>
      <c r="IV817" s="1"/>
      <c r="IW817" s="1"/>
      <c r="IX817" s="1"/>
      <c r="IY817" s="1"/>
      <c r="IZ817" s="1"/>
      <c r="JA817" s="1"/>
      <c r="JB817" s="1"/>
      <c r="JC817" s="1"/>
      <c r="JD817" s="1"/>
    </row>
    <row r="818" spans="1:264" s="347" customFormat="1" x14ac:dyDescent="0.2">
      <c r="A818" s="347" t="s">
        <v>382</v>
      </c>
      <c r="B818" s="348"/>
      <c r="BH818" s="348"/>
      <c r="BI818" s="348"/>
      <c r="BJ818" s="348"/>
      <c r="BK818" s="348"/>
      <c r="BL818" s="348"/>
      <c r="BM818" s="348"/>
      <c r="BN818" s="348"/>
      <c r="BO818" s="348"/>
      <c r="BP818" s="348"/>
      <c r="BQ818" s="348"/>
      <c r="BR818" s="348"/>
      <c r="BT818" s="348"/>
      <c r="BU818" s="348"/>
      <c r="BV818" s="348"/>
      <c r="BX818" s="348"/>
      <c r="CB818" s="348"/>
      <c r="CF818" s="348"/>
      <c r="CJ818" s="348"/>
      <c r="DT818" s="1"/>
      <c r="DU818" s="1"/>
      <c r="DV818" s="1"/>
      <c r="DW818" s="1"/>
      <c r="DX818" s="1"/>
      <c r="DY818" s="1"/>
      <c r="DZ818" s="1"/>
      <c r="EA818" s="1"/>
      <c r="EB818" s="1"/>
      <c r="EC818" s="1"/>
      <c r="ED818" s="1"/>
      <c r="EE818" s="1"/>
      <c r="EF818" s="1"/>
      <c r="EG818" s="1"/>
      <c r="EH818" s="1"/>
      <c r="EI818" s="1"/>
      <c r="EJ818" s="1"/>
      <c r="EK818" s="1"/>
      <c r="EL818" s="1"/>
      <c r="EM818" s="1"/>
      <c r="EN818" s="1"/>
      <c r="EO818" s="1"/>
      <c r="EP818" s="1"/>
      <c r="EQ818" s="1"/>
      <c r="ER818" s="1"/>
      <c r="ES818" s="1"/>
      <c r="ET818" s="1"/>
      <c r="EU818" s="1"/>
      <c r="EV818" s="1"/>
      <c r="EW818" s="1"/>
      <c r="EX818" s="1"/>
      <c r="EY818" s="1"/>
      <c r="EZ818" s="1"/>
      <c r="FA818" s="1"/>
      <c r="FB818" s="1"/>
      <c r="FC818" s="1"/>
      <c r="FD818" s="1"/>
      <c r="FE818" s="1"/>
      <c r="FF818" s="1"/>
      <c r="FG818" s="1"/>
      <c r="FH818" s="1"/>
      <c r="FI818" s="1"/>
      <c r="FJ818" s="1"/>
      <c r="FK818" s="1"/>
      <c r="FL818" s="1"/>
      <c r="FM818" s="1"/>
      <c r="FN818" s="1"/>
      <c r="FO818" s="1"/>
      <c r="FP818" s="1"/>
      <c r="FQ818" s="1"/>
      <c r="FR818" s="1"/>
      <c r="FS818" s="1"/>
      <c r="FT818" s="1"/>
      <c r="FU818" s="1"/>
      <c r="FV818" s="1"/>
      <c r="FW818" s="1"/>
      <c r="FX818" s="1"/>
      <c r="FY818" s="1"/>
      <c r="FZ818" s="1"/>
      <c r="GA818" s="1"/>
      <c r="GB818" s="1"/>
      <c r="GC818" s="1"/>
      <c r="GD818" s="1"/>
      <c r="GE818" s="1"/>
      <c r="GF818" s="1"/>
      <c r="GG818" s="1"/>
      <c r="GH818" s="1"/>
      <c r="GI818" s="1"/>
      <c r="GJ818" s="1"/>
      <c r="GK818" s="1"/>
      <c r="GL818" s="1"/>
      <c r="GM818" s="1"/>
      <c r="GN818" s="1"/>
      <c r="GO818" s="1"/>
      <c r="GP818" s="1"/>
      <c r="GQ818" s="1"/>
      <c r="GR818" s="1"/>
      <c r="GS818" s="1"/>
      <c r="GT818" s="1"/>
      <c r="GU818" s="1"/>
      <c r="GV818" s="1"/>
      <c r="GW818" s="1"/>
      <c r="GX818" s="1"/>
      <c r="GY818" s="1"/>
      <c r="GZ818" s="1"/>
      <c r="HA818" s="1"/>
      <c r="HB818" s="1"/>
      <c r="HC818" s="1"/>
      <c r="HD818" s="1"/>
      <c r="HE818" s="1"/>
      <c r="HF818" s="1"/>
      <c r="HG818" s="1"/>
      <c r="HH818" s="1"/>
      <c r="HI818" s="1"/>
      <c r="HJ818" s="1"/>
      <c r="HK818" s="1"/>
      <c r="HL818" s="1"/>
      <c r="HM818" s="1"/>
      <c r="HN818" s="1"/>
      <c r="HO818" s="1"/>
      <c r="HP818" s="1"/>
      <c r="HQ818" s="1"/>
      <c r="HR818" s="1"/>
      <c r="HS818" s="1"/>
      <c r="HT818" s="1"/>
      <c r="HU818" s="1"/>
      <c r="HV818" s="1"/>
      <c r="HW818" s="1"/>
      <c r="HX818" s="1"/>
      <c r="HY818" s="1"/>
      <c r="HZ818" s="1"/>
      <c r="IA818" s="1"/>
      <c r="IB818" s="1"/>
      <c r="IC818" s="1"/>
      <c r="ID818" s="1"/>
      <c r="IE818" s="1"/>
      <c r="IF818" s="1"/>
      <c r="IG818" s="1"/>
      <c r="IH818" s="1"/>
      <c r="II818" s="1"/>
      <c r="IJ818" s="1"/>
      <c r="IK818" s="1"/>
      <c r="IL818" s="1"/>
      <c r="IM818" s="1"/>
      <c r="IN818" s="1"/>
      <c r="IO818" s="1"/>
      <c r="IP818" s="1"/>
      <c r="IQ818" s="1"/>
      <c r="IR818" s="1"/>
      <c r="IS818" s="1"/>
      <c r="IT818" s="1"/>
      <c r="IU818" s="1"/>
      <c r="IV818" s="1"/>
      <c r="IW818" s="1"/>
      <c r="IX818" s="1"/>
      <c r="IY818" s="1"/>
      <c r="IZ818" s="1"/>
      <c r="JA818" s="1"/>
      <c r="JB818" s="1"/>
      <c r="JC818" s="1"/>
      <c r="JD818" s="1"/>
    </row>
    <row r="819" spans="1:264" s="347" customFormat="1" x14ac:dyDescent="0.2">
      <c r="A819" s="447" t="s">
        <v>578</v>
      </c>
      <c r="B819" s="446"/>
      <c r="C819" s="447"/>
      <c r="D819" s="447"/>
      <c r="E819" s="447"/>
      <c r="F819" s="447"/>
      <c r="G819" s="447"/>
      <c r="H819" s="447"/>
      <c r="I819" s="447"/>
      <c r="J819" s="447"/>
      <c r="K819" s="447"/>
      <c r="L819" s="447"/>
      <c r="M819" s="447"/>
      <c r="N819" s="447"/>
      <c r="O819" s="447"/>
      <c r="P819" s="447"/>
      <c r="Q819" s="447"/>
      <c r="R819" s="447"/>
      <c r="S819" s="447"/>
      <c r="T819" s="447"/>
      <c r="U819" s="447"/>
      <c r="V819" s="447"/>
      <c r="W819" s="447"/>
      <c r="X819" s="447"/>
      <c r="Y819" s="447"/>
      <c r="Z819" s="447"/>
      <c r="AA819" s="447"/>
      <c r="AB819" s="447"/>
      <c r="AC819" s="447"/>
      <c r="AD819" s="447"/>
      <c r="AE819" s="447"/>
      <c r="AF819" s="447"/>
      <c r="AG819" s="447"/>
      <c r="AH819" s="447"/>
      <c r="AI819" s="447"/>
      <c r="AJ819" s="447"/>
      <c r="AK819" s="447"/>
      <c r="AL819" s="447"/>
      <c r="AM819" s="447"/>
      <c r="AN819" s="447"/>
      <c r="AO819" s="447"/>
      <c r="AP819" s="447"/>
      <c r="AQ819" s="447"/>
      <c r="AR819" s="447"/>
      <c r="AS819" s="447"/>
      <c r="AT819" s="447"/>
      <c r="AU819" s="447"/>
      <c r="AV819" s="447"/>
      <c r="AW819" s="447"/>
      <c r="AX819" s="447"/>
      <c r="AY819" s="447"/>
      <c r="AZ819" s="447"/>
      <c r="BA819" s="447"/>
      <c r="BB819" s="447"/>
      <c r="BC819" s="447"/>
      <c r="BD819" s="447"/>
      <c r="BE819" s="447"/>
      <c r="BF819" s="447"/>
      <c r="BG819" s="447"/>
      <c r="BH819" s="446"/>
      <c r="BI819" s="446"/>
      <c r="BJ819" s="446"/>
      <c r="BK819" s="446"/>
      <c r="BL819" s="446"/>
      <c r="BM819" s="446"/>
      <c r="BN819" s="446"/>
      <c r="BO819" s="446"/>
      <c r="BP819" s="446"/>
      <c r="BQ819" s="446"/>
      <c r="BR819" s="446"/>
      <c r="BS819" s="447"/>
      <c r="BT819" s="446"/>
      <c r="BU819" s="446"/>
      <c r="BV819" s="446"/>
      <c r="BW819" s="447"/>
      <c r="BX819" s="446"/>
      <c r="BY819" s="447"/>
      <c r="BZ819" s="447"/>
      <c r="CA819" s="447"/>
      <c r="CB819" s="448">
        <v>-68</v>
      </c>
      <c r="CC819" s="448">
        <v>-68</v>
      </c>
      <c r="CD819" s="449">
        <f>+CB819+CC819</f>
        <v>-136</v>
      </c>
      <c r="CE819" s="526"/>
      <c r="CF819" s="448">
        <v>-78</v>
      </c>
      <c r="CG819" s="448">
        <v>-83</v>
      </c>
      <c r="CH819" s="449">
        <f>+CF819+CG819</f>
        <v>-161</v>
      </c>
      <c r="CI819" s="526"/>
      <c r="CJ819" s="448">
        <v>-87</v>
      </c>
      <c r="CK819" s="448">
        <v>-83</v>
      </c>
      <c r="CL819" s="449">
        <f>+CJ819+CK819</f>
        <v>-170</v>
      </c>
      <c r="CM819" s="447"/>
      <c r="CN819" s="448">
        <f>-117-CO819</f>
        <v>-82</v>
      </c>
      <c r="CO819" s="448">
        <v>-35</v>
      </c>
      <c r="CP819" s="450">
        <v>-117</v>
      </c>
      <c r="CQ819" s="447"/>
      <c r="CR819" s="448">
        <v>0</v>
      </c>
      <c r="CS819" s="448">
        <v>0</v>
      </c>
      <c r="CT819" s="450">
        <f>CR819+CS819</f>
        <v>0</v>
      </c>
      <c r="CU819" s="447"/>
      <c r="CV819" s="448">
        <v>0</v>
      </c>
      <c r="CW819" s="448">
        <v>0</v>
      </c>
      <c r="CX819" s="450">
        <f>CV819+CW819</f>
        <v>0</v>
      </c>
      <c r="CY819" s="447"/>
      <c r="CZ819" s="448">
        <v>0</v>
      </c>
      <c r="DA819" s="448">
        <v>0</v>
      </c>
      <c r="DB819" s="450">
        <f>CZ819+DA819</f>
        <v>0</v>
      </c>
      <c r="DC819" s="447"/>
      <c r="DD819" s="448">
        <v>0</v>
      </c>
      <c r="DE819" s="448">
        <v>0</v>
      </c>
      <c r="DF819" s="450">
        <f>DD819+DE819</f>
        <v>0</v>
      </c>
      <c r="DG819" s="447"/>
      <c r="DH819" s="448">
        <v>0</v>
      </c>
      <c r="DI819" s="668">
        <v>0</v>
      </c>
      <c r="DJ819" s="449">
        <f>+DH819+DI819</f>
        <v>0</v>
      </c>
      <c r="DK819" s="447"/>
      <c r="DL819" s="668">
        <v>0</v>
      </c>
      <c r="DM819" s="668">
        <v>0</v>
      </c>
      <c r="DN819" s="449">
        <f>+DL819+DM819</f>
        <v>0</v>
      </c>
      <c r="DO819" s="447"/>
      <c r="DP819" s="668">
        <v>0</v>
      </c>
      <c r="DQ819" s="668">
        <v>0</v>
      </c>
      <c r="DR819" s="449">
        <f>+DP819+DQ819</f>
        <v>0</v>
      </c>
      <c r="DS819" s="447"/>
      <c r="DT819" s="1"/>
      <c r="DU819" s="1"/>
      <c r="DV819" s="1"/>
      <c r="DW819" s="1"/>
      <c r="DX819" s="1"/>
      <c r="DY819" s="1"/>
      <c r="DZ819" s="1"/>
      <c r="EA819" s="1"/>
      <c r="EB819" s="1"/>
      <c r="EC819" s="1"/>
      <c r="ED819" s="1"/>
      <c r="EE819" s="1"/>
      <c r="EF819" s="1"/>
      <c r="EG819" s="1"/>
      <c r="EH819" s="1"/>
      <c r="EI819" s="1"/>
      <c r="EJ819" s="1"/>
      <c r="EK819" s="1"/>
      <c r="EL819" s="1"/>
      <c r="EM819" s="1"/>
      <c r="EN819" s="1"/>
      <c r="EO819" s="1"/>
      <c r="EP819" s="1"/>
      <c r="EQ819" s="1"/>
      <c r="ER819" s="1"/>
      <c r="ES819" s="1"/>
      <c r="ET819" s="1"/>
      <c r="EU819" s="1"/>
      <c r="EV819" s="1"/>
      <c r="EW819" s="1"/>
      <c r="EX819" s="1"/>
      <c r="EY819" s="1"/>
      <c r="EZ819" s="1"/>
      <c r="FA819" s="1"/>
      <c r="FB819" s="1"/>
      <c r="FC819" s="1"/>
      <c r="FD819" s="1"/>
      <c r="FE819" s="1"/>
      <c r="FF819" s="1"/>
      <c r="FG819" s="1"/>
      <c r="FH819" s="1"/>
      <c r="FI819" s="1"/>
      <c r="FJ819" s="1"/>
      <c r="FK819" s="1"/>
      <c r="FL819" s="1"/>
      <c r="FM819" s="1"/>
      <c r="FN819" s="1"/>
      <c r="FO819" s="1"/>
      <c r="FP819" s="1"/>
      <c r="FQ819" s="1"/>
      <c r="FR819" s="1"/>
      <c r="FS819" s="1"/>
      <c r="FT819" s="1"/>
      <c r="FU819" s="1"/>
      <c r="FV819" s="1"/>
      <c r="FW819" s="1"/>
      <c r="FX819" s="1"/>
      <c r="FY819" s="1"/>
      <c r="FZ819" s="1"/>
      <c r="GA819" s="1"/>
      <c r="GB819" s="1"/>
      <c r="GC819" s="1"/>
      <c r="GD819" s="1"/>
      <c r="GE819" s="1"/>
      <c r="GF819" s="1"/>
      <c r="GG819" s="1"/>
      <c r="GH819" s="1"/>
      <c r="GI819" s="1"/>
      <c r="GJ819" s="1"/>
      <c r="GK819" s="1"/>
      <c r="GL819" s="1"/>
      <c r="GM819" s="1"/>
      <c r="GN819" s="1"/>
      <c r="GO819" s="1"/>
      <c r="GP819" s="1"/>
      <c r="GQ819" s="1"/>
      <c r="GR819" s="1"/>
      <c r="GS819" s="1"/>
      <c r="GT819" s="1"/>
      <c r="GU819" s="1"/>
      <c r="GV819" s="1"/>
      <c r="GW819" s="1"/>
      <c r="GX819" s="1"/>
      <c r="GY819" s="1"/>
      <c r="GZ819" s="1"/>
      <c r="HA819" s="1"/>
      <c r="HB819" s="1"/>
      <c r="HC819" s="1"/>
      <c r="HD819" s="1"/>
      <c r="HE819" s="1"/>
      <c r="HF819" s="1"/>
      <c r="HG819" s="1"/>
      <c r="HH819" s="1"/>
      <c r="HI819" s="1"/>
      <c r="HJ819" s="1"/>
      <c r="HK819" s="1"/>
      <c r="HL819" s="1"/>
      <c r="HM819" s="1"/>
      <c r="HN819" s="1"/>
      <c r="HO819" s="1"/>
      <c r="HP819" s="1"/>
      <c r="HQ819" s="1"/>
      <c r="HR819" s="1"/>
      <c r="HS819" s="1"/>
      <c r="HT819" s="1"/>
      <c r="HU819" s="1"/>
      <c r="HV819" s="1"/>
      <c r="HW819" s="1"/>
      <c r="HX819" s="1"/>
      <c r="HY819" s="1"/>
      <c r="HZ819" s="1"/>
      <c r="IA819" s="1"/>
      <c r="IB819" s="1"/>
      <c r="IC819" s="1"/>
      <c r="ID819" s="1"/>
      <c r="IE819" s="1"/>
      <c r="IF819" s="1"/>
      <c r="IG819" s="1"/>
      <c r="IH819" s="1"/>
      <c r="II819" s="1"/>
      <c r="IJ819" s="1"/>
      <c r="IK819" s="1"/>
      <c r="IL819" s="1"/>
      <c r="IM819" s="1"/>
      <c r="IN819" s="1"/>
      <c r="IO819" s="1"/>
      <c r="IP819" s="1"/>
      <c r="IQ819" s="1"/>
      <c r="IR819" s="1"/>
      <c r="IS819" s="1"/>
      <c r="IT819" s="1"/>
      <c r="IU819" s="1"/>
      <c r="IV819" s="1"/>
      <c r="IW819" s="1"/>
      <c r="IX819" s="1"/>
      <c r="IY819" s="1"/>
      <c r="IZ819" s="1"/>
      <c r="JA819" s="1"/>
      <c r="JB819" s="1"/>
      <c r="JC819" s="1"/>
      <c r="JD819" s="1"/>
    </row>
    <row r="820" spans="1:264" s="347" customFormat="1" x14ac:dyDescent="0.2">
      <c r="A820" s="347" t="s">
        <v>579</v>
      </c>
      <c r="B820" s="348"/>
      <c r="BH820" s="348"/>
      <c r="BI820" s="348"/>
      <c r="BJ820" s="348"/>
      <c r="BK820" s="348"/>
      <c r="BL820" s="348"/>
      <c r="BM820" s="348"/>
      <c r="BN820" s="348"/>
      <c r="BO820" s="348"/>
      <c r="BP820" s="348"/>
      <c r="BQ820" s="348"/>
      <c r="BR820" s="348"/>
      <c r="BT820" s="348"/>
      <c r="BU820" s="348"/>
      <c r="BV820" s="348"/>
      <c r="BX820" s="348"/>
      <c r="CB820" s="351">
        <f>CB805-CB819</f>
        <v>-192</v>
      </c>
      <c r="CC820" s="351">
        <f>CC805-CC819</f>
        <v>-235</v>
      </c>
      <c r="CD820" s="351">
        <f>+CB820+CC820</f>
        <v>-427</v>
      </c>
      <c r="CF820" s="351">
        <f>CF805-CF819</f>
        <v>-395</v>
      </c>
      <c r="CG820" s="351">
        <f>CG805-CG819</f>
        <v>-369</v>
      </c>
      <c r="CH820" s="351">
        <f>+CF820+CG820</f>
        <v>-764</v>
      </c>
      <c r="CJ820" s="351">
        <f>CJ805-CJ819</f>
        <v>-373</v>
      </c>
      <c r="CK820" s="351">
        <f>CK805-CK819</f>
        <v>-375</v>
      </c>
      <c r="CL820" s="351">
        <f>+CJ820+CK820</f>
        <v>-748</v>
      </c>
      <c r="CN820" s="351">
        <f>CN805-CN819</f>
        <v>-238</v>
      </c>
      <c r="CO820" s="351">
        <f>CO805-CO819</f>
        <v>-175</v>
      </c>
      <c r="CP820" s="351">
        <f>+CN820+CO820</f>
        <v>-413</v>
      </c>
      <c r="CR820" s="351">
        <f>CR805-CR819</f>
        <v>-160</v>
      </c>
      <c r="CS820" s="351">
        <f>CS805-CS819</f>
        <v>-156</v>
      </c>
      <c r="CT820" s="351">
        <f>+CR820+CS820</f>
        <v>-316</v>
      </c>
      <c r="CV820" s="351">
        <f>CV805-CV819</f>
        <v>-183</v>
      </c>
      <c r="CW820" s="351">
        <f>CW805-CW819</f>
        <v>-212</v>
      </c>
      <c r="CX820" s="351">
        <f>+CV820+CW820</f>
        <v>-395</v>
      </c>
      <c r="CZ820" s="351">
        <f>CZ805-CZ819</f>
        <v>-314</v>
      </c>
      <c r="DA820" s="351">
        <f>DA805-DA819</f>
        <v>-371</v>
      </c>
      <c r="DB820" s="351">
        <f>+CZ820+DA820</f>
        <v>-685</v>
      </c>
      <c r="DD820" s="351">
        <f>DD805-DD819</f>
        <v>-329</v>
      </c>
      <c r="DE820" s="351">
        <f>DE805-DE819</f>
        <v>-354</v>
      </c>
      <c r="DF820" s="351">
        <f>+DD820+DE820</f>
        <v>-683</v>
      </c>
      <c r="DH820" s="351">
        <f>DH805-DH819</f>
        <v>-358</v>
      </c>
      <c r="DI820" s="351">
        <f>DI427-DI822</f>
        <v>-387.2904109589042</v>
      </c>
      <c r="DJ820" s="351">
        <f>+DH820+DI820</f>
        <v>-745.2904109589042</v>
      </c>
      <c r="DL820" s="351">
        <f>DL427-DL822</f>
        <v>-421.78980184577347</v>
      </c>
      <c r="DM820" s="351">
        <f>DM427-DM822</f>
        <v>-439.03273687178347</v>
      </c>
      <c r="DN820" s="351">
        <f>+DL820+DM820</f>
        <v>-860.82253871755688</v>
      </c>
      <c r="DP820" s="351">
        <f>DP427-DP822</f>
        <v>-484.57366441124924</v>
      </c>
      <c r="DQ820" s="351">
        <f>DQ427-DQ822</f>
        <v>-493.84361201035222</v>
      </c>
      <c r="DR820" s="351">
        <f>+DP820+DQ820</f>
        <v>-978.4172764216014</v>
      </c>
      <c r="DT820" s="1"/>
      <c r="DU820" s="1"/>
      <c r="DV820" s="1"/>
      <c r="DW820" s="1"/>
      <c r="DX820" s="1"/>
      <c r="DY820" s="1"/>
      <c r="DZ820" s="1"/>
      <c r="EA820" s="1"/>
      <c r="EB820" s="1"/>
      <c r="EC820" s="1"/>
      <c r="ED820" s="1"/>
      <c r="EE820" s="1"/>
      <c r="EF820" s="1"/>
      <c r="EG820" s="1"/>
      <c r="EH820" s="1"/>
      <c r="EI820" s="1"/>
      <c r="EJ820" s="1"/>
      <c r="EK820" s="1"/>
      <c r="EL820" s="1"/>
      <c r="EM820" s="1"/>
      <c r="EN820" s="1"/>
      <c r="EO820" s="1"/>
      <c r="EP820" s="1"/>
      <c r="EQ820" s="1"/>
      <c r="ER820" s="1"/>
      <c r="ES820" s="1"/>
      <c r="ET820" s="1"/>
      <c r="EU820" s="1"/>
      <c r="EV820" s="1"/>
      <c r="EW820" s="1"/>
      <c r="EX820" s="1"/>
      <c r="EY820" s="1"/>
      <c r="EZ820" s="1"/>
      <c r="FA820" s="1"/>
      <c r="FB820" s="1"/>
      <c r="FC820" s="1"/>
      <c r="FD820" s="1"/>
      <c r="FE820" s="1"/>
      <c r="FF820" s="1"/>
      <c r="FG820" s="1"/>
      <c r="FH820" s="1"/>
      <c r="FI820" s="1"/>
      <c r="FJ820" s="1"/>
      <c r="FK820" s="1"/>
      <c r="FL820" s="1"/>
      <c r="FM820" s="1"/>
      <c r="FN820" s="1"/>
      <c r="FO820" s="1"/>
      <c r="FP820" s="1"/>
      <c r="FQ820" s="1"/>
      <c r="FR820" s="1"/>
      <c r="FS820" s="1"/>
      <c r="FT820" s="1"/>
      <c r="FU820" s="1"/>
      <c r="FV820" s="1"/>
      <c r="FW820" s="1"/>
      <c r="FX820" s="1"/>
      <c r="FY820" s="1"/>
      <c r="FZ820" s="1"/>
      <c r="GA820" s="1"/>
      <c r="GB820" s="1"/>
      <c r="GC820" s="1"/>
      <c r="GD820" s="1"/>
      <c r="GE820" s="1"/>
      <c r="GF820" s="1"/>
      <c r="GG820" s="1"/>
      <c r="GH820" s="1"/>
      <c r="GI820" s="1"/>
      <c r="GJ820" s="1"/>
      <c r="GK820" s="1"/>
      <c r="GL820" s="1"/>
      <c r="GM820" s="1"/>
      <c r="GN820" s="1"/>
      <c r="GO820" s="1"/>
      <c r="GP820" s="1"/>
      <c r="GQ820" s="1"/>
      <c r="GR820" s="1"/>
      <c r="GS820" s="1"/>
      <c r="GT820" s="1"/>
      <c r="GU820" s="1"/>
      <c r="GV820" s="1"/>
      <c r="GW820" s="1"/>
      <c r="GX820" s="1"/>
      <c r="GY820" s="1"/>
      <c r="GZ820" s="1"/>
      <c r="HA820" s="1"/>
      <c r="HB820" s="1"/>
      <c r="HC820" s="1"/>
      <c r="HD820" s="1"/>
      <c r="HE820" s="1"/>
      <c r="HF820" s="1"/>
      <c r="HG820" s="1"/>
      <c r="HH820" s="1"/>
      <c r="HI820" s="1"/>
      <c r="HJ820" s="1"/>
      <c r="HK820" s="1"/>
      <c r="HL820" s="1"/>
      <c r="HM820" s="1"/>
      <c r="HN820" s="1"/>
      <c r="HO820" s="1"/>
      <c r="HP820" s="1"/>
      <c r="HQ820" s="1"/>
      <c r="HR820" s="1"/>
      <c r="HS820" s="1"/>
      <c r="HT820" s="1"/>
      <c r="HU820" s="1"/>
      <c r="HV820" s="1"/>
      <c r="HW820" s="1"/>
      <c r="HX820" s="1"/>
      <c r="HY820" s="1"/>
      <c r="HZ820" s="1"/>
      <c r="IA820" s="1"/>
      <c r="IB820" s="1"/>
      <c r="IC820" s="1"/>
      <c r="ID820" s="1"/>
      <c r="IE820" s="1"/>
      <c r="IF820" s="1"/>
      <c r="IG820" s="1"/>
      <c r="IH820" s="1"/>
      <c r="II820" s="1"/>
      <c r="IJ820" s="1"/>
      <c r="IK820" s="1"/>
      <c r="IL820" s="1"/>
      <c r="IM820" s="1"/>
      <c r="IN820" s="1"/>
      <c r="IO820" s="1"/>
      <c r="IP820" s="1"/>
      <c r="IQ820" s="1"/>
      <c r="IR820" s="1"/>
      <c r="IS820" s="1"/>
      <c r="IT820" s="1"/>
      <c r="IU820" s="1"/>
      <c r="IV820" s="1"/>
      <c r="IW820" s="1"/>
      <c r="IX820" s="1"/>
      <c r="IY820" s="1"/>
      <c r="IZ820" s="1"/>
      <c r="JA820" s="1"/>
      <c r="JB820" s="1"/>
      <c r="JC820" s="1"/>
      <c r="JD820" s="1"/>
    </row>
    <row r="821" spans="1:264" s="347" customFormat="1" x14ac:dyDescent="0.2">
      <c r="A821" s="347" t="s">
        <v>563</v>
      </c>
      <c r="B821" s="348"/>
      <c r="BH821" s="348"/>
      <c r="BI821" s="348"/>
      <c r="BJ821" s="348"/>
      <c r="BK821" s="348"/>
      <c r="BL821" s="348"/>
      <c r="BM821" s="348"/>
      <c r="BN821" s="348"/>
      <c r="BO821" s="348"/>
      <c r="BP821" s="348"/>
      <c r="BQ821" s="348"/>
      <c r="BR821" s="348"/>
      <c r="BT821" s="348"/>
      <c r="BU821" s="348"/>
      <c r="BV821" s="348"/>
      <c r="BX821" s="348"/>
      <c r="CB821" s="351">
        <f>CB808</f>
        <v>0</v>
      </c>
      <c r="CC821" s="351">
        <f>CC808</f>
        <v>0</v>
      </c>
      <c r="CD821" s="351">
        <f>+CB821+CC821</f>
        <v>0</v>
      </c>
      <c r="CF821" s="351">
        <f>CF808</f>
        <v>0</v>
      </c>
      <c r="CG821" s="351">
        <f>CG808</f>
        <v>0</v>
      </c>
      <c r="CH821" s="351">
        <f>+CF821+CG821</f>
        <v>0</v>
      </c>
      <c r="CJ821" s="351">
        <f>CJ808</f>
        <v>-220</v>
      </c>
      <c r="CK821" s="351">
        <f>CK808</f>
        <v>0</v>
      </c>
      <c r="CL821" s="351">
        <f>+CJ821+CK821</f>
        <v>-220</v>
      </c>
      <c r="CN821" s="351">
        <f>CN808</f>
        <v>0</v>
      </c>
      <c r="CO821" s="351">
        <f>CO808</f>
        <v>0</v>
      </c>
      <c r="CP821" s="351">
        <f>+CN821+CO821</f>
        <v>0</v>
      </c>
      <c r="CR821" s="351">
        <f>CR808</f>
        <v>0</v>
      </c>
      <c r="CS821" s="351">
        <f>CS808</f>
        <v>-389</v>
      </c>
      <c r="CT821" s="351">
        <f>+CR821+CS821</f>
        <v>-389</v>
      </c>
      <c r="CV821" s="351">
        <f>CV808</f>
        <v>0</v>
      </c>
      <c r="CW821" s="351">
        <f>CW808</f>
        <v>0</v>
      </c>
      <c r="CX821" s="351">
        <f>+CV821+CW821</f>
        <v>0</v>
      </c>
      <c r="CZ821" s="351">
        <f>CZ808</f>
        <v>0</v>
      </c>
      <c r="DA821" s="351">
        <f>DA808</f>
        <v>0</v>
      </c>
      <c r="DB821" s="351">
        <f>+CZ821+DA821</f>
        <v>0</v>
      </c>
      <c r="DD821" s="351">
        <f>DD808</f>
        <v>0</v>
      </c>
      <c r="DE821" s="351">
        <f>DE808</f>
        <v>0</v>
      </c>
      <c r="DF821" s="351">
        <f>+DD821+DE821</f>
        <v>0</v>
      </c>
      <c r="DH821" s="351">
        <f>DH808</f>
        <v>0</v>
      </c>
      <c r="DI821" s="351">
        <f>DI808</f>
        <v>0</v>
      </c>
      <c r="DJ821" s="351">
        <f>+DH821+DI821</f>
        <v>0</v>
      </c>
      <c r="DL821" s="351">
        <f>DL808</f>
        <v>0</v>
      </c>
      <c r="DM821" s="351">
        <f>DM808</f>
        <v>0</v>
      </c>
      <c r="DN821" s="351">
        <f>+DL821+DM821</f>
        <v>0</v>
      </c>
      <c r="DP821" s="351">
        <f>DP808</f>
        <v>0</v>
      </c>
      <c r="DQ821" s="351">
        <f>DQ808</f>
        <v>0</v>
      </c>
      <c r="DR821" s="351">
        <f>+DP821+DQ821</f>
        <v>0</v>
      </c>
      <c r="DT821" s="1"/>
      <c r="DU821" s="1"/>
      <c r="DV821" s="1"/>
      <c r="DW821" s="1"/>
      <c r="DX821" s="1"/>
      <c r="DY821" s="1"/>
      <c r="DZ821" s="1"/>
      <c r="EA821" s="1"/>
      <c r="EB821" s="1"/>
      <c r="EC821" s="1"/>
      <c r="ED821" s="1"/>
      <c r="EE821" s="1"/>
      <c r="EF821" s="1"/>
      <c r="EG821" s="1"/>
      <c r="EH821" s="1"/>
      <c r="EI821" s="1"/>
      <c r="EJ821" s="1"/>
      <c r="EK821" s="1"/>
      <c r="EL821" s="1"/>
      <c r="EM821" s="1"/>
      <c r="EN821" s="1"/>
      <c r="EO821" s="1"/>
      <c r="EP821" s="1"/>
      <c r="EQ821" s="1"/>
      <c r="ER821" s="1"/>
      <c r="ES821" s="1"/>
      <c r="ET821" s="1"/>
      <c r="EU821" s="1"/>
      <c r="EV821" s="1"/>
      <c r="EW821" s="1"/>
      <c r="EX821" s="1"/>
      <c r="EY821" s="1"/>
      <c r="EZ821" s="1"/>
      <c r="FA821" s="1"/>
      <c r="FB821" s="1"/>
      <c r="FC821" s="1"/>
      <c r="FD821" s="1"/>
      <c r="FE821" s="1"/>
      <c r="FF821" s="1"/>
      <c r="FG821" s="1"/>
      <c r="FH821" s="1"/>
      <c r="FI821" s="1"/>
      <c r="FJ821" s="1"/>
      <c r="FK821" s="1"/>
      <c r="FL821" s="1"/>
      <c r="FM821" s="1"/>
      <c r="FN821" s="1"/>
      <c r="FO821" s="1"/>
      <c r="FP821" s="1"/>
      <c r="FQ821" s="1"/>
      <c r="FR821" s="1"/>
      <c r="FS821" s="1"/>
      <c r="FT821" s="1"/>
      <c r="FU821" s="1"/>
      <c r="FV821" s="1"/>
      <c r="FW821" s="1"/>
      <c r="FX821" s="1"/>
      <c r="FY821" s="1"/>
      <c r="FZ821" s="1"/>
      <c r="GA821" s="1"/>
      <c r="GB821" s="1"/>
      <c r="GC821" s="1"/>
      <c r="GD821" s="1"/>
      <c r="GE821" s="1"/>
      <c r="GF821" s="1"/>
      <c r="GG821" s="1"/>
      <c r="GH821" s="1"/>
      <c r="GI821" s="1"/>
      <c r="GJ821" s="1"/>
      <c r="GK821" s="1"/>
      <c r="GL821" s="1"/>
      <c r="GM821" s="1"/>
      <c r="GN821" s="1"/>
      <c r="GO821" s="1"/>
      <c r="GP821" s="1"/>
      <c r="GQ821" s="1"/>
      <c r="GR821" s="1"/>
      <c r="GS821" s="1"/>
      <c r="GT821" s="1"/>
      <c r="GU821" s="1"/>
      <c r="GV821" s="1"/>
      <c r="GW821" s="1"/>
      <c r="GX821" s="1"/>
      <c r="GY821" s="1"/>
      <c r="GZ821" s="1"/>
      <c r="HA821" s="1"/>
      <c r="HB821" s="1"/>
      <c r="HC821" s="1"/>
      <c r="HD821" s="1"/>
      <c r="HE821" s="1"/>
      <c r="HF821" s="1"/>
      <c r="HG821" s="1"/>
      <c r="HH821" s="1"/>
      <c r="HI821" s="1"/>
      <c r="HJ821" s="1"/>
      <c r="HK821" s="1"/>
      <c r="HL821" s="1"/>
      <c r="HM821" s="1"/>
      <c r="HN821" s="1"/>
      <c r="HO821" s="1"/>
      <c r="HP821" s="1"/>
      <c r="HQ821" s="1"/>
      <c r="HR821" s="1"/>
      <c r="HS821" s="1"/>
      <c r="HT821" s="1"/>
      <c r="HU821" s="1"/>
      <c r="HV821" s="1"/>
      <c r="HW821" s="1"/>
      <c r="HX821" s="1"/>
      <c r="HY821" s="1"/>
      <c r="HZ821" s="1"/>
      <c r="IA821" s="1"/>
      <c r="IB821" s="1"/>
      <c r="IC821" s="1"/>
      <c r="ID821" s="1"/>
      <c r="IE821" s="1"/>
      <c r="IF821" s="1"/>
      <c r="IG821" s="1"/>
      <c r="IH821" s="1"/>
      <c r="II821" s="1"/>
      <c r="IJ821" s="1"/>
      <c r="IK821" s="1"/>
      <c r="IL821" s="1"/>
      <c r="IM821" s="1"/>
      <c r="IN821" s="1"/>
      <c r="IO821" s="1"/>
      <c r="IP821" s="1"/>
      <c r="IQ821" s="1"/>
      <c r="IR821" s="1"/>
      <c r="IS821" s="1"/>
      <c r="IT821" s="1"/>
      <c r="IU821" s="1"/>
      <c r="IV821" s="1"/>
      <c r="IW821" s="1"/>
      <c r="IX821" s="1"/>
      <c r="IY821" s="1"/>
      <c r="IZ821" s="1"/>
      <c r="JA821" s="1"/>
      <c r="JB821" s="1"/>
      <c r="JC821" s="1"/>
      <c r="JD821" s="1"/>
    </row>
    <row r="822" spans="1:264" s="347" customFormat="1" x14ac:dyDescent="0.2">
      <c r="A822" s="347" t="s">
        <v>580</v>
      </c>
      <c r="B822" s="348"/>
      <c r="BH822" s="348"/>
      <c r="BI822" s="348"/>
      <c r="BJ822" s="348"/>
      <c r="BK822" s="348"/>
      <c r="BL822" s="348"/>
      <c r="BM822" s="348"/>
      <c r="BN822" s="348"/>
      <c r="BO822" s="348"/>
      <c r="BP822" s="348"/>
      <c r="BQ822" s="348"/>
      <c r="BR822" s="348"/>
      <c r="BT822" s="348"/>
      <c r="BU822" s="348"/>
      <c r="BV822" s="348"/>
      <c r="BX822" s="348"/>
      <c r="CB822" s="351">
        <f>CB809</f>
        <v>-10</v>
      </c>
      <c r="CC822" s="351">
        <f>CC809</f>
        <v>-61</v>
      </c>
      <c r="CD822" s="351">
        <f>+CB822+CC822</f>
        <v>-71</v>
      </c>
      <c r="CF822" s="351">
        <f>CF809</f>
        <v>0</v>
      </c>
      <c r="CG822" s="351">
        <f>CG809</f>
        <v>-13</v>
      </c>
      <c r="CH822" s="351">
        <f>+CF822+CG822</f>
        <v>-13</v>
      </c>
      <c r="CJ822" s="351">
        <f>CJ809</f>
        <v>-11</v>
      </c>
      <c r="CK822" s="351">
        <f>CK809</f>
        <v>-3</v>
      </c>
      <c r="CL822" s="351">
        <f>+CJ822+CK822</f>
        <v>-14</v>
      </c>
      <c r="CN822" s="351">
        <f>CN809</f>
        <v>0</v>
      </c>
      <c r="CO822" s="351">
        <f>CO809</f>
        <v>-9</v>
      </c>
      <c r="CP822" s="351">
        <f>+CN822+CO822</f>
        <v>-9</v>
      </c>
      <c r="CR822" s="351">
        <f>CR809</f>
        <v>0</v>
      </c>
      <c r="CS822" s="351">
        <f>CS809</f>
        <v>0</v>
      </c>
      <c r="CT822" s="351">
        <f>+CR822+CS822</f>
        <v>0</v>
      </c>
      <c r="CV822" s="351">
        <f>CV809</f>
        <v>0</v>
      </c>
      <c r="CW822" s="351">
        <f>CW809</f>
        <v>0</v>
      </c>
      <c r="CX822" s="351">
        <f>+CV822+CW822</f>
        <v>0</v>
      </c>
      <c r="CZ822" s="351">
        <f>CZ809</f>
        <v>0</v>
      </c>
      <c r="DA822" s="351">
        <f>DA809</f>
        <v>0</v>
      </c>
      <c r="DB822" s="351">
        <f>+CZ822+DA822</f>
        <v>0</v>
      </c>
      <c r="DD822" s="351">
        <f>DD809</f>
        <v>0</v>
      </c>
      <c r="DE822" s="351">
        <f>DE809</f>
        <v>0</v>
      </c>
      <c r="DF822" s="351">
        <f>+DD822+DE822</f>
        <v>0</v>
      </c>
      <c r="DH822" s="351">
        <f>DH809</f>
        <v>0</v>
      </c>
      <c r="DI822" s="351">
        <f>DI809</f>
        <v>0</v>
      </c>
      <c r="DJ822" s="351">
        <f>+DH822+DI822</f>
        <v>0</v>
      </c>
      <c r="DL822" s="351">
        <f>DL809</f>
        <v>0</v>
      </c>
      <c r="DM822" s="351">
        <f>DM809</f>
        <v>0</v>
      </c>
      <c r="DN822" s="351">
        <f>+DL822+DM822</f>
        <v>0</v>
      </c>
      <c r="DP822" s="351">
        <f>DP809</f>
        <v>0</v>
      </c>
      <c r="DQ822" s="351">
        <f>DQ809</f>
        <v>0</v>
      </c>
      <c r="DR822" s="351">
        <f>+DP822+DQ822</f>
        <v>0</v>
      </c>
      <c r="DT822" s="1"/>
      <c r="DU822" s="1"/>
      <c r="DV822" s="1"/>
      <c r="DW822" s="1"/>
      <c r="DX822" s="1"/>
      <c r="DY822" s="1"/>
      <c r="DZ822" s="1"/>
      <c r="EA822" s="1"/>
      <c r="EB822" s="1"/>
      <c r="EC822" s="1"/>
      <c r="ED822" s="1"/>
      <c r="EE822" s="1"/>
      <c r="EF822" s="1"/>
      <c r="EG822" s="1"/>
      <c r="EH822" s="1"/>
      <c r="EI822" s="1"/>
      <c r="EJ822" s="1"/>
      <c r="EK822" s="1"/>
      <c r="EL822" s="1"/>
      <c r="EM822" s="1"/>
      <c r="EN822" s="1"/>
      <c r="EO822" s="1"/>
      <c r="EP822" s="1"/>
      <c r="EQ822" s="1"/>
      <c r="ER822" s="1"/>
      <c r="ES822" s="1"/>
      <c r="ET822" s="1"/>
      <c r="EU822" s="1"/>
      <c r="EV822" s="1"/>
      <c r="EW822" s="1"/>
      <c r="EX822" s="1"/>
      <c r="EY822" s="1"/>
      <c r="EZ822" s="1"/>
      <c r="FA822" s="1"/>
      <c r="FB822" s="1"/>
      <c r="FC822" s="1"/>
      <c r="FD822" s="1"/>
      <c r="FE822" s="1"/>
      <c r="FF822" s="1"/>
      <c r="FG822" s="1"/>
      <c r="FH822" s="1"/>
      <c r="FI822" s="1"/>
      <c r="FJ822" s="1"/>
      <c r="FK822" s="1"/>
      <c r="FL822" s="1"/>
      <c r="FM822" s="1"/>
      <c r="FN822" s="1"/>
      <c r="FO822" s="1"/>
      <c r="FP822" s="1"/>
      <c r="FQ822" s="1"/>
      <c r="FR822" s="1"/>
      <c r="FS822" s="1"/>
      <c r="FT822" s="1"/>
      <c r="FU822" s="1"/>
      <c r="FV822" s="1"/>
      <c r="FW822" s="1"/>
      <c r="FX822" s="1"/>
      <c r="FY822" s="1"/>
      <c r="FZ822" s="1"/>
      <c r="GA822" s="1"/>
      <c r="GB822" s="1"/>
      <c r="GC822" s="1"/>
      <c r="GD822" s="1"/>
      <c r="GE822" s="1"/>
      <c r="GF822" s="1"/>
      <c r="GG822" s="1"/>
      <c r="GH822" s="1"/>
      <c r="GI822" s="1"/>
      <c r="GJ822" s="1"/>
      <c r="GK822" s="1"/>
      <c r="GL822" s="1"/>
      <c r="GM822" s="1"/>
      <c r="GN822" s="1"/>
      <c r="GO822" s="1"/>
      <c r="GP822" s="1"/>
      <c r="GQ822" s="1"/>
      <c r="GR822" s="1"/>
      <c r="GS822" s="1"/>
      <c r="GT822" s="1"/>
      <c r="GU822" s="1"/>
      <c r="GV822" s="1"/>
      <c r="GW822" s="1"/>
      <c r="GX822" s="1"/>
      <c r="GY822" s="1"/>
      <c r="GZ822" s="1"/>
      <c r="HA822" s="1"/>
      <c r="HB822" s="1"/>
      <c r="HC822" s="1"/>
      <c r="HD822" s="1"/>
      <c r="HE822" s="1"/>
      <c r="HF822" s="1"/>
      <c r="HG822" s="1"/>
      <c r="HH822" s="1"/>
      <c r="HI822" s="1"/>
      <c r="HJ822" s="1"/>
      <c r="HK822" s="1"/>
      <c r="HL822" s="1"/>
      <c r="HM822" s="1"/>
      <c r="HN822" s="1"/>
      <c r="HO822" s="1"/>
      <c r="HP822" s="1"/>
      <c r="HQ822" s="1"/>
      <c r="HR822" s="1"/>
      <c r="HS822" s="1"/>
      <c r="HT822" s="1"/>
      <c r="HU822" s="1"/>
      <c r="HV822" s="1"/>
      <c r="HW822" s="1"/>
      <c r="HX822" s="1"/>
      <c r="HY822" s="1"/>
      <c r="HZ822" s="1"/>
      <c r="IA822" s="1"/>
      <c r="IB822" s="1"/>
      <c r="IC822" s="1"/>
      <c r="ID822" s="1"/>
      <c r="IE822" s="1"/>
      <c r="IF822" s="1"/>
      <c r="IG822" s="1"/>
      <c r="IH822" s="1"/>
      <c r="II822" s="1"/>
      <c r="IJ822" s="1"/>
      <c r="IK822" s="1"/>
      <c r="IL822" s="1"/>
      <c r="IM822" s="1"/>
      <c r="IN822" s="1"/>
      <c r="IO822" s="1"/>
      <c r="IP822" s="1"/>
      <c r="IQ822" s="1"/>
      <c r="IR822" s="1"/>
      <c r="IS822" s="1"/>
      <c r="IT822" s="1"/>
      <c r="IU822" s="1"/>
      <c r="IV822" s="1"/>
      <c r="IW822" s="1"/>
      <c r="IX822" s="1"/>
      <c r="IY822" s="1"/>
      <c r="IZ822" s="1"/>
      <c r="JA822" s="1"/>
      <c r="JB822" s="1"/>
      <c r="JC822" s="1"/>
      <c r="JD822" s="1"/>
    </row>
    <row r="823" spans="1:264" s="411" customFormat="1" x14ac:dyDescent="0.2">
      <c r="A823" s="411" t="s">
        <v>581</v>
      </c>
      <c r="B823" s="423"/>
      <c r="BH823" s="423"/>
      <c r="BI823" s="423"/>
      <c r="BJ823" s="423"/>
      <c r="BK823" s="423"/>
      <c r="BL823" s="423"/>
      <c r="BM823" s="423"/>
      <c r="BN823" s="423"/>
      <c r="BO823" s="423"/>
      <c r="BP823" s="423"/>
      <c r="BQ823" s="423"/>
      <c r="BR823" s="423"/>
      <c r="BT823" s="423"/>
      <c r="BU823" s="423"/>
      <c r="BV823" s="423"/>
      <c r="BX823" s="423"/>
      <c r="CB823" s="397">
        <f>SUM(CB819:CB822)</f>
        <v>-270</v>
      </c>
      <c r="CC823" s="397">
        <f>SUM(CC819:CC822)</f>
        <v>-364</v>
      </c>
      <c r="CD823" s="397">
        <f>+CB823+CC823</f>
        <v>-634</v>
      </c>
      <c r="CF823" s="397">
        <f>SUM(CF819:CF822)</f>
        <v>-473</v>
      </c>
      <c r="CG823" s="397">
        <f>SUM(CG819:CG822)</f>
        <v>-465</v>
      </c>
      <c r="CH823" s="397">
        <f>+CF823+CG823</f>
        <v>-938</v>
      </c>
      <c r="CJ823" s="397">
        <f>SUM(CJ819:CJ822)</f>
        <v>-691</v>
      </c>
      <c r="CK823" s="397">
        <f>SUM(CK819:CK822)</f>
        <v>-461</v>
      </c>
      <c r="CL823" s="397">
        <f>+CJ823+CK823</f>
        <v>-1152</v>
      </c>
      <c r="CN823" s="397">
        <f>SUM(CN819:CN822)</f>
        <v>-320</v>
      </c>
      <c r="CO823" s="397">
        <f>SUM(CO819:CO822)</f>
        <v>-219</v>
      </c>
      <c r="CP823" s="397">
        <f>+CN823+CO823</f>
        <v>-539</v>
      </c>
      <c r="CR823" s="397">
        <f>SUM(CR819:CR822)</f>
        <v>-160</v>
      </c>
      <c r="CS823" s="397">
        <f>SUM(CS819:CS822)</f>
        <v>-545</v>
      </c>
      <c r="CT823" s="397">
        <f>+CR823+CS823</f>
        <v>-705</v>
      </c>
      <c r="CV823" s="397">
        <f>SUM(CV819:CV822)</f>
        <v>-183</v>
      </c>
      <c r="CW823" s="397">
        <f>SUM(CW819:CW822)</f>
        <v>-212</v>
      </c>
      <c r="CX823" s="397">
        <f>+CV823+CW823</f>
        <v>-395</v>
      </c>
      <c r="CZ823" s="397">
        <f>SUM(CZ819:CZ822)</f>
        <v>-314</v>
      </c>
      <c r="DA823" s="397">
        <f>SUM(DA819:DA822)</f>
        <v>-371</v>
      </c>
      <c r="DB823" s="397">
        <f>+CZ823+DA823</f>
        <v>-685</v>
      </c>
      <c r="DD823" s="397">
        <f>SUM(DD819:DD822)</f>
        <v>-329</v>
      </c>
      <c r="DE823" s="397">
        <f>SUM(DE819:DE822)</f>
        <v>-354</v>
      </c>
      <c r="DF823" s="397">
        <f>+DD823+DE823</f>
        <v>-683</v>
      </c>
      <c r="DH823" s="397">
        <f>SUM(DH819:DH822)</f>
        <v>-358</v>
      </c>
      <c r="DI823" s="397">
        <f>SUM(DI819:DI822)</f>
        <v>-387.2904109589042</v>
      </c>
      <c r="DJ823" s="397">
        <f>+DH823+DI823</f>
        <v>-745.2904109589042</v>
      </c>
      <c r="DL823" s="397">
        <f>SUM(DL819:DL822)</f>
        <v>-421.78980184577347</v>
      </c>
      <c r="DM823" s="397">
        <f>SUM(DM819:DM822)</f>
        <v>-439.03273687178347</v>
      </c>
      <c r="DN823" s="397">
        <f>+DL823+DM823</f>
        <v>-860.82253871755688</v>
      </c>
      <c r="DP823" s="397">
        <f>SUM(DP819:DP822)</f>
        <v>-484.57366441124924</v>
      </c>
      <c r="DQ823" s="397">
        <f>SUM(DQ819:DQ822)</f>
        <v>-493.84361201035222</v>
      </c>
      <c r="DR823" s="397">
        <f>+DP823+DQ823</f>
        <v>-978.4172764216014</v>
      </c>
      <c r="DT823" s="451"/>
      <c r="DU823" s="451"/>
      <c r="DV823" s="451"/>
      <c r="DW823" s="451"/>
      <c r="DX823" s="451"/>
      <c r="DY823" s="451"/>
      <c r="DZ823" s="451"/>
      <c r="EA823" s="451"/>
      <c r="EB823" s="451"/>
      <c r="EC823" s="451"/>
      <c r="ED823" s="451"/>
      <c r="EE823" s="451"/>
      <c r="EF823" s="451"/>
      <c r="EG823" s="451"/>
      <c r="EH823" s="451"/>
      <c r="EI823" s="451"/>
      <c r="EJ823" s="451"/>
      <c r="EK823" s="451"/>
      <c r="EL823" s="451"/>
      <c r="EM823" s="451"/>
      <c r="EN823" s="451"/>
      <c r="EO823" s="451"/>
      <c r="EP823" s="451"/>
      <c r="EQ823" s="451"/>
      <c r="ER823" s="451"/>
      <c r="ES823" s="451"/>
      <c r="ET823" s="451"/>
      <c r="EU823" s="451"/>
      <c r="EV823" s="451"/>
      <c r="EW823" s="451"/>
      <c r="EX823" s="451"/>
      <c r="EY823" s="451"/>
      <c r="EZ823" s="451"/>
      <c r="FA823" s="451"/>
      <c r="FB823" s="451"/>
      <c r="FC823" s="451"/>
      <c r="FD823" s="451"/>
      <c r="FE823" s="451"/>
      <c r="FF823" s="451"/>
      <c r="FG823" s="451"/>
      <c r="FH823" s="451"/>
      <c r="FI823" s="451"/>
      <c r="FJ823" s="451"/>
      <c r="FK823" s="451"/>
      <c r="FL823" s="451"/>
      <c r="FM823" s="451"/>
      <c r="FN823" s="451"/>
      <c r="FO823" s="451"/>
      <c r="FP823" s="451"/>
      <c r="FQ823" s="451"/>
      <c r="FR823" s="451"/>
      <c r="FS823" s="451"/>
      <c r="FT823" s="451"/>
      <c r="FU823" s="451"/>
      <c r="FV823" s="451"/>
      <c r="FW823" s="451"/>
      <c r="FX823" s="451"/>
      <c r="FY823" s="451"/>
      <c r="FZ823" s="451"/>
      <c r="GA823" s="451"/>
      <c r="GB823" s="451"/>
      <c r="GC823" s="451"/>
      <c r="GD823" s="451"/>
      <c r="GE823" s="451"/>
      <c r="GF823" s="451"/>
      <c r="GG823" s="451"/>
      <c r="GH823" s="451"/>
      <c r="GI823" s="451"/>
      <c r="GJ823" s="451"/>
      <c r="GK823" s="451"/>
      <c r="GL823" s="451"/>
      <c r="GM823" s="451"/>
      <c r="GN823" s="451"/>
      <c r="GO823" s="451"/>
      <c r="GP823" s="451"/>
      <c r="GQ823" s="451"/>
      <c r="GR823" s="451"/>
      <c r="GS823" s="451"/>
      <c r="GT823" s="451"/>
      <c r="GU823" s="451"/>
      <c r="GV823" s="451"/>
      <c r="GW823" s="451"/>
      <c r="GX823" s="451"/>
      <c r="GY823" s="451"/>
      <c r="GZ823" s="451"/>
      <c r="HA823" s="451"/>
      <c r="HB823" s="451"/>
      <c r="HC823" s="451"/>
      <c r="HD823" s="451"/>
      <c r="HE823" s="451"/>
      <c r="HF823" s="451"/>
      <c r="HG823" s="451"/>
      <c r="HH823" s="451"/>
      <c r="HI823" s="451"/>
      <c r="HJ823" s="451"/>
      <c r="HK823" s="451"/>
      <c r="HL823" s="451"/>
      <c r="HM823" s="451"/>
      <c r="HN823" s="451"/>
      <c r="HO823" s="451"/>
      <c r="HP823" s="451"/>
      <c r="HQ823" s="451"/>
      <c r="HR823" s="451"/>
      <c r="HS823" s="451"/>
      <c r="HT823" s="451"/>
      <c r="HU823" s="451"/>
      <c r="HV823" s="451"/>
      <c r="HW823" s="451"/>
      <c r="HX823" s="451"/>
      <c r="HY823" s="451"/>
      <c r="HZ823" s="451"/>
      <c r="IA823" s="451"/>
      <c r="IB823" s="451"/>
      <c r="IC823" s="451"/>
      <c r="ID823" s="451"/>
      <c r="IE823" s="451"/>
      <c r="IF823" s="451"/>
      <c r="IG823" s="451"/>
      <c r="IH823" s="451"/>
      <c r="II823" s="451"/>
      <c r="IJ823" s="451"/>
      <c r="IK823" s="451"/>
      <c r="IL823" s="451"/>
      <c r="IM823" s="451"/>
      <c r="IN823" s="451"/>
      <c r="IO823" s="451"/>
      <c r="IP823" s="451"/>
      <c r="IQ823" s="451"/>
      <c r="IR823" s="451"/>
      <c r="IS823" s="451"/>
      <c r="IT823" s="451"/>
      <c r="IU823" s="451"/>
      <c r="IV823" s="451"/>
      <c r="IW823" s="451"/>
      <c r="IX823" s="451"/>
      <c r="IY823" s="451"/>
      <c r="IZ823" s="451"/>
      <c r="JA823" s="451"/>
      <c r="JB823" s="451"/>
      <c r="JC823" s="451"/>
      <c r="JD823" s="451"/>
    </row>
    <row r="824" spans="1:264" s="347" customFormat="1" x14ac:dyDescent="0.2">
      <c r="B824" s="348"/>
      <c r="BH824" s="348"/>
      <c r="BI824" s="348"/>
      <c r="BJ824" s="348"/>
      <c r="BK824" s="348"/>
      <c r="BL824" s="348"/>
      <c r="BM824" s="348"/>
      <c r="BN824" s="348"/>
      <c r="BO824" s="348"/>
      <c r="BP824" s="348"/>
      <c r="BQ824" s="348"/>
      <c r="BR824" s="348"/>
      <c r="BT824" s="348"/>
      <c r="BU824" s="348"/>
      <c r="BV824" s="348"/>
      <c r="BX824" s="348"/>
      <c r="CB824" s="348"/>
      <c r="CF824" s="348"/>
      <c r="CJ824" s="348"/>
      <c r="CN824" s="348"/>
      <c r="CR824" s="348"/>
      <c r="CV824" s="348"/>
      <c r="CZ824" s="348"/>
      <c r="DD824" s="348"/>
      <c r="DH824" s="348"/>
      <c r="DT824" s="1"/>
      <c r="DU824" s="1"/>
      <c r="DV824" s="1"/>
      <c r="DW824" s="1"/>
      <c r="DX824" s="1"/>
      <c r="DY824" s="1"/>
      <c r="DZ824" s="1"/>
      <c r="EA824" s="1"/>
      <c r="EB824" s="1"/>
      <c r="EC824" s="1"/>
      <c r="ED824" s="1"/>
      <c r="EE824" s="1"/>
      <c r="EF824" s="1"/>
      <c r="EG824" s="1"/>
      <c r="EH824" s="1"/>
      <c r="EI824" s="1"/>
      <c r="EJ824" s="1"/>
      <c r="EK824" s="1"/>
      <c r="EL824" s="1"/>
      <c r="EM824" s="1"/>
      <c r="EN824" s="1"/>
      <c r="EO824" s="1"/>
      <c r="EP824" s="1"/>
      <c r="EQ824" s="1"/>
      <c r="ER824" s="1"/>
      <c r="ES824" s="1"/>
      <c r="ET824" s="1"/>
      <c r="EU824" s="1"/>
      <c r="EV824" s="1"/>
      <c r="EW824" s="1"/>
      <c r="EX824" s="1"/>
      <c r="EY824" s="1"/>
      <c r="EZ824" s="1"/>
      <c r="FA824" s="1"/>
      <c r="FB824" s="1"/>
      <c r="FC824" s="1"/>
      <c r="FD824" s="1"/>
      <c r="FE824" s="1"/>
      <c r="FF824" s="1"/>
      <c r="FG824" s="1"/>
      <c r="FH824" s="1"/>
      <c r="FI824" s="1"/>
      <c r="FJ824" s="1"/>
      <c r="FK824" s="1"/>
      <c r="FL824" s="1"/>
      <c r="FM824" s="1"/>
      <c r="FN824" s="1"/>
      <c r="FO824" s="1"/>
      <c r="FP824" s="1"/>
      <c r="FQ824" s="1"/>
      <c r="FR824" s="1"/>
      <c r="FS824" s="1"/>
      <c r="FT824" s="1"/>
      <c r="FU824" s="1"/>
      <c r="FV824" s="1"/>
      <c r="FW824" s="1"/>
      <c r="FX824" s="1"/>
      <c r="FY824" s="1"/>
      <c r="FZ824" s="1"/>
      <c r="GA824" s="1"/>
      <c r="GB824" s="1"/>
      <c r="GC824" s="1"/>
      <c r="GD824" s="1"/>
      <c r="GE824" s="1"/>
      <c r="GF824" s="1"/>
      <c r="GG824" s="1"/>
      <c r="GH824" s="1"/>
      <c r="GI824" s="1"/>
      <c r="GJ824" s="1"/>
      <c r="GK824" s="1"/>
      <c r="GL824" s="1"/>
      <c r="GM824" s="1"/>
      <c r="GN824" s="1"/>
      <c r="GO824" s="1"/>
      <c r="GP824" s="1"/>
      <c r="GQ824" s="1"/>
      <c r="GR824" s="1"/>
      <c r="GS824" s="1"/>
      <c r="GT824" s="1"/>
      <c r="GU824" s="1"/>
      <c r="GV824" s="1"/>
      <c r="GW824" s="1"/>
      <c r="GX824" s="1"/>
      <c r="GY824" s="1"/>
      <c r="GZ824" s="1"/>
      <c r="HA824" s="1"/>
      <c r="HB824" s="1"/>
      <c r="HC824" s="1"/>
      <c r="HD824" s="1"/>
      <c r="HE824" s="1"/>
      <c r="HF824" s="1"/>
      <c r="HG824" s="1"/>
      <c r="HH824" s="1"/>
      <c r="HI824" s="1"/>
      <c r="HJ824" s="1"/>
      <c r="HK824" s="1"/>
      <c r="HL824" s="1"/>
      <c r="HM824" s="1"/>
      <c r="HN824" s="1"/>
      <c r="HO824" s="1"/>
      <c r="HP824" s="1"/>
      <c r="HQ824" s="1"/>
      <c r="HR824" s="1"/>
      <c r="HS824" s="1"/>
      <c r="HT824" s="1"/>
      <c r="HU824" s="1"/>
      <c r="HV824" s="1"/>
      <c r="HW824" s="1"/>
      <c r="HX824" s="1"/>
      <c r="HY824" s="1"/>
      <c r="HZ824" s="1"/>
      <c r="IA824" s="1"/>
      <c r="IB824" s="1"/>
      <c r="IC824" s="1"/>
      <c r="ID824" s="1"/>
      <c r="IE824" s="1"/>
      <c r="IF824" s="1"/>
      <c r="IG824" s="1"/>
      <c r="IH824" s="1"/>
      <c r="II824" s="1"/>
      <c r="IJ824" s="1"/>
      <c r="IK824" s="1"/>
      <c r="IL824" s="1"/>
      <c r="IM824" s="1"/>
      <c r="IN824" s="1"/>
      <c r="IO824" s="1"/>
      <c r="IP824" s="1"/>
      <c r="IQ824" s="1"/>
      <c r="IR824" s="1"/>
      <c r="IS824" s="1"/>
      <c r="IT824" s="1"/>
      <c r="IU824" s="1"/>
      <c r="IV824" s="1"/>
      <c r="IW824" s="1"/>
      <c r="IX824" s="1"/>
      <c r="IY824" s="1"/>
      <c r="IZ824" s="1"/>
      <c r="JA824" s="1"/>
      <c r="JB824" s="1"/>
      <c r="JC824" s="1"/>
      <c r="JD824" s="1"/>
    </row>
    <row r="825" spans="1:264" s="347" customFormat="1" x14ac:dyDescent="0.2">
      <c r="A825" s="347" t="s">
        <v>266</v>
      </c>
      <c r="B825" s="348"/>
      <c r="BH825" s="351">
        <f>+BH829-BH826-BH840-BH828</f>
        <v>-728</v>
      </c>
      <c r="BI825" s="351">
        <f>+BI829-BI826-BI840-BI828</f>
        <v>-733</v>
      </c>
      <c r="BJ825" s="351">
        <f>+BH825+BI825</f>
        <v>-1461</v>
      </c>
      <c r="BK825" s="348"/>
      <c r="BL825" s="351">
        <f>+BL829-BL826-BL840-BL828</f>
        <v>-742</v>
      </c>
      <c r="BM825" s="351">
        <f>+BM829-BM826-BM840-BM828</f>
        <v>-782</v>
      </c>
      <c r="BN825" s="351">
        <f>+BL825+BM825</f>
        <v>-1524</v>
      </c>
      <c r="BO825" s="348"/>
      <c r="BP825" s="351">
        <f>+BP829-BP826-BP840-BP828</f>
        <v>-841</v>
      </c>
      <c r="BQ825" s="351">
        <f>+BQ829-BQ826-BQ840-BQ828</f>
        <v>-958</v>
      </c>
      <c r="BR825" s="351">
        <f>+BP825+BQ825</f>
        <v>-1799</v>
      </c>
      <c r="BT825" s="351">
        <f>BT829-SUM(BT826:BT828)</f>
        <v>-820</v>
      </c>
      <c r="BU825" s="351">
        <f t="shared" ref="BU825:BV825" si="731">BU829-SUM(BU826:BU828)</f>
        <v>-826</v>
      </c>
      <c r="BV825" s="351">
        <f t="shared" si="731"/>
        <v>-1646</v>
      </c>
      <c r="BX825" s="351">
        <f>BX829-SUM(BX826:BX828)</f>
        <v>-820</v>
      </c>
      <c r="BY825" s="351">
        <f t="shared" ref="BY825:BZ825" si="732">BY829-SUM(BY826:BY828)</f>
        <v>-856</v>
      </c>
      <c r="BZ825" s="351">
        <f t="shared" si="732"/>
        <v>-1676</v>
      </c>
      <c r="CA825" s="553"/>
      <c r="CB825" s="351">
        <f>CB829-SUM(CB826:CB828)</f>
        <v>-963</v>
      </c>
      <c r="CC825" s="351">
        <f t="shared" ref="CC825:CD825" si="733">CC829-SUM(CC826:CC828)</f>
        <v>-960</v>
      </c>
      <c r="CD825" s="351">
        <f t="shared" si="733"/>
        <v>-1923</v>
      </c>
      <c r="CE825" s="394">
        <f>+CD825/BZ825-1</f>
        <v>0.14737470167064437</v>
      </c>
      <c r="CF825" s="351">
        <f>CF829-SUM(CF826:CF828)</f>
        <v>-1027</v>
      </c>
      <c r="CG825" s="351">
        <f t="shared" ref="CG825:CH825" si="734">CG829-SUM(CG826:CG828)</f>
        <v>-1336</v>
      </c>
      <c r="CH825" s="351">
        <f t="shared" si="734"/>
        <v>-2363</v>
      </c>
      <c r="CI825" s="394">
        <f>+CH825/CD825-1</f>
        <v>0.22880915236609467</v>
      </c>
      <c r="CJ825" s="351">
        <f>CJ829-SUM(CJ826:CJ828)</f>
        <v>-805</v>
      </c>
      <c r="CK825" s="351">
        <f t="shared" ref="CK825:CL825" si="735">CK829-SUM(CK826:CK828)</f>
        <v>-1353</v>
      </c>
      <c r="CL825" s="351">
        <f t="shared" si="735"/>
        <v>-2158</v>
      </c>
      <c r="CM825" s="394">
        <f>+CL825/CH825-1</f>
        <v>-8.6754126110875962E-2</v>
      </c>
      <c r="CN825" s="351">
        <f>CN829-SUM(CN826:CN828)</f>
        <v>-1043</v>
      </c>
      <c r="CO825" s="351">
        <f t="shared" ref="CO825:CP825" si="736">CO829-SUM(CO826:CO828)</f>
        <v>-1131</v>
      </c>
      <c r="CP825" s="351">
        <f t="shared" si="736"/>
        <v>-2174</v>
      </c>
      <c r="CQ825" s="394">
        <f>+CP825/CL825-1</f>
        <v>7.4142724745134281E-3</v>
      </c>
      <c r="CR825" s="351">
        <f>CR829-SUM(CR826:CR828)</f>
        <v>-686</v>
      </c>
      <c r="CS825" s="351">
        <f t="shared" ref="CS825:CT825" si="737">CS829-SUM(CS826:CS828)</f>
        <v>-859</v>
      </c>
      <c r="CT825" s="351">
        <f t="shared" si="737"/>
        <v>-1545</v>
      </c>
      <c r="CU825" s="394">
        <f>+CT825/CP825-1</f>
        <v>-0.28932842686292548</v>
      </c>
      <c r="CV825" s="351">
        <f t="shared" ref="CV825:CX825" si="738">CV829-SUM(CV826:CV828)</f>
        <v>-731</v>
      </c>
      <c r="CW825" s="351">
        <f t="shared" si="738"/>
        <v>-690</v>
      </c>
      <c r="CX825" s="351">
        <f t="shared" si="738"/>
        <v>-1421</v>
      </c>
      <c r="CY825" s="394">
        <f>+CX825/CT825-1</f>
        <v>-8.025889967637545E-2</v>
      </c>
      <c r="CZ825" s="351">
        <f t="shared" ref="CZ825:DB825" si="739">CZ829-SUM(CZ826:CZ828)</f>
        <v>-685</v>
      </c>
      <c r="DA825" s="351">
        <f t="shared" si="739"/>
        <v>-776</v>
      </c>
      <c r="DB825" s="351">
        <f t="shared" si="739"/>
        <v>-1461</v>
      </c>
      <c r="DC825" s="394">
        <f>+DB825/CX825-1</f>
        <v>2.8149190710767158E-2</v>
      </c>
      <c r="DD825" s="351">
        <f t="shared" ref="DD825:DF825" si="740">DD829-SUM(DD826:DD828)</f>
        <v>-755</v>
      </c>
      <c r="DE825" s="351">
        <f t="shared" si="740"/>
        <v>-880</v>
      </c>
      <c r="DF825" s="351">
        <f t="shared" si="740"/>
        <v>-1635</v>
      </c>
      <c r="DG825" s="394">
        <f>+DF825/DB825-1</f>
        <v>0.11909650924024651</v>
      </c>
      <c r="DH825" s="351">
        <f>DH829-SUM(DH826:DH828)</f>
        <v>-965</v>
      </c>
      <c r="DI825" s="351">
        <f>+DH825*(1+DI832)</f>
        <v>-820.25</v>
      </c>
      <c r="DJ825" s="351">
        <f t="shared" ref="DJ825" si="741">+DH825+DI825</f>
        <v>-1785.25</v>
      </c>
      <c r="DK825" s="394">
        <f>+DJ825/DF825-1</f>
        <v>9.1896024464831694E-2</v>
      </c>
      <c r="DL825" s="351">
        <f>+DI825*(1+DL832)</f>
        <v>-820.25</v>
      </c>
      <c r="DM825" s="351">
        <f>+DL825*(1+DM832)</f>
        <v>-820.25</v>
      </c>
      <c r="DN825" s="351">
        <f t="shared" ref="DN825" si="742">+DL825+DM825</f>
        <v>-1640.5</v>
      </c>
      <c r="DO825" s="394">
        <f>+DN825/DJ825-1</f>
        <v>-8.108108108108103E-2</v>
      </c>
      <c r="DP825" s="351">
        <f>+DM825*(1+DP832)</f>
        <v>-832.55374999999992</v>
      </c>
      <c r="DQ825" s="351">
        <f>+DP825*(1+DQ832)</f>
        <v>-845.04205624999986</v>
      </c>
      <c r="DR825" s="351">
        <f t="shared" ref="DR825" si="743">+DP825+DQ825</f>
        <v>-1677.5958062499999</v>
      </c>
      <c r="DS825" s="394">
        <f>+DR825/DN825-1</f>
        <v>2.2612499999999924E-2</v>
      </c>
      <c r="DT825" s="1"/>
      <c r="DU825" s="1"/>
      <c r="DV825" s="1"/>
      <c r="DW825" s="1"/>
      <c r="DX825" s="1"/>
      <c r="DY825" s="1"/>
      <c r="DZ825" s="1"/>
      <c r="EA825" s="1"/>
      <c r="EB825" s="1"/>
      <c r="EC825" s="1"/>
      <c r="ED825" s="1"/>
      <c r="EE825" s="1"/>
      <c r="EF825" s="1"/>
      <c r="EG825" s="1"/>
      <c r="EH825" s="1"/>
      <c r="EI825" s="1"/>
      <c r="EJ825" s="1"/>
      <c r="EK825" s="1"/>
      <c r="EL825" s="1"/>
      <c r="EM825" s="1"/>
      <c r="EN825" s="1"/>
      <c r="EO825" s="1"/>
      <c r="EP825" s="1"/>
      <c r="EQ825" s="1"/>
      <c r="ER825" s="1"/>
      <c r="ES825" s="1"/>
      <c r="ET825" s="1"/>
      <c r="EU825" s="1"/>
      <c r="EV825" s="1"/>
      <c r="EW825" s="1"/>
      <c r="EX825" s="1"/>
      <c r="EY825" s="1"/>
      <c r="EZ825" s="1"/>
      <c r="FA825" s="1"/>
      <c r="FB825" s="1"/>
      <c r="FC825" s="1"/>
      <c r="FD825" s="1"/>
      <c r="FE825" s="1"/>
      <c r="FF825" s="1"/>
      <c r="FG825" s="1"/>
      <c r="FH825" s="1"/>
      <c r="FI825" s="1"/>
      <c r="FJ825" s="1"/>
      <c r="FK825" s="1"/>
      <c r="FL825" s="1"/>
      <c r="FM825" s="1"/>
      <c r="FN825" s="1"/>
      <c r="FO825" s="1"/>
      <c r="FP825" s="1"/>
      <c r="FQ825" s="1"/>
      <c r="FR825" s="1"/>
      <c r="FS825" s="1"/>
      <c r="FT825" s="1"/>
      <c r="FU825" s="1"/>
      <c r="FV825" s="1"/>
      <c r="FW825" s="1"/>
      <c r="FX825" s="1"/>
      <c r="FY825" s="1"/>
      <c r="FZ825" s="1"/>
      <c r="GA825" s="1"/>
      <c r="GB825" s="1"/>
      <c r="GC825" s="1"/>
      <c r="GD825" s="1"/>
      <c r="GE825" s="1"/>
      <c r="GF825" s="1"/>
      <c r="GG825" s="1"/>
      <c r="GH825" s="1"/>
      <c r="GI825" s="1"/>
      <c r="GJ825" s="1"/>
      <c r="GK825" s="1"/>
      <c r="GL825" s="1"/>
      <c r="GM825" s="1"/>
      <c r="GN825" s="1"/>
      <c r="GO825" s="1"/>
      <c r="GP825" s="1"/>
      <c r="GQ825" s="1"/>
      <c r="GR825" s="1"/>
      <c r="GS825" s="1"/>
      <c r="GT825" s="1"/>
      <c r="GU825" s="1"/>
      <c r="GV825" s="1"/>
      <c r="GW825" s="1"/>
      <c r="GX825" s="1"/>
      <c r="GY825" s="1"/>
      <c r="GZ825" s="1"/>
      <c r="HA825" s="1"/>
      <c r="HB825" s="1"/>
      <c r="HC825" s="1"/>
      <c r="HD825" s="1"/>
      <c r="HE825" s="1"/>
      <c r="HF825" s="1"/>
      <c r="HG825" s="1"/>
      <c r="HH825" s="1"/>
      <c r="HI825" s="1"/>
      <c r="HJ825" s="1"/>
      <c r="HK825" s="1"/>
      <c r="HL825" s="1"/>
      <c r="HM825" s="1"/>
      <c r="HN825" s="1"/>
      <c r="HO825" s="1"/>
      <c r="HP825" s="1"/>
      <c r="HQ825" s="1"/>
      <c r="HR825" s="1"/>
      <c r="HS825" s="1"/>
      <c r="HT825" s="1"/>
      <c r="HU825" s="1"/>
      <c r="HV825" s="1"/>
      <c r="HW825" s="1"/>
      <c r="HX825" s="1"/>
      <c r="HY825" s="1"/>
      <c r="HZ825" s="1"/>
      <c r="IA825" s="1"/>
      <c r="IB825" s="1"/>
      <c r="IC825" s="1"/>
      <c r="ID825" s="1"/>
      <c r="IE825" s="1"/>
      <c r="IF825" s="1"/>
      <c r="IG825" s="1"/>
      <c r="IH825" s="1"/>
      <c r="II825" s="1"/>
      <c r="IJ825" s="1"/>
      <c r="IK825" s="1"/>
      <c r="IL825" s="1"/>
      <c r="IM825" s="1"/>
      <c r="IN825" s="1"/>
      <c r="IO825" s="1"/>
      <c r="IP825" s="1"/>
      <c r="IQ825" s="1"/>
      <c r="IR825" s="1"/>
      <c r="IS825" s="1"/>
      <c r="IT825" s="1"/>
      <c r="IU825" s="1"/>
      <c r="IV825" s="1"/>
      <c r="IW825" s="1"/>
      <c r="IX825" s="1"/>
      <c r="IY825" s="1"/>
      <c r="IZ825" s="1"/>
      <c r="JA825" s="1"/>
      <c r="JB825" s="1"/>
      <c r="JC825" s="1"/>
      <c r="JD825" s="1"/>
    </row>
    <row r="826" spans="1:264" s="347" customFormat="1" x14ac:dyDescent="0.2">
      <c r="A826" s="669" t="s">
        <v>582</v>
      </c>
      <c r="B826" s="670"/>
      <c r="C826" s="671"/>
      <c r="D826" s="671"/>
      <c r="E826" s="671"/>
      <c r="F826" s="671"/>
      <c r="G826" s="671"/>
      <c r="H826" s="671"/>
      <c r="I826" s="671"/>
      <c r="J826" s="671"/>
      <c r="K826" s="671"/>
      <c r="L826" s="671"/>
      <c r="M826" s="671"/>
      <c r="N826" s="671"/>
      <c r="O826" s="671"/>
      <c r="P826" s="671"/>
      <c r="Q826" s="671"/>
      <c r="R826" s="671"/>
      <c r="S826" s="671"/>
      <c r="T826" s="671"/>
      <c r="U826" s="671"/>
      <c r="V826" s="671"/>
      <c r="W826" s="671"/>
      <c r="X826" s="671"/>
      <c r="Y826" s="671"/>
      <c r="Z826" s="671"/>
      <c r="AA826" s="671"/>
      <c r="AB826" s="671"/>
      <c r="AC826" s="671"/>
      <c r="AD826" s="671"/>
      <c r="AE826" s="671"/>
      <c r="AF826" s="671"/>
      <c r="AG826" s="671"/>
      <c r="AH826" s="671"/>
      <c r="AI826" s="671"/>
      <c r="AJ826" s="671"/>
      <c r="AK826" s="671"/>
      <c r="AL826" s="671"/>
      <c r="AM826" s="671"/>
      <c r="AN826" s="671"/>
      <c r="AO826" s="671"/>
      <c r="AP826" s="671"/>
      <c r="AQ826" s="671"/>
      <c r="AR826" s="671"/>
      <c r="AS826" s="671"/>
      <c r="AT826" s="671"/>
      <c r="AU826" s="671"/>
      <c r="AV826" s="671"/>
      <c r="AW826" s="671"/>
      <c r="AX826" s="671"/>
      <c r="AY826" s="671"/>
      <c r="AZ826" s="671"/>
      <c r="BA826" s="671"/>
      <c r="BB826" s="671"/>
      <c r="BC826" s="671"/>
      <c r="BD826" s="671"/>
      <c r="BE826" s="671"/>
      <c r="BF826" s="671"/>
      <c r="BG826" s="671"/>
      <c r="BH826" s="672">
        <v>0</v>
      </c>
      <c r="BI826" s="672">
        <v>0</v>
      </c>
      <c r="BJ826" s="673">
        <f>+BH826+BI826</f>
        <v>0</v>
      </c>
      <c r="BK826" s="670"/>
      <c r="BL826" s="672">
        <v>0</v>
      </c>
      <c r="BM826" s="672">
        <v>0</v>
      </c>
      <c r="BN826" s="673">
        <f>+BL826+BM826</f>
        <v>0</v>
      </c>
      <c r="BO826" s="670"/>
      <c r="BP826" s="672">
        <v>0</v>
      </c>
      <c r="BQ826" s="672">
        <v>0</v>
      </c>
      <c r="BR826" s="673">
        <f>+BP826+BQ826</f>
        <v>0</v>
      </c>
      <c r="BS826" s="671"/>
      <c r="BT826" s="672">
        <v>0</v>
      </c>
      <c r="BU826" s="672">
        <v>0</v>
      </c>
      <c r="BV826" s="673">
        <f>+BT826+BU826</f>
        <v>0</v>
      </c>
      <c r="BW826" s="671"/>
      <c r="BX826" s="672">
        <v>0</v>
      </c>
      <c r="BY826" s="672">
        <v>0</v>
      </c>
      <c r="BZ826" s="673">
        <f>+BX826+BY826</f>
        <v>0</v>
      </c>
      <c r="CA826" s="671"/>
      <c r="CB826" s="672">
        <v>-375</v>
      </c>
      <c r="CC826" s="672">
        <v>-325</v>
      </c>
      <c r="CD826" s="673">
        <f>+CB826+CC826</f>
        <v>-700</v>
      </c>
      <c r="CE826" s="674"/>
      <c r="CF826" s="672">
        <v>0</v>
      </c>
      <c r="CG826" s="672">
        <v>0</v>
      </c>
      <c r="CH826" s="673">
        <f>+CF826+CG826</f>
        <v>0</v>
      </c>
      <c r="CI826" s="671"/>
      <c r="CJ826" s="672">
        <v>0</v>
      </c>
      <c r="CK826" s="672">
        <v>0</v>
      </c>
      <c r="CL826" s="673">
        <f>+CJ826+CK826</f>
        <v>0</v>
      </c>
      <c r="CM826" s="671"/>
      <c r="CN826" s="672">
        <v>0</v>
      </c>
      <c r="CO826" s="672">
        <v>0</v>
      </c>
      <c r="CP826" s="673">
        <f>+CN826+CO826</f>
        <v>0</v>
      </c>
      <c r="CQ826" s="671"/>
      <c r="CR826" s="672">
        <v>0</v>
      </c>
      <c r="CS826" s="672">
        <v>0</v>
      </c>
      <c r="CT826" s="673">
        <f>+CR826+CS826</f>
        <v>0</v>
      </c>
      <c r="CU826" s="675"/>
      <c r="CV826" s="672">
        <v>0</v>
      </c>
      <c r="CW826" s="672">
        <v>0</v>
      </c>
      <c r="CX826" s="673">
        <f>+CV826+CW826</f>
        <v>0</v>
      </c>
      <c r="CY826" s="671"/>
      <c r="CZ826" s="672">
        <v>0</v>
      </c>
      <c r="DA826" s="672">
        <v>0</v>
      </c>
      <c r="DB826" s="673">
        <f>+CZ826+DA826</f>
        <v>0</v>
      </c>
      <c r="DC826" s="671"/>
      <c r="DD826" s="672">
        <v>0</v>
      </c>
      <c r="DE826" s="672">
        <v>0</v>
      </c>
      <c r="DF826" s="673">
        <f>+DD826+DE826</f>
        <v>0</v>
      </c>
      <c r="DG826" s="671"/>
      <c r="DH826" s="672">
        <v>0</v>
      </c>
      <c r="DI826" s="676">
        <v>0</v>
      </c>
      <c r="DJ826" s="673">
        <f>+DH826+DI826</f>
        <v>0</v>
      </c>
      <c r="DK826" s="675"/>
      <c r="DL826" s="676">
        <v>0</v>
      </c>
      <c r="DM826" s="676">
        <v>0</v>
      </c>
      <c r="DN826" s="673">
        <f>+DL826+DM826</f>
        <v>0</v>
      </c>
      <c r="DO826" s="675"/>
      <c r="DP826" s="676">
        <v>0</v>
      </c>
      <c r="DQ826" s="676">
        <v>0</v>
      </c>
      <c r="DR826" s="673">
        <f>+DP826+DQ826</f>
        <v>0</v>
      </c>
      <c r="DS826" s="675"/>
      <c r="DT826" s="1"/>
      <c r="DU826" s="1"/>
      <c r="DV826" s="1"/>
      <c r="DW826" s="1"/>
      <c r="DX826" s="1"/>
      <c r="DY826" s="1"/>
      <c r="DZ826" s="1"/>
      <c r="EA826" s="1"/>
      <c r="EB826" s="1"/>
      <c r="EC826" s="1"/>
      <c r="ED826" s="1"/>
      <c r="EE826" s="1"/>
      <c r="EF826" s="1"/>
      <c r="EG826" s="1"/>
      <c r="EH826" s="1"/>
      <c r="EI826" s="1"/>
      <c r="EJ826" s="1"/>
      <c r="EK826" s="1"/>
      <c r="EL826" s="1"/>
      <c r="EM826" s="1"/>
      <c r="EN826" s="1"/>
      <c r="EO826" s="1"/>
      <c r="EP826" s="1"/>
      <c r="EQ826" s="1"/>
      <c r="ER826" s="1"/>
      <c r="ES826" s="1"/>
      <c r="ET826" s="1"/>
      <c r="EU826" s="1"/>
      <c r="EV826" s="1"/>
      <c r="EW826" s="1"/>
      <c r="EX826" s="1"/>
      <c r="EY826" s="1"/>
      <c r="EZ826" s="1"/>
      <c r="FA826" s="1"/>
      <c r="FB826" s="1"/>
      <c r="FC826" s="1"/>
      <c r="FD826" s="1"/>
      <c r="FE826" s="1"/>
      <c r="FF826" s="1"/>
      <c r="FG826" s="1"/>
      <c r="FH826" s="1"/>
      <c r="FI826" s="1"/>
      <c r="FJ826" s="1"/>
      <c r="FK826" s="1"/>
      <c r="FL826" s="1"/>
      <c r="FM826" s="1"/>
      <c r="FN826" s="1"/>
      <c r="FO826" s="1"/>
      <c r="FP826" s="1"/>
      <c r="FQ826" s="1"/>
      <c r="FR826" s="1"/>
      <c r="FS826" s="1"/>
      <c r="FT826" s="1"/>
      <c r="FU826" s="1"/>
      <c r="FV826" s="1"/>
      <c r="FW826" s="1"/>
      <c r="FX826" s="1"/>
      <c r="FY826" s="1"/>
      <c r="FZ826" s="1"/>
      <c r="GA826" s="1"/>
      <c r="GB826" s="1"/>
      <c r="GC826" s="1"/>
      <c r="GD826" s="1"/>
      <c r="GE826" s="1"/>
      <c r="GF826" s="1"/>
      <c r="GG826" s="1"/>
      <c r="GH826" s="1"/>
      <c r="GI826" s="1"/>
      <c r="GJ826" s="1"/>
      <c r="GK826" s="1"/>
      <c r="GL826" s="1"/>
      <c r="GM826" s="1"/>
      <c r="GN826" s="1"/>
      <c r="GO826" s="1"/>
      <c r="GP826" s="1"/>
      <c r="GQ826" s="1"/>
      <c r="GR826" s="1"/>
      <c r="GS826" s="1"/>
      <c r="GT826" s="1"/>
      <c r="GU826" s="1"/>
      <c r="GV826" s="1"/>
      <c r="GW826" s="1"/>
      <c r="GX826" s="1"/>
      <c r="GY826" s="1"/>
      <c r="GZ826" s="1"/>
      <c r="HA826" s="1"/>
      <c r="HB826" s="1"/>
      <c r="HC826" s="1"/>
      <c r="HD826" s="1"/>
      <c r="HE826" s="1"/>
      <c r="HF826" s="1"/>
      <c r="HG826" s="1"/>
      <c r="HH826" s="1"/>
      <c r="HI826" s="1"/>
      <c r="HJ826" s="1"/>
      <c r="HK826" s="1"/>
      <c r="HL826" s="1"/>
      <c r="HM826" s="1"/>
      <c r="HN826" s="1"/>
      <c r="HO826" s="1"/>
      <c r="HP826" s="1"/>
      <c r="HQ826" s="1"/>
      <c r="HR826" s="1"/>
      <c r="HS826" s="1"/>
      <c r="HT826" s="1"/>
      <c r="HU826" s="1"/>
      <c r="HV826" s="1"/>
      <c r="HW826" s="1"/>
      <c r="HX826" s="1"/>
      <c r="HY826" s="1"/>
      <c r="HZ826" s="1"/>
      <c r="IA826" s="1"/>
      <c r="IB826" s="1"/>
      <c r="IC826" s="1"/>
      <c r="ID826" s="1"/>
      <c r="IE826" s="1"/>
      <c r="IF826" s="1"/>
      <c r="IG826" s="1"/>
      <c r="IH826" s="1"/>
      <c r="II826" s="1"/>
      <c r="IJ826" s="1"/>
      <c r="IK826" s="1"/>
      <c r="IL826" s="1"/>
      <c r="IM826" s="1"/>
      <c r="IN826" s="1"/>
      <c r="IO826" s="1"/>
      <c r="IP826" s="1"/>
      <c r="IQ826" s="1"/>
      <c r="IR826" s="1"/>
      <c r="IS826" s="1"/>
      <c r="IT826" s="1"/>
      <c r="IU826" s="1"/>
      <c r="IV826" s="1"/>
      <c r="IW826" s="1"/>
      <c r="IX826" s="1"/>
      <c r="IY826" s="1"/>
      <c r="IZ826" s="1"/>
      <c r="JA826" s="1"/>
      <c r="JB826" s="1"/>
      <c r="JC826" s="1"/>
      <c r="JD826" s="1"/>
    </row>
    <row r="827" spans="1:264" s="347" customFormat="1" x14ac:dyDescent="0.2">
      <c r="A827" s="677" t="s">
        <v>583</v>
      </c>
      <c r="B827" s="446"/>
      <c r="C827" s="447"/>
      <c r="D827" s="447"/>
      <c r="E827" s="447"/>
      <c r="F827" s="447"/>
      <c r="G827" s="447"/>
      <c r="H827" s="447"/>
      <c r="I827" s="447"/>
      <c r="J827" s="447"/>
      <c r="K827" s="447"/>
      <c r="L827" s="447"/>
      <c r="M827" s="447"/>
      <c r="N827" s="447"/>
      <c r="O827" s="447"/>
      <c r="P827" s="447"/>
      <c r="Q827" s="447"/>
      <c r="R827" s="447"/>
      <c r="S827" s="447"/>
      <c r="T827" s="447"/>
      <c r="U827" s="447"/>
      <c r="V827" s="447"/>
      <c r="W827" s="447"/>
      <c r="X827" s="447"/>
      <c r="Y827" s="447"/>
      <c r="Z827" s="447"/>
      <c r="AA827" s="447"/>
      <c r="AB827" s="447"/>
      <c r="AC827" s="447"/>
      <c r="AD827" s="447"/>
      <c r="AE827" s="447"/>
      <c r="AF827" s="447"/>
      <c r="AG827" s="447"/>
      <c r="AH827" s="447"/>
      <c r="AI827" s="447"/>
      <c r="AJ827" s="447"/>
      <c r="AK827" s="447"/>
      <c r="AL827" s="447"/>
      <c r="AM827" s="447"/>
      <c r="AN827" s="447"/>
      <c r="AO827" s="447"/>
      <c r="AP827" s="447"/>
      <c r="AQ827" s="447"/>
      <c r="AR827" s="447"/>
      <c r="AS827" s="447"/>
      <c r="AT827" s="447"/>
      <c r="AU827" s="447"/>
      <c r="AV827" s="447"/>
      <c r="AW827" s="447"/>
      <c r="AX827" s="447"/>
      <c r="AY827" s="447"/>
      <c r="AZ827" s="447"/>
      <c r="BA827" s="447"/>
      <c r="BB827" s="447"/>
      <c r="BC827" s="447"/>
      <c r="BD827" s="447"/>
      <c r="BE827" s="447"/>
      <c r="BF827" s="447"/>
      <c r="BG827" s="447"/>
      <c r="BH827" s="448"/>
      <c r="BI827" s="448"/>
      <c r="BJ827" s="449"/>
      <c r="BK827" s="446"/>
      <c r="BL827" s="448"/>
      <c r="BM827" s="448"/>
      <c r="BN827" s="449"/>
      <c r="BO827" s="446"/>
      <c r="BP827" s="448"/>
      <c r="BQ827" s="448"/>
      <c r="BR827" s="449"/>
      <c r="BS827" s="447"/>
      <c r="BT827" s="448"/>
      <c r="BU827" s="448"/>
      <c r="BV827" s="449"/>
      <c r="BW827" s="447"/>
      <c r="BX827" s="448"/>
      <c r="BY827" s="448"/>
      <c r="BZ827" s="449"/>
      <c r="CA827" s="447"/>
      <c r="CB827" s="448"/>
      <c r="CC827" s="448"/>
      <c r="CD827" s="449"/>
      <c r="CE827" s="447"/>
      <c r="CF827" s="448"/>
      <c r="CG827" s="448"/>
      <c r="CH827" s="449"/>
      <c r="CI827" s="447"/>
      <c r="CJ827" s="448"/>
      <c r="CK827" s="448"/>
      <c r="CL827" s="449"/>
      <c r="CM827" s="447"/>
      <c r="CN827" s="448">
        <v>0</v>
      </c>
      <c r="CO827" s="448">
        <v>0</v>
      </c>
      <c r="CP827" s="449">
        <f>CN827+CO827</f>
        <v>0</v>
      </c>
      <c r="CQ827" s="447"/>
      <c r="CR827" s="448">
        <v>0</v>
      </c>
      <c r="CS827" s="448">
        <v>0</v>
      </c>
      <c r="CT827" s="449">
        <f>CR827+CS827</f>
        <v>0</v>
      </c>
      <c r="CU827" s="447"/>
      <c r="CV827" s="448">
        <v>0</v>
      </c>
      <c r="CW827" s="448">
        <v>-212</v>
      </c>
      <c r="CX827" s="449">
        <f>CV827+CW827</f>
        <v>-212</v>
      </c>
      <c r="CY827" s="447"/>
      <c r="CZ827" s="448">
        <v>0</v>
      </c>
      <c r="DA827" s="448">
        <v>-89</v>
      </c>
      <c r="DB827" s="449">
        <f>CZ827+DA827</f>
        <v>-89</v>
      </c>
      <c r="DC827" s="447"/>
      <c r="DD827" s="448">
        <v>0</v>
      </c>
      <c r="DE827" s="448">
        <v>-45</v>
      </c>
      <c r="DF827" s="449">
        <f>DD827+DE827</f>
        <v>-45</v>
      </c>
      <c r="DG827" s="447"/>
      <c r="DH827" s="448">
        <v>0</v>
      </c>
      <c r="DI827" s="606">
        <v>-50</v>
      </c>
      <c r="DJ827" s="449">
        <f>+DH827+DI827</f>
        <v>-50</v>
      </c>
      <c r="DK827" s="678"/>
      <c r="DL827" s="606">
        <v>0</v>
      </c>
      <c r="DM827" s="606">
        <v>-50</v>
      </c>
      <c r="DN827" s="449">
        <f>+DL827+DM827</f>
        <v>-50</v>
      </c>
      <c r="DO827" s="678"/>
      <c r="DP827" s="606">
        <v>0</v>
      </c>
      <c r="DQ827" s="606">
        <v>-50</v>
      </c>
      <c r="DR827" s="449">
        <f>+DP827+DQ827</f>
        <v>-50</v>
      </c>
      <c r="DS827" s="678"/>
      <c r="DT827" s="1"/>
      <c r="DU827" s="1"/>
      <c r="DV827" s="1"/>
      <c r="DW827" s="1"/>
      <c r="DX827" s="1"/>
      <c r="DY827" s="1"/>
      <c r="DZ827" s="1"/>
      <c r="EA827" s="1"/>
      <c r="EB827" s="1"/>
      <c r="EC827" s="1"/>
      <c r="ED827" s="1"/>
      <c r="EE827" s="1"/>
      <c r="EF827" s="1"/>
      <c r="EG827" s="1"/>
      <c r="EH827" s="1"/>
      <c r="EI827" s="1"/>
      <c r="EJ827" s="1"/>
      <c r="EK827" s="1"/>
      <c r="EL827" s="1"/>
      <c r="EM827" s="1"/>
      <c r="EN827" s="1"/>
      <c r="EO827" s="1"/>
      <c r="EP827" s="1"/>
      <c r="EQ827" s="1"/>
      <c r="ER827" s="1"/>
      <c r="ES827" s="1"/>
      <c r="ET827" s="1"/>
      <c r="EU827" s="1"/>
      <c r="EV827" s="1"/>
      <c r="EW827" s="1"/>
      <c r="EX827" s="1"/>
      <c r="EY827" s="1"/>
      <c r="EZ827" s="1"/>
      <c r="FA827" s="1"/>
      <c r="FB827" s="1"/>
      <c r="FC827" s="1"/>
      <c r="FD827" s="1"/>
      <c r="FE827" s="1"/>
      <c r="FF827" s="1"/>
      <c r="FG827" s="1"/>
      <c r="FH827" s="1"/>
      <c r="FI827" s="1"/>
      <c r="FJ827" s="1"/>
      <c r="FK827" s="1"/>
      <c r="FL827" s="1"/>
      <c r="FM827" s="1"/>
      <c r="FN827" s="1"/>
      <c r="FO827" s="1"/>
      <c r="FP827" s="1"/>
      <c r="FQ827" s="1"/>
      <c r="FR827" s="1"/>
      <c r="FS827" s="1"/>
      <c r="FT827" s="1"/>
      <c r="FU827" s="1"/>
      <c r="FV827" s="1"/>
      <c r="FW827" s="1"/>
      <c r="FX827" s="1"/>
      <c r="FY827" s="1"/>
      <c r="FZ827" s="1"/>
      <c r="GA827" s="1"/>
      <c r="GB827" s="1"/>
      <c r="GC827" s="1"/>
      <c r="GD827" s="1"/>
      <c r="GE827" s="1"/>
      <c r="GF827" s="1"/>
      <c r="GG827" s="1"/>
      <c r="GH827" s="1"/>
      <c r="GI827" s="1"/>
      <c r="GJ827" s="1"/>
      <c r="GK827" s="1"/>
      <c r="GL827" s="1"/>
      <c r="GM827" s="1"/>
      <c r="GN827" s="1"/>
      <c r="GO827" s="1"/>
      <c r="GP827" s="1"/>
      <c r="GQ827" s="1"/>
      <c r="GR827" s="1"/>
      <c r="GS827" s="1"/>
      <c r="GT827" s="1"/>
      <c r="GU827" s="1"/>
      <c r="GV827" s="1"/>
      <c r="GW827" s="1"/>
      <c r="GX827" s="1"/>
      <c r="GY827" s="1"/>
      <c r="GZ827" s="1"/>
      <c r="HA827" s="1"/>
      <c r="HB827" s="1"/>
      <c r="HC827" s="1"/>
      <c r="HD827" s="1"/>
      <c r="HE827" s="1"/>
      <c r="HF827" s="1"/>
      <c r="HG827" s="1"/>
      <c r="HH827" s="1"/>
      <c r="HI827" s="1"/>
      <c r="HJ827" s="1"/>
      <c r="HK827" s="1"/>
      <c r="HL827" s="1"/>
      <c r="HM827" s="1"/>
      <c r="HN827" s="1"/>
      <c r="HO827" s="1"/>
      <c r="HP827" s="1"/>
      <c r="HQ827" s="1"/>
      <c r="HR827" s="1"/>
      <c r="HS827" s="1"/>
      <c r="HT827" s="1"/>
      <c r="HU827" s="1"/>
      <c r="HV827" s="1"/>
      <c r="HW827" s="1"/>
      <c r="HX827" s="1"/>
      <c r="HY827" s="1"/>
      <c r="HZ827" s="1"/>
      <c r="IA827" s="1"/>
      <c r="IB827" s="1"/>
      <c r="IC827" s="1"/>
      <c r="ID827" s="1"/>
      <c r="IE827" s="1"/>
      <c r="IF827" s="1"/>
      <c r="IG827" s="1"/>
      <c r="IH827" s="1"/>
      <c r="II827" s="1"/>
      <c r="IJ827" s="1"/>
      <c r="IK827" s="1"/>
      <c r="IL827" s="1"/>
      <c r="IM827" s="1"/>
      <c r="IN827" s="1"/>
      <c r="IO827" s="1"/>
      <c r="IP827" s="1"/>
      <c r="IQ827" s="1"/>
      <c r="IR827" s="1"/>
      <c r="IS827" s="1"/>
      <c r="IT827" s="1"/>
      <c r="IU827" s="1"/>
      <c r="IV827" s="1"/>
      <c r="IW827" s="1"/>
      <c r="IX827" s="1"/>
      <c r="IY827" s="1"/>
      <c r="IZ827" s="1"/>
      <c r="JA827" s="1"/>
      <c r="JB827" s="1"/>
      <c r="JC827" s="1"/>
      <c r="JD827" s="1"/>
    </row>
    <row r="828" spans="1:264" s="347" customFormat="1" x14ac:dyDescent="0.2">
      <c r="A828" s="679" t="s">
        <v>562</v>
      </c>
      <c r="B828" s="680"/>
      <c r="C828" s="681"/>
      <c r="D828" s="681"/>
      <c r="E828" s="681"/>
      <c r="F828" s="681"/>
      <c r="G828" s="681"/>
      <c r="H828" s="681"/>
      <c r="I828" s="681"/>
      <c r="J828" s="681"/>
      <c r="K828" s="681"/>
      <c r="L828" s="681"/>
      <c r="M828" s="681"/>
      <c r="N828" s="681"/>
      <c r="O828" s="681"/>
      <c r="P828" s="681"/>
      <c r="Q828" s="681"/>
      <c r="R828" s="681"/>
      <c r="S828" s="681"/>
      <c r="T828" s="681"/>
      <c r="U828" s="681"/>
      <c r="V828" s="681"/>
      <c r="W828" s="681"/>
      <c r="X828" s="681"/>
      <c r="Y828" s="681"/>
      <c r="Z828" s="681"/>
      <c r="AA828" s="681"/>
      <c r="AB828" s="681"/>
      <c r="AC828" s="681"/>
      <c r="AD828" s="681"/>
      <c r="AE828" s="681"/>
      <c r="AF828" s="681"/>
      <c r="AG828" s="681"/>
      <c r="AH828" s="681"/>
      <c r="AI828" s="681"/>
      <c r="AJ828" s="681"/>
      <c r="AK828" s="681"/>
      <c r="AL828" s="681"/>
      <c r="AM828" s="681"/>
      <c r="AN828" s="681"/>
      <c r="AO828" s="681"/>
      <c r="AP828" s="681"/>
      <c r="AQ828" s="681"/>
      <c r="AR828" s="681"/>
      <c r="AS828" s="681"/>
      <c r="AT828" s="681"/>
      <c r="AU828" s="681"/>
      <c r="AV828" s="681"/>
      <c r="AW828" s="681"/>
      <c r="AX828" s="681"/>
      <c r="AY828" s="681"/>
      <c r="AZ828" s="681"/>
      <c r="BA828" s="681"/>
      <c r="BB828" s="681"/>
      <c r="BC828" s="681"/>
      <c r="BD828" s="681"/>
      <c r="BE828" s="681"/>
      <c r="BF828" s="681"/>
      <c r="BG828" s="681"/>
      <c r="BH828" s="682">
        <v>0</v>
      </c>
      <c r="BI828" s="682">
        <v>0</v>
      </c>
      <c r="BJ828" s="683">
        <f>+BH828+BI828</f>
        <v>0</v>
      </c>
      <c r="BK828" s="680"/>
      <c r="BL828" s="682">
        <v>0</v>
      </c>
      <c r="BM828" s="682">
        <v>0</v>
      </c>
      <c r="BN828" s="683">
        <f>+BL828+BM828</f>
        <v>0</v>
      </c>
      <c r="BO828" s="680"/>
      <c r="BP828" s="682">
        <v>0</v>
      </c>
      <c r="BQ828" s="682">
        <v>0</v>
      </c>
      <c r="BR828" s="683">
        <f>+BP828+BQ828</f>
        <v>0</v>
      </c>
      <c r="BS828" s="681"/>
      <c r="BT828" s="682">
        <v>0</v>
      </c>
      <c r="BU828" s="682">
        <v>0</v>
      </c>
      <c r="BV828" s="683">
        <f>+BT828+BU828</f>
        <v>0</v>
      </c>
      <c r="BW828" s="681"/>
      <c r="BX828" s="682">
        <v>0</v>
      </c>
      <c r="BY828" s="682">
        <v>0</v>
      </c>
      <c r="BZ828" s="683">
        <f>+BX828+BY828</f>
        <v>0</v>
      </c>
      <c r="CA828" s="681"/>
      <c r="CB828" s="682">
        <v>0</v>
      </c>
      <c r="CC828" s="682">
        <v>0</v>
      </c>
      <c r="CD828" s="683">
        <f>+CB828+CC828</f>
        <v>0</v>
      </c>
      <c r="CE828" s="681"/>
      <c r="CF828" s="682">
        <v>145</v>
      </c>
      <c r="CG828" s="682">
        <v>0</v>
      </c>
      <c r="CH828" s="683">
        <f>+CF828+CG828</f>
        <v>145</v>
      </c>
      <c r="CI828" s="684"/>
      <c r="CJ828" s="682">
        <v>0</v>
      </c>
      <c r="CK828" s="682">
        <v>0</v>
      </c>
      <c r="CL828" s="683">
        <f>+CJ828+CK828</f>
        <v>0</v>
      </c>
      <c r="CM828" s="681"/>
      <c r="CN828" s="682">
        <v>0</v>
      </c>
      <c r="CO828" s="682">
        <v>0</v>
      </c>
      <c r="CP828" s="683">
        <f>+CN828+CO828</f>
        <v>0</v>
      </c>
      <c r="CQ828" s="681"/>
      <c r="CR828" s="682">
        <v>0</v>
      </c>
      <c r="CS828" s="682">
        <v>0</v>
      </c>
      <c r="CT828" s="683">
        <f>+CR828+CS828</f>
        <v>0</v>
      </c>
      <c r="CU828" s="685"/>
      <c r="CV828" s="682">
        <v>0</v>
      </c>
      <c r="CW828" s="682">
        <v>0</v>
      </c>
      <c r="CX828" s="683">
        <f>+CV828+CW828</f>
        <v>0</v>
      </c>
      <c r="CY828" s="681"/>
      <c r="CZ828" s="682">
        <v>0</v>
      </c>
      <c r="DA828" s="682">
        <v>0</v>
      </c>
      <c r="DB828" s="683">
        <f>+CZ828+DA828</f>
        <v>0</v>
      </c>
      <c r="DC828" s="681"/>
      <c r="DD828" s="682">
        <v>0</v>
      </c>
      <c r="DE828" s="682">
        <v>0</v>
      </c>
      <c r="DF828" s="683">
        <f>+DD828+DE828</f>
        <v>0</v>
      </c>
      <c r="DG828" s="681"/>
      <c r="DH828" s="682">
        <v>0</v>
      </c>
      <c r="DI828" s="686">
        <v>0</v>
      </c>
      <c r="DJ828" s="683">
        <f>+DH828+DI828</f>
        <v>0</v>
      </c>
      <c r="DK828" s="685"/>
      <c r="DL828" s="686">
        <v>0</v>
      </c>
      <c r="DM828" s="686">
        <v>0</v>
      </c>
      <c r="DN828" s="683">
        <f>+DL828+DM828</f>
        <v>0</v>
      </c>
      <c r="DO828" s="685"/>
      <c r="DP828" s="686">
        <v>0</v>
      </c>
      <c r="DQ828" s="686">
        <v>0</v>
      </c>
      <c r="DR828" s="683">
        <f>+DP828+DQ828</f>
        <v>0</v>
      </c>
      <c r="DS828" s="685"/>
      <c r="DT828" s="1"/>
      <c r="DU828" s="1"/>
      <c r="DV828" s="1"/>
      <c r="DW828" s="1"/>
      <c r="DX828" s="1"/>
      <c r="DY828" s="1"/>
      <c r="DZ828" s="1"/>
      <c r="EA828" s="1"/>
      <c r="EB828" s="1"/>
      <c r="EC828" s="1"/>
      <c r="ED828" s="1"/>
      <c r="EE828" s="1"/>
      <c r="EF828" s="1"/>
      <c r="EG828" s="1"/>
      <c r="EH828" s="1"/>
      <c r="EI828" s="1"/>
      <c r="EJ828" s="1"/>
      <c r="EK828" s="1"/>
      <c r="EL828" s="1"/>
      <c r="EM828" s="1"/>
      <c r="EN828" s="1"/>
      <c r="EO828" s="1"/>
      <c r="EP828" s="1"/>
      <c r="EQ828" s="1"/>
      <c r="ER828" s="1"/>
      <c r="ES828" s="1"/>
      <c r="ET828" s="1"/>
      <c r="EU828" s="1"/>
      <c r="EV828" s="1"/>
      <c r="EW828" s="1"/>
      <c r="EX828" s="1"/>
      <c r="EY828" s="1"/>
      <c r="EZ828" s="1"/>
      <c r="FA828" s="1"/>
      <c r="FB828" s="1"/>
      <c r="FC828" s="1"/>
      <c r="FD828" s="1"/>
      <c r="FE828" s="1"/>
      <c r="FF828" s="1"/>
      <c r="FG828" s="1"/>
      <c r="FH828" s="1"/>
      <c r="FI828" s="1"/>
      <c r="FJ828" s="1"/>
      <c r="FK828" s="1"/>
      <c r="FL828" s="1"/>
      <c r="FM828" s="1"/>
      <c r="FN828" s="1"/>
      <c r="FO828" s="1"/>
      <c r="FP828" s="1"/>
      <c r="FQ828" s="1"/>
      <c r="FR828" s="1"/>
      <c r="FS828" s="1"/>
      <c r="FT828" s="1"/>
      <c r="FU828" s="1"/>
      <c r="FV828" s="1"/>
      <c r="FW828" s="1"/>
      <c r="FX828" s="1"/>
      <c r="FY828" s="1"/>
      <c r="FZ828" s="1"/>
      <c r="GA828" s="1"/>
      <c r="GB828" s="1"/>
      <c r="GC828" s="1"/>
      <c r="GD828" s="1"/>
      <c r="GE828" s="1"/>
      <c r="GF828" s="1"/>
      <c r="GG828" s="1"/>
      <c r="GH828" s="1"/>
      <c r="GI828" s="1"/>
      <c r="GJ828" s="1"/>
      <c r="GK828" s="1"/>
      <c r="GL828" s="1"/>
      <c r="GM828" s="1"/>
      <c r="GN828" s="1"/>
      <c r="GO828" s="1"/>
      <c r="GP828" s="1"/>
      <c r="GQ828" s="1"/>
      <c r="GR828" s="1"/>
      <c r="GS828" s="1"/>
      <c r="GT828" s="1"/>
      <c r="GU828" s="1"/>
      <c r="GV828" s="1"/>
      <c r="GW828" s="1"/>
      <c r="GX828" s="1"/>
      <c r="GY828" s="1"/>
      <c r="GZ828" s="1"/>
      <c r="HA828" s="1"/>
      <c r="HB828" s="1"/>
      <c r="HC828" s="1"/>
      <c r="HD828" s="1"/>
      <c r="HE828" s="1"/>
      <c r="HF828" s="1"/>
      <c r="HG828" s="1"/>
      <c r="HH828" s="1"/>
      <c r="HI828" s="1"/>
      <c r="HJ828" s="1"/>
      <c r="HK828" s="1"/>
      <c r="HL828" s="1"/>
      <c r="HM828" s="1"/>
      <c r="HN828" s="1"/>
      <c r="HO828" s="1"/>
      <c r="HP828" s="1"/>
      <c r="HQ828" s="1"/>
      <c r="HR828" s="1"/>
      <c r="HS828" s="1"/>
      <c r="HT828" s="1"/>
      <c r="HU828" s="1"/>
      <c r="HV828" s="1"/>
      <c r="HW828" s="1"/>
      <c r="HX828" s="1"/>
      <c r="HY828" s="1"/>
      <c r="HZ828" s="1"/>
      <c r="IA828" s="1"/>
      <c r="IB828" s="1"/>
      <c r="IC828" s="1"/>
      <c r="ID828" s="1"/>
      <c r="IE828" s="1"/>
      <c r="IF828" s="1"/>
      <c r="IG828" s="1"/>
      <c r="IH828" s="1"/>
      <c r="II828" s="1"/>
      <c r="IJ828" s="1"/>
      <c r="IK828" s="1"/>
      <c r="IL828" s="1"/>
      <c r="IM828" s="1"/>
      <c r="IN828" s="1"/>
      <c r="IO828" s="1"/>
      <c r="IP828" s="1"/>
      <c r="IQ828" s="1"/>
      <c r="IR828" s="1"/>
      <c r="IS828" s="1"/>
      <c r="IT828" s="1"/>
      <c r="IU828" s="1"/>
      <c r="IV828" s="1"/>
      <c r="IW828" s="1"/>
      <c r="IX828" s="1"/>
      <c r="IY828" s="1"/>
      <c r="IZ828" s="1"/>
      <c r="JA828" s="1"/>
      <c r="JB828" s="1"/>
      <c r="JC828" s="1"/>
      <c r="JD828" s="1"/>
    </row>
    <row r="829" spans="1:264" s="411" customFormat="1" x14ac:dyDescent="0.2">
      <c r="A829" s="411" t="s">
        <v>230</v>
      </c>
      <c r="B829" s="423"/>
      <c r="BH829" s="397">
        <f>BH779</f>
        <v>-728</v>
      </c>
      <c r="BI829" s="397">
        <f>BI779</f>
        <v>-733</v>
      </c>
      <c r="BJ829" s="397">
        <f>+BH829+BI829</f>
        <v>-1461</v>
      </c>
      <c r="BK829" s="423"/>
      <c r="BL829" s="397">
        <f>BL779</f>
        <v>-742</v>
      </c>
      <c r="BM829" s="397">
        <f>BM779</f>
        <v>-782</v>
      </c>
      <c r="BN829" s="397">
        <f>+BL829+BM829</f>
        <v>-1524</v>
      </c>
      <c r="BO829" s="428">
        <f>+BN829/BJ829-1</f>
        <v>4.3121149897330513E-2</v>
      </c>
      <c r="BP829" s="397">
        <f>BP779</f>
        <v>-841</v>
      </c>
      <c r="BQ829" s="397">
        <f>BQ779</f>
        <v>-958</v>
      </c>
      <c r="BR829" s="397">
        <f>+BP829+BQ829</f>
        <v>-1799</v>
      </c>
      <c r="BS829" s="428">
        <f>+BR829/BN829-1</f>
        <v>0.18044619422572183</v>
      </c>
      <c r="BT829" s="397">
        <f>BT779</f>
        <v>-820</v>
      </c>
      <c r="BU829" s="397">
        <f>BU779</f>
        <v>-826</v>
      </c>
      <c r="BV829" s="397">
        <f>+BT829+BU829</f>
        <v>-1646</v>
      </c>
      <c r="BW829" s="428">
        <f>+BV829/BR829-1</f>
        <v>-8.5047248471373016E-2</v>
      </c>
      <c r="BX829" s="397">
        <f>BX779</f>
        <v>-820</v>
      </c>
      <c r="BY829" s="397">
        <f>BY779</f>
        <v>-856</v>
      </c>
      <c r="BZ829" s="397">
        <f>+BX829+BY829</f>
        <v>-1676</v>
      </c>
      <c r="CA829" s="428">
        <f>+BZ829/BV829-1</f>
        <v>1.8226002430133725E-2</v>
      </c>
      <c r="CB829" s="397">
        <f>CB779</f>
        <v>-1338</v>
      </c>
      <c r="CC829" s="397">
        <f>CC779</f>
        <v>-1285</v>
      </c>
      <c r="CD829" s="397">
        <f>+CB829+CC829</f>
        <v>-2623</v>
      </c>
      <c r="CE829" s="428">
        <f>+CD829/BZ829-1</f>
        <v>0.56503579952267313</v>
      </c>
      <c r="CF829" s="397">
        <f>CF779</f>
        <v>-882</v>
      </c>
      <c r="CG829" s="397">
        <f>CG779</f>
        <v>-1336</v>
      </c>
      <c r="CH829" s="397">
        <f>+CF829+CG829</f>
        <v>-2218</v>
      </c>
      <c r="CI829" s="428">
        <f>+CH829/CD829-1</f>
        <v>-0.15440335493709489</v>
      </c>
      <c r="CJ829" s="397">
        <f>CJ779</f>
        <v>-805</v>
      </c>
      <c r="CK829" s="397">
        <f>CK779</f>
        <v>-1353</v>
      </c>
      <c r="CL829" s="397">
        <f>+CJ829+CK829</f>
        <v>-2158</v>
      </c>
      <c r="CM829" s="428">
        <f>+CL829/CH829-1</f>
        <v>-2.7051397655545539E-2</v>
      </c>
      <c r="CN829" s="397">
        <f>CN779</f>
        <v>-1043</v>
      </c>
      <c r="CO829" s="397">
        <f>CO779</f>
        <v>-1131</v>
      </c>
      <c r="CP829" s="397">
        <f>+CN829+CO829</f>
        <v>-2174</v>
      </c>
      <c r="CQ829" s="428">
        <f>+CP829/CL829-1</f>
        <v>7.4142724745134281E-3</v>
      </c>
      <c r="CR829" s="397">
        <f>CR779</f>
        <v>-686</v>
      </c>
      <c r="CS829" s="397">
        <f>CS779</f>
        <v>-859</v>
      </c>
      <c r="CT829" s="397">
        <f>+CR829+CS829</f>
        <v>-1545</v>
      </c>
      <c r="CU829" s="428">
        <f>+CT829/CP829-1</f>
        <v>-0.28932842686292548</v>
      </c>
      <c r="CV829" s="397">
        <f>CV779</f>
        <v>-731</v>
      </c>
      <c r="CW829" s="397">
        <f>CW779</f>
        <v>-902</v>
      </c>
      <c r="CX829" s="397">
        <f>+CV829+CW829</f>
        <v>-1633</v>
      </c>
      <c r="CY829" s="428">
        <f>+CX829/CT829-1</f>
        <v>5.6957928802588986E-2</v>
      </c>
      <c r="CZ829" s="397">
        <f>CZ779</f>
        <v>-685</v>
      </c>
      <c r="DA829" s="397">
        <f>DA779</f>
        <v>-865</v>
      </c>
      <c r="DB829" s="397">
        <f>+CZ829+DA829</f>
        <v>-1550</v>
      </c>
      <c r="DC829" s="428">
        <f>+DB829/CX829-1</f>
        <v>-5.0826699326393165E-2</v>
      </c>
      <c r="DD829" s="397">
        <f>DD779</f>
        <v>-755</v>
      </c>
      <c r="DE829" s="397">
        <f>DE779</f>
        <v>-925</v>
      </c>
      <c r="DF829" s="397">
        <f>+DD829+DE829</f>
        <v>-1680</v>
      </c>
      <c r="DG829" s="428">
        <f>+DF829/DB829-1</f>
        <v>8.3870967741935587E-2</v>
      </c>
      <c r="DH829" s="397">
        <f>DH779</f>
        <v>-965</v>
      </c>
      <c r="DI829" s="480">
        <f t="shared" ref="DI829" si="744">SUM(DI825:DI828)</f>
        <v>-870.25</v>
      </c>
      <c r="DJ829" s="397">
        <f t="shared" ref="DJ829" si="745">+DH829+DI829</f>
        <v>-1835.25</v>
      </c>
      <c r="DK829" s="428">
        <f>+DJ829/DF829-1</f>
        <v>9.2410714285714235E-2</v>
      </c>
      <c r="DL829" s="480">
        <f t="shared" ref="DL829:DM829" si="746">SUM(DL825:DL828)</f>
        <v>-820.25</v>
      </c>
      <c r="DM829" s="480">
        <f t="shared" si="746"/>
        <v>-870.25</v>
      </c>
      <c r="DN829" s="397">
        <f t="shared" ref="DN829" si="747">+DL829+DM829</f>
        <v>-1690.5</v>
      </c>
      <c r="DO829" s="428">
        <f>+DN829/DJ829-1</f>
        <v>-7.8872088271352725E-2</v>
      </c>
      <c r="DP829" s="480">
        <f t="shared" ref="DP829:DQ829" si="748">SUM(DP825:DP828)</f>
        <v>-832.55374999999992</v>
      </c>
      <c r="DQ829" s="480">
        <f t="shared" si="748"/>
        <v>-895.04205624999986</v>
      </c>
      <c r="DR829" s="397">
        <f t="shared" ref="DR829" si="749">+DP829+DQ829</f>
        <v>-1727.5958062499999</v>
      </c>
      <c r="DS829" s="428">
        <f>+DR829/DN829-1</f>
        <v>2.1943688997337896E-2</v>
      </c>
      <c r="DT829" s="1"/>
      <c r="DU829" s="1"/>
      <c r="DV829" s="1"/>
      <c r="DW829" s="1"/>
      <c r="DX829" s="1"/>
      <c r="DY829" s="1"/>
      <c r="DZ829" s="1"/>
      <c r="EA829" s="1"/>
      <c r="EB829" s="1"/>
      <c r="EC829" s="1"/>
      <c r="ED829" s="1"/>
      <c r="EE829" s="1"/>
      <c r="EF829" s="1"/>
      <c r="EG829" s="1"/>
      <c r="EH829" s="1"/>
      <c r="EI829" s="1"/>
      <c r="EJ829" s="1"/>
      <c r="EK829" s="1"/>
      <c r="EL829" s="1"/>
      <c r="EM829" s="1"/>
      <c r="EN829" s="1"/>
      <c r="EO829" s="1"/>
      <c r="EP829" s="1"/>
      <c r="EQ829" s="1"/>
      <c r="ER829" s="1"/>
      <c r="ES829" s="1"/>
      <c r="ET829" s="1"/>
      <c r="EU829" s="1"/>
      <c r="EV829" s="1"/>
      <c r="EW829" s="1"/>
      <c r="EX829" s="1"/>
      <c r="EY829" s="1"/>
      <c r="EZ829" s="1"/>
      <c r="FA829" s="1"/>
      <c r="FB829" s="1"/>
      <c r="FC829" s="1"/>
      <c r="FD829" s="1"/>
      <c r="FE829" s="1"/>
      <c r="FF829" s="1"/>
      <c r="FG829" s="1"/>
      <c r="FH829" s="1"/>
      <c r="FI829" s="1"/>
      <c r="FJ829" s="1"/>
      <c r="FK829" s="1"/>
      <c r="FL829" s="1"/>
      <c r="FM829" s="1"/>
      <c r="FN829" s="1"/>
      <c r="FO829" s="1"/>
      <c r="FP829" s="1"/>
      <c r="FQ829" s="1"/>
      <c r="FR829" s="1"/>
      <c r="FS829" s="1"/>
      <c r="FT829" s="1"/>
      <c r="FU829" s="1"/>
      <c r="FV829" s="1"/>
      <c r="FW829" s="1"/>
      <c r="FX829" s="1"/>
      <c r="FY829" s="1"/>
      <c r="FZ829" s="1"/>
      <c r="GA829" s="1"/>
      <c r="GB829" s="1"/>
      <c r="GC829" s="1"/>
      <c r="GD829" s="1"/>
      <c r="GE829" s="1"/>
      <c r="GF829" s="1"/>
      <c r="GG829" s="1"/>
      <c r="GH829" s="1"/>
      <c r="GI829" s="1"/>
      <c r="GJ829" s="1"/>
      <c r="GK829" s="1"/>
      <c r="GL829" s="1"/>
      <c r="GM829" s="1"/>
      <c r="GN829" s="1"/>
      <c r="GO829" s="1"/>
      <c r="GP829" s="1"/>
      <c r="GQ829" s="1"/>
      <c r="GR829" s="1"/>
      <c r="GS829" s="1"/>
      <c r="GT829" s="1"/>
      <c r="GU829" s="1"/>
      <c r="GV829" s="1"/>
      <c r="GW829" s="1"/>
      <c r="GX829" s="1"/>
      <c r="GY829" s="1"/>
      <c r="GZ829" s="1"/>
      <c r="HA829" s="1"/>
      <c r="HB829" s="1"/>
      <c r="HC829" s="1"/>
      <c r="HD829" s="1"/>
      <c r="HE829" s="1"/>
      <c r="HF829" s="1"/>
      <c r="HG829" s="1"/>
      <c r="HH829" s="1"/>
      <c r="HI829" s="1"/>
      <c r="HJ829" s="1"/>
      <c r="HK829" s="1"/>
      <c r="HL829" s="1"/>
      <c r="HM829" s="1"/>
      <c r="HN829" s="1"/>
      <c r="HO829" s="1"/>
      <c r="HP829" s="1"/>
      <c r="HQ829" s="1"/>
      <c r="HR829" s="1"/>
      <c r="HS829" s="1"/>
      <c r="HT829" s="1"/>
      <c r="HU829" s="1"/>
      <c r="HV829" s="1"/>
      <c r="HW829" s="1"/>
      <c r="HX829" s="1"/>
      <c r="HY829" s="1"/>
      <c r="HZ829" s="1"/>
      <c r="IA829" s="1"/>
      <c r="IB829" s="1"/>
      <c r="IC829" s="1"/>
      <c r="ID829" s="1"/>
      <c r="IE829" s="1"/>
      <c r="IF829" s="1"/>
      <c r="IG829" s="1"/>
      <c r="IH829" s="1"/>
      <c r="II829" s="1"/>
      <c r="IJ829" s="1"/>
      <c r="IK829" s="1"/>
      <c r="IL829" s="1"/>
      <c r="IM829" s="1"/>
      <c r="IN829" s="1"/>
      <c r="IO829" s="1"/>
      <c r="IP829" s="1"/>
      <c r="IQ829" s="1"/>
      <c r="IR829" s="1"/>
      <c r="IS829" s="1"/>
      <c r="IT829" s="1"/>
      <c r="IU829" s="1"/>
      <c r="IV829" s="1"/>
      <c r="IW829" s="1"/>
      <c r="IX829" s="1"/>
      <c r="IY829" s="1"/>
      <c r="IZ829" s="1"/>
      <c r="JA829" s="1"/>
      <c r="JB829" s="1"/>
      <c r="JC829" s="1"/>
      <c r="JD829" s="1"/>
    </row>
    <row r="830" spans="1:264" s="347" customFormat="1" x14ac:dyDescent="0.2">
      <c r="A830" s="600" t="s">
        <v>584</v>
      </c>
      <c r="B830" s="687"/>
      <c r="C830" s="600"/>
      <c r="D830" s="600"/>
      <c r="E830" s="600"/>
      <c r="F830" s="600"/>
      <c r="G830" s="600"/>
      <c r="H830" s="600"/>
      <c r="I830" s="600"/>
      <c r="J830" s="600"/>
      <c r="K830" s="600"/>
      <c r="L830" s="600"/>
      <c r="M830" s="600"/>
      <c r="N830" s="600"/>
      <c r="O830" s="600"/>
      <c r="P830" s="600"/>
      <c r="Q830" s="600"/>
      <c r="R830" s="600"/>
      <c r="S830" s="600"/>
      <c r="T830" s="600"/>
      <c r="U830" s="600"/>
      <c r="V830" s="600"/>
      <c r="W830" s="600"/>
      <c r="X830" s="600"/>
      <c r="Y830" s="600"/>
      <c r="Z830" s="600"/>
      <c r="AA830" s="600"/>
      <c r="AB830" s="600"/>
      <c r="AC830" s="600"/>
      <c r="AD830" s="600"/>
      <c r="AE830" s="600"/>
      <c r="AF830" s="600"/>
      <c r="AG830" s="600"/>
      <c r="AH830" s="600"/>
      <c r="AI830" s="600"/>
      <c r="AJ830" s="600"/>
      <c r="AK830" s="600"/>
      <c r="AL830" s="600"/>
      <c r="AM830" s="600"/>
      <c r="AN830" s="600"/>
      <c r="AO830" s="600"/>
      <c r="AP830" s="600"/>
      <c r="AQ830" s="600"/>
      <c r="AR830" s="600"/>
      <c r="AS830" s="600"/>
      <c r="AT830" s="600"/>
      <c r="AU830" s="600"/>
      <c r="AV830" s="600"/>
      <c r="AW830" s="600"/>
      <c r="AX830" s="600"/>
      <c r="AY830" s="600"/>
      <c r="AZ830" s="600"/>
      <c r="BA830" s="600"/>
      <c r="BB830" s="600"/>
      <c r="BC830" s="600"/>
      <c r="BD830" s="600"/>
      <c r="BE830" s="600"/>
      <c r="BF830" s="600"/>
      <c r="BG830" s="600"/>
      <c r="BH830" s="688"/>
      <c r="BI830" s="688">
        <f>+BI829/BH829-1</f>
        <v>6.8681318681318437E-3</v>
      </c>
      <c r="BJ830" s="689"/>
      <c r="BK830" s="687"/>
      <c r="BL830" s="688">
        <f>+BL829/BI829-1</f>
        <v>1.2278308321964637E-2</v>
      </c>
      <c r="BM830" s="688">
        <f>+BM829/BL829-1</f>
        <v>5.3908355795148299E-2</v>
      </c>
      <c r="BN830" s="689"/>
      <c r="BO830" s="687"/>
      <c r="BP830" s="688">
        <f>+BP829/BM829-1</f>
        <v>7.544757033248084E-2</v>
      </c>
      <c r="BQ830" s="688">
        <f>+BQ829/BP829-1</f>
        <v>0.13912009512485146</v>
      </c>
      <c r="BR830" s="689"/>
      <c r="BS830" s="557"/>
      <c r="BT830" s="688">
        <f>+BT829/BQ829-1</f>
        <v>-0.14405010438413357</v>
      </c>
      <c r="BU830" s="688">
        <f>+BU829/BT829-1</f>
        <v>7.3170731707317138E-3</v>
      </c>
      <c r="BV830" s="689"/>
      <c r="BW830" s="557"/>
      <c r="BX830" s="688">
        <f>+BX829/BU829-1</f>
        <v>-7.2639225181597711E-3</v>
      </c>
      <c r="BY830" s="688">
        <f>+BY829/BX829-1</f>
        <v>4.3902439024390283E-2</v>
      </c>
      <c r="BZ830" s="689"/>
      <c r="CA830" s="557"/>
      <c r="CB830" s="688">
        <f>+CB829/BY829-1</f>
        <v>0.56308411214953269</v>
      </c>
      <c r="CC830" s="688">
        <f>+CC829/CB829-1</f>
        <v>-3.9611360239162896E-2</v>
      </c>
      <c r="CD830" s="689"/>
      <c r="CE830" s="557"/>
      <c r="CF830" s="688">
        <f>+CF829/CC829-1</f>
        <v>-0.31361867704280155</v>
      </c>
      <c r="CG830" s="688">
        <f>+CG829/CF829-1</f>
        <v>0.51473922902494329</v>
      </c>
      <c r="CH830" s="689"/>
      <c r="CI830" s="557"/>
      <c r="CJ830" s="688">
        <f>+CJ829/CG829-1</f>
        <v>-0.39745508982035926</v>
      </c>
      <c r="CK830" s="688">
        <f>+CK829/CJ829-1</f>
        <v>0.68074534161490674</v>
      </c>
      <c r="CL830" s="689"/>
      <c r="CM830" s="557"/>
      <c r="CN830" s="688">
        <f>+CN829/CK829-1</f>
        <v>-0.22912047302291205</v>
      </c>
      <c r="CO830" s="688">
        <f>+CO829/CN829-1</f>
        <v>8.4372003835091025E-2</v>
      </c>
      <c r="CP830" s="689"/>
      <c r="CQ830" s="557"/>
      <c r="CR830" s="688">
        <f>+CR829/CO829-1</f>
        <v>-0.39345711759504864</v>
      </c>
      <c r="CS830" s="688">
        <f>+CS829/CR829-1</f>
        <v>0.25218658892128287</v>
      </c>
      <c r="CT830" s="689"/>
      <c r="CU830" s="557"/>
      <c r="CV830" s="688">
        <f>+CV829/CS829-1</f>
        <v>-0.14901047729918515</v>
      </c>
      <c r="CW830" s="688">
        <f>+CW829/CV829-1</f>
        <v>0.23392612859097128</v>
      </c>
      <c r="CX830" s="689"/>
      <c r="CY830" s="557"/>
      <c r="CZ830" s="688">
        <f>+CZ829/CW829-1</f>
        <v>-0.24057649667405767</v>
      </c>
      <c r="DA830" s="688">
        <f>+DA829/CZ829-1</f>
        <v>0.26277372262773713</v>
      </c>
      <c r="DB830" s="689"/>
      <c r="DC830" s="557"/>
      <c r="DD830" s="688">
        <f>+DD829/DA829-1</f>
        <v>-0.12716763005780352</v>
      </c>
      <c r="DE830" s="688">
        <f>+DE829/DD829-1</f>
        <v>0.22516556291390732</v>
      </c>
      <c r="DF830" s="689"/>
      <c r="DG830" s="557"/>
      <c r="DH830" s="688">
        <f>+DH829/DE829-1</f>
        <v>4.3243243243243246E-2</v>
      </c>
      <c r="DI830" s="688">
        <f>+DI829/DH829-1</f>
        <v>-9.8186528497409276E-2</v>
      </c>
      <c r="DJ830" s="687"/>
      <c r="DK830" s="557"/>
      <c r="DL830" s="688">
        <f>+DL829/DI829-1</f>
        <v>-5.7454754380925066E-2</v>
      </c>
      <c r="DM830" s="688">
        <f>+DM829/DL829-1</f>
        <v>6.0957025297165401E-2</v>
      </c>
      <c r="DN830" s="687"/>
      <c r="DO830" s="557"/>
      <c r="DP830" s="688">
        <f>+DP829/DM829-1</f>
        <v>-4.3316575696638937E-2</v>
      </c>
      <c r="DQ830" s="688">
        <f>+DQ829/DP829-1</f>
        <v>7.5056182558783657E-2</v>
      </c>
      <c r="DR830" s="687"/>
      <c r="DS830" s="557"/>
      <c r="DT830" s="1"/>
      <c r="DU830" s="1"/>
      <c r="DV830" s="1"/>
      <c r="DW830" s="1"/>
      <c r="DX830" s="1"/>
      <c r="DY830" s="1"/>
      <c r="DZ830" s="1"/>
      <c r="EA830" s="1"/>
      <c r="EB830" s="1"/>
      <c r="EC830" s="1"/>
      <c r="ED830" s="1"/>
      <c r="EE830" s="1"/>
      <c r="EF830" s="1"/>
      <c r="EG830" s="1"/>
      <c r="EH830" s="1"/>
      <c r="EI830" s="1"/>
      <c r="EJ830" s="1"/>
      <c r="EK830" s="1"/>
      <c r="EL830" s="1"/>
      <c r="EM830" s="1"/>
      <c r="EN830" s="1"/>
      <c r="EO830" s="1"/>
      <c r="EP830" s="1"/>
      <c r="EQ830" s="1"/>
      <c r="ER830" s="1"/>
      <c r="ES830" s="1"/>
      <c r="ET830" s="1"/>
      <c r="EU830" s="1"/>
      <c r="EV830" s="1"/>
      <c r="EW830" s="1"/>
      <c r="EX830" s="1"/>
      <c r="EY830" s="1"/>
      <c r="EZ830" s="1"/>
      <c r="FA830" s="1"/>
      <c r="FB830" s="1"/>
      <c r="FC830" s="1"/>
      <c r="FD830" s="1"/>
      <c r="FE830" s="1"/>
      <c r="FF830" s="1"/>
      <c r="FG830" s="1"/>
      <c r="FH830" s="1"/>
      <c r="FI830" s="1"/>
      <c r="FJ830" s="1"/>
      <c r="FK830" s="1"/>
      <c r="FL830" s="1"/>
      <c r="FM830" s="1"/>
      <c r="FN830" s="1"/>
      <c r="FO830" s="1"/>
      <c r="FP830" s="1"/>
      <c r="FQ830" s="1"/>
      <c r="FR830" s="1"/>
      <c r="FS830" s="1"/>
      <c r="FT830" s="1"/>
      <c r="FU830" s="1"/>
      <c r="FV830" s="1"/>
      <c r="FW830" s="1"/>
      <c r="FX830" s="1"/>
      <c r="FY830" s="1"/>
      <c r="FZ830" s="1"/>
      <c r="GA830" s="1"/>
      <c r="GB830" s="1"/>
      <c r="GC830" s="1"/>
      <c r="GD830" s="1"/>
      <c r="GE830" s="1"/>
      <c r="GF830" s="1"/>
      <c r="GG830" s="1"/>
      <c r="GH830" s="1"/>
      <c r="GI830" s="1"/>
      <c r="GJ830" s="1"/>
      <c r="GK830" s="1"/>
      <c r="GL830" s="1"/>
      <c r="GM830" s="1"/>
      <c r="GN830" s="1"/>
      <c r="GO830" s="1"/>
      <c r="GP830" s="1"/>
      <c r="GQ830" s="1"/>
      <c r="GR830" s="1"/>
      <c r="GS830" s="1"/>
      <c r="GT830" s="1"/>
      <c r="GU830" s="1"/>
      <c r="GV830" s="1"/>
      <c r="GW830" s="1"/>
      <c r="GX830" s="1"/>
      <c r="GY830" s="1"/>
      <c r="GZ830" s="1"/>
      <c r="HA830" s="1"/>
      <c r="HB830" s="1"/>
      <c r="HC830" s="1"/>
      <c r="HD830" s="1"/>
      <c r="HE830" s="1"/>
      <c r="HF830" s="1"/>
      <c r="HG830" s="1"/>
      <c r="HH830" s="1"/>
      <c r="HI830" s="1"/>
      <c r="HJ830" s="1"/>
      <c r="HK830" s="1"/>
      <c r="HL830" s="1"/>
      <c r="HM830" s="1"/>
      <c r="HN830" s="1"/>
      <c r="HO830" s="1"/>
      <c r="HP830" s="1"/>
      <c r="HQ830" s="1"/>
      <c r="HR830" s="1"/>
      <c r="HS830" s="1"/>
      <c r="HT830" s="1"/>
      <c r="HU830" s="1"/>
      <c r="HV830" s="1"/>
      <c r="HW830" s="1"/>
      <c r="HX830" s="1"/>
      <c r="HY830" s="1"/>
      <c r="HZ830" s="1"/>
      <c r="IA830" s="1"/>
      <c r="IB830" s="1"/>
      <c r="IC830" s="1"/>
      <c r="ID830" s="1"/>
      <c r="IE830" s="1"/>
      <c r="IF830" s="1"/>
      <c r="IG830" s="1"/>
      <c r="IH830" s="1"/>
      <c r="II830" s="1"/>
      <c r="IJ830" s="1"/>
      <c r="IK830" s="1"/>
      <c r="IL830" s="1"/>
      <c r="IM830" s="1"/>
      <c r="IN830" s="1"/>
      <c r="IO830" s="1"/>
      <c r="IP830" s="1"/>
      <c r="IQ830" s="1"/>
      <c r="IR830" s="1"/>
      <c r="IS830" s="1"/>
      <c r="IT830" s="1"/>
      <c r="IU830" s="1"/>
      <c r="IV830" s="1"/>
      <c r="IW830" s="1"/>
      <c r="IX830" s="1"/>
      <c r="IY830" s="1"/>
      <c r="IZ830" s="1"/>
      <c r="JA830" s="1"/>
      <c r="JB830" s="1"/>
      <c r="JC830" s="1"/>
      <c r="JD830" s="1"/>
    </row>
    <row r="831" spans="1:264" s="347" customFormat="1" x14ac:dyDescent="0.2">
      <c r="A831" s="429" t="s">
        <v>585</v>
      </c>
      <c r="B831" s="408"/>
      <c r="C831" s="429"/>
      <c r="D831" s="429"/>
      <c r="E831" s="429"/>
      <c r="F831" s="429"/>
      <c r="G831" s="429"/>
      <c r="H831" s="429"/>
      <c r="I831" s="429"/>
      <c r="J831" s="429"/>
      <c r="K831" s="429"/>
      <c r="L831" s="429"/>
      <c r="M831" s="429"/>
      <c r="N831" s="429"/>
      <c r="O831" s="429"/>
      <c r="P831" s="429"/>
      <c r="Q831" s="429"/>
      <c r="R831" s="429"/>
      <c r="S831" s="429"/>
      <c r="T831" s="429"/>
      <c r="U831" s="429"/>
      <c r="V831" s="429"/>
      <c r="W831" s="429"/>
      <c r="X831" s="429"/>
      <c r="Y831" s="429"/>
      <c r="Z831" s="429"/>
      <c r="AA831" s="429"/>
      <c r="AB831" s="429"/>
      <c r="AC831" s="429"/>
      <c r="AD831" s="429"/>
      <c r="AE831" s="429"/>
      <c r="AF831" s="429"/>
      <c r="AG831" s="429"/>
      <c r="AH831" s="429"/>
      <c r="AI831" s="429"/>
      <c r="AJ831" s="429"/>
      <c r="AK831" s="429"/>
      <c r="AL831" s="429"/>
      <c r="AM831" s="429"/>
      <c r="AN831" s="429"/>
      <c r="AO831" s="429"/>
      <c r="AP831" s="429"/>
      <c r="AQ831" s="429"/>
      <c r="AR831" s="429"/>
      <c r="AS831" s="429"/>
      <c r="AT831" s="429"/>
      <c r="AU831" s="429"/>
      <c r="AV831" s="429"/>
      <c r="AW831" s="429"/>
      <c r="AX831" s="429"/>
      <c r="AY831" s="429"/>
      <c r="AZ831" s="429"/>
      <c r="BA831" s="429"/>
      <c r="BB831" s="429"/>
      <c r="BC831" s="429"/>
      <c r="BD831" s="429"/>
      <c r="BE831" s="429"/>
      <c r="BF831" s="429"/>
      <c r="BG831" s="429"/>
      <c r="BH831" s="664"/>
      <c r="BI831" s="664"/>
      <c r="BJ831" s="456"/>
      <c r="BK831" s="408"/>
      <c r="BL831" s="664">
        <f>+BL829/BH829-1</f>
        <v>1.9230769230769162E-2</v>
      </c>
      <c r="BM831" s="664">
        <f>+BM829/BI829-1</f>
        <v>6.684856753069579E-2</v>
      </c>
      <c r="BN831" s="664">
        <f>+BN829/BJ829-1</f>
        <v>4.3121149897330513E-2</v>
      </c>
      <c r="BO831" s="408"/>
      <c r="BP831" s="664">
        <f>+BP829/BL829-1</f>
        <v>0.13342318059299196</v>
      </c>
      <c r="BQ831" s="664">
        <f>+BQ829/BM829-1</f>
        <v>0.22506393861892593</v>
      </c>
      <c r="BR831" s="664">
        <f>+BR829/BN829-1</f>
        <v>0.18044619422572183</v>
      </c>
      <c r="BT831" s="664">
        <f>+BT829/BP829-1</f>
        <v>-2.4970273483947647E-2</v>
      </c>
      <c r="BU831" s="664">
        <f>+BU829/BQ829-1</f>
        <v>-0.13778705636743216</v>
      </c>
      <c r="BV831" s="664">
        <f>+BV829/BR829-1</f>
        <v>-8.5047248471373016E-2</v>
      </c>
      <c r="BX831" s="664">
        <f>+BX829/BT829-1</f>
        <v>0</v>
      </c>
      <c r="BY831" s="664">
        <f>+BY829/BU829-1</f>
        <v>3.6319612590798966E-2</v>
      </c>
      <c r="BZ831" s="664">
        <f>+BZ829/BV829-1</f>
        <v>1.8226002430133725E-2</v>
      </c>
      <c r="CB831" s="664">
        <f>+CB829/BX829-1</f>
        <v>0.63170731707317063</v>
      </c>
      <c r="CC831" s="664">
        <f>+CC829/BY829-1</f>
        <v>0.50116822429906538</v>
      </c>
      <c r="CD831" s="664">
        <f>+CD829/BZ829-1</f>
        <v>0.56503579952267313</v>
      </c>
      <c r="CF831" s="664">
        <f>+CF829/CB829-1</f>
        <v>-0.34080717488789236</v>
      </c>
      <c r="CG831" s="664">
        <f>+CG829/CC829-1</f>
        <v>3.9688715953307474E-2</v>
      </c>
      <c r="CH831" s="664">
        <f>+CH829/CD829-1</f>
        <v>-0.15440335493709489</v>
      </c>
      <c r="CJ831" s="664">
        <f>+CJ829/CF829-1</f>
        <v>-8.7301587301587324E-2</v>
      </c>
      <c r="CK831" s="664">
        <f>+CK829/CG829-1</f>
        <v>1.2724550898203679E-2</v>
      </c>
      <c r="CL831" s="664">
        <f>+CL829/CH829-1</f>
        <v>-2.7051397655545539E-2</v>
      </c>
      <c r="CN831" s="664">
        <f>+CN829/CJ829-1</f>
        <v>0.29565217391304355</v>
      </c>
      <c r="CO831" s="664">
        <f>+CO829/CK829-1</f>
        <v>-0.16407982261640797</v>
      </c>
      <c r="CP831" s="664">
        <f>+CP829/CL829-1</f>
        <v>7.4142724745134281E-3</v>
      </c>
      <c r="CR831" s="664">
        <f>+CR829/CN829-1</f>
        <v>-0.34228187919463082</v>
      </c>
      <c r="CS831" s="664">
        <f>+CS829/CO829-1</f>
        <v>-0.24049513704686121</v>
      </c>
      <c r="CT831" s="664">
        <f>+CT829/CP829-1</f>
        <v>-0.28932842686292548</v>
      </c>
      <c r="CV831" s="664">
        <f>+CV829/CR829-1</f>
        <v>6.5597667638483959E-2</v>
      </c>
      <c r="CW831" s="664">
        <f>+CW829/CS829-1</f>
        <v>5.0058207217694939E-2</v>
      </c>
      <c r="CX831" s="664">
        <f>+CX829/CT829-1</f>
        <v>5.6957928802588986E-2</v>
      </c>
      <c r="CZ831" s="664">
        <f>+CZ829/CV829-1</f>
        <v>-6.2927496580027387E-2</v>
      </c>
      <c r="DA831" s="664">
        <f>+DA829/CW829-1</f>
        <v>-4.1019955654101992E-2</v>
      </c>
      <c r="DB831" s="664">
        <f>+DB829/CX829-1</f>
        <v>-5.0826699326393165E-2</v>
      </c>
      <c r="DD831" s="664">
        <f>+DD829/CZ829-1</f>
        <v>0.10218978102189791</v>
      </c>
      <c r="DE831" s="664">
        <f>+DE829/DA829-1</f>
        <v>6.9364161849710948E-2</v>
      </c>
      <c r="DF831" s="664">
        <f>+DF829/DB829-1</f>
        <v>8.3870967741935587E-2</v>
      </c>
      <c r="DH831" s="664">
        <f>+DH829/DD829-1</f>
        <v>0.2781456953642385</v>
      </c>
      <c r="DI831" s="664">
        <f>+DI829/DE829-1</f>
        <v>-5.918918918918914E-2</v>
      </c>
      <c r="DJ831" s="664">
        <f>+DJ829/DF829-1</f>
        <v>9.2410714285714235E-2</v>
      </c>
      <c r="DL831" s="664">
        <f>+DL829/DH829-1</f>
        <v>-0.15000000000000002</v>
      </c>
      <c r="DM831" s="664">
        <f>+DM829/DI829-1</f>
        <v>0</v>
      </c>
      <c r="DN831" s="664">
        <f>+DN829/DJ829-1</f>
        <v>-7.8872088271352725E-2</v>
      </c>
      <c r="DP831" s="664">
        <f>+DP829/DL829-1</f>
        <v>1.4999999999999902E-2</v>
      </c>
      <c r="DQ831" s="664">
        <f>+DQ829/DM829-1</f>
        <v>2.8488430048836388E-2</v>
      </c>
      <c r="DR831" s="664">
        <f>+DR829/DN829-1</f>
        <v>2.1943688997337896E-2</v>
      </c>
      <c r="DT831" s="1"/>
      <c r="DU831" s="1"/>
      <c r="DV831" s="1"/>
      <c r="DW831" s="1"/>
      <c r="DX831" s="1"/>
      <c r="DY831" s="1"/>
      <c r="DZ831" s="1"/>
      <c r="EA831" s="1"/>
      <c r="EB831" s="1"/>
      <c r="EC831" s="1"/>
      <c r="ED831" s="1"/>
      <c r="EE831" s="1"/>
      <c r="EF831" s="1"/>
      <c r="EG831" s="1"/>
      <c r="EH831" s="1"/>
      <c r="EI831" s="1"/>
      <c r="EJ831" s="1"/>
      <c r="EK831" s="1"/>
      <c r="EL831" s="1"/>
      <c r="EM831" s="1"/>
      <c r="EN831" s="1"/>
      <c r="EO831" s="1"/>
      <c r="EP831" s="1"/>
      <c r="EQ831" s="1"/>
      <c r="ER831" s="1"/>
      <c r="ES831" s="1"/>
      <c r="ET831" s="1"/>
      <c r="EU831" s="1"/>
      <c r="EV831" s="1"/>
      <c r="EW831" s="1"/>
      <c r="EX831" s="1"/>
      <c r="EY831" s="1"/>
      <c r="EZ831" s="1"/>
      <c r="FA831" s="1"/>
      <c r="FB831" s="1"/>
      <c r="FC831" s="1"/>
      <c r="FD831" s="1"/>
      <c r="FE831" s="1"/>
      <c r="FF831" s="1"/>
      <c r="FG831" s="1"/>
      <c r="FH831" s="1"/>
      <c r="FI831" s="1"/>
      <c r="FJ831" s="1"/>
      <c r="FK831" s="1"/>
      <c r="FL831" s="1"/>
      <c r="FM831" s="1"/>
      <c r="FN831" s="1"/>
      <c r="FO831" s="1"/>
      <c r="FP831" s="1"/>
      <c r="FQ831" s="1"/>
      <c r="FR831" s="1"/>
      <c r="FS831" s="1"/>
      <c r="FT831" s="1"/>
      <c r="FU831" s="1"/>
      <c r="FV831" s="1"/>
      <c r="FW831" s="1"/>
      <c r="FX831" s="1"/>
      <c r="FY831" s="1"/>
      <c r="FZ831" s="1"/>
      <c r="GA831" s="1"/>
      <c r="GB831" s="1"/>
      <c r="GC831" s="1"/>
      <c r="GD831" s="1"/>
      <c r="GE831" s="1"/>
      <c r="GF831" s="1"/>
      <c r="GG831" s="1"/>
      <c r="GH831" s="1"/>
      <c r="GI831" s="1"/>
      <c r="GJ831" s="1"/>
      <c r="GK831" s="1"/>
      <c r="GL831" s="1"/>
      <c r="GM831" s="1"/>
      <c r="GN831" s="1"/>
      <c r="GO831" s="1"/>
      <c r="GP831" s="1"/>
      <c r="GQ831" s="1"/>
      <c r="GR831" s="1"/>
      <c r="GS831" s="1"/>
      <c r="GT831" s="1"/>
      <c r="GU831" s="1"/>
      <c r="GV831" s="1"/>
      <c r="GW831" s="1"/>
      <c r="GX831" s="1"/>
      <c r="GY831" s="1"/>
      <c r="GZ831" s="1"/>
      <c r="HA831" s="1"/>
      <c r="HB831" s="1"/>
      <c r="HC831" s="1"/>
      <c r="HD831" s="1"/>
      <c r="HE831" s="1"/>
      <c r="HF831" s="1"/>
      <c r="HG831" s="1"/>
      <c r="HH831" s="1"/>
      <c r="HI831" s="1"/>
      <c r="HJ831" s="1"/>
      <c r="HK831" s="1"/>
      <c r="HL831" s="1"/>
      <c r="HM831" s="1"/>
      <c r="HN831" s="1"/>
      <c r="HO831" s="1"/>
      <c r="HP831" s="1"/>
      <c r="HQ831" s="1"/>
      <c r="HR831" s="1"/>
      <c r="HS831" s="1"/>
      <c r="HT831" s="1"/>
      <c r="HU831" s="1"/>
      <c r="HV831" s="1"/>
      <c r="HW831" s="1"/>
      <c r="HX831" s="1"/>
      <c r="HY831" s="1"/>
      <c r="HZ831" s="1"/>
      <c r="IA831" s="1"/>
      <c r="IB831" s="1"/>
      <c r="IC831" s="1"/>
      <c r="ID831" s="1"/>
      <c r="IE831" s="1"/>
      <c r="IF831" s="1"/>
      <c r="IG831" s="1"/>
      <c r="IH831" s="1"/>
      <c r="II831" s="1"/>
      <c r="IJ831" s="1"/>
      <c r="IK831" s="1"/>
      <c r="IL831" s="1"/>
      <c r="IM831" s="1"/>
      <c r="IN831" s="1"/>
      <c r="IO831" s="1"/>
      <c r="IP831" s="1"/>
      <c r="IQ831" s="1"/>
      <c r="IR831" s="1"/>
      <c r="IS831" s="1"/>
      <c r="IT831" s="1"/>
      <c r="IU831" s="1"/>
      <c r="IV831" s="1"/>
      <c r="IW831" s="1"/>
      <c r="IX831" s="1"/>
      <c r="IY831" s="1"/>
      <c r="IZ831" s="1"/>
      <c r="JA831" s="1"/>
      <c r="JB831" s="1"/>
      <c r="JC831" s="1"/>
      <c r="JD831" s="1"/>
    </row>
    <row r="832" spans="1:264" s="347" customFormat="1" x14ac:dyDescent="0.2">
      <c r="A832" s="600" t="s">
        <v>586</v>
      </c>
      <c r="B832" s="687"/>
      <c r="C832" s="600"/>
      <c r="D832" s="600"/>
      <c r="E832" s="600"/>
      <c r="F832" s="600"/>
      <c r="G832" s="600"/>
      <c r="H832" s="600"/>
      <c r="I832" s="600"/>
      <c r="J832" s="600"/>
      <c r="K832" s="600"/>
      <c r="L832" s="600"/>
      <c r="M832" s="600"/>
      <c r="N832" s="600"/>
      <c r="O832" s="600"/>
      <c r="P832" s="600"/>
      <c r="Q832" s="600"/>
      <c r="R832" s="600"/>
      <c r="S832" s="600"/>
      <c r="T832" s="600"/>
      <c r="U832" s="600"/>
      <c r="V832" s="600"/>
      <c r="W832" s="600"/>
      <c r="X832" s="600"/>
      <c r="Y832" s="600"/>
      <c r="Z832" s="600"/>
      <c r="AA832" s="600"/>
      <c r="AB832" s="600"/>
      <c r="AC832" s="600"/>
      <c r="AD832" s="600"/>
      <c r="AE832" s="600"/>
      <c r="AF832" s="600"/>
      <c r="AG832" s="600"/>
      <c r="AH832" s="600"/>
      <c r="AI832" s="600"/>
      <c r="AJ832" s="600"/>
      <c r="AK832" s="600"/>
      <c r="AL832" s="600"/>
      <c r="AM832" s="600"/>
      <c r="AN832" s="600"/>
      <c r="AO832" s="600"/>
      <c r="AP832" s="600"/>
      <c r="AQ832" s="600"/>
      <c r="AR832" s="600"/>
      <c r="AS832" s="600"/>
      <c r="AT832" s="600"/>
      <c r="AU832" s="600"/>
      <c r="AV832" s="600"/>
      <c r="AW832" s="600"/>
      <c r="AX832" s="600"/>
      <c r="AY832" s="600"/>
      <c r="AZ832" s="600"/>
      <c r="BA832" s="600"/>
      <c r="BB832" s="600"/>
      <c r="BC832" s="600"/>
      <c r="BD832" s="600"/>
      <c r="BE832" s="600"/>
      <c r="BF832" s="600"/>
      <c r="BG832" s="600"/>
      <c r="BH832" s="688"/>
      <c r="BI832" s="688"/>
      <c r="BJ832" s="689"/>
      <c r="BK832" s="687"/>
      <c r="BL832" s="688">
        <f>+BL825/BI825-1</f>
        <v>1.2278308321964637E-2</v>
      </c>
      <c r="BM832" s="688">
        <f>+BM825/BL825-1</f>
        <v>5.3908355795148299E-2</v>
      </c>
      <c r="BN832" s="689"/>
      <c r="BO832" s="687"/>
      <c r="BP832" s="688">
        <f>+BP825/BM825-1</f>
        <v>7.544757033248084E-2</v>
      </c>
      <c r="BQ832" s="688">
        <f>+BQ825/BP825-1</f>
        <v>0.13912009512485146</v>
      </c>
      <c r="BR832" s="689"/>
      <c r="BS832" s="557"/>
      <c r="BT832" s="688">
        <f>+BT825/BQ825-1</f>
        <v>-0.14405010438413357</v>
      </c>
      <c r="BU832" s="688">
        <f>+BU825/BT825-1</f>
        <v>7.3170731707317138E-3</v>
      </c>
      <c r="BV832" s="689"/>
      <c r="BW832" s="557"/>
      <c r="BX832" s="688">
        <f>+BX825/BU825-1</f>
        <v>-7.2639225181597711E-3</v>
      </c>
      <c r="BY832" s="688">
        <f>+BY825/BX825-1</f>
        <v>4.3902439024390283E-2</v>
      </c>
      <c r="BZ832" s="689"/>
      <c r="CA832" s="557"/>
      <c r="CB832" s="688">
        <f>+CB825/BY825-1</f>
        <v>0.125</v>
      </c>
      <c r="CC832" s="688">
        <f>+CC825/CB825-1</f>
        <v>-3.1152647975077885E-3</v>
      </c>
      <c r="CD832" s="689"/>
      <c r="CE832" s="557"/>
      <c r="CF832" s="688">
        <f>+CF825/CC825-1</f>
        <v>6.9791666666666696E-2</v>
      </c>
      <c r="CG832" s="688">
        <f>+CG825/CF825-1</f>
        <v>0.3008763388510225</v>
      </c>
      <c r="CH832" s="689"/>
      <c r="CI832" s="557"/>
      <c r="CJ832" s="688">
        <f>+CJ825/CG825-1</f>
        <v>-0.39745508982035926</v>
      </c>
      <c r="CK832" s="688">
        <f>+CK825/CJ825-1</f>
        <v>0.68074534161490674</v>
      </c>
      <c r="CL832" s="689"/>
      <c r="CM832" s="557"/>
      <c r="CN832" s="688">
        <f>+CN825/CK825-1</f>
        <v>-0.22912047302291205</v>
      </c>
      <c r="CO832" s="688">
        <f>+CO825/CN825-1</f>
        <v>8.4372003835091025E-2</v>
      </c>
      <c r="CP832" s="689"/>
      <c r="CQ832" s="557"/>
      <c r="CR832" s="688">
        <f>+CR825/CO825-1</f>
        <v>-0.39345711759504864</v>
      </c>
      <c r="CS832" s="688">
        <f>+CS825/CR825-1</f>
        <v>0.25218658892128287</v>
      </c>
      <c r="CT832" s="689"/>
      <c r="CU832" s="690"/>
      <c r="CV832" s="688">
        <f>+CV825/CS825-1</f>
        <v>-0.14901047729918515</v>
      </c>
      <c r="CW832" s="688">
        <f>+CW825/CV825-1</f>
        <v>-5.6087551299589644E-2</v>
      </c>
      <c r="CX832" s="689"/>
      <c r="CY832" s="561"/>
      <c r="CZ832" s="688">
        <f>+CZ825/CW825-1</f>
        <v>-7.2463768115942351E-3</v>
      </c>
      <c r="DA832" s="688">
        <f>+DA825/CZ825-1</f>
        <v>0.13284671532846715</v>
      </c>
      <c r="DB832" s="689"/>
      <c r="DC832" s="557"/>
      <c r="DD832" s="688">
        <f>+DD825/DA825-1</f>
        <v>-2.7061855670103108E-2</v>
      </c>
      <c r="DE832" s="688">
        <f>+DE825/DD825-1</f>
        <v>0.16556291390728473</v>
      </c>
      <c r="DF832" s="689"/>
      <c r="DG832" s="557"/>
      <c r="DH832" s="688">
        <f>+DH825/DE825-1</f>
        <v>9.6590909090909172E-2</v>
      </c>
      <c r="DI832" s="561">
        <v>-0.15</v>
      </c>
      <c r="DJ832" s="687"/>
      <c r="DK832" s="557"/>
      <c r="DL832" s="561">
        <v>0</v>
      </c>
      <c r="DM832" s="561">
        <v>0</v>
      </c>
      <c r="DN832" s="687"/>
      <c r="DO832" s="557"/>
      <c r="DP832" s="561">
        <v>1.4999999999999999E-2</v>
      </c>
      <c r="DQ832" s="561">
        <v>1.4999999999999999E-2</v>
      </c>
      <c r="DR832" s="687"/>
      <c r="DS832" s="557"/>
      <c r="DT832" s="1"/>
      <c r="DU832" s="1"/>
      <c r="DV832" s="1"/>
      <c r="DW832" s="1"/>
      <c r="DX832" s="1"/>
      <c r="DY832" s="1"/>
      <c r="DZ832" s="1"/>
      <c r="EA832" s="1"/>
      <c r="EB832" s="1"/>
      <c r="EC832" s="1"/>
      <c r="ED832" s="1"/>
      <c r="EE832" s="1"/>
      <c r="EF832" s="1"/>
      <c r="EG832" s="1"/>
      <c r="EH832" s="1"/>
      <c r="EI832" s="1"/>
      <c r="EJ832" s="1"/>
      <c r="EK832" s="1"/>
      <c r="EL832" s="1"/>
      <c r="EM832" s="1"/>
      <c r="EN832" s="1"/>
      <c r="EO832" s="1"/>
      <c r="EP832" s="1"/>
      <c r="EQ832" s="1"/>
      <c r="ER832" s="1"/>
      <c r="ES832" s="1"/>
      <c r="ET832" s="1"/>
      <c r="EU832" s="1"/>
      <c r="EV832" s="1"/>
      <c r="EW832" s="1"/>
      <c r="EX832" s="1"/>
      <c r="EY832" s="1"/>
      <c r="EZ832" s="1"/>
      <c r="FA832" s="1"/>
      <c r="FB832" s="1"/>
      <c r="FC832" s="1"/>
      <c r="FD832" s="1"/>
      <c r="FE832" s="1"/>
      <c r="FF832" s="1"/>
      <c r="FG832" s="1"/>
      <c r="FH832" s="1"/>
      <c r="FI832" s="1"/>
      <c r="FJ832" s="1"/>
      <c r="FK832" s="1"/>
      <c r="FL832" s="1"/>
      <c r="FM832" s="1"/>
      <c r="FN832" s="1"/>
      <c r="FO832" s="1"/>
      <c r="FP832" s="1"/>
      <c r="FQ832" s="1"/>
      <c r="FR832" s="1"/>
      <c r="FS832" s="1"/>
      <c r="FT832" s="1"/>
      <c r="FU832" s="1"/>
      <c r="FV832" s="1"/>
      <c r="FW832" s="1"/>
      <c r="FX832" s="1"/>
      <c r="FY832" s="1"/>
      <c r="FZ832" s="1"/>
      <c r="GA832" s="1"/>
      <c r="GB832" s="1"/>
      <c r="GC832" s="1"/>
      <c r="GD832" s="1"/>
      <c r="GE832" s="1"/>
      <c r="GF832" s="1"/>
      <c r="GG832" s="1"/>
      <c r="GH832" s="1"/>
      <c r="GI832" s="1"/>
      <c r="GJ832" s="1"/>
      <c r="GK832" s="1"/>
      <c r="GL832" s="1"/>
      <c r="GM832" s="1"/>
      <c r="GN832" s="1"/>
      <c r="GO832" s="1"/>
      <c r="GP832" s="1"/>
      <c r="GQ832" s="1"/>
      <c r="GR832" s="1"/>
      <c r="GS832" s="1"/>
      <c r="GT832" s="1"/>
      <c r="GU832" s="1"/>
      <c r="GV832" s="1"/>
      <c r="GW832" s="1"/>
      <c r="GX832" s="1"/>
      <c r="GY832" s="1"/>
      <c r="GZ832" s="1"/>
      <c r="HA832" s="1"/>
      <c r="HB832" s="1"/>
      <c r="HC832" s="1"/>
      <c r="HD832" s="1"/>
      <c r="HE832" s="1"/>
      <c r="HF832" s="1"/>
      <c r="HG832" s="1"/>
      <c r="HH832" s="1"/>
      <c r="HI832" s="1"/>
      <c r="HJ832" s="1"/>
      <c r="HK832" s="1"/>
      <c r="HL832" s="1"/>
      <c r="HM832" s="1"/>
      <c r="HN832" s="1"/>
      <c r="HO832" s="1"/>
      <c r="HP832" s="1"/>
      <c r="HQ832" s="1"/>
      <c r="HR832" s="1"/>
      <c r="HS832" s="1"/>
      <c r="HT832" s="1"/>
      <c r="HU832" s="1"/>
      <c r="HV832" s="1"/>
      <c r="HW832" s="1"/>
      <c r="HX832" s="1"/>
      <c r="HY832" s="1"/>
      <c r="HZ832" s="1"/>
      <c r="IA832" s="1"/>
      <c r="IB832" s="1"/>
      <c r="IC832" s="1"/>
      <c r="ID832" s="1"/>
      <c r="IE832" s="1"/>
      <c r="IF832" s="1"/>
      <c r="IG832" s="1"/>
      <c r="IH832" s="1"/>
      <c r="II832" s="1"/>
      <c r="IJ832" s="1"/>
      <c r="IK832" s="1"/>
      <c r="IL832" s="1"/>
      <c r="IM832" s="1"/>
      <c r="IN832" s="1"/>
      <c r="IO832" s="1"/>
      <c r="IP832" s="1"/>
      <c r="IQ832" s="1"/>
      <c r="IR832" s="1"/>
      <c r="IS832" s="1"/>
      <c r="IT832" s="1"/>
      <c r="IU832" s="1"/>
      <c r="IV832" s="1"/>
      <c r="IW832" s="1"/>
      <c r="IX832" s="1"/>
      <c r="IY832" s="1"/>
      <c r="IZ832" s="1"/>
      <c r="JA832" s="1"/>
      <c r="JB832" s="1"/>
      <c r="JC832" s="1"/>
      <c r="JD832" s="1"/>
    </row>
    <row r="833" spans="1:264" s="347" customFormat="1" x14ac:dyDescent="0.2">
      <c r="B833" s="348"/>
      <c r="BH833" s="348"/>
      <c r="BI833" s="348"/>
      <c r="BJ833" s="348"/>
      <c r="BK833" s="348"/>
      <c r="BL833" s="348"/>
      <c r="BM833" s="348"/>
      <c r="BN833" s="348"/>
      <c r="BO833" s="348"/>
      <c r="BP833" s="348"/>
      <c r="BQ833" s="348"/>
      <c r="BR833" s="348"/>
      <c r="BS833" s="348"/>
      <c r="BT833" s="348"/>
      <c r="BU833" s="348"/>
      <c r="BV833" s="348"/>
      <c r="BW833" s="348"/>
      <c r="BX833" s="348"/>
      <c r="BY833" s="348"/>
      <c r="BZ833" s="348"/>
      <c r="CA833" s="348"/>
      <c r="CB833" s="348"/>
      <c r="CC833" s="348"/>
      <c r="CD833" s="348"/>
      <c r="CE833" s="348"/>
      <c r="CF833" s="348"/>
      <c r="CG833" s="348"/>
      <c r="CH833" s="348"/>
      <c r="CI833" s="348"/>
      <c r="CJ833" s="348"/>
      <c r="CK833" s="348"/>
      <c r="CL833" s="348"/>
      <c r="CM833" s="348"/>
      <c r="CN833" s="348"/>
      <c r="CO833" s="348"/>
      <c r="CP833" s="348"/>
      <c r="CQ833" s="348"/>
      <c r="CR833" s="348"/>
      <c r="CS833" s="348"/>
      <c r="CT833" s="348"/>
      <c r="CU833" s="348"/>
      <c r="CV833" s="348"/>
      <c r="CW833" s="348"/>
      <c r="CX833" s="348"/>
      <c r="CY833" s="348"/>
      <c r="CZ833" s="348"/>
      <c r="DA833" s="348"/>
      <c r="DB833" s="348"/>
      <c r="DC833" s="348"/>
      <c r="DD833" s="348"/>
      <c r="DE833" s="348"/>
      <c r="DF833" s="348"/>
      <c r="DG833" s="348"/>
      <c r="DH833" s="348"/>
      <c r="DI833" s="348"/>
      <c r="DJ833" s="348"/>
      <c r="DK833" s="348"/>
      <c r="DL833" s="348"/>
      <c r="DM833" s="348"/>
      <c r="DN833" s="348"/>
      <c r="DO833" s="348"/>
      <c r="DP833" s="348"/>
      <c r="DQ833" s="348"/>
      <c r="DR833" s="348"/>
      <c r="DS833" s="348"/>
      <c r="DT833" s="1"/>
      <c r="DU833" s="1"/>
      <c r="DV833" s="1"/>
      <c r="DW833" s="1"/>
      <c r="DX833" s="1"/>
      <c r="DY833" s="1"/>
      <c r="DZ833" s="1"/>
      <c r="EA833" s="1"/>
      <c r="EB833" s="1"/>
      <c r="EC833" s="1"/>
      <c r="ED833" s="1"/>
      <c r="EE833" s="1"/>
      <c r="EF833" s="1"/>
      <c r="EG833" s="1"/>
      <c r="EH833" s="1"/>
      <c r="EI833" s="1"/>
      <c r="EJ833" s="1"/>
      <c r="EK833" s="1"/>
      <c r="EL833" s="1"/>
      <c r="EM833" s="1"/>
      <c r="EN833" s="1"/>
      <c r="EO833" s="1"/>
      <c r="EP833" s="1"/>
      <c r="EQ833" s="1"/>
      <c r="ER833" s="1"/>
      <c r="ES833" s="1"/>
      <c r="ET833" s="1"/>
      <c r="EU833" s="1"/>
      <c r="EV833" s="1"/>
      <c r="EW833" s="1"/>
      <c r="EX833" s="1"/>
      <c r="EY833" s="1"/>
      <c r="EZ833" s="1"/>
      <c r="FA833" s="1"/>
      <c r="FB833" s="1"/>
      <c r="FC833" s="1"/>
      <c r="FD833" s="1"/>
      <c r="FE833" s="1"/>
      <c r="FF833" s="1"/>
      <c r="FG833" s="1"/>
      <c r="FH833" s="1"/>
      <c r="FI833" s="1"/>
      <c r="FJ833" s="1"/>
      <c r="FK833" s="1"/>
      <c r="FL833" s="1"/>
      <c r="FM833" s="1"/>
      <c r="FN833" s="1"/>
      <c r="FO833" s="1"/>
      <c r="FP833" s="1"/>
      <c r="FQ833" s="1"/>
      <c r="FR833" s="1"/>
      <c r="FS833" s="1"/>
      <c r="FT833" s="1"/>
      <c r="FU833" s="1"/>
      <c r="FV833" s="1"/>
      <c r="FW833" s="1"/>
      <c r="FX833" s="1"/>
      <c r="FY833" s="1"/>
      <c r="FZ833" s="1"/>
      <c r="GA833" s="1"/>
      <c r="GB833" s="1"/>
      <c r="GC833" s="1"/>
      <c r="GD833" s="1"/>
      <c r="GE833" s="1"/>
      <c r="GF833" s="1"/>
      <c r="GG833" s="1"/>
      <c r="GH833" s="1"/>
      <c r="GI833" s="1"/>
      <c r="GJ833" s="1"/>
      <c r="GK833" s="1"/>
      <c r="GL833" s="1"/>
      <c r="GM833" s="1"/>
      <c r="GN833" s="1"/>
      <c r="GO833" s="1"/>
      <c r="GP833" s="1"/>
      <c r="GQ833" s="1"/>
      <c r="GR833" s="1"/>
      <c r="GS833" s="1"/>
      <c r="GT833" s="1"/>
      <c r="GU833" s="1"/>
      <c r="GV833" s="1"/>
      <c r="GW833" s="1"/>
      <c r="GX833" s="1"/>
      <c r="GY833" s="1"/>
      <c r="GZ833" s="1"/>
      <c r="HA833" s="1"/>
      <c r="HB833" s="1"/>
      <c r="HC833" s="1"/>
      <c r="HD833" s="1"/>
      <c r="HE833" s="1"/>
      <c r="HF833" s="1"/>
      <c r="HG833" s="1"/>
      <c r="HH833" s="1"/>
      <c r="HI833" s="1"/>
      <c r="HJ833" s="1"/>
      <c r="HK833" s="1"/>
      <c r="HL833" s="1"/>
      <c r="HM833" s="1"/>
      <c r="HN833" s="1"/>
      <c r="HO833" s="1"/>
      <c r="HP833" s="1"/>
      <c r="HQ833" s="1"/>
      <c r="HR833" s="1"/>
      <c r="HS833" s="1"/>
      <c r="HT833" s="1"/>
      <c r="HU833" s="1"/>
      <c r="HV833" s="1"/>
      <c r="HW833" s="1"/>
      <c r="HX833" s="1"/>
      <c r="HY833" s="1"/>
      <c r="HZ833" s="1"/>
      <c r="IA833" s="1"/>
      <c r="IB833" s="1"/>
      <c r="IC833" s="1"/>
      <c r="ID833" s="1"/>
      <c r="IE833" s="1"/>
      <c r="IF833" s="1"/>
      <c r="IG833" s="1"/>
      <c r="IH833" s="1"/>
      <c r="II833" s="1"/>
      <c r="IJ833" s="1"/>
      <c r="IK833" s="1"/>
      <c r="IL833" s="1"/>
      <c r="IM833" s="1"/>
      <c r="IN833" s="1"/>
      <c r="IO833" s="1"/>
      <c r="IP833" s="1"/>
      <c r="IQ833" s="1"/>
      <c r="IR833" s="1"/>
      <c r="IS833" s="1"/>
      <c r="IT833" s="1"/>
      <c r="IU833" s="1"/>
      <c r="IV833" s="1"/>
      <c r="IW833" s="1"/>
      <c r="IX833" s="1"/>
      <c r="IY833" s="1"/>
      <c r="IZ833" s="1"/>
      <c r="JA833" s="1"/>
      <c r="JB833" s="1"/>
      <c r="JC833" s="1"/>
      <c r="JD833" s="1"/>
    </row>
    <row r="834" spans="1:264" s="411" customFormat="1" x14ac:dyDescent="0.2">
      <c r="B834" s="423"/>
      <c r="BH834" s="423"/>
      <c r="BI834" s="423"/>
      <c r="BJ834" s="423"/>
      <c r="BK834" s="423"/>
      <c r="BL834" s="423"/>
      <c r="BM834" s="423"/>
      <c r="BN834" s="423"/>
      <c r="BO834" s="423"/>
      <c r="BP834" s="423"/>
      <c r="BQ834" s="423"/>
      <c r="BR834" s="423"/>
      <c r="BS834" s="423"/>
      <c r="BT834" s="423"/>
      <c r="BU834" s="423"/>
      <c r="BV834" s="423"/>
      <c r="BW834" s="423"/>
      <c r="BX834" s="423"/>
      <c r="BY834" s="423"/>
      <c r="BZ834" s="423"/>
      <c r="CA834" s="423"/>
      <c r="CB834" s="423"/>
      <c r="CC834" s="423"/>
      <c r="CD834" s="423"/>
      <c r="CE834" s="423"/>
      <c r="CF834" s="423"/>
      <c r="CG834" s="423"/>
      <c r="CH834" s="423"/>
      <c r="CI834" s="423"/>
      <c r="CJ834" s="423"/>
      <c r="CK834" s="423"/>
      <c r="CL834" s="423"/>
      <c r="CM834" s="423"/>
      <c r="CN834" s="423"/>
      <c r="CO834" s="423"/>
      <c r="CP834" s="423"/>
      <c r="CQ834" s="423"/>
      <c r="CR834" s="423"/>
      <c r="CS834" s="423"/>
      <c r="CT834" s="423"/>
      <c r="CU834" s="423"/>
      <c r="CV834" s="423"/>
      <c r="CW834" s="423"/>
      <c r="CX834" s="423"/>
      <c r="CY834" s="423"/>
      <c r="CZ834" s="423"/>
      <c r="DA834" s="423"/>
      <c r="DB834" s="423"/>
      <c r="DC834" s="423"/>
      <c r="DD834" s="423"/>
      <c r="DE834" s="423"/>
      <c r="DF834" s="423"/>
      <c r="DG834" s="423"/>
      <c r="DH834" s="423"/>
      <c r="DI834" s="423"/>
      <c r="DJ834" s="423"/>
      <c r="DK834" s="423"/>
      <c r="DL834" s="423"/>
      <c r="DM834" s="423"/>
      <c r="DN834" s="423"/>
      <c r="DO834" s="423"/>
      <c r="DP834" s="423"/>
      <c r="DQ834" s="423"/>
      <c r="DR834" s="423"/>
      <c r="DS834" s="423"/>
      <c r="DT834" s="451"/>
      <c r="DU834" s="451"/>
      <c r="DV834" s="451"/>
      <c r="DW834" s="451"/>
      <c r="DX834" s="451"/>
      <c r="DY834" s="451"/>
      <c r="DZ834" s="451"/>
      <c r="EA834" s="451"/>
      <c r="EB834" s="451"/>
      <c r="EC834" s="451"/>
      <c r="ED834" s="451"/>
      <c r="EE834" s="451"/>
      <c r="EF834" s="451"/>
      <c r="EG834" s="451"/>
      <c r="EH834" s="451"/>
      <c r="EI834" s="451"/>
      <c r="EJ834" s="451"/>
      <c r="EK834" s="451"/>
      <c r="EL834" s="451"/>
      <c r="EM834" s="451"/>
      <c r="EN834" s="451"/>
      <c r="EO834" s="451"/>
      <c r="EP834" s="451"/>
      <c r="EQ834" s="451"/>
      <c r="ER834" s="451"/>
      <c r="ES834" s="451"/>
      <c r="ET834" s="451"/>
      <c r="EU834" s="451"/>
      <c r="EV834" s="451"/>
      <c r="EW834" s="451"/>
      <c r="EX834" s="451"/>
      <c r="EY834" s="451"/>
      <c r="EZ834" s="451"/>
      <c r="FA834" s="451"/>
      <c r="FB834" s="451"/>
      <c r="FC834" s="451"/>
      <c r="FD834" s="451"/>
      <c r="FE834" s="451"/>
      <c r="FF834" s="451"/>
      <c r="FG834" s="451"/>
      <c r="FH834" s="451"/>
      <c r="FI834" s="451"/>
      <c r="FJ834" s="451"/>
      <c r="FK834" s="451"/>
      <c r="FL834" s="451"/>
      <c r="FM834" s="451"/>
      <c r="FN834" s="451"/>
      <c r="FO834" s="451"/>
      <c r="FP834" s="451"/>
      <c r="FQ834" s="451"/>
      <c r="FR834" s="451"/>
      <c r="FS834" s="451"/>
      <c r="FT834" s="451"/>
      <c r="FU834" s="451"/>
      <c r="FV834" s="451"/>
      <c r="FW834" s="451"/>
      <c r="FX834" s="451"/>
      <c r="FY834" s="451"/>
      <c r="FZ834" s="451"/>
      <c r="GA834" s="451"/>
      <c r="GB834" s="451"/>
      <c r="GC834" s="451"/>
      <c r="GD834" s="451"/>
      <c r="GE834" s="451"/>
      <c r="GF834" s="451"/>
      <c r="GG834" s="451"/>
      <c r="GH834" s="451"/>
      <c r="GI834" s="451"/>
      <c r="GJ834" s="451"/>
      <c r="GK834" s="451"/>
      <c r="GL834" s="451"/>
      <c r="GM834" s="451"/>
      <c r="GN834" s="451"/>
      <c r="GO834" s="451"/>
      <c r="GP834" s="451"/>
      <c r="GQ834" s="451"/>
      <c r="GR834" s="451"/>
      <c r="GS834" s="451"/>
      <c r="GT834" s="451"/>
      <c r="GU834" s="451"/>
      <c r="GV834" s="451"/>
      <c r="GW834" s="451"/>
      <c r="GX834" s="451"/>
      <c r="GY834" s="451"/>
      <c r="GZ834" s="451"/>
      <c r="HA834" s="451"/>
      <c r="HB834" s="451"/>
      <c r="HC834" s="451"/>
      <c r="HD834" s="451"/>
      <c r="HE834" s="451"/>
      <c r="HF834" s="451"/>
      <c r="HG834" s="451"/>
      <c r="HH834" s="451"/>
      <c r="HI834" s="451"/>
      <c r="HJ834" s="451"/>
      <c r="HK834" s="451"/>
      <c r="HL834" s="451"/>
      <c r="HM834" s="451"/>
      <c r="HN834" s="451"/>
      <c r="HO834" s="451"/>
      <c r="HP834" s="451"/>
      <c r="HQ834" s="451"/>
      <c r="HR834" s="451"/>
      <c r="HS834" s="451"/>
      <c r="HT834" s="451"/>
      <c r="HU834" s="451"/>
      <c r="HV834" s="451"/>
      <c r="HW834" s="451"/>
      <c r="HX834" s="451"/>
      <c r="HY834" s="451"/>
      <c r="HZ834" s="451"/>
      <c r="IA834" s="451"/>
      <c r="IB834" s="451"/>
      <c r="IC834" s="451"/>
      <c r="ID834" s="451"/>
      <c r="IE834" s="451"/>
      <c r="IF834" s="451"/>
      <c r="IG834" s="451"/>
      <c r="IH834" s="451"/>
      <c r="II834" s="451"/>
      <c r="IJ834" s="451"/>
      <c r="IK834" s="451"/>
      <c r="IL834" s="451"/>
      <c r="IM834" s="451"/>
      <c r="IN834" s="451"/>
      <c r="IO834" s="451"/>
      <c r="IP834" s="451"/>
      <c r="IQ834" s="451"/>
      <c r="IR834" s="451"/>
      <c r="IS834" s="451"/>
      <c r="IT834" s="451"/>
      <c r="IU834" s="451"/>
      <c r="IV834" s="451"/>
      <c r="IW834" s="451"/>
      <c r="IX834" s="451"/>
      <c r="IY834" s="451"/>
      <c r="IZ834" s="451"/>
      <c r="JA834" s="451"/>
      <c r="JB834" s="451"/>
      <c r="JC834" s="451"/>
      <c r="JD834" s="451"/>
    </row>
    <row r="835" spans="1:264" s="347" customFormat="1" x14ac:dyDescent="0.2">
      <c r="A835" s="347" t="s">
        <v>587</v>
      </c>
      <c r="B835" s="348"/>
      <c r="BH835" s="348"/>
      <c r="BI835" s="348"/>
      <c r="BJ835" s="348"/>
      <c r="BK835" s="348"/>
      <c r="BL835" s="348"/>
      <c r="BM835" s="348"/>
      <c r="BN835" s="348"/>
      <c r="BO835" s="348"/>
      <c r="BP835" s="348"/>
      <c r="BQ835" s="348"/>
      <c r="BR835" s="348"/>
      <c r="BS835" s="348"/>
      <c r="BT835" s="348"/>
      <c r="BU835" s="348"/>
      <c r="BV835" s="348"/>
      <c r="BW835" s="348"/>
      <c r="BX835" s="348"/>
      <c r="BY835" s="348"/>
      <c r="BZ835" s="348"/>
      <c r="CA835" s="348"/>
      <c r="CB835" s="348"/>
      <c r="CC835" s="348"/>
      <c r="CD835" s="348"/>
      <c r="CE835" s="348"/>
      <c r="CF835" s="348"/>
      <c r="CG835" s="348"/>
      <c r="CH835" s="348"/>
      <c r="CI835" s="348"/>
      <c r="CJ835" s="348"/>
      <c r="CK835" s="348"/>
      <c r="CL835" s="348"/>
      <c r="CM835" s="348"/>
      <c r="CN835" s="399">
        <f>CN776+3358</f>
        <v>395</v>
      </c>
      <c r="CO835" s="399">
        <f>CO776+3358</f>
        <v>336</v>
      </c>
      <c r="CP835" s="348"/>
      <c r="CQ835" s="348"/>
      <c r="CR835" s="399">
        <f>CR776+3358</f>
        <v>0</v>
      </c>
      <c r="CS835" s="399">
        <v>-77</v>
      </c>
      <c r="CT835" s="348"/>
      <c r="CU835" s="348"/>
      <c r="CV835" s="399">
        <v>-62</v>
      </c>
      <c r="CW835" s="399"/>
      <c r="CX835" s="348"/>
      <c r="CY835" s="348"/>
      <c r="CZ835" s="348"/>
      <c r="DA835" s="399"/>
      <c r="DB835" s="348"/>
      <c r="DC835" s="348"/>
      <c r="DD835" s="348"/>
      <c r="DE835" s="399"/>
      <c r="DF835" s="348"/>
      <c r="DG835" s="348"/>
      <c r="DH835" s="348"/>
      <c r="DI835" s="348"/>
      <c r="DJ835" s="348"/>
      <c r="DK835" s="348"/>
      <c r="DL835" s="348"/>
      <c r="DM835" s="348"/>
      <c r="DN835" s="348"/>
      <c r="DO835" s="348"/>
      <c r="DP835" s="348"/>
      <c r="DQ835" s="348"/>
      <c r="DR835" s="348"/>
      <c r="DS835" s="348"/>
      <c r="DT835" s="1"/>
      <c r="DU835" s="1"/>
      <c r="DV835" s="1"/>
      <c r="DW835" s="1"/>
      <c r="DX835" s="1"/>
      <c r="DY835" s="1"/>
      <c r="DZ835" s="1"/>
      <c r="EA835" s="1"/>
      <c r="EB835" s="1"/>
      <c r="EC835" s="1"/>
      <c r="ED835" s="1"/>
      <c r="EE835" s="1"/>
      <c r="EF835" s="1"/>
      <c r="EG835" s="1"/>
      <c r="EH835" s="1"/>
      <c r="EI835" s="1"/>
      <c r="EJ835" s="1"/>
      <c r="EK835" s="1"/>
      <c r="EL835" s="1"/>
      <c r="EM835" s="1"/>
      <c r="EN835" s="1"/>
      <c r="EO835" s="1"/>
      <c r="EP835" s="1"/>
      <c r="EQ835" s="1"/>
      <c r="ER835" s="1"/>
      <c r="ES835" s="1"/>
      <c r="ET835" s="1"/>
      <c r="EU835" s="1"/>
      <c r="EV835" s="1"/>
      <c r="EW835" s="1"/>
      <c r="EX835" s="1"/>
      <c r="EY835" s="1"/>
      <c r="EZ835" s="1"/>
      <c r="FA835" s="1"/>
      <c r="FB835" s="1"/>
      <c r="FC835" s="1"/>
      <c r="FD835" s="1"/>
      <c r="FE835" s="1"/>
      <c r="FF835" s="1"/>
      <c r="FG835" s="1"/>
      <c r="FH835" s="1"/>
      <c r="FI835" s="1"/>
      <c r="FJ835" s="1"/>
      <c r="FK835" s="1"/>
      <c r="FL835" s="1"/>
      <c r="FM835" s="1"/>
      <c r="FN835" s="1"/>
      <c r="FO835" s="1"/>
      <c r="FP835" s="1"/>
      <c r="FQ835" s="1"/>
      <c r="FR835" s="1"/>
      <c r="FS835" s="1"/>
      <c r="FT835" s="1"/>
      <c r="FU835" s="1"/>
      <c r="FV835" s="1"/>
      <c r="FW835" s="1"/>
      <c r="FX835" s="1"/>
      <c r="FY835" s="1"/>
      <c r="FZ835" s="1"/>
      <c r="GA835" s="1"/>
      <c r="GB835" s="1"/>
      <c r="GC835" s="1"/>
      <c r="GD835" s="1"/>
      <c r="GE835" s="1"/>
      <c r="GF835" s="1"/>
      <c r="GG835" s="1"/>
      <c r="GH835" s="1"/>
      <c r="GI835" s="1"/>
      <c r="GJ835" s="1"/>
      <c r="GK835" s="1"/>
      <c r="GL835" s="1"/>
      <c r="GM835" s="1"/>
      <c r="GN835" s="1"/>
      <c r="GO835" s="1"/>
      <c r="GP835" s="1"/>
      <c r="GQ835" s="1"/>
      <c r="GR835" s="1"/>
      <c r="GS835" s="1"/>
      <c r="GT835" s="1"/>
      <c r="GU835" s="1"/>
      <c r="GV835" s="1"/>
      <c r="GW835" s="1"/>
      <c r="GX835" s="1"/>
      <c r="GY835" s="1"/>
      <c r="GZ835" s="1"/>
      <c r="HA835" s="1"/>
      <c r="HB835" s="1"/>
      <c r="HC835" s="1"/>
      <c r="HD835" s="1"/>
      <c r="HE835" s="1"/>
      <c r="HF835" s="1"/>
      <c r="HG835" s="1"/>
      <c r="HH835" s="1"/>
      <c r="HI835" s="1"/>
      <c r="HJ835" s="1"/>
      <c r="HK835" s="1"/>
      <c r="HL835" s="1"/>
      <c r="HM835" s="1"/>
      <c r="HN835" s="1"/>
      <c r="HO835" s="1"/>
      <c r="HP835" s="1"/>
      <c r="HQ835" s="1"/>
      <c r="HR835" s="1"/>
      <c r="HS835" s="1"/>
      <c r="HT835" s="1"/>
      <c r="HU835" s="1"/>
      <c r="HV835" s="1"/>
      <c r="HW835" s="1"/>
      <c r="HX835" s="1"/>
      <c r="HY835" s="1"/>
      <c r="HZ835" s="1"/>
      <c r="IA835" s="1"/>
      <c r="IB835" s="1"/>
      <c r="IC835" s="1"/>
      <c r="ID835" s="1"/>
      <c r="IE835" s="1"/>
      <c r="IF835" s="1"/>
      <c r="IG835" s="1"/>
      <c r="IH835" s="1"/>
      <c r="II835" s="1"/>
      <c r="IJ835" s="1"/>
      <c r="IK835" s="1"/>
      <c r="IL835" s="1"/>
      <c r="IM835" s="1"/>
      <c r="IN835" s="1"/>
      <c r="IO835" s="1"/>
      <c r="IP835" s="1"/>
      <c r="IQ835" s="1"/>
      <c r="IR835" s="1"/>
      <c r="IS835" s="1"/>
      <c r="IT835" s="1"/>
      <c r="IU835" s="1"/>
      <c r="IV835" s="1"/>
      <c r="IW835" s="1"/>
      <c r="IX835" s="1"/>
      <c r="IY835" s="1"/>
      <c r="IZ835" s="1"/>
      <c r="JA835" s="1"/>
      <c r="JB835" s="1"/>
      <c r="JC835" s="1"/>
      <c r="JD835" s="1"/>
    </row>
    <row r="836" spans="1:264" s="347" customFormat="1" x14ac:dyDescent="0.2">
      <c r="A836" s="347" t="s">
        <v>588</v>
      </c>
      <c r="B836" s="348"/>
      <c r="BH836" s="348"/>
      <c r="BI836" s="348"/>
      <c r="BJ836" s="348"/>
      <c r="BK836" s="348"/>
      <c r="BL836" s="348"/>
      <c r="BM836" s="348"/>
      <c r="BN836" s="348"/>
      <c r="BO836" s="348"/>
      <c r="BP836" s="348"/>
      <c r="BQ836" s="348"/>
      <c r="BR836" s="348"/>
      <c r="BS836" s="348"/>
      <c r="BT836" s="348"/>
      <c r="BU836" s="348"/>
      <c r="BV836" s="348"/>
      <c r="BW836" s="348"/>
      <c r="BX836" s="348"/>
      <c r="BY836" s="348"/>
      <c r="BZ836" s="348"/>
      <c r="CA836" s="348"/>
      <c r="CB836" s="348"/>
      <c r="CC836" s="348"/>
      <c r="CD836" s="348"/>
      <c r="CE836" s="348"/>
      <c r="CF836" s="348"/>
      <c r="CG836" s="348"/>
      <c r="CH836" s="348"/>
      <c r="CI836" s="348"/>
      <c r="CJ836" s="348"/>
      <c r="CK836" s="348"/>
      <c r="CL836" s="348"/>
      <c r="CM836" s="348"/>
      <c r="CN836" s="399">
        <f>CN777+486</f>
        <v>-90</v>
      </c>
      <c r="CO836" s="399">
        <f>CO777+486</f>
        <v>-92</v>
      </c>
      <c r="CP836" s="348"/>
      <c r="CQ836" s="348"/>
      <c r="CR836" s="399">
        <f>CR777+486</f>
        <v>0</v>
      </c>
      <c r="CS836" s="399">
        <v>0</v>
      </c>
      <c r="CT836" s="348"/>
      <c r="CU836" s="348"/>
      <c r="CV836" s="399">
        <v>0</v>
      </c>
      <c r="CW836" s="399"/>
      <c r="CX836" s="348"/>
      <c r="CY836" s="348"/>
      <c r="CZ836" s="348"/>
      <c r="DA836" s="399"/>
      <c r="DB836" s="348"/>
      <c r="DC836" s="348"/>
      <c r="DD836" s="348"/>
      <c r="DE836" s="399"/>
      <c r="DF836" s="348"/>
      <c r="DG836" s="348"/>
      <c r="DH836" s="348"/>
      <c r="DI836" s="348"/>
      <c r="DJ836" s="348"/>
      <c r="DK836" s="348"/>
      <c r="DL836" s="348"/>
      <c r="DM836" s="348"/>
      <c r="DN836" s="348"/>
      <c r="DO836" s="348"/>
      <c r="DP836" s="348"/>
      <c r="DQ836" s="348"/>
      <c r="DR836" s="348"/>
      <c r="DS836" s="348"/>
      <c r="DT836" s="1"/>
      <c r="DU836" s="1"/>
      <c r="DV836" s="1"/>
      <c r="DW836" s="1"/>
      <c r="DX836" s="1"/>
      <c r="DY836" s="1"/>
      <c r="DZ836" s="1"/>
      <c r="EA836" s="1"/>
      <c r="EB836" s="1"/>
      <c r="EC836" s="1"/>
      <c r="ED836" s="1"/>
      <c r="EE836" s="1"/>
      <c r="EF836" s="1"/>
      <c r="EG836" s="1"/>
      <c r="EH836" s="1"/>
      <c r="EI836" s="1"/>
      <c r="EJ836" s="1"/>
      <c r="EK836" s="1"/>
      <c r="EL836" s="1"/>
      <c r="EM836" s="1"/>
      <c r="EN836" s="1"/>
      <c r="EO836" s="1"/>
      <c r="EP836" s="1"/>
      <c r="EQ836" s="1"/>
      <c r="ER836" s="1"/>
      <c r="ES836" s="1"/>
      <c r="ET836" s="1"/>
      <c r="EU836" s="1"/>
      <c r="EV836" s="1"/>
      <c r="EW836" s="1"/>
      <c r="EX836" s="1"/>
      <c r="EY836" s="1"/>
      <c r="EZ836" s="1"/>
      <c r="FA836" s="1"/>
      <c r="FB836" s="1"/>
      <c r="FC836" s="1"/>
      <c r="FD836" s="1"/>
      <c r="FE836" s="1"/>
      <c r="FF836" s="1"/>
      <c r="FG836" s="1"/>
      <c r="FH836" s="1"/>
      <c r="FI836" s="1"/>
      <c r="FJ836" s="1"/>
      <c r="FK836" s="1"/>
      <c r="FL836" s="1"/>
      <c r="FM836" s="1"/>
      <c r="FN836" s="1"/>
      <c r="FO836" s="1"/>
      <c r="FP836" s="1"/>
      <c r="FQ836" s="1"/>
      <c r="FR836" s="1"/>
      <c r="FS836" s="1"/>
      <c r="FT836" s="1"/>
      <c r="FU836" s="1"/>
      <c r="FV836" s="1"/>
      <c r="FW836" s="1"/>
      <c r="FX836" s="1"/>
      <c r="FY836" s="1"/>
      <c r="FZ836" s="1"/>
      <c r="GA836" s="1"/>
      <c r="GB836" s="1"/>
      <c r="GC836" s="1"/>
      <c r="GD836" s="1"/>
      <c r="GE836" s="1"/>
      <c r="GF836" s="1"/>
      <c r="GG836" s="1"/>
      <c r="GH836" s="1"/>
      <c r="GI836" s="1"/>
      <c r="GJ836" s="1"/>
      <c r="GK836" s="1"/>
      <c r="GL836" s="1"/>
      <c r="GM836" s="1"/>
      <c r="GN836" s="1"/>
      <c r="GO836" s="1"/>
      <c r="GP836" s="1"/>
      <c r="GQ836" s="1"/>
      <c r="GR836" s="1"/>
      <c r="GS836" s="1"/>
      <c r="GT836" s="1"/>
      <c r="GU836" s="1"/>
      <c r="GV836" s="1"/>
      <c r="GW836" s="1"/>
      <c r="GX836" s="1"/>
      <c r="GY836" s="1"/>
      <c r="GZ836" s="1"/>
      <c r="HA836" s="1"/>
      <c r="HB836" s="1"/>
      <c r="HC836" s="1"/>
      <c r="HD836" s="1"/>
      <c r="HE836" s="1"/>
      <c r="HF836" s="1"/>
      <c r="HG836" s="1"/>
      <c r="HH836" s="1"/>
      <c r="HI836" s="1"/>
      <c r="HJ836" s="1"/>
      <c r="HK836" s="1"/>
      <c r="HL836" s="1"/>
      <c r="HM836" s="1"/>
      <c r="HN836" s="1"/>
      <c r="HO836" s="1"/>
      <c r="HP836" s="1"/>
      <c r="HQ836" s="1"/>
      <c r="HR836" s="1"/>
      <c r="HS836" s="1"/>
      <c r="HT836" s="1"/>
      <c r="HU836" s="1"/>
      <c r="HV836" s="1"/>
      <c r="HW836" s="1"/>
      <c r="HX836" s="1"/>
      <c r="HY836" s="1"/>
      <c r="HZ836" s="1"/>
      <c r="IA836" s="1"/>
      <c r="IB836" s="1"/>
      <c r="IC836" s="1"/>
      <c r="ID836" s="1"/>
      <c r="IE836" s="1"/>
      <c r="IF836" s="1"/>
      <c r="IG836" s="1"/>
      <c r="IH836" s="1"/>
      <c r="II836" s="1"/>
      <c r="IJ836" s="1"/>
      <c r="IK836" s="1"/>
      <c r="IL836" s="1"/>
      <c r="IM836" s="1"/>
      <c r="IN836" s="1"/>
      <c r="IO836" s="1"/>
      <c r="IP836" s="1"/>
      <c r="IQ836" s="1"/>
      <c r="IR836" s="1"/>
      <c r="IS836" s="1"/>
      <c r="IT836" s="1"/>
      <c r="IU836" s="1"/>
      <c r="IV836" s="1"/>
      <c r="IW836" s="1"/>
      <c r="IX836" s="1"/>
      <c r="IY836" s="1"/>
      <c r="IZ836" s="1"/>
      <c r="JA836" s="1"/>
      <c r="JB836" s="1"/>
      <c r="JC836" s="1"/>
      <c r="JD836" s="1"/>
    </row>
    <row r="837" spans="1:264" s="347" customFormat="1" x14ac:dyDescent="0.2">
      <c r="A837" s="347" t="s">
        <v>589</v>
      </c>
      <c r="B837" s="348"/>
      <c r="BH837" s="348"/>
      <c r="BI837" s="348"/>
      <c r="BJ837" s="348"/>
      <c r="BK837" s="348"/>
      <c r="BL837" s="348"/>
      <c r="BM837" s="348"/>
      <c r="BN837" s="348"/>
      <c r="BO837" s="348"/>
      <c r="BP837" s="348"/>
      <c r="BQ837" s="348"/>
      <c r="BR837" s="348"/>
      <c r="BS837" s="348"/>
      <c r="BT837" s="348"/>
      <c r="BU837" s="348"/>
      <c r="BV837" s="348"/>
      <c r="BW837" s="348"/>
      <c r="BX837" s="348"/>
      <c r="BY837" s="348"/>
      <c r="BZ837" s="348"/>
      <c r="CA837" s="348"/>
      <c r="CB837" s="348"/>
      <c r="CC837" s="348"/>
      <c r="CD837" s="348"/>
      <c r="CE837" s="348"/>
      <c r="CF837" s="348"/>
      <c r="CG837" s="348"/>
      <c r="CH837" s="348"/>
      <c r="CI837" s="348"/>
      <c r="CJ837" s="348"/>
      <c r="CK837" s="348"/>
      <c r="CL837" s="348"/>
      <c r="CM837" s="348"/>
      <c r="CN837" s="399">
        <f>CN778+960</f>
        <v>-49</v>
      </c>
      <c r="CO837" s="399">
        <f>CO778+960</f>
        <v>-77</v>
      </c>
      <c r="CP837" s="348"/>
      <c r="CQ837" s="348"/>
      <c r="CR837" s="399">
        <f>CR778+960</f>
        <v>0</v>
      </c>
      <c r="CS837" s="399">
        <v>0</v>
      </c>
      <c r="CT837" s="348"/>
      <c r="CU837" s="348"/>
      <c r="CV837" s="399">
        <v>0</v>
      </c>
      <c r="CW837" s="399"/>
      <c r="CX837" s="348"/>
      <c r="CY837" s="348"/>
      <c r="CZ837" s="348"/>
      <c r="DA837" s="399"/>
      <c r="DB837" s="348"/>
      <c r="DC837" s="348"/>
      <c r="DD837" s="348"/>
      <c r="DE837" s="399"/>
      <c r="DF837" s="348"/>
      <c r="DG837" s="348"/>
      <c r="DH837" s="348"/>
      <c r="DI837" s="348"/>
      <c r="DJ837" s="348"/>
      <c r="DK837" s="348"/>
      <c r="DL837" s="348"/>
      <c r="DM837" s="348"/>
      <c r="DN837" s="348"/>
      <c r="DO837" s="348"/>
      <c r="DP837" s="348"/>
      <c r="DQ837" s="348"/>
      <c r="DR837" s="348"/>
      <c r="DS837" s="348"/>
      <c r="DT837" s="1"/>
      <c r="DU837" s="1"/>
      <c r="DV837" s="1"/>
      <c r="DW837" s="1"/>
      <c r="DX837" s="1"/>
      <c r="DY837" s="1"/>
      <c r="DZ837" s="1"/>
      <c r="EA837" s="1"/>
      <c r="EB837" s="1"/>
      <c r="EC837" s="1"/>
      <c r="ED837" s="1"/>
      <c r="EE837" s="1"/>
      <c r="EF837" s="1"/>
      <c r="EG837" s="1"/>
      <c r="EH837" s="1"/>
      <c r="EI837" s="1"/>
      <c r="EJ837" s="1"/>
      <c r="EK837" s="1"/>
      <c r="EL837" s="1"/>
      <c r="EM837" s="1"/>
      <c r="EN837" s="1"/>
      <c r="EO837" s="1"/>
      <c r="EP837" s="1"/>
      <c r="EQ837" s="1"/>
      <c r="ER837" s="1"/>
      <c r="ES837" s="1"/>
      <c r="ET837" s="1"/>
      <c r="EU837" s="1"/>
      <c r="EV837" s="1"/>
      <c r="EW837" s="1"/>
      <c r="EX837" s="1"/>
      <c r="EY837" s="1"/>
      <c r="EZ837" s="1"/>
      <c r="FA837" s="1"/>
      <c r="FB837" s="1"/>
      <c r="FC837" s="1"/>
      <c r="FD837" s="1"/>
      <c r="FE837" s="1"/>
      <c r="FF837" s="1"/>
      <c r="FG837" s="1"/>
      <c r="FH837" s="1"/>
      <c r="FI837" s="1"/>
      <c r="FJ837" s="1"/>
      <c r="FK837" s="1"/>
      <c r="FL837" s="1"/>
      <c r="FM837" s="1"/>
      <c r="FN837" s="1"/>
      <c r="FO837" s="1"/>
      <c r="FP837" s="1"/>
      <c r="FQ837" s="1"/>
      <c r="FR837" s="1"/>
      <c r="FS837" s="1"/>
      <c r="FT837" s="1"/>
      <c r="FU837" s="1"/>
      <c r="FV837" s="1"/>
      <c r="FW837" s="1"/>
      <c r="FX837" s="1"/>
      <c r="FY837" s="1"/>
      <c r="FZ837" s="1"/>
      <c r="GA837" s="1"/>
      <c r="GB837" s="1"/>
      <c r="GC837" s="1"/>
      <c r="GD837" s="1"/>
      <c r="GE837" s="1"/>
      <c r="GF837" s="1"/>
      <c r="GG837" s="1"/>
      <c r="GH837" s="1"/>
      <c r="GI837" s="1"/>
      <c r="GJ837" s="1"/>
      <c r="GK837" s="1"/>
      <c r="GL837" s="1"/>
      <c r="GM837" s="1"/>
      <c r="GN837" s="1"/>
      <c r="GO837" s="1"/>
      <c r="GP837" s="1"/>
      <c r="GQ837" s="1"/>
      <c r="GR837" s="1"/>
      <c r="GS837" s="1"/>
      <c r="GT837" s="1"/>
      <c r="GU837" s="1"/>
      <c r="GV837" s="1"/>
      <c r="GW837" s="1"/>
      <c r="GX837" s="1"/>
      <c r="GY837" s="1"/>
      <c r="GZ837" s="1"/>
      <c r="HA837" s="1"/>
      <c r="HB837" s="1"/>
      <c r="HC837" s="1"/>
      <c r="HD837" s="1"/>
      <c r="HE837" s="1"/>
      <c r="HF837" s="1"/>
      <c r="HG837" s="1"/>
      <c r="HH837" s="1"/>
      <c r="HI837" s="1"/>
      <c r="HJ837" s="1"/>
      <c r="HK837" s="1"/>
      <c r="HL837" s="1"/>
      <c r="HM837" s="1"/>
      <c r="HN837" s="1"/>
      <c r="HO837" s="1"/>
      <c r="HP837" s="1"/>
      <c r="HQ837" s="1"/>
      <c r="HR837" s="1"/>
      <c r="HS837" s="1"/>
      <c r="HT837" s="1"/>
      <c r="HU837" s="1"/>
      <c r="HV837" s="1"/>
      <c r="HW837" s="1"/>
      <c r="HX837" s="1"/>
      <c r="HY837" s="1"/>
      <c r="HZ837" s="1"/>
      <c r="IA837" s="1"/>
      <c r="IB837" s="1"/>
      <c r="IC837" s="1"/>
      <c r="ID837" s="1"/>
      <c r="IE837" s="1"/>
      <c r="IF837" s="1"/>
      <c r="IG837" s="1"/>
      <c r="IH837" s="1"/>
      <c r="II837" s="1"/>
      <c r="IJ837" s="1"/>
      <c r="IK837" s="1"/>
      <c r="IL837" s="1"/>
      <c r="IM837" s="1"/>
      <c r="IN837" s="1"/>
      <c r="IO837" s="1"/>
      <c r="IP837" s="1"/>
      <c r="IQ837" s="1"/>
      <c r="IR837" s="1"/>
      <c r="IS837" s="1"/>
      <c r="IT837" s="1"/>
      <c r="IU837" s="1"/>
      <c r="IV837" s="1"/>
      <c r="IW837" s="1"/>
      <c r="IX837" s="1"/>
      <c r="IY837" s="1"/>
      <c r="IZ837" s="1"/>
      <c r="JA837" s="1"/>
      <c r="JB837" s="1"/>
      <c r="JC837" s="1"/>
      <c r="JD837" s="1"/>
    </row>
    <row r="838" spans="1:264" s="347" customFormat="1" x14ac:dyDescent="0.2">
      <c r="A838" s="347" t="s">
        <v>590</v>
      </c>
      <c r="B838" s="348"/>
      <c r="BH838" s="348"/>
      <c r="BI838" s="348"/>
      <c r="BJ838" s="348"/>
      <c r="BK838" s="348"/>
      <c r="BL838" s="348"/>
      <c r="BM838" s="348"/>
      <c r="BN838" s="348"/>
      <c r="BO838" s="348"/>
      <c r="BP838" s="348"/>
      <c r="BQ838" s="348"/>
      <c r="BR838" s="348"/>
      <c r="BS838" s="348"/>
      <c r="BT838" s="348"/>
      <c r="BU838" s="348"/>
      <c r="BV838" s="348"/>
      <c r="BW838" s="348"/>
      <c r="BX838" s="348"/>
      <c r="BY838" s="348"/>
      <c r="BZ838" s="348"/>
      <c r="CA838" s="348"/>
      <c r="CB838" s="348"/>
      <c r="CC838" s="348"/>
      <c r="CD838" s="348"/>
      <c r="CE838" s="348"/>
      <c r="CF838" s="348"/>
      <c r="CG838" s="348"/>
      <c r="CH838" s="348"/>
      <c r="CI838" s="348"/>
      <c r="CJ838" s="348"/>
      <c r="CK838" s="348"/>
      <c r="CL838" s="348"/>
      <c r="CM838" s="348"/>
      <c r="CN838" s="399">
        <f>CN779+691</f>
        <v>-352</v>
      </c>
      <c r="CO838" s="399">
        <f>CO779+691</f>
        <v>-440</v>
      </c>
      <c r="CP838" s="348"/>
      <c r="CQ838" s="348"/>
      <c r="CR838" s="399">
        <f>CR779+691</f>
        <v>5</v>
      </c>
      <c r="CS838" s="399">
        <v>-81</v>
      </c>
      <c r="CT838" s="348"/>
      <c r="CU838" s="348"/>
      <c r="CV838" s="399">
        <v>-75</v>
      </c>
      <c r="CW838" s="399"/>
      <c r="CX838" s="348"/>
      <c r="CY838" s="348"/>
      <c r="CZ838" s="348"/>
      <c r="DA838" s="399"/>
      <c r="DB838" s="348"/>
      <c r="DC838" s="348"/>
      <c r="DD838" s="348"/>
      <c r="DE838" s="399"/>
      <c r="DF838" s="348"/>
      <c r="DG838" s="348"/>
      <c r="DH838" s="348"/>
      <c r="DI838" s="348"/>
      <c r="DJ838" s="348"/>
      <c r="DK838" s="348"/>
      <c r="DL838" s="348"/>
      <c r="DM838" s="348"/>
      <c r="DN838" s="348"/>
      <c r="DO838" s="348"/>
      <c r="DP838" s="348"/>
      <c r="DQ838" s="348"/>
      <c r="DR838" s="348"/>
      <c r="DS838" s="348"/>
      <c r="DT838" s="1"/>
      <c r="DU838" s="1"/>
      <c r="DV838" s="1"/>
      <c r="DW838" s="1"/>
      <c r="DX838" s="1"/>
      <c r="DY838" s="1"/>
      <c r="DZ838" s="1"/>
      <c r="EA838" s="1"/>
      <c r="EB838" s="1"/>
      <c r="EC838" s="1"/>
      <c r="ED838" s="1"/>
      <c r="EE838" s="1"/>
      <c r="EF838" s="1"/>
      <c r="EG838" s="1"/>
      <c r="EH838" s="1"/>
      <c r="EI838" s="1"/>
      <c r="EJ838" s="1"/>
      <c r="EK838" s="1"/>
      <c r="EL838" s="1"/>
      <c r="EM838" s="1"/>
      <c r="EN838" s="1"/>
      <c r="EO838" s="1"/>
      <c r="EP838" s="1"/>
      <c r="EQ838" s="1"/>
      <c r="ER838" s="1"/>
      <c r="ES838" s="1"/>
      <c r="ET838" s="1"/>
      <c r="EU838" s="1"/>
      <c r="EV838" s="1"/>
      <c r="EW838" s="1"/>
      <c r="EX838" s="1"/>
      <c r="EY838" s="1"/>
      <c r="EZ838" s="1"/>
      <c r="FA838" s="1"/>
      <c r="FB838" s="1"/>
      <c r="FC838" s="1"/>
      <c r="FD838" s="1"/>
      <c r="FE838" s="1"/>
      <c r="FF838" s="1"/>
      <c r="FG838" s="1"/>
      <c r="FH838" s="1"/>
      <c r="FI838" s="1"/>
      <c r="FJ838" s="1"/>
      <c r="FK838" s="1"/>
      <c r="FL838" s="1"/>
      <c r="FM838" s="1"/>
      <c r="FN838" s="1"/>
      <c r="FO838" s="1"/>
      <c r="FP838" s="1"/>
      <c r="FQ838" s="1"/>
      <c r="FR838" s="1"/>
      <c r="FS838" s="1"/>
      <c r="FT838" s="1"/>
      <c r="FU838" s="1"/>
      <c r="FV838" s="1"/>
      <c r="FW838" s="1"/>
      <c r="FX838" s="1"/>
      <c r="FY838" s="1"/>
      <c r="FZ838" s="1"/>
      <c r="GA838" s="1"/>
      <c r="GB838" s="1"/>
      <c r="GC838" s="1"/>
      <c r="GD838" s="1"/>
      <c r="GE838" s="1"/>
      <c r="GF838" s="1"/>
      <c r="GG838" s="1"/>
      <c r="GH838" s="1"/>
      <c r="GI838" s="1"/>
      <c r="GJ838" s="1"/>
      <c r="GK838" s="1"/>
      <c r="GL838" s="1"/>
      <c r="GM838" s="1"/>
      <c r="GN838" s="1"/>
      <c r="GO838" s="1"/>
      <c r="GP838" s="1"/>
      <c r="GQ838" s="1"/>
      <c r="GR838" s="1"/>
      <c r="GS838" s="1"/>
      <c r="GT838" s="1"/>
      <c r="GU838" s="1"/>
      <c r="GV838" s="1"/>
      <c r="GW838" s="1"/>
      <c r="GX838" s="1"/>
      <c r="GY838" s="1"/>
      <c r="GZ838" s="1"/>
      <c r="HA838" s="1"/>
      <c r="HB838" s="1"/>
      <c r="HC838" s="1"/>
      <c r="HD838" s="1"/>
      <c r="HE838" s="1"/>
      <c r="HF838" s="1"/>
      <c r="HG838" s="1"/>
      <c r="HH838" s="1"/>
      <c r="HI838" s="1"/>
      <c r="HJ838" s="1"/>
      <c r="HK838" s="1"/>
      <c r="HL838" s="1"/>
      <c r="HM838" s="1"/>
      <c r="HN838" s="1"/>
      <c r="HO838" s="1"/>
      <c r="HP838" s="1"/>
      <c r="HQ838" s="1"/>
      <c r="HR838" s="1"/>
      <c r="HS838" s="1"/>
      <c r="HT838" s="1"/>
      <c r="HU838" s="1"/>
      <c r="HV838" s="1"/>
      <c r="HW838" s="1"/>
      <c r="HX838" s="1"/>
      <c r="HY838" s="1"/>
      <c r="HZ838" s="1"/>
      <c r="IA838" s="1"/>
      <c r="IB838" s="1"/>
      <c r="IC838" s="1"/>
      <c r="ID838" s="1"/>
      <c r="IE838" s="1"/>
      <c r="IF838" s="1"/>
      <c r="IG838" s="1"/>
      <c r="IH838" s="1"/>
      <c r="II838" s="1"/>
      <c r="IJ838" s="1"/>
      <c r="IK838" s="1"/>
      <c r="IL838" s="1"/>
      <c r="IM838" s="1"/>
      <c r="IN838" s="1"/>
      <c r="IO838" s="1"/>
      <c r="IP838" s="1"/>
      <c r="IQ838" s="1"/>
      <c r="IR838" s="1"/>
      <c r="IS838" s="1"/>
      <c r="IT838" s="1"/>
      <c r="IU838" s="1"/>
      <c r="IV838" s="1"/>
      <c r="IW838" s="1"/>
      <c r="IX838" s="1"/>
      <c r="IY838" s="1"/>
      <c r="IZ838" s="1"/>
      <c r="JA838" s="1"/>
      <c r="JB838" s="1"/>
      <c r="JC838" s="1"/>
      <c r="JD838" s="1"/>
    </row>
    <row r="839" spans="1:264" s="347" customFormat="1" x14ac:dyDescent="0.2">
      <c r="A839" s="411" t="s">
        <v>591</v>
      </c>
      <c r="B839" s="348"/>
      <c r="BH839" s="348"/>
      <c r="BI839" s="348"/>
      <c r="BJ839" s="348"/>
      <c r="BK839" s="348"/>
      <c r="BL839" s="348"/>
      <c r="BM839" s="348"/>
      <c r="BN839" s="348"/>
      <c r="BO839" s="348"/>
      <c r="BP839" s="348"/>
      <c r="BQ839" s="348"/>
      <c r="BR839" s="348"/>
      <c r="BS839" s="348"/>
      <c r="BT839" s="348"/>
      <c r="BU839" s="348"/>
      <c r="BV839" s="348"/>
      <c r="BW839" s="348"/>
      <c r="BX839" s="348"/>
      <c r="BY839" s="348"/>
      <c r="BZ839" s="348"/>
      <c r="CA839" s="348"/>
      <c r="CB839" s="348"/>
      <c r="CC839" s="348"/>
      <c r="CD839" s="348"/>
      <c r="CE839" s="348"/>
      <c r="CF839" s="348"/>
      <c r="CG839" s="348"/>
      <c r="CH839" s="348"/>
      <c r="CI839" s="348"/>
      <c r="CJ839" s="348"/>
      <c r="CK839" s="348"/>
      <c r="CL839" s="348"/>
      <c r="CM839" s="348"/>
      <c r="CN839" s="397">
        <f t="shared" ref="CN839:CO839" si="750">SUM(CN835:CN838)</f>
        <v>-96</v>
      </c>
      <c r="CO839" s="397">
        <f t="shared" si="750"/>
        <v>-273</v>
      </c>
      <c r="CP839" s="348"/>
      <c r="CQ839" s="348"/>
      <c r="CR839" s="397">
        <f>SUM(CR835:CR838)</f>
        <v>5</v>
      </c>
      <c r="CS839" s="397">
        <f t="shared" ref="CS839" si="751">SUM(CS835:CS838)</f>
        <v>-158</v>
      </c>
      <c r="CT839" s="348"/>
      <c r="CU839" s="348"/>
      <c r="CV839" s="397">
        <f>SUM(CV835:CV838)</f>
        <v>-137</v>
      </c>
      <c r="CW839" s="397"/>
      <c r="CX839" s="348"/>
      <c r="CY839" s="348"/>
      <c r="CZ839" s="348"/>
      <c r="DA839" s="397"/>
      <c r="DB839" s="348"/>
      <c r="DC839" s="348"/>
      <c r="DD839" s="348"/>
      <c r="DE839" s="397"/>
      <c r="DF839" s="348"/>
      <c r="DG839" s="348"/>
      <c r="DH839" s="348"/>
      <c r="DI839" s="348"/>
      <c r="DJ839" s="348"/>
      <c r="DK839" s="348"/>
      <c r="DL839" s="348"/>
      <c r="DM839" s="348"/>
      <c r="DN839" s="348"/>
      <c r="DO839" s="348"/>
      <c r="DP839" s="348"/>
      <c r="DQ839" s="348"/>
      <c r="DR839" s="348"/>
      <c r="DS839" s="348"/>
      <c r="DT839" s="1"/>
      <c r="DU839" s="1"/>
      <c r="DV839" s="1"/>
      <c r="DW839" s="1"/>
      <c r="DX839" s="1"/>
      <c r="DY839" s="1"/>
      <c r="DZ839" s="1"/>
      <c r="EA839" s="1"/>
      <c r="EB839" s="1"/>
      <c r="EC839" s="1"/>
      <c r="ED839" s="1"/>
      <c r="EE839" s="1"/>
      <c r="EF839" s="1"/>
      <c r="EG839" s="1"/>
      <c r="EH839" s="1"/>
      <c r="EI839" s="1"/>
      <c r="EJ839" s="1"/>
      <c r="EK839" s="1"/>
      <c r="EL839" s="1"/>
      <c r="EM839" s="1"/>
      <c r="EN839" s="1"/>
      <c r="EO839" s="1"/>
      <c r="EP839" s="1"/>
      <c r="EQ839" s="1"/>
      <c r="ER839" s="1"/>
      <c r="ES839" s="1"/>
      <c r="ET839" s="1"/>
      <c r="EU839" s="1"/>
      <c r="EV839" s="1"/>
      <c r="EW839" s="1"/>
      <c r="EX839" s="1"/>
      <c r="EY839" s="1"/>
      <c r="EZ839" s="1"/>
      <c r="FA839" s="1"/>
      <c r="FB839" s="1"/>
      <c r="FC839" s="1"/>
      <c r="FD839" s="1"/>
      <c r="FE839" s="1"/>
      <c r="FF839" s="1"/>
      <c r="FG839" s="1"/>
      <c r="FH839" s="1"/>
      <c r="FI839" s="1"/>
      <c r="FJ839" s="1"/>
      <c r="FK839" s="1"/>
      <c r="FL839" s="1"/>
      <c r="FM839" s="1"/>
      <c r="FN839" s="1"/>
      <c r="FO839" s="1"/>
      <c r="FP839" s="1"/>
      <c r="FQ839" s="1"/>
      <c r="FR839" s="1"/>
      <c r="FS839" s="1"/>
      <c r="FT839" s="1"/>
      <c r="FU839" s="1"/>
      <c r="FV839" s="1"/>
      <c r="FW839" s="1"/>
      <c r="FX839" s="1"/>
      <c r="FY839" s="1"/>
      <c r="FZ839" s="1"/>
      <c r="GA839" s="1"/>
      <c r="GB839" s="1"/>
      <c r="GC839" s="1"/>
      <c r="GD839" s="1"/>
      <c r="GE839" s="1"/>
      <c r="GF839" s="1"/>
      <c r="GG839" s="1"/>
      <c r="GH839" s="1"/>
      <c r="GI839" s="1"/>
      <c r="GJ839" s="1"/>
      <c r="GK839" s="1"/>
      <c r="GL839" s="1"/>
      <c r="GM839" s="1"/>
      <c r="GN839" s="1"/>
      <c r="GO839" s="1"/>
      <c r="GP839" s="1"/>
      <c r="GQ839" s="1"/>
      <c r="GR839" s="1"/>
      <c r="GS839" s="1"/>
      <c r="GT839" s="1"/>
      <c r="GU839" s="1"/>
      <c r="GV839" s="1"/>
      <c r="GW839" s="1"/>
      <c r="GX839" s="1"/>
      <c r="GY839" s="1"/>
      <c r="GZ839" s="1"/>
      <c r="HA839" s="1"/>
      <c r="HB839" s="1"/>
      <c r="HC839" s="1"/>
      <c r="HD839" s="1"/>
      <c r="HE839" s="1"/>
      <c r="HF839" s="1"/>
      <c r="HG839" s="1"/>
      <c r="HH839" s="1"/>
      <c r="HI839" s="1"/>
      <c r="HJ839" s="1"/>
      <c r="HK839" s="1"/>
      <c r="HL839" s="1"/>
      <c r="HM839" s="1"/>
      <c r="HN839" s="1"/>
      <c r="HO839" s="1"/>
      <c r="HP839" s="1"/>
      <c r="HQ839" s="1"/>
      <c r="HR839" s="1"/>
      <c r="HS839" s="1"/>
      <c r="HT839" s="1"/>
      <c r="HU839" s="1"/>
      <c r="HV839" s="1"/>
      <c r="HW839" s="1"/>
      <c r="HX839" s="1"/>
      <c r="HY839" s="1"/>
      <c r="HZ839" s="1"/>
      <c r="IA839" s="1"/>
      <c r="IB839" s="1"/>
      <c r="IC839" s="1"/>
      <c r="ID839" s="1"/>
      <c r="IE839" s="1"/>
      <c r="IF839" s="1"/>
      <c r="IG839" s="1"/>
      <c r="IH839" s="1"/>
      <c r="II839" s="1"/>
      <c r="IJ839" s="1"/>
      <c r="IK839" s="1"/>
      <c r="IL839" s="1"/>
      <c r="IM839" s="1"/>
      <c r="IN839" s="1"/>
      <c r="IO839" s="1"/>
      <c r="IP839" s="1"/>
      <c r="IQ839" s="1"/>
      <c r="IR839" s="1"/>
      <c r="IS839" s="1"/>
      <c r="IT839" s="1"/>
      <c r="IU839" s="1"/>
      <c r="IV839" s="1"/>
      <c r="IW839" s="1"/>
      <c r="IX839" s="1"/>
      <c r="IY839" s="1"/>
      <c r="IZ839" s="1"/>
      <c r="JA839" s="1"/>
      <c r="JB839" s="1"/>
      <c r="JC839" s="1"/>
      <c r="JD839" s="1"/>
    </row>
    <row r="840" spans="1:264" s="347" customFormat="1" x14ac:dyDescent="0.2">
      <c r="A840" s="677" t="s">
        <v>592</v>
      </c>
      <c r="B840" s="446"/>
      <c r="C840" s="447"/>
      <c r="D840" s="447"/>
      <c r="E840" s="447"/>
      <c r="F840" s="447"/>
      <c r="G840" s="447"/>
      <c r="H840" s="447"/>
      <c r="I840" s="447"/>
      <c r="J840" s="447"/>
      <c r="K840" s="447"/>
      <c r="L840" s="447"/>
      <c r="M840" s="447"/>
      <c r="N840" s="447"/>
      <c r="O840" s="447"/>
      <c r="P840" s="447"/>
      <c r="Q840" s="447"/>
      <c r="R840" s="447"/>
      <c r="S840" s="447"/>
      <c r="T840" s="447"/>
      <c r="U840" s="447"/>
      <c r="V840" s="447"/>
      <c r="W840" s="447"/>
      <c r="X840" s="447"/>
      <c r="Y840" s="447"/>
      <c r="Z840" s="447"/>
      <c r="AA840" s="447"/>
      <c r="AB840" s="447"/>
      <c r="AC840" s="447"/>
      <c r="AD840" s="447"/>
      <c r="AE840" s="447"/>
      <c r="AF840" s="447"/>
      <c r="AG840" s="447"/>
      <c r="AH840" s="447"/>
      <c r="AI840" s="447"/>
      <c r="AJ840" s="447"/>
      <c r="AK840" s="447"/>
      <c r="AL840" s="447"/>
      <c r="AM840" s="447"/>
      <c r="AN840" s="447"/>
      <c r="AO840" s="447"/>
      <c r="AP840" s="447"/>
      <c r="AQ840" s="447"/>
      <c r="AR840" s="447"/>
      <c r="AS840" s="447"/>
      <c r="AT840" s="447"/>
      <c r="AU840" s="447"/>
      <c r="AV840" s="447"/>
      <c r="AW840" s="447"/>
      <c r="AX840" s="447"/>
      <c r="AY840" s="447"/>
      <c r="AZ840" s="447"/>
      <c r="BA840" s="447"/>
      <c r="BB840" s="447"/>
      <c r="BC840" s="447"/>
      <c r="BD840" s="447"/>
      <c r="BE840" s="447"/>
      <c r="BF840" s="447"/>
      <c r="BG840" s="447"/>
      <c r="BH840" s="448">
        <v>0</v>
      </c>
      <c r="BI840" s="448">
        <v>0</v>
      </c>
      <c r="BJ840" s="449">
        <f>+BH840+BI840</f>
        <v>0</v>
      </c>
      <c r="BK840" s="446"/>
      <c r="BL840" s="448">
        <v>0</v>
      </c>
      <c r="BM840" s="448">
        <v>0</v>
      </c>
      <c r="BN840" s="449">
        <f>+BL840+BM840</f>
        <v>0</v>
      </c>
      <c r="BO840" s="446"/>
      <c r="BP840" s="448">
        <v>0</v>
      </c>
      <c r="BQ840" s="448">
        <v>0</v>
      </c>
      <c r="BR840" s="449">
        <f>+BP840+BQ840</f>
        <v>0</v>
      </c>
      <c r="BS840" s="447"/>
      <c r="BT840" s="448">
        <v>0</v>
      </c>
      <c r="BU840" s="448">
        <v>0</v>
      </c>
      <c r="BV840" s="449">
        <f>+BT840+BU840</f>
        <v>0</v>
      </c>
      <c r="BW840" s="447"/>
      <c r="BX840" s="448">
        <v>0</v>
      </c>
      <c r="BY840" s="448">
        <v>0</v>
      </c>
      <c r="BZ840" s="449">
        <f>+BX840+BY840</f>
        <v>0</v>
      </c>
      <c r="CA840" s="447"/>
      <c r="CB840" s="448">
        <v>-110</v>
      </c>
      <c r="CC840" s="448">
        <v>-45</v>
      </c>
      <c r="CD840" s="449">
        <f>+CB840+CC840</f>
        <v>-155</v>
      </c>
      <c r="CE840" s="447"/>
      <c r="CF840" s="448">
        <f>(-200-46-30-6+3)+43</f>
        <v>-236</v>
      </c>
      <c r="CG840" s="448">
        <f>(-334-72-152-156+10+65)+40</f>
        <v>-599</v>
      </c>
      <c r="CH840" s="449">
        <f>+CF840+CG840</f>
        <v>-835</v>
      </c>
      <c r="CI840" s="447"/>
      <c r="CJ840" s="448">
        <v>0</v>
      </c>
      <c r="CK840" s="448">
        <f>-454-7</f>
        <v>-461</v>
      </c>
      <c r="CL840" s="449">
        <f>+CJ840+CK840</f>
        <v>-461</v>
      </c>
      <c r="CM840" s="447"/>
      <c r="CN840" s="448">
        <f>-241-1</f>
        <v>-242</v>
      </c>
      <c r="CO840" s="448">
        <v>-333</v>
      </c>
      <c r="CP840" s="449">
        <f>+CN840+CO840</f>
        <v>-575</v>
      </c>
      <c r="CQ840" s="447"/>
      <c r="CR840" s="448">
        <v>-93</v>
      </c>
      <c r="CS840" s="448">
        <v>-158</v>
      </c>
      <c r="CT840" s="449">
        <f>+CR840+CS840</f>
        <v>-251</v>
      </c>
      <c r="CU840" s="447"/>
      <c r="CV840" s="448">
        <v>-137</v>
      </c>
      <c r="CW840" s="448"/>
      <c r="CX840" s="449"/>
      <c r="CY840" s="447"/>
      <c r="CZ840" s="606"/>
      <c r="DA840" s="448"/>
      <c r="DB840" s="449"/>
      <c r="DC840" s="447"/>
      <c r="DD840" s="606"/>
      <c r="DE840" s="448">
        <f>-52-33</f>
        <v>-85</v>
      </c>
      <c r="DF840" s="449">
        <f>+DD840+DE840</f>
        <v>-85</v>
      </c>
      <c r="DG840" s="447"/>
      <c r="DH840" s="672">
        <v>-170</v>
      </c>
      <c r="DI840" s="606"/>
      <c r="DJ840" s="449">
        <f>+DH840+DI840</f>
        <v>-170</v>
      </c>
      <c r="DK840" s="678"/>
      <c r="DL840" s="606"/>
      <c r="DM840" s="606"/>
      <c r="DN840" s="449">
        <f>+DL840+DM840</f>
        <v>0</v>
      </c>
      <c r="DO840" s="678"/>
      <c r="DP840" s="606"/>
      <c r="DQ840" s="606"/>
      <c r="DR840" s="449">
        <f>+DP840+DQ840</f>
        <v>0</v>
      </c>
      <c r="DS840" s="678"/>
      <c r="DT840" s="1"/>
      <c r="DU840" s="1"/>
      <c r="DV840" s="1"/>
      <c r="DW840" s="1"/>
      <c r="DX840" s="1"/>
      <c r="DY840" s="1"/>
      <c r="DZ840" s="1"/>
      <c r="EA840" s="1"/>
      <c r="EB840" s="1"/>
      <c r="EC840" s="1"/>
      <c r="ED840" s="1"/>
      <c r="EE840" s="1"/>
      <c r="EF840" s="1"/>
      <c r="EG840" s="1"/>
      <c r="EH840" s="1"/>
      <c r="EI840" s="1"/>
      <c r="EJ840" s="1"/>
      <c r="EK840" s="1"/>
      <c r="EL840" s="1"/>
      <c r="EM840" s="1"/>
      <c r="EN840" s="1"/>
      <c r="EO840" s="1"/>
      <c r="EP840" s="1"/>
      <c r="EQ840" s="1"/>
      <c r="ER840" s="1"/>
      <c r="ES840" s="1"/>
      <c r="ET840" s="1"/>
      <c r="EU840" s="1"/>
      <c r="EV840" s="1"/>
      <c r="EW840" s="1"/>
      <c r="EX840" s="1"/>
      <c r="EY840" s="1"/>
      <c r="EZ840" s="1"/>
      <c r="FA840" s="1"/>
      <c r="FB840" s="1"/>
      <c r="FC840" s="1"/>
      <c r="FD840" s="1"/>
      <c r="FE840" s="1"/>
      <c r="FF840" s="1"/>
      <c r="FG840" s="1"/>
      <c r="FH840" s="1"/>
      <c r="FI840" s="1"/>
      <c r="FJ840" s="1"/>
      <c r="FK840" s="1"/>
      <c r="FL840" s="1"/>
      <c r="FM840" s="1"/>
      <c r="FN840" s="1"/>
      <c r="FO840" s="1"/>
      <c r="FP840" s="1"/>
      <c r="FQ840" s="1"/>
      <c r="FR840" s="1"/>
      <c r="FS840" s="1"/>
      <c r="FT840" s="1"/>
      <c r="FU840" s="1"/>
      <c r="FV840" s="1"/>
      <c r="FW840" s="1"/>
      <c r="FX840" s="1"/>
      <c r="FY840" s="1"/>
      <c r="FZ840" s="1"/>
      <c r="GA840" s="1"/>
      <c r="GB840" s="1"/>
      <c r="GC840" s="1"/>
      <c r="GD840" s="1"/>
      <c r="GE840" s="1"/>
      <c r="GF840" s="1"/>
      <c r="GG840" s="1"/>
      <c r="GH840" s="1"/>
      <c r="GI840" s="1"/>
      <c r="GJ840" s="1"/>
      <c r="GK840" s="1"/>
      <c r="GL840" s="1"/>
      <c r="GM840" s="1"/>
      <c r="GN840" s="1"/>
      <c r="GO840" s="1"/>
      <c r="GP840" s="1"/>
      <c r="GQ840" s="1"/>
      <c r="GR840" s="1"/>
      <c r="GS840" s="1"/>
      <c r="GT840" s="1"/>
      <c r="GU840" s="1"/>
      <c r="GV840" s="1"/>
      <c r="GW840" s="1"/>
      <c r="GX840" s="1"/>
      <c r="GY840" s="1"/>
      <c r="GZ840" s="1"/>
      <c r="HA840" s="1"/>
      <c r="HB840" s="1"/>
      <c r="HC840" s="1"/>
      <c r="HD840" s="1"/>
      <c r="HE840" s="1"/>
      <c r="HF840" s="1"/>
      <c r="HG840" s="1"/>
      <c r="HH840" s="1"/>
      <c r="HI840" s="1"/>
      <c r="HJ840" s="1"/>
      <c r="HK840" s="1"/>
      <c r="HL840" s="1"/>
      <c r="HM840" s="1"/>
      <c r="HN840" s="1"/>
      <c r="HO840" s="1"/>
      <c r="HP840" s="1"/>
      <c r="HQ840" s="1"/>
      <c r="HR840" s="1"/>
      <c r="HS840" s="1"/>
      <c r="HT840" s="1"/>
      <c r="HU840" s="1"/>
      <c r="HV840" s="1"/>
      <c r="HW840" s="1"/>
      <c r="HX840" s="1"/>
      <c r="HY840" s="1"/>
      <c r="HZ840" s="1"/>
      <c r="IA840" s="1"/>
      <c r="IB840" s="1"/>
      <c r="IC840" s="1"/>
      <c r="ID840" s="1"/>
      <c r="IE840" s="1"/>
      <c r="IF840" s="1"/>
      <c r="IG840" s="1"/>
      <c r="IH840" s="1"/>
      <c r="II840" s="1"/>
      <c r="IJ840" s="1"/>
      <c r="IK840" s="1"/>
      <c r="IL840" s="1"/>
      <c r="IM840" s="1"/>
      <c r="IN840" s="1"/>
      <c r="IO840" s="1"/>
      <c r="IP840" s="1"/>
      <c r="IQ840" s="1"/>
      <c r="IR840" s="1"/>
      <c r="IS840" s="1"/>
      <c r="IT840" s="1"/>
      <c r="IU840" s="1"/>
      <c r="IV840" s="1"/>
      <c r="IW840" s="1"/>
      <c r="IX840" s="1"/>
      <c r="IY840" s="1"/>
      <c r="IZ840" s="1"/>
      <c r="JA840" s="1"/>
      <c r="JB840" s="1"/>
      <c r="JC840" s="1"/>
      <c r="JD840" s="1"/>
    </row>
    <row r="842" spans="1:264" s="411" customFormat="1" x14ac:dyDescent="0.2">
      <c r="A842" s="411" t="s">
        <v>593</v>
      </c>
      <c r="B842" s="423"/>
      <c r="BH842" s="423"/>
      <c r="BI842" s="423"/>
      <c r="BJ842" s="423"/>
      <c r="BK842" s="423"/>
      <c r="BL842" s="423"/>
      <c r="BM842" s="423"/>
      <c r="BN842" s="423"/>
      <c r="BO842" s="423"/>
      <c r="BP842" s="423"/>
      <c r="BQ842" s="423"/>
      <c r="BR842" s="423"/>
      <c r="BS842" s="423"/>
      <c r="BT842" s="423"/>
      <c r="BU842" s="423"/>
      <c r="BV842" s="423"/>
      <c r="BW842" s="423"/>
      <c r="BX842" s="423"/>
      <c r="BY842" s="423"/>
      <c r="BZ842" s="397">
        <f>BZ826+BZ840+BZ828</f>
        <v>0</v>
      </c>
      <c r="CA842" s="423"/>
      <c r="CB842" s="397">
        <f>CB826+CB840+CB828</f>
        <v>-485</v>
      </c>
      <c r="CC842" s="397">
        <f>CC826+CC840+CC828</f>
        <v>-370</v>
      </c>
      <c r="CD842" s="397">
        <f>CD826+CD840+CD828</f>
        <v>-855</v>
      </c>
      <c r="CE842" s="423"/>
      <c r="CF842" s="397">
        <f>CF826+CF840+CF828</f>
        <v>-91</v>
      </c>
      <c r="CG842" s="397">
        <f>CG826+CG840+CG828</f>
        <v>-599</v>
      </c>
      <c r="CH842" s="397">
        <f>CH826+CH840+CH828</f>
        <v>-690</v>
      </c>
      <c r="CI842" s="423"/>
      <c r="CJ842" s="397">
        <f>CJ826+CJ840+CJ828</f>
        <v>0</v>
      </c>
      <c r="CK842" s="397">
        <f>CK826+CK840+CK828</f>
        <v>-461</v>
      </c>
      <c r="CL842" s="397">
        <f>CL826+CL840+CL828</f>
        <v>-461</v>
      </c>
      <c r="CM842" s="423"/>
      <c r="CN842" s="397">
        <f>CN89</f>
        <v>-242</v>
      </c>
      <c r="CO842" s="397">
        <f>CO89</f>
        <v>-333</v>
      </c>
      <c r="CP842" s="397">
        <f>CN842+CO842</f>
        <v>-575</v>
      </c>
      <c r="CQ842" s="423"/>
      <c r="CR842" s="397">
        <f>CR89</f>
        <v>-93</v>
      </c>
      <c r="CS842" s="397">
        <f>CS89</f>
        <v>-547</v>
      </c>
      <c r="CT842" s="397">
        <f>CR842+CS842</f>
        <v>-640</v>
      </c>
      <c r="CU842" s="423"/>
      <c r="CV842" s="397">
        <f>CV89</f>
        <v>-137</v>
      </c>
      <c r="CW842" s="397">
        <f>CW89</f>
        <v>-212</v>
      </c>
      <c r="CX842" s="397">
        <f>CV842+CW842</f>
        <v>-349</v>
      </c>
      <c r="CY842" s="423"/>
      <c r="CZ842" s="397">
        <f>CZ89</f>
        <v>0</v>
      </c>
      <c r="DA842" s="397">
        <f>DA89</f>
        <v>-89</v>
      </c>
      <c r="DB842" s="397">
        <f>CZ842+DA842</f>
        <v>-89</v>
      </c>
      <c r="DC842" s="423"/>
      <c r="DD842" s="397">
        <f>DD89</f>
        <v>0</v>
      </c>
      <c r="DE842" s="397">
        <f>DE89</f>
        <v>-130</v>
      </c>
      <c r="DF842" s="397">
        <f>DD842+DE842</f>
        <v>-130</v>
      </c>
      <c r="DG842" s="423"/>
      <c r="DH842" s="397">
        <f>DH89</f>
        <v>-170</v>
      </c>
      <c r="DI842" s="397">
        <f>SUM(DI781,DI785,DI782,DI783,DI784)</f>
        <v>-50</v>
      </c>
      <c r="DJ842" s="397">
        <f>DH842+DI842</f>
        <v>-220</v>
      </c>
      <c r="DK842" s="423"/>
      <c r="DL842" s="397">
        <f>SUM(DL781,DL785,DL782,DL783,DL784)</f>
        <v>0</v>
      </c>
      <c r="DM842" s="397">
        <f>SUM(DM781,DM785,DM782,DM783,DM784)</f>
        <v>-50</v>
      </c>
      <c r="DN842" s="397">
        <f>DL842+DM842</f>
        <v>-50</v>
      </c>
      <c r="DO842" s="423"/>
      <c r="DP842" s="397">
        <f>SUM(DP781,DP785,DP782,DP783,DP784)</f>
        <v>0</v>
      </c>
      <c r="DQ842" s="397">
        <f>SUM(DQ781,DQ785,DQ782,DQ783,DQ784)</f>
        <v>-50</v>
      </c>
      <c r="DR842" s="397">
        <f>DP842+DQ842</f>
        <v>-50</v>
      </c>
      <c r="DS842" s="423"/>
      <c r="DT842" s="451"/>
      <c r="DU842" s="451"/>
      <c r="DV842" s="451"/>
      <c r="DW842" s="451"/>
      <c r="DX842" s="451"/>
      <c r="DY842" s="451"/>
      <c r="DZ842" s="451"/>
      <c r="EA842" s="451"/>
      <c r="EB842" s="451"/>
      <c r="EC842" s="451"/>
      <c r="ED842" s="451"/>
      <c r="EE842" s="451"/>
      <c r="EF842" s="451"/>
      <c r="EG842" s="451"/>
      <c r="EH842" s="451"/>
      <c r="EI842" s="451"/>
      <c r="EJ842" s="451"/>
      <c r="EK842" s="451"/>
      <c r="EL842" s="451"/>
      <c r="EM842" s="451"/>
      <c r="EN842" s="451"/>
      <c r="EO842" s="451"/>
      <c r="EP842" s="451"/>
      <c r="EQ842" s="451"/>
      <c r="ER842" s="451"/>
      <c r="ES842" s="451"/>
      <c r="ET842" s="451"/>
      <c r="EU842" s="451"/>
      <c r="EV842" s="451"/>
      <c r="EW842" s="451"/>
      <c r="EX842" s="451"/>
      <c r="EY842" s="451"/>
      <c r="EZ842" s="451"/>
      <c r="FA842" s="451"/>
      <c r="FB842" s="451"/>
      <c r="FC842" s="451"/>
      <c r="FD842" s="451"/>
      <c r="FE842" s="451"/>
      <c r="FF842" s="451"/>
      <c r="FG842" s="451"/>
      <c r="FH842" s="451"/>
      <c r="FI842" s="451"/>
      <c r="FJ842" s="451"/>
      <c r="FK842" s="451"/>
      <c r="FL842" s="451"/>
      <c r="FM842" s="451"/>
      <c r="FN842" s="451"/>
      <c r="FO842" s="451"/>
      <c r="FP842" s="451"/>
      <c r="FQ842" s="451"/>
      <c r="FR842" s="451"/>
      <c r="FS842" s="451"/>
      <c r="FT842" s="451"/>
      <c r="FU842" s="451"/>
      <c r="FV842" s="451"/>
      <c r="FW842" s="451"/>
      <c r="FX842" s="451"/>
      <c r="FY842" s="451"/>
      <c r="FZ842" s="451"/>
      <c r="GA842" s="451"/>
      <c r="GB842" s="451"/>
      <c r="GC842" s="451"/>
      <c r="GD842" s="451"/>
      <c r="GE842" s="451"/>
      <c r="GF842" s="451"/>
      <c r="GG842" s="451"/>
      <c r="GH842" s="451"/>
      <c r="GI842" s="451"/>
      <c r="GJ842" s="451"/>
      <c r="GK842" s="451"/>
      <c r="GL842" s="451"/>
      <c r="GM842" s="451"/>
      <c r="GN842" s="451"/>
      <c r="GO842" s="451"/>
      <c r="GP842" s="451"/>
      <c r="GQ842" s="451"/>
      <c r="GR842" s="451"/>
      <c r="GS842" s="451"/>
      <c r="GT842" s="451"/>
      <c r="GU842" s="451"/>
      <c r="GV842" s="451"/>
      <c r="GW842" s="451"/>
      <c r="GX842" s="451"/>
      <c r="GY842" s="451"/>
      <c r="GZ842" s="451"/>
      <c r="HA842" s="451"/>
      <c r="HB842" s="451"/>
      <c r="HC842" s="451"/>
      <c r="HD842" s="451"/>
      <c r="HE842" s="451"/>
      <c r="HF842" s="451"/>
      <c r="HG842" s="451"/>
      <c r="HH842" s="451"/>
      <c r="HI842" s="451"/>
      <c r="HJ842" s="451"/>
      <c r="HK842" s="451"/>
      <c r="HL842" s="451"/>
      <c r="HM842" s="451"/>
      <c r="HN842" s="451"/>
      <c r="HO842" s="451"/>
      <c r="HP842" s="451"/>
      <c r="HQ842" s="451"/>
      <c r="HR842" s="451"/>
      <c r="HS842" s="451"/>
      <c r="HT842" s="451"/>
      <c r="HU842" s="451"/>
      <c r="HV842" s="451"/>
      <c r="HW842" s="451"/>
      <c r="HX842" s="451"/>
      <c r="HY842" s="451"/>
      <c r="HZ842" s="451"/>
      <c r="IA842" s="451"/>
      <c r="IB842" s="451"/>
      <c r="IC842" s="451"/>
      <c r="ID842" s="451"/>
      <c r="IE842" s="451"/>
      <c r="IF842" s="451"/>
      <c r="IG842" s="451"/>
      <c r="IH842" s="451"/>
      <c r="II842" s="451"/>
      <c r="IJ842" s="451"/>
      <c r="IK842" s="451"/>
      <c r="IL842" s="451"/>
      <c r="IM842" s="451"/>
      <c r="IN842" s="451"/>
      <c r="IO842" s="451"/>
      <c r="IP842" s="451"/>
      <c r="IQ842" s="451"/>
      <c r="IR842" s="451"/>
      <c r="IS842" s="451"/>
      <c r="IT842" s="451"/>
      <c r="IU842" s="451"/>
      <c r="IV842" s="451"/>
      <c r="IW842" s="451"/>
      <c r="IX842" s="451"/>
      <c r="IY842" s="451"/>
      <c r="IZ842" s="451"/>
      <c r="JA842" s="451"/>
      <c r="JB842" s="451"/>
      <c r="JC842" s="451"/>
      <c r="JD842" s="451"/>
    </row>
    <row r="843" spans="1:264" s="347" customFormat="1" x14ac:dyDescent="0.2">
      <c r="A843" s="347" t="s">
        <v>258</v>
      </c>
      <c r="B843" s="348"/>
      <c r="BH843" s="348"/>
      <c r="BI843" s="348"/>
      <c r="BJ843" s="348"/>
      <c r="BK843" s="348"/>
      <c r="BL843" s="348"/>
      <c r="BM843" s="348"/>
      <c r="BN843" s="348"/>
      <c r="BO843" s="348"/>
      <c r="BP843" s="348"/>
      <c r="BQ843" s="348"/>
      <c r="BR843" s="348"/>
      <c r="BS843" s="348"/>
      <c r="BT843" s="348"/>
      <c r="BU843" s="348"/>
      <c r="BV843" s="348"/>
      <c r="BW843" s="348"/>
      <c r="BX843" s="348"/>
      <c r="BY843" s="348"/>
      <c r="BZ843" s="351">
        <f>-BZ842*0.3</f>
        <v>0</v>
      </c>
      <c r="CA843" s="348"/>
      <c r="CB843" s="399">
        <f>-CB842*0.3</f>
        <v>145.5</v>
      </c>
      <c r="CC843" s="399">
        <f>-CC842*0.3</f>
        <v>111</v>
      </c>
      <c r="CD843" s="351">
        <f>+CB843+CC843</f>
        <v>256.5</v>
      </c>
      <c r="CE843" s="348"/>
      <c r="CF843" s="399">
        <f>-CF842*0.3</f>
        <v>27.3</v>
      </c>
      <c r="CG843" s="399">
        <f>-CG842*0.3</f>
        <v>179.7</v>
      </c>
      <c r="CH843" s="351">
        <f>+CF843+CG843</f>
        <v>207</v>
      </c>
      <c r="CI843" s="348"/>
      <c r="CJ843" s="399">
        <f>-CJ842*0.3</f>
        <v>0</v>
      </c>
      <c r="CK843" s="399">
        <f>-CK842*0.3</f>
        <v>138.29999999999998</v>
      </c>
      <c r="CL843" s="351">
        <f>+CJ843+CK843</f>
        <v>138.29999999999998</v>
      </c>
      <c r="CM843" s="348"/>
      <c r="CN843" s="399">
        <f>-CN842*0.3</f>
        <v>72.599999999999994</v>
      </c>
      <c r="CO843" s="399">
        <f>-CO842*0.3</f>
        <v>99.899999999999991</v>
      </c>
      <c r="CP843" s="351">
        <f>+CN843+CO843</f>
        <v>172.5</v>
      </c>
      <c r="CQ843" s="348"/>
      <c r="CR843" s="399">
        <f>-CR842*0.3</f>
        <v>27.9</v>
      </c>
      <c r="CS843" s="399">
        <f>-CS842*0.3</f>
        <v>164.1</v>
      </c>
      <c r="CT843" s="351">
        <f>+CR843+CS843</f>
        <v>192</v>
      </c>
      <c r="CU843" s="348"/>
      <c r="CV843" s="399">
        <f>-CV842*0.3</f>
        <v>41.1</v>
      </c>
      <c r="CW843" s="399">
        <f>-CW842*0.3</f>
        <v>63.599999999999994</v>
      </c>
      <c r="CX843" s="351">
        <f>+CV843+CW843</f>
        <v>104.69999999999999</v>
      </c>
      <c r="CY843" s="348"/>
      <c r="CZ843" s="399">
        <f>-CZ842*0.3</f>
        <v>0</v>
      </c>
      <c r="DA843" s="399">
        <f>-DA842*0.3</f>
        <v>26.7</v>
      </c>
      <c r="DB843" s="351">
        <f>+CZ843+DA843</f>
        <v>26.7</v>
      </c>
      <c r="DC843" s="348"/>
      <c r="DD843" s="399">
        <f>-DD842*0.3</f>
        <v>0</v>
      </c>
      <c r="DE843" s="399">
        <f>-DE842*0.3</f>
        <v>39</v>
      </c>
      <c r="DF843" s="351">
        <f>+DD843+DE843</f>
        <v>39</v>
      </c>
      <c r="DG843" s="348"/>
      <c r="DH843" s="399">
        <f>-DH842*0.3</f>
        <v>51</v>
      </c>
      <c r="DI843" s="399">
        <f>-DI842*0.3</f>
        <v>15</v>
      </c>
      <c r="DJ843" s="351">
        <f>+DH843+DI843</f>
        <v>66</v>
      </c>
      <c r="DK843" s="348"/>
      <c r="DL843" s="399">
        <f>-DL842*0.3</f>
        <v>0</v>
      </c>
      <c r="DM843" s="399">
        <f>-DM842*0.3</f>
        <v>15</v>
      </c>
      <c r="DN843" s="351">
        <f>+DL843+DM843</f>
        <v>15</v>
      </c>
      <c r="DO843" s="348"/>
      <c r="DP843" s="399">
        <f>-DP842*0.3</f>
        <v>0</v>
      </c>
      <c r="DQ843" s="399">
        <f>-DQ842*0.3</f>
        <v>15</v>
      </c>
      <c r="DR843" s="351">
        <f>+DP843+DQ843</f>
        <v>15</v>
      </c>
      <c r="DS843" s="348"/>
      <c r="DT843" s="1"/>
      <c r="DU843" s="1"/>
      <c r="DV843" s="1"/>
      <c r="DW843" s="1"/>
      <c r="DX843" s="1"/>
      <c r="DY843" s="1"/>
      <c r="DZ843" s="1"/>
      <c r="EA843" s="1"/>
      <c r="EB843" s="1"/>
      <c r="EC843" s="1"/>
      <c r="ED843" s="1"/>
      <c r="EE843" s="1"/>
      <c r="EF843" s="1"/>
      <c r="EG843" s="1"/>
      <c r="EH843" s="1"/>
      <c r="EI843" s="1"/>
      <c r="EJ843" s="1"/>
      <c r="EK843" s="1"/>
      <c r="EL843" s="1"/>
      <c r="EM843" s="1"/>
      <c r="EN843" s="1"/>
      <c r="EO843" s="1"/>
      <c r="EP843" s="1"/>
      <c r="EQ843" s="1"/>
      <c r="ER843" s="1"/>
      <c r="ES843" s="1"/>
      <c r="ET843" s="1"/>
      <c r="EU843" s="1"/>
      <c r="EV843" s="1"/>
      <c r="EW843" s="1"/>
      <c r="EX843" s="1"/>
      <c r="EY843" s="1"/>
      <c r="EZ843" s="1"/>
      <c r="FA843" s="1"/>
      <c r="FB843" s="1"/>
      <c r="FC843" s="1"/>
      <c r="FD843" s="1"/>
      <c r="FE843" s="1"/>
      <c r="FF843" s="1"/>
      <c r="FG843" s="1"/>
      <c r="FH843" s="1"/>
      <c r="FI843" s="1"/>
      <c r="FJ843" s="1"/>
      <c r="FK843" s="1"/>
      <c r="FL843" s="1"/>
      <c r="FM843" s="1"/>
      <c r="FN843" s="1"/>
      <c r="FO843" s="1"/>
      <c r="FP843" s="1"/>
      <c r="FQ843" s="1"/>
      <c r="FR843" s="1"/>
      <c r="FS843" s="1"/>
      <c r="FT843" s="1"/>
      <c r="FU843" s="1"/>
      <c r="FV843" s="1"/>
      <c r="FW843" s="1"/>
      <c r="FX843" s="1"/>
      <c r="FY843" s="1"/>
      <c r="FZ843" s="1"/>
      <c r="GA843" s="1"/>
      <c r="GB843" s="1"/>
      <c r="GC843" s="1"/>
      <c r="GD843" s="1"/>
      <c r="GE843" s="1"/>
      <c r="GF843" s="1"/>
      <c r="GG843" s="1"/>
      <c r="GH843" s="1"/>
      <c r="GI843" s="1"/>
      <c r="GJ843" s="1"/>
      <c r="GK843" s="1"/>
      <c r="GL843" s="1"/>
      <c r="GM843" s="1"/>
      <c r="GN843" s="1"/>
      <c r="GO843" s="1"/>
      <c r="GP843" s="1"/>
      <c r="GQ843" s="1"/>
      <c r="GR843" s="1"/>
      <c r="GS843" s="1"/>
      <c r="GT843" s="1"/>
      <c r="GU843" s="1"/>
      <c r="GV843" s="1"/>
      <c r="GW843" s="1"/>
      <c r="GX843" s="1"/>
      <c r="GY843" s="1"/>
      <c r="GZ843" s="1"/>
      <c r="HA843" s="1"/>
      <c r="HB843" s="1"/>
      <c r="HC843" s="1"/>
      <c r="HD843" s="1"/>
      <c r="HE843" s="1"/>
      <c r="HF843" s="1"/>
      <c r="HG843" s="1"/>
      <c r="HH843" s="1"/>
      <c r="HI843" s="1"/>
      <c r="HJ843" s="1"/>
      <c r="HK843" s="1"/>
      <c r="HL843" s="1"/>
      <c r="HM843" s="1"/>
      <c r="HN843" s="1"/>
      <c r="HO843" s="1"/>
      <c r="HP843" s="1"/>
      <c r="HQ843" s="1"/>
      <c r="HR843" s="1"/>
      <c r="HS843" s="1"/>
      <c r="HT843" s="1"/>
      <c r="HU843" s="1"/>
      <c r="HV843" s="1"/>
      <c r="HW843" s="1"/>
      <c r="HX843" s="1"/>
      <c r="HY843" s="1"/>
      <c r="HZ843" s="1"/>
      <c r="IA843" s="1"/>
      <c r="IB843" s="1"/>
      <c r="IC843" s="1"/>
      <c r="ID843" s="1"/>
      <c r="IE843" s="1"/>
      <c r="IF843" s="1"/>
      <c r="IG843" s="1"/>
      <c r="IH843" s="1"/>
      <c r="II843" s="1"/>
      <c r="IJ843" s="1"/>
      <c r="IK843" s="1"/>
      <c r="IL843" s="1"/>
      <c r="IM843" s="1"/>
      <c r="IN843" s="1"/>
      <c r="IO843" s="1"/>
      <c r="IP843" s="1"/>
      <c r="IQ843" s="1"/>
      <c r="IR843" s="1"/>
      <c r="IS843" s="1"/>
      <c r="IT843" s="1"/>
      <c r="IU843" s="1"/>
      <c r="IV843" s="1"/>
      <c r="IW843" s="1"/>
      <c r="IX843" s="1"/>
      <c r="IY843" s="1"/>
      <c r="IZ843" s="1"/>
      <c r="JA843" s="1"/>
      <c r="JB843" s="1"/>
      <c r="JC843" s="1"/>
      <c r="JD843" s="1"/>
    </row>
    <row r="844" spans="1:264" s="347" customFormat="1" x14ac:dyDescent="0.2">
      <c r="A844" s="347" t="s">
        <v>594</v>
      </c>
      <c r="B844" s="348"/>
      <c r="BH844" s="348"/>
      <c r="BI844" s="348"/>
      <c r="BJ844" s="348"/>
      <c r="BK844" s="348"/>
      <c r="BL844" s="348"/>
      <c r="BM844" s="348"/>
      <c r="BN844" s="348"/>
      <c r="BO844" s="348"/>
      <c r="BP844" s="348"/>
      <c r="BQ844" s="348"/>
      <c r="BR844" s="348"/>
      <c r="BS844" s="348"/>
      <c r="BT844" s="348"/>
      <c r="BU844" s="348"/>
      <c r="BV844" s="348"/>
      <c r="BW844" s="348"/>
      <c r="BX844" s="348"/>
      <c r="BY844" s="348"/>
      <c r="BZ844" s="351">
        <f>+BZ842+BZ843</f>
        <v>0</v>
      </c>
      <c r="CA844" s="348"/>
      <c r="CB844" s="351">
        <f>+CB842+CB843</f>
        <v>-339.5</v>
      </c>
      <c r="CC844" s="351">
        <f>+CC842+CC843</f>
        <v>-259</v>
      </c>
      <c r="CD844" s="351">
        <f>+CD842+CD843</f>
        <v>-598.5</v>
      </c>
      <c r="CE844" s="348"/>
      <c r="CF844" s="351">
        <f>+CF842+CF843</f>
        <v>-63.7</v>
      </c>
      <c r="CG844" s="351">
        <f>+CG842+CG843</f>
        <v>-419.3</v>
      </c>
      <c r="CH844" s="351">
        <f>+CH842+CH843</f>
        <v>-483</v>
      </c>
      <c r="CI844" s="348"/>
      <c r="CJ844" s="351">
        <f>+CJ842+CJ843</f>
        <v>0</v>
      </c>
      <c r="CK844" s="351">
        <f>+CK842+CK843</f>
        <v>-322.70000000000005</v>
      </c>
      <c r="CL844" s="351">
        <f>+CL842+CL843</f>
        <v>-322.70000000000005</v>
      </c>
      <c r="CM844" s="348"/>
      <c r="CN844" s="351">
        <f>+CN842+CN843</f>
        <v>-169.4</v>
      </c>
      <c r="CO844" s="351">
        <f>+CO842+CO843</f>
        <v>-233.10000000000002</v>
      </c>
      <c r="CP844" s="351">
        <f>+CP842+CP843</f>
        <v>-402.5</v>
      </c>
      <c r="CQ844" s="348"/>
      <c r="CR844" s="351">
        <f>+CR842+CR843</f>
        <v>-65.099999999999994</v>
      </c>
      <c r="CS844" s="351">
        <f>+CS842+CS843</f>
        <v>-382.9</v>
      </c>
      <c r="CT844" s="351">
        <f>+CT842+CT843</f>
        <v>-448</v>
      </c>
      <c r="CU844" s="348"/>
      <c r="CV844" s="351">
        <f>+CV842+CV843</f>
        <v>-95.9</v>
      </c>
      <c r="CW844" s="351">
        <f>+CW842+CW843</f>
        <v>-148.4</v>
      </c>
      <c r="CX844" s="351">
        <f>+CX842+CX843</f>
        <v>-244.3</v>
      </c>
      <c r="CY844" s="348"/>
      <c r="CZ844" s="351">
        <f>+CZ842+CZ843</f>
        <v>0</v>
      </c>
      <c r="DA844" s="351">
        <f>+DA842+DA843</f>
        <v>-62.3</v>
      </c>
      <c r="DB844" s="351">
        <f>+DB842+DB843</f>
        <v>-62.3</v>
      </c>
      <c r="DC844" s="348"/>
      <c r="DD844" s="351">
        <f>+DD842+DD843</f>
        <v>0</v>
      </c>
      <c r="DE844" s="351">
        <f>+DE842+DE843</f>
        <v>-91</v>
      </c>
      <c r="DF844" s="351">
        <f>+DF842+DF843</f>
        <v>-91</v>
      </c>
      <c r="DG844" s="348"/>
      <c r="DH844" s="351">
        <f>+DH842+DH843</f>
        <v>-119</v>
      </c>
      <c r="DI844" s="351">
        <f>+DI842+DI843</f>
        <v>-35</v>
      </c>
      <c r="DJ844" s="351">
        <f>+DJ842+DJ843</f>
        <v>-154</v>
      </c>
      <c r="DK844" s="348"/>
      <c r="DL844" s="351">
        <f>+DL842+DL843</f>
        <v>0</v>
      </c>
      <c r="DM844" s="351">
        <f>+DM842+DM843</f>
        <v>-35</v>
      </c>
      <c r="DN844" s="351">
        <f>+DN842+DN843</f>
        <v>-35</v>
      </c>
      <c r="DO844" s="348"/>
      <c r="DP844" s="351">
        <f>+DP842+DP843</f>
        <v>0</v>
      </c>
      <c r="DQ844" s="351">
        <f>+DQ842+DQ843</f>
        <v>-35</v>
      </c>
      <c r="DR844" s="351">
        <f>+DR842+DR843</f>
        <v>-35</v>
      </c>
      <c r="DS844" s="348"/>
      <c r="DT844" s="1"/>
      <c r="DU844" s="1"/>
      <c r="DV844" s="1"/>
      <c r="DW844" s="1"/>
      <c r="DX844" s="1"/>
      <c r="DY844" s="1"/>
      <c r="DZ844" s="1"/>
      <c r="EA844" s="1"/>
      <c r="EB844" s="1"/>
      <c r="EC844" s="1"/>
      <c r="ED844" s="1"/>
      <c r="EE844" s="1"/>
      <c r="EF844" s="1"/>
      <c r="EG844" s="1"/>
      <c r="EH844" s="1"/>
      <c r="EI844" s="1"/>
      <c r="EJ844" s="1"/>
      <c r="EK844" s="1"/>
      <c r="EL844" s="1"/>
      <c r="EM844" s="1"/>
      <c r="EN844" s="1"/>
      <c r="EO844" s="1"/>
      <c r="EP844" s="1"/>
      <c r="EQ844" s="1"/>
      <c r="ER844" s="1"/>
      <c r="ES844" s="1"/>
      <c r="ET844" s="1"/>
      <c r="EU844" s="1"/>
      <c r="EV844" s="1"/>
      <c r="EW844" s="1"/>
      <c r="EX844" s="1"/>
      <c r="EY844" s="1"/>
      <c r="EZ844" s="1"/>
      <c r="FA844" s="1"/>
      <c r="FB844" s="1"/>
      <c r="FC844" s="1"/>
      <c r="FD844" s="1"/>
      <c r="FE844" s="1"/>
      <c r="FF844" s="1"/>
      <c r="FG844" s="1"/>
      <c r="FH844" s="1"/>
      <c r="FI844" s="1"/>
      <c r="FJ844" s="1"/>
      <c r="FK844" s="1"/>
      <c r="FL844" s="1"/>
      <c r="FM844" s="1"/>
      <c r="FN844" s="1"/>
      <c r="FO844" s="1"/>
      <c r="FP844" s="1"/>
      <c r="FQ844" s="1"/>
      <c r="FR844" s="1"/>
      <c r="FS844" s="1"/>
      <c r="FT844" s="1"/>
      <c r="FU844" s="1"/>
      <c r="FV844" s="1"/>
      <c r="FW844" s="1"/>
      <c r="FX844" s="1"/>
      <c r="FY844" s="1"/>
      <c r="FZ844" s="1"/>
      <c r="GA844" s="1"/>
      <c r="GB844" s="1"/>
      <c r="GC844" s="1"/>
      <c r="GD844" s="1"/>
      <c r="GE844" s="1"/>
      <c r="GF844" s="1"/>
      <c r="GG844" s="1"/>
      <c r="GH844" s="1"/>
      <c r="GI844" s="1"/>
      <c r="GJ844" s="1"/>
      <c r="GK844" s="1"/>
      <c r="GL844" s="1"/>
      <c r="GM844" s="1"/>
      <c r="GN844" s="1"/>
      <c r="GO844" s="1"/>
      <c r="GP844" s="1"/>
      <c r="GQ844" s="1"/>
      <c r="GR844" s="1"/>
      <c r="GS844" s="1"/>
      <c r="GT844" s="1"/>
      <c r="GU844" s="1"/>
      <c r="GV844" s="1"/>
      <c r="GW844" s="1"/>
      <c r="GX844" s="1"/>
      <c r="GY844" s="1"/>
      <c r="GZ844" s="1"/>
      <c r="HA844" s="1"/>
      <c r="HB844" s="1"/>
      <c r="HC844" s="1"/>
      <c r="HD844" s="1"/>
      <c r="HE844" s="1"/>
      <c r="HF844" s="1"/>
      <c r="HG844" s="1"/>
      <c r="HH844" s="1"/>
      <c r="HI844" s="1"/>
      <c r="HJ844" s="1"/>
      <c r="HK844" s="1"/>
      <c r="HL844" s="1"/>
      <c r="HM844" s="1"/>
      <c r="HN844" s="1"/>
      <c r="HO844" s="1"/>
      <c r="HP844" s="1"/>
      <c r="HQ844" s="1"/>
      <c r="HR844" s="1"/>
      <c r="HS844" s="1"/>
      <c r="HT844" s="1"/>
      <c r="HU844" s="1"/>
      <c r="HV844" s="1"/>
      <c r="HW844" s="1"/>
      <c r="HX844" s="1"/>
      <c r="HY844" s="1"/>
      <c r="HZ844" s="1"/>
      <c r="IA844" s="1"/>
      <c r="IB844" s="1"/>
      <c r="IC844" s="1"/>
      <c r="ID844" s="1"/>
      <c r="IE844" s="1"/>
      <c r="IF844" s="1"/>
      <c r="IG844" s="1"/>
      <c r="IH844" s="1"/>
      <c r="II844" s="1"/>
      <c r="IJ844" s="1"/>
      <c r="IK844" s="1"/>
      <c r="IL844" s="1"/>
      <c r="IM844" s="1"/>
      <c r="IN844" s="1"/>
      <c r="IO844" s="1"/>
      <c r="IP844" s="1"/>
      <c r="IQ844" s="1"/>
      <c r="IR844" s="1"/>
      <c r="IS844" s="1"/>
      <c r="IT844" s="1"/>
      <c r="IU844" s="1"/>
      <c r="IV844" s="1"/>
      <c r="IW844" s="1"/>
      <c r="IX844" s="1"/>
      <c r="IY844" s="1"/>
      <c r="IZ844" s="1"/>
      <c r="JA844" s="1"/>
      <c r="JB844" s="1"/>
      <c r="JC844" s="1"/>
      <c r="JD844" s="1"/>
    </row>
    <row r="845" spans="1:264" s="347" customFormat="1" x14ac:dyDescent="0.2">
      <c r="B845" s="348"/>
      <c r="BH845" s="348"/>
      <c r="BI845" s="348"/>
      <c r="BJ845" s="348"/>
      <c r="BK845" s="348"/>
      <c r="BL845" s="348"/>
      <c r="BM845" s="348"/>
      <c r="BN845" s="348"/>
      <c r="BO845" s="348"/>
      <c r="BP845" s="348"/>
      <c r="BQ845" s="348"/>
      <c r="BR845" s="348"/>
      <c r="BS845" s="348"/>
      <c r="BT845" s="348"/>
      <c r="BU845" s="348"/>
      <c r="BV845" s="348"/>
      <c r="BW845" s="348"/>
      <c r="BX845" s="348"/>
      <c r="BY845" s="348"/>
      <c r="BZ845" s="348"/>
      <c r="CA845" s="348"/>
      <c r="CB845" s="348"/>
      <c r="CC845" s="348"/>
      <c r="CD845" s="348"/>
      <c r="CE845" s="348"/>
      <c r="CF845" s="348"/>
      <c r="CG845" s="419"/>
      <c r="CH845" s="348"/>
      <c r="CI845" s="348"/>
      <c r="CJ845" s="348"/>
      <c r="CK845" s="419"/>
      <c r="CL845" s="348"/>
      <c r="CM845" s="348"/>
      <c r="CN845" s="348"/>
      <c r="CO845" s="419"/>
      <c r="CP845" s="348"/>
      <c r="CQ845" s="348"/>
      <c r="CR845" s="348"/>
      <c r="CS845" s="348"/>
      <c r="CT845" s="348"/>
      <c r="CU845" s="348"/>
      <c r="CV845" s="348"/>
      <c r="CW845" s="348"/>
      <c r="CX845" s="348"/>
      <c r="CY845" s="348"/>
      <c r="CZ845" s="348"/>
      <c r="DA845" s="348"/>
      <c r="DB845" s="348"/>
      <c r="DC845" s="348"/>
      <c r="DD845" s="348"/>
      <c r="DE845" s="348"/>
      <c r="DF845" s="348"/>
      <c r="DG845" s="348"/>
      <c r="DH845" s="348"/>
      <c r="DI845" s="348"/>
      <c r="DJ845" s="348"/>
      <c r="DK845" s="348"/>
      <c r="DL845" s="348"/>
      <c r="DM845" s="348"/>
      <c r="DN845" s="348"/>
      <c r="DO845" s="348"/>
      <c r="DP845" s="348"/>
      <c r="DQ845" s="348"/>
      <c r="DR845" s="348"/>
      <c r="DS845" s="348"/>
      <c r="DT845" s="1"/>
      <c r="DU845" s="1"/>
      <c r="DV845" s="1"/>
      <c r="DW845" s="1"/>
      <c r="DX845" s="1"/>
      <c r="DY845" s="1"/>
      <c r="DZ845" s="1"/>
      <c r="EA845" s="1"/>
      <c r="EB845" s="1"/>
      <c r="EC845" s="1"/>
      <c r="ED845" s="1"/>
      <c r="EE845" s="1"/>
      <c r="EF845" s="1"/>
      <c r="EG845" s="1"/>
      <c r="EH845" s="1"/>
      <c r="EI845" s="1"/>
      <c r="EJ845" s="1"/>
      <c r="EK845" s="1"/>
      <c r="EL845" s="1"/>
      <c r="EM845" s="1"/>
      <c r="EN845" s="1"/>
      <c r="EO845" s="1"/>
      <c r="EP845" s="1"/>
      <c r="EQ845" s="1"/>
      <c r="ER845" s="1"/>
      <c r="ES845" s="1"/>
      <c r="ET845" s="1"/>
      <c r="EU845" s="1"/>
      <c r="EV845" s="1"/>
      <c r="EW845" s="1"/>
      <c r="EX845" s="1"/>
      <c r="EY845" s="1"/>
      <c r="EZ845" s="1"/>
      <c r="FA845" s="1"/>
      <c r="FB845" s="1"/>
      <c r="FC845" s="1"/>
      <c r="FD845" s="1"/>
      <c r="FE845" s="1"/>
      <c r="FF845" s="1"/>
      <c r="FG845" s="1"/>
      <c r="FH845" s="1"/>
      <c r="FI845" s="1"/>
      <c r="FJ845" s="1"/>
      <c r="FK845" s="1"/>
      <c r="FL845" s="1"/>
      <c r="FM845" s="1"/>
      <c r="FN845" s="1"/>
      <c r="FO845" s="1"/>
      <c r="FP845" s="1"/>
      <c r="FQ845" s="1"/>
      <c r="FR845" s="1"/>
      <c r="FS845" s="1"/>
      <c r="FT845" s="1"/>
      <c r="FU845" s="1"/>
      <c r="FV845" s="1"/>
      <c r="FW845" s="1"/>
      <c r="FX845" s="1"/>
      <c r="FY845" s="1"/>
      <c r="FZ845" s="1"/>
      <c r="GA845" s="1"/>
      <c r="GB845" s="1"/>
      <c r="GC845" s="1"/>
      <c r="GD845" s="1"/>
      <c r="GE845" s="1"/>
      <c r="GF845" s="1"/>
      <c r="GG845" s="1"/>
      <c r="GH845" s="1"/>
      <c r="GI845" s="1"/>
      <c r="GJ845" s="1"/>
      <c r="GK845" s="1"/>
      <c r="GL845" s="1"/>
      <c r="GM845" s="1"/>
      <c r="GN845" s="1"/>
      <c r="GO845" s="1"/>
      <c r="GP845" s="1"/>
      <c r="GQ845" s="1"/>
      <c r="GR845" s="1"/>
      <c r="GS845" s="1"/>
      <c r="GT845" s="1"/>
      <c r="GU845" s="1"/>
      <c r="GV845" s="1"/>
      <c r="GW845" s="1"/>
      <c r="GX845" s="1"/>
      <c r="GY845" s="1"/>
      <c r="GZ845" s="1"/>
      <c r="HA845" s="1"/>
      <c r="HB845" s="1"/>
      <c r="HC845" s="1"/>
      <c r="HD845" s="1"/>
      <c r="HE845" s="1"/>
      <c r="HF845" s="1"/>
      <c r="HG845" s="1"/>
      <c r="HH845" s="1"/>
      <c r="HI845" s="1"/>
      <c r="HJ845" s="1"/>
      <c r="HK845" s="1"/>
      <c r="HL845" s="1"/>
      <c r="HM845" s="1"/>
      <c r="HN845" s="1"/>
      <c r="HO845" s="1"/>
      <c r="HP845" s="1"/>
      <c r="HQ845" s="1"/>
      <c r="HR845" s="1"/>
      <c r="HS845" s="1"/>
      <c r="HT845" s="1"/>
      <c r="HU845" s="1"/>
      <c r="HV845" s="1"/>
      <c r="HW845" s="1"/>
      <c r="HX845" s="1"/>
      <c r="HY845" s="1"/>
      <c r="HZ845" s="1"/>
      <c r="IA845" s="1"/>
      <c r="IB845" s="1"/>
      <c r="IC845" s="1"/>
      <c r="ID845" s="1"/>
      <c r="IE845" s="1"/>
      <c r="IF845" s="1"/>
      <c r="IG845" s="1"/>
      <c r="IH845" s="1"/>
      <c r="II845" s="1"/>
      <c r="IJ845" s="1"/>
      <c r="IK845" s="1"/>
      <c r="IL845" s="1"/>
      <c r="IM845" s="1"/>
      <c r="IN845" s="1"/>
      <c r="IO845" s="1"/>
      <c r="IP845" s="1"/>
      <c r="IQ845" s="1"/>
      <c r="IR845" s="1"/>
      <c r="IS845" s="1"/>
      <c r="IT845" s="1"/>
      <c r="IU845" s="1"/>
      <c r="IV845" s="1"/>
      <c r="IW845" s="1"/>
      <c r="IX845" s="1"/>
      <c r="IY845" s="1"/>
      <c r="IZ845" s="1"/>
      <c r="JA845" s="1"/>
      <c r="JB845" s="1"/>
      <c r="JC845" s="1"/>
      <c r="JD845" s="1"/>
    </row>
    <row r="846" spans="1:264" s="347" customFormat="1" x14ac:dyDescent="0.2">
      <c r="A846" s="447" t="s">
        <v>595</v>
      </c>
      <c r="B846" s="446"/>
      <c r="C846" s="447"/>
      <c r="D846" s="447"/>
      <c r="E846" s="447"/>
      <c r="F846" s="447"/>
      <c r="G846" s="447"/>
      <c r="H846" s="447"/>
      <c r="I846" s="447"/>
      <c r="J846" s="447"/>
      <c r="K846" s="447"/>
      <c r="L846" s="447"/>
      <c r="M846" s="447"/>
      <c r="N846" s="447"/>
      <c r="O846" s="447"/>
      <c r="P846" s="447"/>
      <c r="Q846" s="447"/>
      <c r="R846" s="447"/>
      <c r="S846" s="447"/>
      <c r="T846" s="447"/>
      <c r="U846" s="447"/>
      <c r="V846" s="447"/>
      <c r="W846" s="447"/>
      <c r="X846" s="447"/>
      <c r="Y846" s="447"/>
      <c r="Z846" s="447"/>
      <c r="AA846" s="447"/>
      <c r="AB846" s="447"/>
      <c r="AC846" s="447"/>
      <c r="AD846" s="447"/>
      <c r="AE846" s="447"/>
      <c r="AF846" s="447"/>
      <c r="AG846" s="447"/>
      <c r="AH846" s="447"/>
      <c r="AI846" s="447"/>
      <c r="AJ846" s="447"/>
      <c r="AK846" s="447"/>
      <c r="AL846" s="447"/>
      <c r="AM846" s="447"/>
      <c r="AN846" s="447"/>
      <c r="AO846" s="447"/>
      <c r="AP846" s="447"/>
      <c r="AQ846" s="447"/>
      <c r="AR846" s="447"/>
      <c r="AS846" s="447"/>
      <c r="AT846" s="447"/>
      <c r="AU846" s="447"/>
      <c r="AV846" s="447"/>
      <c r="AW846" s="447"/>
      <c r="AX846" s="447"/>
      <c r="AY846" s="447"/>
      <c r="AZ846" s="447"/>
      <c r="BA846" s="447"/>
      <c r="BB846" s="447"/>
      <c r="BC846" s="447"/>
      <c r="BD846" s="447"/>
      <c r="BE846" s="447"/>
      <c r="BF846" s="447"/>
      <c r="BG846" s="447"/>
      <c r="BH846" s="446"/>
      <c r="BI846" s="446"/>
      <c r="BJ846" s="446"/>
      <c r="BK846" s="446"/>
      <c r="BL846" s="446"/>
      <c r="BM846" s="446"/>
      <c r="BN846" s="446"/>
      <c r="BO846" s="446"/>
      <c r="BP846" s="446"/>
      <c r="BQ846" s="446"/>
      <c r="BR846" s="446"/>
      <c r="BS846" s="446"/>
      <c r="BT846" s="446"/>
      <c r="BU846" s="446"/>
      <c r="BV846" s="446"/>
      <c r="BW846" s="446"/>
      <c r="BX846" s="446"/>
      <c r="BY846" s="446"/>
      <c r="BZ846" s="446"/>
      <c r="CA846" s="446"/>
      <c r="CB846" s="446"/>
      <c r="CC846" s="446"/>
      <c r="CD846" s="446"/>
      <c r="CE846" s="446"/>
      <c r="CF846" s="691">
        <f>-3</f>
        <v>-3</v>
      </c>
      <c r="CG846" s="691">
        <f>-10-65</f>
        <v>-75</v>
      </c>
      <c r="CH846" s="446">
        <f>SUM(CF846:CG846)</f>
        <v>-78</v>
      </c>
      <c r="CI846" s="446"/>
      <c r="CJ846" s="691">
        <v>0</v>
      </c>
      <c r="CK846" s="691">
        <v>0</v>
      </c>
      <c r="CL846" s="446">
        <f>SUM(CJ846:CK846)</f>
        <v>0</v>
      </c>
      <c r="CM846" s="446"/>
      <c r="CN846" s="691">
        <v>0</v>
      </c>
      <c r="CO846" s="691">
        <v>0</v>
      </c>
      <c r="CP846" s="446">
        <f>SUM(CN846:CO846)</f>
        <v>0</v>
      </c>
      <c r="CQ846" s="446"/>
      <c r="CR846" s="691">
        <v>0</v>
      </c>
      <c r="CS846" s="691">
        <v>0</v>
      </c>
      <c r="CT846" s="446">
        <f>SUM(CR846:CS846)</f>
        <v>0</v>
      </c>
      <c r="CU846" s="446"/>
      <c r="CV846" s="691">
        <v>0</v>
      </c>
      <c r="CW846" s="691">
        <v>0</v>
      </c>
      <c r="CX846" s="446">
        <f>SUM(CV846:CW846)</f>
        <v>0</v>
      </c>
      <c r="CY846" s="446"/>
      <c r="CZ846" s="691">
        <v>0</v>
      </c>
      <c r="DA846" s="691">
        <v>0</v>
      </c>
      <c r="DB846" s="446">
        <f>SUM(CZ846:DA846)</f>
        <v>0</v>
      </c>
      <c r="DC846" s="446"/>
      <c r="DD846" s="691">
        <v>0</v>
      </c>
      <c r="DE846" s="691">
        <v>0</v>
      </c>
      <c r="DF846" s="446">
        <f>SUM(DD846:DE846)</f>
        <v>0</v>
      </c>
      <c r="DG846" s="446"/>
      <c r="DH846" s="691">
        <v>0</v>
      </c>
      <c r="DI846" s="691">
        <v>0</v>
      </c>
      <c r="DJ846" s="446">
        <f>SUM(DH846:DI846)</f>
        <v>0</v>
      </c>
      <c r="DK846" s="446"/>
      <c r="DL846" s="691">
        <v>0</v>
      </c>
      <c r="DM846" s="691">
        <v>0</v>
      </c>
      <c r="DN846" s="446">
        <f>SUM(DL846:DM846)</f>
        <v>0</v>
      </c>
      <c r="DO846" s="446"/>
      <c r="DP846" s="691">
        <v>0</v>
      </c>
      <c r="DQ846" s="691">
        <v>0</v>
      </c>
      <c r="DR846" s="446">
        <f>SUM(DP846:DQ846)</f>
        <v>0</v>
      </c>
      <c r="DS846" s="446"/>
      <c r="DT846" s="1"/>
      <c r="DU846" s="1"/>
      <c r="DV846" s="1"/>
      <c r="DW846" s="1"/>
      <c r="DX846" s="1"/>
      <c r="DY846" s="1"/>
      <c r="DZ846" s="1"/>
      <c r="EA846" s="1"/>
      <c r="EB846" s="1"/>
      <c r="EC846" s="1"/>
      <c r="ED846" s="1"/>
      <c r="EE846" s="1"/>
      <c r="EF846" s="1"/>
      <c r="EG846" s="1"/>
      <c r="EH846" s="1"/>
      <c r="EI846" s="1"/>
      <c r="EJ846" s="1"/>
      <c r="EK846" s="1"/>
      <c r="EL846" s="1"/>
      <c r="EM846" s="1"/>
      <c r="EN846" s="1"/>
      <c r="EO846" s="1"/>
      <c r="EP846" s="1"/>
      <c r="EQ846" s="1"/>
      <c r="ER846" s="1"/>
      <c r="ES846" s="1"/>
      <c r="ET846" s="1"/>
      <c r="EU846" s="1"/>
      <c r="EV846" s="1"/>
      <c r="EW846" s="1"/>
      <c r="EX846" s="1"/>
      <c r="EY846" s="1"/>
      <c r="EZ846" s="1"/>
      <c r="FA846" s="1"/>
      <c r="FB846" s="1"/>
      <c r="FC846" s="1"/>
      <c r="FD846" s="1"/>
      <c r="FE846" s="1"/>
      <c r="FF846" s="1"/>
      <c r="FG846" s="1"/>
      <c r="FH846" s="1"/>
      <c r="FI846" s="1"/>
      <c r="FJ846" s="1"/>
      <c r="FK846" s="1"/>
      <c r="FL846" s="1"/>
      <c r="FM846" s="1"/>
      <c r="FN846" s="1"/>
      <c r="FO846" s="1"/>
      <c r="FP846" s="1"/>
      <c r="FQ846" s="1"/>
      <c r="FR846" s="1"/>
      <c r="FS846" s="1"/>
      <c r="FT846" s="1"/>
      <c r="FU846" s="1"/>
      <c r="FV846" s="1"/>
      <c r="FW846" s="1"/>
      <c r="FX846" s="1"/>
      <c r="FY846" s="1"/>
      <c r="FZ846" s="1"/>
      <c r="GA846" s="1"/>
      <c r="GB846" s="1"/>
      <c r="GC846" s="1"/>
      <c r="GD846" s="1"/>
      <c r="GE846" s="1"/>
      <c r="GF846" s="1"/>
      <c r="GG846" s="1"/>
      <c r="GH846" s="1"/>
      <c r="GI846" s="1"/>
      <c r="GJ846" s="1"/>
      <c r="GK846" s="1"/>
      <c r="GL846" s="1"/>
      <c r="GM846" s="1"/>
      <c r="GN846" s="1"/>
      <c r="GO846" s="1"/>
      <c r="GP846" s="1"/>
      <c r="GQ846" s="1"/>
      <c r="GR846" s="1"/>
      <c r="GS846" s="1"/>
      <c r="GT846" s="1"/>
      <c r="GU846" s="1"/>
      <c r="GV846" s="1"/>
      <c r="GW846" s="1"/>
      <c r="GX846" s="1"/>
      <c r="GY846" s="1"/>
      <c r="GZ846" s="1"/>
      <c r="HA846" s="1"/>
      <c r="HB846" s="1"/>
      <c r="HC846" s="1"/>
      <c r="HD846" s="1"/>
      <c r="HE846" s="1"/>
      <c r="HF846" s="1"/>
      <c r="HG846" s="1"/>
      <c r="HH846" s="1"/>
      <c r="HI846" s="1"/>
      <c r="HJ846" s="1"/>
      <c r="HK846" s="1"/>
      <c r="HL846" s="1"/>
      <c r="HM846" s="1"/>
      <c r="HN846" s="1"/>
      <c r="HO846" s="1"/>
      <c r="HP846" s="1"/>
      <c r="HQ846" s="1"/>
      <c r="HR846" s="1"/>
      <c r="HS846" s="1"/>
      <c r="HT846" s="1"/>
      <c r="HU846" s="1"/>
      <c r="HV846" s="1"/>
      <c r="HW846" s="1"/>
      <c r="HX846" s="1"/>
      <c r="HY846" s="1"/>
      <c r="HZ846" s="1"/>
      <c r="IA846" s="1"/>
      <c r="IB846" s="1"/>
      <c r="IC846" s="1"/>
      <c r="ID846" s="1"/>
      <c r="IE846" s="1"/>
      <c r="IF846" s="1"/>
      <c r="IG846" s="1"/>
      <c r="IH846" s="1"/>
      <c r="II846" s="1"/>
      <c r="IJ846" s="1"/>
      <c r="IK846" s="1"/>
      <c r="IL846" s="1"/>
      <c r="IM846" s="1"/>
      <c r="IN846" s="1"/>
      <c r="IO846" s="1"/>
      <c r="IP846" s="1"/>
      <c r="IQ846" s="1"/>
      <c r="IR846" s="1"/>
      <c r="IS846" s="1"/>
      <c r="IT846" s="1"/>
      <c r="IU846" s="1"/>
      <c r="IV846" s="1"/>
      <c r="IW846" s="1"/>
      <c r="IX846" s="1"/>
      <c r="IY846" s="1"/>
      <c r="IZ846" s="1"/>
      <c r="JA846" s="1"/>
      <c r="JB846" s="1"/>
      <c r="JC846" s="1"/>
      <c r="JD846" s="1"/>
    </row>
    <row r="847" spans="1:264" s="347" customFormat="1" x14ac:dyDescent="0.2">
      <c r="A847" s="447" t="s">
        <v>596</v>
      </c>
      <c r="B847" s="446"/>
      <c r="C847" s="447"/>
      <c r="D847" s="447"/>
      <c r="E847" s="447"/>
      <c r="F847" s="447"/>
      <c r="G847" s="447"/>
      <c r="H847" s="447"/>
      <c r="I847" s="447"/>
      <c r="J847" s="447"/>
      <c r="K847" s="447"/>
      <c r="L847" s="447"/>
      <c r="M847" s="447"/>
      <c r="N847" s="447"/>
      <c r="O847" s="447"/>
      <c r="P847" s="447"/>
      <c r="Q847" s="447"/>
      <c r="R847" s="447"/>
      <c r="S847" s="447"/>
      <c r="T847" s="447"/>
      <c r="U847" s="447"/>
      <c r="V847" s="447"/>
      <c r="W847" s="447"/>
      <c r="X847" s="447"/>
      <c r="Y847" s="447"/>
      <c r="Z847" s="447"/>
      <c r="AA847" s="447"/>
      <c r="AB847" s="447"/>
      <c r="AC847" s="447"/>
      <c r="AD847" s="447"/>
      <c r="AE847" s="447"/>
      <c r="AF847" s="447"/>
      <c r="AG847" s="447"/>
      <c r="AH847" s="447"/>
      <c r="AI847" s="447"/>
      <c r="AJ847" s="447"/>
      <c r="AK847" s="447"/>
      <c r="AL847" s="447"/>
      <c r="AM847" s="447"/>
      <c r="AN847" s="447"/>
      <c r="AO847" s="447"/>
      <c r="AP847" s="447"/>
      <c r="AQ847" s="447"/>
      <c r="AR847" s="447"/>
      <c r="AS847" s="447"/>
      <c r="AT847" s="447"/>
      <c r="AU847" s="447"/>
      <c r="AV847" s="447"/>
      <c r="AW847" s="447"/>
      <c r="AX847" s="447"/>
      <c r="AY847" s="447"/>
      <c r="AZ847" s="447"/>
      <c r="BA847" s="447"/>
      <c r="BB847" s="447"/>
      <c r="BC847" s="447"/>
      <c r="BD847" s="447"/>
      <c r="BE847" s="447"/>
      <c r="BF847" s="447"/>
      <c r="BG847" s="447"/>
      <c r="BH847" s="446"/>
      <c r="BI847" s="446"/>
      <c r="BJ847" s="446"/>
      <c r="BK847" s="446"/>
      <c r="BL847" s="446"/>
      <c r="BM847" s="446"/>
      <c r="BN847" s="446"/>
      <c r="BO847" s="446"/>
      <c r="BP847" s="446"/>
      <c r="BQ847" s="446"/>
      <c r="BR847" s="446"/>
      <c r="BS847" s="446"/>
      <c r="BT847" s="446"/>
      <c r="BU847" s="446"/>
      <c r="BV847" s="446"/>
      <c r="BW847" s="446"/>
      <c r="BX847" s="446"/>
      <c r="BY847" s="446"/>
      <c r="BZ847" s="446"/>
      <c r="CA847" s="446"/>
      <c r="CB847" s="691">
        <f>-199-CC847</f>
        <v>-60</v>
      </c>
      <c r="CC847" s="691">
        <v>-139</v>
      </c>
      <c r="CD847" s="446">
        <f>CB847+CC847</f>
        <v>-199</v>
      </c>
      <c r="CE847" s="446"/>
      <c r="CF847" s="691">
        <v>0</v>
      </c>
      <c r="CG847" s="691">
        <v>0</v>
      </c>
      <c r="CH847" s="446">
        <f>SUM(CF847:CG847)</f>
        <v>0</v>
      </c>
      <c r="CI847" s="446"/>
      <c r="CJ847" s="691">
        <v>0</v>
      </c>
      <c r="CK847" s="691">
        <v>0</v>
      </c>
      <c r="CL847" s="446">
        <f>SUM(CJ847:CK847)</f>
        <v>0</v>
      </c>
      <c r="CM847" s="446"/>
      <c r="CN847" s="691">
        <v>0</v>
      </c>
      <c r="CO847" s="691">
        <v>0</v>
      </c>
      <c r="CP847" s="446">
        <f>SUM(CN847:CO847)</f>
        <v>0</v>
      </c>
      <c r="CQ847" s="446"/>
      <c r="CR847" s="691">
        <v>0</v>
      </c>
      <c r="CS847" s="691">
        <v>0</v>
      </c>
      <c r="CT847" s="446">
        <f>SUM(CR847:CS847)</f>
        <v>0</v>
      </c>
      <c r="CU847" s="446"/>
      <c r="CV847" s="691">
        <v>0</v>
      </c>
      <c r="CW847" s="691">
        <v>0</v>
      </c>
      <c r="CX847" s="446">
        <f>SUM(CV847:CW847)</f>
        <v>0</v>
      </c>
      <c r="CY847" s="446"/>
      <c r="CZ847" s="691">
        <v>0</v>
      </c>
      <c r="DA847" s="691">
        <v>0</v>
      </c>
      <c r="DB847" s="446">
        <f>SUM(CZ847:DA847)</f>
        <v>0</v>
      </c>
      <c r="DC847" s="446"/>
      <c r="DD847" s="691">
        <v>0</v>
      </c>
      <c r="DE847" s="691">
        <v>0</v>
      </c>
      <c r="DF847" s="446">
        <f>SUM(DD847:DE847)</f>
        <v>0</v>
      </c>
      <c r="DG847" s="446"/>
      <c r="DH847" s="691">
        <v>0</v>
      </c>
      <c r="DI847" s="691">
        <v>0</v>
      </c>
      <c r="DJ847" s="446">
        <f>SUM(DH847:DI847)</f>
        <v>0</v>
      </c>
      <c r="DK847" s="446"/>
      <c r="DL847" s="691">
        <v>0</v>
      </c>
      <c r="DM847" s="691">
        <v>0</v>
      </c>
      <c r="DN847" s="446">
        <f>SUM(DL847:DM847)</f>
        <v>0</v>
      </c>
      <c r="DO847" s="446"/>
      <c r="DP847" s="691">
        <v>0</v>
      </c>
      <c r="DQ847" s="691">
        <v>0</v>
      </c>
      <c r="DR847" s="446">
        <f>SUM(DP847:DQ847)</f>
        <v>0</v>
      </c>
      <c r="DS847" s="446"/>
      <c r="DT847" s="1"/>
      <c r="DU847" s="1"/>
      <c r="DV847" s="1"/>
      <c r="DW847" s="1"/>
      <c r="DX847" s="1"/>
      <c r="DY847" s="1"/>
      <c r="DZ847" s="1"/>
      <c r="EA847" s="1"/>
      <c r="EB847" s="1"/>
      <c r="EC847" s="1"/>
      <c r="ED847" s="1"/>
      <c r="EE847" s="1"/>
      <c r="EF847" s="1"/>
      <c r="EG847" s="1"/>
      <c r="EH847" s="1"/>
      <c r="EI847" s="1"/>
      <c r="EJ847" s="1"/>
      <c r="EK847" s="1"/>
      <c r="EL847" s="1"/>
      <c r="EM847" s="1"/>
      <c r="EN847" s="1"/>
      <c r="EO847" s="1"/>
      <c r="EP847" s="1"/>
      <c r="EQ847" s="1"/>
      <c r="ER847" s="1"/>
      <c r="ES847" s="1"/>
      <c r="ET847" s="1"/>
      <c r="EU847" s="1"/>
      <c r="EV847" s="1"/>
      <c r="EW847" s="1"/>
      <c r="EX847" s="1"/>
      <c r="EY847" s="1"/>
      <c r="EZ847" s="1"/>
      <c r="FA847" s="1"/>
      <c r="FB847" s="1"/>
      <c r="FC847" s="1"/>
      <c r="FD847" s="1"/>
      <c r="FE847" s="1"/>
      <c r="FF847" s="1"/>
      <c r="FG847" s="1"/>
      <c r="FH847" s="1"/>
      <c r="FI847" s="1"/>
      <c r="FJ847" s="1"/>
      <c r="FK847" s="1"/>
      <c r="FL847" s="1"/>
      <c r="FM847" s="1"/>
      <c r="FN847" s="1"/>
      <c r="FO847" s="1"/>
      <c r="FP847" s="1"/>
      <c r="FQ847" s="1"/>
      <c r="FR847" s="1"/>
      <c r="FS847" s="1"/>
      <c r="FT847" s="1"/>
      <c r="FU847" s="1"/>
      <c r="FV847" s="1"/>
      <c r="FW847" s="1"/>
      <c r="FX847" s="1"/>
      <c r="FY847" s="1"/>
      <c r="FZ847" s="1"/>
      <c r="GA847" s="1"/>
      <c r="GB847" s="1"/>
      <c r="GC847" s="1"/>
      <c r="GD847" s="1"/>
      <c r="GE847" s="1"/>
      <c r="GF847" s="1"/>
      <c r="GG847" s="1"/>
      <c r="GH847" s="1"/>
      <c r="GI847" s="1"/>
      <c r="GJ847" s="1"/>
      <c r="GK847" s="1"/>
      <c r="GL847" s="1"/>
      <c r="GM847" s="1"/>
      <c r="GN847" s="1"/>
      <c r="GO847" s="1"/>
      <c r="GP847" s="1"/>
      <c r="GQ847" s="1"/>
      <c r="GR847" s="1"/>
      <c r="GS847" s="1"/>
      <c r="GT847" s="1"/>
      <c r="GU847" s="1"/>
      <c r="GV847" s="1"/>
      <c r="GW847" s="1"/>
      <c r="GX847" s="1"/>
      <c r="GY847" s="1"/>
      <c r="GZ847" s="1"/>
      <c r="HA847" s="1"/>
      <c r="HB847" s="1"/>
      <c r="HC847" s="1"/>
      <c r="HD847" s="1"/>
      <c r="HE847" s="1"/>
      <c r="HF847" s="1"/>
      <c r="HG847" s="1"/>
      <c r="HH847" s="1"/>
      <c r="HI847" s="1"/>
      <c r="HJ847" s="1"/>
      <c r="HK847" s="1"/>
      <c r="HL847" s="1"/>
      <c r="HM847" s="1"/>
      <c r="HN847" s="1"/>
      <c r="HO847" s="1"/>
      <c r="HP847" s="1"/>
      <c r="HQ847" s="1"/>
      <c r="HR847" s="1"/>
      <c r="HS847" s="1"/>
      <c r="HT847" s="1"/>
      <c r="HU847" s="1"/>
      <c r="HV847" s="1"/>
      <c r="HW847" s="1"/>
      <c r="HX847" s="1"/>
      <c r="HY847" s="1"/>
      <c r="HZ847" s="1"/>
      <c r="IA847" s="1"/>
      <c r="IB847" s="1"/>
      <c r="IC847" s="1"/>
      <c r="ID847" s="1"/>
      <c r="IE847" s="1"/>
      <c r="IF847" s="1"/>
      <c r="IG847" s="1"/>
      <c r="IH847" s="1"/>
      <c r="II847" s="1"/>
      <c r="IJ847" s="1"/>
      <c r="IK847" s="1"/>
      <c r="IL847" s="1"/>
      <c r="IM847" s="1"/>
      <c r="IN847" s="1"/>
      <c r="IO847" s="1"/>
      <c r="IP847" s="1"/>
      <c r="IQ847" s="1"/>
      <c r="IR847" s="1"/>
      <c r="IS847" s="1"/>
      <c r="IT847" s="1"/>
      <c r="IU847" s="1"/>
      <c r="IV847" s="1"/>
      <c r="IW847" s="1"/>
      <c r="IX847" s="1"/>
      <c r="IY847" s="1"/>
      <c r="IZ847" s="1"/>
      <c r="JA847" s="1"/>
      <c r="JB847" s="1"/>
      <c r="JC847" s="1"/>
      <c r="JD847" s="1"/>
    </row>
    <row r="848" spans="1:264" s="347" customFormat="1" x14ac:dyDescent="0.2">
      <c r="A848" s="447" t="s">
        <v>597</v>
      </c>
      <c r="B848" s="446"/>
      <c r="C848" s="447"/>
      <c r="D848" s="447"/>
      <c r="E848" s="447"/>
      <c r="F848" s="447"/>
      <c r="G848" s="447"/>
      <c r="H848" s="447"/>
      <c r="I848" s="447"/>
      <c r="J848" s="447"/>
      <c r="K848" s="447"/>
      <c r="L848" s="447"/>
      <c r="M848" s="447"/>
      <c r="N848" s="447"/>
      <c r="O848" s="447"/>
      <c r="P848" s="447"/>
      <c r="Q848" s="447"/>
      <c r="R848" s="447"/>
      <c r="S848" s="447"/>
      <c r="T848" s="447"/>
      <c r="U848" s="447"/>
      <c r="V848" s="447"/>
      <c r="W848" s="447"/>
      <c r="X848" s="447"/>
      <c r="Y848" s="447"/>
      <c r="Z848" s="447"/>
      <c r="AA848" s="447"/>
      <c r="AB848" s="447"/>
      <c r="AC848" s="447"/>
      <c r="AD848" s="447"/>
      <c r="AE848" s="447"/>
      <c r="AF848" s="447"/>
      <c r="AG848" s="447"/>
      <c r="AH848" s="447"/>
      <c r="AI848" s="447"/>
      <c r="AJ848" s="447"/>
      <c r="AK848" s="447"/>
      <c r="AL848" s="447"/>
      <c r="AM848" s="447"/>
      <c r="AN848" s="447"/>
      <c r="AO848" s="447"/>
      <c r="AP848" s="447"/>
      <c r="AQ848" s="447"/>
      <c r="AR848" s="447"/>
      <c r="AS848" s="447"/>
      <c r="AT848" s="447"/>
      <c r="AU848" s="447"/>
      <c r="AV848" s="447"/>
      <c r="AW848" s="447"/>
      <c r="AX848" s="447"/>
      <c r="AY848" s="447"/>
      <c r="AZ848" s="447"/>
      <c r="BA848" s="447"/>
      <c r="BB848" s="447"/>
      <c r="BC848" s="447"/>
      <c r="BD848" s="447"/>
      <c r="BE848" s="447"/>
      <c r="BF848" s="447"/>
      <c r="BG848" s="447"/>
      <c r="BH848" s="446">
        <v>0</v>
      </c>
      <c r="BI848" s="446">
        <v>0</v>
      </c>
      <c r="BJ848" s="446">
        <f>+BH848+BI848</f>
        <v>0</v>
      </c>
      <c r="BK848" s="446"/>
      <c r="BL848" s="446">
        <v>0</v>
      </c>
      <c r="BM848" s="446">
        <v>0</v>
      </c>
      <c r="BN848" s="446">
        <f>+BL848+BM848</f>
        <v>0</v>
      </c>
      <c r="BO848" s="446"/>
      <c r="BP848" s="446">
        <v>0</v>
      </c>
      <c r="BQ848" s="446">
        <v>0</v>
      </c>
      <c r="BR848" s="446">
        <f>+BP848+BQ848</f>
        <v>0</v>
      </c>
      <c r="BS848" s="446"/>
      <c r="BT848" s="446">
        <v>0</v>
      </c>
      <c r="BU848" s="446">
        <v>0</v>
      </c>
      <c r="BV848" s="446">
        <f>+BT848+BU848</f>
        <v>0</v>
      </c>
      <c r="BW848" s="446"/>
      <c r="BX848" s="446">
        <v>0</v>
      </c>
      <c r="BY848" s="446">
        <v>-35</v>
      </c>
      <c r="BZ848" s="446">
        <f>+BX848+BY848</f>
        <v>-35</v>
      </c>
      <c r="CA848" s="446"/>
      <c r="CB848" s="691">
        <f>-210-CB840</f>
        <v>-100</v>
      </c>
      <c r="CC848" s="691">
        <f>-199</f>
        <v>-199</v>
      </c>
      <c r="CD848" s="446">
        <f>+CB848+CC848</f>
        <v>-299</v>
      </c>
      <c r="CE848" s="446"/>
      <c r="CF848" s="691">
        <v>0</v>
      </c>
      <c r="CG848" s="691">
        <v>0</v>
      </c>
      <c r="CH848" s="446">
        <f>+CF848+CG848</f>
        <v>0</v>
      </c>
      <c r="CI848" s="446"/>
      <c r="CJ848" s="691">
        <v>0</v>
      </c>
      <c r="CK848" s="691">
        <v>0</v>
      </c>
      <c r="CL848" s="446">
        <f>+CJ848+CK848</f>
        <v>0</v>
      </c>
      <c r="CM848" s="446"/>
      <c r="CN848" s="691">
        <v>0</v>
      </c>
      <c r="CO848" s="691">
        <v>0</v>
      </c>
      <c r="CP848" s="446">
        <f>+CN848+CO848</f>
        <v>0</v>
      </c>
      <c r="CQ848" s="446"/>
      <c r="CR848" s="691">
        <v>0</v>
      </c>
      <c r="CS848" s="691">
        <v>0</v>
      </c>
      <c r="CT848" s="446">
        <f>+CR848+CS848</f>
        <v>0</v>
      </c>
      <c r="CU848" s="446"/>
      <c r="CV848" s="691">
        <v>0</v>
      </c>
      <c r="CW848" s="691">
        <v>0</v>
      </c>
      <c r="CX848" s="446">
        <f>+CV848+CW848</f>
        <v>0</v>
      </c>
      <c r="CY848" s="446"/>
      <c r="CZ848" s="691">
        <v>0</v>
      </c>
      <c r="DA848" s="691">
        <v>0</v>
      </c>
      <c r="DB848" s="446">
        <f>+CZ848+DA848</f>
        <v>0</v>
      </c>
      <c r="DC848" s="446"/>
      <c r="DD848" s="691">
        <v>0</v>
      </c>
      <c r="DE848" s="691">
        <v>0</v>
      </c>
      <c r="DF848" s="446">
        <f>+DD848+DE848</f>
        <v>0</v>
      </c>
      <c r="DG848" s="446"/>
      <c r="DH848" s="691">
        <v>0</v>
      </c>
      <c r="DI848" s="691">
        <v>0</v>
      </c>
      <c r="DJ848" s="446">
        <f>+DH848+DI848</f>
        <v>0</v>
      </c>
      <c r="DK848" s="446"/>
      <c r="DL848" s="691">
        <v>0</v>
      </c>
      <c r="DM848" s="691">
        <v>0</v>
      </c>
      <c r="DN848" s="446">
        <f>+DL848+DM848</f>
        <v>0</v>
      </c>
      <c r="DO848" s="446"/>
      <c r="DP848" s="691">
        <v>0</v>
      </c>
      <c r="DQ848" s="691">
        <v>0</v>
      </c>
      <c r="DR848" s="446">
        <f>+DP848+DQ848</f>
        <v>0</v>
      </c>
      <c r="DS848" s="446"/>
      <c r="DT848" s="1"/>
      <c r="DU848" s="1"/>
      <c r="DV848" s="1"/>
      <c r="DW848" s="1"/>
      <c r="DX848" s="1"/>
      <c r="DY848" s="1"/>
      <c r="DZ848" s="1"/>
      <c r="EA848" s="1"/>
      <c r="EB848" s="1"/>
      <c r="EC848" s="1"/>
      <c r="ED848" s="1"/>
      <c r="EE848" s="1"/>
      <c r="EF848" s="1"/>
      <c r="EG848" s="1"/>
      <c r="EH848" s="1"/>
      <c r="EI848" s="1"/>
      <c r="EJ848" s="1"/>
      <c r="EK848" s="1"/>
      <c r="EL848" s="1"/>
      <c r="EM848" s="1"/>
      <c r="EN848" s="1"/>
      <c r="EO848" s="1"/>
      <c r="EP848" s="1"/>
      <c r="EQ848" s="1"/>
      <c r="ER848" s="1"/>
      <c r="ES848" s="1"/>
      <c r="ET848" s="1"/>
      <c r="EU848" s="1"/>
      <c r="EV848" s="1"/>
      <c r="EW848" s="1"/>
      <c r="EX848" s="1"/>
      <c r="EY848" s="1"/>
      <c r="EZ848" s="1"/>
      <c r="FA848" s="1"/>
      <c r="FB848" s="1"/>
      <c r="FC848" s="1"/>
      <c r="FD848" s="1"/>
      <c r="FE848" s="1"/>
      <c r="FF848" s="1"/>
      <c r="FG848" s="1"/>
      <c r="FH848" s="1"/>
      <c r="FI848" s="1"/>
      <c r="FJ848" s="1"/>
      <c r="FK848" s="1"/>
      <c r="FL848" s="1"/>
      <c r="FM848" s="1"/>
      <c r="FN848" s="1"/>
      <c r="FO848" s="1"/>
      <c r="FP848" s="1"/>
      <c r="FQ848" s="1"/>
      <c r="FR848" s="1"/>
      <c r="FS848" s="1"/>
      <c r="FT848" s="1"/>
      <c r="FU848" s="1"/>
      <c r="FV848" s="1"/>
      <c r="FW848" s="1"/>
      <c r="FX848" s="1"/>
      <c r="FY848" s="1"/>
      <c r="FZ848" s="1"/>
      <c r="GA848" s="1"/>
      <c r="GB848" s="1"/>
      <c r="GC848" s="1"/>
      <c r="GD848" s="1"/>
      <c r="GE848" s="1"/>
      <c r="GF848" s="1"/>
      <c r="GG848" s="1"/>
      <c r="GH848" s="1"/>
      <c r="GI848" s="1"/>
      <c r="GJ848" s="1"/>
      <c r="GK848" s="1"/>
      <c r="GL848" s="1"/>
      <c r="GM848" s="1"/>
      <c r="GN848" s="1"/>
      <c r="GO848" s="1"/>
      <c r="GP848" s="1"/>
      <c r="GQ848" s="1"/>
      <c r="GR848" s="1"/>
      <c r="GS848" s="1"/>
      <c r="GT848" s="1"/>
      <c r="GU848" s="1"/>
      <c r="GV848" s="1"/>
      <c r="GW848" s="1"/>
      <c r="GX848" s="1"/>
      <c r="GY848" s="1"/>
      <c r="GZ848" s="1"/>
      <c r="HA848" s="1"/>
      <c r="HB848" s="1"/>
      <c r="HC848" s="1"/>
      <c r="HD848" s="1"/>
      <c r="HE848" s="1"/>
      <c r="HF848" s="1"/>
      <c r="HG848" s="1"/>
      <c r="HH848" s="1"/>
      <c r="HI848" s="1"/>
      <c r="HJ848" s="1"/>
      <c r="HK848" s="1"/>
      <c r="HL848" s="1"/>
      <c r="HM848" s="1"/>
      <c r="HN848" s="1"/>
      <c r="HO848" s="1"/>
      <c r="HP848" s="1"/>
      <c r="HQ848" s="1"/>
      <c r="HR848" s="1"/>
      <c r="HS848" s="1"/>
      <c r="HT848" s="1"/>
      <c r="HU848" s="1"/>
      <c r="HV848" s="1"/>
      <c r="HW848" s="1"/>
      <c r="HX848" s="1"/>
      <c r="HY848" s="1"/>
      <c r="HZ848" s="1"/>
      <c r="IA848" s="1"/>
      <c r="IB848" s="1"/>
      <c r="IC848" s="1"/>
      <c r="ID848" s="1"/>
      <c r="IE848" s="1"/>
      <c r="IF848" s="1"/>
      <c r="IG848" s="1"/>
      <c r="IH848" s="1"/>
      <c r="II848" s="1"/>
      <c r="IJ848" s="1"/>
      <c r="IK848" s="1"/>
      <c r="IL848" s="1"/>
      <c r="IM848" s="1"/>
      <c r="IN848" s="1"/>
      <c r="IO848" s="1"/>
      <c r="IP848" s="1"/>
      <c r="IQ848" s="1"/>
      <c r="IR848" s="1"/>
      <c r="IS848" s="1"/>
      <c r="IT848" s="1"/>
      <c r="IU848" s="1"/>
      <c r="IV848" s="1"/>
      <c r="IW848" s="1"/>
      <c r="IX848" s="1"/>
      <c r="IY848" s="1"/>
      <c r="IZ848" s="1"/>
      <c r="JA848" s="1"/>
      <c r="JB848" s="1"/>
      <c r="JC848" s="1"/>
      <c r="JD848" s="1"/>
    </row>
    <row r="849" spans="1:264" s="347" customFormat="1" x14ac:dyDescent="0.2">
      <c r="B849" s="348"/>
      <c r="BH849" s="348"/>
      <c r="BI849" s="348"/>
      <c r="BJ849" s="348"/>
      <c r="BK849" s="348"/>
      <c r="BL849" s="348"/>
      <c r="BM849" s="348"/>
      <c r="BN849" s="348"/>
      <c r="BO849" s="348"/>
      <c r="BP849" s="348"/>
      <c r="BQ849" s="348"/>
      <c r="BR849" s="348"/>
      <c r="BS849" s="348"/>
      <c r="BT849" s="348"/>
      <c r="BU849" s="348"/>
      <c r="BV849" s="348"/>
      <c r="BW849" s="348"/>
      <c r="BX849" s="348"/>
      <c r="BY849" s="348"/>
      <c r="BZ849" s="348"/>
      <c r="CA849" s="348"/>
      <c r="CB849" s="348"/>
      <c r="CC849" s="348"/>
      <c r="CD849" s="348"/>
      <c r="CE849" s="348"/>
      <c r="CF849" s="348"/>
      <c r="CG849" s="348"/>
      <c r="CH849" s="348"/>
      <c r="CI849" s="348"/>
      <c r="CJ849" s="348"/>
      <c r="CK849" s="348"/>
      <c r="CL849" s="348"/>
      <c r="CM849" s="348"/>
      <c r="CN849" s="348"/>
      <c r="CO849" s="348"/>
      <c r="CP849" s="348"/>
      <c r="CQ849" s="348"/>
      <c r="CR849" s="348"/>
      <c r="CS849" s="348"/>
      <c r="CT849" s="348"/>
      <c r="CU849" s="348"/>
      <c r="CV849" s="348"/>
      <c r="CW849" s="348"/>
      <c r="CX849" s="348"/>
      <c r="CY849" s="348"/>
      <c r="CZ849" s="348"/>
      <c r="DA849" s="348"/>
      <c r="DB849" s="348"/>
      <c r="DC849" s="348"/>
      <c r="DD849" s="348"/>
      <c r="DE849" s="348"/>
      <c r="DF849" s="348"/>
      <c r="DG849" s="348"/>
      <c r="DH849" s="348"/>
      <c r="DI849" s="348"/>
      <c r="DJ849" s="348"/>
      <c r="DK849" s="348"/>
      <c r="DL849" s="348"/>
      <c r="DM849" s="348"/>
      <c r="DN849" s="348"/>
      <c r="DO849" s="348"/>
      <c r="DP849" s="348"/>
      <c r="DQ849" s="348"/>
      <c r="DR849" s="348"/>
      <c r="DS849" s="348"/>
      <c r="DT849" s="1"/>
      <c r="DU849" s="1"/>
      <c r="DV849" s="1"/>
      <c r="DW849" s="1"/>
      <c r="DX849" s="1"/>
      <c r="DY849" s="1"/>
      <c r="DZ849" s="1"/>
      <c r="EA849" s="1"/>
      <c r="EB849" s="1"/>
      <c r="EC849" s="1"/>
      <c r="ED849" s="1"/>
      <c r="EE849" s="1"/>
      <c r="EF849" s="1"/>
      <c r="EG849" s="1"/>
      <c r="EH849" s="1"/>
      <c r="EI849" s="1"/>
      <c r="EJ849" s="1"/>
      <c r="EK849" s="1"/>
      <c r="EL849" s="1"/>
      <c r="EM849" s="1"/>
      <c r="EN849" s="1"/>
      <c r="EO849" s="1"/>
      <c r="EP849" s="1"/>
      <c r="EQ849" s="1"/>
      <c r="ER849" s="1"/>
      <c r="ES849" s="1"/>
      <c r="ET849" s="1"/>
      <c r="EU849" s="1"/>
      <c r="EV849" s="1"/>
      <c r="EW849" s="1"/>
      <c r="EX849" s="1"/>
      <c r="EY849" s="1"/>
      <c r="EZ849" s="1"/>
      <c r="FA849" s="1"/>
      <c r="FB849" s="1"/>
      <c r="FC849" s="1"/>
      <c r="FD849" s="1"/>
      <c r="FE849" s="1"/>
      <c r="FF849" s="1"/>
      <c r="FG849" s="1"/>
      <c r="FH849" s="1"/>
      <c r="FI849" s="1"/>
      <c r="FJ849" s="1"/>
      <c r="FK849" s="1"/>
      <c r="FL849" s="1"/>
      <c r="FM849" s="1"/>
      <c r="FN849" s="1"/>
      <c r="FO849" s="1"/>
      <c r="FP849" s="1"/>
      <c r="FQ849" s="1"/>
      <c r="FR849" s="1"/>
      <c r="FS849" s="1"/>
      <c r="FT849" s="1"/>
      <c r="FU849" s="1"/>
      <c r="FV849" s="1"/>
      <c r="FW849" s="1"/>
      <c r="FX849" s="1"/>
      <c r="FY849" s="1"/>
      <c r="FZ849" s="1"/>
      <c r="GA849" s="1"/>
      <c r="GB849" s="1"/>
      <c r="GC849" s="1"/>
      <c r="GD849" s="1"/>
      <c r="GE849" s="1"/>
      <c r="GF849" s="1"/>
      <c r="GG849" s="1"/>
      <c r="GH849" s="1"/>
      <c r="GI849" s="1"/>
      <c r="GJ849" s="1"/>
      <c r="GK849" s="1"/>
      <c r="GL849" s="1"/>
      <c r="GM849" s="1"/>
      <c r="GN849" s="1"/>
      <c r="GO849" s="1"/>
      <c r="GP849" s="1"/>
      <c r="GQ849" s="1"/>
      <c r="GR849" s="1"/>
      <c r="GS849" s="1"/>
      <c r="GT849" s="1"/>
      <c r="GU849" s="1"/>
      <c r="GV849" s="1"/>
      <c r="GW849" s="1"/>
      <c r="GX849" s="1"/>
      <c r="GY849" s="1"/>
      <c r="GZ849" s="1"/>
      <c r="HA849" s="1"/>
      <c r="HB849" s="1"/>
      <c r="HC849" s="1"/>
      <c r="HD849" s="1"/>
      <c r="HE849" s="1"/>
      <c r="HF849" s="1"/>
      <c r="HG849" s="1"/>
      <c r="HH849" s="1"/>
      <c r="HI849" s="1"/>
      <c r="HJ849" s="1"/>
      <c r="HK849" s="1"/>
      <c r="HL849" s="1"/>
      <c r="HM849" s="1"/>
      <c r="HN849" s="1"/>
      <c r="HO849" s="1"/>
      <c r="HP849" s="1"/>
      <c r="HQ849" s="1"/>
      <c r="HR849" s="1"/>
      <c r="HS849" s="1"/>
      <c r="HT849" s="1"/>
      <c r="HU849" s="1"/>
      <c r="HV849" s="1"/>
      <c r="HW849" s="1"/>
      <c r="HX849" s="1"/>
      <c r="HY849" s="1"/>
      <c r="HZ849" s="1"/>
      <c r="IA849" s="1"/>
      <c r="IB849" s="1"/>
      <c r="IC849" s="1"/>
      <c r="ID849" s="1"/>
      <c r="IE849" s="1"/>
      <c r="IF849" s="1"/>
      <c r="IG849" s="1"/>
      <c r="IH849" s="1"/>
      <c r="II849" s="1"/>
      <c r="IJ849" s="1"/>
      <c r="IK849" s="1"/>
      <c r="IL849" s="1"/>
      <c r="IM849" s="1"/>
      <c r="IN849" s="1"/>
      <c r="IO849" s="1"/>
      <c r="IP849" s="1"/>
      <c r="IQ849" s="1"/>
      <c r="IR849" s="1"/>
      <c r="IS849" s="1"/>
      <c r="IT849" s="1"/>
      <c r="IU849" s="1"/>
      <c r="IV849" s="1"/>
      <c r="IW849" s="1"/>
      <c r="IX849" s="1"/>
      <c r="IY849" s="1"/>
      <c r="IZ849" s="1"/>
      <c r="JA849" s="1"/>
      <c r="JB849" s="1"/>
      <c r="JC849" s="1"/>
      <c r="JD849" s="1"/>
    </row>
    <row r="850" spans="1:264" s="460" customFormat="1" x14ac:dyDescent="0.2">
      <c r="A850" s="568" t="s">
        <v>42</v>
      </c>
      <c r="B850" s="569"/>
      <c r="C850" s="568"/>
      <c r="D850" s="568"/>
      <c r="E850" s="568"/>
      <c r="F850" s="568"/>
      <c r="G850" s="568"/>
      <c r="H850" s="568"/>
      <c r="I850" s="568"/>
      <c r="J850" s="568"/>
      <c r="K850" s="568"/>
      <c r="L850" s="568"/>
      <c r="M850" s="568"/>
      <c r="N850" s="568"/>
      <c r="O850" s="568"/>
      <c r="P850" s="568"/>
      <c r="Q850" s="568"/>
      <c r="R850" s="568"/>
      <c r="S850" s="568"/>
      <c r="T850" s="568"/>
      <c r="U850" s="568"/>
      <c r="V850" s="568"/>
      <c r="W850" s="568"/>
      <c r="X850" s="568"/>
      <c r="Y850" s="568"/>
      <c r="Z850" s="568"/>
      <c r="AA850" s="568"/>
      <c r="AB850" s="568"/>
      <c r="AC850" s="568"/>
      <c r="AD850" s="568"/>
      <c r="AE850" s="568"/>
      <c r="AF850" s="568"/>
      <c r="AG850" s="568"/>
      <c r="AH850" s="568"/>
      <c r="AI850" s="568"/>
      <c r="AJ850" s="568"/>
      <c r="AK850" s="568"/>
      <c r="AL850" s="568"/>
      <c r="AM850" s="568"/>
      <c r="AN850" s="568"/>
      <c r="AO850" s="568"/>
      <c r="AP850" s="568"/>
      <c r="AQ850" s="568"/>
      <c r="AR850" s="568"/>
      <c r="AS850" s="568"/>
      <c r="AT850" s="568"/>
      <c r="AU850" s="568"/>
      <c r="AV850" s="568"/>
      <c r="AW850" s="568"/>
      <c r="AX850" s="568"/>
      <c r="AY850" s="568"/>
      <c r="AZ850" s="568"/>
      <c r="BA850" s="568"/>
      <c r="BB850" s="568"/>
      <c r="BC850" s="568"/>
      <c r="BD850" s="568"/>
      <c r="BE850" s="568"/>
      <c r="BF850" s="568"/>
      <c r="BG850" s="568"/>
      <c r="BH850" s="569"/>
      <c r="BI850" s="569"/>
      <c r="BJ850" s="569"/>
      <c r="BK850" s="569"/>
      <c r="BL850" s="569"/>
      <c r="BM850" s="569"/>
      <c r="BN850" s="569"/>
      <c r="BO850" s="569"/>
      <c r="BP850" s="569"/>
      <c r="BQ850" s="569"/>
      <c r="BR850" s="569"/>
      <c r="BS850" s="568"/>
      <c r="BT850" s="569"/>
      <c r="BU850" s="568"/>
      <c r="BV850" s="568"/>
      <c r="BW850" s="568"/>
      <c r="BX850" s="569"/>
      <c r="BY850" s="568"/>
      <c r="BZ850" s="568"/>
      <c r="CA850" s="568"/>
      <c r="CB850" s="569"/>
      <c r="CC850" s="568"/>
      <c r="CD850" s="568"/>
      <c r="CE850" s="568"/>
      <c r="CF850" s="569"/>
      <c r="CG850" s="568"/>
      <c r="CH850" s="568"/>
      <c r="CI850" s="568"/>
      <c r="CJ850" s="569"/>
      <c r="CK850" s="568"/>
      <c r="CL850" s="568"/>
      <c r="CM850" s="568"/>
      <c r="CN850" s="569"/>
      <c r="CO850" s="568"/>
      <c r="CP850" s="568"/>
      <c r="CQ850" s="568"/>
      <c r="CR850" s="569"/>
      <c r="CS850" s="568"/>
      <c r="CT850" s="568"/>
      <c r="CU850" s="568"/>
      <c r="CV850" s="569"/>
      <c r="CW850" s="568"/>
      <c r="CX850" s="568"/>
      <c r="CY850" s="568"/>
      <c r="CZ850" s="569"/>
      <c r="DA850" s="568"/>
      <c r="DB850" s="568"/>
      <c r="DC850" s="568"/>
      <c r="DD850" s="569"/>
      <c r="DE850" s="568"/>
      <c r="DF850" s="568"/>
      <c r="DG850" s="568"/>
      <c r="DH850" s="569"/>
      <c r="DI850" s="568"/>
      <c r="DJ850" s="568"/>
      <c r="DK850" s="568"/>
      <c r="DL850" s="569"/>
      <c r="DM850" s="568"/>
      <c r="DN850" s="568"/>
      <c r="DO850" s="568"/>
      <c r="DP850" s="569"/>
      <c r="DQ850" s="568"/>
      <c r="DR850" s="568"/>
      <c r="DS850" s="568"/>
      <c r="DT850" s="1"/>
      <c r="DU850" s="1"/>
      <c r="DV850" s="1"/>
      <c r="DW850" s="1"/>
      <c r="DX850" s="1"/>
      <c r="DY850" s="1"/>
      <c r="DZ850" s="1"/>
      <c r="EA850" s="1"/>
      <c r="EB850" s="1"/>
      <c r="EC850" s="1"/>
      <c r="ED850" s="1"/>
      <c r="EE850" s="1"/>
      <c r="EF850" s="1"/>
      <c r="EG850" s="1"/>
      <c r="EH850" s="1"/>
      <c r="EI850" s="1"/>
      <c r="EJ850" s="1"/>
      <c r="EK850" s="1"/>
      <c r="EL850" s="1"/>
      <c r="EM850" s="1"/>
      <c r="EN850" s="1"/>
      <c r="EO850" s="1"/>
      <c r="EP850" s="1"/>
      <c r="EQ850" s="1"/>
      <c r="ER850" s="1"/>
      <c r="ES850" s="1"/>
      <c r="ET850" s="1"/>
      <c r="EU850" s="1"/>
      <c r="EV850" s="1"/>
      <c r="EW850" s="1"/>
      <c r="EX850" s="1"/>
      <c r="EY850" s="1"/>
      <c r="EZ850" s="1"/>
      <c r="FA850" s="1"/>
      <c r="FB850" s="1"/>
      <c r="FC850" s="1"/>
      <c r="FD850" s="1"/>
      <c r="FE850" s="1"/>
      <c r="FF850" s="1"/>
      <c r="FG850" s="1"/>
      <c r="FH850" s="1"/>
      <c r="FI850" s="1"/>
      <c r="FJ850" s="1"/>
      <c r="FK850" s="1"/>
      <c r="FL850" s="1"/>
      <c r="FM850" s="1"/>
      <c r="FN850" s="1"/>
      <c r="FO850" s="1"/>
      <c r="FP850" s="1"/>
      <c r="FQ850" s="1"/>
      <c r="FR850" s="1"/>
      <c r="FS850" s="1"/>
      <c r="FT850" s="1"/>
      <c r="FU850" s="1"/>
      <c r="FV850" s="1"/>
      <c r="FW850" s="1"/>
      <c r="FX850" s="1"/>
      <c r="FY850" s="1"/>
      <c r="FZ850" s="1"/>
      <c r="GA850" s="1"/>
      <c r="GB850" s="1"/>
      <c r="GC850" s="1"/>
      <c r="GD850" s="1"/>
      <c r="GE850" s="1"/>
      <c r="GF850" s="1"/>
      <c r="GG850" s="1"/>
      <c r="GH850" s="1"/>
      <c r="GI850" s="1"/>
      <c r="GJ850" s="1"/>
      <c r="GK850" s="1"/>
      <c r="GL850" s="1"/>
      <c r="GM850" s="1"/>
      <c r="GN850" s="1"/>
      <c r="GO850" s="1"/>
      <c r="GP850" s="1"/>
      <c r="GQ850" s="1"/>
      <c r="GR850" s="1"/>
      <c r="GS850" s="1"/>
      <c r="GT850" s="1"/>
      <c r="GU850" s="1"/>
      <c r="GV850" s="1"/>
      <c r="GW850" s="1"/>
      <c r="GX850" s="1"/>
      <c r="GY850" s="1"/>
      <c r="GZ850" s="1"/>
      <c r="HA850" s="1"/>
      <c r="HB850" s="1"/>
      <c r="HC850" s="1"/>
      <c r="HD850" s="1"/>
      <c r="HE850" s="1"/>
      <c r="HF850" s="1"/>
      <c r="HG850" s="1"/>
      <c r="HH850" s="1"/>
      <c r="HI850" s="1"/>
      <c r="HJ850" s="1"/>
      <c r="HK850" s="1"/>
      <c r="HL850" s="1"/>
      <c r="HM850" s="1"/>
      <c r="HN850" s="1"/>
      <c r="HO850" s="1"/>
      <c r="HP850" s="1"/>
      <c r="HQ850" s="1"/>
      <c r="HR850" s="1"/>
      <c r="HS850" s="1"/>
      <c r="HT850" s="1"/>
      <c r="HU850" s="1"/>
      <c r="HV850" s="1"/>
      <c r="HW850" s="1"/>
      <c r="HX850" s="1"/>
      <c r="HY850" s="1"/>
      <c r="HZ850" s="1"/>
      <c r="IA850" s="1"/>
      <c r="IB850" s="1"/>
      <c r="IC850" s="1"/>
      <c r="ID850" s="1"/>
      <c r="IE850" s="1"/>
      <c r="IF850" s="1"/>
      <c r="IG850" s="1"/>
      <c r="IH850" s="1"/>
      <c r="II850" s="1"/>
      <c r="IJ850" s="1"/>
      <c r="IK850" s="1"/>
      <c r="IL850" s="1"/>
      <c r="IM850" s="1"/>
      <c r="IN850" s="1"/>
      <c r="IO850" s="1"/>
      <c r="IP850" s="1"/>
      <c r="IQ850" s="1"/>
      <c r="IR850" s="1"/>
      <c r="IS850" s="1"/>
      <c r="IT850" s="1"/>
      <c r="IU850" s="1"/>
      <c r="IV850" s="1"/>
      <c r="IW850" s="1"/>
      <c r="IX850" s="1"/>
      <c r="IY850" s="1"/>
      <c r="IZ850" s="1"/>
      <c r="JA850" s="1"/>
      <c r="JB850" s="1"/>
      <c r="JC850" s="1"/>
      <c r="JD850" s="1"/>
    </row>
    <row r="851" spans="1:264" s="347" customFormat="1" x14ac:dyDescent="0.2">
      <c r="B851" s="348"/>
      <c r="BH851" s="348"/>
      <c r="BI851" s="348"/>
      <c r="BJ851" s="348"/>
      <c r="BK851" s="348"/>
      <c r="BL851" s="348"/>
      <c r="BM851" s="348"/>
      <c r="BN851" s="348"/>
      <c r="BO851" s="348"/>
      <c r="BP851" s="348"/>
      <c r="BQ851" s="348"/>
      <c r="BR851" s="348"/>
      <c r="BT851" s="348"/>
      <c r="BX851" s="348"/>
      <c r="CB851" s="348"/>
      <c r="CF851" s="348"/>
      <c r="CJ851" s="351"/>
      <c r="CK851" s="351"/>
      <c r="CL851" s="351"/>
      <c r="CN851" s="351"/>
      <c r="CO851" s="351"/>
      <c r="CP851" s="351"/>
      <c r="CR851" s="348"/>
      <c r="CV851" s="348"/>
      <c r="CZ851" s="348"/>
      <c r="DD851" s="348"/>
      <c r="DH851" s="348"/>
      <c r="DL851" s="348"/>
      <c r="DP851" s="348"/>
      <c r="DT851" s="1"/>
      <c r="DU851" s="1"/>
      <c r="DV851" s="1"/>
      <c r="DW851" s="1"/>
      <c r="DX851" s="1"/>
      <c r="DY851" s="1"/>
      <c r="DZ851" s="1"/>
      <c r="EA851" s="1"/>
      <c r="EB851" s="1"/>
      <c r="EC851" s="1"/>
      <c r="ED851" s="1"/>
      <c r="EE851" s="1"/>
      <c r="EF851" s="1"/>
      <c r="EG851" s="1"/>
      <c r="EH851" s="1"/>
      <c r="EI851" s="1"/>
      <c r="EJ851" s="1"/>
      <c r="EK851" s="1"/>
      <c r="EL851" s="1"/>
      <c r="EM851" s="1"/>
      <c r="EN851" s="1"/>
      <c r="EO851" s="1"/>
      <c r="EP851" s="1"/>
      <c r="EQ851" s="1"/>
      <c r="ER851" s="1"/>
      <c r="ES851" s="1"/>
      <c r="ET851" s="1"/>
      <c r="EU851" s="1"/>
      <c r="EV851" s="1"/>
      <c r="EW851" s="1"/>
      <c r="EX851" s="1"/>
      <c r="EY851" s="1"/>
      <c r="EZ851" s="1"/>
      <c r="FA851" s="1"/>
      <c r="FB851" s="1"/>
      <c r="FC851" s="1"/>
      <c r="FD851" s="1"/>
      <c r="FE851" s="1"/>
      <c r="FF851" s="1"/>
      <c r="FG851" s="1"/>
      <c r="FH851" s="1"/>
      <c r="FI851" s="1"/>
      <c r="FJ851" s="1"/>
      <c r="FK851" s="1"/>
      <c r="FL851" s="1"/>
      <c r="FM851" s="1"/>
      <c r="FN851" s="1"/>
      <c r="FO851" s="1"/>
      <c r="FP851" s="1"/>
      <c r="FQ851" s="1"/>
      <c r="FR851" s="1"/>
      <c r="FS851" s="1"/>
      <c r="FT851" s="1"/>
      <c r="FU851" s="1"/>
      <c r="FV851" s="1"/>
      <c r="FW851" s="1"/>
      <c r="FX851" s="1"/>
      <c r="FY851" s="1"/>
      <c r="FZ851" s="1"/>
      <c r="GA851" s="1"/>
      <c r="GB851" s="1"/>
      <c r="GC851" s="1"/>
      <c r="GD851" s="1"/>
      <c r="GE851" s="1"/>
      <c r="GF851" s="1"/>
      <c r="GG851" s="1"/>
      <c r="GH851" s="1"/>
      <c r="GI851" s="1"/>
      <c r="GJ851" s="1"/>
      <c r="GK851" s="1"/>
      <c r="GL851" s="1"/>
      <c r="GM851" s="1"/>
      <c r="GN851" s="1"/>
      <c r="GO851" s="1"/>
      <c r="GP851" s="1"/>
      <c r="GQ851" s="1"/>
      <c r="GR851" s="1"/>
      <c r="GS851" s="1"/>
      <c r="GT851" s="1"/>
      <c r="GU851" s="1"/>
      <c r="GV851" s="1"/>
      <c r="GW851" s="1"/>
      <c r="GX851" s="1"/>
      <c r="GY851" s="1"/>
      <c r="GZ851" s="1"/>
      <c r="HA851" s="1"/>
      <c r="HB851" s="1"/>
      <c r="HC851" s="1"/>
      <c r="HD851" s="1"/>
      <c r="HE851" s="1"/>
      <c r="HF851" s="1"/>
      <c r="HG851" s="1"/>
      <c r="HH851" s="1"/>
      <c r="HI851" s="1"/>
      <c r="HJ851" s="1"/>
      <c r="HK851" s="1"/>
      <c r="HL851" s="1"/>
      <c r="HM851" s="1"/>
      <c r="HN851" s="1"/>
      <c r="HO851" s="1"/>
      <c r="HP851" s="1"/>
      <c r="HQ851" s="1"/>
      <c r="HR851" s="1"/>
      <c r="HS851" s="1"/>
      <c r="HT851" s="1"/>
      <c r="HU851" s="1"/>
      <c r="HV851" s="1"/>
      <c r="HW851" s="1"/>
      <c r="HX851" s="1"/>
      <c r="HY851" s="1"/>
      <c r="HZ851" s="1"/>
      <c r="IA851" s="1"/>
      <c r="IB851" s="1"/>
      <c r="IC851" s="1"/>
      <c r="ID851" s="1"/>
      <c r="IE851" s="1"/>
      <c r="IF851" s="1"/>
      <c r="IG851" s="1"/>
      <c r="IH851" s="1"/>
      <c r="II851" s="1"/>
      <c r="IJ851" s="1"/>
      <c r="IK851" s="1"/>
      <c r="IL851" s="1"/>
      <c r="IM851" s="1"/>
      <c r="IN851" s="1"/>
      <c r="IO851" s="1"/>
      <c r="IP851" s="1"/>
      <c r="IQ851" s="1"/>
      <c r="IR851" s="1"/>
      <c r="IS851" s="1"/>
      <c r="IT851" s="1"/>
      <c r="IU851" s="1"/>
      <c r="IV851" s="1"/>
      <c r="IW851" s="1"/>
      <c r="IX851" s="1"/>
      <c r="IY851" s="1"/>
      <c r="IZ851" s="1"/>
      <c r="JA851" s="1"/>
      <c r="JB851" s="1"/>
      <c r="JC851" s="1"/>
      <c r="JD851" s="1"/>
    </row>
    <row r="852" spans="1:264" s="347" customFormat="1" x14ac:dyDescent="0.2">
      <c r="A852" s="347" t="s">
        <v>598</v>
      </c>
      <c r="B852" s="348"/>
      <c r="BH852" s="348"/>
      <c r="BI852" s="348"/>
      <c r="BJ852" s="348"/>
      <c r="BK852" s="348"/>
      <c r="BL852" s="348"/>
      <c r="BM852" s="348"/>
      <c r="BN852" s="348"/>
      <c r="BO852" s="348"/>
      <c r="BP852" s="351">
        <f t="shared" ref="BP852:BR853" si="752">-BP243</f>
        <v>456</v>
      </c>
      <c r="BQ852" s="351">
        <f t="shared" si="752"/>
        <v>549</v>
      </c>
      <c r="BR852" s="351">
        <f t="shared" si="752"/>
        <v>1005</v>
      </c>
      <c r="BT852" s="351">
        <f t="shared" ref="BT852:BV853" si="753">-BT243</f>
        <v>525</v>
      </c>
      <c r="BU852" s="351">
        <f t="shared" si="753"/>
        <v>675</v>
      </c>
      <c r="BV852" s="351">
        <f t="shared" si="753"/>
        <v>1200</v>
      </c>
      <c r="BX852" s="351">
        <f t="shared" ref="BX852:BZ853" si="754">-BX243</f>
        <v>610</v>
      </c>
      <c r="BY852" s="351">
        <f t="shared" si="754"/>
        <v>556</v>
      </c>
      <c r="BZ852" s="351">
        <f t="shared" si="754"/>
        <v>1166</v>
      </c>
      <c r="CB852" s="351">
        <f t="shared" ref="CB852:CD853" si="755">-CB243</f>
        <v>571</v>
      </c>
      <c r="CC852" s="351">
        <f t="shared" si="755"/>
        <v>492</v>
      </c>
      <c r="CD852" s="351">
        <f t="shared" si="755"/>
        <v>1063</v>
      </c>
      <c r="CF852" s="351">
        <f t="shared" ref="CF852:CH853" si="756">-CF243</f>
        <v>581</v>
      </c>
      <c r="CG852" s="351">
        <f t="shared" si="756"/>
        <v>534</v>
      </c>
      <c r="CH852" s="351">
        <f t="shared" si="756"/>
        <v>1115</v>
      </c>
      <c r="CJ852" s="351">
        <f t="shared" ref="CJ852:CL853" si="757">-CJ243</f>
        <v>486</v>
      </c>
      <c r="CK852" s="351">
        <f t="shared" si="757"/>
        <v>540</v>
      </c>
      <c r="CL852" s="351">
        <f t="shared" si="757"/>
        <v>1026</v>
      </c>
      <c r="CN852" s="351">
        <f t="shared" ref="CN852:CP853" si="758">-CN243</f>
        <v>335</v>
      </c>
      <c r="CO852" s="351">
        <f t="shared" si="758"/>
        <v>304</v>
      </c>
      <c r="CP852" s="351">
        <f t="shared" si="758"/>
        <v>639</v>
      </c>
      <c r="CR852" s="351">
        <f t="shared" ref="CR852:CT853" si="759">-CR243</f>
        <v>174</v>
      </c>
      <c r="CS852" s="351">
        <f t="shared" si="759"/>
        <v>169</v>
      </c>
      <c r="CT852" s="351">
        <f t="shared" si="759"/>
        <v>343</v>
      </c>
      <c r="CV852" s="351">
        <f t="shared" ref="CV852:CX853" si="760">-CV243</f>
        <v>222</v>
      </c>
      <c r="CW852" s="351">
        <f t="shared" si="760"/>
        <v>301</v>
      </c>
      <c r="CX852" s="351">
        <f t="shared" si="760"/>
        <v>523</v>
      </c>
      <c r="CZ852" s="351">
        <f t="shared" ref="CZ852:DB853" si="761">-CZ243</f>
        <v>281</v>
      </c>
      <c r="DA852" s="351">
        <f t="shared" si="761"/>
        <v>294</v>
      </c>
      <c r="DB852" s="351">
        <f t="shared" si="761"/>
        <v>575</v>
      </c>
      <c r="DD852" s="351">
        <f t="shared" ref="DD852:DF853" si="762">-DD243</f>
        <v>251</v>
      </c>
      <c r="DE852" s="351">
        <f t="shared" si="762"/>
        <v>337</v>
      </c>
      <c r="DF852" s="351">
        <f t="shared" si="762"/>
        <v>588</v>
      </c>
      <c r="DH852" s="351">
        <f t="shared" ref="DH852" si="763">-DH243</f>
        <v>338</v>
      </c>
      <c r="DI852" s="351">
        <f t="shared" ref="DI852:DJ853" ca="1" si="764">-DI243</f>
        <v>411.35249358368139</v>
      </c>
      <c r="DJ852" s="351">
        <f t="shared" ca="1" si="764"/>
        <v>749.35249358368139</v>
      </c>
      <c r="DL852" s="351">
        <f t="shared" ref="DL852:DN853" ca="1" si="765">-DL243</f>
        <v>485.25009772822142</v>
      </c>
      <c r="DM852" s="351">
        <f t="shared" ca="1" si="765"/>
        <v>523.05710154994892</v>
      </c>
      <c r="DN852" s="351">
        <f t="shared" ca="1" si="765"/>
        <v>1008.3071992781704</v>
      </c>
      <c r="DP852" s="351">
        <f t="shared" ref="DP852:DR853" ca="1" si="766">-DP243</f>
        <v>464.42503771653548</v>
      </c>
      <c r="DQ852" s="351">
        <f t="shared" ca="1" si="766"/>
        <v>450.86132218778187</v>
      </c>
      <c r="DR852" s="351">
        <f t="shared" ca="1" si="766"/>
        <v>915.28635990431735</v>
      </c>
      <c r="DT852" s="1"/>
      <c r="DU852" s="1"/>
      <c r="DV852" s="1"/>
      <c r="DW852" s="1"/>
      <c r="DX852" s="1"/>
      <c r="DY852" s="1"/>
      <c r="DZ852" s="1"/>
      <c r="EA852" s="1"/>
      <c r="EB852" s="1"/>
      <c r="EC852" s="1"/>
      <c r="ED852" s="1"/>
      <c r="EE852" s="1"/>
      <c r="EF852" s="1"/>
      <c r="EG852" s="1"/>
      <c r="EH852" s="1"/>
      <c r="EI852" s="1"/>
      <c r="EJ852" s="1"/>
      <c r="EK852" s="1"/>
      <c r="EL852" s="1"/>
      <c r="EM852" s="1"/>
      <c r="EN852" s="1"/>
      <c r="EO852" s="1"/>
      <c r="EP852" s="1"/>
      <c r="EQ852" s="1"/>
      <c r="ER852" s="1"/>
      <c r="ES852" s="1"/>
      <c r="ET852" s="1"/>
      <c r="EU852" s="1"/>
      <c r="EV852" s="1"/>
      <c r="EW852" s="1"/>
      <c r="EX852" s="1"/>
      <c r="EY852" s="1"/>
      <c r="EZ852" s="1"/>
      <c r="FA852" s="1"/>
      <c r="FB852" s="1"/>
      <c r="FC852" s="1"/>
      <c r="FD852" s="1"/>
      <c r="FE852" s="1"/>
      <c r="FF852" s="1"/>
      <c r="FG852" s="1"/>
      <c r="FH852" s="1"/>
      <c r="FI852" s="1"/>
      <c r="FJ852" s="1"/>
      <c r="FK852" s="1"/>
      <c r="FL852" s="1"/>
      <c r="FM852" s="1"/>
      <c r="FN852" s="1"/>
      <c r="FO852" s="1"/>
      <c r="FP852" s="1"/>
      <c r="FQ852" s="1"/>
      <c r="FR852" s="1"/>
      <c r="FS852" s="1"/>
      <c r="FT852" s="1"/>
      <c r="FU852" s="1"/>
      <c r="FV852" s="1"/>
      <c r="FW852" s="1"/>
      <c r="FX852" s="1"/>
      <c r="FY852" s="1"/>
      <c r="FZ852" s="1"/>
      <c r="GA852" s="1"/>
      <c r="GB852" s="1"/>
      <c r="GC852" s="1"/>
      <c r="GD852" s="1"/>
      <c r="GE852" s="1"/>
      <c r="GF852" s="1"/>
      <c r="GG852" s="1"/>
      <c r="GH852" s="1"/>
      <c r="GI852" s="1"/>
      <c r="GJ852" s="1"/>
      <c r="GK852" s="1"/>
      <c r="GL852" s="1"/>
      <c r="GM852" s="1"/>
      <c r="GN852" s="1"/>
      <c r="GO852" s="1"/>
      <c r="GP852" s="1"/>
      <c r="GQ852" s="1"/>
      <c r="GR852" s="1"/>
      <c r="GS852" s="1"/>
      <c r="GT852" s="1"/>
      <c r="GU852" s="1"/>
      <c r="GV852" s="1"/>
      <c r="GW852" s="1"/>
      <c r="GX852" s="1"/>
      <c r="GY852" s="1"/>
      <c r="GZ852" s="1"/>
      <c r="HA852" s="1"/>
      <c r="HB852" s="1"/>
      <c r="HC852" s="1"/>
      <c r="HD852" s="1"/>
      <c r="HE852" s="1"/>
      <c r="HF852" s="1"/>
      <c r="HG852" s="1"/>
      <c r="HH852" s="1"/>
      <c r="HI852" s="1"/>
      <c r="HJ852" s="1"/>
      <c r="HK852" s="1"/>
      <c r="HL852" s="1"/>
      <c r="HM852" s="1"/>
      <c r="HN852" s="1"/>
      <c r="HO852" s="1"/>
      <c r="HP852" s="1"/>
      <c r="HQ852" s="1"/>
      <c r="HR852" s="1"/>
      <c r="HS852" s="1"/>
      <c r="HT852" s="1"/>
      <c r="HU852" s="1"/>
      <c r="HV852" s="1"/>
      <c r="HW852" s="1"/>
      <c r="HX852" s="1"/>
      <c r="HY852" s="1"/>
      <c r="HZ852" s="1"/>
      <c r="IA852" s="1"/>
      <c r="IB852" s="1"/>
      <c r="IC852" s="1"/>
      <c r="ID852" s="1"/>
      <c r="IE852" s="1"/>
      <c r="IF852" s="1"/>
      <c r="IG852" s="1"/>
      <c r="IH852" s="1"/>
      <c r="II852" s="1"/>
      <c r="IJ852" s="1"/>
      <c r="IK852" s="1"/>
      <c r="IL852" s="1"/>
      <c r="IM852" s="1"/>
      <c r="IN852" s="1"/>
      <c r="IO852" s="1"/>
      <c r="IP852" s="1"/>
      <c r="IQ852" s="1"/>
      <c r="IR852" s="1"/>
      <c r="IS852" s="1"/>
      <c r="IT852" s="1"/>
      <c r="IU852" s="1"/>
      <c r="IV852" s="1"/>
      <c r="IW852" s="1"/>
      <c r="IX852" s="1"/>
      <c r="IY852" s="1"/>
      <c r="IZ852" s="1"/>
      <c r="JA852" s="1"/>
      <c r="JB852" s="1"/>
      <c r="JC852" s="1"/>
      <c r="JD852" s="1"/>
    </row>
    <row r="853" spans="1:264" s="347" customFormat="1" x14ac:dyDescent="0.2">
      <c r="A853" s="347" t="s">
        <v>599</v>
      </c>
      <c r="B853" s="348"/>
      <c r="BH853" s="348"/>
      <c r="BI853" s="348"/>
      <c r="BJ853" s="348"/>
      <c r="BK853" s="348"/>
      <c r="BL853" s="348"/>
      <c r="BM853" s="348"/>
      <c r="BN853" s="348"/>
      <c r="BO853" s="348"/>
      <c r="BP853" s="351">
        <f t="shared" si="752"/>
        <v>-16</v>
      </c>
      <c r="BQ853" s="351">
        <f t="shared" si="752"/>
        <v>-1</v>
      </c>
      <c r="BR853" s="351">
        <f t="shared" si="752"/>
        <v>-17</v>
      </c>
      <c r="BT853" s="351">
        <f t="shared" si="753"/>
        <v>39</v>
      </c>
      <c r="BU853" s="351">
        <f t="shared" si="753"/>
        <v>17</v>
      </c>
      <c r="BV853" s="351">
        <f t="shared" si="753"/>
        <v>56</v>
      </c>
      <c r="BX853" s="351">
        <f t="shared" si="754"/>
        <v>-11</v>
      </c>
      <c r="BY853" s="351">
        <f t="shared" si="754"/>
        <v>-60</v>
      </c>
      <c r="BZ853" s="351">
        <f t="shared" si="754"/>
        <v>-71</v>
      </c>
      <c r="CB853" s="351">
        <f t="shared" si="755"/>
        <v>25</v>
      </c>
      <c r="CC853" s="351">
        <f t="shared" si="755"/>
        <v>-9</v>
      </c>
      <c r="CD853" s="351">
        <f t="shared" si="755"/>
        <v>16</v>
      </c>
      <c r="CF853" s="351">
        <f t="shared" si="756"/>
        <v>-4</v>
      </c>
      <c r="CG853" s="351">
        <f t="shared" si="756"/>
        <v>90</v>
      </c>
      <c r="CH853" s="351">
        <f t="shared" si="756"/>
        <v>86</v>
      </c>
      <c r="CJ853" s="351">
        <f t="shared" si="757"/>
        <v>163</v>
      </c>
      <c r="CK853" s="351">
        <f t="shared" si="757"/>
        <v>1329</v>
      </c>
      <c r="CL853" s="351">
        <f t="shared" si="757"/>
        <v>1492</v>
      </c>
      <c r="CN853" s="351">
        <f t="shared" si="758"/>
        <v>547</v>
      </c>
      <c r="CO853" s="351">
        <f t="shared" si="758"/>
        <v>-632</v>
      </c>
      <c r="CP853" s="351">
        <f t="shared" si="758"/>
        <v>-85</v>
      </c>
      <c r="CR853" s="351">
        <f t="shared" si="759"/>
        <v>-249</v>
      </c>
      <c r="CS853" s="351">
        <f t="shared" si="759"/>
        <v>-451</v>
      </c>
      <c r="CT853" s="351">
        <f t="shared" si="759"/>
        <v>-700</v>
      </c>
      <c r="CV853" s="351">
        <f t="shared" si="760"/>
        <v>289</v>
      </c>
      <c r="CW853" s="351">
        <f t="shared" si="760"/>
        <v>296</v>
      </c>
      <c r="CX853" s="351">
        <f t="shared" si="760"/>
        <v>585</v>
      </c>
      <c r="CZ853" s="351">
        <f t="shared" si="761"/>
        <v>134</v>
      </c>
      <c r="DA853" s="351">
        <f t="shared" si="761"/>
        <v>93</v>
      </c>
      <c r="DB853" s="351">
        <f t="shared" si="761"/>
        <v>227</v>
      </c>
      <c r="DD853" s="351">
        <f t="shared" si="762"/>
        <v>69</v>
      </c>
      <c r="DE853" s="351">
        <f t="shared" si="762"/>
        <v>69</v>
      </c>
      <c r="DF853" s="351">
        <f t="shared" si="762"/>
        <v>138</v>
      </c>
      <c r="DH853" s="351">
        <f t="shared" ref="DH853" si="767">-DH244</f>
        <v>-19</v>
      </c>
      <c r="DI853" s="351">
        <f t="shared" ca="1" si="764"/>
        <v>19.303884923665464</v>
      </c>
      <c r="DJ853" s="351">
        <f t="shared" ca="1" si="764"/>
        <v>0.30388492366546416</v>
      </c>
      <c r="DL853" s="351">
        <f t="shared" ca="1" si="765"/>
        <v>21.716207034733088</v>
      </c>
      <c r="DM853" s="351">
        <f t="shared" ca="1" si="765"/>
        <v>48.293062631310931</v>
      </c>
      <c r="DN853" s="351">
        <f t="shared" ca="1" si="765"/>
        <v>70.00926966604402</v>
      </c>
      <c r="DP853" s="351">
        <f t="shared" ca="1" si="766"/>
        <v>128.35686976036959</v>
      </c>
      <c r="DQ853" s="351">
        <f t="shared" ca="1" si="766"/>
        <v>150.20653978547853</v>
      </c>
      <c r="DR853" s="351">
        <f t="shared" ca="1" si="766"/>
        <v>278.56340954584812</v>
      </c>
      <c r="DT853" s="1"/>
      <c r="DU853" s="1"/>
      <c r="DV853" s="1"/>
      <c r="DW853" s="1"/>
      <c r="DX853" s="1"/>
      <c r="DY853" s="1"/>
      <c r="DZ853" s="1"/>
      <c r="EA853" s="1"/>
      <c r="EB853" s="1"/>
      <c r="EC853" s="1"/>
      <c r="ED853" s="1"/>
      <c r="EE853" s="1"/>
      <c r="EF853" s="1"/>
      <c r="EG853" s="1"/>
      <c r="EH853" s="1"/>
      <c r="EI853" s="1"/>
      <c r="EJ853" s="1"/>
      <c r="EK853" s="1"/>
      <c r="EL853" s="1"/>
      <c r="EM853" s="1"/>
      <c r="EN853" s="1"/>
      <c r="EO853" s="1"/>
      <c r="EP853" s="1"/>
      <c r="EQ853" s="1"/>
      <c r="ER853" s="1"/>
      <c r="ES853" s="1"/>
      <c r="ET853" s="1"/>
      <c r="EU853" s="1"/>
      <c r="EV853" s="1"/>
      <c r="EW853" s="1"/>
      <c r="EX853" s="1"/>
      <c r="EY853" s="1"/>
      <c r="EZ853" s="1"/>
      <c r="FA853" s="1"/>
      <c r="FB853" s="1"/>
      <c r="FC853" s="1"/>
      <c r="FD853" s="1"/>
      <c r="FE853" s="1"/>
      <c r="FF853" s="1"/>
      <c r="FG853" s="1"/>
      <c r="FH853" s="1"/>
      <c r="FI853" s="1"/>
      <c r="FJ853" s="1"/>
      <c r="FK853" s="1"/>
      <c r="FL853" s="1"/>
      <c r="FM853" s="1"/>
      <c r="FN853" s="1"/>
      <c r="FO853" s="1"/>
      <c r="FP853" s="1"/>
      <c r="FQ853" s="1"/>
      <c r="FR853" s="1"/>
      <c r="FS853" s="1"/>
      <c r="FT853" s="1"/>
      <c r="FU853" s="1"/>
      <c r="FV853" s="1"/>
      <c r="FW853" s="1"/>
      <c r="FX853" s="1"/>
      <c r="FY853" s="1"/>
      <c r="FZ853" s="1"/>
      <c r="GA853" s="1"/>
      <c r="GB853" s="1"/>
      <c r="GC853" s="1"/>
      <c r="GD853" s="1"/>
      <c r="GE853" s="1"/>
      <c r="GF853" s="1"/>
      <c r="GG853" s="1"/>
      <c r="GH853" s="1"/>
      <c r="GI853" s="1"/>
      <c r="GJ853" s="1"/>
      <c r="GK853" s="1"/>
      <c r="GL853" s="1"/>
      <c r="GM853" s="1"/>
      <c r="GN853" s="1"/>
      <c r="GO853" s="1"/>
      <c r="GP853" s="1"/>
      <c r="GQ853" s="1"/>
      <c r="GR853" s="1"/>
      <c r="GS853" s="1"/>
      <c r="GT853" s="1"/>
      <c r="GU853" s="1"/>
      <c r="GV853" s="1"/>
      <c r="GW853" s="1"/>
      <c r="GX853" s="1"/>
      <c r="GY853" s="1"/>
      <c r="GZ853" s="1"/>
      <c r="HA853" s="1"/>
      <c r="HB853" s="1"/>
      <c r="HC853" s="1"/>
      <c r="HD853" s="1"/>
      <c r="HE853" s="1"/>
      <c r="HF853" s="1"/>
      <c r="HG853" s="1"/>
      <c r="HH853" s="1"/>
      <c r="HI853" s="1"/>
      <c r="HJ853" s="1"/>
      <c r="HK853" s="1"/>
      <c r="HL853" s="1"/>
      <c r="HM853" s="1"/>
      <c r="HN853" s="1"/>
      <c r="HO853" s="1"/>
      <c r="HP853" s="1"/>
      <c r="HQ853" s="1"/>
      <c r="HR853" s="1"/>
      <c r="HS853" s="1"/>
      <c r="HT853" s="1"/>
      <c r="HU853" s="1"/>
      <c r="HV853" s="1"/>
      <c r="HW853" s="1"/>
      <c r="HX853" s="1"/>
      <c r="HY853" s="1"/>
      <c r="HZ853" s="1"/>
      <c r="IA853" s="1"/>
      <c r="IB853" s="1"/>
      <c r="IC853" s="1"/>
      <c r="ID853" s="1"/>
      <c r="IE853" s="1"/>
      <c r="IF853" s="1"/>
      <c r="IG853" s="1"/>
      <c r="IH853" s="1"/>
      <c r="II853" s="1"/>
      <c r="IJ853" s="1"/>
      <c r="IK853" s="1"/>
      <c r="IL853" s="1"/>
      <c r="IM853" s="1"/>
      <c r="IN853" s="1"/>
      <c r="IO853" s="1"/>
      <c r="IP853" s="1"/>
      <c r="IQ853" s="1"/>
      <c r="IR853" s="1"/>
      <c r="IS853" s="1"/>
      <c r="IT853" s="1"/>
      <c r="IU853" s="1"/>
      <c r="IV853" s="1"/>
      <c r="IW853" s="1"/>
      <c r="IX853" s="1"/>
      <c r="IY853" s="1"/>
      <c r="IZ853" s="1"/>
      <c r="JA853" s="1"/>
      <c r="JB853" s="1"/>
      <c r="JC853" s="1"/>
      <c r="JD853" s="1"/>
    </row>
    <row r="854" spans="1:264" s="347" customFormat="1" x14ac:dyDescent="0.2">
      <c r="A854" s="347" t="s">
        <v>600</v>
      </c>
      <c r="B854" s="348"/>
      <c r="BH854" s="351">
        <f>-BH32</f>
        <v>616</v>
      </c>
      <c r="BI854" s="351">
        <f>-BI32</f>
        <v>466</v>
      </c>
      <c r="BJ854" s="351">
        <f>-BJ32</f>
        <v>1082</v>
      </c>
      <c r="BK854" s="348"/>
      <c r="BL854" s="351">
        <f>-BL32</f>
        <v>457</v>
      </c>
      <c r="BM854" s="351">
        <f>-BM32</f>
        <v>496</v>
      </c>
      <c r="BN854" s="351">
        <f>-BN32</f>
        <v>953</v>
      </c>
      <c r="BO854" s="348"/>
      <c r="BP854" s="351">
        <f>-BP32</f>
        <v>440</v>
      </c>
      <c r="BQ854" s="351">
        <f>-BQ32</f>
        <v>548</v>
      </c>
      <c r="BR854" s="351">
        <f>-BR32</f>
        <v>988</v>
      </c>
      <c r="BT854" s="351">
        <f>-BT32</f>
        <v>564</v>
      </c>
      <c r="BU854" s="351">
        <f>-BU32</f>
        <v>692</v>
      </c>
      <c r="BV854" s="351">
        <f>-BV32</f>
        <v>1256</v>
      </c>
      <c r="BX854" s="351">
        <f>-BX32</f>
        <v>599</v>
      </c>
      <c r="BY854" s="351">
        <f>-BY32</f>
        <v>496</v>
      </c>
      <c r="BZ854" s="351">
        <f>-BZ32</f>
        <v>1095</v>
      </c>
      <c r="CB854" s="351">
        <f>-CB32</f>
        <v>596</v>
      </c>
      <c r="CC854" s="351">
        <f>-CC32</f>
        <v>483</v>
      </c>
      <c r="CD854" s="351">
        <f>-CD32</f>
        <v>1079</v>
      </c>
      <c r="CF854" s="351">
        <f>-CF32</f>
        <v>577</v>
      </c>
      <c r="CG854" s="351">
        <f>-CG32</f>
        <v>624</v>
      </c>
      <c r="CH854" s="351">
        <f>-CH32</f>
        <v>1201</v>
      </c>
      <c r="CJ854" s="351">
        <f>-CJ32</f>
        <v>649</v>
      </c>
      <c r="CK854" s="351">
        <f>-CK32</f>
        <v>1869</v>
      </c>
      <c r="CL854" s="351">
        <f>-CL32</f>
        <v>2518</v>
      </c>
      <c r="CN854" s="351">
        <f>-CN32</f>
        <v>882</v>
      </c>
      <c r="CO854" s="351">
        <f>-CO32</f>
        <v>-328</v>
      </c>
      <c r="CP854" s="351">
        <f>-CP32</f>
        <v>554</v>
      </c>
      <c r="CR854" s="351">
        <f>-CR32</f>
        <v>-75</v>
      </c>
      <c r="CS854" s="351">
        <f>-CS32</f>
        <v>-282</v>
      </c>
      <c r="CT854" s="351">
        <f>-CT32</f>
        <v>-357</v>
      </c>
      <c r="CV854" s="351">
        <f>-CV32</f>
        <v>511</v>
      </c>
      <c r="CW854" s="351">
        <f>-CW32</f>
        <v>597</v>
      </c>
      <c r="CX854" s="351">
        <f>-CX32</f>
        <v>1108</v>
      </c>
      <c r="CZ854" s="351">
        <f>-CZ32</f>
        <v>415</v>
      </c>
      <c r="DA854" s="351">
        <f>-DA32</f>
        <v>387</v>
      </c>
      <c r="DB854" s="351">
        <f>-DB32</f>
        <v>802</v>
      </c>
      <c r="DD854" s="351">
        <f>-DD32</f>
        <v>320</v>
      </c>
      <c r="DE854" s="351">
        <f>-DE32</f>
        <v>406</v>
      </c>
      <c r="DF854" s="351">
        <f>-DF32</f>
        <v>726</v>
      </c>
      <c r="DH854" s="351">
        <f>-DH32</f>
        <v>319</v>
      </c>
      <c r="DI854" s="351">
        <f>+DI868*(DI3/DI4)*DI871</f>
        <v>430.65637850734686</v>
      </c>
      <c r="DJ854" s="351">
        <f>+DH854+DI854</f>
        <v>749.65637850734686</v>
      </c>
      <c r="DL854" s="351">
        <f>+DL868*(DL3/DL4)*DL871</f>
        <v>506.96630476295451</v>
      </c>
      <c r="DM854" s="351">
        <f>+DM868*(DM3/DM4)*DM871</f>
        <v>571.35016418125986</v>
      </c>
      <c r="DN854" s="351">
        <f>+DL854+DM854</f>
        <v>1078.3164689442144</v>
      </c>
      <c r="DP854" s="351">
        <f>+DP868*(DP3/DP4)*DP871</f>
        <v>592.78190747690508</v>
      </c>
      <c r="DQ854" s="351">
        <f>+DQ868*(DQ3/DQ4)*DQ871</f>
        <v>601.06786197326039</v>
      </c>
      <c r="DR854" s="351">
        <f>+DP854+DQ854</f>
        <v>1193.8497694501655</v>
      </c>
      <c r="DT854" s="1"/>
      <c r="DU854" s="1"/>
      <c r="DV854" s="1"/>
      <c r="DW854" s="1"/>
      <c r="DX854" s="1"/>
      <c r="DY854" s="1"/>
      <c r="DZ854" s="1"/>
      <c r="EA854" s="1"/>
      <c r="EB854" s="1"/>
      <c r="EC854" s="1"/>
      <c r="ED854" s="1"/>
      <c r="EE854" s="1"/>
      <c r="EF854" s="1"/>
      <c r="EG854" s="1"/>
      <c r="EH854" s="1"/>
      <c r="EI854" s="1"/>
      <c r="EJ854" s="1"/>
      <c r="EK854" s="1"/>
      <c r="EL854" s="1"/>
      <c r="EM854" s="1"/>
      <c r="EN854" s="1"/>
      <c r="EO854" s="1"/>
      <c r="EP854" s="1"/>
      <c r="EQ854" s="1"/>
      <c r="ER854" s="1"/>
      <c r="ES854" s="1"/>
      <c r="ET854" s="1"/>
      <c r="EU854" s="1"/>
      <c r="EV854" s="1"/>
      <c r="EW854" s="1"/>
      <c r="EX854" s="1"/>
      <c r="EY854" s="1"/>
      <c r="EZ854" s="1"/>
      <c r="FA854" s="1"/>
      <c r="FB854" s="1"/>
      <c r="FC854" s="1"/>
      <c r="FD854" s="1"/>
      <c r="FE854" s="1"/>
      <c r="FF854" s="1"/>
      <c r="FG854" s="1"/>
      <c r="FH854" s="1"/>
      <c r="FI854" s="1"/>
      <c r="FJ854" s="1"/>
      <c r="FK854" s="1"/>
      <c r="FL854" s="1"/>
      <c r="FM854" s="1"/>
      <c r="FN854" s="1"/>
      <c r="FO854" s="1"/>
      <c r="FP854" s="1"/>
      <c r="FQ854" s="1"/>
      <c r="FR854" s="1"/>
      <c r="FS854" s="1"/>
      <c r="FT854" s="1"/>
      <c r="FU854" s="1"/>
      <c r="FV854" s="1"/>
      <c r="FW854" s="1"/>
      <c r="FX854" s="1"/>
      <c r="FY854" s="1"/>
      <c r="FZ854" s="1"/>
      <c r="GA854" s="1"/>
      <c r="GB854" s="1"/>
      <c r="GC854" s="1"/>
      <c r="GD854" s="1"/>
      <c r="GE854" s="1"/>
      <c r="GF854" s="1"/>
      <c r="GG854" s="1"/>
      <c r="GH854" s="1"/>
      <c r="GI854" s="1"/>
      <c r="GJ854" s="1"/>
      <c r="GK854" s="1"/>
      <c r="GL854" s="1"/>
      <c r="GM854" s="1"/>
      <c r="GN854" s="1"/>
      <c r="GO854" s="1"/>
      <c r="GP854" s="1"/>
      <c r="GQ854" s="1"/>
      <c r="GR854" s="1"/>
      <c r="GS854" s="1"/>
      <c r="GT854" s="1"/>
      <c r="GU854" s="1"/>
      <c r="GV854" s="1"/>
      <c r="GW854" s="1"/>
      <c r="GX854" s="1"/>
      <c r="GY854" s="1"/>
      <c r="GZ854" s="1"/>
      <c r="HA854" s="1"/>
      <c r="HB854" s="1"/>
      <c r="HC854" s="1"/>
      <c r="HD854" s="1"/>
      <c r="HE854" s="1"/>
      <c r="HF854" s="1"/>
      <c r="HG854" s="1"/>
      <c r="HH854" s="1"/>
      <c r="HI854" s="1"/>
      <c r="HJ854" s="1"/>
      <c r="HK854" s="1"/>
      <c r="HL854" s="1"/>
      <c r="HM854" s="1"/>
      <c r="HN854" s="1"/>
      <c r="HO854" s="1"/>
      <c r="HP854" s="1"/>
      <c r="HQ854" s="1"/>
      <c r="HR854" s="1"/>
      <c r="HS854" s="1"/>
      <c r="HT854" s="1"/>
      <c r="HU854" s="1"/>
      <c r="HV854" s="1"/>
      <c r="HW854" s="1"/>
      <c r="HX854" s="1"/>
      <c r="HY854" s="1"/>
      <c r="HZ854" s="1"/>
      <c r="IA854" s="1"/>
      <c r="IB854" s="1"/>
      <c r="IC854" s="1"/>
      <c r="ID854" s="1"/>
      <c r="IE854" s="1"/>
      <c r="IF854" s="1"/>
      <c r="IG854" s="1"/>
      <c r="IH854" s="1"/>
      <c r="II854" s="1"/>
      <c r="IJ854" s="1"/>
      <c r="IK854" s="1"/>
      <c r="IL854" s="1"/>
      <c r="IM854" s="1"/>
      <c r="IN854" s="1"/>
      <c r="IO854" s="1"/>
      <c r="IP854" s="1"/>
      <c r="IQ854" s="1"/>
      <c r="IR854" s="1"/>
      <c r="IS854" s="1"/>
      <c r="IT854" s="1"/>
      <c r="IU854" s="1"/>
      <c r="IV854" s="1"/>
      <c r="IW854" s="1"/>
      <c r="IX854" s="1"/>
      <c r="IY854" s="1"/>
      <c r="IZ854" s="1"/>
      <c r="JA854" s="1"/>
      <c r="JB854" s="1"/>
      <c r="JC854" s="1"/>
      <c r="JD854" s="1"/>
    </row>
    <row r="855" spans="1:264" s="429" customFormat="1" x14ac:dyDescent="0.2">
      <c r="A855" s="692" t="s">
        <v>129</v>
      </c>
      <c r="B855" s="408"/>
      <c r="BH855" s="502">
        <f t="shared" ref="BH855:BJ856" si="768">+BH852*(BH$4/BH$3)/BH$868</f>
        <v>0</v>
      </c>
      <c r="BI855" s="502">
        <f t="shared" si="768"/>
        <v>0</v>
      </c>
      <c r="BJ855" s="502">
        <f t="shared" si="768"/>
        <v>0</v>
      </c>
      <c r="BK855" s="408"/>
      <c r="BL855" s="502">
        <f t="shared" ref="BL855:BN856" si="769">+BL852*(BL$4/BL$3)/BL$868</f>
        <v>0</v>
      </c>
      <c r="BM855" s="502">
        <f t="shared" si="769"/>
        <v>0</v>
      </c>
      <c r="BN855" s="502">
        <f t="shared" si="769"/>
        <v>0</v>
      </c>
      <c r="BO855" s="408"/>
      <c r="BP855" s="502">
        <f t="shared" ref="BP855:BR856" si="770">+BP852*(BP$4/BP$3)/BP$868</f>
        <v>1.4410834786653844E-3</v>
      </c>
      <c r="BQ855" s="502">
        <f t="shared" si="770"/>
        <v>1.7133200564459806E-3</v>
      </c>
      <c r="BR855" s="502">
        <f t="shared" si="770"/>
        <v>1.5553134459555661E-3</v>
      </c>
      <c r="BT855" s="502">
        <f t="shared" ref="BT855:BV856" si="771">+BT852*(BT$4/BT$3)/BT$868</f>
        <v>1.5454346693652913E-3</v>
      </c>
      <c r="BU855" s="502">
        <f t="shared" si="771"/>
        <v>1.9343872749028579E-3</v>
      </c>
      <c r="BV855" s="502">
        <f t="shared" si="771"/>
        <v>1.7100594245650037E-3</v>
      </c>
      <c r="BX855" s="502">
        <f t="shared" ref="BX855:BZ856" si="772">+BX852*(BX$4/BX$3)/BX$868</f>
        <v>1.6823835214822204E-3</v>
      </c>
      <c r="BY855" s="502">
        <f t="shared" si="772"/>
        <v>1.5213194395853197E-3</v>
      </c>
      <c r="BZ855" s="502">
        <f t="shared" si="772"/>
        <v>1.5820852589273841E-3</v>
      </c>
      <c r="CB855" s="502">
        <f t="shared" ref="CB855:CD856" si="773">+CB852*(CB$4/CB$3)/CB$868</f>
        <v>1.5279410690031865E-3</v>
      </c>
      <c r="CC855" s="502">
        <f t="shared" si="773"/>
        <v>1.3256869196114911E-3</v>
      </c>
      <c r="CD855" s="502">
        <f t="shared" si="773"/>
        <v>1.4203482592382763E-3</v>
      </c>
      <c r="CF855" s="502">
        <f t="shared" ref="CF855:CH856" si="774">+CF852*(CF$4/CF$3)/CF$868</f>
        <v>1.5175553962642598E-3</v>
      </c>
      <c r="CG855" s="502">
        <f t="shared" si="774"/>
        <v>1.4150229085827467E-3</v>
      </c>
      <c r="CH855" s="502">
        <f t="shared" si="774"/>
        <v>1.4651523692762148E-3</v>
      </c>
      <c r="CJ855" s="502">
        <f t="shared" ref="CJ855:CL856" si="775">+CJ852*(CJ$4/CJ$3)/CJ$868</f>
        <v>1.2532262070908326E-3</v>
      </c>
      <c r="CK855" s="502">
        <f t="shared" si="775"/>
        <v>1.3920304187805611E-3</v>
      </c>
      <c r="CL855" s="502">
        <f t="shared" si="775"/>
        <v>1.3152025104216339E-3</v>
      </c>
      <c r="CN855" s="502">
        <f t="shared" ref="CN855:CP856" si="776">+CN852*(CN$4/CN$3)/CN$868</f>
        <v>8.3645138787379915E-4</v>
      </c>
      <c r="CO855" s="502">
        <f t="shared" si="776"/>
        <v>7.4919240691064903E-4</v>
      </c>
      <c r="CP855" s="502">
        <f t="shared" si="776"/>
        <v>7.8091965204468965E-4</v>
      </c>
      <c r="CR855" s="502">
        <f t="shared" ref="CR855:CT856" si="777">+CR852*(CR$4/CR$3)/CR$868</f>
        <v>4.0583114755782815E-4</v>
      </c>
      <c r="CS855" s="502">
        <f t="shared" si="777"/>
        <v>3.8510209463262949E-4</v>
      </c>
      <c r="CT855" s="502">
        <f t="shared" si="777"/>
        <v>3.8758682566389781E-4</v>
      </c>
      <c r="CV855" s="502">
        <f t="shared" ref="CV855:CX856" si="778">+CV852*(CV$4/CV$3)/CV$868</f>
        <v>4.8243158378305902E-4</v>
      </c>
      <c r="CW855" s="502">
        <f t="shared" si="778"/>
        <v>6.5040267867512934E-4</v>
      </c>
      <c r="CX855" s="502">
        <f t="shared" si="778"/>
        <v>5.6040657872319453E-4</v>
      </c>
      <c r="CZ855" s="502">
        <f t="shared" ref="CZ855:DB856" si="779">+CZ852*(CZ$4/CZ$3)/CZ$868</f>
        <v>6.0178880238188665E-4</v>
      </c>
      <c r="DA855" s="502">
        <f t="shared" si="779"/>
        <v>6.2238224537634608E-4</v>
      </c>
      <c r="DB855" s="502">
        <f t="shared" si="779"/>
        <v>6.0529628990218414E-4</v>
      </c>
      <c r="DD855" s="502">
        <f t="shared" ref="DD855:DF856" si="780">+DD852*(DD$4/DD$3)/DD$868</f>
        <v>5.0942885160351733E-4</v>
      </c>
      <c r="DE855" s="502">
        <f t="shared" si="780"/>
        <v>6.689605351788701E-4</v>
      </c>
      <c r="DF855" s="502">
        <f t="shared" si="780"/>
        <v>5.7880681141430658E-4</v>
      </c>
      <c r="DH855" s="502">
        <f t="shared" ref="DH855" si="781">+DH852*(DH$4/DH$3)/DH$868</f>
        <v>6.3917712160175579E-4</v>
      </c>
      <c r="DI855" s="502">
        <f t="shared" ref="DI855:DJ856" ca="1" si="782">+DI852*(DI$4/DI$3)/DI$868</f>
        <v>7.6414053359093843E-4</v>
      </c>
      <c r="DJ855" s="502">
        <f t="shared" ca="1" si="782"/>
        <v>6.9028902771020172E-4</v>
      </c>
      <c r="DL855" s="502">
        <f t="shared" ref="DL855:DN856" ca="1" si="783">+DL852*(DL$4/DL$3)/DL$868</f>
        <v>8.6144795788667199E-4</v>
      </c>
      <c r="DM855" s="502">
        <f t="shared" ca="1" si="783"/>
        <v>9.1547554256763992E-4</v>
      </c>
      <c r="DN855" s="502">
        <f t="shared" ca="1" si="783"/>
        <v>8.7513735493431372E-4</v>
      </c>
      <c r="DP855" s="502">
        <f t="shared" ref="DP855:DR856" ca="1" si="784">+DP852*(DP$4/DP$3)/DP$868</f>
        <v>7.834669578450817E-4</v>
      </c>
      <c r="DQ855" s="502">
        <f t="shared" ca="1" si="784"/>
        <v>7.5010053059173425E-4</v>
      </c>
      <c r="DR855" s="502">
        <f t="shared" ca="1" si="784"/>
        <v>7.5722297987094241E-4</v>
      </c>
      <c r="DT855" s="457"/>
      <c r="DU855" s="457"/>
      <c r="DV855" s="457"/>
      <c r="DW855" s="457"/>
      <c r="DX855" s="457"/>
      <c r="DY855" s="457"/>
      <c r="DZ855" s="457"/>
      <c r="EA855" s="457"/>
      <c r="EB855" s="457"/>
      <c r="EC855" s="457"/>
      <c r="ED855" s="457"/>
      <c r="EE855" s="457"/>
      <c r="EF855" s="457"/>
      <c r="EG855" s="457"/>
      <c r="EH855" s="457"/>
      <c r="EI855" s="457"/>
      <c r="EJ855" s="457"/>
      <c r="EK855" s="457"/>
      <c r="EL855" s="457"/>
      <c r="EM855" s="457"/>
      <c r="EN855" s="457"/>
      <c r="EO855" s="457"/>
      <c r="EP855" s="457"/>
      <c r="EQ855" s="457"/>
      <c r="ER855" s="457"/>
      <c r="ES855" s="457"/>
      <c r="ET855" s="457"/>
      <c r="EU855" s="457"/>
      <c r="EV855" s="457"/>
      <c r="EW855" s="457"/>
      <c r="EX855" s="457"/>
      <c r="EY855" s="457"/>
      <c r="EZ855" s="457"/>
      <c r="FA855" s="457"/>
      <c r="FB855" s="457"/>
      <c r="FC855" s="457"/>
      <c r="FD855" s="457"/>
      <c r="FE855" s="457"/>
      <c r="FF855" s="457"/>
      <c r="FG855" s="457"/>
      <c r="FH855" s="457"/>
      <c r="FI855" s="457"/>
      <c r="FJ855" s="457"/>
      <c r="FK855" s="457"/>
      <c r="FL855" s="457"/>
      <c r="FM855" s="457"/>
      <c r="FN855" s="457"/>
      <c r="FO855" s="457"/>
      <c r="FP855" s="457"/>
      <c r="FQ855" s="457"/>
      <c r="FR855" s="457"/>
      <c r="FS855" s="457"/>
      <c r="FT855" s="457"/>
      <c r="FU855" s="457"/>
      <c r="FV855" s="457"/>
      <c r="FW855" s="457"/>
      <c r="FX855" s="457"/>
      <c r="FY855" s="457"/>
      <c r="FZ855" s="457"/>
      <c r="GA855" s="457"/>
      <c r="GB855" s="457"/>
      <c r="GC855" s="457"/>
      <c r="GD855" s="457"/>
      <c r="GE855" s="457"/>
      <c r="GF855" s="457"/>
      <c r="GG855" s="457"/>
      <c r="GH855" s="457"/>
      <c r="GI855" s="457"/>
      <c r="GJ855" s="457"/>
      <c r="GK855" s="457"/>
      <c r="GL855" s="457"/>
      <c r="GM855" s="457"/>
      <c r="GN855" s="457"/>
      <c r="GO855" s="457"/>
      <c r="GP855" s="457"/>
      <c r="GQ855" s="457"/>
      <c r="GR855" s="457"/>
      <c r="GS855" s="457"/>
      <c r="GT855" s="457"/>
      <c r="GU855" s="457"/>
      <c r="GV855" s="457"/>
      <c r="GW855" s="457"/>
      <c r="GX855" s="457"/>
      <c r="GY855" s="457"/>
      <c r="GZ855" s="457"/>
      <c r="HA855" s="457"/>
      <c r="HB855" s="457"/>
      <c r="HC855" s="457"/>
      <c r="HD855" s="457"/>
      <c r="HE855" s="457"/>
      <c r="HF855" s="457"/>
      <c r="HG855" s="457"/>
      <c r="HH855" s="457"/>
      <c r="HI855" s="457"/>
      <c r="HJ855" s="457"/>
      <c r="HK855" s="457"/>
      <c r="HL855" s="457"/>
      <c r="HM855" s="457"/>
      <c r="HN855" s="457"/>
      <c r="HO855" s="457"/>
      <c r="HP855" s="457"/>
      <c r="HQ855" s="457"/>
      <c r="HR855" s="457"/>
      <c r="HS855" s="457"/>
      <c r="HT855" s="457"/>
      <c r="HU855" s="457"/>
      <c r="HV855" s="457"/>
      <c r="HW855" s="457"/>
      <c r="HX855" s="457"/>
      <c r="HY855" s="457"/>
      <c r="HZ855" s="457"/>
      <c r="IA855" s="457"/>
      <c r="IB855" s="457"/>
      <c r="IC855" s="457"/>
      <c r="ID855" s="457"/>
      <c r="IE855" s="457"/>
      <c r="IF855" s="457"/>
      <c r="IG855" s="457"/>
      <c r="IH855" s="457"/>
      <c r="II855" s="457"/>
      <c r="IJ855" s="457"/>
      <c r="IK855" s="457"/>
      <c r="IL855" s="457"/>
      <c r="IM855" s="457"/>
      <c r="IN855" s="457"/>
      <c r="IO855" s="457"/>
      <c r="IP855" s="457"/>
      <c r="IQ855" s="457"/>
      <c r="IR855" s="457"/>
      <c r="IS855" s="457"/>
      <c r="IT855" s="457"/>
      <c r="IU855" s="457"/>
      <c r="IV855" s="457"/>
      <c r="IW855" s="457"/>
      <c r="IX855" s="457"/>
      <c r="IY855" s="457"/>
      <c r="IZ855" s="457"/>
      <c r="JA855" s="457"/>
      <c r="JB855" s="457"/>
      <c r="JC855" s="457"/>
      <c r="JD855" s="457"/>
    </row>
    <row r="856" spans="1:264" s="429" customFormat="1" x14ac:dyDescent="0.2">
      <c r="A856" s="692" t="s">
        <v>130</v>
      </c>
      <c r="B856" s="408"/>
      <c r="BH856" s="502">
        <f t="shared" si="768"/>
        <v>0</v>
      </c>
      <c r="BI856" s="502">
        <f t="shared" si="768"/>
        <v>0</v>
      </c>
      <c r="BJ856" s="502">
        <f t="shared" si="768"/>
        <v>0</v>
      </c>
      <c r="BK856" s="408"/>
      <c r="BL856" s="502">
        <f t="shared" si="769"/>
        <v>0</v>
      </c>
      <c r="BM856" s="502">
        <f t="shared" si="769"/>
        <v>0</v>
      </c>
      <c r="BN856" s="502">
        <f t="shared" si="769"/>
        <v>0</v>
      </c>
      <c r="BO856" s="408"/>
      <c r="BP856" s="502">
        <f t="shared" si="770"/>
        <v>-5.0564332584750327E-5</v>
      </c>
      <c r="BQ856" s="502">
        <f t="shared" si="770"/>
        <v>-3.1208015600108937E-6</v>
      </c>
      <c r="BR856" s="502">
        <f t="shared" si="770"/>
        <v>-2.6308784657954849E-5</v>
      </c>
      <c r="BT856" s="502">
        <f t="shared" si="771"/>
        <v>1.1480371829570734E-4</v>
      </c>
      <c r="BU856" s="502">
        <f t="shared" si="771"/>
        <v>4.8717901738294191E-5</v>
      </c>
      <c r="BV856" s="502">
        <f t="shared" si="771"/>
        <v>7.980277314636684E-5</v>
      </c>
      <c r="BX856" s="502">
        <f t="shared" si="772"/>
        <v>-3.0338063502138399E-5</v>
      </c>
      <c r="BY856" s="502">
        <f t="shared" si="772"/>
        <v>-1.6417116254517836E-4</v>
      </c>
      <c r="BZ856" s="502">
        <f t="shared" si="772"/>
        <v>-9.6336237893519968E-5</v>
      </c>
      <c r="CB856" s="502">
        <f t="shared" si="773"/>
        <v>6.6897594965113248E-5</v>
      </c>
      <c r="CC856" s="502">
        <f t="shared" si="773"/>
        <v>-2.4250370480698006E-5</v>
      </c>
      <c r="CD856" s="502">
        <f t="shared" si="773"/>
        <v>2.1378713215251575E-5</v>
      </c>
      <c r="CF856" s="502">
        <f t="shared" si="774"/>
        <v>-1.0447885688566331E-5</v>
      </c>
      <c r="CG856" s="502">
        <f t="shared" si="774"/>
        <v>2.3848700706450787E-4</v>
      </c>
      <c r="CH856" s="502">
        <f t="shared" si="774"/>
        <v>1.1300726794417441E-4</v>
      </c>
      <c r="CJ856" s="502">
        <f t="shared" si="775"/>
        <v>4.20320723777378E-4</v>
      </c>
      <c r="CK856" s="502">
        <f t="shared" si="775"/>
        <v>3.4259415306654916E-3</v>
      </c>
      <c r="CL856" s="502">
        <f t="shared" si="775"/>
        <v>1.9125556974162552E-3</v>
      </c>
      <c r="CN856" s="502">
        <f t="shared" si="776"/>
        <v>1.365787788558114E-3</v>
      </c>
      <c r="CO856" s="502">
        <f t="shared" si="776"/>
        <v>-1.5575315827879284E-3</v>
      </c>
      <c r="CP856" s="502">
        <f t="shared" si="776"/>
        <v>-1.0387820097621067E-4</v>
      </c>
      <c r="CR856" s="502">
        <f t="shared" si="777"/>
        <v>-5.8075836633275407E-4</v>
      </c>
      <c r="CS856" s="502">
        <f t="shared" si="777"/>
        <v>-1.0276984892267215E-3</v>
      </c>
      <c r="CT856" s="502">
        <f t="shared" si="777"/>
        <v>-7.9099352176305673E-4</v>
      </c>
      <c r="CV856" s="502">
        <f t="shared" si="778"/>
        <v>6.2803030501488316E-4</v>
      </c>
      <c r="CW856" s="502">
        <f t="shared" si="778"/>
        <v>6.3959864746790124E-4</v>
      </c>
      <c r="CX856" s="502">
        <f t="shared" si="778"/>
        <v>6.2684101061772236E-4</v>
      </c>
      <c r="CZ856" s="502">
        <f t="shared" si="779"/>
        <v>2.8697401964118441E-4</v>
      </c>
      <c r="DA856" s="502">
        <f t="shared" si="779"/>
        <v>1.9687601639455844E-4</v>
      </c>
      <c r="DB856" s="502">
        <f t="shared" si="779"/>
        <v>2.3896044836138399E-4</v>
      </c>
      <c r="DD856" s="502">
        <f t="shared" si="780"/>
        <v>1.4004219426550873E-4</v>
      </c>
      <c r="DE856" s="502">
        <f t="shared" si="780"/>
        <v>1.369681807932998E-4</v>
      </c>
      <c r="DF856" s="502">
        <f t="shared" si="780"/>
        <v>1.3584241492376582E-4</v>
      </c>
      <c r="DH856" s="502">
        <f t="shared" ref="DH856" si="785">+DH853*(DH$4/DH$3)/DH$868</f>
        <v>-3.5930074882938937E-5</v>
      </c>
      <c r="DI856" s="502">
        <f t="shared" ca="1" si="782"/>
        <v>3.5859466409061712E-5</v>
      </c>
      <c r="DJ856" s="502">
        <f t="shared" ca="1" si="782"/>
        <v>2.7993291580259075E-7</v>
      </c>
      <c r="DL856" s="502">
        <f t="shared" ca="1" si="783"/>
        <v>3.8552042113328164E-5</v>
      </c>
      <c r="DM856" s="502">
        <f t="shared" ca="1" si="783"/>
        <v>8.4524457432360252E-5</v>
      </c>
      <c r="DN856" s="502">
        <f t="shared" ca="1" si="783"/>
        <v>6.0762957083203758E-5</v>
      </c>
      <c r="DP856" s="502">
        <f t="shared" ca="1" si="784"/>
        <v>2.1653304215491837E-4</v>
      </c>
      <c r="DQ856" s="502">
        <f t="shared" ca="1" si="784"/>
        <v>2.4989946940826583E-4</v>
      </c>
      <c r="DR856" s="502">
        <f t="shared" ca="1" si="784"/>
        <v>2.3045750958352272E-4</v>
      </c>
      <c r="DT856" s="457"/>
      <c r="DU856" s="457"/>
      <c r="DV856" s="457"/>
      <c r="DW856" s="457"/>
      <c r="DX856" s="457"/>
      <c r="DY856" s="457"/>
      <c r="DZ856" s="457"/>
      <c r="EA856" s="457"/>
      <c r="EB856" s="457"/>
      <c r="EC856" s="457"/>
      <c r="ED856" s="457"/>
      <c r="EE856" s="457"/>
      <c r="EF856" s="457"/>
      <c r="EG856" s="457"/>
      <c r="EH856" s="457"/>
      <c r="EI856" s="457"/>
      <c r="EJ856" s="457"/>
      <c r="EK856" s="457"/>
      <c r="EL856" s="457"/>
      <c r="EM856" s="457"/>
      <c r="EN856" s="457"/>
      <c r="EO856" s="457"/>
      <c r="EP856" s="457"/>
      <c r="EQ856" s="457"/>
      <c r="ER856" s="457"/>
      <c r="ES856" s="457"/>
      <c r="ET856" s="457"/>
      <c r="EU856" s="457"/>
      <c r="EV856" s="457"/>
      <c r="EW856" s="457"/>
      <c r="EX856" s="457"/>
      <c r="EY856" s="457"/>
      <c r="EZ856" s="457"/>
      <c r="FA856" s="457"/>
      <c r="FB856" s="457"/>
      <c r="FC856" s="457"/>
      <c r="FD856" s="457"/>
      <c r="FE856" s="457"/>
      <c r="FF856" s="457"/>
      <c r="FG856" s="457"/>
      <c r="FH856" s="457"/>
      <c r="FI856" s="457"/>
      <c r="FJ856" s="457"/>
      <c r="FK856" s="457"/>
      <c r="FL856" s="457"/>
      <c r="FM856" s="457"/>
      <c r="FN856" s="457"/>
      <c r="FO856" s="457"/>
      <c r="FP856" s="457"/>
      <c r="FQ856" s="457"/>
      <c r="FR856" s="457"/>
      <c r="FS856" s="457"/>
      <c r="FT856" s="457"/>
      <c r="FU856" s="457"/>
      <c r="FV856" s="457"/>
      <c r="FW856" s="457"/>
      <c r="FX856" s="457"/>
      <c r="FY856" s="457"/>
      <c r="FZ856" s="457"/>
      <c r="GA856" s="457"/>
      <c r="GB856" s="457"/>
      <c r="GC856" s="457"/>
      <c r="GD856" s="457"/>
      <c r="GE856" s="457"/>
      <c r="GF856" s="457"/>
      <c r="GG856" s="457"/>
      <c r="GH856" s="457"/>
      <c r="GI856" s="457"/>
      <c r="GJ856" s="457"/>
      <c r="GK856" s="457"/>
      <c r="GL856" s="457"/>
      <c r="GM856" s="457"/>
      <c r="GN856" s="457"/>
      <c r="GO856" s="457"/>
      <c r="GP856" s="457"/>
      <c r="GQ856" s="457"/>
      <c r="GR856" s="457"/>
      <c r="GS856" s="457"/>
      <c r="GT856" s="457"/>
      <c r="GU856" s="457"/>
      <c r="GV856" s="457"/>
      <c r="GW856" s="457"/>
      <c r="GX856" s="457"/>
      <c r="GY856" s="457"/>
      <c r="GZ856" s="457"/>
      <c r="HA856" s="457"/>
      <c r="HB856" s="457"/>
      <c r="HC856" s="457"/>
      <c r="HD856" s="457"/>
      <c r="HE856" s="457"/>
      <c r="HF856" s="457"/>
      <c r="HG856" s="457"/>
      <c r="HH856" s="457"/>
      <c r="HI856" s="457"/>
      <c r="HJ856" s="457"/>
      <c r="HK856" s="457"/>
      <c r="HL856" s="457"/>
      <c r="HM856" s="457"/>
      <c r="HN856" s="457"/>
      <c r="HO856" s="457"/>
      <c r="HP856" s="457"/>
      <c r="HQ856" s="457"/>
      <c r="HR856" s="457"/>
      <c r="HS856" s="457"/>
      <c r="HT856" s="457"/>
      <c r="HU856" s="457"/>
      <c r="HV856" s="457"/>
      <c r="HW856" s="457"/>
      <c r="HX856" s="457"/>
      <c r="HY856" s="457"/>
      <c r="HZ856" s="457"/>
      <c r="IA856" s="457"/>
      <c r="IB856" s="457"/>
      <c r="IC856" s="457"/>
      <c r="ID856" s="457"/>
      <c r="IE856" s="457"/>
      <c r="IF856" s="457"/>
      <c r="IG856" s="457"/>
      <c r="IH856" s="457"/>
      <c r="II856" s="457"/>
      <c r="IJ856" s="457"/>
      <c r="IK856" s="457"/>
      <c r="IL856" s="457"/>
      <c r="IM856" s="457"/>
      <c r="IN856" s="457"/>
      <c r="IO856" s="457"/>
      <c r="IP856" s="457"/>
      <c r="IQ856" s="457"/>
      <c r="IR856" s="457"/>
      <c r="IS856" s="457"/>
      <c r="IT856" s="457"/>
      <c r="IU856" s="457"/>
      <c r="IV856" s="457"/>
      <c r="IW856" s="457"/>
      <c r="IX856" s="457"/>
      <c r="IY856" s="457"/>
      <c r="IZ856" s="457"/>
      <c r="JA856" s="457"/>
      <c r="JB856" s="457"/>
      <c r="JC856" s="457"/>
      <c r="JD856" s="457"/>
    </row>
    <row r="857" spans="1:264" s="347" customFormat="1" x14ac:dyDescent="0.2">
      <c r="B857" s="348"/>
      <c r="BH857" s="348"/>
      <c r="BI857" s="348"/>
      <c r="BJ857" s="348"/>
      <c r="BK857" s="348"/>
      <c r="BL857" s="348"/>
      <c r="BM857" s="348"/>
      <c r="BN857" s="348"/>
      <c r="BO857" s="348"/>
      <c r="BP857" s="348"/>
      <c r="BQ857" s="348"/>
      <c r="BR857" s="348"/>
      <c r="BT857" s="348"/>
      <c r="BU857" s="348"/>
      <c r="BV857" s="348"/>
      <c r="BX857" s="348"/>
      <c r="BY857" s="348"/>
      <c r="BZ857" s="348"/>
      <c r="CB857" s="348"/>
      <c r="CC857" s="348"/>
      <c r="CD857" s="348"/>
      <c r="CF857" s="348"/>
      <c r="CG857" s="348"/>
      <c r="CH857" s="348"/>
      <c r="CJ857" s="348"/>
      <c r="CK857" s="348"/>
      <c r="CL857" s="348"/>
      <c r="CN857" s="348"/>
      <c r="CO857" s="348"/>
      <c r="CP857" s="348"/>
      <c r="CR857" s="348"/>
      <c r="CS857" s="348"/>
      <c r="CT857" s="348"/>
      <c r="CV857" s="348"/>
      <c r="CW857" s="348"/>
      <c r="CX857" s="348"/>
      <c r="CZ857" s="348"/>
      <c r="DA857" s="348"/>
      <c r="DB857" s="348"/>
      <c r="DD857" s="348"/>
      <c r="DE857" s="348"/>
      <c r="DF857" s="348"/>
      <c r="DH857" s="348"/>
      <c r="DI857" s="348"/>
      <c r="DJ857" s="348"/>
      <c r="DL857" s="348"/>
      <c r="DM857" s="348"/>
      <c r="DN857" s="348"/>
      <c r="DP857" s="348"/>
      <c r="DQ857" s="348"/>
      <c r="DR857" s="348"/>
      <c r="DT857" s="1"/>
      <c r="DU857" s="1"/>
      <c r="DV857" s="1"/>
      <c r="DW857" s="1"/>
      <c r="DX857" s="1"/>
      <c r="DY857" s="1"/>
      <c r="DZ857" s="1"/>
      <c r="EA857" s="1"/>
      <c r="EB857" s="1"/>
      <c r="EC857" s="1"/>
      <c r="ED857" s="1"/>
      <c r="EE857" s="1"/>
      <c r="EF857" s="1"/>
      <c r="EG857" s="1"/>
      <c r="EH857" s="1"/>
      <c r="EI857" s="1"/>
      <c r="EJ857" s="1"/>
      <c r="EK857" s="1"/>
      <c r="EL857" s="1"/>
      <c r="EM857" s="1"/>
      <c r="EN857" s="1"/>
      <c r="EO857" s="1"/>
      <c r="EP857" s="1"/>
      <c r="EQ857" s="1"/>
      <c r="ER857" s="1"/>
      <c r="ES857" s="1"/>
      <c r="ET857" s="1"/>
      <c r="EU857" s="1"/>
      <c r="EV857" s="1"/>
      <c r="EW857" s="1"/>
      <c r="EX857" s="1"/>
      <c r="EY857" s="1"/>
      <c r="EZ857" s="1"/>
      <c r="FA857" s="1"/>
      <c r="FB857" s="1"/>
      <c r="FC857" s="1"/>
      <c r="FD857" s="1"/>
      <c r="FE857" s="1"/>
      <c r="FF857" s="1"/>
      <c r="FG857" s="1"/>
      <c r="FH857" s="1"/>
      <c r="FI857" s="1"/>
      <c r="FJ857" s="1"/>
      <c r="FK857" s="1"/>
      <c r="FL857" s="1"/>
      <c r="FM857" s="1"/>
      <c r="FN857" s="1"/>
      <c r="FO857" s="1"/>
      <c r="FP857" s="1"/>
      <c r="FQ857" s="1"/>
      <c r="FR857" s="1"/>
      <c r="FS857" s="1"/>
      <c r="FT857" s="1"/>
      <c r="FU857" s="1"/>
      <c r="FV857" s="1"/>
      <c r="FW857" s="1"/>
      <c r="FX857" s="1"/>
      <c r="FY857" s="1"/>
      <c r="FZ857" s="1"/>
      <c r="GA857" s="1"/>
      <c r="GB857" s="1"/>
      <c r="GC857" s="1"/>
      <c r="GD857" s="1"/>
      <c r="GE857" s="1"/>
      <c r="GF857" s="1"/>
      <c r="GG857" s="1"/>
      <c r="GH857" s="1"/>
      <c r="GI857" s="1"/>
      <c r="GJ857" s="1"/>
      <c r="GK857" s="1"/>
      <c r="GL857" s="1"/>
      <c r="GM857" s="1"/>
      <c r="GN857" s="1"/>
      <c r="GO857" s="1"/>
      <c r="GP857" s="1"/>
      <c r="GQ857" s="1"/>
      <c r="GR857" s="1"/>
      <c r="GS857" s="1"/>
      <c r="GT857" s="1"/>
      <c r="GU857" s="1"/>
      <c r="GV857" s="1"/>
      <c r="GW857" s="1"/>
      <c r="GX857" s="1"/>
      <c r="GY857" s="1"/>
      <c r="GZ857" s="1"/>
      <c r="HA857" s="1"/>
      <c r="HB857" s="1"/>
      <c r="HC857" s="1"/>
      <c r="HD857" s="1"/>
      <c r="HE857" s="1"/>
      <c r="HF857" s="1"/>
      <c r="HG857" s="1"/>
      <c r="HH857" s="1"/>
      <c r="HI857" s="1"/>
      <c r="HJ857" s="1"/>
      <c r="HK857" s="1"/>
      <c r="HL857" s="1"/>
      <c r="HM857" s="1"/>
      <c r="HN857" s="1"/>
      <c r="HO857" s="1"/>
      <c r="HP857" s="1"/>
      <c r="HQ857" s="1"/>
      <c r="HR857" s="1"/>
      <c r="HS857" s="1"/>
      <c r="HT857" s="1"/>
      <c r="HU857" s="1"/>
      <c r="HV857" s="1"/>
      <c r="HW857" s="1"/>
      <c r="HX857" s="1"/>
      <c r="HY857" s="1"/>
      <c r="HZ857" s="1"/>
      <c r="IA857" s="1"/>
      <c r="IB857" s="1"/>
      <c r="IC857" s="1"/>
      <c r="ID857" s="1"/>
      <c r="IE857" s="1"/>
      <c r="IF857" s="1"/>
      <c r="IG857" s="1"/>
      <c r="IH857" s="1"/>
      <c r="II857" s="1"/>
      <c r="IJ857" s="1"/>
      <c r="IK857" s="1"/>
      <c r="IL857" s="1"/>
      <c r="IM857" s="1"/>
      <c r="IN857" s="1"/>
      <c r="IO857" s="1"/>
      <c r="IP857" s="1"/>
      <c r="IQ857" s="1"/>
      <c r="IR857" s="1"/>
      <c r="IS857" s="1"/>
      <c r="IT857" s="1"/>
      <c r="IU857" s="1"/>
      <c r="IV857" s="1"/>
      <c r="IW857" s="1"/>
      <c r="IX857" s="1"/>
      <c r="IY857" s="1"/>
      <c r="IZ857" s="1"/>
      <c r="JA857" s="1"/>
      <c r="JB857" s="1"/>
      <c r="JC857" s="1"/>
      <c r="JD857" s="1"/>
    </row>
    <row r="858" spans="1:264" s="347" customFormat="1" x14ac:dyDescent="0.2">
      <c r="A858" s="347" t="s">
        <v>601</v>
      </c>
      <c r="B858" s="348"/>
      <c r="BH858" s="398">
        <f>3043-18</f>
        <v>3025</v>
      </c>
      <c r="BI858" s="351">
        <f>BH861</f>
        <v>2858</v>
      </c>
      <c r="BJ858" s="351">
        <f>BH858</f>
        <v>3025</v>
      </c>
      <c r="BK858" s="348"/>
      <c r="BL858" s="351">
        <f>BI861</f>
        <v>2858</v>
      </c>
      <c r="BM858" s="351">
        <f>BL861</f>
        <v>2870</v>
      </c>
      <c r="BN858" s="351">
        <f>BL858</f>
        <v>2858</v>
      </c>
      <c r="BO858" s="348"/>
      <c r="BP858" s="351">
        <f>BM861</f>
        <v>2779</v>
      </c>
      <c r="BQ858" s="351">
        <f>BP861</f>
        <v>2763</v>
      </c>
      <c r="BR858" s="351">
        <f>BP858</f>
        <v>2779</v>
      </c>
      <c r="BT858" s="351">
        <f>BQ861</f>
        <v>2762</v>
      </c>
      <c r="BU858" s="351">
        <f>BT861</f>
        <v>2801</v>
      </c>
      <c r="BV858" s="351">
        <f>BT858</f>
        <v>2762</v>
      </c>
      <c r="BX858" s="351">
        <f>BU861</f>
        <v>2818</v>
      </c>
      <c r="BY858" s="351">
        <f>BX861</f>
        <v>2807</v>
      </c>
      <c r="BZ858" s="351">
        <f>BX858</f>
        <v>2818</v>
      </c>
      <c r="CB858" s="351">
        <f>BY861</f>
        <v>2747</v>
      </c>
      <c r="CC858" s="351">
        <f>CB861</f>
        <v>2772</v>
      </c>
      <c r="CD858" s="351">
        <f>CB858</f>
        <v>2747</v>
      </c>
      <c r="CF858" s="351">
        <f>CC861</f>
        <v>2763</v>
      </c>
      <c r="CG858" s="351">
        <f>CF861</f>
        <v>3814</v>
      </c>
      <c r="CH858" s="351">
        <f>CF858</f>
        <v>2763</v>
      </c>
      <c r="CJ858" s="351">
        <f>CG861</f>
        <v>3904</v>
      </c>
      <c r="CK858" s="351">
        <f>CJ861</f>
        <v>4067</v>
      </c>
      <c r="CL858" s="351">
        <f>CJ858</f>
        <v>3904</v>
      </c>
      <c r="CN858" s="351">
        <f>CK861</f>
        <v>5396</v>
      </c>
      <c r="CO858" s="351">
        <f>CN861</f>
        <v>5943</v>
      </c>
      <c r="CP858" s="351">
        <f>CN858</f>
        <v>5396</v>
      </c>
      <c r="CR858" s="351">
        <f>CO861</f>
        <v>5311</v>
      </c>
      <c r="CS858" s="351">
        <f>CR861</f>
        <v>5062</v>
      </c>
      <c r="CT858" s="351">
        <f>CR858</f>
        <v>5311</v>
      </c>
      <c r="CV858" s="351">
        <f>CS861</f>
        <v>4611</v>
      </c>
      <c r="CW858" s="351">
        <f>CV861</f>
        <v>4900</v>
      </c>
      <c r="CX858" s="351">
        <f>CV858</f>
        <v>4611</v>
      </c>
      <c r="CZ858" s="351">
        <f>CW861</f>
        <v>5196</v>
      </c>
      <c r="DA858" s="351">
        <f>CZ861</f>
        <v>5330</v>
      </c>
      <c r="DB858" s="351">
        <f>CZ858</f>
        <v>5196</v>
      </c>
      <c r="DD858" s="351">
        <f>DA861</f>
        <v>5423</v>
      </c>
      <c r="DE858" s="351">
        <f>DD861</f>
        <v>5492</v>
      </c>
      <c r="DF858" s="351">
        <f>DD858</f>
        <v>5423</v>
      </c>
      <c r="DH858" s="351">
        <f>DE861</f>
        <v>5561</v>
      </c>
      <c r="DI858" s="351">
        <f>DH861</f>
        <v>5542</v>
      </c>
      <c r="DJ858" s="351">
        <f>DH858</f>
        <v>5561</v>
      </c>
      <c r="DL858" s="351">
        <f ca="1">DI861</f>
        <v>5561.3038849236655</v>
      </c>
      <c r="DM858" s="351">
        <f ca="1">DL861</f>
        <v>5583.0200919583986</v>
      </c>
      <c r="DN858" s="351">
        <f ca="1">DL858</f>
        <v>5561.3038849236655</v>
      </c>
      <c r="DP858" s="351">
        <f ca="1">DM861</f>
        <v>5631.3131545897095</v>
      </c>
      <c r="DQ858" s="351">
        <f ca="1">DP861</f>
        <v>5759.6700243500791</v>
      </c>
      <c r="DR858" s="351">
        <f ca="1">DP858</f>
        <v>5631.3131545897095</v>
      </c>
      <c r="DT858" s="1"/>
      <c r="DU858" s="1"/>
      <c r="DV858" s="1"/>
      <c r="DW858" s="1"/>
      <c r="DX858" s="1"/>
      <c r="DY858" s="1"/>
      <c r="DZ858" s="1"/>
      <c r="EA858" s="1"/>
      <c r="EB858" s="1"/>
      <c r="EC858" s="1"/>
      <c r="ED858" s="1"/>
      <c r="EE858" s="1"/>
      <c r="EF858" s="1"/>
      <c r="EG858" s="1"/>
      <c r="EH858" s="1"/>
      <c r="EI858" s="1"/>
      <c r="EJ858" s="1"/>
      <c r="EK858" s="1"/>
      <c r="EL858" s="1"/>
      <c r="EM858" s="1"/>
      <c r="EN858" s="1"/>
      <c r="EO858" s="1"/>
      <c r="EP858" s="1"/>
      <c r="EQ858" s="1"/>
      <c r="ER858" s="1"/>
      <c r="ES858" s="1"/>
      <c r="ET858" s="1"/>
      <c r="EU858" s="1"/>
      <c r="EV858" s="1"/>
      <c r="EW858" s="1"/>
      <c r="EX858" s="1"/>
      <c r="EY858" s="1"/>
      <c r="EZ858" s="1"/>
      <c r="FA858" s="1"/>
      <c r="FB858" s="1"/>
      <c r="FC858" s="1"/>
      <c r="FD858" s="1"/>
      <c r="FE858" s="1"/>
      <c r="FF858" s="1"/>
      <c r="FG858" s="1"/>
      <c r="FH858" s="1"/>
      <c r="FI858" s="1"/>
      <c r="FJ858" s="1"/>
      <c r="FK858" s="1"/>
      <c r="FL858" s="1"/>
      <c r="FM858" s="1"/>
      <c r="FN858" s="1"/>
      <c r="FO858" s="1"/>
      <c r="FP858" s="1"/>
      <c r="FQ858" s="1"/>
      <c r="FR858" s="1"/>
      <c r="FS858" s="1"/>
      <c r="FT858" s="1"/>
      <c r="FU858" s="1"/>
      <c r="FV858" s="1"/>
      <c r="FW858" s="1"/>
      <c r="FX858" s="1"/>
      <c r="FY858" s="1"/>
      <c r="FZ858" s="1"/>
      <c r="GA858" s="1"/>
      <c r="GB858" s="1"/>
      <c r="GC858" s="1"/>
      <c r="GD858" s="1"/>
      <c r="GE858" s="1"/>
      <c r="GF858" s="1"/>
      <c r="GG858" s="1"/>
      <c r="GH858" s="1"/>
      <c r="GI858" s="1"/>
      <c r="GJ858" s="1"/>
      <c r="GK858" s="1"/>
      <c r="GL858" s="1"/>
      <c r="GM858" s="1"/>
      <c r="GN858" s="1"/>
      <c r="GO858" s="1"/>
      <c r="GP858" s="1"/>
      <c r="GQ858" s="1"/>
      <c r="GR858" s="1"/>
      <c r="GS858" s="1"/>
      <c r="GT858" s="1"/>
      <c r="GU858" s="1"/>
      <c r="GV858" s="1"/>
      <c r="GW858" s="1"/>
      <c r="GX858" s="1"/>
      <c r="GY858" s="1"/>
      <c r="GZ858" s="1"/>
      <c r="HA858" s="1"/>
      <c r="HB858" s="1"/>
      <c r="HC858" s="1"/>
      <c r="HD858" s="1"/>
      <c r="HE858" s="1"/>
      <c r="HF858" s="1"/>
      <c r="HG858" s="1"/>
      <c r="HH858" s="1"/>
      <c r="HI858" s="1"/>
      <c r="HJ858" s="1"/>
      <c r="HK858" s="1"/>
      <c r="HL858" s="1"/>
      <c r="HM858" s="1"/>
      <c r="HN858" s="1"/>
      <c r="HO858" s="1"/>
      <c r="HP858" s="1"/>
      <c r="HQ858" s="1"/>
      <c r="HR858" s="1"/>
      <c r="HS858" s="1"/>
      <c r="HT858" s="1"/>
      <c r="HU858" s="1"/>
      <c r="HV858" s="1"/>
      <c r="HW858" s="1"/>
      <c r="HX858" s="1"/>
      <c r="HY858" s="1"/>
      <c r="HZ858" s="1"/>
      <c r="IA858" s="1"/>
      <c r="IB858" s="1"/>
      <c r="IC858" s="1"/>
      <c r="ID858" s="1"/>
      <c r="IE858" s="1"/>
      <c r="IF858" s="1"/>
      <c r="IG858" s="1"/>
      <c r="IH858" s="1"/>
      <c r="II858" s="1"/>
      <c r="IJ858" s="1"/>
      <c r="IK858" s="1"/>
      <c r="IL858" s="1"/>
      <c r="IM858" s="1"/>
      <c r="IN858" s="1"/>
      <c r="IO858" s="1"/>
      <c r="IP858" s="1"/>
      <c r="IQ858" s="1"/>
      <c r="IR858" s="1"/>
      <c r="IS858" s="1"/>
      <c r="IT858" s="1"/>
      <c r="IU858" s="1"/>
      <c r="IV858" s="1"/>
      <c r="IW858" s="1"/>
      <c r="IX858" s="1"/>
      <c r="IY858" s="1"/>
      <c r="IZ858" s="1"/>
      <c r="JA858" s="1"/>
      <c r="JB858" s="1"/>
      <c r="JC858" s="1"/>
      <c r="JD858" s="1"/>
    </row>
    <row r="859" spans="1:264" s="347" customFormat="1" x14ac:dyDescent="0.2">
      <c r="A859" s="463" t="s">
        <v>602</v>
      </c>
      <c r="B859" s="466"/>
      <c r="C859" s="463"/>
      <c r="D859" s="463"/>
      <c r="E859" s="463"/>
      <c r="F859" s="463"/>
      <c r="G859" s="463"/>
      <c r="H859" s="463"/>
      <c r="I859" s="463"/>
      <c r="J859" s="463"/>
      <c r="K859" s="463"/>
      <c r="L859" s="463"/>
      <c r="M859" s="463"/>
      <c r="N859" s="463"/>
      <c r="O859" s="463"/>
      <c r="P859" s="463"/>
      <c r="Q859" s="463"/>
      <c r="R859" s="463"/>
      <c r="S859" s="463"/>
      <c r="T859" s="463"/>
      <c r="U859" s="463"/>
      <c r="V859" s="463"/>
      <c r="W859" s="463"/>
      <c r="X859" s="463"/>
      <c r="Y859" s="463"/>
      <c r="Z859" s="463"/>
      <c r="AA859" s="463"/>
      <c r="AB859" s="463"/>
      <c r="AC859" s="463"/>
      <c r="AD859" s="463"/>
      <c r="AE859" s="463"/>
      <c r="AF859" s="463"/>
      <c r="AG859" s="463"/>
      <c r="AH859" s="463"/>
      <c r="AI859" s="463"/>
      <c r="AJ859" s="463"/>
      <c r="AK859" s="463"/>
      <c r="AL859" s="463"/>
      <c r="AM859" s="463"/>
      <c r="AN859" s="463"/>
      <c r="AO859" s="463"/>
      <c r="AP859" s="463"/>
      <c r="AQ859" s="463"/>
      <c r="AR859" s="463"/>
      <c r="AS859" s="463"/>
      <c r="AT859" s="463"/>
      <c r="AU859" s="463"/>
      <c r="AV859" s="463"/>
      <c r="AW859" s="463"/>
      <c r="AX859" s="463"/>
      <c r="AY859" s="463"/>
      <c r="AZ859" s="463"/>
      <c r="BA859" s="463"/>
      <c r="BB859" s="463"/>
      <c r="BC859" s="463"/>
      <c r="BD859" s="463"/>
      <c r="BE859" s="463"/>
      <c r="BF859" s="463"/>
      <c r="BG859" s="463"/>
      <c r="BH859" s="464">
        <v>0</v>
      </c>
      <c r="BI859" s="464">
        <v>0</v>
      </c>
      <c r="BJ859" s="485">
        <f>+BI859+BH859</f>
        <v>0</v>
      </c>
      <c r="BK859" s="466"/>
      <c r="BL859" s="464">
        <v>0</v>
      </c>
      <c r="BM859" s="464">
        <v>0</v>
      </c>
      <c r="BN859" s="485">
        <f>+BM859+BL859</f>
        <v>0</v>
      </c>
      <c r="BO859" s="466"/>
      <c r="BP859" s="464">
        <v>0</v>
      </c>
      <c r="BQ859" s="464">
        <v>0</v>
      </c>
      <c r="BR859" s="485">
        <f>+BQ859+BP859</f>
        <v>0</v>
      </c>
      <c r="BS859" s="466"/>
      <c r="BT859" s="464">
        <v>0</v>
      </c>
      <c r="BU859" s="464">
        <v>0</v>
      </c>
      <c r="BV859" s="485">
        <f>+BU859+BT859</f>
        <v>0</v>
      </c>
      <c r="BW859" s="466"/>
      <c r="BX859" s="464">
        <v>0</v>
      </c>
      <c r="BY859" s="464">
        <v>0</v>
      </c>
      <c r="BZ859" s="485">
        <f>+BY859+BX859</f>
        <v>0</v>
      </c>
      <c r="CA859" s="466"/>
      <c r="CB859" s="464">
        <v>0</v>
      </c>
      <c r="CC859" s="464">
        <v>0</v>
      </c>
      <c r="CD859" s="485">
        <f>+CC859+CB859</f>
        <v>0</v>
      </c>
      <c r="CE859" s="466"/>
      <c r="CF859" s="464">
        <v>1055</v>
      </c>
      <c r="CG859" s="464">
        <v>0</v>
      </c>
      <c r="CH859" s="485">
        <f>+CG859+CF859</f>
        <v>1055</v>
      </c>
      <c r="CI859" s="466"/>
      <c r="CJ859" s="464">
        <v>0</v>
      </c>
      <c r="CK859" s="464">
        <v>0</v>
      </c>
      <c r="CL859" s="485">
        <f>+CK859+CJ859</f>
        <v>0</v>
      </c>
      <c r="CM859" s="466"/>
      <c r="CN859" s="464">
        <v>0</v>
      </c>
      <c r="CO859" s="464">
        <v>0</v>
      </c>
      <c r="CP859" s="485">
        <f>+CO859+CN859</f>
        <v>0</v>
      </c>
      <c r="CQ859" s="466"/>
      <c r="CR859" s="464">
        <v>0</v>
      </c>
      <c r="CS859" s="464">
        <v>0</v>
      </c>
      <c r="CT859" s="485">
        <f>+CS859+CR859</f>
        <v>0</v>
      </c>
      <c r="CU859" s="466"/>
      <c r="CV859" s="464">
        <v>0</v>
      </c>
      <c r="CW859" s="464">
        <v>0</v>
      </c>
      <c r="CX859" s="485">
        <f>+CW859+CV859</f>
        <v>0</v>
      </c>
      <c r="CY859" s="466"/>
      <c r="CZ859" s="464">
        <v>0</v>
      </c>
      <c r="DA859" s="464">
        <v>0</v>
      </c>
      <c r="DB859" s="485">
        <f>+DA859+CZ859</f>
        <v>0</v>
      </c>
      <c r="DC859" s="466"/>
      <c r="DD859" s="464">
        <v>0</v>
      </c>
      <c r="DE859" s="464">
        <v>0</v>
      </c>
      <c r="DF859" s="485">
        <f>+DE859+DD859</f>
        <v>0</v>
      </c>
      <c r="DG859" s="466"/>
      <c r="DH859" s="464">
        <v>0</v>
      </c>
      <c r="DI859" s="514">
        <v>0</v>
      </c>
      <c r="DJ859" s="485">
        <f>DI859</f>
        <v>0</v>
      </c>
      <c r="DK859" s="466"/>
      <c r="DL859" s="514">
        <v>0</v>
      </c>
      <c r="DM859" s="514">
        <v>0</v>
      </c>
      <c r="DN859" s="485">
        <f>DM859</f>
        <v>0</v>
      </c>
      <c r="DO859" s="466"/>
      <c r="DP859" s="514">
        <v>0</v>
      </c>
      <c r="DQ859" s="514">
        <v>0</v>
      </c>
      <c r="DR859" s="485">
        <f>DQ859</f>
        <v>0</v>
      </c>
      <c r="DS859" s="466"/>
      <c r="DT859" s="1"/>
      <c r="DU859" s="1"/>
      <c r="DV859" s="1"/>
      <c r="DW859" s="1"/>
      <c r="DX859" s="1"/>
      <c r="DY859" s="1"/>
      <c r="DZ859" s="1"/>
      <c r="EA859" s="1"/>
      <c r="EB859" s="1"/>
      <c r="EC859" s="1"/>
      <c r="ED859" s="1"/>
      <c r="EE859" s="1"/>
      <c r="EF859" s="1"/>
      <c r="EG859" s="1"/>
      <c r="EH859" s="1"/>
      <c r="EI859" s="1"/>
      <c r="EJ859" s="1"/>
      <c r="EK859" s="1"/>
      <c r="EL859" s="1"/>
      <c r="EM859" s="1"/>
      <c r="EN859" s="1"/>
      <c r="EO859" s="1"/>
      <c r="EP859" s="1"/>
      <c r="EQ859" s="1"/>
      <c r="ER859" s="1"/>
      <c r="ES859" s="1"/>
      <c r="ET859" s="1"/>
      <c r="EU859" s="1"/>
      <c r="EV859" s="1"/>
      <c r="EW859" s="1"/>
      <c r="EX859" s="1"/>
      <c r="EY859" s="1"/>
      <c r="EZ859" s="1"/>
      <c r="FA859" s="1"/>
      <c r="FB859" s="1"/>
      <c r="FC859" s="1"/>
      <c r="FD859" s="1"/>
      <c r="FE859" s="1"/>
      <c r="FF859" s="1"/>
      <c r="FG859" s="1"/>
      <c r="FH859" s="1"/>
      <c r="FI859" s="1"/>
      <c r="FJ859" s="1"/>
      <c r="FK859" s="1"/>
      <c r="FL859" s="1"/>
      <c r="FM859" s="1"/>
      <c r="FN859" s="1"/>
      <c r="FO859" s="1"/>
      <c r="FP859" s="1"/>
      <c r="FQ859" s="1"/>
      <c r="FR859" s="1"/>
      <c r="FS859" s="1"/>
      <c r="FT859" s="1"/>
      <c r="FU859" s="1"/>
      <c r="FV859" s="1"/>
      <c r="FW859" s="1"/>
      <c r="FX859" s="1"/>
      <c r="FY859" s="1"/>
      <c r="FZ859" s="1"/>
      <c r="GA859" s="1"/>
      <c r="GB859" s="1"/>
      <c r="GC859" s="1"/>
      <c r="GD859" s="1"/>
      <c r="GE859" s="1"/>
      <c r="GF859" s="1"/>
      <c r="GG859" s="1"/>
      <c r="GH859" s="1"/>
      <c r="GI859" s="1"/>
      <c r="GJ859" s="1"/>
      <c r="GK859" s="1"/>
      <c r="GL859" s="1"/>
      <c r="GM859" s="1"/>
      <c r="GN859" s="1"/>
      <c r="GO859" s="1"/>
      <c r="GP859" s="1"/>
      <c r="GQ859" s="1"/>
      <c r="GR859" s="1"/>
      <c r="GS859" s="1"/>
      <c r="GT859" s="1"/>
      <c r="GU859" s="1"/>
      <c r="GV859" s="1"/>
      <c r="GW859" s="1"/>
      <c r="GX859" s="1"/>
      <c r="GY859" s="1"/>
      <c r="GZ859" s="1"/>
      <c r="HA859" s="1"/>
      <c r="HB859" s="1"/>
      <c r="HC859" s="1"/>
      <c r="HD859" s="1"/>
      <c r="HE859" s="1"/>
      <c r="HF859" s="1"/>
      <c r="HG859" s="1"/>
      <c r="HH859" s="1"/>
      <c r="HI859" s="1"/>
      <c r="HJ859" s="1"/>
      <c r="HK859" s="1"/>
      <c r="HL859" s="1"/>
      <c r="HM859" s="1"/>
      <c r="HN859" s="1"/>
      <c r="HO859" s="1"/>
      <c r="HP859" s="1"/>
      <c r="HQ859" s="1"/>
      <c r="HR859" s="1"/>
      <c r="HS859" s="1"/>
      <c r="HT859" s="1"/>
      <c r="HU859" s="1"/>
      <c r="HV859" s="1"/>
      <c r="HW859" s="1"/>
      <c r="HX859" s="1"/>
      <c r="HY859" s="1"/>
      <c r="HZ859" s="1"/>
      <c r="IA859" s="1"/>
      <c r="IB859" s="1"/>
      <c r="IC859" s="1"/>
      <c r="ID859" s="1"/>
      <c r="IE859" s="1"/>
      <c r="IF859" s="1"/>
      <c r="IG859" s="1"/>
      <c r="IH859" s="1"/>
      <c r="II859" s="1"/>
      <c r="IJ859" s="1"/>
      <c r="IK859" s="1"/>
      <c r="IL859" s="1"/>
      <c r="IM859" s="1"/>
      <c r="IN859" s="1"/>
      <c r="IO859" s="1"/>
      <c r="IP859" s="1"/>
      <c r="IQ859" s="1"/>
      <c r="IR859" s="1"/>
      <c r="IS859" s="1"/>
      <c r="IT859" s="1"/>
      <c r="IU859" s="1"/>
      <c r="IV859" s="1"/>
      <c r="IW859" s="1"/>
      <c r="IX859" s="1"/>
      <c r="IY859" s="1"/>
      <c r="IZ859" s="1"/>
      <c r="JA859" s="1"/>
      <c r="JB859" s="1"/>
      <c r="JC859" s="1"/>
      <c r="JD859" s="1"/>
    </row>
    <row r="860" spans="1:264" s="347" customFormat="1" x14ac:dyDescent="0.2">
      <c r="A860" s="347" t="s">
        <v>603</v>
      </c>
      <c r="B860" s="348"/>
      <c r="BH860" s="351">
        <f>+BH861-BH859-BH858</f>
        <v>-167</v>
      </c>
      <c r="BI860" s="351">
        <f>+BI861-BI859-BI858</f>
        <v>0</v>
      </c>
      <c r="BJ860" s="351">
        <f>+BJ861-BJ859-BJ858</f>
        <v>-167</v>
      </c>
      <c r="BK860" s="348"/>
      <c r="BL860" s="351">
        <f>+BL861-BL859-BL858</f>
        <v>12</v>
      </c>
      <c r="BM860" s="351">
        <f>+BM861-BM859-BM858</f>
        <v>-91</v>
      </c>
      <c r="BN860" s="351">
        <f>+BN861-BN859-BN858</f>
        <v>-79</v>
      </c>
      <c r="BO860" s="348"/>
      <c r="BP860" s="351">
        <f>+BP861-BP859-BP858</f>
        <v>-16</v>
      </c>
      <c r="BQ860" s="351">
        <f>+BQ861-BQ859-BQ858</f>
        <v>-1</v>
      </c>
      <c r="BR860" s="351">
        <f>+BR861-BR859-BR858</f>
        <v>-17</v>
      </c>
      <c r="BT860" s="351">
        <f>+BT861-BT859-BT858</f>
        <v>39</v>
      </c>
      <c r="BU860" s="351">
        <f>+BU861-BU859-BU858</f>
        <v>17</v>
      </c>
      <c r="BV860" s="351">
        <f>+BV861-BV859-BV858</f>
        <v>56</v>
      </c>
      <c r="BX860" s="351">
        <f>+BX861-BX859-BX858</f>
        <v>-11</v>
      </c>
      <c r="BY860" s="351">
        <f>+BY861-BY859-BY858</f>
        <v>-60</v>
      </c>
      <c r="BZ860" s="351">
        <f>+BZ861-BZ859-BZ858</f>
        <v>-71</v>
      </c>
      <c r="CB860" s="351">
        <f>+CB861-CB859-CB858</f>
        <v>25</v>
      </c>
      <c r="CC860" s="351">
        <f>+CC861-CC859-CC858</f>
        <v>-9</v>
      </c>
      <c r="CD860" s="351">
        <f>+CD861-CD859-CD858</f>
        <v>16</v>
      </c>
      <c r="CF860" s="351">
        <f>+CF861-CF859-CF858</f>
        <v>-4</v>
      </c>
      <c r="CG860" s="351">
        <f>+CG861-CG859-CG858</f>
        <v>90</v>
      </c>
      <c r="CH860" s="351">
        <f>+CH861-CH859-CH858</f>
        <v>86</v>
      </c>
      <c r="CJ860" s="351">
        <f>+CJ861-CJ859-CJ858</f>
        <v>163</v>
      </c>
      <c r="CK860" s="351">
        <f>+CK861-CK859-CK858</f>
        <v>1329</v>
      </c>
      <c r="CL860" s="351">
        <f>+CL861-CL859-CL858</f>
        <v>1492</v>
      </c>
      <c r="CN860" s="351">
        <f>+CN861-CN859-CN858</f>
        <v>547</v>
      </c>
      <c r="CO860" s="351">
        <f>+CO861-CO859-CO858</f>
        <v>-632</v>
      </c>
      <c r="CP860" s="351">
        <f>+CP861-CP859-CP858</f>
        <v>-85</v>
      </c>
      <c r="CR860" s="351">
        <f>+CR861-CR859-CR858</f>
        <v>-249</v>
      </c>
      <c r="CS860" s="351">
        <f>+CS861-CS859-CS858</f>
        <v>-451</v>
      </c>
      <c r="CT860" s="351">
        <f>+CT861-CT859-CT858</f>
        <v>-700</v>
      </c>
      <c r="CV860" s="351">
        <f>+CV861-CV859-CV858</f>
        <v>289</v>
      </c>
      <c r="CW860" s="351">
        <f>+CW861-CW859-CW858</f>
        <v>296</v>
      </c>
      <c r="CX860" s="351">
        <f>+CX861-CX859-CX858</f>
        <v>585</v>
      </c>
      <c r="CZ860" s="351">
        <f>+CZ861-CZ859-CZ858</f>
        <v>134</v>
      </c>
      <c r="DA860" s="351">
        <f>+DA861-DA859-DA858</f>
        <v>93</v>
      </c>
      <c r="DB860" s="351">
        <f>+DB861-DB859-DB858</f>
        <v>227</v>
      </c>
      <c r="DD860" s="351">
        <f>+DD861-DD859-DD858</f>
        <v>69</v>
      </c>
      <c r="DE860" s="351">
        <f>+DE861-DE859-DE858</f>
        <v>69</v>
      </c>
      <c r="DF860" s="351">
        <f>+DF861-DF859-DF858</f>
        <v>138</v>
      </c>
      <c r="DH860" s="351">
        <f>+DH861-DH859-DH858</f>
        <v>-19</v>
      </c>
      <c r="DI860" s="351">
        <f ca="1">+DI861-DI859-DI858</f>
        <v>19.303884923665464</v>
      </c>
      <c r="DJ860" s="351">
        <f ca="1">+DI860+DH860</f>
        <v>0.30388492366546416</v>
      </c>
      <c r="DL860" s="351">
        <f ca="1">+DL861-DL859-DL858</f>
        <v>21.716207034733088</v>
      </c>
      <c r="DM860" s="351">
        <f ca="1">+DM861-DM859-DM858</f>
        <v>48.293062631310931</v>
      </c>
      <c r="DN860" s="351">
        <f ca="1">+DM860+DL860</f>
        <v>70.00926966604402</v>
      </c>
      <c r="DP860" s="351">
        <f ca="1">+DP861-DP859-DP858</f>
        <v>128.35686976036959</v>
      </c>
      <c r="DQ860" s="351">
        <f ca="1">+DQ861-DQ859-DQ858</f>
        <v>150.20653978547853</v>
      </c>
      <c r="DR860" s="351">
        <f ca="1">+DQ860+DP860</f>
        <v>278.56340954584812</v>
      </c>
      <c r="DT860" s="1"/>
      <c r="DU860" s="1"/>
      <c r="DV860" s="1"/>
      <c r="DW860" s="1"/>
      <c r="DX860" s="1"/>
      <c r="DY860" s="1"/>
      <c r="DZ860" s="1"/>
      <c r="EA860" s="1"/>
      <c r="EB860" s="1"/>
      <c r="EC860" s="1"/>
      <c r="ED860" s="1"/>
      <c r="EE860" s="1"/>
      <c r="EF860" s="1"/>
      <c r="EG860" s="1"/>
      <c r="EH860" s="1"/>
      <c r="EI860" s="1"/>
      <c r="EJ860" s="1"/>
      <c r="EK860" s="1"/>
      <c r="EL860" s="1"/>
      <c r="EM860" s="1"/>
      <c r="EN860" s="1"/>
      <c r="EO860" s="1"/>
      <c r="EP860" s="1"/>
      <c r="EQ860" s="1"/>
      <c r="ER860" s="1"/>
      <c r="ES860" s="1"/>
      <c r="ET860" s="1"/>
      <c r="EU860" s="1"/>
      <c r="EV860" s="1"/>
      <c r="EW860" s="1"/>
      <c r="EX860" s="1"/>
      <c r="EY860" s="1"/>
      <c r="EZ860" s="1"/>
      <c r="FA860" s="1"/>
      <c r="FB860" s="1"/>
      <c r="FC860" s="1"/>
      <c r="FD860" s="1"/>
      <c r="FE860" s="1"/>
      <c r="FF860" s="1"/>
      <c r="FG860" s="1"/>
      <c r="FH860" s="1"/>
      <c r="FI860" s="1"/>
      <c r="FJ860" s="1"/>
      <c r="FK860" s="1"/>
      <c r="FL860" s="1"/>
      <c r="FM860" s="1"/>
      <c r="FN860" s="1"/>
      <c r="FO860" s="1"/>
      <c r="FP860" s="1"/>
      <c r="FQ860" s="1"/>
      <c r="FR860" s="1"/>
      <c r="FS860" s="1"/>
      <c r="FT860" s="1"/>
      <c r="FU860" s="1"/>
      <c r="FV860" s="1"/>
      <c r="FW860" s="1"/>
      <c r="FX860" s="1"/>
      <c r="FY860" s="1"/>
      <c r="FZ860" s="1"/>
      <c r="GA860" s="1"/>
      <c r="GB860" s="1"/>
      <c r="GC860" s="1"/>
      <c r="GD860" s="1"/>
      <c r="GE860" s="1"/>
      <c r="GF860" s="1"/>
      <c r="GG860" s="1"/>
      <c r="GH860" s="1"/>
      <c r="GI860" s="1"/>
      <c r="GJ860" s="1"/>
      <c r="GK860" s="1"/>
      <c r="GL860" s="1"/>
      <c r="GM860" s="1"/>
      <c r="GN860" s="1"/>
      <c r="GO860" s="1"/>
      <c r="GP860" s="1"/>
      <c r="GQ860" s="1"/>
      <c r="GR860" s="1"/>
      <c r="GS860" s="1"/>
      <c r="GT860" s="1"/>
      <c r="GU860" s="1"/>
      <c r="GV860" s="1"/>
      <c r="GW860" s="1"/>
      <c r="GX860" s="1"/>
      <c r="GY860" s="1"/>
      <c r="GZ860" s="1"/>
      <c r="HA860" s="1"/>
      <c r="HB860" s="1"/>
      <c r="HC860" s="1"/>
      <c r="HD860" s="1"/>
      <c r="HE860" s="1"/>
      <c r="HF860" s="1"/>
      <c r="HG860" s="1"/>
      <c r="HH860" s="1"/>
      <c r="HI860" s="1"/>
      <c r="HJ860" s="1"/>
      <c r="HK860" s="1"/>
      <c r="HL860" s="1"/>
      <c r="HM860" s="1"/>
      <c r="HN860" s="1"/>
      <c r="HO860" s="1"/>
      <c r="HP860" s="1"/>
      <c r="HQ860" s="1"/>
      <c r="HR860" s="1"/>
      <c r="HS860" s="1"/>
      <c r="HT860" s="1"/>
      <c r="HU860" s="1"/>
      <c r="HV860" s="1"/>
      <c r="HW860" s="1"/>
      <c r="HX860" s="1"/>
      <c r="HY860" s="1"/>
      <c r="HZ860" s="1"/>
      <c r="IA860" s="1"/>
      <c r="IB860" s="1"/>
      <c r="IC860" s="1"/>
      <c r="ID860" s="1"/>
      <c r="IE860" s="1"/>
      <c r="IF860" s="1"/>
      <c r="IG860" s="1"/>
      <c r="IH860" s="1"/>
      <c r="II860" s="1"/>
      <c r="IJ860" s="1"/>
      <c r="IK860" s="1"/>
      <c r="IL860" s="1"/>
      <c r="IM860" s="1"/>
      <c r="IN860" s="1"/>
      <c r="IO860" s="1"/>
      <c r="IP860" s="1"/>
      <c r="IQ860" s="1"/>
      <c r="IR860" s="1"/>
      <c r="IS860" s="1"/>
      <c r="IT860" s="1"/>
      <c r="IU860" s="1"/>
      <c r="IV860" s="1"/>
      <c r="IW860" s="1"/>
      <c r="IX860" s="1"/>
      <c r="IY860" s="1"/>
      <c r="IZ860" s="1"/>
      <c r="JA860" s="1"/>
      <c r="JB860" s="1"/>
      <c r="JC860" s="1"/>
      <c r="JD860" s="1"/>
    </row>
    <row r="861" spans="1:264" s="347" customFormat="1" x14ac:dyDescent="0.2">
      <c r="A861" s="347" t="s">
        <v>604</v>
      </c>
      <c r="B861" s="348"/>
      <c r="BH861" s="351">
        <f>-BH251</f>
        <v>2858</v>
      </c>
      <c r="BI861" s="351">
        <f>-BI251</f>
        <v>2858</v>
      </c>
      <c r="BJ861" s="351">
        <f>-BJ251</f>
        <v>2858</v>
      </c>
      <c r="BK861" s="348"/>
      <c r="BL861" s="351">
        <f>-BL251</f>
        <v>2870</v>
      </c>
      <c r="BM861" s="351">
        <f>-BM251</f>
        <v>2779</v>
      </c>
      <c r="BN861" s="351">
        <f>-BN251</f>
        <v>2779</v>
      </c>
      <c r="BO861" s="348"/>
      <c r="BP861" s="351">
        <f>-BP251</f>
        <v>2763</v>
      </c>
      <c r="BQ861" s="351">
        <f>-BQ251</f>
        <v>2762</v>
      </c>
      <c r="BR861" s="351">
        <f>-BR251</f>
        <v>2762</v>
      </c>
      <c r="BT861" s="351">
        <f>-BT251</f>
        <v>2801</v>
      </c>
      <c r="BU861" s="351">
        <f>-BU251</f>
        <v>2818</v>
      </c>
      <c r="BV861" s="351">
        <f>-BV251</f>
        <v>2818</v>
      </c>
      <c r="BX861" s="351">
        <f>-BX251</f>
        <v>2807</v>
      </c>
      <c r="BY861" s="351">
        <f>-BY251</f>
        <v>2747</v>
      </c>
      <c r="BZ861" s="351">
        <f>-BZ251</f>
        <v>2747</v>
      </c>
      <c r="CB861" s="351">
        <f>-CB251</f>
        <v>2772</v>
      </c>
      <c r="CC861" s="351">
        <f>-CC251</f>
        <v>2763</v>
      </c>
      <c r="CD861" s="351">
        <f>-CD251</f>
        <v>2763</v>
      </c>
      <c r="CF861" s="351">
        <f>-CF251</f>
        <v>3814</v>
      </c>
      <c r="CG861" s="351">
        <f>-CG251</f>
        <v>3904</v>
      </c>
      <c r="CH861" s="351">
        <f>-CH251</f>
        <v>3904</v>
      </c>
      <c r="CJ861" s="351">
        <f>-CJ251</f>
        <v>4067</v>
      </c>
      <c r="CK861" s="351">
        <f>-CK251</f>
        <v>5396</v>
      </c>
      <c r="CL861" s="351">
        <f>-CL251</f>
        <v>5396</v>
      </c>
      <c r="CN861" s="351">
        <f>-CN251</f>
        <v>5943</v>
      </c>
      <c r="CO861" s="351">
        <f>-CO251</f>
        <v>5311</v>
      </c>
      <c r="CP861" s="351">
        <f>-CP251</f>
        <v>5311</v>
      </c>
      <c r="CR861" s="351">
        <f>-CR251</f>
        <v>5062</v>
      </c>
      <c r="CS861" s="351">
        <f>-CS251</f>
        <v>4611</v>
      </c>
      <c r="CT861" s="351">
        <f>-CT251</f>
        <v>4611</v>
      </c>
      <c r="CV861" s="351">
        <f>-CV251</f>
        <v>4900</v>
      </c>
      <c r="CW861" s="351">
        <f>-CW251</f>
        <v>5196</v>
      </c>
      <c r="CX861" s="351">
        <f>-CX251</f>
        <v>5196</v>
      </c>
      <c r="CZ861" s="351">
        <f>-CZ251</f>
        <v>5330</v>
      </c>
      <c r="DA861" s="351">
        <f>-DA251</f>
        <v>5423</v>
      </c>
      <c r="DB861" s="351">
        <f>-DB251</f>
        <v>5423</v>
      </c>
      <c r="DD861" s="351">
        <f>-DD251</f>
        <v>5492</v>
      </c>
      <c r="DE861" s="351">
        <f>-DE251</f>
        <v>5561</v>
      </c>
      <c r="DF861" s="351">
        <f>-DF251</f>
        <v>5561</v>
      </c>
      <c r="DH861" s="351">
        <f>-DH251</f>
        <v>5542</v>
      </c>
      <c r="DI861" s="351">
        <f ca="1">-DI251</f>
        <v>5561.3038849236655</v>
      </c>
      <c r="DJ861" s="351">
        <f ca="1">-DJ251</f>
        <v>5561.3038849236655</v>
      </c>
      <c r="DL861" s="351">
        <f ca="1">-DL251</f>
        <v>5583.0200919583986</v>
      </c>
      <c r="DM861" s="351">
        <f ca="1">-DM251</f>
        <v>5631.3131545897095</v>
      </c>
      <c r="DN861" s="351">
        <f ca="1">-DN251</f>
        <v>5631.3131545897095</v>
      </c>
      <c r="DP861" s="351">
        <f ca="1">-DP251</f>
        <v>5759.6700243500791</v>
      </c>
      <c r="DQ861" s="351">
        <f ca="1">-DQ251</f>
        <v>5909.8765641355576</v>
      </c>
      <c r="DR861" s="351">
        <f ca="1">-DR251</f>
        <v>5909.8765641355576</v>
      </c>
      <c r="DT861" s="1"/>
      <c r="DU861" s="1"/>
      <c r="DV861" s="1"/>
      <c r="DW861" s="1"/>
      <c r="DX861" s="1"/>
      <c r="DY861" s="1"/>
      <c r="DZ861" s="1"/>
      <c r="EA861" s="1"/>
      <c r="EB861" s="1"/>
      <c r="EC861" s="1"/>
      <c r="ED861" s="1"/>
      <c r="EE861" s="1"/>
      <c r="EF861" s="1"/>
      <c r="EG861" s="1"/>
      <c r="EH861" s="1"/>
      <c r="EI861" s="1"/>
      <c r="EJ861" s="1"/>
      <c r="EK861" s="1"/>
      <c r="EL861" s="1"/>
      <c r="EM861" s="1"/>
      <c r="EN861" s="1"/>
      <c r="EO861" s="1"/>
      <c r="EP861" s="1"/>
      <c r="EQ861" s="1"/>
      <c r="ER861" s="1"/>
      <c r="ES861" s="1"/>
      <c r="ET861" s="1"/>
      <c r="EU861" s="1"/>
      <c r="EV861" s="1"/>
      <c r="EW861" s="1"/>
      <c r="EX861" s="1"/>
      <c r="EY861" s="1"/>
      <c r="EZ861" s="1"/>
      <c r="FA861" s="1"/>
      <c r="FB861" s="1"/>
      <c r="FC861" s="1"/>
      <c r="FD861" s="1"/>
      <c r="FE861" s="1"/>
      <c r="FF861" s="1"/>
      <c r="FG861" s="1"/>
      <c r="FH861" s="1"/>
      <c r="FI861" s="1"/>
      <c r="FJ861" s="1"/>
      <c r="FK861" s="1"/>
      <c r="FL861" s="1"/>
      <c r="FM861" s="1"/>
      <c r="FN861" s="1"/>
      <c r="FO861" s="1"/>
      <c r="FP861" s="1"/>
      <c r="FQ861" s="1"/>
      <c r="FR861" s="1"/>
      <c r="FS861" s="1"/>
      <c r="FT861" s="1"/>
      <c r="FU861" s="1"/>
      <c r="FV861" s="1"/>
      <c r="FW861" s="1"/>
      <c r="FX861" s="1"/>
      <c r="FY861" s="1"/>
      <c r="FZ861" s="1"/>
      <c r="GA861" s="1"/>
      <c r="GB861" s="1"/>
      <c r="GC861" s="1"/>
      <c r="GD861" s="1"/>
      <c r="GE861" s="1"/>
      <c r="GF861" s="1"/>
      <c r="GG861" s="1"/>
      <c r="GH861" s="1"/>
      <c r="GI861" s="1"/>
      <c r="GJ861" s="1"/>
      <c r="GK861" s="1"/>
      <c r="GL861" s="1"/>
      <c r="GM861" s="1"/>
      <c r="GN861" s="1"/>
      <c r="GO861" s="1"/>
      <c r="GP861" s="1"/>
      <c r="GQ861" s="1"/>
      <c r="GR861" s="1"/>
      <c r="GS861" s="1"/>
      <c r="GT861" s="1"/>
      <c r="GU861" s="1"/>
      <c r="GV861" s="1"/>
      <c r="GW861" s="1"/>
      <c r="GX861" s="1"/>
      <c r="GY861" s="1"/>
      <c r="GZ861" s="1"/>
      <c r="HA861" s="1"/>
      <c r="HB861" s="1"/>
      <c r="HC861" s="1"/>
      <c r="HD861" s="1"/>
      <c r="HE861" s="1"/>
      <c r="HF861" s="1"/>
      <c r="HG861" s="1"/>
      <c r="HH861" s="1"/>
      <c r="HI861" s="1"/>
      <c r="HJ861" s="1"/>
      <c r="HK861" s="1"/>
      <c r="HL861" s="1"/>
      <c r="HM861" s="1"/>
      <c r="HN861" s="1"/>
      <c r="HO861" s="1"/>
      <c r="HP861" s="1"/>
      <c r="HQ861" s="1"/>
      <c r="HR861" s="1"/>
      <c r="HS861" s="1"/>
      <c r="HT861" s="1"/>
      <c r="HU861" s="1"/>
      <c r="HV861" s="1"/>
      <c r="HW861" s="1"/>
      <c r="HX861" s="1"/>
      <c r="HY861" s="1"/>
      <c r="HZ861" s="1"/>
      <c r="IA861" s="1"/>
      <c r="IB861" s="1"/>
      <c r="IC861" s="1"/>
      <c r="ID861" s="1"/>
      <c r="IE861" s="1"/>
      <c r="IF861" s="1"/>
      <c r="IG861" s="1"/>
      <c r="IH861" s="1"/>
      <c r="II861" s="1"/>
      <c r="IJ861" s="1"/>
      <c r="IK861" s="1"/>
      <c r="IL861" s="1"/>
      <c r="IM861" s="1"/>
      <c r="IN861" s="1"/>
      <c r="IO861" s="1"/>
      <c r="IP861" s="1"/>
      <c r="IQ861" s="1"/>
      <c r="IR861" s="1"/>
      <c r="IS861" s="1"/>
      <c r="IT861" s="1"/>
      <c r="IU861" s="1"/>
      <c r="IV861" s="1"/>
      <c r="IW861" s="1"/>
      <c r="IX861" s="1"/>
      <c r="IY861" s="1"/>
      <c r="IZ861" s="1"/>
      <c r="JA861" s="1"/>
      <c r="JB861" s="1"/>
      <c r="JC861" s="1"/>
      <c r="JD861" s="1"/>
    </row>
    <row r="862" spans="1:264" s="347" customFormat="1" x14ac:dyDescent="0.2">
      <c r="A862" s="347" t="s">
        <v>603</v>
      </c>
      <c r="B862" s="348"/>
      <c r="BH862" s="351">
        <f>BH860</f>
        <v>-167</v>
      </c>
      <c r="BI862" s="351">
        <f>BI860</f>
        <v>0</v>
      </c>
      <c r="BJ862" s="351">
        <f>BJ860</f>
        <v>-167</v>
      </c>
      <c r="BK862" s="348"/>
      <c r="BL862" s="351">
        <f>BL860</f>
        <v>12</v>
      </c>
      <c r="BM862" s="351">
        <f>BM860</f>
        <v>-91</v>
      </c>
      <c r="BN862" s="351">
        <f>BN860</f>
        <v>-79</v>
      </c>
      <c r="BO862" s="348"/>
      <c r="BP862" s="351">
        <f>BP860</f>
        <v>-16</v>
      </c>
      <c r="BQ862" s="351">
        <f>BQ860</f>
        <v>-1</v>
      </c>
      <c r="BR862" s="351">
        <f>BR860</f>
        <v>-17</v>
      </c>
      <c r="BT862" s="351">
        <f>BT860</f>
        <v>39</v>
      </c>
      <c r="BU862" s="351">
        <f>BU860</f>
        <v>17</v>
      </c>
      <c r="BV862" s="351">
        <f>BV860</f>
        <v>56</v>
      </c>
      <c r="BX862" s="351">
        <f>BX860</f>
        <v>-11</v>
      </c>
      <c r="BY862" s="351">
        <f>BY860</f>
        <v>-60</v>
      </c>
      <c r="BZ862" s="351">
        <f>BZ860</f>
        <v>-71</v>
      </c>
      <c r="CB862" s="351">
        <f>CB860</f>
        <v>25</v>
      </c>
      <c r="CC862" s="351">
        <f>CC860</f>
        <v>-9</v>
      </c>
      <c r="CD862" s="351">
        <f>CD860</f>
        <v>16</v>
      </c>
      <c r="CF862" s="351">
        <f>CF860</f>
        <v>-4</v>
      </c>
      <c r="CG862" s="351">
        <f>CG860</f>
        <v>90</v>
      </c>
      <c r="CH862" s="351">
        <f>CH860</f>
        <v>86</v>
      </c>
      <c r="CJ862" s="351">
        <f>CJ860</f>
        <v>163</v>
      </c>
      <c r="CK862" s="351">
        <f>CK860</f>
        <v>1329</v>
      </c>
      <c r="CL862" s="351">
        <f>CL860</f>
        <v>1492</v>
      </c>
      <c r="CN862" s="351">
        <f>CN860</f>
        <v>547</v>
      </c>
      <c r="CO862" s="351">
        <f>CO860</f>
        <v>-632</v>
      </c>
      <c r="CP862" s="351">
        <f>CP860</f>
        <v>-85</v>
      </c>
      <c r="CR862" s="351">
        <f>CR860</f>
        <v>-249</v>
      </c>
      <c r="CS862" s="351">
        <f>CS860</f>
        <v>-451</v>
      </c>
      <c r="CT862" s="351">
        <f>CT860</f>
        <v>-700</v>
      </c>
      <c r="CV862" s="351">
        <f>CV860</f>
        <v>289</v>
      </c>
      <c r="CW862" s="351">
        <f>CW860</f>
        <v>296</v>
      </c>
      <c r="CX862" s="351">
        <f>CX860</f>
        <v>585</v>
      </c>
      <c r="CZ862" s="351">
        <f>CZ860</f>
        <v>134</v>
      </c>
      <c r="DA862" s="351">
        <f>DA860</f>
        <v>93</v>
      </c>
      <c r="DB862" s="351">
        <f>DB860</f>
        <v>227</v>
      </c>
      <c r="DD862" s="351">
        <f>DD860</f>
        <v>69</v>
      </c>
      <c r="DE862" s="351">
        <f>DE860</f>
        <v>69</v>
      </c>
      <c r="DF862" s="351">
        <f>DF860</f>
        <v>138</v>
      </c>
      <c r="DH862" s="351">
        <f>DH860</f>
        <v>-19</v>
      </c>
      <c r="DI862" s="351">
        <f ca="1">DI860</f>
        <v>19.303884923665464</v>
      </c>
      <c r="DJ862" s="351">
        <f ca="1">DJ860</f>
        <v>0.30388492366546416</v>
      </c>
      <c r="DL862" s="351">
        <f ca="1">DL860</f>
        <v>21.716207034733088</v>
      </c>
      <c r="DM862" s="351">
        <f ca="1">DM860</f>
        <v>48.293062631310931</v>
      </c>
      <c r="DN862" s="351">
        <f ca="1">DN860</f>
        <v>70.00926966604402</v>
      </c>
      <c r="DP862" s="351">
        <f ca="1">DP860</f>
        <v>128.35686976036959</v>
      </c>
      <c r="DQ862" s="351">
        <f ca="1">DQ860</f>
        <v>150.20653978547853</v>
      </c>
      <c r="DR862" s="351">
        <f ca="1">DR860</f>
        <v>278.56340954584812</v>
      </c>
      <c r="DT862" s="1"/>
      <c r="DU862" s="1"/>
      <c r="DV862" s="1"/>
      <c r="DW862" s="1"/>
      <c r="DX862" s="1"/>
      <c r="DY862" s="1"/>
      <c r="DZ862" s="1"/>
      <c r="EA862" s="1"/>
      <c r="EB862" s="1"/>
      <c r="EC862" s="1"/>
      <c r="ED862" s="1"/>
      <c r="EE862" s="1"/>
      <c r="EF862" s="1"/>
      <c r="EG862" s="1"/>
      <c r="EH862" s="1"/>
      <c r="EI862" s="1"/>
      <c r="EJ862" s="1"/>
      <c r="EK862" s="1"/>
      <c r="EL862" s="1"/>
      <c r="EM862" s="1"/>
      <c r="EN862" s="1"/>
      <c r="EO862" s="1"/>
      <c r="EP862" s="1"/>
      <c r="EQ862" s="1"/>
      <c r="ER862" s="1"/>
      <c r="ES862" s="1"/>
      <c r="ET862" s="1"/>
      <c r="EU862" s="1"/>
      <c r="EV862" s="1"/>
      <c r="EW862" s="1"/>
      <c r="EX862" s="1"/>
      <c r="EY862" s="1"/>
      <c r="EZ862" s="1"/>
      <c r="FA862" s="1"/>
      <c r="FB862" s="1"/>
      <c r="FC862" s="1"/>
      <c r="FD862" s="1"/>
      <c r="FE862" s="1"/>
      <c r="FF862" s="1"/>
      <c r="FG862" s="1"/>
      <c r="FH862" s="1"/>
      <c r="FI862" s="1"/>
      <c r="FJ862" s="1"/>
      <c r="FK862" s="1"/>
      <c r="FL862" s="1"/>
      <c r="FM862" s="1"/>
      <c r="FN862" s="1"/>
      <c r="FO862" s="1"/>
      <c r="FP862" s="1"/>
      <c r="FQ862" s="1"/>
      <c r="FR862" s="1"/>
      <c r="FS862" s="1"/>
      <c r="FT862" s="1"/>
      <c r="FU862" s="1"/>
      <c r="FV862" s="1"/>
      <c r="FW862" s="1"/>
      <c r="FX862" s="1"/>
      <c r="FY862" s="1"/>
      <c r="FZ862" s="1"/>
      <c r="GA862" s="1"/>
      <c r="GB862" s="1"/>
      <c r="GC862" s="1"/>
      <c r="GD862" s="1"/>
      <c r="GE862" s="1"/>
      <c r="GF862" s="1"/>
      <c r="GG862" s="1"/>
      <c r="GH862" s="1"/>
      <c r="GI862" s="1"/>
      <c r="GJ862" s="1"/>
      <c r="GK862" s="1"/>
      <c r="GL862" s="1"/>
      <c r="GM862" s="1"/>
      <c r="GN862" s="1"/>
      <c r="GO862" s="1"/>
      <c r="GP862" s="1"/>
      <c r="GQ862" s="1"/>
      <c r="GR862" s="1"/>
      <c r="GS862" s="1"/>
      <c r="GT862" s="1"/>
      <c r="GU862" s="1"/>
      <c r="GV862" s="1"/>
      <c r="GW862" s="1"/>
      <c r="GX862" s="1"/>
      <c r="GY862" s="1"/>
      <c r="GZ862" s="1"/>
      <c r="HA862" s="1"/>
      <c r="HB862" s="1"/>
      <c r="HC862" s="1"/>
      <c r="HD862" s="1"/>
      <c r="HE862" s="1"/>
      <c r="HF862" s="1"/>
      <c r="HG862" s="1"/>
      <c r="HH862" s="1"/>
      <c r="HI862" s="1"/>
      <c r="HJ862" s="1"/>
      <c r="HK862" s="1"/>
      <c r="HL862" s="1"/>
      <c r="HM862" s="1"/>
      <c r="HN862" s="1"/>
      <c r="HO862" s="1"/>
      <c r="HP862" s="1"/>
      <c r="HQ862" s="1"/>
      <c r="HR862" s="1"/>
      <c r="HS862" s="1"/>
      <c r="HT862" s="1"/>
      <c r="HU862" s="1"/>
      <c r="HV862" s="1"/>
      <c r="HW862" s="1"/>
      <c r="HX862" s="1"/>
      <c r="HY862" s="1"/>
      <c r="HZ862" s="1"/>
      <c r="IA862" s="1"/>
      <c r="IB862" s="1"/>
      <c r="IC862" s="1"/>
      <c r="ID862" s="1"/>
      <c r="IE862" s="1"/>
      <c r="IF862" s="1"/>
      <c r="IG862" s="1"/>
      <c r="IH862" s="1"/>
      <c r="II862" s="1"/>
      <c r="IJ862" s="1"/>
      <c r="IK862" s="1"/>
      <c r="IL862" s="1"/>
      <c r="IM862" s="1"/>
      <c r="IN862" s="1"/>
      <c r="IO862" s="1"/>
      <c r="IP862" s="1"/>
      <c r="IQ862" s="1"/>
      <c r="IR862" s="1"/>
      <c r="IS862" s="1"/>
      <c r="IT862" s="1"/>
      <c r="IU862" s="1"/>
      <c r="IV862" s="1"/>
      <c r="IW862" s="1"/>
      <c r="IX862" s="1"/>
      <c r="IY862" s="1"/>
      <c r="IZ862" s="1"/>
      <c r="JA862" s="1"/>
      <c r="JB862" s="1"/>
      <c r="JC862" s="1"/>
      <c r="JD862" s="1"/>
    </row>
    <row r="863" spans="1:264" s="347" customFormat="1" x14ac:dyDescent="0.2">
      <c r="A863" s="347" t="s">
        <v>605</v>
      </c>
      <c r="B863" s="348"/>
      <c r="BH863" s="351">
        <f>+BH864-BH862</f>
        <v>783</v>
      </c>
      <c r="BI863" s="351">
        <f>+BI864-BI862</f>
        <v>466</v>
      </c>
      <c r="BJ863" s="351">
        <f>+BJ864-BJ862</f>
        <v>1249</v>
      </c>
      <c r="BK863" s="348"/>
      <c r="BL863" s="351">
        <f>+BL864-BL862</f>
        <v>445</v>
      </c>
      <c r="BM863" s="351">
        <f>+BM864-BM862</f>
        <v>587</v>
      </c>
      <c r="BN863" s="351">
        <f>+BN864-BN862</f>
        <v>1032</v>
      </c>
      <c r="BO863" s="348"/>
      <c r="BP863" s="351">
        <f>+BP864-BP862</f>
        <v>456</v>
      </c>
      <c r="BQ863" s="351">
        <f>+BQ864-BQ862</f>
        <v>549</v>
      </c>
      <c r="BR863" s="351">
        <f>+BR864-BR862</f>
        <v>1005</v>
      </c>
      <c r="BT863" s="351">
        <f>+BT864-BT862</f>
        <v>525</v>
      </c>
      <c r="BU863" s="351">
        <f>+BU864-BU862</f>
        <v>675</v>
      </c>
      <c r="BV863" s="351">
        <f>+BV864-BV862</f>
        <v>1200</v>
      </c>
      <c r="BX863" s="351">
        <f>+BX864-BX862</f>
        <v>610</v>
      </c>
      <c r="BY863" s="351">
        <f>+BY864-BY862</f>
        <v>556</v>
      </c>
      <c r="BZ863" s="351">
        <f>+BZ864-BZ862</f>
        <v>1166</v>
      </c>
      <c r="CB863" s="351">
        <f>+CB864-CB862</f>
        <v>571</v>
      </c>
      <c r="CC863" s="351">
        <f>+CC864-CC862</f>
        <v>492</v>
      </c>
      <c r="CD863" s="351">
        <f>+CD864-CD862</f>
        <v>1063</v>
      </c>
      <c r="CF863" s="351">
        <f>+CF864-CF862</f>
        <v>581</v>
      </c>
      <c r="CG863" s="351">
        <f>+CG864-CG862</f>
        <v>534</v>
      </c>
      <c r="CH863" s="351">
        <f>+CH864-CH862</f>
        <v>1115</v>
      </c>
      <c r="CJ863" s="351">
        <f>+CJ864-CJ862</f>
        <v>486</v>
      </c>
      <c r="CK863" s="351">
        <f>+CK864-CK862</f>
        <v>540</v>
      </c>
      <c r="CL863" s="351">
        <f>+CL864-CL862</f>
        <v>1026</v>
      </c>
      <c r="CN863" s="351">
        <f>+CN864-CN862</f>
        <v>335</v>
      </c>
      <c r="CO863" s="351">
        <f>+CO864-CO862</f>
        <v>304</v>
      </c>
      <c r="CP863" s="351">
        <f>+CP864-CP862</f>
        <v>639</v>
      </c>
      <c r="CR863" s="351">
        <f>+CR864-CR862</f>
        <v>174</v>
      </c>
      <c r="CS863" s="351">
        <f>+CS864-CS862</f>
        <v>169</v>
      </c>
      <c r="CT863" s="351">
        <f>+CT864-CT862</f>
        <v>343</v>
      </c>
      <c r="CV863" s="351">
        <f>+CV864-CV862</f>
        <v>222</v>
      </c>
      <c r="CW863" s="351">
        <f>+CW864-CW862</f>
        <v>301</v>
      </c>
      <c r="CX863" s="351">
        <f>+CX864-CX862</f>
        <v>523</v>
      </c>
      <c r="CZ863" s="351">
        <f>+CZ864-CZ862</f>
        <v>281</v>
      </c>
      <c r="DA863" s="351">
        <f>+DA864-DA862</f>
        <v>294</v>
      </c>
      <c r="DB863" s="351">
        <f>+DB864-DB862</f>
        <v>575</v>
      </c>
      <c r="DD863" s="351">
        <f>+DD864-DD862</f>
        <v>251</v>
      </c>
      <c r="DE863" s="351">
        <f>+DE864-DE862</f>
        <v>337</v>
      </c>
      <c r="DF863" s="351">
        <f>+DF864-DF862</f>
        <v>588</v>
      </c>
      <c r="DH863" s="351">
        <f>+DH864-DH862</f>
        <v>338</v>
      </c>
      <c r="DI863" s="351">
        <f ca="1">+DI864-DI862</f>
        <v>411.35249358368139</v>
      </c>
      <c r="DJ863" s="351">
        <f ca="1">+DJ864-DJ862</f>
        <v>749.35249358368139</v>
      </c>
      <c r="DL863" s="351">
        <f ca="1">+DL864-DL862</f>
        <v>485.25009772822142</v>
      </c>
      <c r="DM863" s="351">
        <f ca="1">+DM864-DM862</f>
        <v>523.05710154994892</v>
      </c>
      <c r="DN863" s="351">
        <f ca="1">+DN864-DN862</f>
        <v>1008.3071992781704</v>
      </c>
      <c r="DP863" s="351">
        <f ca="1">+DP864-DP862</f>
        <v>464.42503771653548</v>
      </c>
      <c r="DQ863" s="351">
        <f ca="1">+DQ864-DQ862</f>
        <v>450.86132218778187</v>
      </c>
      <c r="DR863" s="351">
        <f ca="1">+DR864-DR862</f>
        <v>915.28635990431735</v>
      </c>
      <c r="DT863" s="1"/>
      <c r="DU863" s="1"/>
      <c r="DV863" s="1"/>
      <c r="DW863" s="1"/>
      <c r="DX863" s="1"/>
      <c r="DY863" s="1"/>
      <c r="DZ863" s="1"/>
      <c r="EA863" s="1"/>
      <c r="EB863" s="1"/>
      <c r="EC863" s="1"/>
      <c r="ED863" s="1"/>
      <c r="EE863" s="1"/>
      <c r="EF863" s="1"/>
      <c r="EG863" s="1"/>
      <c r="EH863" s="1"/>
      <c r="EI863" s="1"/>
      <c r="EJ863" s="1"/>
      <c r="EK863" s="1"/>
      <c r="EL863" s="1"/>
      <c r="EM863" s="1"/>
      <c r="EN863" s="1"/>
      <c r="EO863" s="1"/>
      <c r="EP863" s="1"/>
      <c r="EQ863" s="1"/>
      <c r="ER863" s="1"/>
      <c r="ES863" s="1"/>
      <c r="ET863" s="1"/>
      <c r="EU863" s="1"/>
      <c r="EV863" s="1"/>
      <c r="EW863" s="1"/>
      <c r="EX863" s="1"/>
      <c r="EY863" s="1"/>
      <c r="EZ863" s="1"/>
      <c r="FA863" s="1"/>
      <c r="FB863" s="1"/>
      <c r="FC863" s="1"/>
      <c r="FD863" s="1"/>
      <c r="FE863" s="1"/>
      <c r="FF863" s="1"/>
      <c r="FG863" s="1"/>
      <c r="FH863" s="1"/>
      <c r="FI863" s="1"/>
      <c r="FJ863" s="1"/>
      <c r="FK863" s="1"/>
      <c r="FL863" s="1"/>
      <c r="FM863" s="1"/>
      <c r="FN863" s="1"/>
      <c r="FO863" s="1"/>
      <c r="FP863" s="1"/>
      <c r="FQ863" s="1"/>
      <c r="FR863" s="1"/>
      <c r="FS863" s="1"/>
      <c r="FT863" s="1"/>
      <c r="FU863" s="1"/>
      <c r="FV863" s="1"/>
      <c r="FW863" s="1"/>
      <c r="FX863" s="1"/>
      <c r="FY863" s="1"/>
      <c r="FZ863" s="1"/>
      <c r="GA863" s="1"/>
      <c r="GB863" s="1"/>
      <c r="GC863" s="1"/>
      <c r="GD863" s="1"/>
      <c r="GE863" s="1"/>
      <c r="GF863" s="1"/>
      <c r="GG863" s="1"/>
      <c r="GH863" s="1"/>
      <c r="GI863" s="1"/>
      <c r="GJ863" s="1"/>
      <c r="GK863" s="1"/>
      <c r="GL863" s="1"/>
      <c r="GM863" s="1"/>
      <c r="GN863" s="1"/>
      <c r="GO863" s="1"/>
      <c r="GP863" s="1"/>
      <c r="GQ863" s="1"/>
      <c r="GR863" s="1"/>
      <c r="GS863" s="1"/>
      <c r="GT863" s="1"/>
      <c r="GU863" s="1"/>
      <c r="GV863" s="1"/>
      <c r="GW863" s="1"/>
      <c r="GX863" s="1"/>
      <c r="GY863" s="1"/>
      <c r="GZ863" s="1"/>
      <c r="HA863" s="1"/>
      <c r="HB863" s="1"/>
      <c r="HC863" s="1"/>
      <c r="HD863" s="1"/>
      <c r="HE863" s="1"/>
      <c r="HF863" s="1"/>
      <c r="HG863" s="1"/>
      <c r="HH863" s="1"/>
      <c r="HI863" s="1"/>
      <c r="HJ863" s="1"/>
      <c r="HK863" s="1"/>
      <c r="HL863" s="1"/>
      <c r="HM863" s="1"/>
      <c r="HN863" s="1"/>
      <c r="HO863" s="1"/>
      <c r="HP863" s="1"/>
      <c r="HQ863" s="1"/>
      <c r="HR863" s="1"/>
      <c r="HS863" s="1"/>
      <c r="HT863" s="1"/>
      <c r="HU863" s="1"/>
      <c r="HV863" s="1"/>
      <c r="HW863" s="1"/>
      <c r="HX863" s="1"/>
      <c r="HY863" s="1"/>
      <c r="HZ863" s="1"/>
      <c r="IA863" s="1"/>
      <c r="IB863" s="1"/>
      <c r="IC863" s="1"/>
      <c r="ID863" s="1"/>
      <c r="IE863" s="1"/>
      <c r="IF863" s="1"/>
      <c r="IG863" s="1"/>
      <c r="IH863" s="1"/>
      <c r="II863" s="1"/>
      <c r="IJ863" s="1"/>
      <c r="IK863" s="1"/>
      <c r="IL863" s="1"/>
      <c r="IM863" s="1"/>
      <c r="IN863" s="1"/>
      <c r="IO863" s="1"/>
      <c r="IP863" s="1"/>
      <c r="IQ863" s="1"/>
      <c r="IR863" s="1"/>
      <c r="IS863" s="1"/>
      <c r="IT863" s="1"/>
      <c r="IU863" s="1"/>
      <c r="IV863" s="1"/>
      <c r="IW863" s="1"/>
      <c r="IX863" s="1"/>
      <c r="IY863" s="1"/>
      <c r="IZ863" s="1"/>
      <c r="JA863" s="1"/>
      <c r="JB863" s="1"/>
      <c r="JC863" s="1"/>
      <c r="JD863" s="1"/>
    </row>
    <row r="864" spans="1:264" s="347" customFormat="1" x14ac:dyDescent="0.2">
      <c r="A864" s="411" t="s">
        <v>606</v>
      </c>
      <c r="B864" s="423"/>
      <c r="C864" s="411"/>
      <c r="D864" s="411"/>
      <c r="E864" s="411"/>
      <c r="F864" s="411"/>
      <c r="G864" s="411"/>
      <c r="H864" s="411"/>
      <c r="I864" s="411"/>
      <c r="J864" s="411"/>
      <c r="K864" s="411"/>
      <c r="L864" s="411"/>
      <c r="M864" s="411"/>
      <c r="N864" s="411"/>
      <c r="O864" s="411"/>
      <c r="P864" s="411"/>
      <c r="Q864" s="411"/>
      <c r="R864" s="411"/>
      <c r="S864" s="411"/>
      <c r="T864" s="411"/>
      <c r="U864" s="411"/>
      <c r="V864" s="411"/>
      <c r="W864" s="411"/>
      <c r="X864" s="411"/>
      <c r="Y864" s="411"/>
      <c r="Z864" s="411"/>
      <c r="AA864" s="411"/>
      <c r="AB864" s="411"/>
      <c r="AC864" s="411"/>
      <c r="AD864" s="411"/>
      <c r="AE864" s="411"/>
      <c r="AF864" s="411"/>
      <c r="AG864" s="411"/>
      <c r="AH864" s="411"/>
      <c r="AI864" s="411"/>
      <c r="AJ864" s="411"/>
      <c r="AK864" s="411"/>
      <c r="AL864" s="411"/>
      <c r="AM864" s="411"/>
      <c r="AN864" s="411"/>
      <c r="AO864" s="411"/>
      <c r="AP864" s="411"/>
      <c r="AQ864" s="411"/>
      <c r="AR864" s="411"/>
      <c r="AS864" s="411"/>
      <c r="AT864" s="411"/>
      <c r="AU864" s="411"/>
      <c r="AV864" s="411"/>
      <c r="AW864" s="411"/>
      <c r="AX864" s="411"/>
      <c r="AY864" s="411"/>
      <c r="AZ864" s="411"/>
      <c r="BA864" s="411"/>
      <c r="BB864" s="411"/>
      <c r="BC864" s="411"/>
      <c r="BD864" s="411"/>
      <c r="BE864" s="411"/>
      <c r="BF864" s="411"/>
      <c r="BG864" s="411"/>
      <c r="BH864" s="397">
        <f>BH854</f>
        <v>616</v>
      </c>
      <c r="BI864" s="397">
        <f>BI854</f>
        <v>466</v>
      </c>
      <c r="BJ864" s="397">
        <f>BJ854</f>
        <v>1082</v>
      </c>
      <c r="BK864" s="423"/>
      <c r="BL864" s="397">
        <f>BL854</f>
        <v>457</v>
      </c>
      <c r="BM864" s="397">
        <f>BM854</f>
        <v>496</v>
      </c>
      <c r="BN864" s="397">
        <f>BN854</f>
        <v>953</v>
      </c>
      <c r="BO864" s="423"/>
      <c r="BP864" s="397">
        <f>BP854</f>
        <v>440</v>
      </c>
      <c r="BQ864" s="397">
        <f>BQ854</f>
        <v>548</v>
      </c>
      <c r="BR864" s="397">
        <f>BR854</f>
        <v>988</v>
      </c>
      <c r="BS864" s="411"/>
      <c r="BT864" s="397">
        <f>BT854</f>
        <v>564</v>
      </c>
      <c r="BU864" s="397">
        <f>BU854</f>
        <v>692</v>
      </c>
      <c r="BV864" s="397">
        <f>BV854</f>
        <v>1256</v>
      </c>
      <c r="BW864" s="411"/>
      <c r="BX864" s="397">
        <f>BX854</f>
        <v>599</v>
      </c>
      <c r="BY864" s="397">
        <f>BY854</f>
        <v>496</v>
      </c>
      <c r="BZ864" s="397">
        <f>BZ854</f>
        <v>1095</v>
      </c>
      <c r="CA864" s="411"/>
      <c r="CB864" s="397">
        <f>CB854</f>
        <v>596</v>
      </c>
      <c r="CC864" s="397">
        <f>CC854</f>
        <v>483</v>
      </c>
      <c r="CD864" s="397">
        <f>CD854</f>
        <v>1079</v>
      </c>
      <c r="CE864" s="411"/>
      <c r="CF864" s="397">
        <f>CF854</f>
        <v>577</v>
      </c>
      <c r="CG864" s="397">
        <f>CG854</f>
        <v>624</v>
      </c>
      <c r="CH864" s="397">
        <f>CH854</f>
        <v>1201</v>
      </c>
      <c r="CJ864" s="397">
        <f>CJ854</f>
        <v>649</v>
      </c>
      <c r="CK864" s="397">
        <f>CK854</f>
        <v>1869</v>
      </c>
      <c r="CL864" s="397">
        <f>CL854</f>
        <v>2518</v>
      </c>
      <c r="CN864" s="397">
        <f>CN854</f>
        <v>882</v>
      </c>
      <c r="CO864" s="397">
        <f>CO854</f>
        <v>-328</v>
      </c>
      <c r="CP864" s="397">
        <f>CP854</f>
        <v>554</v>
      </c>
      <c r="CR864" s="397">
        <f>CR854</f>
        <v>-75</v>
      </c>
      <c r="CS864" s="397">
        <f>CS854</f>
        <v>-282</v>
      </c>
      <c r="CT864" s="397">
        <f>CT854</f>
        <v>-357</v>
      </c>
      <c r="CV864" s="397">
        <f>CV854</f>
        <v>511</v>
      </c>
      <c r="CW864" s="397">
        <f>CW854</f>
        <v>597</v>
      </c>
      <c r="CX864" s="397">
        <f>CX854</f>
        <v>1108</v>
      </c>
      <c r="CZ864" s="397">
        <f>CZ854</f>
        <v>415</v>
      </c>
      <c r="DA864" s="397">
        <f>DA854</f>
        <v>387</v>
      </c>
      <c r="DB864" s="397">
        <f>DB854</f>
        <v>802</v>
      </c>
      <c r="DD864" s="397">
        <f>DD854</f>
        <v>320</v>
      </c>
      <c r="DE864" s="397">
        <f>DE854</f>
        <v>406</v>
      </c>
      <c r="DF864" s="397">
        <f>DF854</f>
        <v>726</v>
      </c>
      <c r="DH864" s="397">
        <f>DH854</f>
        <v>319</v>
      </c>
      <c r="DI864" s="397">
        <f>DI854</f>
        <v>430.65637850734686</v>
      </c>
      <c r="DJ864" s="397">
        <f>DJ854</f>
        <v>749.65637850734686</v>
      </c>
      <c r="DL864" s="397">
        <f>DL854</f>
        <v>506.96630476295451</v>
      </c>
      <c r="DM864" s="397">
        <f>DM854</f>
        <v>571.35016418125986</v>
      </c>
      <c r="DN864" s="397">
        <f>DN854</f>
        <v>1078.3164689442144</v>
      </c>
      <c r="DP864" s="397">
        <f>DP854</f>
        <v>592.78190747690508</v>
      </c>
      <c r="DQ864" s="397">
        <f>DQ854</f>
        <v>601.06786197326039</v>
      </c>
      <c r="DR864" s="397">
        <f>DR854</f>
        <v>1193.8497694501655</v>
      </c>
      <c r="DT864" s="1"/>
      <c r="DU864" s="1"/>
      <c r="DV864" s="1"/>
      <c r="DW864" s="1"/>
      <c r="DX864" s="1"/>
      <c r="DY864" s="1"/>
      <c r="DZ864" s="1"/>
      <c r="EA864" s="1"/>
      <c r="EB864" s="1"/>
      <c r="EC864" s="1"/>
      <c r="ED864" s="1"/>
      <c r="EE864" s="1"/>
      <c r="EF864" s="1"/>
      <c r="EG864" s="1"/>
      <c r="EH864" s="1"/>
      <c r="EI864" s="1"/>
      <c r="EJ864" s="1"/>
      <c r="EK864" s="1"/>
      <c r="EL864" s="1"/>
      <c r="EM864" s="1"/>
      <c r="EN864" s="1"/>
      <c r="EO864" s="1"/>
      <c r="EP864" s="1"/>
      <c r="EQ864" s="1"/>
      <c r="ER864" s="1"/>
      <c r="ES864" s="1"/>
      <c r="ET864" s="1"/>
      <c r="EU864" s="1"/>
      <c r="EV864" s="1"/>
      <c r="EW864" s="1"/>
      <c r="EX864" s="1"/>
      <c r="EY864" s="1"/>
      <c r="EZ864" s="1"/>
      <c r="FA864" s="1"/>
      <c r="FB864" s="1"/>
      <c r="FC864" s="1"/>
      <c r="FD864" s="1"/>
      <c r="FE864" s="1"/>
      <c r="FF864" s="1"/>
      <c r="FG864" s="1"/>
      <c r="FH864" s="1"/>
      <c r="FI864" s="1"/>
      <c r="FJ864" s="1"/>
      <c r="FK864" s="1"/>
      <c r="FL864" s="1"/>
      <c r="FM864" s="1"/>
      <c r="FN864" s="1"/>
      <c r="FO864" s="1"/>
      <c r="FP864" s="1"/>
      <c r="FQ864" s="1"/>
      <c r="FR864" s="1"/>
      <c r="FS864" s="1"/>
      <c r="FT864" s="1"/>
      <c r="FU864" s="1"/>
      <c r="FV864" s="1"/>
      <c r="FW864" s="1"/>
      <c r="FX864" s="1"/>
      <c r="FY864" s="1"/>
      <c r="FZ864" s="1"/>
      <c r="GA864" s="1"/>
      <c r="GB864" s="1"/>
      <c r="GC864" s="1"/>
      <c r="GD864" s="1"/>
      <c r="GE864" s="1"/>
      <c r="GF864" s="1"/>
      <c r="GG864" s="1"/>
      <c r="GH864" s="1"/>
      <c r="GI864" s="1"/>
      <c r="GJ864" s="1"/>
      <c r="GK864" s="1"/>
      <c r="GL864" s="1"/>
      <c r="GM864" s="1"/>
      <c r="GN864" s="1"/>
      <c r="GO864" s="1"/>
      <c r="GP864" s="1"/>
      <c r="GQ864" s="1"/>
      <c r="GR864" s="1"/>
      <c r="GS864" s="1"/>
      <c r="GT864" s="1"/>
      <c r="GU864" s="1"/>
      <c r="GV864" s="1"/>
      <c r="GW864" s="1"/>
      <c r="GX864" s="1"/>
      <c r="GY864" s="1"/>
      <c r="GZ864" s="1"/>
      <c r="HA864" s="1"/>
      <c r="HB864" s="1"/>
      <c r="HC864" s="1"/>
      <c r="HD864" s="1"/>
      <c r="HE864" s="1"/>
      <c r="HF864" s="1"/>
      <c r="HG864" s="1"/>
      <c r="HH864" s="1"/>
      <c r="HI864" s="1"/>
      <c r="HJ864" s="1"/>
      <c r="HK864" s="1"/>
      <c r="HL864" s="1"/>
      <c r="HM864" s="1"/>
      <c r="HN864" s="1"/>
      <c r="HO864" s="1"/>
      <c r="HP864" s="1"/>
      <c r="HQ864" s="1"/>
      <c r="HR864" s="1"/>
      <c r="HS864" s="1"/>
      <c r="HT864" s="1"/>
      <c r="HU864" s="1"/>
      <c r="HV864" s="1"/>
      <c r="HW864" s="1"/>
      <c r="HX864" s="1"/>
      <c r="HY864" s="1"/>
      <c r="HZ864" s="1"/>
      <c r="IA864" s="1"/>
      <c r="IB864" s="1"/>
      <c r="IC864" s="1"/>
      <c r="ID864" s="1"/>
      <c r="IE864" s="1"/>
      <c r="IF864" s="1"/>
      <c r="IG864" s="1"/>
      <c r="IH864" s="1"/>
      <c r="II864" s="1"/>
      <c r="IJ864" s="1"/>
      <c r="IK864" s="1"/>
      <c r="IL864" s="1"/>
      <c r="IM864" s="1"/>
      <c r="IN864" s="1"/>
      <c r="IO864" s="1"/>
      <c r="IP864" s="1"/>
      <c r="IQ864" s="1"/>
      <c r="IR864" s="1"/>
      <c r="IS864" s="1"/>
      <c r="IT864" s="1"/>
      <c r="IU864" s="1"/>
      <c r="IV864" s="1"/>
      <c r="IW864" s="1"/>
      <c r="IX864" s="1"/>
      <c r="IY864" s="1"/>
      <c r="IZ864" s="1"/>
      <c r="JA864" s="1"/>
      <c r="JB864" s="1"/>
      <c r="JC864" s="1"/>
      <c r="JD864" s="1"/>
    </row>
    <row r="865" spans="1:264" s="347" customFormat="1" x14ac:dyDescent="0.2">
      <c r="A865" s="387" t="s">
        <v>607</v>
      </c>
      <c r="B865" s="348"/>
      <c r="BH865" s="351"/>
      <c r="BI865" s="351"/>
      <c r="BJ865" s="351"/>
      <c r="BK865" s="348"/>
      <c r="BL865" s="389">
        <f>-(BL265-BL257-BL248)</f>
        <v>-200</v>
      </c>
      <c r="BM865" s="389">
        <f>-(BM265-BM257-BM248)</f>
        <v>-380</v>
      </c>
      <c r="BN865" s="389">
        <f>-(BN265-BN257-BN248)</f>
        <v>-580</v>
      </c>
      <c r="BO865" s="348"/>
      <c r="BP865" s="389">
        <f>-(BP265-BP257-BP248)</f>
        <v>-27</v>
      </c>
      <c r="BQ865" s="389">
        <f>-(BQ265-BQ257-BQ248)</f>
        <v>-230</v>
      </c>
      <c r="BR865" s="389">
        <f>-(BR265-BR257-BR248)</f>
        <v>-257</v>
      </c>
      <c r="BT865" s="389">
        <f>-(BT265-BT257-BT248)</f>
        <v>61</v>
      </c>
      <c r="BU865" s="389">
        <f>-(BU265-BU257-BU248)</f>
        <v>52</v>
      </c>
      <c r="BV865" s="389">
        <f>-(BV265-BV257-BV248)</f>
        <v>113</v>
      </c>
      <c r="BW865" s="564"/>
      <c r="BX865" s="389">
        <f>-(BX265-BX257-BX248)</f>
        <v>62</v>
      </c>
      <c r="BY865" s="389">
        <f>-(BY265-BY257-BY248)</f>
        <v>-97</v>
      </c>
      <c r="BZ865" s="389">
        <f>-(BZ265-BZ257-BZ248)</f>
        <v>-35</v>
      </c>
      <c r="CA865" s="564"/>
      <c r="CB865" s="389">
        <f>-(CB265-CB257-CB248)</f>
        <v>23</v>
      </c>
      <c r="CC865" s="389">
        <f>-(CC265-CC257-CC248)</f>
        <v>-117</v>
      </c>
      <c r="CD865" s="389">
        <f>-(CD265-CD257-CD248)</f>
        <v>-94</v>
      </c>
      <c r="CE865" s="564"/>
      <c r="CF865" s="389">
        <f>-(CF265-CF257-CF248)</f>
        <v>1101</v>
      </c>
      <c r="CG865" s="389">
        <f>-(CG265-CG257-CG248)</f>
        <v>65</v>
      </c>
      <c r="CH865" s="389">
        <f>-(CH265-CH257-CH248)</f>
        <v>1166</v>
      </c>
      <c r="CJ865" s="389">
        <f>-(CJ265-CJ257-CJ248)</f>
        <v>227</v>
      </c>
      <c r="CK865" s="389">
        <f>-(CK265-CK257-CK248)</f>
        <v>1337</v>
      </c>
      <c r="CL865" s="389">
        <f>-(CL265-CL257-CL248)</f>
        <v>1564</v>
      </c>
      <c r="CN865" s="389">
        <f>-(CN265-CN257-CN248)</f>
        <v>452</v>
      </c>
      <c r="CO865" s="389">
        <f>-(CO265-CO257-CO248)</f>
        <v>-604</v>
      </c>
      <c r="CP865" s="389">
        <f>-(CP265-CP257-CP248)</f>
        <v>-152</v>
      </c>
      <c r="CR865" s="389">
        <f>-(CR265-CR257-CR248)</f>
        <v>-357</v>
      </c>
      <c r="CS865" s="389">
        <f>-(CS265-CS257-CS248)</f>
        <v>-507</v>
      </c>
      <c r="CT865" s="389">
        <f>-(CT265-CT257-CT248)</f>
        <v>-864</v>
      </c>
      <c r="CV865" s="389">
        <f>-(CV265-CV257-CV248)</f>
        <v>194</v>
      </c>
      <c r="CW865" s="389">
        <f>-(CW265-CW257-CW248)</f>
        <v>409</v>
      </c>
      <c r="CX865" s="389">
        <f>-(CX265-CX257-CX248)</f>
        <v>603</v>
      </c>
      <c r="CZ865" s="389">
        <f>-(CZ265-CZ257-CZ248)</f>
        <v>113</v>
      </c>
      <c r="DA865" s="389">
        <f>-(DA265-DA257-DA248)</f>
        <v>72</v>
      </c>
      <c r="DB865" s="389">
        <f>-(DB265-DB257-DB248)</f>
        <v>185</v>
      </c>
      <c r="DD865" s="389">
        <f>-(DD265-DD257-DD248)</f>
        <v>92</v>
      </c>
      <c r="DE865" s="389">
        <f>-(DE265-DE257-DE248)</f>
        <v>150</v>
      </c>
      <c r="DF865" s="389">
        <f>-(DF265-DF257-DF248)</f>
        <v>242</v>
      </c>
      <c r="DH865" s="389">
        <f>-(DH265-DH257-DH248)</f>
        <v>-42</v>
      </c>
      <c r="DI865" s="389">
        <f ca="1">-(DI265-DI257-DI248)</f>
        <v>76.224882633744528</v>
      </c>
      <c r="DJ865" s="389">
        <f ca="1">-(DJ265-DJ257-DJ248)</f>
        <v>34.224882633744528</v>
      </c>
      <c r="DL865" s="389">
        <f ca="1">-(DL265-DL257-DL248)</f>
        <v>46.799246433145527</v>
      </c>
      <c r="DM865" s="389">
        <f ca="1">-(DM265-DM257-DM248)</f>
        <v>92.575506855310778</v>
      </c>
      <c r="DN865" s="389">
        <f ca="1">-(DN265-DN257-DN248)</f>
        <v>139.3747532884563</v>
      </c>
      <c r="DP865" s="389">
        <f ca="1">-(DP265-DP257-DP248)</f>
        <v>163.4603065815927</v>
      </c>
      <c r="DQ865" s="389">
        <f ca="1">-(DQ265-DQ257-DQ248)</f>
        <v>205.9634516267588</v>
      </c>
      <c r="DR865" s="389">
        <f ca="1">-(DR265-DR257-DR248)</f>
        <v>369.4237582083515</v>
      </c>
      <c r="DT865" s="1"/>
      <c r="DU865" s="1"/>
      <c r="DV865" s="1"/>
      <c r="DW865" s="1"/>
      <c r="DX865" s="1"/>
      <c r="DY865" s="1"/>
      <c r="DZ865" s="1"/>
      <c r="EA865" s="1"/>
      <c r="EB865" s="1"/>
      <c r="EC865" s="1"/>
      <c r="ED865" s="1"/>
      <c r="EE865" s="1"/>
      <c r="EF865" s="1"/>
      <c r="EG865" s="1"/>
      <c r="EH865" s="1"/>
      <c r="EI865" s="1"/>
      <c r="EJ865" s="1"/>
      <c r="EK865" s="1"/>
      <c r="EL865" s="1"/>
      <c r="EM865" s="1"/>
      <c r="EN865" s="1"/>
      <c r="EO865" s="1"/>
      <c r="EP865" s="1"/>
      <c r="EQ865" s="1"/>
      <c r="ER865" s="1"/>
      <c r="ES865" s="1"/>
      <c r="ET865" s="1"/>
      <c r="EU865" s="1"/>
      <c r="EV865" s="1"/>
      <c r="EW865" s="1"/>
      <c r="EX865" s="1"/>
      <c r="EY865" s="1"/>
      <c r="EZ865" s="1"/>
      <c r="FA865" s="1"/>
      <c r="FB865" s="1"/>
      <c r="FC865" s="1"/>
      <c r="FD865" s="1"/>
      <c r="FE865" s="1"/>
      <c r="FF865" s="1"/>
      <c r="FG865" s="1"/>
      <c r="FH865" s="1"/>
      <c r="FI865" s="1"/>
      <c r="FJ865" s="1"/>
      <c r="FK865" s="1"/>
      <c r="FL865" s="1"/>
      <c r="FM865" s="1"/>
      <c r="FN865" s="1"/>
      <c r="FO865" s="1"/>
      <c r="FP865" s="1"/>
      <c r="FQ865" s="1"/>
      <c r="FR865" s="1"/>
      <c r="FS865" s="1"/>
      <c r="FT865" s="1"/>
      <c r="FU865" s="1"/>
      <c r="FV865" s="1"/>
      <c r="FW865" s="1"/>
      <c r="FX865" s="1"/>
      <c r="FY865" s="1"/>
      <c r="FZ865" s="1"/>
      <c r="GA865" s="1"/>
      <c r="GB865" s="1"/>
      <c r="GC865" s="1"/>
      <c r="GD865" s="1"/>
      <c r="GE865" s="1"/>
      <c r="GF865" s="1"/>
      <c r="GG865" s="1"/>
      <c r="GH865" s="1"/>
      <c r="GI865" s="1"/>
      <c r="GJ865" s="1"/>
      <c r="GK865" s="1"/>
      <c r="GL865" s="1"/>
      <c r="GM865" s="1"/>
      <c r="GN865" s="1"/>
      <c r="GO865" s="1"/>
      <c r="GP865" s="1"/>
      <c r="GQ865" s="1"/>
      <c r="GR865" s="1"/>
      <c r="GS865" s="1"/>
      <c r="GT865" s="1"/>
      <c r="GU865" s="1"/>
      <c r="GV865" s="1"/>
      <c r="GW865" s="1"/>
      <c r="GX865" s="1"/>
      <c r="GY865" s="1"/>
      <c r="GZ865" s="1"/>
      <c r="HA865" s="1"/>
      <c r="HB865" s="1"/>
      <c r="HC865" s="1"/>
      <c r="HD865" s="1"/>
      <c r="HE865" s="1"/>
      <c r="HF865" s="1"/>
      <c r="HG865" s="1"/>
      <c r="HH865" s="1"/>
      <c r="HI865" s="1"/>
      <c r="HJ865" s="1"/>
      <c r="HK865" s="1"/>
      <c r="HL865" s="1"/>
      <c r="HM865" s="1"/>
      <c r="HN865" s="1"/>
      <c r="HO865" s="1"/>
      <c r="HP865" s="1"/>
      <c r="HQ865" s="1"/>
      <c r="HR865" s="1"/>
      <c r="HS865" s="1"/>
      <c r="HT865" s="1"/>
      <c r="HU865" s="1"/>
      <c r="HV865" s="1"/>
      <c r="HW865" s="1"/>
      <c r="HX865" s="1"/>
      <c r="HY865" s="1"/>
      <c r="HZ865" s="1"/>
      <c r="IA865" s="1"/>
      <c r="IB865" s="1"/>
      <c r="IC865" s="1"/>
      <c r="ID865" s="1"/>
      <c r="IE865" s="1"/>
      <c r="IF865" s="1"/>
      <c r="IG865" s="1"/>
      <c r="IH865" s="1"/>
      <c r="II865" s="1"/>
      <c r="IJ865" s="1"/>
      <c r="IK865" s="1"/>
      <c r="IL865" s="1"/>
      <c r="IM865" s="1"/>
      <c r="IN865" s="1"/>
      <c r="IO865" s="1"/>
      <c r="IP865" s="1"/>
      <c r="IQ865" s="1"/>
      <c r="IR865" s="1"/>
      <c r="IS865" s="1"/>
      <c r="IT865" s="1"/>
      <c r="IU865" s="1"/>
      <c r="IV865" s="1"/>
      <c r="IW865" s="1"/>
      <c r="IX865" s="1"/>
      <c r="IY865" s="1"/>
      <c r="IZ865" s="1"/>
      <c r="JA865" s="1"/>
      <c r="JB865" s="1"/>
      <c r="JC865" s="1"/>
      <c r="JD865" s="1"/>
    </row>
    <row r="866" spans="1:264" s="347" customFormat="1" x14ac:dyDescent="0.2">
      <c r="A866" s="387" t="s">
        <v>608</v>
      </c>
      <c r="B866" s="348"/>
      <c r="BH866" s="351"/>
      <c r="BI866" s="351"/>
      <c r="BJ866" s="351"/>
      <c r="BK866" s="348"/>
      <c r="BL866" s="389">
        <f>BL864-BL865</f>
        <v>657</v>
      </c>
      <c r="BM866" s="389">
        <f>BM864-BM865</f>
        <v>876</v>
      </c>
      <c r="BN866" s="389">
        <f>BN864-BN865</f>
        <v>1533</v>
      </c>
      <c r="BO866" s="348"/>
      <c r="BP866" s="389">
        <f>BP864-BP865</f>
        <v>467</v>
      </c>
      <c r="BQ866" s="389">
        <f>BQ864-BQ865</f>
        <v>778</v>
      </c>
      <c r="BR866" s="389">
        <f>BR864-BR865</f>
        <v>1245</v>
      </c>
      <c r="BT866" s="389">
        <f>BT864-BT865</f>
        <v>503</v>
      </c>
      <c r="BU866" s="389">
        <f>BU864-BU865</f>
        <v>640</v>
      </c>
      <c r="BV866" s="389">
        <f>BV864-BV865</f>
        <v>1143</v>
      </c>
      <c r="BW866" s="564"/>
      <c r="BX866" s="389">
        <f>BX864-BX865</f>
        <v>537</v>
      </c>
      <c r="BY866" s="389">
        <f>BY864-BY865</f>
        <v>593</v>
      </c>
      <c r="BZ866" s="389">
        <f>BZ864-BZ865</f>
        <v>1130</v>
      </c>
      <c r="CA866" s="564"/>
      <c r="CB866" s="389">
        <f>CB864-CB865</f>
        <v>573</v>
      </c>
      <c r="CC866" s="389">
        <f>CC864-CC865</f>
        <v>600</v>
      </c>
      <c r="CD866" s="389">
        <f>CD864-CD865</f>
        <v>1173</v>
      </c>
      <c r="CE866" s="564"/>
      <c r="CF866" s="389">
        <f>CF864-CF865</f>
        <v>-524</v>
      </c>
      <c r="CG866" s="389">
        <f>CG864-CG865</f>
        <v>559</v>
      </c>
      <c r="CH866" s="389">
        <f>CH864-CH865</f>
        <v>35</v>
      </c>
      <c r="CJ866" s="389">
        <f>CJ864-CJ865</f>
        <v>422</v>
      </c>
      <c r="CK866" s="389">
        <f>CK864-CK865</f>
        <v>532</v>
      </c>
      <c r="CL866" s="389">
        <f>CL864-CL865</f>
        <v>954</v>
      </c>
      <c r="CN866" s="389">
        <f>CN864-CN865</f>
        <v>430</v>
      </c>
      <c r="CO866" s="389">
        <f>CO864-CO865</f>
        <v>276</v>
      </c>
      <c r="CP866" s="389">
        <f>CP864-CP865</f>
        <v>706</v>
      </c>
      <c r="CR866" s="389">
        <f>CR864-CR865</f>
        <v>282</v>
      </c>
      <c r="CS866" s="389">
        <f>CS864-CS865</f>
        <v>225</v>
      </c>
      <c r="CT866" s="389">
        <f>CT864-CT865</f>
        <v>507</v>
      </c>
      <c r="CV866" s="389">
        <f>CV864-CV865</f>
        <v>317</v>
      </c>
      <c r="CW866" s="389">
        <f>CW864-CW865</f>
        <v>188</v>
      </c>
      <c r="CX866" s="389">
        <f>CX864-CX865</f>
        <v>505</v>
      </c>
      <c r="CZ866" s="389">
        <f>CZ864-CZ865</f>
        <v>302</v>
      </c>
      <c r="DA866" s="389">
        <f>DA864-DA865</f>
        <v>315</v>
      </c>
      <c r="DB866" s="389">
        <f>DB864-DB865</f>
        <v>617</v>
      </c>
      <c r="DD866" s="389">
        <f>DD864-DD865</f>
        <v>228</v>
      </c>
      <c r="DE866" s="389">
        <f>DE864-DE865</f>
        <v>256</v>
      </c>
      <c r="DF866" s="389">
        <f>DF864-DF865</f>
        <v>484</v>
      </c>
      <c r="DH866" s="389">
        <f>DH864-DH865</f>
        <v>361</v>
      </c>
      <c r="DI866" s="389">
        <f ca="1">DI864-DI865</f>
        <v>354.43149587360233</v>
      </c>
      <c r="DJ866" s="389">
        <f ca="1">DJ864-DJ865</f>
        <v>715.43149587360233</v>
      </c>
      <c r="DL866" s="389">
        <f ca="1">DL864-DL865</f>
        <v>460.16705832980898</v>
      </c>
      <c r="DM866" s="389">
        <f ca="1">DM864-DM865</f>
        <v>478.77465732594908</v>
      </c>
      <c r="DN866" s="389">
        <f ca="1">DN864-DN865</f>
        <v>938.94171565575812</v>
      </c>
      <c r="DP866" s="389">
        <f ca="1">DP864-DP865</f>
        <v>429.32160089531237</v>
      </c>
      <c r="DQ866" s="389">
        <f ca="1">DQ864-DQ865</f>
        <v>395.1044103465016</v>
      </c>
      <c r="DR866" s="389">
        <f ca="1">DR864-DR865</f>
        <v>824.42601124181397</v>
      </c>
      <c r="DT866" s="1"/>
      <c r="DU866" s="1"/>
      <c r="DV866" s="1"/>
      <c r="DW866" s="1"/>
      <c r="DX866" s="1"/>
      <c r="DY866" s="1"/>
      <c r="DZ866" s="1"/>
      <c r="EA866" s="1"/>
      <c r="EB866" s="1"/>
      <c r="EC866" s="1"/>
      <c r="ED866" s="1"/>
      <c r="EE866" s="1"/>
      <c r="EF866" s="1"/>
      <c r="EG866" s="1"/>
      <c r="EH866" s="1"/>
      <c r="EI866" s="1"/>
      <c r="EJ866" s="1"/>
      <c r="EK866" s="1"/>
      <c r="EL866" s="1"/>
      <c r="EM866" s="1"/>
      <c r="EN866" s="1"/>
      <c r="EO866" s="1"/>
      <c r="EP866" s="1"/>
      <c r="EQ866" s="1"/>
      <c r="ER866" s="1"/>
      <c r="ES866" s="1"/>
      <c r="ET866" s="1"/>
      <c r="EU866" s="1"/>
      <c r="EV866" s="1"/>
      <c r="EW866" s="1"/>
      <c r="EX866" s="1"/>
      <c r="EY866" s="1"/>
      <c r="EZ866" s="1"/>
      <c r="FA866" s="1"/>
      <c r="FB866" s="1"/>
      <c r="FC866" s="1"/>
      <c r="FD866" s="1"/>
      <c r="FE866" s="1"/>
      <c r="FF866" s="1"/>
      <c r="FG866" s="1"/>
      <c r="FH866" s="1"/>
      <c r="FI866" s="1"/>
      <c r="FJ866" s="1"/>
      <c r="FK866" s="1"/>
      <c r="FL866" s="1"/>
      <c r="FM866" s="1"/>
      <c r="FN866" s="1"/>
      <c r="FO866" s="1"/>
      <c r="FP866" s="1"/>
      <c r="FQ866" s="1"/>
      <c r="FR866" s="1"/>
      <c r="FS866" s="1"/>
      <c r="FT866" s="1"/>
      <c r="FU866" s="1"/>
      <c r="FV866" s="1"/>
      <c r="FW866" s="1"/>
      <c r="FX866" s="1"/>
      <c r="FY866" s="1"/>
      <c r="FZ866" s="1"/>
      <c r="GA866" s="1"/>
      <c r="GB866" s="1"/>
      <c r="GC866" s="1"/>
      <c r="GD866" s="1"/>
      <c r="GE866" s="1"/>
      <c r="GF866" s="1"/>
      <c r="GG866" s="1"/>
      <c r="GH866" s="1"/>
      <c r="GI866" s="1"/>
      <c r="GJ866" s="1"/>
      <c r="GK866" s="1"/>
      <c r="GL866" s="1"/>
      <c r="GM866" s="1"/>
      <c r="GN866" s="1"/>
      <c r="GO866" s="1"/>
      <c r="GP866" s="1"/>
      <c r="GQ866" s="1"/>
      <c r="GR866" s="1"/>
      <c r="GS866" s="1"/>
      <c r="GT866" s="1"/>
      <c r="GU866" s="1"/>
      <c r="GV866" s="1"/>
      <c r="GW866" s="1"/>
      <c r="GX866" s="1"/>
      <c r="GY866" s="1"/>
      <c r="GZ866" s="1"/>
      <c r="HA866" s="1"/>
      <c r="HB866" s="1"/>
      <c r="HC866" s="1"/>
      <c r="HD866" s="1"/>
      <c r="HE866" s="1"/>
      <c r="HF866" s="1"/>
      <c r="HG866" s="1"/>
      <c r="HH866" s="1"/>
      <c r="HI866" s="1"/>
      <c r="HJ866" s="1"/>
      <c r="HK866" s="1"/>
      <c r="HL866" s="1"/>
      <c r="HM866" s="1"/>
      <c r="HN866" s="1"/>
      <c r="HO866" s="1"/>
      <c r="HP866" s="1"/>
      <c r="HQ866" s="1"/>
      <c r="HR866" s="1"/>
      <c r="HS866" s="1"/>
      <c r="HT866" s="1"/>
      <c r="HU866" s="1"/>
      <c r="HV866" s="1"/>
      <c r="HW866" s="1"/>
      <c r="HX866" s="1"/>
      <c r="HY866" s="1"/>
      <c r="HZ866" s="1"/>
      <c r="IA866" s="1"/>
      <c r="IB866" s="1"/>
      <c r="IC866" s="1"/>
      <c r="ID866" s="1"/>
      <c r="IE866" s="1"/>
      <c r="IF866" s="1"/>
      <c r="IG866" s="1"/>
      <c r="IH866" s="1"/>
      <c r="II866" s="1"/>
      <c r="IJ866" s="1"/>
      <c r="IK866" s="1"/>
      <c r="IL866" s="1"/>
      <c r="IM866" s="1"/>
      <c r="IN866" s="1"/>
      <c r="IO866" s="1"/>
      <c r="IP866" s="1"/>
      <c r="IQ866" s="1"/>
      <c r="IR866" s="1"/>
      <c r="IS866" s="1"/>
      <c r="IT866" s="1"/>
      <c r="IU866" s="1"/>
      <c r="IV866" s="1"/>
      <c r="IW866" s="1"/>
      <c r="IX866" s="1"/>
      <c r="IY866" s="1"/>
      <c r="IZ866" s="1"/>
      <c r="JA866" s="1"/>
      <c r="JB866" s="1"/>
      <c r="JC866" s="1"/>
      <c r="JD866" s="1"/>
    </row>
    <row r="867" spans="1:264" s="347" customFormat="1" x14ac:dyDescent="0.2">
      <c r="B867" s="348"/>
      <c r="BH867" s="348"/>
      <c r="BI867" s="348"/>
      <c r="BJ867" s="348"/>
      <c r="BK867" s="348"/>
      <c r="BL867" s="348"/>
      <c r="BM867" s="348"/>
      <c r="BN867" s="348"/>
      <c r="BO867" s="348"/>
      <c r="BP867" s="348"/>
      <c r="BQ867" s="348"/>
      <c r="BR867" s="348"/>
      <c r="BT867" s="348"/>
      <c r="BU867" s="348"/>
      <c r="BV867" s="348"/>
      <c r="BX867" s="348"/>
      <c r="BY867" s="348"/>
      <c r="BZ867" s="348"/>
      <c r="CA867" s="348"/>
      <c r="CB867" s="348"/>
      <c r="CC867" s="348"/>
      <c r="CD867" s="348"/>
      <c r="CE867" s="348"/>
      <c r="CF867" s="348"/>
      <c r="CG867" s="348"/>
      <c r="CH867" s="348"/>
      <c r="CI867" s="348"/>
      <c r="CJ867" s="348"/>
      <c r="CK867" s="348"/>
      <c r="CL867" s="348"/>
      <c r="CM867" s="348"/>
      <c r="CN867" s="348"/>
      <c r="CO867" s="348"/>
      <c r="CP867" s="348"/>
      <c r="CQ867" s="348"/>
      <c r="CR867" s="348"/>
      <c r="CS867" s="348"/>
      <c r="CT867" s="348"/>
      <c r="CU867" s="348"/>
      <c r="CV867" s="348"/>
      <c r="CW867" s="348"/>
      <c r="CX867" s="348"/>
      <c r="CY867" s="348"/>
      <c r="CZ867" s="348"/>
      <c r="DA867" s="348"/>
      <c r="DB867" s="348"/>
      <c r="DC867" s="348"/>
      <c r="DD867" s="348"/>
      <c r="DE867" s="348"/>
      <c r="DF867" s="348"/>
      <c r="DG867" s="348"/>
      <c r="DH867" s="348"/>
      <c r="DI867" s="348"/>
      <c r="DJ867" s="348"/>
      <c r="DK867" s="348"/>
      <c r="DL867" s="348"/>
      <c r="DM867" s="348"/>
      <c r="DN867" s="348"/>
      <c r="DO867" s="348"/>
      <c r="DP867" s="348"/>
      <c r="DQ867" s="348"/>
      <c r="DR867" s="348"/>
      <c r="DS867" s="348"/>
      <c r="DT867" s="1"/>
      <c r="DU867" s="1"/>
      <c r="DV867" s="1"/>
      <c r="DW867" s="1"/>
      <c r="DX867" s="1"/>
      <c r="DY867" s="1"/>
      <c r="DZ867" s="1"/>
      <c r="EA867" s="1"/>
      <c r="EB867" s="1"/>
      <c r="EC867" s="1"/>
      <c r="ED867" s="1"/>
      <c r="EE867" s="1"/>
      <c r="EF867" s="1"/>
      <c r="EG867" s="1"/>
      <c r="EH867" s="1"/>
      <c r="EI867" s="1"/>
      <c r="EJ867" s="1"/>
      <c r="EK867" s="1"/>
      <c r="EL867" s="1"/>
      <c r="EM867" s="1"/>
      <c r="EN867" s="1"/>
      <c r="EO867" s="1"/>
      <c r="EP867" s="1"/>
      <c r="EQ867" s="1"/>
      <c r="ER867" s="1"/>
      <c r="ES867" s="1"/>
      <c r="ET867" s="1"/>
      <c r="EU867" s="1"/>
      <c r="EV867" s="1"/>
      <c r="EW867" s="1"/>
      <c r="EX867" s="1"/>
      <c r="EY867" s="1"/>
      <c r="EZ867" s="1"/>
      <c r="FA867" s="1"/>
      <c r="FB867" s="1"/>
      <c r="FC867" s="1"/>
      <c r="FD867" s="1"/>
      <c r="FE867" s="1"/>
      <c r="FF867" s="1"/>
      <c r="FG867" s="1"/>
      <c r="FH867" s="1"/>
      <c r="FI867" s="1"/>
      <c r="FJ867" s="1"/>
      <c r="FK867" s="1"/>
      <c r="FL867" s="1"/>
      <c r="FM867" s="1"/>
      <c r="FN867" s="1"/>
      <c r="FO867" s="1"/>
      <c r="FP867" s="1"/>
      <c r="FQ867" s="1"/>
      <c r="FR867" s="1"/>
      <c r="FS867" s="1"/>
      <c r="FT867" s="1"/>
      <c r="FU867" s="1"/>
      <c r="FV867" s="1"/>
      <c r="FW867" s="1"/>
      <c r="FX867" s="1"/>
      <c r="FY867" s="1"/>
      <c r="FZ867" s="1"/>
      <c r="GA867" s="1"/>
      <c r="GB867" s="1"/>
      <c r="GC867" s="1"/>
      <c r="GD867" s="1"/>
      <c r="GE867" s="1"/>
      <c r="GF867" s="1"/>
      <c r="GG867" s="1"/>
      <c r="GH867" s="1"/>
      <c r="GI867" s="1"/>
      <c r="GJ867" s="1"/>
      <c r="GK867" s="1"/>
      <c r="GL867" s="1"/>
      <c r="GM867" s="1"/>
      <c r="GN867" s="1"/>
      <c r="GO867" s="1"/>
      <c r="GP867" s="1"/>
      <c r="GQ867" s="1"/>
      <c r="GR867" s="1"/>
      <c r="GS867" s="1"/>
      <c r="GT867" s="1"/>
      <c r="GU867" s="1"/>
      <c r="GV867" s="1"/>
      <c r="GW867" s="1"/>
      <c r="GX867" s="1"/>
      <c r="GY867" s="1"/>
      <c r="GZ867" s="1"/>
      <c r="HA867" s="1"/>
      <c r="HB867" s="1"/>
      <c r="HC867" s="1"/>
      <c r="HD867" s="1"/>
      <c r="HE867" s="1"/>
      <c r="HF867" s="1"/>
      <c r="HG867" s="1"/>
      <c r="HH867" s="1"/>
      <c r="HI867" s="1"/>
      <c r="HJ867" s="1"/>
      <c r="HK867" s="1"/>
      <c r="HL867" s="1"/>
      <c r="HM867" s="1"/>
      <c r="HN867" s="1"/>
      <c r="HO867" s="1"/>
      <c r="HP867" s="1"/>
      <c r="HQ867" s="1"/>
      <c r="HR867" s="1"/>
      <c r="HS867" s="1"/>
      <c r="HT867" s="1"/>
      <c r="HU867" s="1"/>
      <c r="HV867" s="1"/>
      <c r="HW867" s="1"/>
      <c r="HX867" s="1"/>
      <c r="HY867" s="1"/>
      <c r="HZ867" s="1"/>
      <c r="IA867" s="1"/>
      <c r="IB867" s="1"/>
      <c r="IC867" s="1"/>
      <c r="ID867" s="1"/>
      <c r="IE867" s="1"/>
      <c r="IF867" s="1"/>
      <c r="IG867" s="1"/>
      <c r="IH867" s="1"/>
      <c r="II867" s="1"/>
      <c r="IJ867" s="1"/>
      <c r="IK867" s="1"/>
      <c r="IL867" s="1"/>
      <c r="IM867" s="1"/>
      <c r="IN867" s="1"/>
      <c r="IO867" s="1"/>
      <c r="IP867" s="1"/>
      <c r="IQ867" s="1"/>
      <c r="IR867" s="1"/>
      <c r="IS867" s="1"/>
      <c r="IT867" s="1"/>
      <c r="IU867" s="1"/>
      <c r="IV867" s="1"/>
      <c r="IW867" s="1"/>
      <c r="IX867" s="1"/>
      <c r="IY867" s="1"/>
      <c r="IZ867" s="1"/>
      <c r="JA867" s="1"/>
      <c r="JB867" s="1"/>
      <c r="JC867" s="1"/>
      <c r="JD867" s="1"/>
    </row>
    <row r="868" spans="1:264" s="347" customFormat="1" x14ac:dyDescent="0.2">
      <c r="A868" s="347" t="s">
        <v>93</v>
      </c>
      <c r="B868" s="348"/>
      <c r="BH868" s="351">
        <f>BH187</f>
        <v>549216</v>
      </c>
      <c r="BI868" s="351">
        <f>BI187</f>
        <v>568821</v>
      </c>
      <c r="BJ868" s="351">
        <f>BJ187</f>
        <v>568821</v>
      </c>
      <c r="BK868" s="348"/>
      <c r="BL868" s="351">
        <f>BL187</f>
        <v>591775</v>
      </c>
      <c r="BM868" s="351">
        <f>BM187</f>
        <v>608127</v>
      </c>
      <c r="BN868" s="351">
        <f>BN187</f>
        <v>608127</v>
      </c>
      <c r="BO868" s="348"/>
      <c r="BP868" s="351">
        <f>BP187</f>
        <v>627698</v>
      </c>
      <c r="BQ868" s="351">
        <f>BQ187</f>
        <v>646172</v>
      </c>
      <c r="BR868" s="351">
        <f>BR187</f>
        <v>646172</v>
      </c>
      <c r="BT868" s="351">
        <f>BT187</f>
        <v>675728</v>
      </c>
      <c r="BU868" s="351">
        <f>BU187</f>
        <v>701730</v>
      </c>
      <c r="BV868" s="351">
        <f>BV187</f>
        <v>701730</v>
      </c>
      <c r="BX868" s="351">
        <f>BX187</f>
        <v>719250</v>
      </c>
      <c r="BY868" s="351">
        <f>BY187</f>
        <v>737002</v>
      </c>
      <c r="BZ868" s="351">
        <f>BZ187</f>
        <v>737002</v>
      </c>
      <c r="CB868" s="351">
        <f>CB187</f>
        <v>741318</v>
      </c>
      <c r="CC868" s="351">
        <f>CC187</f>
        <v>748408</v>
      </c>
      <c r="CD868" s="351">
        <f>CD187</f>
        <v>748408</v>
      </c>
      <c r="CF868" s="351">
        <f>CF187</f>
        <v>759463</v>
      </c>
      <c r="CG868" s="351">
        <f>CG187</f>
        <v>761013</v>
      </c>
      <c r="CH868" s="351">
        <f>CH187</f>
        <v>761013</v>
      </c>
      <c r="CJ868" s="351">
        <f>CJ187</f>
        <v>771383</v>
      </c>
      <c r="CK868" s="351">
        <f>CK187</f>
        <v>780108</v>
      </c>
      <c r="CL868" s="351">
        <f>CL187</f>
        <v>780108</v>
      </c>
      <c r="CN868" s="351">
        <f>CN187</f>
        <v>794473</v>
      </c>
      <c r="CO868" s="351">
        <f>CO187</f>
        <v>818266</v>
      </c>
      <c r="CP868" s="351">
        <f>CP187</f>
        <v>818266</v>
      </c>
      <c r="CR868" s="351">
        <f>CR187</f>
        <v>850509</v>
      </c>
      <c r="CS868" s="351">
        <f>CS187</f>
        <v>884963</v>
      </c>
      <c r="CT868" s="351">
        <f>CT187</f>
        <v>884963</v>
      </c>
      <c r="CV868" s="351">
        <f>CV187</f>
        <v>912835</v>
      </c>
      <c r="CW868" s="351">
        <f>CW187</f>
        <v>933251</v>
      </c>
      <c r="CX868" s="351">
        <f>CX187</f>
        <v>933251</v>
      </c>
      <c r="CZ868" s="351">
        <f>CZ187</f>
        <v>928807</v>
      </c>
      <c r="DA868" s="351">
        <f>DA187</f>
        <v>949948</v>
      </c>
      <c r="DB868" s="351">
        <f>DB187</f>
        <v>949948</v>
      </c>
      <c r="DD868" s="351">
        <f>DD187</f>
        <v>977384</v>
      </c>
      <c r="DE868" s="351">
        <f>DE187</f>
        <v>1015883</v>
      </c>
      <c r="DF868" s="351">
        <f>DF187</f>
        <v>1015883</v>
      </c>
      <c r="DH868" s="351">
        <f>DH187</f>
        <v>1048988</v>
      </c>
      <c r="DI868" s="351">
        <f>DI187</f>
        <v>1085563.3850495967</v>
      </c>
      <c r="DJ868" s="351">
        <f>DJ187</f>
        <v>1085563.3850495967</v>
      </c>
      <c r="DL868" s="351">
        <f>DL187</f>
        <v>1117407.6161743863</v>
      </c>
      <c r="DM868" s="351">
        <f>DM187</f>
        <v>1152170.2205865183</v>
      </c>
      <c r="DN868" s="351">
        <f>DN187</f>
        <v>1152170.2205865183</v>
      </c>
      <c r="DP868" s="351">
        <f>DP187</f>
        <v>1179120.5333508002</v>
      </c>
      <c r="DQ868" s="351">
        <f>DQ187</f>
        <v>1208740.8652868862</v>
      </c>
      <c r="DR868" s="351">
        <f>DR187</f>
        <v>1208740.8652868862</v>
      </c>
      <c r="DT868" s="1"/>
      <c r="DU868" s="1"/>
      <c r="DV868" s="1"/>
      <c r="DW868" s="1"/>
      <c r="DX868" s="1"/>
      <c r="DY868" s="1"/>
      <c r="DZ868" s="1"/>
      <c r="EA868" s="1"/>
      <c r="EB868" s="1"/>
      <c r="EC868" s="1"/>
      <c r="ED868" s="1"/>
      <c r="EE868" s="1"/>
      <c r="EF868" s="1"/>
      <c r="EG868" s="1"/>
      <c r="EH868" s="1"/>
      <c r="EI868" s="1"/>
      <c r="EJ868" s="1"/>
      <c r="EK868" s="1"/>
      <c r="EL868" s="1"/>
      <c r="EM868" s="1"/>
      <c r="EN868" s="1"/>
      <c r="EO868" s="1"/>
      <c r="EP868" s="1"/>
      <c r="EQ868" s="1"/>
      <c r="ER868" s="1"/>
      <c r="ES868" s="1"/>
      <c r="ET868" s="1"/>
      <c r="EU868" s="1"/>
      <c r="EV868" s="1"/>
      <c r="EW868" s="1"/>
      <c r="EX868" s="1"/>
      <c r="EY868" s="1"/>
      <c r="EZ868" s="1"/>
      <c r="FA868" s="1"/>
      <c r="FB868" s="1"/>
      <c r="FC868" s="1"/>
      <c r="FD868" s="1"/>
      <c r="FE868" s="1"/>
      <c r="FF868" s="1"/>
      <c r="FG868" s="1"/>
      <c r="FH868" s="1"/>
      <c r="FI868" s="1"/>
      <c r="FJ868" s="1"/>
      <c r="FK868" s="1"/>
      <c r="FL868" s="1"/>
      <c r="FM868" s="1"/>
      <c r="FN868" s="1"/>
      <c r="FO868" s="1"/>
      <c r="FP868" s="1"/>
      <c r="FQ868" s="1"/>
      <c r="FR868" s="1"/>
      <c r="FS868" s="1"/>
      <c r="FT868" s="1"/>
      <c r="FU868" s="1"/>
      <c r="FV868" s="1"/>
      <c r="FW868" s="1"/>
      <c r="FX868" s="1"/>
      <c r="FY868" s="1"/>
      <c r="FZ868" s="1"/>
      <c r="GA868" s="1"/>
      <c r="GB868" s="1"/>
      <c r="GC868" s="1"/>
      <c r="GD868" s="1"/>
      <c r="GE868" s="1"/>
      <c r="GF868" s="1"/>
      <c r="GG868" s="1"/>
      <c r="GH868" s="1"/>
      <c r="GI868" s="1"/>
      <c r="GJ868" s="1"/>
      <c r="GK868" s="1"/>
      <c r="GL868" s="1"/>
      <c r="GM868" s="1"/>
      <c r="GN868" s="1"/>
      <c r="GO868" s="1"/>
      <c r="GP868" s="1"/>
      <c r="GQ868" s="1"/>
      <c r="GR868" s="1"/>
      <c r="GS868" s="1"/>
      <c r="GT868" s="1"/>
      <c r="GU868" s="1"/>
      <c r="GV868" s="1"/>
      <c r="GW868" s="1"/>
      <c r="GX868" s="1"/>
      <c r="GY868" s="1"/>
      <c r="GZ868" s="1"/>
      <c r="HA868" s="1"/>
      <c r="HB868" s="1"/>
      <c r="HC868" s="1"/>
      <c r="HD868" s="1"/>
      <c r="HE868" s="1"/>
      <c r="HF868" s="1"/>
      <c r="HG868" s="1"/>
      <c r="HH868" s="1"/>
      <c r="HI868" s="1"/>
      <c r="HJ868" s="1"/>
      <c r="HK868" s="1"/>
      <c r="HL868" s="1"/>
      <c r="HM868" s="1"/>
      <c r="HN868" s="1"/>
      <c r="HO868" s="1"/>
      <c r="HP868" s="1"/>
      <c r="HQ868" s="1"/>
      <c r="HR868" s="1"/>
      <c r="HS868" s="1"/>
      <c r="HT868" s="1"/>
      <c r="HU868" s="1"/>
      <c r="HV868" s="1"/>
      <c r="HW868" s="1"/>
      <c r="HX868" s="1"/>
      <c r="HY868" s="1"/>
      <c r="HZ868" s="1"/>
      <c r="IA868" s="1"/>
      <c r="IB868" s="1"/>
      <c r="IC868" s="1"/>
      <c r="ID868" s="1"/>
      <c r="IE868" s="1"/>
      <c r="IF868" s="1"/>
      <c r="IG868" s="1"/>
      <c r="IH868" s="1"/>
      <c r="II868" s="1"/>
      <c r="IJ868" s="1"/>
      <c r="IK868" s="1"/>
      <c r="IL868" s="1"/>
      <c r="IM868" s="1"/>
      <c r="IN868" s="1"/>
      <c r="IO868" s="1"/>
      <c r="IP868" s="1"/>
      <c r="IQ868" s="1"/>
      <c r="IR868" s="1"/>
      <c r="IS868" s="1"/>
      <c r="IT868" s="1"/>
      <c r="IU868" s="1"/>
      <c r="IV868" s="1"/>
      <c r="IW868" s="1"/>
      <c r="IX868" s="1"/>
      <c r="IY868" s="1"/>
      <c r="IZ868" s="1"/>
      <c r="JA868" s="1"/>
      <c r="JB868" s="1"/>
      <c r="JC868" s="1"/>
      <c r="JD868" s="1"/>
    </row>
    <row r="869" spans="1:264" s="347" customFormat="1" x14ac:dyDescent="0.2">
      <c r="A869" s="347" t="s">
        <v>609</v>
      </c>
      <c r="B869" s="348"/>
      <c r="BH869" s="489">
        <f t="shared" ref="BH869:BJ871" si="786">+BH862*(BH$4/BH$3)/BH$868</f>
        <v>-6.0318194282949422E-4</v>
      </c>
      <c r="BI869" s="489">
        <f t="shared" si="786"/>
        <v>0</v>
      </c>
      <c r="BJ869" s="489">
        <f t="shared" si="786"/>
        <v>-2.9358972330487094E-4</v>
      </c>
      <c r="BK869" s="348"/>
      <c r="BL869" s="489">
        <f t="shared" ref="BL869:BN871" si="787">+BL862*(BL$4/BL$3)/BL$868</f>
        <v>4.0225335348885903E-5</v>
      </c>
      <c r="BM869" s="489">
        <f t="shared" si="787"/>
        <v>-3.0175980887679331E-4</v>
      </c>
      <c r="BN869" s="489">
        <f t="shared" si="787"/>
        <v>-1.2990707533130414E-4</v>
      </c>
      <c r="BO869" s="348"/>
      <c r="BP869" s="489">
        <f t="shared" ref="BP869:BR871" si="788">+BP862*(BP$4/BP$3)/BP$868</f>
        <v>-5.0564332584750327E-5</v>
      </c>
      <c r="BQ869" s="489">
        <f t="shared" si="788"/>
        <v>-3.1208015600108937E-6</v>
      </c>
      <c r="BR869" s="489">
        <f t="shared" si="788"/>
        <v>-2.6308784657954849E-5</v>
      </c>
      <c r="BT869" s="489">
        <f t="shared" ref="BT869:BV871" si="789">+BT862*(BT$4/BT$3)/BT$868</f>
        <v>1.1480371829570734E-4</v>
      </c>
      <c r="BU869" s="489">
        <f t="shared" si="789"/>
        <v>4.8717901738294191E-5</v>
      </c>
      <c r="BV869" s="489">
        <f t="shared" si="789"/>
        <v>7.980277314636684E-5</v>
      </c>
      <c r="BX869" s="489">
        <f t="shared" ref="BX869:BZ871" si="790">+BX862*(BX$4/BX$3)/BX$868</f>
        <v>-3.0338063502138399E-5</v>
      </c>
      <c r="BY869" s="489">
        <f t="shared" si="790"/>
        <v>-1.6417116254517836E-4</v>
      </c>
      <c r="BZ869" s="489">
        <f t="shared" si="790"/>
        <v>-9.6336237893519968E-5</v>
      </c>
      <c r="CB869" s="489">
        <f t="shared" ref="CB869:CD871" si="791">+CB862*(CB$4/CB$3)/CB$868</f>
        <v>6.6897594965113248E-5</v>
      </c>
      <c r="CC869" s="489">
        <f t="shared" si="791"/>
        <v>-2.4250370480698006E-5</v>
      </c>
      <c r="CD869" s="489">
        <f t="shared" si="791"/>
        <v>2.1378713215251575E-5</v>
      </c>
      <c r="CF869" s="489">
        <f t="shared" ref="CF869:CH871" si="792">+CF862*(CF$4/CF$3)/CF$868</f>
        <v>-1.0447885688566331E-5</v>
      </c>
      <c r="CG869" s="489">
        <f t="shared" si="792"/>
        <v>2.3848700706450787E-4</v>
      </c>
      <c r="CH869" s="489">
        <f t="shared" si="792"/>
        <v>1.1300726794417441E-4</v>
      </c>
      <c r="CJ869" s="489">
        <f t="shared" ref="CJ869:CL871" si="793">+CJ862*(CJ$4/CJ$3)/CJ$868</f>
        <v>4.20320723777378E-4</v>
      </c>
      <c r="CK869" s="489">
        <f t="shared" si="793"/>
        <v>3.4259415306654916E-3</v>
      </c>
      <c r="CL869" s="489">
        <f t="shared" si="793"/>
        <v>1.9125556974162552E-3</v>
      </c>
      <c r="CN869" s="489">
        <f t="shared" ref="CN869:CP871" si="794">+CN862*(CN$4/CN$3)/CN$868</f>
        <v>1.365787788558114E-3</v>
      </c>
      <c r="CO869" s="489">
        <f t="shared" si="794"/>
        <v>-1.5575315827879284E-3</v>
      </c>
      <c r="CP869" s="489">
        <f t="shared" si="794"/>
        <v>-1.0387820097621067E-4</v>
      </c>
      <c r="CR869" s="489">
        <f t="shared" ref="CR869:CT871" si="795">+CR862*(CR$4/CR$3)/CR$868</f>
        <v>-5.8075836633275407E-4</v>
      </c>
      <c r="CS869" s="489">
        <f t="shared" si="795"/>
        <v>-1.0276984892267215E-3</v>
      </c>
      <c r="CT869" s="489">
        <f t="shared" si="795"/>
        <v>-7.9099352176305673E-4</v>
      </c>
      <c r="CV869" s="489">
        <f t="shared" ref="CV869:CX871" si="796">+CV862*(CV$4/CV$3)/CV$868</f>
        <v>6.2803030501488316E-4</v>
      </c>
      <c r="CW869" s="489">
        <f t="shared" si="796"/>
        <v>6.3959864746790124E-4</v>
      </c>
      <c r="CX869" s="489">
        <f t="shared" si="796"/>
        <v>6.2684101061772236E-4</v>
      </c>
      <c r="CZ869" s="489">
        <f t="shared" ref="CZ869:DB871" si="797">+CZ862*(CZ$4/CZ$3)/CZ$868</f>
        <v>2.8697401964118441E-4</v>
      </c>
      <c r="DA869" s="489">
        <f t="shared" si="797"/>
        <v>1.9687601639455844E-4</v>
      </c>
      <c r="DB869" s="489">
        <f t="shared" si="797"/>
        <v>2.3896044836138399E-4</v>
      </c>
      <c r="DD869" s="489">
        <f t="shared" ref="DD869:DF871" si="798">+DD862*(DD$4/DD$3)/DD$868</f>
        <v>1.4004219426550873E-4</v>
      </c>
      <c r="DE869" s="489">
        <f t="shared" si="798"/>
        <v>1.369681807932998E-4</v>
      </c>
      <c r="DF869" s="489">
        <f t="shared" si="798"/>
        <v>1.3584241492376582E-4</v>
      </c>
      <c r="DH869" s="489">
        <f t="shared" ref="DH869" si="799">+DH862*(DH$4/DH$3)/DH$868</f>
        <v>-3.5930074882938937E-5</v>
      </c>
      <c r="DI869" s="489">
        <f t="shared" ref="DI869:DJ870" ca="1" si="800">+DI862*(DI$4/DI$3)/DI$868</f>
        <v>3.5859466409061712E-5</v>
      </c>
      <c r="DJ869" s="489">
        <f t="shared" ca="1" si="800"/>
        <v>2.7993291580259075E-7</v>
      </c>
      <c r="DL869" s="489">
        <f t="shared" ref="DL869:DN870" ca="1" si="801">+DL862*(DL$4/DL$3)/DL$868</f>
        <v>3.8552042113328164E-5</v>
      </c>
      <c r="DM869" s="489">
        <f t="shared" ca="1" si="801"/>
        <v>8.4524457432360252E-5</v>
      </c>
      <c r="DN869" s="489">
        <f t="shared" ca="1" si="801"/>
        <v>6.0762957083203758E-5</v>
      </c>
      <c r="DP869" s="489">
        <f t="shared" ref="DP869:DR870" ca="1" si="802">+DP862*(DP$4/DP$3)/DP$868</f>
        <v>2.1653304215491837E-4</v>
      </c>
      <c r="DQ869" s="489">
        <f t="shared" ca="1" si="802"/>
        <v>2.4989946940826583E-4</v>
      </c>
      <c r="DR869" s="489">
        <f t="shared" ca="1" si="802"/>
        <v>2.3045750958352272E-4</v>
      </c>
      <c r="DT869" s="1"/>
      <c r="DU869" s="1"/>
      <c r="DV869" s="1"/>
      <c r="DW869" s="1"/>
      <c r="DX869" s="1"/>
      <c r="DY869" s="1"/>
      <c r="DZ869" s="1"/>
      <c r="EA869" s="1"/>
      <c r="EB869" s="1"/>
      <c r="EC869" s="1"/>
      <c r="ED869" s="1"/>
      <c r="EE869" s="1"/>
      <c r="EF869" s="1"/>
      <c r="EG869" s="1"/>
      <c r="EH869" s="1"/>
      <c r="EI869" s="1"/>
      <c r="EJ869" s="1"/>
      <c r="EK869" s="1"/>
      <c r="EL869" s="1"/>
      <c r="EM869" s="1"/>
      <c r="EN869" s="1"/>
      <c r="EO869" s="1"/>
      <c r="EP869" s="1"/>
      <c r="EQ869" s="1"/>
      <c r="ER869" s="1"/>
      <c r="ES869" s="1"/>
      <c r="ET869" s="1"/>
      <c r="EU869" s="1"/>
      <c r="EV869" s="1"/>
      <c r="EW869" s="1"/>
      <c r="EX869" s="1"/>
      <c r="EY869" s="1"/>
      <c r="EZ869" s="1"/>
      <c r="FA869" s="1"/>
      <c r="FB869" s="1"/>
      <c r="FC869" s="1"/>
      <c r="FD869" s="1"/>
      <c r="FE869" s="1"/>
      <c r="FF869" s="1"/>
      <c r="FG869" s="1"/>
      <c r="FH869" s="1"/>
      <c r="FI869" s="1"/>
      <c r="FJ869" s="1"/>
      <c r="FK869" s="1"/>
      <c r="FL869" s="1"/>
      <c r="FM869" s="1"/>
      <c r="FN869" s="1"/>
      <c r="FO869" s="1"/>
      <c r="FP869" s="1"/>
      <c r="FQ869" s="1"/>
      <c r="FR869" s="1"/>
      <c r="FS869" s="1"/>
      <c r="FT869" s="1"/>
      <c r="FU869" s="1"/>
      <c r="FV869" s="1"/>
      <c r="FW869" s="1"/>
      <c r="FX869" s="1"/>
      <c r="FY869" s="1"/>
      <c r="FZ869" s="1"/>
      <c r="GA869" s="1"/>
      <c r="GB869" s="1"/>
      <c r="GC869" s="1"/>
      <c r="GD869" s="1"/>
      <c r="GE869" s="1"/>
      <c r="GF869" s="1"/>
      <c r="GG869" s="1"/>
      <c r="GH869" s="1"/>
      <c r="GI869" s="1"/>
      <c r="GJ869" s="1"/>
      <c r="GK869" s="1"/>
      <c r="GL869" s="1"/>
      <c r="GM869" s="1"/>
      <c r="GN869" s="1"/>
      <c r="GO869" s="1"/>
      <c r="GP869" s="1"/>
      <c r="GQ869" s="1"/>
      <c r="GR869" s="1"/>
      <c r="GS869" s="1"/>
      <c r="GT869" s="1"/>
      <c r="GU869" s="1"/>
      <c r="GV869" s="1"/>
      <c r="GW869" s="1"/>
      <c r="GX869" s="1"/>
      <c r="GY869" s="1"/>
      <c r="GZ869" s="1"/>
      <c r="HA869" s="1"/>
      <c r="HB869" s="1"/>
      <c r="HC869" s="1"/>
      <c r="HD869" s="1"/>
      <c r="HE869" s="1"/>
      <c r="HF869" s="1"/>
      <c r="HG869" s="1"/>
      <c r="HH869" s="1"/>
      <c r="HI869" s="1"/>
      <c r="HJ869" s="1"/>
      <c r="HK869" s="1"/>
      <c r="HL869" s="1"/>
      <c r="HM869" s="1"/>
      <c r="HN869" s="1"/>
      <c r="HO869" s="1"/>
      <c r="HP869" s="1"/>
      <c r="HQ869" s="1"/>
      <c r="HR869" s="1"/>
      <c r="HS869" s="1"/>
      <c r="HT869" s="1"/>
      <c r="HU869" s="1"/>
      <c r="HV869" s="1"/>
      <c r="HW869" s="1"/>
      <c r="HX869" s="1"/>
      <c r="HY869" s="1"/>
      <c r="HZ869" s="1"/>
      <c r="IA869" s="1"/>
      <c r="IB869" s="1"/>
      <c r="IC869" s="1"/>
      <c r="ID869" s="1"/>
      <c r="IE869" s="1"/>
      <c r="IF869" s="1"/>
      <c r="IG869" s="1"/>
      <c r="IH869" s="1"/>
      <c r="II869" s="1"/>
      <c r="IJ869" s="1"/>
      <c r="IK869" s="1"/>
      <c r="IL869" s="1"/>
      <c r="IM869" s="1"/>
      <c r="IN869" s="1"/>
      <c r="IO869" s="1"/>
      <c r="IP869" s="1"/>
      <c r="IQ869" s="1"/>
      <c r="IR869" s="1"/>
      <c r="IS869" s="1"/>
      <c r="IT869" s="1"/>
      <c r="IU869" s="1"/>
      <c r="IV869" s="1"/>
      <c r="IW869" s="1"/>
      <c r="IX869" s="1"/>
      <c r="IY869" s="1"/>
      <c r="IZ869" s="1"/>
      <c r="JA869" s="1"/>
      <c r="JB869" s="1"/>
      <c r="JC869" s="1"/>
      <c r="JD869" s="1"/>
    </row>
    <row r="870" spans="1:264" s="411" customFormat="1" x14ac:dyDescent="0.2">
      <c r="A870" s="411" t="s">
        <v>610</v>
      </c>
      <c r="B870" s="423"/>
      <c r="BH870" s="490">
        <f t="shared" si="786"/>
        <v>2.8280925822484668E-3</v>
      </c>
      <c r="BI870" s="490">
        <f t="shared" si="786"/>
        <v>1.6520553160064015E-3</v>
      </c>
      <c r="BJ870" s="490">
        <f t="shared" si="786"/>
        <v>2.1957698467531964E-3</v>
      </c>
      <c r="BK870" s="423"/>
      <c r="BL870" s="490">
        <f t="shared" si="787"/>
        <v>1.4916895191878525E-3</v>
      </c>
      <c r="BM870" s="490">
        <f t="shared" si="787"/>
        <v>1.9465165693481063E-3</v>
      </c>
      <c r="BN870" s="490">
        <f t="shared" si="787"/>
        <v>1.6970139461000744E-3</v>
      </c>
      <c r="BO870" s="423"/>
      <c r="BP870" s="490">
        <f t="shared" si="788"/>
        <v>1.4410834786653844E-3</v>
      </c>
      <c r="BQ870" s="490">
        <f t="shared" si="788"/>
        <v>1.7133200564459806E-3</v>
      </c>
      <c r="BR870" s="490">
        <f t="shared" si="788"/>
        <v>1.5553134459555661E-3</v>
      </c>
      <c r="BT870" s="490">
        <f t="shared" si="789"/>
        <v>1.5454346693652913E-3</v>
      </c>
      <c r="BU870" s="490">
        <f t="shared" si="789"/>
        <v>1.9343872749028579E-3</v>
      </c>
      <c r="BV870" s="490">
        <f t="shared" si="789"/>
        <v>1.7100594245650037E-3</v>
      </c>
      <c r="BX870" s="490">
        <f t="shared" si="790"/>
        <v>1.6823835214822204E-3</v>
      </c>
      <c r="BY870" s="490">
        <f t="shared" si="790"/>
        <v>1.5213194395853197E-3</v>
      </c>
      <c r="BZ870" s="490">
        <f t="shared" si="790"/>
        <v>1.5820852589273841E-3</v>
      </c>
      <c r="CB870" s="490">
        <f t="shared" si="791"/>
        <v>1.5279410690031865E-3</v>
      </c>
      <c r="CC870" s="490">
        <f t="shared" si="791"/>
        <v>1.3256869196114911E-3</v>
      </c>
      <c r="CD870" s="490">
        <f t="shared" si="791"/>
        <v>1.4203482592382763E-3</v>
      </c>
      <c r="CF870" s="490">
        <f t="shared" si="792"/>
        <v>1.5175553962642598E-3</v>
      </c>
      <c r="CG870" s="490">
        <f t="shared" si="792"/>
        <v>1.4150229085827467E-3</v>
      </c>
      <c r="CH870" s="490">
        <f t="shared" si="792"/>
        <v>1.4651523692762148E-3</v>
      </c>
      <c r="CJ870" s="490">
        <f t="shared" si="793"/>
        <v>1.2532262070908326E-3</v>
      </c>
      <c r="CK870" s="490">
        <f t="shared" si="793"/>
        <v>1.3920304187805611E-3</v>
      </c>
      <c r="CL870" s="490">
        <f t="shared" si="793"/>
        <v>1.3152025104216339E-3</v>
      </c>
      <c r="CN870" s="490">
        <f t="shared" si="794"/>
        <v>8.3645138787379915E-4</v>
      </c>
      <c r="CO870" s="490">
        <f t="shared" si="794"/>
        <v>7.4919240691064903E-4</v>
      </c>
      <c r="CP870" s="490">
        <f t="shared" si="794"/>
        <v>7.8091965204468965E-4</v>
      </c>
      <c r="CR870" s="490">
        <f t="shared" si="795"/>
        <v>4.0583114755782815E-4</v>
      </c>
      <c r="CS870" s="490">
        <f t="shared" si="795"/>
        <v>3.8510209463262949E-4</v>
      </c>
      <c r="CT870" s="490">
        <f t="shared" si="795"/>
        <v>3.8758682566389781E-4</v>
      </c>
      <c r="CV870" s="490">
        <f t="shared" si="796"/>
        <v>4.8243158378305902E-4</v>
      </c>
      <c r="CW870" s="490">
        <f t="shared" si="796"/>
        <v>6.5040267867512934E-4</v>
      </c>
      <c r="CX870" s="490">
        <f t="shared" si="796"/>
        <v>5.6040657872319453E-4</v>
      </c>
      <c r="CZ870" s="490">
        <f t="shared" si="797"/>
        <v>6.0178880238188665E-4</v>
      </c>
      <c r="DA870" s="490">
        <f t="shared" si="797"/>
        <v>6.2238224537634608E-4</v>
      </c>
      <c r="DB870" s="490">
        <f t="shared" si="797"/>
        <v>6.0529628990218414E-4</v>
      </c>
      <c r="DD870" s="490">
        <f t="shared" si="798"/>
        <v>5.0942885160351733E-4</v>
      </c>
      <c r="DE870" s="490">
        <f t="shared" si="798"/>
        <v>6.689605351788701E-4</v>
      </c>
      <c r="DF870" s="490">
        <f t="shared" si="798"/>
        <v>5.7880681141430658E-4</v>
      </c>
      <c r="DH870" s="490">
        <f t="shared" ref="DH870" si="803">+DH863*(DH$4/DH$3)/DH$868</f>
        <v>6.3917712160175579E-4</v>
      </c>
      <c r="DI870" s="490">
        <f t="shared" ca="1" si="800"/>
        <v>7.6414053359093843E-4</v>
      </c>
      <c r="DJ870" s="490">
        <f t="shared" ca="1" si="800"/>
        <v>6.9028902771020172E-4</v>
      </c>
      <c r="DL870" s="490">
        <f t="shared" ca="1" si="801"/>
        <v>8.6144795788667199E-4</v>
      </c>
      <c r="DM870" s="490">
        <f t="shared" ca="1" si="801"/>
        <v>9.1547554256763992E-4</v>
      </c>
      <c r="DN870" s="490">
        <f t="shared" ca="1" si="801"/>
        <v>8.7513735493431372E-4</v>
      </c>
      <c r="DP870" s="490">
        <f t="shared" ca="1" si="802"/>
        <v>7.834669578450817E-4</v>
      </c>
      <c r="DQ870" s="490">
        <f t="shared" ca="1" si="802"/>
        <v>7.5010053059173425E-4</v>
      </c>
      <c r="DR870" s="490">
        <f t="shared" ca="1" si="802"/>
        <v>7.5722297987094241E-4</v>
      </c>
      <c r="DT870" s="451"/>
      <c r="DU870" s="451"/>
      <c r="DV870" s="451"/>
      <c r="DW870" s="451"/>
      <c r="DX870" s="451"/>
      <c r="DY870" s="451"/>
      <c r="DZ870" s="451"/>
      <c r="EA870" s="451"/>
      <c r="EB870" s="451"/>
      <c r="EC870" s="451"/>
      <c r="ED870" s="451"/>
      <c r="EE870" s="451"/>
      <c r="EF870" s="451"/>
      <c r="EG870" s="451"/>
      <c r="EH870" s="451"/>
      <c r="EI870" s="451"/>
      <c r="EJ870" s="451"/>
      <c r="EK870" s="451"/>
      <c r="EL870" s="451"/>
      <c r="EM870" s="451"/>
      <c r="EN870" s="451"/>
      <c r="EO870" s="451"/>
      <c r="EP870" s="451"/>
      <c r="EQ870" s="451"/>
      <c r="ER870" s="451"/>
      <c r="ES870" s="451"/>
      <c r="ET870" s="451"/>
      <c r="EU870" s="451"/>
      <c r="EV870" s="451"/>
      <c r="EW870" s="451"/>
      <c r="EX870" s="451"/>
      <c r="EY870" s="451"/>
      <c r="EZ870" s="451"/>
      <c r="FA870" s="451"/>
      <c r="FB870" s="451"/>
      <c r="FC870" s="451"/>
      <c r="FD870" s="451"/>
      <c r="FE870" s="451"/>
      <c r="FF870" s="451"/>
      <c r="FG870" s="451"/>
      <c r="FH870" s="451"/>
      <c r="FI870" s="451"/>
      <c r="FJ870" s="451"/>
      <c r="FK870" s="451"/>
      <c r="FL870" s="451"/>
      <c r="FM870" s="451"/>
      <c r="FN870" s="451"/>
      <c r="FO870" s="451"/>
      <c r="FP870" s="451"/>
      <c r="FQ870" s="451"/>
      <c r="FR870" s="451"/>
      <c r="FS870" s="451"/>
      <c r="FT870" s="451"/>
      <c r="FU870" s="451"/>
      <c r="FV870" s="451"/>
      <c r="FW870" s="451"/>
      <c r="FX870" s="451"/>
      <c r="FY870" s="451"/>
      <c r="FZ870" s="451"/>
      <c r="GA870" s="451"/>
      <c r="GB870" s="451"/>
      <c r="GC870" s="451"/>
      <c r="GD870" s="451"/>
      <c r="GE870" s="451"/>
      <c r="GF870" s="451"/>
      <c r="GG870" s="451"/>
      <c r="GH870" s="451"/>
      <c r="GI870" s="451"/>
      <c r="GJ870" s="451"/>
      <c r="GK870" s="451"/>
      <c r="GL870" s="451"/>
      <c r="GM870" s="451"/>
      <c r="GN870" s="451"/>
      <c r="GO870" s="451"/>
      <c r="GP870" s="451"/>
      <c r="GQ870" s="451"/>
      <c r="GR870" s="451"/>
      <c r="GS870" s="451"/>
      <c r="GT870" s="451"/>
      <c r="GU870" s="451"/>
      <c r="GV870" s="451"/>
      <c r="GW870" s="451"/>
      <c r="GX870" s="451"/>
      <c r="GY870" s="451"/>
      <c r="GZ870" s="451"/>
      <c r="HA870" s="451"/>
      <c r="HB870" s="451"/>
      <c r="HC870" s="451"/>
      <c r="HD870" s="451"/>
      <c r="HE870" s="451"/>
      <c r="HF870" s="451"/>
      <c r="HG870" s="451"/>
      <c r="HH870" s="451"/>
      <c r="HI870" s="451"/>
      <c r="HJ870" s="451"/>
      <c r="HK870" s="451"/>
      <c r="HL870" s="451"/>
      <c r="HM870" s="451"/>
      <c r="HN870" s="451"/>
      <c r="HO870" s="451"/>
      <c r="HP870" s="451"/>
      <c r="HQ870" s="451"/>
      <c r="HR870" s="451"/>
      <c r="HS870" s="451"/>
      <c r="HT870" s="451"/>
      <c r="HU870" s="451"/>
      <c r="HV870" s="451"/>
      <c r="HW870" s="451"/>
      <c r="HX870" s="451"/>
      <c r="HY870" s="451"/>
      <c r="HZ870" s="451"/>
      <c r="IA870" s="451"/>
      <c r="IB870" s="451"/>
      <c r="IC870" s="451"/>
      <c r="ID870" s="451"/>
      <c r="IE870" s="451"/>
      <c r="IF870" s="451"/>
      <c r="IG870" s="451"/>
      <c r="IH870" s="451"/>
      <c r="II870" s="451"/>
      <c r="IJ870" s="451"/>
      <c r="IK870" s="451"/>
      <c r="IL870" s="451"/>
      <c r="IM870" s="451"/>
      <c r="IN870" s="451"/>
      <c r="IO870" s="451"/>
      <c r="IP870" s="451"/>
      <c r="IQ870" s="451"/>
      <c r="IR870" s="451"/>
      <c r="IS870" s="451"/>
      <c r="IT870" s="451"/>
      <c r="IU870" s="451"/>
      <c r="IV870" s="451"/>
      <c r="IW870" s="451"/>
      <c r="IX870" s="451"/>
      <c r="IY870" s="451"/>
      <c r="IZ870" s="451"/>
      <c r="JA870" s="451"/>
      <c r="JB870" s="451"/>
      <c r="JC870" s="451"/>
      <c r="JD870" s="451"/>
    </row>
    <row r="871" spans="1:264" s="411" customFormat="1" x14ac:dyDescent="0.2">
      <c r="A871" s="693" t="s">
        <v>611</v>
      </c>
      <c r="B871" s="694"/>
      <c r="C871" s="693"/>
      <c r="D871" s="693"/>
      <c r="E871" s="693"/>
      <c r="F871" s="693"/>
      <c r="G871" s="693"/>
      <c r="H871" s="693"/>
      <c r="I871" s="693"/>
      <c r="J871" s="693"/>
      <c r="K871" s="693"/>
      <c r="L871" s="693"/>
      <c r="M871" s="693"/>
      <c r="N871" s="693"/>
      <c r="O871" s="693"/>
      <c r="P871" s="693"/>
      <c r="Q871" s="693"/>
      <c r="R871" s="693"/>
      <c r="S871" s="693"/>
      <c r="T871" s="693"/>
      <c r="U871" s="693"/>
      <c r="V871" s="693"/>
      <c r="W871" s="693"/>
      <c r="X871" s="693"/>
      <c r="Y871" s="693"/>
      <c r="Z871" s="693"/>
      <c r="AA871" s="693"/>
      <c r="AB871" s="693"/>
      <c r="AC871" s="693"/>
      <c r="AD871" s="693"/>
      <c r="AE871" s="693"/>
      <c r="AF871" s="693"/>
      <c r="AG871" s="693"/>
      <c r="AH871" s="693"/>
      <c r="AI871" s="693"/>
      <c r="AJ871" s="693"/>
      <c r="AK871" s="693"/>
      <c r="AL871" s="693"/>
      <c r="AM871" s="693"/>
      <c r="AN871" s="693"/>
      <c r="AO871" s="693"/>
      <c r="AP871" s="693"/>
      <c r="AQ871" s="693"/>
      <c r="AR871" s="693"/>
      <c r="AS871" s="693"/>
      <c r="AT871" s="693"/>
      <c r="AU871" s="693"/>
      <c r="AV871" s="693"/>
      <c r="AW871" s="693"/>
      <c r="AX871" s="693"/>
      <c r="AY871" s="693"/>
      <c r="AZ871" s="693"/>
      <c r="BA871" s="693"/>
      <c r="BB871" s="693"/>
      <c r="BC871" s="693"/>
      <c r="BD871" s="693"/>
      <c r="BE871" s="695"/>
      <c r="BF871" s="693"/>
      <c r="BG871" s="693"/>
      <c r="BH871" s="695">
        <f t="shared" si="786"/>
        <v>2.2249106394189727E-3</v>
      </c>
      <c r="BI871" s="695">
        <f t="shared" si="786"/>
        <v>1.6520553160064015E-3</v>
      </c>
      <c r="BJ871" s="695">
        <f t="shared" si="786"/>
        <v>1.9021801234483256E-3</v>
      </c>
      <c r="BK871" s="696"/>
      <c r="BL871" s="695">
        <f t="shared" si="787"/>
        <v>1.5319148545367381E-3</v>
      </c>
      <c r="BM871" s="695">
        <f t="shared" si="787"/>
        <v>1.6447567604713129E-3</v>
      </c>
      <c r="BN871" s="695">
        <f t="shared" si="787"/>
        <v>1.5671068707687704E-3</v>
      </c>
      <c r="BO871" s="694"/>
      <c r="BP871" s="695">
        <f t="shared" si="788"/>
        <v>1.3905191460806339E-3</v>
      </c>
      <c r="BQ871" s="695">
        <f t="shared" si="788"/>
        <v>1.7101992548859697E-3</v>
      </c>
      <c r="BR871" s="695">
        <f t="shared" si="788"/>
        <v>1.5290046612976111E-3</v>
      </c>
      <c r="BS871" s="693"/>
      <c r="BT871" s="695">
        <f t="shared" si="789"/>
        <v>1.6602383876609986E-3</v>
      </c>
      <c r="BU871" s="695">
        <f t="shared" si="789"/>
        <v>1.983105176641152E-3</v>
      </c>
      <c r="BV871" s="695">
        <f t="shared" si="789"/>
        <v>1.7898621977113704E-3</v>
      </c>
      <c r="BW871" s="693"/>
      <c r="BX871" s="695">
        <f t="shared" si="790"/>
        <v>1.652045457980082E-3</v>
      </c>
      <c r="BY871" s="695">
        <f t="shared" si="790"/>
        <v>1.3571482770401411E-3</v>
      </c>
      <c r="BZ871" s="695">
        <f t="shared" si="790"/>
        <v>1.4857490210338643E-3</v>
      </c>
      <c r="CA871" s="693"/>
      <c r="CB871" s="695">
        <f t="shared" si="791"/>
        <v>1.5948386639682999E-3</v>
      </c>
      <c r="CC871" s="695">
        <f t="shared" si="791"/>
        <v>1.3014365491307929E-3</v>
      </c>
      <c r="CD871" s="695">
        <f t="shared" si="791"/>
        <v>1.441726972453528E-3</v>
      </c>
      <c r="CE871" s="693"/>
      <c r="CF871" s="695">
        <f t="shared" si="792"/>
        <v>1.5071075105756932E-3</v>
      </c>
      <c r="CG871" s="695">
        <f t="shared" si="792"/>
        <v>1.6535099156472547E-3</v>
      </c>
      <c r="CH871" s="695">
        <f t="shared" si="792"/>
        <v>1.5781596372203891E-3</v>
      </c>
      <c r="CI871" s="693"/>
      <c r="CJ871" s="695">
        <f t="shared" si="793"/>
        <v>1.6735469308682108E-3</v>
      </c>
      <c r="CK871" s="695">
        <f t="shared" si="793"/>
        <v>4.8179719494460529E-3</v>
      </c>
      <c r="CL871" s="695">
        <f t="shared" si="793"/>
        <v>3.2277582078378891E-3</v>
      </c>
      <c r="CM871" s="693"/>
      <c r="CN871" s="695">
        <f t="shared" si="794"/>
        <v>2.2022391764319128E-3</v>
      </c>
      <c r="CO871" s="695">
        <f t="shared" si="794"/>
        <v>-8.0833917587727925E-4</v>
      </c>
      <c r="CP871" s="695">
        <f t="shared" si="794"/>
        <v>6.7704145106847898E-4</v>
      </c>
      <c r="CQ871" s="693"/>
      <c r="CR871" s="695">
        <f t="shared" si="795"/>
        <v>-1.7492721877492592E-4</v>
      </c>
      <c r="CS871" s="695">
        <f t="shared" si="795"/>
        <v>-6.4259639459409172E-4</v>
      </c>
      <c r="CT871" s="695">
        <f t="shared" si="795"/>
        <v>-4.0340669609915893E-4</v>
      </c>
      <c r="CU871" s="693"/>
      <c r="CV871" s="695">
        <f t="shared" si="796"/>
        <v>1.1104618887979422E-3</v>
      </c>
      <c r="CW871" s="695">
        <f t="shared" si="796"/>
        <v>1.2900013261430306E-3</v>
      </c>
      <c r="CX871" s="695">
        <f t="shared" si="796"/>
        <v>1.1872475893409168E-3</v>
      </c>
      <c r="CY871" s="693"/>
      <c r="CZ871" s="695">
        <f t="shared" si="797"/>
        <v>8.8876282202307111E-4</v>
      </c>
      <c r="DA871" s="695">
        <f t="shared" si="797"/>
        <v>8.1925826177090455E-4</v>
      </c>
      <c r="DB871" s="695">
        <f t="shared" si="797"/>
        <v>8.4425673826356816E-4</v>
      </c>
      <c r="DC871" s="693"/>
      <c r="DD871" s="695">
        <f t="shared" si="798"/>
        <v>6.4947104586902612E-4</v>
      </c>
      <c r="DE871" s="695">
        <f t="shared" si="798"/>
        <v>8.0592871597216992E-4</v>
      </c>
      <c r="DF871" s="695">
        <f t="shared" si="798"/>
        <v>7.1464922633807234E-4</v>
      </c>
      <c r="DG871" s="693"/>
      <c r="DH871" s="695">
        <f t="shared" ref="DH871" si="804">+DH864*(DH$4/DH$3)/DH$868</f>
        <v>6.0324704671881686E-4</v>
      </c>
      <c r="DI871" s="697">
        <v>8.0000000000000004E-4</v>
      </c>
      <c r="DJ871" s="695">
        <f>+DJ864*(DJ$4/DJ$3)/DJ$868</f>
        <v>6.9056896062600433E-4</v>
      </c>
      <c r="DK871" s="693"/>
      <c r="DL871" s="697">
        <v>8.9999999999999998E-4</v>
      </c>
      <c r="DM871" s="697">
        <v>1E-3</v>
      </c>
      <c r="DN871" s="695">
        <f>+DN864*(DN$4/DN$3)/DN$868</f>
        <v>9.3590031201751744E-4</v>
      </c>
      <c r="DO871" s="693"/>
      <c r="DP871" s="697">
        <v>1E-3</v>
      </c>
      <c r="DQ871" s="697">
        <v>1E-3</v>
      </c>
      <c r="DR871" s="695">
        <f>+DR864*(DR$4/DR$3)/DR$868</f>
        <v>9.8768048945446513E-4</v>
      </c>
      <c r="DS871" s="693"/>
      <c r="DT871" s="1"/>
      <c r="DU871" s="1"/>
      <c r="DV871" s="1"/>
      <c r="DW871" s="1"/>
      <c r="DX871" s="1"/>
      <c r="DY871" s="1"/>
      <c r="DZ871" s="1"/>
      <c r="EA871" s="1"/>
      <c r="EB871" s="1"/>
      <c r="EC871" s="1"/>
      <c r="ED871" s="1"/>
      <c r="EE871" s="1"/>
      <c r="EF871" s="1"/>
      <c r="EG871" s="1"/>
      <c r="EH871" s="1"/>
      <c r="EI871" s="1"/>
      <c r="EJ871" s="1"/>
      <c r="EK871" s="1"/>
      <c r="EL871" s="1"/>
      <c r="EM871" s="1"/>
      <c r="EN871" s="1"/>
      <c r="EO871" s="1"/>
      <c r="EP871" s="1"/>
      <c r="EQ871" s="1"/>
      <c r="ER871" s="1"/>
      <c r="ES871" s="1"/>
      <c r="ET871" s="1"/>
      <c r="EU871" s="1"/>
      <c r="EV871" s="1"/>
      <c r="EW871" s="1"/>
      <c r="EX871" s="1"/>
      <c r="EY871" s="1"/>
      <c r="EZ871" s="1"/>
      <c r="FA871" s="1"/>
      <c r="FB871" s="1"/>
      <c r="FC871" s="1"/>
      <c r="FD871" s="1"/>
      <c r="FE871" s="1"/>
      <c r="FF871" s="1"/>
      <c r="FG871" s="1"/>
      <c r="FH871" s="1"/>
      <c r="FI871" s="1"/>
      <c r="FJ871" s="1"/>
      <c r="FK871" s="1"/>
      <c r="FL871" s="1"/>
      <c r="FM871" s="1"/>
      <c r="FN871" s="1"/>
      <c r="FO871" s="1"/>
      <c r="FP871" s="1"/>
      <c r="FQ871" s="1"/>
      <c r="FR871" s="1"/>
      <c r="FS871" s="1"/>
      <c r="FT871" s="1"/>
      <c r="FU871" s="1"/>
      <c r="FV871" s="1"/>
      <c r="FW871" s="1"/>
      <c r="FX871" s="1"/>
      <c r="FY871" s="1"/>
      <c r="FZ871" s="1"/>
      <c r="GA871" s="1"/>
      <c r="GB871" s="1"/>
      <c r="GC871" s="1"/>
      <c r="GD871" s="1"/>
      <c r="GE871" s="1"/>
      <c r="GF871" s="1"/>
      <c r="GG871" s="1"/>
      <c r="GH871" s="1"/>
      <c r="GI871" s="1"/>
      <c r="GJ871" s="1"/>
      <c r="GK871" s="1"/>
      <c r="GL871" s="1"/>
      <c r="GM871" s="1"/>
      <c r="GN871" s="1"/>
      <c r="GO871" s="1"/>
      <c r="GP871" s="1"/>
      <c r="GQ871" s="1"/>
      <c r="GR871" s="1"/>
      <c r="GS871" s="1"/>
      <c r="GT871" s="1"/>
      <c r="GU871" s="1"/>
      <c r="GV871" s="1"/>
      <c r="GW871" s="1"/>
      <c r="GX871" s="1"/>
      <c r="GY871" s="1"/>
      <c r="GZ871" s="1"/>
      <c r="HA871" s="1"/>
      <c r="HB871" s="1"/>
      <c r="HC871" s="1"/>
      <c r="HD871" s="1"/>
      <c r="HE871" s="1"/>
      <c r="HF871" s="1"/>
      <c r="HG871" s="1"/>
      <c r="HH871" s="1"/>
      <c r="HI871" s="1"/>
      <c r="HJ871" s="1"/>
      <c r="HK871" s="1"/>
      <c r="HL871" s="1"/>
      <c r="HM871" s="1"/>
      <c r="HN871" s="1"/>
      <c r="HO871" s="1"/>
      <c r="HP871" s="1"/>
      <c r="HQ871" s="1"/>
      <c r="HR871" s="1"/>
      <c r="HS871" s="1"/>
      <c r="HT871" s="1"/>
      <c r="HU871" s="1"/>
      <c r="HV871" s="1"/>
      <c r="HW871" s="1"/>
      <c r="HX871" s="1"/>
      <c r="HY871" s="1"/>
      <c r="HZ871" s="1"/>
      <c r="IA871" s="1"/>
      <c r="IB871" s="1"/>
      <c r="IC871" s="1"/>
      <c r="ID871" s="1"/>
      <c r="IE871" s="1"/>
      <c r="IF871" s="1"/>
      <c r="IG871" s="1"/>
      <c r="IH871" s="1"/>
      <c r="II871" s="1"/>
      <c r="IJ871" s="1"/>
      <c r="IK871" s="1"/>
      <c r="IL871" s="1"/>
      <c r="IM871" s="1"/>
      <c r="IN871" s="1"/>
      <c r="IO871" s="1"/>
      <c r="IP871" s="1"/>
      <c r="IQ871" s="1"/>
      <c r="IR871" s="1"/>
      <c r="IS871" s="1"/>
      <c r="IT871" s="1"/>
      <c r="IU871" s="1"/>
      <c r="IV871" s="1"/>
      <c r="IW871" s="1"/>
      <c r="IX871" s="1"/>
      <c r="IY871" s="1"/>
      <c r="IZ871" s="1"/>
      <c r="JA871" s="1"/>
      <c r="JB871" s="1"/>
      <c r="JC871" s="1"/>
      <c r="JD871" s="1"/>
    </row>
    <row r="872" spans="1:264" s="347" customFormat="1" x14ac:dyDescent="0.2">
      <c r="A872" s="347" t="s">
        <v>612</v>
      </c>
      <c r="B872" s="348"/>
      <c r="BH872" s="489">
        <f>BH854*(BH$4/BH$3)/BH486</f>
        <v>2.2403297944014154E-3</v>
      </c>
      <c r="BI872" s="489">
        <f>BI854*(BI$4/BI$3)/BI486</f>
        <v>1.6942338674252287E-3</v>
      </c>
      <c r="BJ872" s="489">
        <f>BJ854*(BJ$4/BJ$3)/BJ486</f>
        <v>1.9672369593280122E-3</v>
      </c>
      <c r="BK872" s="348"/>
      <c r="BL872" s="489">
        <f>BL854*(BL$4/BL$3)/BL486</f>
        <v>1.5745667145063843E-3</v>
      </c>
      <c r="BM872" s="489">
        <f>BM854*(BM$4/BM$3)/BM486</f>
        <v>1.6775504361089062E-3</v>
      </c>
      <c r="BN872" s="489">
        <f>BN854*(BN$4/BN$3)/BN486</f>
        <v>1.6265352239600757E-3</v>
      </c>
      <c r="BO872" s="348"/>
      <c r="BP872" s="489">
        <f>BP854*(BP$4/BP$3)/BP486</f>
        <v>1.424238560916723E-3</v>
      </c>
      <c r="BQ872" s="489">
        <f>BQ854*(BQ$4/BQ$3)/BQ486</f>
        <v>1.7375489549987765E-3</v>
      </c>
      <c r="BR872" s="489">
        <f>BR854*(BR$4/BR$3)/BR486</f>
        <v>1.5825116445947938E-3</v>
      </c>
      <c r="BT872" s="489">
        <f>BT854*(BT$4/BT$3)/BT486</f>
        <v>1.7640068763658354E-3</v>
      </c>
      <c r="BU872" s="489">
        <f>BU854*(BU$4/BU$3)/BU486</f>
        <v>2.1290920873855146E-3</v>
      </c>
      <c r="BV872" s="489">
        <f>BV854*(BV$4/BV$3)/BV486</f>
        <v>1.9479029026234654E-3</v>
      </c>
      <c r="BX872" s="489">
        <f>BX854*(BX$4/BX$3)/BX486</f>
        <v>1.7619463240723411E-3</v>
      </c>
      <c r="BY872" s="489">
        <f>BY854*(BY$4/BY$3)/BY486</f>
        <v>1.4580119654106795E-3</v>
      </c>
      <c r="BZ872" s="489">
        <f>BZ854*(BZ$4/BZ$3)/BZ486</f>
        <v>1.6099295159625615E-3</v>
      </c>
      <c r="CB872" s="489">
        <f>CB854*(CB$4/CB$3)/CB486</f>
        <v>1.6948878927568062E-3</v>
      </c>
      <c r="CC872" s="489">
        <f>CC854*(CC$4/CC$3)/CC486</f>
        <v>1.3868854983886852E-3</v>
      </c>
      <c r="CD872" s="489">
        <f>CD854*(CD$4/CD$3)/CD486</f>
        <v>1.5416289831963869E-3</v>
      </c>
      <c r="CF872" s="489">
        <f>CF854*(CF$4/CF$3)/CF486</f>
        <v>1.6189998108905516E-3</v>
      </c>
      <c r="CG872" s="489">
        <f>CG854*(CG$4/CG$3)/CG486</f>
        <v>1.7669999949959827E-3</v>
      </c>
      <c r="CH872" s="489">
        <f>CH854*(CH$4/CH$3)/CH486</f>
        <v>1.6926602530675063E-3</v>
      </c>
      <c r="CJ872" s="489">
        <f>CJ854*(CJ$4/CJ$3)/CJ486</f>
        <v>1.79978927522169E-3</v>
      </c>
      <c r="CK872" s="489">
        <f>CK854*(CK$4/CK$3)/CK486</f>
        <v>5.1570966625528241E-3</v>
      </c>
      <c r="CL872" s="489">
        <f>CL854*(CL$4/CL$3)/CL486</f>
        <v>3.4826579401973138E-3</v>
      </c>
      <c r="CN872" s="489">
        <f>CN854*(CN$4/CN$3)/CN486</f>
        <v>2.4017894685638861E-3</v>
      </c>
      <c r="CO872" s="489">
        <f>CO854*(CO$4/CO$3)/CO486</f>
        <v>-8.9105753576817852E-4</v>
      </c>
      <c r="CP872" s="489">
        <f>CP854*(CP$4/CP$3)/CP486</f>
        <v>7.5340528308455543E-4</v>
      </c>
      <c r="CR872" s="489">
        <f>CR854*(CR$4/CR$3)/CR486</f>
        <v>-1.9271554799333096E-4</v>
      </c>
      <c r="CS872" s="489">
        <f>CS854*(CS$4/CS$3)/CS486</f>
        <v>-7.132622837340317E-4</v>
      </c>
      <c r="CT872" s="489">
        <f>CT854*(CT$4/CT$3)/CT486</f>
        <v>-4.5504255986295191E-4</v>
      </c>
      <c r="CV872" s="489">
        <f>CV854*(CV$4/CV$3)/CV486</f>
        <v>1.2273798593752962E-3</v>
      </c>
      <c r="CW872" s="489">
        <f>CW854*(CW$4/CW$3)/CW486</f>
        <v>1.4205251063413682E-3</v>
      </c>
      <c r="CX872" s="489">
        <f>CX854*(CX$4/CX$3)/CX486</f>
        <v>1.3244067363055985E-3</v>
      </c>
      <c r="CZ872" s="489">
        <f>CZ854*(CZ$4/CZ$3)/CZ486</f>
        <v>9.7087927234819761E-4</v>
      </c>
      <c r="DA872" s="489">
        <f>DA854*(DA$4/DA$3)/DA486</f>
        <v>9.099880819199742E-4</v>
      </c>
      <c r="DB872" s="489">
        <f>DB854*(DB$4/DB$3)/DB486</f>
        <v>9.4051092493737743E-4</v>
      </c>
      <c r="DD872" s="489">
        <f>DD854*(DD$4/DD$3)/DD486</f>
        <v>7.2830497940617914E-4</v>
      </c>
      <c r="DE872" s="489">
        <f>DE854*(DE$4/DE$3)/DE486</f>
        <v>9.0828832742912216E-4</v>
      </c>
      <c r="DF872" s="489">
        <f>DF854*(DF$4/DF$3)/DF486</f>
        <v>8.1907011849440025E-4</v>
      </c>
      <c r="DH872" s="489">
        <f>DH854*(DH$4/DH$3)/DH486</f>
        <v>6.7871900474769295E-4</v>
      </c>
      <c r="DI872" s="489">
        <f>DI854*(DI$4/DI$3)/DI486</f>
        <v>9.0106427211621945E-4</v>
      </c>
      <c r="DJ872" s="489">
        <f>DJ854*(DJ$4/DJ$3)/DJ486</f>
        <v>7.9071483647887497E-4</v>
      </c>
      <c r="DL872" s="489">
        <f>DL854*(DL$4/DL$3)/DL486</f>
        <v>1.0110265642311108E-3</v>
      </c>
      <c r="DM872" s="489">
        <f>DM854*(DM$4/DM$3)/DM486</f>
        <v>1.1243169931202722E-3</v>
      </c>
      <c r="DN872" s="489">
        <f>DN854*(DN$4/DN$3)/DN486</f>
        <v>1.0679190966126179E-3</v>
      </c>
      <c r="DP872" s="489">
        <f>DP854*(DP$4/DP$3)/DP486</f>
        <v>1.120157191503119E-3</v>
      </c>
      <c r="DQ872" s="489">
        <f>DQ854*(DQ$4/DQ$3)/DQ486</f>
        <v>1.1210921213031105E-3</v>
      </c>
      <c r="DR872" s="489">
        <f>DR854*(DR$4/DR$3)/DR486</f>
        <v>1.1205542988767692E-3</v>
      </c>
      <c r="DT872" s="1"/>
      <c r="DU872" s="1"/>
      <c r="DV872" s="1"/>
      <c r="DW872" s="1"/>
      <c r="DX872" s="1"/>
      <c r="DY872" s="1"/>
      <c r="DZ872" s="1"/>
      <c r="EA872" s="1"/>
      <c r="EB872" s="1"/>
      <c r="EC872" s="1"/>
      <c r="ED872" s="1"/>
      <c r="EE872" s="1"/>
      <c r="EF872" s="1"/>
      <c r="EG872" s="1"/>
      <c r="EH872" s="1"/>
      <c r="EI872" s="1"/>
      <c r="EJ872" s="1"/>
      <c r="EK872" s="1"/>
      <c r="EL872" s="1"/>
      <c r="EM872" s="1"/>
      <c r="EN872" s="1"/>
      <c r="EO872" s="1"/>
      <c r="EP872" s="1"/>
      <c r="EQ872" s="1"/>
      <c r="ER872" s="1"/>
      <c r="ES872" s="1"/>
      <c r="ET872" s="1"/>
      <c r="EU872" s="1"/>
      <c r="EV872" s="1"/>
      <c r="EW872" s="1"/>
      <c r="EX872" s="1"/>
      <c r="EY872" s="1"/>
      <c r="EZ872" s="1"/>
      <c r="FA872" s="1"/>
      <c r="FB872" s="1"/>
      <c r="FC872" s="1"/>
      <c r="FD872" s="1"/>
      <c r="FE872" s="1"/>
      <c r="FF872" s="1"/>
      <c r="FG872" s="1"/>
      <c r="FH872" s="1"/>
      <c r="FI872" s="1"/>
      <c r="FJ872" s="1"/>
      <c r="FK872" s="1"/>
      <c r="FL872" s="1"/>
      <c r="FM872" s="1"/>
      <c r="FN872" s="1"/>
      <c r="FO872" s="1"/>
      <c r="FP872" s="1"/>
      <c r="FQ872" s="1"/>
      <c r="FR872" s="1"/>
      <c r="FS872" s="1"/>
      <c r="FT872" s="1"/>
      <c r="FU872" s="1"/>
      <c r="FV872" s="1"/>
      <c r="FW872" s="1"/>
      <c r="FX872" s="1"/>
      <c r="FY872" s="1"/>
      <c r="FZ872" s="1"/>
      <c r="GA872" s="1"/>
      <c r="GB872" s="1"/>
      <c r="GC872" s="1"/>
      <c r="GD872" s="1"/>
      <c r="GE872" s="1"/>
      <c r="GF872" s="1"/>
      <c r="GG872" s="1"/>
      <c r="GH872" s="1"/>
      <c r="GI872" s="1"/>
      <c r="GJ872" s="1"/>
      <c r="GK872" s="1"/>
      <c r="GL872" s="1"/>
      <c r="GM872" s="1"/>
      <c r="GN872" s="1"/>
      <c r="GO872" s="1"/>
      <c r="GP872" s="1"/>
      <c r="GQ872" s="1"/>
      <c r="GR872" s="1"/>
      <c r="GS872" s="1"/>
      <c r="GT872" s="1"/>
      <c r="GU872" s="1"/>
      <c r="GV872" s="1"/>
      <c r="GW872" s="1"/>
      <c r="GX872" s="1"/>
      <c r="GY872" s="1"/>
      <c r="GZ872" s="1"/>
      <c r="HA872" s="1"/>
      <c r="HB872" s="1"/>
      <c r="HC872" s="1"/>
      <c r="HD872" s="1"/>
      <c r="HE872" s="1"/>
      <c r="HF872" s="1"/>
      <c r="HG872" s="1"/>
      <c r="HH872" s="1"/>
      <c r="HI872" s="1"/>
      <c r="HJ872" s="1"/>
      <c r="HK872" s="1"/>
      <c r="HL872" s="1"/>
      <c r="HM872" s="1"/>
      <c r="HN872" s="1"/>
      <c r="HO872" s="1"/>
      <c r="HP872" s="1"/>
      <c r="HQ872" s="1"/>
      <c r="HR872" s="1"/>
      <c r="HS872" s="1"/>
      <c r="HT872" s="1"/>
      <c r="HU872" s="1"/>
      <c r="HV872" s="1"/>
      <c r="HW872" s="1"/>
      <c r="HX872" s="1"/>
      <c r="HY872" s="1"/>
      <c r="HZ872" s="1"/>
      <c r="IA872" s="1"/>
      <c r="IB872" s="1"/>
      <c r="IC872" s="1"/>
      <c r="ID872" s="1"/>
      <c r="IE872" s="1"/>
      <c r="IF872" s="1"/>
      <c r="IG872" s="1"/>
      <c r="IH872" s="1"/>
      <c r="II872" s="1"/>
      <c r="IJ872" s="1"/>
      <c r="IK872" s="1"/>
      <c r="IL872" s="1"/>
      <c r="IM872" s="1"/>
      <c r="IN872" s="1"/>
      <c r="IO872" s="1"/>
      <c r="IP872" s="1"/>
      <c r="IQ872" s="1"/>
      <c r="IR872" s="1"/>
      <c r="IS872" s="1"/>
      <c r="IT872" s="1"/>
      <c r="IU872" s="1"/>
      <c r="IV872" s="1"/>
      <c r="IW872" s="1"/>
      <c r="IX872" s="1"/>
      <c r="IY872" s="1"/>
      <c r="IZ872" s="1"/>
      <c r="JA872" s="1"/>
      <c r="JB872" s="1"/>
      <c r="JC872" s="1"/>
      <c r="JD872" s="1"/>
    </row>
    <row r="873" spans="1:264" s="347" customFormat="1" x14ac:dyDescent="0.2">
      <c r="A873" s="347" t="s">
        <v>613</v>
      </c>
      <c r="B873" s="348"/>
      <c r="BH873" s="489">
        <f>BH854*(BH$4/BH$3)/BH1305</f>
        <v>4.4958260242501068E-3</v>
      </c>
      <c r="BI873" s="489">
        <f>BI854*(BI$4/BI$3)/BI1305</f>
        <v>3.3600683542484369E-3</v>
      </c>
      <c r="BJ873" s="489">
        <f>BJ854*(BJ$4/BJ$3)/BJ1305</f>
        <v>3.8687900913206091E-3</v>
      </c>
      <c r="BK873" s="348"/>
      <c r="BL873" s="489">
        <f>BL854*(BL$4/BL$3)/BL1305</f>
        <v>3.2123886020165491E-3</v>
      </c>
      <c r="BM873" s="489">
        <f>BM854*(BM$4/BM$3)/BM1305</f>
        <v>3.4593204437851064E-3</v>
      </c>
      <c r="BN873" s="489">
        <f>BN854*(BN$4/BN$3)/BN1305</f>
        <v>3.2960039842566523E-3</v>
      </c>
      <c r="BO873" s="348"/>
      <c r="BP873" s="489">
        <f>BP854*(BP$4/BP$3)/BP1305</f>
        <v>2.8017940414110046E-3</v>
      </c>
      <c r="BQ873" s="489">
        <f>BQ854*(BQ$4/BQ$3)/BQ1305</f>
        <v>3.462321094225021E-3</v>
      </c>
      <c r="BR873" s="489">
        <f>BR854*(BR$4/BR$3)/BR1305</f>
        <v>3.0954902341669434E-3</v>
      </c>
      <c r="BT873" s="489">
        <f>BT854*(BT$4/BT$3)/BT1305</f>
        <v>3.3492942831987128E-3</v>
      </c>
      <c r="BU873" s="489">
        <f>BU854*(BU$4/BU$3)/BU1305</f>
        <v>4.0450088527291097E-3</v>
      </c>
      <c r="BV873" s="489">
        <f>BV854*(BV$4/BV$3)/BV1305</f>
        <v>3.6508444031043805E-3</v>
      </c>
      <c r="BX873" s="489">
        <f>BX854*(BX$4/BX$3)/BX1305</f>
        <v>3.1811271388127575E-3</v>
      </c>
      <c r="BY873" s="489">
        <f>BY854*(BY$4/BY$3)/BY1305</f>
        <v>2.6512846465561804E-3</v>
      </c>
      <c r="BZ873" s="489">
        <f>BZ854*(BZ$4/BZ$3)/BZ1305</f>
        <v>2.9025152481451733E-3</v>
      </c>
      <c r="CB873" s="489">
        <f>CB854*(CB$4/CB$3)/CB1305</f>
        <v>3.2216101712485585E-3</v>
      </c>
      <c r="CC873" s="489">
        <f>CC854*(CC$4/CC$3)/CC1305</f>
        <v>2.6358098029428852E-3</v>
      </c>
      <c r="CD873" s="489">
        <f>CD854*(CD$4/CD$3)/CD1305</f>
        <v>2.9199411140698405E-3</v>
      </c>
      <c r="CF873" s="489">
        <f>CF854*(CF$4/CF$3)/CF1305</f>
        <v>3.0988866873811385E-3</v>
      </c>
      <c r="CG873" s="489">
        <f>CG854*(CG$4/CG$3)/CG1305</f>
        <v>3.3774298298766534E-3</v>
      </c>
      <c r="CH873" s="489">
        <f>CH854*(CH$4/CH$3)/CH1305</f>
        <v>3.2235206965596096E-3</v>
      </c>
      <c r="CJ873" s="489">
        <f>CJ854*(CJ$4/CJ$3)/CJ1305</f>
        <v>3.4405308186300542E-3</v>
      </c>
      <c r="CK873" s="489">
        <f>CK854*(CK$4/CK$3)/CK1305</f>
        <v>1.0044357904024279E-2</v>
      </c>
      <c r="CL873" s="489">
        <f>CL854*(CL$4/CL$3)/CL1305</f>
        <v>6.7291298096709192E-3</v>
      </c>
      <c r="CN873" s="489">
        <f>CN854*(CN$4/CN$3)/CN1305</f>
        <v>4.6421320382525636E-3</v>
      </c>
      <c r="CO873" s="489">
        <f>CO854*(CO$4/CO$3)/CO1305</f>
        <v>-1.7335512097717148E-3</v>
      </c>
      <c r="CP873" s="489">
        <f>CP854*(CP$4/CP$3)/CP1305</f>
        <v>1.4519722185820994E-3</v>
      </c>
      <c r="CR873" s="489">
        <f>CR854*(CR$4/CR$3)/CR1305</f>
        <v>-3.8080912319335804E-4</v>
      </c>
      <c r="CS873" s="489">
        <f>CS854*(CS$4/CS$3)/CS1305</f>
        <v>-1.4446294094688165E-3</v>
      </c>
      <c r="CT873" s="489">
        <f>CT854*(CT$4/CT$3)/CT1305</f>
        <v>-9.0690390121098347E-4</v>
      </c>
      <c r="CV873" s="489">
        <f>CV854*(CV$4/CV$3)/CV1305</f>
        <v>2.5214567499903476E-3</v>
      </c>
      <c r="CW873" s="489">
        <f>CW854*(CW$4/CW$3)/CW1305</f>
        <v>3.3177125288308164E-3</v>
      </c>
      <c r="CX873" s="489">
        <f>CX854*(CX$4/CX$3)/CX1305</f>
        <v>3.0534435292075101E-3</v>
      </c>
      <c r="CZ873" s="489">
        <f>CZ854*(CZ$4/CZ$3)/CZ1305</f>
        <v>2.238705657002407E-3</v>
      </c>
      <c r="DA873" s="489">
        <f>DA854*(DA$4/DA$3)/DA1305</f>
        <v>2.1008647656670029E-3</v>
      </c>
      <c r="DB873" s="489">
        <f>DB854*(DB$4/DB$3)/DB1305</f>
        <v>2.1649696040427161E-3</v>
      </c>
      <c r="DD873" s="489">
        <f>DD854*(DD$4/DD$3)/DD1305</f>
        <v>1.6482850891953672E-3</v>
      </c>
      <c r="DE873" s="489">
        <f>DE854*(DE$4/DE$3)/DE1305</f>
        <v>2.0523234312155472E-3</v>
      </c>
      <c r="DF873" s="489">
        <f>DF854*(DF$4/DF$3)/DF1305</f>
        <v>1.8198772710865119E-3</v>
      </c>
      <c r="DH873" s="489">
        <f>DH854*(DH$4/DH$3)/DH1305</f>
        <v>1.5467355782632394E-3</v>
      </c>
      <c r="DI873" s="489">
        <f ca="1">DI854*(DI$4/DI$3)/DI1305</f>
        <v>2.0529016902543708E-3</v>
      </c>
      <c r="DJ873" s="489">
        <f ca="1">DJ854*(DJ$4/DJ$3)/DJ1305</f>
        <v>1.7720877331329102E-3</v>
      </c>
      <c r="DL873" s="489">
        <f ca="1">DL854*(DL$4/DL$3)/DL1305</f>
        <v>2.3139766947332507E-3</v>
      </c>
      <c r="DM873" s="489">
        <f ca="1">DM854*(DM$4/DM$3)/DM1305</f>
        <v>2.5669565276083993E-3</v>
      </c>
      <c r="DN873" s="489">
        <f ca="1">DN854*(DN$4/DN$3)/DN1305</f>
        <v>2.4024154151241033E-3</v>
      </c>
      <c r="DP873" s="489">
        <f ca="1">DP854*(DP$4/DP$3)/DP1305</f>
        <v>2.5684560919236343E-3</v>
      </c>
      <c r="DQ873" s="489">
        <f ca="1">DQ854*(DQ$4/DQ$3)/DQ1305</f>
        <v>2.5660572502504879E-3</v>
      </c>
      <c r="DR873" s="489">
        <f ca="1">DR854*(DR$4/DR$3)/DR1305</f>
        <v>2.5344446808955806E-3</v>
      </c>
      <c r="DT873" s="1"/>
      <c r="DU873" s="1"/>
      <c r="DV873" s="1"/>
      <c r="DW873" s="1"/>
      <c r="DX873" s="1"/>
      <c r="DY873" s="1"/>
      <c r="DZ873" s="1"/>
      <c r="EA873" s="1"/>
      <c r="EB873" s="1"/>
      <c r="EC873" s="1"/>
      <c r="ED873" s="1"/>
      <c r="EE873" s="1"/>
      <c r="EF873" s="1"/>
      <c r="EG873" s="1"/>
      <c r="EH873" s="1"/>
      <c r="EI873" s="1"/>
      <c r="EJ873" s="1"/>
      <c r="EK873" s="1"/>
      <c r="EL873" s="1"/>
      <c r="EM873" s="1"/>
      <c r="EN873" s="1"/>
      <c r="EO873" s="1"/>
      <c r="EP873" s="1"/>
      <c r="EQ873" s="1"/>
      <c r="ER873" s="1"/>
      <c r="ES873" s="1"/>
      <c r="ET873" s="1"/>
      <c r="EU873" s="1"/>
      <c r="EV873" s="1"/>
      <c r="EW873" s="1"/>
      <c r="EX873" s="1"/>
      <c r="EY873" s="1"/>
      <c r="EZ873" s="1"/>
      <c r="FA873" s="1"/>
      <c r="FB873" s="1"/>
      <c r="FC873" s="1"/>
      <c r="FD873" s="1"/>
      <c r="FE873" s="1"/>
      <c r="FF873" s="1"/>
      <c r="FG873" s="1"/>
      <c r="FH873" s="1"/>
      <c r="FI873" s="1"/>
      <c r="FJ873" s="1"/>
      <c r="FK873" s="1"/>
      <c r="FL873" s="1"/>
      <c r="FM873" s="1"/>
      <c r="FN873" s="1"/>
      <c r="FO873" s="1"/>
      <c r="FP873" s="1"/>
      <c r="FQ873" s="1"/>
      <c r="FR873" s="1"/>
      <c r="FS873" s="1"/>
      <c r="FT873" s="1"/>
      <c r="FU873" s="1"/>
      <c r="FV873" s="1"/>
      <c r="FW873" s="1"/>
      <c r="FX873" s="1"/>
      <c r="FY873" s="1"/>
      <c r="FZ873" s="1"/>
      <c r="GA873" s="1"/>
      <c r="GB873" s="1"/>
      <c r="GC873" s="1"/>
      <c r="GD873" s="1"/>
      <c r="GE873" s="1"/>
      <c r="GF873" s="1"/>
      <c r="GG873" s="1"/>
      <c r="GH873" s="1"/>
      <c r="GI873" s="1"/>
      <c r="GJ873" s="1"/>
      <c r="GK873" s="1"/>
      <c r="GL873" s="1"/>
      <c r="GM873" s="1"/>
      <c r="GN873" s="1"/>
      <c r="GO873" s="1"/>
      <c r="GP873" s="1"/>
      <c r="GQ873" s="1"/>
      <c r="GR873" s="1"/>
      <c r="GS873" s="1"/>
      <c r="GT873" s="1"/>
      <c r="GU873" s="1"/>
      <c r="GV873" s="1"/>
      <c r="GW873" s="1"/>
      <c r="GX873" s="1"/>
      <c r="GY873" s="1"/>
      <c r="GZ873" s="1"/>
      <c r="HA873" s="1"/>
      <c r="HB873" s="1"/>
      <c r="HC873" s="1"/>
      <c r="HD873" s="1"/>
      <c r="HE873" s="1"/>
      <c r="HF873" s="1"/>
      <c r="HG873" s="1"/>
      <c r="HH873" s="1"/>
      <c r="HI873" s="1"/>
      <c r="HJ873" s="1"/>
      <c r="HK873" s="1"/>
      <c r="HL873" s="1"/>
      <c r="HM873" s="1"/>
      <c r="HN873" s="1"/>
      <c r="HO873" s="1"/>
      <c r="HP873" s="1"/>
      <c r="HQ873" s="1"/>
      <c r="HR873" s="1"/>
      <c r="HS873" s="1"/>
      <c r="HT873" s="1"/>
      <c r="HU873" s="1"/>
      <c r="HV873" s="1"/>
      <c r="HW873" s="1"/>
      <c r="HX873" s="1"/>
      <c r="HY873" s="1"/>
      <c r="HZ873" s="1"/>
      <c r="IA873" s="1"/>
      <c r="IB873" s="1"/>
      <c r="IC873" s="1"/>
      <c r="ID873" s="1"/>
      <c r="IE873" s="1"/>
      <c r="IF873" s="1"/>
      <c r="IG873" s="1"/>
      <c r="IH873" s="1"/>
      <c r="II873" s="1"/>
      <c r="IJ873" s="1"/>
      <c r="IK873" s="1"/>
      <c r="IL873" s="1"/>
      <c r="IM873" s="1"/>
      <c r="IN873" s="1"/>
      <c r="IO873" s="1"/>
      <c r="IP873" s="1"/>
      <c r="IQ873" s="1"/>
      <c r="IR873" s="1"/>
      <c r="IS873" s="1"/>
      <c r="IT873" s="1"/>
      <c r="IU873" s="1"/>
      <c r="IV873" s="1"/>
      <c r="IW873" s="1"/>
      <c r="IX873" s="1"/>
      <c r="IY873" s="1"/>
      <c r="IZ873" s="1"/>
      <c r="JA873" s="1"/>
      <c r="JB873" s="1"/>
      <c r="JC873" s="1"/>
      <c r="JD873" s="1"/>
    </row>
    <row r="874" spans="1:264" s="347" customFormat="1" x14ac:dyDescent="0.2">
      <c r="A874" s="347" t="s">
        <v>614</v>
      </c>
      <c r="B874" s="348"/>
      <c r="BH874" s="489">
        <f>BH854*(BH$4/BH$3)/BH519</f>
        <v>2.204217604314667E-3</v>
      </c>
      <c r="BI874" s="489">
        <f>BI854*(BI$4/BI$3)/BI519</f>
        <v>1.6727939008846649E-3</v>
      </c>
      <c r="BJ874" s="489">
        <f>BJ854*(BJ$4/BJ$3)/BJ519</f>
        <v>1.9394156658899444E-3</v>
      </c>
      <c r="BK874" s="348"/>
      <c r="BL874" s="489">
        <f>BL854*(BL$4/BL$3)/BL519</f>
        <v>1.559841895873014E-3</v>
      </c>
      <c r="BM874" s="489">
        <f>BM854*(BM$4/BM$3)/BM519</f>
        <v>1.6638293462514523E-3</v>
      </c>
      <c r="BN874" s="489">
        <f>BN854*(BN$4/BN$3)/BN519</f>
        <v>1.6112861038831488E-3</v>
      </c>
      <c r="BO874" s="348"/>
      <c r="BP874" s="489">
        <f>BP854*(BP$4/BP$3)/BP519</f>
        <v>1.4160898349050873E-3</v>
      </c>
      <c r="BQ874" s="489">
        <f>BQ854*(BQ$4/BQ$3)/BQ519</f>
        <v>1.7321428259055478E-3</v>
      </c>
      <c r="BR874" s="489">
        <f>BR854*(BR$4/BR$3)/BR519</f>
        <v>1.5737257878385084E-3</v>
      </c>
      <c r="BS874" s="348"/>
      <c r="BT874" s="489">
        <f>BT854*(BT$4/BT$3)/BT519</f>
        <v>1.7590503868438329E-3</v>
      </c>
      <c r="BU874" s="489">
        <f>BU854*(BU$4/BU$3)/BU519</f>
        <v>2.1241020493862786E-3</v>
      </c>
      <c r="BV874" s="489">
        <f>BV854*(BV$4/BV$3)/BV519</f>
        <v>1.9428183395245201E-3</v>
      </c>
      <c r="BW874" s="348"/>
      <c r="BX874" s="489">
        <f>BX854*(BX$4/BX$3)/BX519</f>
        <v>1.7582038118768967E-3</v>
      </c>
      <c r="BY874" s="489">
        <f>BY854*(BY$4/BY$3)/BY519</f>
        <v>1.4559925156322861E-3</v>
      </c>
      <c r="BZ874" s="489">
        <f>BZ854*(BZ$4/BZ$3)/BZ519</f>
        <v>1.6076910766538296E-3</v>
      </c>
      <c r="CB874" s="489">
        <f>CB854*(CB$4/CB$3)/CB519</f>
        <v>1.6940561135801626E-3</v>
      </c>
      <c r="CC874" s="489">
        <f>CC854*(CC$4/CC$3)/CC519</f>
        <v>1.3862923293377482E-3</v>
      </c>
      <c r="CD874" s="489">
        <f>CD854*(CD$4/CD$3)/CD519</f>
        <v>1.5407022403723959E-3</v>
      </c>
      <c r="CF874" s="489">
        <f>CF854*(CF$4/CF$3)/CF519</f>
        <v>1.6185053137049931E-3</v>
      </c>
      <c r="CG874" s="489">
        <f>CG854*(CG$4/CG$3)/CG519</f>
        <v>1.7669342437585634E-3</v>
      </c>
      <c r="CH874" s="489">
        <f>CH854*(CH$4/CH$3)/CH519</f>
        <v>1.692208303656283E-3</v>
      </c>
      <c r="CJ874" s="489">
        <f>CJ854*(CJ$4/CJ$3)/CJ519</f>
        <v>1.79978927522169E-3</v>
      </c>
      <c r="CK874" s="489">
        <f>CK854*(CK$4/CK$3)/CK519</f>
        <v>5.1570966625528241E-3</v>
      </c>
      <c r="CL874" s="489">
        <f>CL854*(CL$4/CL$3)/CL519</f>
        <v>3.4826579401973138E-3</v>
      </c>
      <c r="CN874" s="489">
        <f>CN854*(CN$4/CN$3)/CN519</f>
        <v>2.4017894685638861E-3</v>
      </c>
      <c r="CO874" s="489">
        <f>CO854*(CO$4/CO$3)/CO519</f>
        <v>-8.9105753576817852E-4</v>
      </c>
      <c r="CP874" s="489">
        <f>CP854*(CP$4/CP$3)/CP519</f>
        <v>7.5340528308455543E-4</v>
      </c>
      <c r="CR874" s="489">
        <f>CR854*(CR$4/CR$3)/CR519</f>
        <v>-1.9271554799333096E-4</v>
      </c>
      <c r="CS874" s="489">
        <f>CS854*(CS$4/CS$3)/CS519</f>
        <v>-7.132622837340317E-4</v>
      </c>
      <c r="CT874" s="489">
        <f>CT854*(CT$4/CT$3)/CT519</f>
        <v>-4.5504255986295191E-4</v>
      </c>
      <c r="CV874" s="489">
        <f>CV854*(CV$4/CV$3)/CV519</f>
        <v>1.2273798593752962E-3</v>
      </c>
      <c r="CW874" s="489">
        <f>CW854*(CW$4/CW$3)/CW519</f>
        <v>1.4205251063413682E-3</v>
      </c>
      <c r="CX874" s="489">
        <f>CX854*(CX$4/CX$3)/CX519</f>
        <v>1.3244067363055985E-3</v>
      </c>
      <c r="CZ874" s="489">
        <f>CZ854*(CZ$4/CZ$3)/CZ519</f>
        <v>9.7087927234819761E-4</v>
      </c>
      <c r="DA874" s="489">
        <f>DA854*(DA$4/DA$3)/DA519</f>
        <v>9.099880819199742E-4</v>
      </c>
      <c r="DB874" s="489">
        <f>DB854*(DB$4/DB$3)/DB519</f>
        <v>9.4051092493737743E-4</v>
      </c>
      <c r="DD874" s="489">
        <f>DD854*(DD$4/DD$3)/DD519</f>
        <v>7.2830497940617914E-4</v>
      </c>
      <c r="DE874" s="489">
        <f>DE854*(DE$4/DE$3)/DE519</f>
        <v>9.0828832742912216E-4</v>
      </c>
      <c r="DF874" s="489">
        <f>DF854*(DF$4/DF$3)/DF519</f>
        <v>8.1907011849440025E-4</v>
      </c>
      <c r="DH874" s="489">
        <f>DH854*(DH$4/DH$3)/DH519</f>
        <v>6.7871900474769295E-4</v>
      </c>
      <c r="DI874" s="489">
        <f>DI854*(DI$4/DI$3)/DI519</f>
        <v>9.0106427211621945E-4</v>
      </c>
      <c r="DJ874" s="489">
        <f>DJ854*(DJ$4/DJ$3)/DJ519</f>
        <v>7.9071483647887497E-4</v>
      </c>
      <c r="DL874" s="489">
        <f>DL854*(DL$4/DL$3)/DL519</f>
        <v>1.0110265642311108E-3</v>
      </c>
      <c r="DM874" s="489">
        <f>DM854*(DM$4/DM$3)/DM519</f>
        <v>1.1243169931202722E-3</v>
      </c>
      <c r="DN874" s="489">
        <f>DN854*(DN$4/DN$3)/DN519</f>
        <v>1.0679190966126179E-3</v>
      </c>
      <c r="DP874" s="489">
        <f>DP854*(DP$4/DP$3)/DP519</f>
        <v>1.120157191503119E-3</v>
      </c>
      <c r="DQ874" s="489">
        <f>DQ854*(DQ$4/DQ$3)/DQ519</f>
        <v>1.1210921213031105E-3</v>
      </c>
      <c r="DR874" s="489">
        <f>DR854*(DR$4/DR$3)/DR519</f>
        <v>1.1205542988767692E-3</v>
      </c>
      <c r="DT874" s="1"/>
      <c r="DU874" s="1"/>
      <c r="DV874" s="1"/>
      <c r="DW874" s="1"/>
      <c r="DX874" s="1"/>
      <c r="DY874" s="1"/>
      <c r="DZ874" s="1"/>
      <c r="EA874" s="1"/>
      <c r="EB874" s="1"/>
      <c r="EC874" s="1"/>
      <c r="ED874" s="1"/>
      <c r="EE874" s="1"/>
      <c r="EF874" s="1"/>
      <c r="EG874" s="1"/>
      <c r="EH874" s="1"/>
      <c r="EI874" s="1"/>
      <c r="EJ874" s="1"/>
      <c r="EK874" s="1"/>
      <c r="EL874" s="1"/>
      <c r="EM874" s="1"/>
      <c r="EN874" s="1"/>
      <c r="EO874" s="1"/>
      <c r="EP874" s="1"/>
      <c r="EQ874" s="1"/>
      <c r="ER874" s="1"/>
      <c r="ES874" s="1"/>
      <c r="ET874" s="1"/>
      <c r="EU874" s="1"/>
      <c r="EV874" s="1"/>
      <c r="EW874" s="1"/>
      <c r="EX874" s="1"/>
      <c r="EY874" s="1"/>
      <c r="EZ874" s="1"/>
      <c r="FA874" s="1"/>
      <c r="FB874" s="1"/>
      <c r="FC874" s="1"/>
      <c r="FD874" s="1"/>
      <c r="FE874" s="1"/>
      <c r="FF874" s="1"/>
      <c r="FG874" s="1"/>
      <c r="FH874" s="1"/>
      <c r="FI874" s="1"/>
      <c r="FJ874" s="1"/>
      <c r="FK874" s="1"/>
      <c r="FL874" s="1"/>
      <c r="FM874" s="1"/>
      <c r="FN874" s="1"/>
      <c r="FO874" s="1"/>
      <c r="FP874" s="1"/>
      <c r="FQ874" s="1"/>
      <c r="FR874" s="1"/>
      <c r="FS874" s="1"/>
      <c r="FT874" s="1"/>
      <c r="FU874" s="1"/>
      <c r="FV874" s="1"/>
      <c r="FW874" s="1"/>
      <c r="FX874" s="1"/>
      <c r="FY874" s="1"/>
      <c r="FZ874" s="1"/>
      <c r="GA874" s="1"/>
      <c r="GB874" s="1"/>
      <c r="GC874" s="1"/>
      <c r="GD874" s="1"/>
      <c r="GE874" s="1"/>
      <c r="GF874" s="1"/>
      <c r="GG874" s="1"/>
      <c r="GH874" s="1"/>
      <c r="GI874" s="1"/>
      <c r="GJ874" s="1"/>
      <c r="GK874" s="1"/>
      <c r="GL874" s="1"/>
      <c r="GM874" s="1"/>
      <c r="GN874" s="1"/>
      <c r="GO874" s="1"/>
      <c r="GP874" s="1"/>
      <c r="GQ874" s="1"/>
      <c r="GR874" s="1"/>
      <c r="GS874" s="1"/>
      <c r="GT874" s="1"/>
      <c r="GU874" s="1"/>
      <c r="GV874" s="1"/>
      <c r="GW874" s="1"/>
      <c r="GX874" s="1"/>
      <c r="GY874" s="1"/>
      <c r="GZ874" s="1"/>
      <c r="HA874" s="1"/>
      <c r="HB874" s="1"/>
      <c r="HC874" s="1"/>
      <c r="HD874" s="1"/>
      <c r="HE874" s="1"/>
      <c r="HF874" s="1"/>
      <c r="HG874" s="1"/>
      <c r="HH874" s="1"/>
      <c r="HI874" s="1"/>
      <c r="HJ874" s="1"/>
      <c r="HK874" s="1"/>
      <c r="HL874" s="1"/>
      <c r="HM874" s="1"/>
      <c r="HN874" s="1"/>
      <c r="HO874" s="1"/>
      <c r="HP874" s="1"/>
      <c r="HQ874" s="1"/>
      <c r="HR874" s="1"/>
      <c r="HS874" s="1"/>
      <c r="HT874" s="1"/>
      <c r="HU874" s="1"/>
      <c r="HV874" s="1"/>
      <c r="HW874" s="1"/>
      <c r="HX874" s="1"/>
      <c r="HY874" s="1"/>
      <c r="HZ874" s="1"/>
      <c r="IA874" s="1"/>
      <c r="IB874" s="1"/>
      <c r="IC874" s="1"/>
      <c r="ID874" s="1"/>
      <c r="IE874" s="1"/>
      <c r="IF874" s="1"/>
      <c r="IG874" s="1"/>
      <c r="IH874" s="1"/>
      <c r="II874" s="1"/>
      <c r="IJ874" s="1"/>
      <c r="IK874" s="1"/>
      <c r="IL874" s="1"/>
      <c r="IM874" s="1"/>
      <c r="IN874" s="1"/>
      <c r="IO874" s="1"/>
      <c r="IP874" s="1"/>
      <c r="IQ874" s="1"/>
      <c r="IR874" s="1"/>
      <c r="IS874" s="1"/>
      <c r="IT874" s="1"/>
      <c r="IU874" s="1"/>
      <c r="IV874" s="1"/>
      <c r="IW874" s="1"/>
      <c r="IX874" s="1"/>
      <c r="IY874" s="1"/>
      <c r="IZ874" s="1"/>
      <c r="JA874" s="1"/>
      <c r="JB874" s="1"/>
      <c r="JC874" s="1"/>
      <c r="JD874" s="1"/>
    </row>
    <row r="875" spans="1:264" s="347" customFormat="1" x14ac:dyDescent="0.2">
      <c r="B875" s="348"/>
      <c r="BH875" s="348"/>
      <c r="BI875" s="348"/>
      <c r="BJ875" s="348"/>
      <c r="BK875" s="348"/>
      <c r="BL875" s="348"/>
      <c r="BM875" s="348"/>
      <c r="BN875" s="348"/>
      <c r="BO875" s="348"/>
      <c r="BP875" s="348"/>
      <c r="BQ875" s="348"/>
      <c r="BR875" s="348"/>
      <c r="BT875" s="348"/>
      <c r="BU875" s="348"/>
      <c r="BV875" s="348"/>
      <c r="BX875" s="348"/>
      <c r="BY875" s="348"/>
      <c r="BZ875" s="348"/>
      <c r="CB875" s="348"/>
      <c r="CC875" s="348"/>
      <c r="CD875" s="348"/>
      <c r="CF875" s="348"/>
      <c r="CG875" s="348"/>
      <c r="CH875" s="348"/>
      <c r="CJ875" s="348"/>
      <c r="CK875" s="348"/>
      <c r="CL875" s="348"/>
      <c r="CN875" s="348"/>
      <c r="CO875" s="348"/>
      <c r="CP875" s="348"/>
      <c r="CQ875" s="348"/>
      <c r="CR875" s="348"/>
      <c r="CS875" s="348"/>
      <c r="CT875" s="348"/>
      <c r="CU875" s="348"/>
      <c r="CV875" s="348"/>
      <c r="CW875" s="348"/>
      <c r="CX875" s="348"/>
      <c r="CY875" s="348"/>
      <c r="CZ875" s="348"/>
      <c r="DA875" s="348"/>
      <c r="DB875" s="348"/>
      <c r="DC875" s="348"/>
      <c r="DD875" s="348"/>
      <c r="DE875" s="348"/>
      <c r="DF875" s="348"/>
      <c r="DG875" s="348"/>
      <c r="DH875" s="348"/>
      <c r="DI875" s="348"/>
      <c r="DJ875" s="348"/>
      <c r="DK875" s="348"/>
      <c r="DL875" s="348"/>
      <c r="DM875" s="348"/>
      <c r="DN875" s="348"/>
      <c r="DO875" s="348"/>
      <c r="DP875" s="348"/>
      <c r="DQ875" s="348"/>
      <c r="DR875" s="348"/>
      <c r="DS875" s="348"/>
      <c r="DT875" s="1"/>
      <c r="DU875" s="1"/>
      <c r="DV875" s="1"/>
      <c r="DW875" s="1"/>
      <c r="DX875" s="1"/>
      <c r="DY875" s="1"/>
      <c r="DZ875" s="1"/>
      <c r="EA875" s="1"/>
      <c r="EB875" s="1"/>
      <c r="EC875" s="1"/>
      <c r="ED875" s="1"/>
      <c r="EE875" s="1"/>
      <c r="EF875" s="1"/>
      <c r="EG875" s="1"/>
      <c r="EH875" s="1"/>
      <c r="EI875" s="1"/>
      <c r="EJ875" s="1"/>
      <c r="EK875" s="1"/>
      <c r="EL875" s="1"/>
      <c r="EM875" s="1"/>
      <c r="EN875" s="1"/>
      <c r="EO875" s="1"/>
      <c r="EP875" s="1"/>
      <c r="EQ875" s="1"/>
      <c r="ER875" s="1"/>
      <c r="ES875" s="1"/>
      <c r="ET875" s="1"/>
      <c r="EU875" s="1"/>
      <c r="EV875" s="1"/>
      <c r="EW875" s="1"/>
      <c r="EX875" s="1"/>
      <c r="EY875" s="1"/>
      <c r="EZ875" s="1"/>
      <c r="FA875" s="1"/>
      <c r="FB875" s="1"/>
      <c r="FC875" s="1"/>
      <c r="FD875" s="1"/>
      <c r="FE875" s="1"/>
      <c r="FF875" s="1"/>
      <c r="FG875" s="1"/>
      <c r="FH875" s="1"/>
      <c r="FI875" s="1"/>
      <c r="FJ875" s="1"/>
      <c r="FK875" s="1"/>
      <c r="FL875" s="1"/>
      <c r="FM875" s="1"/>
      <c r="FN875" s="1"/>
      <c r="FO875" s="1"/>
      <c r="FP875" s="1"/>
      <c r="FQ875" s="1"/>
      <c r="FR875" s="1"/>
      <c r="FS875" s="1"/>
      <c r="FT875" s="1"/>
      <c r="FU875" s="1"/>
      <c r="FV875" s="1"/>
      <c r="FW875" s="1"/>
      <c r="FX875" s="1"/>
      <c r="FY875" s="1"/>
      <c r="FZ875" s="1"/>
      <c r="GA875" s="1"/>
      <c r="GB875" s="1"/>
      <c r="GC875" s="1"/>
      <c r="GD875" s="1"/>
      <c r="GE875" s="1"/>
      <c r="GF875" s="1"/>
      <c r="GG875" s="1"/>
      <c r="GH875" s="1"/>
      <c r="GI875" s="1"/>
      <c r="GJ875" s="1"/>
      <c r="GK875" s="1"/>
      <c r="GL875" s="1"/>
      <c r="GM875" s="1"/>
      <c r="GN875" s="1"/>
      <c r="GO875" s="1"/>
      <c r="GP875" s="1"/>
      <c r="GQ875" s="1"/>
      <c r="GR875" s="1"/>
      <c r="GS875" s="1"/>
      <c r="GT875" s="1"/>
      <c r="GU875" s="1"/>
      <c r="GV875" s="1"/>
      <c r="GW875" s="1"/>
      <c r="GX875" s="1"/>
      <c r="GY875" s="1"/>
      <c r="GZ875" s="1"/>
      <c r="HA875" s="1"/>
      <c r="HB875" s="1"/>
      <c r="HC875" s="1"/>
      <c r="HD875" s="1"/>
      <c r="HE875" s="1"/>
      <c r="HF875" s="1"/>
      <c r="HG875" s="1"/>
      <c r="HH875" s="1"/>
      <c r="HI875" s="1"/>
      <c r="HJ875" s="1"/>
      <c r="HK875" s="1"/>
      <c r="HL875" s="1"/>
      <c r="HM875" s="1"/>
      <c r="HN875" s="1"/>
      <c r="HO875" s="1"/>
      <c r="HP875" s="1"/>
      <c r="HQ875" s="1"/>
      <c r="HR875" s="1"/>
      <c r="HS875" s="1"/>
      <c r="HT875" s="1"/>
      <c r="HU875" s="1"/>
      <c r="HV875" s="1"/>
      <c r="HW875" s="1"/>
      <c r="HX875" s="1"/>
      <c r="HY875" s="1"/>
      <c r="HZ875" s="1"/>
      <c r="IA875" s="1"/>
      <c r="IB875" s="1"/>
      <c r="IC875" s="1"/>
      <c r="ID875" s="1"/>
      <c r="IE875" s="1"/>
      <c r="IF875" s="1"/>
      <c r="IG875" s="1"/>
      <c r="IH875" s="1"/>
      <c r="II875" s="1"/>
      <c r="IJ875" s="1"/>
      <c r="IK875" s="1"/>
      <c r="IL875" s="1"/>
      <c r="IM875" s="1"/>
      <c r="IN875" s="1"/>
      <c r="IO875" s="1"/>
      <c r="IP875" s="1"/>
      <c r="IQ875" s="1"/>
      <c r="IR875" s="1"/>
      <c r="IS875" s="1"/>
      <c r="IT875" s="1"/>
      <c r="IU875" s="1"/>
      <c r="IV875" s="1"/>
      <c r="IW875" s="1"/>
      <c r="IX875" s="1"/>
      <c r="IY875" s="1"/>
      <c r="IZ875" s="1"/>
      <c r="JA875" s="1"/>
      <c r="JB875" s="1"/>
      <c r="JC875" s="1"/>
      <c r="JD875" s="1"/>
    </row>
    <row r="876" spans="1:264" s="347" customFormat="1" x14ac:dyDescent="0.2">
      <c r="A876" s="347" t="s">
        <v>615</v>
      </c>
      <c r="B876" s="348"/>
      <c r="BH876" s="351">
        <f>+BH868-BH183</f>
        <v>190158</v>
      </c>
      <c r="BI876" s="351">
        <f>+BI868-BI183</f>
        <v>195981</v>
      </c>
      <c r="BJ876" s="351">
        <f>+BJ868-BJ183</f>
        <v>195981</v>
      </c>
      <c r="BK876" s="348"/>
      <c r="BL876" s="351">
        <f>+BL868-BL183</f>
        <v>204754</v>
      </c>
      <c r="BM876" s="351">
        <f>+BM868-BM183</f>
        <v>208442</v>
      </c>
      <c r="BN876" s="351">
        <f>+BN868-BN183</f>
        <v>208442</v>
      </c>
      <c r="BO876" s="348"/>
      <c r="BP876" s="351">
        <f>+BP868-BP183</f>
        <v>216393</v>
      </c>
      <c r="BQ876" s="351">
        <f>+BQ868-BQ183</f>
        <v>223321</v>
      </c>
      <c r="BR876" s="351">
        <f>+BR868-BR183</f>
        <v>223321</v>
      </c>
      <c r="BT876" s="351">
        <f>+BT868-BT183</f>
        <v>238552</v>
      </c>
      <c r="BU876" s="351">
        <f>+BU868-BU183</f>
        <v>245656</v>
      </c>
      <c r="BV876" s="351">
        <f>+BV868-BV183</f>
        <v>245656</v>
      </c>
      <c r="BX876" s="351">
        <f>+BX868-BX183</f>
        <v>246718</v>
      </c>
      <c r="BY876" s="351">
        <f>+BY868-BY183</f>
        <v>251145</v>
      </c>
      <c r="BZ876" s="351">
        <f>+BZ868-BZ183</f>
        <v>251145</v>
      </c>
      <c r="CB876" s="351">
        <f>+CB868-CB183</f>
        <v>248630</v>
      </c>
      <c r="CC876" s="351">
        <f>+CC868-CC183</f>
        <v>246743</v>
      </c>
      <c r="CD876" s="351">
        <f>+CD868-CD183</f>
        <v>246743</v>
      </c>
      <c r="CF876" s="351">
        <f>+CF868-CF183</f>
        <v>246958</v>
      </c>
      <c r="CG876" s="351">
        <f>+CG868-CG183</f>
        <v>238071</v>
      </c>
      <c r="CH876" s="351">
        <f>+CH868-CH183</f>
        <v>238071</v>
      </c>
      <c r="CJ876" s="351">
        <f>+CJ868-CJ183</f>
        <v>236293</v>
      </c>
      <c r="CK876" s="351">
        <f>+CK868-CK183</f>
        <v>237228</v>
      </c>
      <c r="CL876" s="351">
        <f>+CL868-CL183</f>
        <v>237228</v>
      </c>
      <c r="CN876" s="351">
        <f>+CN868-CN183</f>
        <v>235155</v>
      </c>
      <c r="CO876" s="351">
        <f>+CO868-CO183</f>
        <v>238510</v>
      </c>
      <c r="CP876" s="351">
        <f>+CP868-CP183</f>
        <v>238510</v>
      </c>
      <c r="CR876" s="351">
        <f>+CR868-CR183</f>
        <v>244599</v>
      </c>
      <c r="CS876" s="351">
        <f>+CS868-CS183</f>
        <v>262970</v>
      </c>
      <c r="CT876" s="351">
        <f>+CT868-CT183</f>
        <v>262970</v>
      </c>
      <c r="CV876" s="351">
        <f>+CV868-CV183</f>
        <v>273509</v>
      </c>
      <c r="CW876" s="351">
        <f>+CW868-CW183</f>
        <v>281033</v>
      </c>
      <c r="CX876" s="351">
        <f>+CX868-CX183</f>
        <v>281033</v>
      </c>
      <c r="CZ876" s="351">
        <f>+CZ868-CZ183</f>
        <v>278347</v>
      </c>
      <c r="DA876" s="351">
        <f>+DA868-DA183</f>
        <v>285247</v>
      </c>
      <c r="DB876" s="351">
        <f>+DB868-DB183</f>
        <v>285247</v>
      </c>
      <c r="DD876" s="351">
        <f>+DD868-DD183</f>
        <v>292115</v>
      </c>
      <c r="DE876" s="351">
        <f>+DE868-DE183</f>
        <v>308021</v>
      </c>
      <c r="DF876" s="351">
        <f>+DF868-DF183</f>
        <v>308021</v>
      </c>
      <c r="DH876" s="351">
        <f>+DH868-DH183</f>
        <v>318800</v>
      </c>
      <c r="DI876" s="351">
        <f>+DI868-DI183</f>
        <v>329225.46601251944</v>
      </c>
      <c r="DJ876" s="351">
        <f>+DJ868-DJ183</f>
        <v>329225.46601251944</v>
      </c>
      <c r="DL876" s="351">
        <f>+DL868-DL183</f>
        <v>337219.52449820016</v>
      </c>
      <c r="DM876" s="351">
        <f>+DM868-DM183</f>
        <v>349137.25673012121</v>
      </c>
      <c r="DN876" s="351">
        <f>+DN868-DN183</f>
        <v>349137.25673012121</v>
      </c>
      <c r="DP876" s="351">
        <f>+DP868-DP183</f>
        <v>356775.36967378797</v>
      </c>
      <c r="DQ876" s="351">
        <f>+DQ868-DQ183</f>
        <v>366612.09389009199</v>
      </c>
      <c r="DR876" s="351">
        <f>+DR868-DR183</f>
        <v>366612.09389009199</v>
      </c>
      <c r="DT876" s="1"/>
      <c r="DU876" s="1"/>
      <c r="DV876" s="1"/>
      <c r="DW876" s="1"/>
      <c r="DX876" s="1"/>
      <c r="DY876" s="1"/>
      <c r="DZ876" s="1"/>
      <c r="EA876" s="1"/>
      <c r="EB876" s="1"/>
      <c r="EC876" s="1"/>
      <c r="ED876" s="1"/>
      <c r="EE876" s="1"/>
      <c r="EF876" s="1"/>
      <c r="EG876" s="1"/>
      <c r="EH876" s="1"/>
      <c r="EI876" s="1"/>
      <c r="EJ876" s="1"/>
      <c r="EK876" s="1"/>
      <c r="EL876" s="1"/>
      <c r="EM876" s="1"/>
      <c r="EN876" s="1"/>
      <c r="EO876" s="1"/>
      <c r="EP876" s="1"/>
      <c r="EQ876" s="1"/>
      <c r="ER876" s="1"/>
      <c r="ES876" s="1"/>
      <c r="ET876" s="1"/>
      <c r="EU876" s="1"/>
      <c r="EV876" s="1"/>
      <c r="EW876" s="1"/>
      <c r="EX876" s="1"/>
      <c r="EY876" s="1"/>
      <c r="EZ876" s="1"/>
      <c r="FA876" s="1"/>
      <c r="FB876" s="1"/>
      <c r="FC876" s="1"/>
      <c r="FD876" s="1"/>
      <c r="FE876" s="1"/>
      <c r="FF876" s="1"/>
      <c r="FG876" s="1"/>
      <c r="FH876" s="1"/>
      <c r="FI876" s="1"/>
      <c r="FJ876" s="1"/>
      <c r="FK876" s="1"/>
      <c r="FL876" s="1"/>
      <c r="FM876" s="1"/>
      <c r="FN876" s="1"/>
      <c r="FO876" s="1"/>
      <c r="FP876" s="1"/>
      <c r="FQ876" s="1"/>
      <c r="FR876" s="1"/>
      <c r="FS876" s="1"/>
      <c r="FT876" s="1"/>
      <c r="FU876" s="1"/>
      <c r="FV876" s="1"/>
      <c r="FW876" s="1"/>
      <c r="FX876" s="1"/>
      <c r="FY876" s="1"/>
      <c r="FZ876" s="1"/>
      <c r="GA876" s="1"/>
      <c r="GB876" s="1"/>
      <c r="GC876" s="1"/>
      <c r="GD876" s="1"/>
      <c r="GE876" s="1"/>
      <c r="GF876" s="1"/>
      <c r="GG876" s="1"/>
      <c r="GH876" s="1"/>
      <c r="GI876" s="1"/>
      <c r="GJ876" s="1"/>
      <c r="GK876" s="1"/>
      <c r="GL876" s="1"/>
      <c r="GM876" s="1"/>
      <c r="GN876" s="1"/>
      <c r="GO876" s="1"/>
      <c r="GP876" s="1"/>
      <c r="GQ876" s="1"/>
      <c r="GR876" s="1"/>
      <c r="GS876" s="1"/>
      <c r="GT876" s="1"/>
      <c r="GU876" s="1"/>
      <c r="GV876" s="1"/>
      <c r="GW876" s="1"/>
      <c r="GX876" s="1"/>
      <c r="GY876" s="1"/>
      <c r="GZ876" s="1"/>
      <c r="HA876" s="1"/>
      <c r="HB876" s="1"/>
      <c r="HC876" s="1"/>
      <c r="HD876" s="1"/>
      <c r="HE876" s="1"/>
      <c r="HF876" s="1"/>
      <c r="HG876" s="1"/>
      <c r="HH876" s="1"/>
      <c r="HI876" s="1"/>
      <c r="HJ876" s="1"/>
      <c r="HK876" s="1"/>
      <c r="HL876" s="1"/>
      <c r="HM876" s="1"/>
      <c r="HN876" s="1"/>
      <c r="HO876" s="1"/>
      <c r="HP876" s="1"/>
      <c r="HQ876" s="1"/>
      <c r="HR876" s="1"/>
      <c r="HS876" s="1"/>
      <c r="HT876" s="1"/>
      <c r="HU876" s="1"/>
      <c r="HV876" s="1"/>
      <c r="HW876" s="1"/>
      <c r="HX876" s="1"/>
      <c r="HY876" s="1"/>
      <c r="HZ876" s="1"/>
      <c r="IA876" s="1"/>
      <c r="IB876" s="1"/>
      <c r="IC876" s="1"/>
      <c r="ID876" s="1"/>
      <c r="IE876" s="1"/>
      <c r="IF876" s="1"/>
      <c r="IG876" s="1"/>
      <c r="IH876" s="1"/>
      <c r="II876" s="1"/>
      <c r="IJ876" s="1"/>
      <c r="IK876" s="1"/>
      <c r="IL876" s="1"/>
      <c r="IM876" s="1"/>
      <c r="IN876" s="1"/>
      <c r="IO876" s="1"/>
      <c r="IP876" s="1"/>
      <c r="IQ876" s="1"/>
      <c r="IR876" s="1"/>
      <c r="IS876" s="1"/>
      <c r="IT876" s="1"/>
      <c r="IU876" s="1"/>
      <c r="IV876" s="1"/>
      <c r="IW876" s="1"/>
      <c r="IX876" s="1"/>
      <c r="IY876" s="1"/>
      <c r="IZ876" s="1"/>
      <c r="JA876" s="1"/>
      <c r="JB876" s="1"/>
      <c r="JC876" s="1"/>
      <c r="JD876" s="1"/>
    </row>
    <row r="877" spans="1:264" s="347" customFormat="1" x14ac:dyDescent="0.2">
      <c r="A877" s="347" t="s">
        <v>616</v>
      </c>
      <c r="B877" s="348"/>
      <c r="BH877" s="489">
        <f t="shared" ref="BH877:BJ879" si="805">+BH862*(BH$4/BH$3)/BH$876</f>
        <v>-1.742115366763657E-3</v>
      </c>
      <c r="BI877" s="489">
        <f t="shared" si="805"/>
        <v>0</v>
      </c>
      <c r="BJ877" s="489">
        <f t="shared" si="805"/>
        <v>-8.5212342012746134E-4</v>
      </c>
      <c r="BK877" s="348"/>
      <c r="BL877" s="489">
        <f t="shared" ref="BL877:BN879" si="806">+BL862*(BL$4/BL$3)/BL$876</f>
        <v>1.1625827981913397E-4</v>
      </c>
      <c r="BM877" s="489">
        <f t="shared" si="806"/>
        <v>-8.8038057249890955E-4</v>
      </c>
      <c r="BN877" s="489">
        <f t="shared" si="806"/>
        <v>-3.7900231239385539E-4</v>
      </c>
      <c r="BO877" s="348"/>
      <c r="BP877" s="489">
        <f t="shared" ref="BP877:BR879" si="807">+BP862*(BP$4/BP$3)/BP$876</f>
        <v>-1.4667355429603826E-4</v>
      </c>
      <c r="BQ877" s="489">
        <f t="shared" si="807"/>
        <v>-9.0299371113122326E-6</v>
      </c>
      <c r="BR877" s="489">
        <f t="shared" si="807"/>
        <v>-7.6123606826048601E-5</v>
      </c>
      <c r="BT877" s="489">
        <f t="shared" ref="BT877:BV879" si="808">+BT862*(BT$4/BT$3)/BT$876</f>
        <v>3.2519570976777279E-4</v>
      </c>
      <c r="BU877" s="489">
        <f t="shared" si="808"/>
        <v>1.391653905738642E-4</v>
      </c>
      <c r="BV877" s="489">
        <f t="shared" si="808"/>
        <v>2.2796105122610479E-4</v>
      </c>
      <c r="BX877" s="489">
        <f t="shared" ref="BX877:BZ879" si="809">+BX862*(BX$4/BX$3)/BX$876</f>
        <v>-8.8443697557182867E-5</v>
      </c>
      <c r="BY877" s="489">
        <f t="shared" si="809"/>
        <v>-4.8177138759729056E-4</v>
      </c>
      <c r="BZ877" s="489">
        <f t="shared" si="809"/>
        <v>-2.8270521013756995E-4</v>
      </c>
      <c r="CB877" s="489">
        <f t="shared" ref="CB877:CD879" si="810">+CB862*(CB$4/CB$3)/CB$876</f>
        <v>1.9946262037705758E-4</v>
      </c>
      <c r="CC877" s="489">
        <f t="shared" si="810"/>
        <v>-7.3554959089896106E-5</v>
      </c>
      <c r="CD877" s="489">
        <f t="shared" si="810"/>
        <v>6.4844798028718145E-5</v>
      </c>
      <c r="CF877" s="489">
        <f t="shared" ref="CF877:CH879" si="811">+CF862*(CF$4/CF$3)/CF$876</f>
        <v>-3.213008936214114E-5</v>
      </c>
      <c r="CG877" s="489">
        <f t="shared" si="811"/>
        <v>7.6234279986719228E-4</v>
      </c>
      <c r="CH877" s="489">
        <f t="shared" si="811"/>
        <v>3.6123677390358338E-4</v>
      </c>
      <c r="CJ877" s="489">
        <f t="shared" ref="CJ877:CL879" si="812">+CJ862*(CJ$4/CJ$3)/CJ$876</f>
        <v>1.3721450100915608E-3</v>
      </c>
      <c r="CK877" s="489">
        <f t="shared" si="812"/>
        <v>1.1265973643939145E-2</v>
      </c>
      <c r="CL877" s="489">
        <f t="shared" si="812"/>
        <v>6.2893081761006293E-3</v>
      </c>
      <c r="CN877" s="489">
        <f t="shared" ref="CN877:CP879" si="813">+CN862*(CN$4/CN$3)/CN$876</f>
        <v>4.6143246868624119E-3</v>
      </c>
      <c r="CO877" s="489">
        <f t="shared" si="813"/>
        <v>-5.3434872253639134E-3</v>
      </c>
      <c r="CP877" s="489">
        <f t="shared" si="813"/>
        <v>-3.5637918745545262E-4</v>
      </c>
      <c r="CR877" s="489">
        <f t="shared" ref="CR877:CT879" si="814">+CR862*(CR$4/CR$3)/CR$876</f>
        <v>-2.0193877219093471E-3</v>
      </c>
      <c r="CS877" s="489">
        <f t="shared" si="814"/>
        <v>-3.4584748759232879E-3</v>
      </c>
      <c r="CT877" s="489">
        <f t="shared" si="814"/>
        <v>-2.661900597026277E-3</v>
      </c>
      <c r="CV877" s="489">
        <f t="shared" ref="CV877:CX879" si="815">+CV862*(CV$4/CV$3)/CV$876</f>
        <v>2.0960481866346662E-3</v>
      </c>
      <c r="CW877" s="489">
        <f t="shared" si="815"/>
        <v>2.1239714814561507E-3</v>
      </c>
      <c r="CX877" s="489">
        <f t="shared" si="815"/>
        <v>2.0816060747314374E-3</v>
      </c>
      <c r="CZ877" s="489">
        <f t="shared" ref="CZ877:DB879" si="816">+CZ862*(CZ$4/CZ$3)/CZ$876</f>
        <v>9.5759421966419458E-4</v>
      </c>
      <c r="DA877" s="489">
        <f t="shared" si="816"/>
        <v>6.5564923740469845E-4</v>
      </c>
      <c r="DB877" s="489">
        <f t="shared" si="816"/>
        <v>7.9580153340788856E-4</v>
      </c>
      <c r="DD877" s="489">
        <f t="shared" ref="DD877:DF879" si="817">+DD862*(DD$4/DD$3)/DD$876</f>
        <v>4.6856546223234002E-4</v>
      </c>
      <c r="DE877" s="489">
        <f t="shared" si="817"/>
        <v>4.5173428567805366E-4</v>
      </c>
      <c r="DF877" s="489">
        <f t="shared" si="817"/>
        <v>4.4802140113823406E-4</v>
      </c>
      <c r="DH877" s="489">
        <f t="shared" ref="DH877" si="818">+DH862*(DH$4/DH$3)/DH$876</f>
        <v>-1.1822527412579784E-4</v>
      </c>
      <c r="DI877" s="489">
        <f t="shared" ref="DI877:DJ879" ca="1" si="819">+DI862*(DI$4/DI$3)/DI$876</f>
        <v>1.1824031783620601E-4</v>
      </c>
      <c r="DJ877" s="489">
        <f t="shared" ca="1" si="819"/>
        <v>9.2302982313618582E-7</v>
      </c>
      <c r="DL877" s="489">
        <f t="shared" ref="DL877:DN879" ca="1" si="820">+DL862*(DL$4/DL$3)/DL$876</f>
        <v>1.2774570375369382E-4</v>
      </c>
      <c r="DM877" s="489">
        <f t="shared" ca="1" si="820"/>
        <v>2.7893489132864701E-4</v>
      </c>
      <c r="DN877" s="489">
        <f t="shared" ca="1" si="820"/>
        <v>2.0052076458904048E-4</v>
      </c>
      <c r="DP877" s="489">
        <f t="shared" ref="DP877:DR879" ca="1" si="821">+DP862*(DP$4/DP$3)/DP$876</f>
        <v>7.1562831365636374E-4</v>
      </c>
      <c r="DQ877" s="489">
        <f t="shared" ca="1" si="821"/>
        <v>8.2393272322826795E-4</v>
      </c>
      <c r="DR877" s="489">
        <f t="shared" ca="1" si="821"/>
        <v>7.5983147907106329E-4</v>
      </c>
      <c r="DT877" s="1"/>
      <c r="DU877" s="1"/>
      <c r="DV877" s="1"/>
      <c r="DW877" s="1"/>
      <c r="DX877" s="1"/>
      <c r="DY877" s="1"/>
      <c r="DZ877" s="1"/>
      <c r="EA877" s="1"/>
      <c r="EB877" s="1"/>
      <c r="EC877" s="1"/>
      <c r="ED877" s="1"/>
      <c r="EE877" s="1"/>
      <c r="EF877" s="1"/>
      <c r="EG877" s="1"/>
      <c r="EH877" s="1"/>
      <c r="EI877" s="1"/>
      <c r="EJ877" s="1"/>
      <c r="EK877" s="1"/>
      <c r="EL877" s="1"/>
      <c r="EM877" s="1"/>
      <c r="EN877" s="1"/>
      <c r="EO877" s="1"/>
      <c r="EP877" s="1"/>
      <c r="EQ877" s="1"/>
      <c r="ER877" s="1"/>
      <c r="ES877" s="1"/>
      <c r="ET877" s="1"/>
      <c r="EU877" s="1"/>
      <c r="EV877" s="1"/>
      <c r="EW877" s="1"/>
      <c r="EX877" s="1"/>
      <c r="EY877" s="1"/>
      <c r="EZ877" s="1"/>
      <c r="FA877" s="1"/>
      <c r="FB877" s="1"/>
      <c r="FC877" s="1"/>
      <c r="FD877" s="1"/>
      <c r="FE877" s="1"/>
      <c r="FF877" s="1"/>
      <c r="FG877" s="1"/>
      <c r="FH877" s="1"/>
      <c r="FI877" s="1"/>
      <c r="FJ877" s="1"/>
      <c r="FK877" s="1"/>
      <c r="FL877" s="1"/>
      <c r="FM877" s="1"/>
      <c r="FN877" s="1"/>
      <c r="FO877" s="1"/>
      <c r="FP877" s="1"/>
      <c r="FQ877" s="1"/>
      <c r="FR877" s="1"/>
      <c r="FS877" s="1"/>
      <c r="FT877" s="1"/>
      <c r="FU877" s="1"/>
      <c r="FV877" s="1"/>
      <c r="FW877" s="1"/>
      <c r="FX877" s="1"/>
      <c r="FY877" s="1"/>
      <c r="FZ877" s="1"/>
      <c r="GA877" s="1"/>
      <c r="GB877" s="1"/>
      <c r="GC877" s="1"/>
      <c r="GD877" s="1"/>
      <c r="GE877" s="1"/>
      <c r="GF877" s="1"/>
      <c r="GG877" s="1"/>
      <c r="GH877" s="1"/>
      <c r="GI877" s="1"/>
      <c r="GJ877" s="1"/>
      <c r="GK877" s="1"/>
      <c r="GL877" s="1"/>
      <c r="GM877" s="1"/>
      <c r="GN877" s="1"/>
      <c r="GO877" s="1"/>
      <c r="GP877" s="1"/>
      <c r="GQ877" s="1"/>
      <c r="GR877" s="1"/>
      <c r="GS877" s="1"/>
      <c r="GT877" s="1"/>
      <c r="GU877" s="1"/>
      <c r="GV877" s="1"/>
      <c r="GW877" s="1"/>
      <c r="GX877" s="1"/>
      <c r="GY877" s="1"/>
      <c r="GZ877" s="1"/>
      <c r="HA877" s="1"/>
      <c r="HB877" s="1"/>
      <c r="HC877" s="1"/>
      <c r="HD877" s="1"/>
      <c r="HE877" s="1"/>
      <c r="HF877" s="1"/>
      <c r="HG877" s="1"/>
      <c r="HH877" s="1"/>
      <c r="HI877" s="1"/>
      <c r="HJ877" s="1"/>
      <c r="HK877" s="1"/>
      <c r="HL877" s="1"/>
      <c r="HM877" s="1"/>
      <c r="HN877" s="1"/>
      <c r="HO877" s="1"/>
      <c r="HP877" s="1"/>
      <c r="HQ877" s="1"/>
      <c r="HR877" s="1"/>
      <c r="HS877" s="1"/>
      <c r="HT877" s="1"/>
      <c r="HU877" s="1"/>
      <c r="HV877" s="1"/>
      <c r="HW877" s="1"/>
      <c r="HX877" s="1"/>
      <c r="HY877" s="1"/>
      <c r="HZ877" s="1"/>
      <c r="IA877" s="1"/>
      <c r="IB877" s="1"/>
      <c r="IC877" s="1"/>
      <c r="ID877" s="1"/>
      <c r="IE877" s="1"/>
      <c r="IF877" s="1"/>
      <c r="IG877" s="1"/>
      <c r="IH877" s="1"/>
      <c r="II877" s="1"/>
      <c r="IJ877" s="1"/>
      <c r="IK877" s="1"/>
      <c r="IL877" s="1"/>
      <c r="IM877" s="1"/>
      <c r="IN877" s="1"/>
      <c r="IO877" s="1"/>
      <c r="IP877" s="1"/>
      <c r="IQ877" s="1"/>
      <c r="IR877" s="1"/>
      <c r="IS877" s="1"/>
      <c r="IT877" s="1"/>
      <c r="IU877" s="1"/>
      <c r="IV877" s="1"/>
      <c r="IW877" s="1"/>
      <c r="IX877" s="1"/>
      <c r="IY877" s="1"/>
      <c r="IZ877" s="1"/>
      <c r="JA877" s="1"/>
      <c r="JB877" s="1"/>
      <c r="JC877" s="1"/>
      <c r="JD877" s="1"/>
    </row>
    <row r="878" spans="1:264" s="347" customFormat="1" x14ac:dyDescent="0.2">
      <c r="A878" s="411" t="s">
        <v>617</v>
      </c>
      <c r="B878" s="423"/>
      <c r="C878" s="411"/>
      <c r="D878" s="411"/>
      <c r="E878" s="411"/>
      <c r="F878" s="411"/>
      <c r="G878" s="411"/>
      <c r="H878" s="411"/>
      <c r="I878" s="411"/>
      <c r="J878" s="411"/>
      <c r="K878" s="411"/>
      <c r="L878" s="411"/>
      <c r="M878" s="411"/>
      <c r="N878" s="411"/>
      <c r="O878" s="411"/>
      <c r="P878" s="411"/>
      <c r="Q878" s="411"/>
      <c r="R878" s="411"/>
      <c r="S878" s="411"/>
      <c r="T878" s="411"/>
      <c r="U878" s="411"/>
      <c r="V878" s="411"/>
      <c r="W878" s="411"/>
      <c r="X878" s="411"/>
      <c r="Y878" s="411"/>
      <c r="Z878" s="411"/>
      <c r="AA878" s="411"/>
      <c r="AB878" s="411"/>
      <c r="AC878" s="411"/>
      <c r="AD878" s="411"/>
      <c r="AE878" s="411"/>
      <c r="AF878" s="411"/>
      <c r="AG878" s="411"/>
      <c r="AH878" s="411"/>
      <c r="AI878" s="411"/>
      <c r="AJ878" s="411"/>
      <c r="AK878" s="411"/>
      <c r="AL878" s="411"/>
      <c r="AM878" s="411"/>
      <c r="AN878" s="411"/>
      <c r="AO878" s="411"/>
      <c r="AP878" s="411"/>
      <c r="AQ878" s="411"/>
      <c r="AR878" s="411"/>
      <c r="AS878" s="411"/>
      <c r="AT878" s="411"/>
      <c r="AU878" s="411"/>
      <c r="AV878" s="411"/>
      <c r="AW878" s="411"/>
      <c r="AX878" s="411"/>
      <c r="AY878" s="411"/>
      <c r="AZ878" s="411"/>
      <c r="BA878" s="411"/>
      <c r="BB878" s="411"/>
      <c r="BC878" s="411"/>
      <c r="BD878" s="411"/>
      <c r="BE878" s="411"/>
      <c r="BF878" s="411"/>
      <c r="BG878" s="411"/>
      <c r="BH878" s="490">
        <f t="shared" si="805"/>
        <v>8.1681217495565474E-3</v>
      </c>
      <c r="BI878" s="490">
        <f t="shared" si="805"/>
        <v>4.7949737826936149E-3</v>
      </c>
      <c r="BJ878" s="490">
        <f t="shared" si="805"/>
        <v>6.3730667768814326E-3</v>
      </c>
      <c r="BK878" s="423"/>
      <c r="BL878" s="490">
        <f t="shared" si="806"/>
        <v>4.3112445432928852E-3</v>
      </c>
      <c r="BM878" s="490">
        <f t="shared" si="806"/>
        <v>5.6789384182072515E-3</v>
      </c>
      <c r="BN878" s="490">
        <f t="shared" si="806"/>
        <v>4.9510175492463128E-3</v>
      </c>
      <c r="BO878" s="423"/>
      <c r="BP878" s="490">
        <f t="shared" si="807"/>
        <v>4.1801962974370903E-3</v>
      </c>
      <c r="BQ878" s="490">
        <f t="shared" si="807"/>
        <v>4.9574354741104163E-3</v>
      </c>
      <c r="BR878" s="490">
        <f t="shared" si="807"/>
        <v>4.5002485211869912E-3</v>
      </c>
      <c r="BS878" s="411"/>
      <c r="BT878" s="490">
        <f t="shared" si="808"/>
        <v>4.3776345545661725E-3</v>
      </c>
      <c r="BU878" s="490">
        <f t="shared" si="808"/>
        <v>5.5256846257269619E-3</v>
      </c>
      <c r="BV878" s="490">
        <f t="shared" si="808"/>
        <v>4.8848796691308167E-3</v>
      </c>
      <c r="BW878" s="411"/>
      <c r="BX878" s="490">
        <f t="shared" si="809"/>
        <v>4.9046050463528688E-3</v>
      </c>
      <c r="BY878" s="490">
        <f t="shared" si="809"/>
        <v>4.4644148584015598E-3</v>
      </c>
      <c r="BZ878" s="490">
        <f t="shared" si="809"/>
        <v>4.6427362678930495E-3</v>
      </c>
      <c r="CA878" s="411"/>
      <c r="CB878" s="490">
        <f t="shared" si="810"/>
        <v>4.5557262494119949E-3</v>
      </c>
      <c r="CC878" s="490">
        <f t="shared" si="810"/>
        <v>4.0210044302476534E-3</v>
      </c>
      <c r="CD878" s="490">
        <f t="shared" si="810"/>
        <v>4.3081262690329615E-3</v>
      </c>
      <c r="CE878" s="411"/>
      <c r="CF878" s="490">
        <f t="shared" si="811"/>
        <v>4.6668954798510008E-3</v>
      </c>
      <c r="CG878" s="490">
        <f t="shared" si="811"/>
        <v>4.5232339458786738E-3</v>
      </c>
      <c r="CH878" s="490">
        <f t="shared" si="811"/>
        <v>4.6834767779359941E-3</v>
      </c>
      <c r="CI878" s="411"/>
      <c r="CJ878" s="490">
        <f t="shared" si="812"/>
        <v>4.0911808276349604E-3</v>
      </c>
      <c r="CK878" s="490">
        <f t="shared" si="812"/>
        <v>4.577596514467373E-3</v>
      </c>
      <c r="CL878" s="490">
        <f t="shared" si="812"/>
        <v>4.32495320957054E-3</v>
      </c>
      <c r="CM878" s="411"/>
      <c r="CN878" s="490">
        <f t="shared" si="813"/>
        <v>2.8259575321735063E-3</v>
      </c>
      <c r="CO878" s="490">
        <f t="shared" si="813"/>
        <v>2.5702849944788443E-3</v>
      </c>
      <c r="CP878" s="490">
        <f t="shared" si="813"/>
        <v>2.6791329504004023E-3</v>
      </c>
      <c r="CQ878" s="411"/>
      <c r="CR878" s="490">
        <f t="shared" si="814"/>
        <v>1.4111384080812304E-3</v>
      </c>
      <c r="CS878" s="490">
        <f t="shared" si="814"/>
        <v>1.2959695211331166E-3</v>
      </c>
      <c r="CT878" s="490">
        <f t="shared" si="814"/>
        <v>1.3043312925428757E-3</v>
      </c>
      <c r="CU878" s="411"/>
      <c r="CV878" s="490">
        <f t="shared" si="815"/>
        <v>1.610113139906214E-3</v>
      </c>
      <c r="CW878" s="490">
        <f t="shared" si="815"/>
        <v>2.1598493781023694E-3</v>
      </c>
      <c r="CX878" s="490">
        <f t="shared" si="815"/>
        <v>1.8609914138197293E-3</v>
      </c>
      <c r="CY878" s="411"/>
      <c r="CZ878" s="490">
        <f t="shared" si="816"/>
        <v>2.0080893710868555E-3</v>
      </c>
      <c r="DA878" s="490">
        <f t="shared" si="816"/>
        <v>2.0726975892148528E-3</v>
      </c>
      <c r="DB878" s="490">
        <f t="shared" si="816"/>
        <v>2.0157968357248281E-3</v>
      </c>
      <c r="DC878" s="411"/>
      <c r="DD878" s="490">
        <f t="shared" si="817"/>
        <v>1.7044917539176428E-3</v>
      </c>
      <c r="DE878" s="490">
        <f t="shared" si="817"/>
        <v>2.2062964387464363E-3</v>
      </c>
      <c r="DF878" s="490">
        <f t="shared" si="817"/>
        <v>1.9089607526759538E-3</v>
      </c>
      <c r="DG878" s="411"/>
      <c r="DH878" s="490">
        <f t="shared" ref="DH878" si="822">+DH863*(DH$4/DH$3)/DH$876</f>
        <v>2.1031654028694563E-3</v>
      </c>
      <c r="DI878" s="490">
        <f t="shared" ca="1" si="819"/>
        <v>2.519619743713993E-3</v>
      </c>
      <c r="DJ878" s="490">
        <f t="shared" ca="1" si="819"/>
        <v>2.2761073214038244E-3</v>
      </c>
      <c r="DK878" s="411"/>
      <c r="DL878" s="490">
        <f t="shared" ca="1" si="820"/>
        <v>2.8544862890510863E-3</v>
      </c>
      <c r="DM878" s="490">
        <f t="shared" ca="1" si="820"/>
        <v>3.0211145831309976E-3</v>
      </c>
      <c r="DN878" s="490">
        <f t="shared" ca="1" si="820"/>
        <v>2.8879965682309847E-3</v>
      </c>
      <c r="DO878" s="411"/>
      <c r="DP878" s="490">
        <f t="shared" ca="1" si="821"/>
        <v>2.5893098451322065E-3</v>
      </c>
      <c r="DQ878" s="490">
        <f t="shared" ca="1" si="821"/>
        <v>2.473123989934226E-3</v>
      </c>
      <c r="DR878" s="490">
        <f t="shared" ca="1" si="821"/>
        <v>2.4966071091443985E-3</v>
      </c>
      <c r="DT878" s="1"/>
      <c r="DU878" s="1"/>
      <c r="DV878" s="1"/>
      <c r="DW878" s="1"/>
      <c r="DX878" s="1"/>
      <c r="DY878" s="1"/>
      <c r="DZ878" s="1"/>
      <c r="EA878" s="1"/>
      <c r="EB878" s="1"/>
      <c r="EC878" s="1"/>
      <c r="ED878" s="1"/>
      <c r="EE878" s="1"/>
      <c r="EF878" s="1"/>
      <c r="EG878" s="1"/>
      <c r="EH878" s="1"/>
      <c r="EI878" s="1"/>
      <c r="EJ878" s="1"/>
      <c r="EK878" s="1"/>
      <c r="EL878" s="1"/>
      <c r="EM878" s="1"/>
      <c r="EN878" s="1"/>
      <c r="EO878" s="1"/>
      <c r="EP878" s="1"/>
      <c r="EQ878" s="1"/>
      <c r="ER878" s="1"/>
      <c r="ES878" s="1"/>
      <c r="ET878" s="1"/>
      <c r="EU878" s="1"/>
      <c r="EV878" s="1"/>
      <c r="EW878" s="1"/>
      <c r="EX878" s="1"/>
      <c r="EY878" s="1"/>
      <c r="EZ878" s="1"/>
      <c r="FA878" s="1"/>
      <c r="FB878" s="1"/>
      <c r="FC878" s="1"/>
      <c r="FD878" s="1"/>
      <c r="FE878" s="1"/>
      <c r="FF878" s="1"/>
      <c r="FG878" s="1"/>
      <c r="FH878" s="1"/>
      <c r="FI878" s="1"/>
      <c r="FJ878" s="1"/>
      <c r="FK878" s="1"/>
      <c r="FL878" s="1"/>
      <c r="FM878" s="1"/>
      <c r="FN878" s="1"/>
      <c r="FO878" s="1"/>
      <c r="FP878" s="1"/>
      <c r="FQ878" s="1"/>
      <c r="FR878" s="1"/>
      <c r="FS878" s="1"/>
      <c r="FT878" s="1"/>
      <c r="FU878" s="1"/>
      <c r="FV878" s="1"/>
      <c r="FW878" s="1"/>
      <c r="FX878" s="1"/>
      <c r="FY878" s="1"/>
      <c r="FZ878" s="1"/>
      <c r="GA878" s="1"/>
      <c r="GB878" s="1"/>
      <c r="GC878" s="1"/>
      <c r="GD878" s="1"/>
      <c r="GE878" s="1"/>
      <c r="GF878" s="1"/>
      <c r="GG878" s="1"/>
      <c r="GH878" s="1"/>
      <c r="GI878" s="1"/>
      <c r="GJ878" s="1"/>
      <c r="GK878" s="1"/>
      <c r="GL878" s="1"/>
      <c r="GM878" s="1"/>
      <c r="GN878" s="1"/>
      <c r="GO878" s="1"/>
      <c r="GP878" s="1"/>
      <c r="GQ878" s="1"/>
      <c r="GR878" s="1"/>
      <c r="GS878" s="1"/>
      <c r="GT878" s="1"/>
      <c r="GU878" s="1"/>
      <c r="GV878" s="1"/>
      <c r="GW878" s="1"/>
      <c r="GX878" s="1"/>
      <c r="GY878" s="1"/>
      <c r="GZ878" s="1"/>
      <c r="HA878" s="1"/>
      <c r="HB878" s="1"/>
      <c r="HC878" s="1"/>
      <c r="HD878" s="1"/>
      <c r="HE878" s="1"/>
      <c r="HF878" s="1"/>
      <c r="HG878" s="1"/>
      <c r="HH878" s="1"/>
      <c r="HI878" s="1"/>
      <c r="HJ878" s="1"/>
      <c r="HK878" s="1"/>
      <c r="HL878" s="1"/>
      <c r="HM878" s="1"/>
      <c r="HN878" s="1"/>
      <c r="HO878" s="1"/>
      <c r="HP878" s="1"/>
      <c r="HQ878" s="1"/>
      <c r="HR878" s="1"/>
      <c r="HS878" s="1"/>
      <c r="HT878" s="1"/>
      <c r="HU878" s="1"/>
      <c r="HV878" s="1"/>
      <c r="HW878" s="1"/>
      <c r="HX878" s="1"/>
      <c r="HY878" s="1"/>
      <c r="HZ878" s="1"/>
      <c r="IA878" s="1"/>
      <c r="IB878" s="1"/>
      <c r="IC878" s="1"/>
      <c r="ID878" s="1"/>
      <c r="IE878" s="1"/>
      <c r="IF878" s="1"/>
      <c r="IG878" s="1"/>
      <c r="IH878" s="1"/>
      <c r="II878" s="1"/>
      <c r="IJ878" s="1"/>
      <c r="IK878" s="1"/>
      <c r="IL878" s="1"/>
      <c r="IM878" s="1"/>
      <c r="IN878" s="1"/>
      <c r="IO878" s="1"/>
      <c r="IP878" s="1"/>
      <c r="IQ878" s="1"/>
      <c r="IR878" s="1"/>
      <c r="IS878" s="1"/>
      <c r="IT878" s="1"/>
      <c r="IU878" s="1"/>
      <c r="IV878" s="1"/>
      <c r="IW878" s="1"/>
      <c r="IX878" s="1"/>
      <c r="IY878" s="1"/>
      <c r="IZ878" s="1"/>
      <c r="JA878" s="1"/>
      <c r="JB878" s="1"/>
      <c r="JC878" s="1"/>
      <c r="JD878" s="1"/>
    </row>
    <row r="879" spans="1:264" s="411" customFormat="1" x14ac:dyDescent="0.2">
      <c r="A879" s="411" t="s">
        <v>618</v>
      </c>
      <c r="B879" s="423"/>
      <c r="BH879" s="490">
        <f t="shared" si="805"/>
        <v>6.4260063827928909E-3</v>
      </c>
      <c r="BI879" s="490">
        <f t="shared" si="805"/>
        <v>4.7949737826936149E-3</v>
      </c>
      <c r="BJ879" s="490">
        <f t="shared" si="805"/>
        <v>5.5209433567539714E-3</v>
      </c>
      <c r="BK879" s="423"/>
      <c r="BL879" s="490">
        <f t="shared" si="806"/>
        <v>4.4275028231120185E-3</v>
      </c>
      <c r="BM879" s="490">
        <f t="shared" si="806"/>
        <v>4.7985578457083412E-3</v>
      </c>
      <c r="BN879" s="490">
        <f t="shared" si="806"/>
        <v>4.5720152368524574E-3</v>
      </c>
      <c r="BO879" s="423"/>
      <c r="BP879" s="490">
        <f t="shared" si="807"/>
        <v>4.0335227431410525E-3</v>
      </c>
      <c r="BQ879" s="490">
        <f t="shared" si="807"/>
        <v>4.9484055369991035E-3</v>
      </c>
      <c r="BR879" s="490">
        <f t="shared" si="807"/>
        <v>4.4241249143609426E-3</v>
      </c>
      <c r="BT879" s="490">
        <f t="shared" si="808"/>
        <v>4.7028302643339452E-3</v>
      </c>
      <c r="BU879" s="490">
        <f t="shared" si="808"/>
        <v>5.6648500163008261E-3</v>
      </c>
      <c r="BV879" s="490">
        <f t="shared" si="808"/>
        <v>5.1128407203569221E-3</v>
      </c>
      <c r="BX879" s="490">
        <f t="shared" si="809"/>
        <v>4.8161613487956861E-3</v>
      </c>
      <c r="BY879" s="490">
        <f t="shared" si="809"/>
        <v>3.982643470804269E-3</v>
      </c>
      <c r="BZ879" s="490">
        <f t="shared" si="809"/>
        <v>4.3600310577554795E-3</v>
      </c>
      <c r="CB879" s="490">
        <f t="shared" si="810"/>
        <v>4.7551888697890529E-3</v>
      </c>
      <c r="CC879" s="490">
        <f t="shared" si="810"/>
        <v>3.9474494711577574E-3</v>
      </c>
      <c r="CD879" s="490">
        <f t="shared" si="810"/>
        <v>4.3729710670616798E-3</v>
      </c>
      <c r="CF879" s="490">
        <f t="shared" si="811"/>
        <v>4.6347653904888599E-3</v>
      </c>
      <c r="CG879" s="490">
        <f t="shared" si="811"/>
        <v>5.2855767457458663E-3</v>
      </c>
      <c r="CH879" s="490">
        <f t="shared" si="811"/>
        <v>5.0447135518395777E-3</v>
      </c>
      <c r="CJ879" s="490">
        <f t="shared" si="812"/>
        <v>5.4633258377265216E-3</v>
      </c>
      <c r="CK879" s="490">
        <f t="shared" si="812"/>
        <v>1.5843570158406518E-2</v>
      </c>
      <c r="CL879" s="490">
        <f t="shared" si="812"/>
        <v>1.0614261385671168E-2</v>
      </c>
      <c r="CN879" s="490">
        <f t="shared" si="813"/>
        <v>7.4402822190359182E-3</v>
      </c>
      <c r="CO879" s="490">
        <f t="shared" si="813"/>
        <v>-2.7732022308850687E-3</v>
      </c>
      <c r="CP879" s="490">
        <f t="shared" si="813"/>
        <v>2.3227537629449497E-3</v>
      </c>
      <c r="CR879" s="490">
        <f t="shared" si="814"/>
        <v>-6.0824931382811654E-4</v>
      </c>
      <c r="CS879" s="490">
        <f t="shared" si="814"/>
        <v>-2.1625053547901711E-3</v>
      </c>
      <c r="CT879" s="490">
        <f t="shared" si="814"/>
        <v>-1.357569304483401E-3</v>
      </c>
      <c r="CV879" s="490">
        <f t="shared" si="815"/>
        <v>3.7061613265408802E-3</v>
      </c>
      <c r="CW879" s="490">
        <f t="shared" si="815"/>
        <v>4.2838208595585197E-3</v>
      </c>
      <c r="CX879" s="490">
        <f t="shared" si="815"/>
        <v>3.9425974885511665E-3</v>
      </c>
      <c r="CZ879" s="490">
        <f t="shared" si="816"/>
        <v>2.9656835907510503E-3</v>
      </c>
      <c r="DA879" s="490">
        <f t="shared" si="816"/>
        <v>2.7283468266195514E-3</v>
      </c>
      <c r="DB879" s="490">
        <f t="shared" si="816"/>
        <v>2.8115983691327164E-3</v>
      </c>
      <c r="DD879" s="490">
        <f t="shared" si="817"/>
        <v>2.1730572161499828E-3</v>
      </c>
      <c r="DE879" s="490">
        <f t="shared" si="817"/>
        <v>2.65803072442449E-3</v>
      </c>
      <c r="DF879" s="490">
        <f t="shared" si="817"/>
        <v>2.356982153814188E-3</v>
      </c>
      <c r="DH879" s="490">
        <f t="shared" ref="DH879" si="823">+DH864*(DH$4/DH$3)/DH$876</f>
        <v>1.9849401287436582E-3</v>
      </c>
      <c r="DI879" s="490">
        <f t="shared" si="819"/>
        <v>2.6378600615501986E-3</v>
      </c>
      <c r="DJ879" s="490">
        <f t="shared" si="819"/>
        <v>2.2770303512269605E-3</v>
      </c>
      <c r="DL879" s="490">
        <f t="shared" si="820"/>
        <v>2.9822319928047799E-3</v>
      </c>
      <c r="DM879" s="490">
        <f t="shared" si="820"/>
        <v>3.3000494744596445E-3</v>
      </c>
      <c r="DN879" s="490">
        <f t="shared" si="820"/>
        <v>3.0885173328200253E-3</v>
      </c>
      <c r="DP879" s="490">
        <f t="shared" si="821"/>
        <v>3.3049381587885703E-3</v>
      </c>
      <c r="DQ879" s="490">
        <f t="shared" si="821"/>
        <v>3.2970567131624935E-3</v>
      </c>
      <c r="DR879" s="490">
        <f t="shared" si="821"/>
        <v>3.256438588215462E-3</v>
      </c>
      <c r="DT879" s="1"/>
      <c r="DU879" s="1"/>
      <c r="DV879" s="1"/>
      <c r="DW879" s="1"/>
      <c r="DX879" s="1"/>
      <c r="DY879" s="1"/>
      <c r="DZ879" s="1"/>
      <c r="EA879" s="1"/>
      <c r="EB879" s="1"/>
      <c r="EC879" s="1"/>
      <c r="ED879" s="1"/>
      <c r="EE879" s="1"/>
      <c r="EF879" s="1"/>
      <c r="EG879" s="1"/>
      <c r="EH879" s="1"/>
      <c r="EI879" s="1"/>
      <c r="EJ879" s="1"/>
      <c r="EK879" s="1"/>
      <c r="EL879" s="1"/>
      <c r="EM879" s="1"/>
      <c r="EN879" s="1"/>
      <c r="EO879" s="1"/>
      <c r="EP879" s="1"/>
      <c r="EQ879" s="1"/>
      <c r="ER879" s="1"/>
      <c r="ES879" s="1"/>
      <c r="ET879" s="1"/>
      <c r="EU879" s="1"/>
      <c r="EV879" s="1"/>
      <c r="EW879" s="1"/>
      <c r="EX879" s="1"/>
      <c r="EY879" s="1"/>
      <c r="EZ879" s="1"/>
      <c r="FA879" s="1"/>
      <c r="FB879" s="1"/>
      <c r="FC879" s="1"/>
      <c r="FD879" s="1"/>
      <c r="FE879" s="1"/>
      <c r="FF879" s="1"/>
      <c r="FG879" s="1"/>
      <c r="FH879" s="1"/>
      <c r="FI879" s="1"/>
      <c r="FJ879" s="1"/>
      <c r="FK879" s="1"/>
      <c r="FL879" s="1"/>
      <c r="FM879" s="1"/>
      <c r="FN879" s="1"/>
      <c r="FO879" s="1"/>
      <c r="FP879" s="1"/>
      <c r="FQ879" s="1"/>
      <c r="FR879" s="1"/>
      <c r="FS879" s="1"/>
      <c r="FT879" s="1"/>
      <c r="FU879" s="1"/>
      <c r="FV879" s="1"/>
      <c r="FW879" s="1"/>
      <c r="FX879" s="1"/>
      <c r="FY879" s="1"/>
      <c r="FZ879" s="1"/>
      <c r="GA879" s="1"/>
      <c r="GB879" s="1"/>
      <c r="GC879" s="1"/>
      <c r="GD879" s="1"/>
      <c r="GE879" s="1"/>
      <c r="GF879" s="1"/>
      <c r="GG879" s="1"/>
      <c r="GH879" s="1"/>
      <c r="GI879" s="1"/>
      <c r="GJ879" s="1"/>
      <c r="GK879" s="1"/>
      <c r="GL879" s="1"/>
      <c r="GM879" s="1"/>
      <c r="GN879" s="1"/>
      <c r="GO879" s="1"/>
      <c r="GP879" s="1"/>
      <c r="GQ879" s="1"/>
      <c r="GR879" s="1"/>
      <c r="GS879" s="1"/>
      <c r="GT879" s="1"/>
      <c r="GU879" s="1"/>
      <c r="GV879" s="1"/>
      <c r="GW879" s="1"/>
      <c r="GX879" s="1"/>
      <c r="GY879" s="1"/>
      <c r="GZ879" s="1"/>
      <c r="HA879" s="1"/>
      <c r="HB879" s="1"/>
      <c r="HC879" s="1"/>
      <c r="HD879" s="1"/>
      <c r="HE879" s="1"/>
      <c r="HF879" s="1"/>
      <c r="HG879" s="1"/>
      <c r="HH879" s="1"/>
      <c r="HI879" s="1"/>
      <c r="HJ879" s="1"/>
      <c r="HK879" s="1"/>
      <c r="HL879" s="1"/>
      <c r="HM879" s="1"/>
      <c r="HN879" s="1"/>
      <c r="HO879" s="1"/>
      <c r="HP879" s="1"/>
      <c r="HQ879" s="1"/>
      <c r="HR879" s="1"/>
      <c r="HS879" s="1"/>
      <c r="HT879" s="1"/>
      <c r="HU879" s="1"/>
      <c r="HV879" s="1"/>
      <c r="HW879" s="1"/>
      <c r="HX879" s="1"/>
      <c r="HY879" s="1"/>
      <c r="HZ879" s="1"/>
      <c r="IA879" s="1"/>
      <c r="IB879" s="1"/>
      <c r="IC879" s="1"/>
      <c r="ID879" s="1"/>
      <c r="IE879" s="1"/>
      <c r="IF879" s="1"/>
      <c r="IG879" s="1"/>
      <c r="IH879" s="1"/>
      <c r="II879" s="1"/>
      <c r="IJ879" s="1"/>
      <c r="IK879" s="1"/>
      <c r="IL879" s="1"/>
      <c r="IM879" s="1"/>
      <c r="IN879" s="1"/>
      <c r="IO879" s="1"/>
      <c r="IP879" s="1"/>
      <c r="IQ879" s="1"/>
      <c r="IR879" s="1"/>
      <c r="IS879" s="1"/>
      <c r="IT879" s="1"/>
      <c r="IU879" s="1"/>
      <c r="IV879" s="1"/>
      <c r="IW879" s="1"/>
      <c r="IX879" s="1"/>
      <c r="IY879" s="1"/>
      <c r="IZ879" s="1"/>
      <c r="JA879" s="1"/>
      <c r="JB879" s="1"/>
      <c r="JC879" s="1"/>
      <c r="JD879" s="1"/>
    </row>
    <row r="880" spans="1:264" s="347" customFormat="1" x14ac:dyDescent="0.2">
      <c r="B880" s="348"/>
      <c r="BH880" s="348"/>
      <c r="BI880" s="348"/>
      <c r="BJ880" s="348"/>
      <c r="BK880" s="348"/>
      <c r="BL880" s="348"/>
      <c r="BM880" s="348"/>
      <c r="BN880" s="348"/>
      <c r="BO880" s="348"/>
      <c r="BP880" s="348"/>
      <c r="BQ880" s="348"/>
      <c r="BR880" s="348"/>
      <c r="BT880" s="348"/>
      <c r="BX880" s="348"/>
      <c r="CB880" s="348"/>
      <c r="CF880" s="348"/>
      <c r="CJ880" s="348"/>
      <c r="CK880" s="348"/>
      <c r="CL880" s="348"/>
      <c r="CM880" s="348"/>
      <c r="CN880" s="348"/>
      <c r="CO880" s="348"/>
      <c r="CP880" s="348"/>
      <c r="CQ880" s="348"/>
      <c r="CR880" s="348"/>
      <c r="CS880" s="348"/>
      <c r="CT880" s="348"/>
      <c r="CU880" s="348"/>
      <c r="CV880" s="348"/>
      <c r="CW880" s="348"/>
      <c r="CX880" s="348"/>
      <c r="CY880" s="348"/>
      <c r="CZ880" s="348"/>
      <c r="DA880" s="348"/>
      <c r="DB880" s="348"/>
      <c r="DC880" s="348"/>
      <c r="DD880" s="348"/>
      <c r="DE880" s="348"/>
      <c r="DF880" s="348"/>
      <c r="DG880" s="348"/>
      <c r="DH880" s="348"/>
      <c r="DI880" s="348"/>
      <c r="DJ880" s="348"/>
      <c r="DK880" s="348"/>
      <c r="DL880" s="348"/>
      <c r="DM880" s="348"/>
      <c r="DN880" s="348"/>
      <c r="DO880" s="348"/>
      <c r="DP880" s="348"/>
      <c r="DQ880" s="348"/>
      <c r="DR880" s="348"/>
      <c r="DS880" s="348"/>
      <c r="DT880" s="1"/>
      <c r="DU880" s="1"/>
      <c r="DV880" s="1"/>
      <c r="DW880" s="1"/>
      <c r="DX880" s="1"/>
      <c r="DY880" s="1"/>
      <c r="DZ880" s="1"/>
      <c r="EA880" s="1"/>
      <c r="EB880" s="1"/>
      <c r="EC880" s="1"/>
      <c r="ED880" s="1"/>
      <c r="EE880" s="1"/>
      <c r="EF880" s="1"/>
      <c r="EG880" s="1"/>
      <c r="EH880" s="1"/>
      <c r="EI880" s="1"/>
      <c r="EJ880" s="1"/>
      <c r="EK880" s="1"/>
      <c r="EL880" s="1"/>
      <c r="EM880" s="1"/>
      <c r="EN880" s="1"/>
      <c r="EO880" s="1"/>
      <c r="EP880" s="1"/>
      <c r="EQ880" s="1"/>
      <c r="ER880" s="1"/>
      <c r="ES880" s="1"/>
      <c r="ET880" s="1"/>
      <c r="EU880" s="1"/>
      <c r="EV880" s="1"/>
      <c r="EW880" s="1"/>
      <c r="EX880" s="1"/>
      <c r="EY880" s="1"/>
      <c r="EZ880" s="1"/>
      <c r="FA880" s="1"/>
      <c r="FB880" s="1"/>
      <c r="FC880" s="1"/>
      <c r="FD880" s="1"/>
      <c r="FE880" s="1"/>
      <c r="FF880" s="1"/>
      <c r="FG880" s="1"/>
      <c r="FH880" s="1"/>
      <c r="FI880" s="1"/>
      <c r="FJ880" s="1"/>
      <c r="FK880" s="1"/>
      <c r="FL880" s="1"/>
      <c r="FM880" s="1"/>
      <c r="FN880" s="1"/>
      <c r="FO880" s="1"/>
      <c r="FP880" s="1"/>
      <c r="FQ880" s="1"/>
      <c r="FR880" s="1"/>
      <c r="FS880" s="1"/>
      <c r="FT880" s="1"/>
      <c r="FU880" s="1"/>
      <c r="FV880" s="1"/>
      <c r="FW880" s="1"/>
      <c r="FX880" s="1"/>
      <c r="FY880" s="1"/>
      <c r="FZ880" s="1"/>
      <c r="GA880" s="1"/>
      <c r="GB880" s="1"/>
      <c r="GC880" s="1"/>
      <c r="GD880" s="1"/>
      <c r="GE880" s="1"/>
      <c r="GF880" s="1"/>
      <c r="GG880" s="1"/>
      <c r="GH880" s="1"/>
      <c r="GI880" s="1"/>
      <c r="GJ880" s="1"/>
      <c r="GK880" s="1"/>
      <c r="GL880" s="1"/>
      <c r="GM880" s="1"/>
      <c r="GN880" s="1"/>
      <c r="GO880" s="1"/>
      <c r="GP880" s="1"/>
      <c r="GQ880" s="1"/>
      <c r="GR880" s="1"/>
      <c r="GS880" s="1"/>
      <c r="GT880" s="1"/>
      <c r="GU880" s="1"/>
      <c r="GV880" s="1"/>
      <c r="GW880" s="1"/>
      <c r="GX880" s="1"/>
      <c r="GY880" s="1"/>
      <c r="GZ880" s="1"/>
      <c r="HA880" s="1"/>
      <c r="HB880" s="1"/>
      <c r="HC880" s="1"/>
      <c r="HD880" s="1"/>
      <c r="HE880" s="1"/>
      <c r="HF880" s="1"/>
      <c r="HG880" s="1"/>
      <c r="HH880" s="1"/>
      <c r="HI880" s="1"/>
      <c r="HJ880" s="1"/>
      <c r="HK880" s="1"/>
      <c r="HL880" s="1"/>
      <c r="HM880" s="1"/>
      <c r="HN880" s="1"/>
      <c r="HO880" s="1"/>
      <c r="HP880" s="1"/>
      <c r="HQ880" s="1"/>
      <c r="HR880" s="1"/>
      <c r="HS880" s="1"/>
      <c r="HT880" s="1"/>
      <c r="HU880" s="1"/>
      <c r="HV880" s="1"/>
      <c r="HW880" s="1"/>
      <c r="HX880" s="1"/>
      <c r="HY880" s="1"/>
      <c r="HZ880" s="1"/>
      <c r="IA880" s="1"/>
      <c r="IB880" s="1"/>
      <c r="IC880" s="1"/>
      <c r="ID880" s="1"/>
      <c r="IE880" s="1"/>
      <c r="IF880" s="1"/>
      <c r="IG880" s="1"/>
      <c r="IH880" s="1"/>
      <c r="II880" s="1"/>
      <c r="IJ880" s="1"/>
      <c r="IK880" s="1"/>
      <c r="IL880" s="1"/>
      <c r="IM880" s="1"/>
      <c r="IN880" s="1"/>
      <c r="IO880" s="1"/>
      <c r="IP880" s="1"/>
      <c r="IQ880" s="1"/>
      <c r="IR880" s="1"/>
      <c r="IS880" s="1"/>
      <c r="IT880" s="1"/>
      <c r="IU880" s="1"/>
      <c r="IV880" s="1"/>
      <c r="IW880" s="1"/>
      <c r="IX880" s="1"/>
      <c r="IY880" s="1"/>
      <c r="IZ880" s="1"/>
      <c r="JA880" s="1"/>
      <c r="JB880" s="1"/>
      <c r="JC880" s="1"/>
      <c r="JD880" s="1"/>
    </row>
    <row r="881" spans="1:264" s="460" customFormat="1" x14ac:dyDescent="0.2">
      <c r="A881" s="568" t="s">
        <v>619</v>
      </c>
      <c r="B881" s="569"/>
      <c r="C881" s="568"/>
      <c r="D881" s="568"/>
      <c r="E881" s="568"/>
      <c r="F881" s="568"/>
      <c r="G881" s="568"/>
      <c r="H881" s="568"/>
      <c r="I881" s="568"/>
      <c r="J881" s="568"/>
      <c r="K881" s="568"/>
      <c r="L881" s="568"/>
      <c r="M881" s="568"/>
      <c r="N881" s="568"/>
      <c r="O881" s="568"/>
      <c r="P881" s="568"/>
      <c r="Q881" s="568"/>
      <c r="R881" s="568"/>
      <c r="S881" s="568"/>
      <c r="T881" s="568"/>
      <c r="U881" s="568"/>
      <c r="V881" s="568"/>
      <c r="W881" s="568"/>
      <c r="X881" s="568"/>
      <c r="Y881" s="568"/>
      <c r="Z881" s="568"/>
      <c r="AA881" s="568"/>
      <c r="AB881" s="568"/>
      <c r="AC881" s="568"/>
      <c r="AD881" s="568"/>
      <c r="AE881" s="568"/>
      <c r="AF881" s="568"/>
      <c r="AG881" s="568"/>
      <c r="AH881" s="568"/>
      <c r="AI881" s="568"/>
      <c r="AJ881" s="568"/>
      <c r="AK881" s="568"/>
      <c r="AL881" s="568"/>
      <c r="AM881" s="568"/>
      <c r="AN881" s="568"/>
      <c r="AO881" s="568"/>
      <c r="AP881" s="568"/>
      <c r="AQ881" s="568"/>
      <c r="AR881" s="568"/>
      <c r="AS881" s="568"/>
      <c r="AT881" s="568"/>
      <c r="AU881" s="568"/>
      <c r="AV881" s="568"/>
      <c r="AW881" s="568"/>
      <c r="AX881" s="568"/>
      <c r="AY881" s="568"/>
      <c r="AZ881" s="568"/>
      <c r="BA881" s="568"/>
      <c r="BB881" s="568"/>
      <c r="BC881" s="568"/>
      <c r="BD881" s="568"/>
      <c r="BE881" s="568"/>
      <c r="BF881" s="568"/>
      <c r="BG881" s="568"/>
      <c r="BH881" s="569"/>
      <c r="BI881" s="569"/>
      <c r="BJ881" s="569"/>
      <c r="BK881" s="569"/>
      <c r="BL881" s="569"/>
      <c r="BM881" s="569"/>
      <c r="BN881" s="569"/>
      <c r="BO881" s="569"/>
      <c r="BP881" s="569"/>
      <c r="BQ881" s="569"/>
      <c r="BR881" s="569"/>
      <c r="BS881" s="568"/>
      <c r="BT881" s="569"/>
      <c r="BU881" s="568"/>
      <c r="BV881" s="568"/>
      <c r="BW881" s="568"/>
      <c r="BX881" s="569"/>
      <c r="BY881" s="568"/>
      <c r="BZ881" s="568"/>
      <c r="CA881" s="568"/>
      <c r="CB881" s="569"/>
      <c r="CC881" s="568"/>
      <c r="CD881" s="568"/>
      <c r="CE881" s="568"/>
      <c r="CF881" s="569"/>
      <c r="CG881" s="568"/>
      <c r="CH881" s="568"/>
      <c r="CI881" s="568"/>
      <c r="CJ881" s="569"/>
      <c r="CK881" s="568"/>
      <c r="CL881" s="568"/>
      <c r="CM881" s="568"/>
      <c r="CN881" s="569"/>
      <c r="CO881" s="568"/>
      <c r="CP881" s="568"/>
      <c r="CQ881" s="568"/>
      <c r="CR881" s="569"/>
      <c r="CS881" s="568"/>
      <c r="CT881" s="568"/>
      <c r="CU881" s="568"/>
      <c r="CV881" s="569"/>
      <c r="CW881" s="568"/>
      <c r="CX881" s="568"/>
      <c r="CY881" s="568"/>
      <c r="CZ881" s="569"/>
      <c r="DA881" s="568"/>
      <c r="DB881" s="568"/>
      <c r="DC881" s="568"/>
      <c r="DD881" s="569"/>
      <c r="DE881" s="568"/>
      <c r="DF881" s="568"/>
      <c r="DG881" s="568"/>
      <c r="DH881" s="569"/>
      <c r="DI881" s="568"/>
      <c r="DJ881" s="568"/>
      <c r="DK881" s="568"/>
      <c r="DL881" s="569"/>
      <c r="DM881" s="568"/>
      <c r="DN881" s="568"/>
      <c r="DO881" s="568"/>
      <c r="DP881" s="569"/>
      <c r="DQ881" s="568"/>
      <c r="DR881" s="568"/>
      <c r="DS881" s="568"/>
      <c r="DT881" s="1"/>
      <c r="DU881" s="1"/>
      <c r="DV881" s="1"/>
      <c r="DW881" s="1"/>
      <c r="DX881" s="1"/>
      <c r="DY881" s="1"/>
      <c r="DZ881" s="1"/>
      <c r="EA881" s="1"/>
      <c r="EB881" s="1"/>
      <c r="EC881" s="1"/>
      <c r="ED881" s="1"/>
      <c r="EE881" s="1"/>
      <c r="EF881" s="1"/>
      <c r="EG881" s="1"/>
      <c r="EH881" s="1"/>
      <c r="EI881" s="1"/>
      <c r="EJ881" s="1"/>
      <c r="EK881" s="1"/>
      <c r="EL881" s="1"/>
      <c r="EM881" s="1"/>
      <c r="EN881" s="1"/>
      <c r="EO881" s="1"/>
      <c r="EP881" s="1"/>
      <c r="EQ881" s="1"/>
      <c r="ER881" s="1"/>
      <c r="ES881" s="1"/>
      <c r="ET881" s="1"/>
      <c r="EU881" s="1"/>
      <c r="EV881" s="1"/>
      <c r="EW881" s="1"/>
      <c r="EX881" s="1"/>
      <c r="EY881" s="1"/>
      <c r="EZ881" s="1"/>
      <c r="FA881" s="1"/>
      <c r="FB881" s="1"/>
      <c r="FC881" s="1"/>
      <c r="FD881" s="1"/>
      <c r="FE881" s="1"/>
      <c r="FF881" s="1"/>
      <c r="FG881" s="1"/>
      <c r="FH881" s="1"/>
      <c r="FI881" s="1"/>
      <c r="FJ881" s="1"/>
      <c r="FK881" s="1"/>
      <c r="FL881" s="1"/>
      <c r="FM881" s="1"/>
      <c r="FN881" s="1"/>
      <c r="FO881" s="1"/>
      <c r="FP881" s="1"/>
      <c r="FQ881" s="1"/>
      <c r="FR881" s="1"/>
      <c r="FS881" s="1"/>
      <c r="FT881" s="1"/>
      <c r="FU881" s="1"/>
      <c r="FV881" s="1"/>
      <c r="FW881" s="1"/>
      <c r="FX881" s="1"/>
      <c r="FY881" s="1"/>
      <c r="FZ881" s="1"/>
      <c r="GA881" s="1"/>
      <c r="GB881" s="1"/>
      <c r="GC881" s="1"/>
      <c r="GD881" s="1"/>
      <c r="GE881" s="1"/>
      <c r="GF881" s="1"/>
      <c r="GG881" s="1"/>
      <c r="GH881" s="1"/>
      <c r="GI881" s="1"/>
      <c r="GJ881" s="1"/>
      <c r="GK881" s="1"/>
      <c r="GL881" s="1"/>
      <c r="GM881" s="1"/>
      <c r="GN881" s="1"/>
      <c r="GO881" s="1"/>
      <c r="GP881" s="1"/>
      <c r="GQ881" s="1"/>
      <c r="GR881" s="1"/>
      <c r="GS881" s="1"/>
      <c r="GT881" s="1"/>
      <c r="GU881" s="1"/>
      <c r="GV881" s="1"/>
      <c r="GW881" s="1"/>
      <c r="GX881" s="1"/>
      <c r="GY881" s="1"/>
      <c r="GZ881" s="1"/>
      <c r="HA881" s="1"/>
      <c r="HB881" s="1"/>
      <c r="HC881" s="1"/>
      <c r="HD881" s="1"/>
      <c r="HE881" s="1"/>
      <c r="HF881" s="1"/>
      <c r="HG881" s="1"/>
      <c r="HH881" s="1"/>
      <c r="HI881" s="1"/>
      <c r="HJ881" s="1"/>
      <c r="HK881" s="1"/>
      <c r="HL881" s="1"/>
      <c r="HM881" s="1"/>
      <c r="HN881" s="1"/>
      <c r="HO881" s="1"/>
      <c r="HP881" s="1"/>
      <c r="HQ881" s="1"/>
      <c r="HR881" s="1"/>
      <c r="HS881" s="1"/>
      <c r="HT881" s="1"/>
      <c r="HU881" s="1"/>
      <c r="HV881" s="1"/>
      <c r="HW881" s="1"/>
      <c r="HX881" s="1"/>
      <c r="HY881" s="1"/>
      <c r="HZ881" s="1"/>
      <c r="IA881" s="1"/>
      <c r="IB881" s="1"/>
      <c r="IC881" s="1"/>
      <c r="ID881" s="1"/>
      <c r="IE881" s="1"/>
      <c r="IF881" s="1"/>
      <c r="IG881" s="1"/>
      <c r="IH881" s="1"/>
      <c r="II881" s="1"/>
      <c r="IJ881" s="1"/>
      <c r="IK881" s="1"/>
      <c r="IL881" s="1"/>
      <c r="IM881" s="1"/>
      <c r="IN881" s="1"/>
      <c r="IO881" s="1"/>
      <c r="IP881" s="1"/>
      <c r="IQ881" s="1"/>
      <c r="IR881" s="1"/>
      <c r="IS881" s="1"/>
      <c r="IT881" s="1"/>
      <c r="IU881" s="1"/>
      <c r="IV881" s="1"/>
      <c r="IW881" s="1"/>
      <c r="IX881" s="1"/>
      <c r="IY881" s="1"/>
      <c r="IZ881" s="1"/>
      <c r="JA881" s="1"/>
      <c r="JB881" s="1"/>
      <c r="JC881" s="1"/>
      <c r="JD881" s="1"/>
    </row>
    <row r="882" spans="1:264" s="347" customFormat="1" x14ac:dyDescent="0.2">
      <c r="B882" s="348"/>
      <c r="BH882" s="348"/>
      <c r="BI882" s="348"/>
      <c r="BJ882" s="348"/>
      <c r="BK882" s="348"/>
      <c r="BL882" s="348"/>
      <c r="BM882" s="348"/>
      <c r="BN882" s="348"/>
      <c r="BO882" s="348"/>
      <c r="BP882" s="348"/>
      <c r="BQ882" s="348"/>
      <c r="BR882" s="348"/>
      <c r="BT882" s="348"/>
      <c r="BX882" s="348"/>
      <c r="CB882" s="348"/>
      <c r="CF882" s="348"/>
      <c r="CJ882" s="348"/>
      <c r="CN882" s="348"/>
      <c r="CR882" s="348"/>
      <c r="CV882" s="348"/>
      <c r="CZ882" s="348"/>
      <c r="DD882" s="348"/>
      <c r="DH882" s="348"/>
      <c r="DL882" s="348"/>
      <c r="DP882" s="348"/>
      <c r="DT882" s="1"/>
      <c r="DU882" s="1"/>
      <c r="DV882" s="1"/>
      <c r="DW882" s="1"/>
      <c r="DX882" s="1"/>
      <c r="DY882" s="1"/>
      <c r="DZ882" s="1"/>
      <c r="EA882" s="1"/>
      <c r="EB882" s="1"/>
      <c r="EC882" s="1"/>
      <c r="ED882" s="1"/>
      <c r="EE882" s="1"/>
      <c r="EF882" s="1"/>
      <c r="EG882" s="1"/>
      <c r="EH882" s="1"/>
      <c r="EI882" s="1"/>
      <c r="EJ882" s="1"/>
      <c r="EK882" s="1"/>
      <c r="EL882" s="1"/>
      <c r="EM882" s="1"/>
      <c r="EN882" s="1"/>
      <c r="EO882" s="1"/>
      <c r="EP882" s="1"/>
      <c r="EQ882" s="1"/>
      <c r="ER882" s="1"/>
      <c r="ES882" s="1"/>
      <c r="ET882" s="1"/>
      <c r="EU882" s="1"/>
      <c r="EV882" s="1"/>
      <c r="EW882" s="1"/>
      <c r="EX882" s="1"/>
      <c r="EY882" s="1"/>
      <c r="EZ882" s="1"/>
      <c r="FA882" s="1"/>
      <c r="FB882" s="1"/>
      <c r="FC882" s="1"/>
      <c r="FD882" s="1"/>
      <c r="FE882" s="1"/>
      <c r="FF882" s="1"/>
      <c r="FG882" s="1"/>
      <c r="FH882" s="1"/>
      <c r="FI882" s="1"/>
      <c r="FJ882" s="1"/>
      <c r="FK882" s="1"/>
      <c r="FL882" s="1"/>
      <c r="FM882" s="1"/>
      <c r="FN882" s="1"/>
      <c r="FO882" s="1"/>
      <c r="FP882" s="1"/>
      <c r="FQ882" s="1"/>
      <c r="FR882" s="1"/>
      <c r="FS882" s="1"/>
      <c r="FT882" s="1"/>
      <c r="FU882" s="1"/>
      <c r="FV882" s="1"/>
      <c r="FW882" s="1"/>
      <c r="FX882" s="1"/>
      <c r="FY882" s="1"/>
      <c r="FZ882" s="1"/>
      <c r="GA882" s="1"/>
      <c r="GB882" s="1"/>
      <c r="GC882" s="1"/>
      <c r="GD882" s="1"/>
      <c r="GE882" s="1"/>
      <c r="GF882" s="1"/>
      <c r="GG882" s="1"/>
      <c r="GH882" s="1"/>
      <c r="GI882" s="1"/>
      <c r="GJ882" s="1"/>
      <c r="GK882" s="1"/>
      <c r="GL882" s="1"/>
      <c r="GM882" s="1"/>
      <c r="GN882" s="1"/>
      <c r="GO882" s="1"/>
      <c r="GP882" s="1"/>
      <c r="GQ882" s="1"/>
      <c r="GR882" s="1"/>
      <c r="GS882" s="1"/>
      <c r="GT882" s="1"/>
      <c r="GU882" s="1"/>
      <c r="GV882" s="1"/>
      <c r="GW882" s="1"/>
      <c r="GX882" s="1"/>
      <c r="GY882" s="1"/>
      <c r="GZ882" s="1"/>
      <c r="HA882" s="1"/>
      <c r="HB882" s="1"/>
      <c r="HC882" s="1"/>
      <c r="HD882" s="1"/>
      <c r="HE882" s="1"/>
      <c r="HF882" s="1"/>
      <c r="HG882" s="1"/>
      <c r="HH882" s="1"/>
      <c r="HI882" s="1"/>
      <c r="HJ882" s="1"/>
      <c r="HK882" s="1"/>
      <c r="HL882" s="1"/>
      <c r="HM882" s="1"/>
      <c r="HN882" s="1"/>
      <c r="HO882" s="1"/>
      <c r="HP882" s="1"/>
      <c r="HQ882" s="1"/>
      <c r="HR882" s="1"/>
      <c r="HS882" s="1"/>
      <c r="HT882" s="1"/>
      <c r="HU882" s="1"/>
      <c r="HV882" s="1"/>
      <c r="HW882" s="1"/>
      <c r="HX882" s="1"/>
      <c r="HY882" s="1"/>
      <c r="HZ882" s="1"/>
      <c r="IA882" s="1"/>
      <c r="IB882" s="1"/>
      <c r="IC882" s="1"/>
      <c r="ID882" s="1"/>
      <c r="IE882" s="1"/>
      <c r="IF882" s="1"/>
      <c r="IG882" s="1"/>
      <c r="IH882" s="1"/>
      <c r="II882" s="1"/>
      <c r="IJ882" s="1"/>
      <c r="IK882" s="1"/>
      <c r="IL882" s="1"/>
      <c r="IM882" s="1"/>
      <c r="IN882" s="1"/>
      <c r="IO882" s="1"/>
      <c r="IP882" s="1"/>
      <c r="IQ882" s="1"/>
      <c r="IR882" s="1"/>
      <c r="IS882" s="1"/>
      <c r="IT882" s="1"/>
      <c r="IU882" s="1"/>
      <c r="IV882" s="1"/>
      <c r="IW882" s="1"/>
      <c r="IX882" s="1"/>
      <c r="IY882" s="1"/>
      <c r="IZ882" s="1"/>
      <c r="JA882" s="1"/>
      <c r="JB882" s="1"/>
      <c r="JC882" s="1"/>
      <c r="JD882" s="1"/>
    </row>
    <row r="883" spans="1:264" s="347" customFormat="1" x14ac:dyDescent="0.2">
      <c r="A883" s="347" t="s">
        <v>48</v>
      </c>
      <c r="B883" s="348"/>
      <c r="BH883" s="351">
        <f>BH34</f>
        <v>-1448</v>
      </c>
      <c r="BI883" s="351">
        <f>BI34</f>
        <v>-1505</v>
      </c>
      <c r="BJ883" s="351">
        <f>BJ34</f>
        <v>-2953</v>
      </c>
      <c r="BK883" s="348"/>
      <c r="BL883" s="351">
        <f>BL34</f>
        <v>-1662</v>
      </c>
      <c r="BM883" s="351">
        <f>BM34</f>
        <v>-1588</v>
      </c>
      <c r="BN883" s="351">
        <f>BN34</f>
        <v>-3250</v>
      </c>
      <c r="BO883" s="348"/>
      <c r="BP883" s="351">
        <f>BP34</f>
        <v>-1740</v>
      </c>
      <c r="BQ883" s="351">
        <f>BQ34</f>
        <v>-1699</v>
      </c>
      <c r="BR883" s="351">
        <f>BR34</f>
        <v>-3439</v>
      </c>
      <c r="BT883" s="351">
        <f>BT34</f>
        <v>-1827</v>
      </c>
      <c r="BU883" s="351">
        <f>BU34</f>
        <v>-1765</v>
      </c>
      <c r="BV883" s="351">
        <f>BV34</f>
        <v>-3592</v>
      </c>
      <c r="BX883" s="351">
        <f>BX34</f>
        <v>-1925</v>
      </c>
      <c r="BY883" s="351">
        <f>BY34</f>
        <v>-1922</v>
      </c>
      <c r="BZ883" s="351">
        <f>BZ34</f>
        <v>-3847</v>
      </c>
      <c r="CB883" s="351">
        <f>CB34</f>
        <v>-1993</v>
      </c>
      <c r="CC883" s="351">
        <f>CC34</f>
        <v>-1927</v>
      </c>
      <c r="CD883" s="351">
        <f>CD34</f>
        <v>-3920</v>
      </c>
      <c r="CF883" s="351">
        <f>CF34</f>
        <v>-1791</v>
      </c>
      <c r="CG883" s="351">
        <f>CG34</f>
        <v>-1530</v>
      </c>
      <c r="CH883" s="351">
        <f>CH34</f>
        <v>-3321</v>
      </c>
      <c r="CJ883" s="351">
        <f>CJ34</f>
        <v>-1797</v>
      </c>
      <c r="CK883" s="351">
        <f>CK34</f>
        <v>-1225</v>
      </c>
      <c r="CL883" s="351">
        <f>CL34</f>
        <v>-3022</v>
      </c>
      <c r="CN883" s="351">
        <f>CN34</f>
        <v>-1620</v>
      </c>
      <c r="CO883" s="351">
        <f>CO34</f>
        <v>-1970</v>
      </c>
      <c r="CP883" s="351">
        <f>CP34</f>
        <v>-3590</v>
      </c>
      <c r="CR883" s="351">
        <f>CR34</f>
        <v>-1946</v>
      </c>
      <c r="CS883" s="351">
        <f>CS34</f>
        <v>-2077</v>
      </c>
      <c r="CT883" s="351">
        <f>CT34</f>
        <v>-4023</v>
      </c>
      <c r="CV883" s="351">
        <f>CV34</f>
        <v>-2159</v>
      </c>
      <c r="CW883" s="351">
        <f>CW34</f>
        <v>-1938</v>
      </c>
      <c r="CX883" s="351">
        <f>CX34</f>
        <v>-4097</v>
      </c>
      <c r="CZ883" s="351">
        <f>CZ34</f>
        <v>-2204</v>
      </c>
      <c r="DA883" s="351">
        <f>DA34</f>
        <v>-2114</v>
      </c>
      <c r="DB883" s="351">
        <f>DB34</f>
        <v>-4318</v>
      </c>
      <c r="DD883" s="351">
        <f>DD34</f>
        <v>-2273</v>
      </c>
      <c r="DE883" s="351">
        <f>DE34</f>
        <v>-2218</v>
      </c>
      <c r="DF883" s="351">
        <f>DF34</f>
        <v>-4491</v>
      </c>
      <c r="DH883" s="351">
        <f>DH34</f>
        <v>-2367</v>
      </c>
      <c r="DI883" s="351">
        <f>-DI888*DI887</f>
        <v>-2376.2760413811857</v>
      </c>
      <c r="DJ883" s="351">
        <f>+DH883+DI883</f>
        <v>-4743.2760413811857</v>
      </c>
      <c r="DL883" s="351">
        <f>-DL888*DL887</f>
        <v>-2539.6080868548497</v>
      </c>
      <c r="DM883" s="351">
        <f>-DM888*DM887</f>
        <v>-2518.0954212423317</v>
      </c>
      <c r="DN883" s="351">
        <f>+DL883+DM883</f>
        <v>-5057.7035080971818</v>
      </c>
      <c r="DP883" s="351">
        <f>-DP888*DP887</f>
        <v>-2630.5733862581478</v>
      </c>
      <c r="DQ883" s="351">
        <f>-DQ888*DQ887</f>
        <v>-2623.1580980741055</v>
      </c>
      <c r="DR883" s="351">
        <f>+DP883+DQ883</f>
        <v>-5253.7314843322529</v>
      </c>
      <c r="DT883" s="1"/>
      <c r="DU883" s="1"/>
      <c r="DV883" s="1"/>
      <c r="DW883" s="1"/>
      <c r="DX883" s="1"/>
      <c r="DY883" s="1"/>
      <c r="DZ883" s="1"/>
      <c r="EA883" s="1"/>
      <c r="EB883" s="1"/>
      <c r="EC883" s="1"/>
      <c r="ED883" s="1"/>
      <c r="EE883" s="1"/>
      <c r="EF883" s="1"/>
      <c r="EG883" s="1"/>
      <c r="EH883" s="1"/>
      <c r="EI883" s="1"/>
      <c r="EJ883" s="1"/>
      <c r="EK883" s="1"/>
      <c r="EL883" s="1"/>
      <c r="EM883" s="1"/>
      <c r="EN883" s="1"/>
      <c r="EO883" s="1"/>
      <c r="EP883" s="1"/>
      <c r="EQ883" s="1"/>
      <c r="ER883" s="1"/>
      <c r="ES883" s="1"/>
      <c r="ET883" s="1"/>
      <c r="EU883" s="1"/>
      <c r="EV883" s="1"/>
      <c r="EW883" s="1"/>
      <c r="EX883" s="1"/>
      <c r="EY883" s="1"/>
      <c r="EZ883" s="1"/>
      <c r="FA883" s="1"/>
      <c r="FB883" s="1"/>
      <c r="FC883" s="1"/>
      <c r="FD883" s="1"/>
      <c r="FE883" s="1"/>
      <c r="FF883" s="1"/>
      <c r="FG883" s="1"/>
      <c r="FH883" s="1"/>
      <c r="FI883" s="1"/>
      <c r="FJ883" s="1"/>
      <c r="FK883" s="1"/>
      <c r="FL883" s="1"/>
      <c r="FM883" s="1"/>
      <c r="FN883" s="1"/>
      <c r="FO883" s="1"/>
      <c r="FP883" s="1"/>
      <c r="FQ883" s="1"/>
      <c r="FR883" s="1"/>
      <c r="FS883" s="1"/>
      <c r="FT883" s="1"/>
      <c r="FU883" s="1"/>
      <c r="FV883" s="1"/>
      <c r="FW883" s="1"/>
      <c r="FX883" s="1"/>
      <c r="FY883" s="1"/>
      <c r="FZ883" s="1"/>
      <c r="GA883" s="1"/>
      <c r="GB883" s="1"/>
      <c r="GC883" s="1"/>
      <c r="GD883" s="1"/>
      <c r="GE883" s="1"/>
      <c r="GF883" s="1"/>
      <c r="GG883" s="1"/>
      <c r="GH883" s="1"/>
      <c r="GI883" s="1"/>
      <c r="GJ883" s="1"/>
      <c r="GK883" s="1"/>
      <c r="GL883" s="1"/>
      <c r="GM883" s="1"/>
      <c r="GN883" s="1"/>
      <c r="GO883" s="1"/>
      <c r="GP883" s="1"/>
      <c r="GQ883" s="1"/>
      <c r="GR883" s="1"/>
      <c r="GS883" s="1"/>
      <c r="GT883" s="1"/>
      <c r="GU883" s="1"/>
      <c r="GV883" s="1"/>
      <c r="GW883" s="1"/>
      <c r="GX883" s="1"/>
      <c r="GY883" s="1"/>
      <c r="GZ883" s="1"/>
      <c r="HA883" s="1"/>
      <c r="HB883" s="1"/>
      <c r="HC883" s="1"/>
      <c r="HD883" s="1"/>
      <c r="HE883" s="1"/>
      <c r="HF883" s="1"/>
      <c r="HG883" s="1"/>
      <c r="HH883" s="1"/>
      <c r="HI883" s="1"/>
      <c r="HJ883" s="1"/>
      <c r="HK883" s="1"/>
      <c r="HL883" s="1"/>
      <c r="HM883" s="1"/>
      <c r="HN883" s="1"/>
      <c r="HO883" s="1"/>
      <c r="HP883" s="1"/>
      <c r="HQ883" s="1"/>
      <c r="HR883" s="1"/>
      <c r="HS883" s="1"/>
      <c r="HT883" s="1"/>
      <c r="HU883" s="1"/>
      <c r="HV883" s="1"/>
      <c r="HW883" s="1"/>
      <c r="HX883" s="1"/>
      <c r="HY883" s="1"/>
      <c r="HZ883" s="1"/>
      <c r="IA883" s="1"/>
      <c r="IB883" s="1"/>
      <c r="IC883" s="1"/>
      <c r="ID883" s="1"/>
      <c r="IE883" s="1"/>
      <c r="IF883" s="1"/>
      <c r="IG883" s="1"/>
      <c r="IH883" s="1"/>
      <c r="II883" s="1"/>
      <c r="IJ883" s="1"/>
      <c r="IK883" s="1"/>
      <c r="IL883" s="1"/>
      <c r="IM883" s="1"/>
      <c r="IN883" s="1"/>
      <c r="IO883" s="1"/>
      <c r="IP883" s="1"/>
      <c r="IQ883" s="1"/>
      <c r="IR883" s="1"/>
      <c r="IS883" s="1"/>
      <c r="IT883" s="1"/>
      <c r="IU883" s="1"/>
      <c r="IV883" s="1"/>
      <c r="IW883" s="1"/>
      <c r="IX883" s="1"/>
      <c r="IY883" s="1"/>
      <c r="IZ883" s="1"/>
      <c r="JA883" s="1"/>
      <c r="JB883" s="1"/>
      <c r="JC883" s="1"/>
      <c r="JD883" s="1"/>
    </row>
    <row r="884" spans="1:264" s="347" customFormat="1" x14ac:dyDescent="0.2">
      <c r="A884" s="347" t="s">
        <v>620</v>
      </c>
      <c r="B884" s="348"/>
      <c r="BH884" s="351">
        <f>BH33</f>
        <v>5206</v>
      </c>
      <c r="BI884" s="351">
        <f>BI33</f>
        <v>5523</v>
      </c>
      <c r="BJ884" s="351">
        <f>BJ33</f>
        <v>10729</v>
      </c>
      <c r="BK884" s="348"/>
      <c r="BL884" s="351">
        <f>BL33</f>
        <v>5940</v>
      </c>
      <c r="BM884" s="351">
        <f>BM33</f>
        <v>6009</v>
      </c>
      <c r="BN884" s="351">
        <f>BN33</f>
        <v>11949</v>
      </c>
      <c r="BO884" s="348"/>
      <c r="BP884" s="351">
        <f>BP33</f>
        <v>6369</v>
      </c>
      <c r="BQ884" s="351">
        <f>BQ33</f>
        <v>6228</v>
      </c>
      <c r="BR884" s="351">
        <f>BR33</f>
        <v>12597</v>
      </c>
      <c r="BT884" s="351">
        <f>BT33</f>
        <v>6646</v>
      </c>
      <c r="BU884" s="351">
        <f>BU33</f>
        <v>6411</v>
      </c>
      <c r="BV884" s="351">
        <f>BV33</f>
        <v>13057</v>
      </c>
      <c r="BX884" s="351">
        <f>BX33</f>
        <v>6762</v>
      </c>
      <c r="BY884" s="351">
        <f>BY33</f>
        <v>6801</v>
      </c>
      <c r="BZ884" s="351">
        <f>BZ33</f>
        <v>13563</v>
      </c>
      <c r="CB884" s="351">
        <f>CB33</f>
        <v>6597</v>
      </c>
      <c r="CC884" s="351">
        <f>CC33</f>
        <v>6251</v>
      </c>
      <c r="CD884" s="351">
        <f>CD33</f>
        <v>12848</v>
      </c>
      <c r="CF884" s="351">
        <f>CF33</f>
        <v>6347</v>
      </c>
      <c r="CG884" s="351">
        <f>CG33</f>
        <v>5207</v>
      </c>
      <c r="CH884" s="351">
        <f>CH33</f>
        <v>11554</v>
      </c>
      <c r="CJ884" s="351">
        <f>CJ33</f>
        <v>6117</v>
      </c>
      <c r="CK884" s="351">
        <f>CK33</f>
        <v>4130</v>
      </c>
      <c r="CL884" s="351">
        <f>CL33</f>
        <v>10247</v>
      </c>
      <c r="CN884" s="351">
        <f>CN33</f>
        <v>5488</v>
      </c>
      <c r="CO884" s="351">
        <f>CO33</f>
        <v>6755</v>
      </c>
      <c r="CP884" s="351">
        <f>CP33</f>
        <v>12243</v>
      </c>
      <c r="CR884" s="351">
        <f>CR33</f>
        <v>6692</v>
      </c>
      <c r="CS884" s="351">
        <f>CS33</f>
        <v>6926</v>
      </c>
      <c r="CT884" s="351">
        <f>CT33</f>
        <v>13618</v>
      </c>
      <c r="CV884" s="351">
        <f>CV33</f>
        <v>7339</v>
      </c>
      <c r="CW884" s="351">
        <f>CW33</f>
        <v>6830</v>
      </c>
      <c r="CX884" s="351">
        <f>CX33</f>
        <v>14169</v>
      </c>
      <c r="CZ884" s="351">
        <f>CZ33</f>
        <v>7223</v>
      </c>
      <c r="DA884" s="351">
        <f>DA33</f>
        <v>6931</v>
      </c>
      <c r="DB884" s="351">
        <f>DB33</f>
        <v>14154</v>
      </c>
      <c r="DD884" s="351">
        <f>DD33</f>
        <v>7405</v>
      </c>
      <c r="DE884" s="351">
        <f>DE33</f>
        <v>7338</v>
      </c>
      <c r="DF884" s="351">
        <f>DF33</f>
        <v>14743</v>
      </c>
      <c r="DH884" s="351">
        <f>DH33</f>
        <v>7812</v>
      </c>
      <c r="DI884" s="351">
        <f>DI33</f>
        <v>8000.9294322598853</v>
      </c>
      <c r="DJ884" s="351">
        <f>DJ33</f>
        <v>15812.929432259885</v>
      </c>
      <c r="DL884" s="351">
        <f>DL33</f>
        <v>8465.3602895161657</v>
      </c>
      <c r="DM884" s="351">
        <f>DM33</f>
        <v>8393.6514041411065</v>
      </c>
      <c r="DN884" s="351">
        <f>DN33</f>
        <v>16859.011693657274</v>
      </c>
      <c r="DP884" s="351">
        <f>DP33</f>
        <v>8768.5779541938264</v>
      </c>
      <c r="DQ884" s="351">
        <f>DQ33</f>
        <v>8743.8603269136856</v>
      </c>
      <c r="DR884" s="351">
        <f>DR33</f>
        <v>17512.438281107512</v>
      </c>
      <c r="DT884" s="1"/>
      <c r="DU884" s="1"/>
      <c r="DV884" s="1"/>
      <c r="DW884" s="1"/>
      <c r="DX884" s="1"/>
      <c r="DY884" s="1"/>
      <c r="DZ884" s="1"/>
      <c r="EA884" s="1"/>
      <c r="EB884" s="1"/>
      <c r="EC884" s="1"/>
      <c r="ED884" s="1"/>
      <c r="EE884" s="1"/>
      <c r="EF884" s="1"/>
      <c r="EG884" s="1"/>
      <c r="EH884" s="1"/>
      <c r="EI884" s="1"/>
      <c r="EJ884" s="1"/>
      <c r="EK884" s="1"/>
      <c r="EL884" s="1"/>
      <c r="EM884" s="1"/>
      <c r="EN884" s="1"/>
      <c r="EO884" s="1"/>
      <c r="EP884" s="1"/>
      <c r="EQ884" s="1"/>
      <c r="ER884" s="1"/>
      <c r="ES884" s="1"/>
      <c r="ET884" s="1"/>
      <c r="EU884" s="1"/>
      <c r="EV884" s="1"/>
      <c r="EW884" s="1"/>
      <c r="EX884" s="1"/>
      <c r="EY884" s="1"/>
      <c r="EZ884" s="1"/>
      <c r="FA884" s="1"/>
      <c r="FB884" s="1"/>
      <c r="FC884" s="1"/>
      <c r="FD884" s="1"/>
      <c r="FE884" s="1"/>
      <c r="FF884" s="1"/>
      <c r="FG884" s="1"/>
      <c r="FH884" s="1"/>
      <c r="FI884" s="1"/>
      <c r="FJ884" s="1"/>
      <c r="FK884" s="1"/>
      <c r="FL884" s="1"/>
      <c r="FM884" s="1"/>
      <c r="FN884" s="1"/>
      <c r="FO884" s="1"/>
      <c r="FP884" s="1"/>
      <c r="FQ884" s="1"/>
      <c r="FR884" s="1"/>
      <c r="FS884" s="1"/>
      <c r="FT884" s="1"/>
      <c r="FU884" s="1"/>
      <c r="FV884" s="1"/>
      <c r="FW884" s="1"/>
      <c r="FX884" s="1"/>
      <c r="FY884" s="1"/>
      <c r="FZ884" s="1"/>
      <c r="GA884" s="1"/>
      <c r="GB884" s="1"/>
      <c r="GC884" s="1"/>
      <c r="GD884" s="1"/>
      <c r="GE884" s="1"/>
      <c r="GF884" s="1"/>
      <c r="GG884" s="1"/>
      <c r="GH884" s="1"/>
      <c r="GI884" s="1"/>
      <c r="GJ884" s="1"/>
      <c r="GK884" s="1"/>
      <c r="GL884" s="1"/>
      <c r="GM884" s="1"/>
      <c r="GN884" s="1"/>
      <c r="GO884" s="1"/>
      <c r="GP884" s="1"/>
      <c r="GQ884" s="1"/>
      <c r="GR884" s="1"/>
      <c r="GS884" s="1"/>
      <c r="GT884" s="1"/>
      <c r="GU884" s="1"/>
      <c r="GV884" s="1"/>
      <c r="GW884" s="1"/>
      <c r="GX884" s="1"/>
      <c r="GY884" s="1"/>
      <c r="GZ884" s="1"/>
      <c r="HA884" s="1"/>
      <c r="HB884" s="1"/>
      <c r="HC884" s="1"/>
      <c r="HD884" s="1"/>
      <c r="HE884" s="1"/>
      <c r="HF884" s="1"/>
      <c r="HG884" s="1"/>
      <c r="HH884" s="1"/>
      <c r="HI884" s="1"/>
      <c r="HJ884" s="1"/>
      <c r="HK884" s="1"/>
      <c r="HL884" s="1"/>
      <c r="HM884" s="1"/>
      <c r="HN884" s="1"/>
      <c r="HO884" s="1"/>
      <c r="HP884" s="1"/>
      <c r="HQ884" s="1"/>
      <c r="HR884" s="1"/>
      <c r="HS884" s="1"/>
      <c r="HT884" s="1"/>
      <c r="HU884" s="1"/>
      <c r="HV884" s="1"/>
      <c r="HW884" s="1"/>
      <c r="HX884" s="1"/>
      <c r="HY884" s="1"/>
      <c r="HZ884" s="1"/>
      <c r="IA884" s="1"/>
      <c r="IB884" s="1"/>
      <c r="IC884" s="1"/>
      <c r="ID884" s="1"/>
      <c r="IE884" s="1"/>
      <c r="IF884" s="1"/>
      <c r="IG884" s="1"/>
      <c r="IH884" s="1"/>
      <c r="II884" s="1"/>
      <c r="IJ884" s="1"/>
      <c r="IK884" s="1"/>
      <c r="IL884" s="1"/>
      <c r="IM884" s="1"/>
      <c r="IN884" s="1"/>
      <c r="IO884" s="1"/>
      <c r="IP884" s="1"/>
      <c r="IQ884" s="1"/>
      <c r="IR884" s="1"/>
      <c r="IS884" s="1"/>
      <c r="IT884" s="1"/>
      <c r="IU884" s="1"/>
      <c r="IV884" s="1"/>
      <c r="IW884" s="1"/>
      <c r="IX884" s="1"/>
      <c r="IY884" s="1"/>
      <c r="IZ884" s="1"/>
      <c r="JA884" s="1"/>
      <c r="JB884" s="1"/>
      <c r="JC884" s="1"/>
      <c r="JD884" s="1"/>
    </row>
    <row r="885" spans="1:264" s="411" customFormat="1" x14ac:dyDescent="0.2">
      <c r="A885" s="411" t="s">
        <v>621</v>
      </c>
      <c r="B885" s="423"/>
      <c r="BH885" s="698">
        <f>-BH883/BH884</f>
        <v>0.27814060699193238</v>
      </c>
      <c r="BI885" s="698">
        <f>-BI883/BI884</f>
        <v>0.27249683143219267</v>
      </c>
      <c r="BJ885" s="698">
        <f>-BJ883/BJ884</f>
        <v>0.27523534346164602</v>
      </c>
      <c r="BK885" s="423"/>
      <c r="BL885" s="698">
        <f>-BL883/BL884</f>
        <v>0.27979797979797982</v>
      </c>
      <c r="BM885" s="698">
        <f>-BM883/BM884</f>
        <v>0.26427026127475456</v>
      </c>
      <c r="BN885" s="698">
        <f>-BN883/BN884</f>
        <v>0.27198928780651099</v>
      </c>
      <c r="BO885" s="423"/>
      <c r="BP885" s="698">
        <f>-BP883/BP884</f>
        <v>0.27319830428638719</v>
      </c>
      <c r="BQ885" s="698">
        <f>-BQ883/BQ884</f>
        <v>0.27280025690430315</v>
      </c>
      <c r="BR885" s="698">
        <f>-BR883/BR884</f>
        <v>0.27300150829562592</v>
      </c>
      <c r="BT885" s="698">
        <f>-BT883/BT884</f>
        <v>0.27490219681011135</v>
      </c>
      <c r="BU885" s="698">
        <f>-BU883/BU884</f>
        <v>0.27530806426454529</v>
      </c>
      <c r="BV885" s="698">
        <f>-BV883/BV884</f>
        <v>0.27510147813433405</v>
      </c>
      <c r="BX885" s="698">
        <f>-BX883/BX884</f>
        <v>0.28467908902691513</v>
      </c>
      <c r="BY885" s="698">
        <f>-BY883/BY884</f>
        <v>0.28260549919129541</v>
      </c>
      <c r="BZ885" s="698">
        <f>-BZ883/BZ884</f>
        <v>0.28363931283639315</v>
      </c>
      <c r="CB885" s="698">
        <f>-CB883/CB884</f>
        <v>0.30210701834167047</v>
      </c>
      <c r="CC885" s="698">
        <f>-CC883/CC884</f>
        <v>0.30827067669172931</v>
      </c>
      <c r="CD885" s="698">
        <f>-CD883/CD884</f>
        <v>0.30510585305105853</v>
      </c>
      <c r="CF885" s="698">
        <f>-CF883/CF884</f>
        <v>0.28218055774381595</v>
      </c>
      <c r="CG885" s="698">
        <f>-CG883/CG884</f>
        <v>0.29383522181678512</v>
      </c>
      <c r="CH885" s="698">
        <f>-CH883/CH884</f>
        <v>0.28743292366280077</v>
      </c>
      <c r="CJ885" s="698">
        <f>-CJ883/CJ884</f>
        <v>0.29377145659637077</v>
      </c>
      <c r="CK885" s="698">
        <f>-CK883/CK884</f>
        <v>0.29661016949152541</v>
      </c>
      <c r="CL885" s="698">
        <f>-CL883/CL884</f>
        <v>0.29491558504928272</v>
      </c>
      <c r="CN885" s="698">
        <f>-CN883/CN884</f>
        <v>0.29518950437317787</v>
      </c>
      <c r="CO885" s="698">
        <f>-CO883/CO884</f>
        <v>0.29163582531458176</v>
      </c>
      <c r="CP885" s="698">
        <f>-CP883/CP884</f>
        <v>0.29322878379482153</v>
      </c>
      <c r="CR885" s="698">
        <f>-CR883/CR884</f>
        <v>0.29079497907949792</v>
      </c>
      <c r="CS885" s="698">
        <f>-CS883/CS884</f>
        <v>0.29988449321397631</v>
      </c>
      <c r="CT885" s="698">
        <f>-CT883/CT884</f>
        <v>0.29541782934351596</v>
      </c>
      <c r="CV885" s="698">
        <f>-CV883/CV884</f>
        <v>0.29418176863332879</v>
      </c>
      <c r="CW885" s="698">
        <f>-CW883/CW884</f>
        <v>0.28374816983894585</v>
      </c>
      <c r="CX885" s="698">
        <f>-CX883/CX884</f>
        <v>0.28915237490295714</v>
      </c>
      <c r="CZ885" s="698">
        <f>-CZ883/CZ884</f>
        <v>0.30513636992939219</v>
      </c>
      <c r="DA885" s="698">
        <f>-DA883/DA884</f>
        <v>0.30500649256961476</v>
      </c>
      <c r="DB885" s="698">
        <f>-DB883/DB884</f>
        <v>0.30507277094814189</v>
      </c>
      <c r="DD885" s="698">
        <f>-DD883/DD884</f>
        <v>0.30695476029709656</v>
      </c>
      <c r="DE885" s="698">
        <f>-DE883/DE884</f>
        <v>0.30226219678386479</v>
      </c>
      <c r="DF885" s="698">
        <f>-DF883/DF884</f>
        <v>0.30461914128739065</v>
      </c>
      <c r="DH885" s="698">
        <f>-DH883/DH884</f>
        <v>0.30299539170506912</v>
      </c>
      <c r="DI885" s="698">
        <f>-DI883/DI884</f>
        <v>0.29699999999999999</v>
      </c>
      <c r="DJ885" s="698">
        <f>-DJ883/DJ884</f>
        <v>0.29996188003624741</v>
      </c>
      <c r="DL885" s="698">
        <f>-DL883/DL884</f>
        <v>0.3</v>
      </c>
      <c r="DM885" s="698">
        <f>-DM883/DM884</f>
        <v>0.3</v>
      </c>
      <c r="DN885" s="698">
        <f>-DN883/DN884</f>
        <v>0.3</v>
      </c>
      <c r="DP885" s="698">
        <f>-DP883/DP884</f>
        <v>0.3</v>
      </c>
      <c r="DQ885" s="698">
        <f>-DQ883/DQ884</f>
        <v>0.3</v>
      </c>
      <c r="DR885" s="698">
        <f>-DR883/DR884</f>
        <v>0.29999999999999993</v>
      </c>
      <c r="DT885" s="1"/>
      <c r="DU885" s="1"/>
      <c r="DV885" s="1"/>
      <c r="DW885" s="1"/>
      <c r="DX885" s="1"/>
      <c r="DY885" s="1"/>
      <c r="DZ885" s="1"/>
      <c r="EA885" s="1"/>
      <c r="EB885" s="1"/>
      <c r="EC885" s="1"/>
      <c r="ED885" s="1"/>
      <c r="EE885" s="1"/>
      <c r="EF885" s="1"/>
      <c r="EG885" s="1"/>
      <c r="EH885" s="1"/>
      <c r="EI885" s="1"/>
      <c r="EJ885" s="1"/>
      <c r="EK885" s="1"/>
      <c r="EL885" s="1"/>
      <c r="EM885" s="1"/>
      <c r="EN885" s="1"/>
      <c r="EO885" s="1"/>
      <c r="EP885" s="1"/>
      <c r="EQ885" s="1"/>
      <c r="ER885" s="1"/>
      <c r="ES885" s="1"/>
      <c r="ET885" s="1"/>
      <c r="EU885" s="1"/>
      <c r="EV885" s="1"/>
      <c r="EW885" s="1"/>
      <c r="EX885" s="1"/>
      <c r="EY885" s="1"/>
      <c r="EZ885" s="1"/>
      <c r="FA885" s="1"/>
      <c r="FB885" s="1"/>
      <c r="FC885" s="1"/>
      <c r="FD885" s="1"/>
      <c r="FE885" s="1"/>
      <c r="FF885" s="1"/>
      <c r="FG885" s="1"/>
      <c r="FH885" s="1"/>
      <c r="FI885" s="1"/>
      <c r="FJ885" s="1"/>
      <c r="FK885" s="1"/>
      <c r="FL885" s="1"/>
      <c r="FM885" s="1"/>
      <c r="FN885" s="1"/>
      <c r="FO885" s="1"/>
      <c r="FP885" s="1"/>
      <c r="FQ885" s="1"/>
      <c r="FR885" s="1"/>
      <c r="FS885" s="1"/>
      <c r="FT885" s="1"/>
      <c r="FU885" s="1"/>
      <c r="FV885" s="1"/>
      <c r="FW885" s="1"/>
      <c r="FX885" s="1"/>
      <c r="FY885" s="1"/>
      <c r="FZ885" s="1"/>
      <c r="GA885" s="1"/>
      <c r="GB885" s="1"/>
      <c r="GC885" s="1"/>
      <c r="GD885" s="1"/>
      <c r="GE885" s="1"/>
      <c r="GF885" s="1"/>
      <c r="GG885" s="1"/>
      <c r="GH885" s="1"/>
      <c r="GI885" s="1"/>
      <c r="GJ885" s="1"/>
      <c r="GK885" s="1"/>
      <c r="GL885" s="1"/>
      <c r="GM885" s="1"/>
      <c r="GN885" s="1"/>
      <c r="GO885" s="1"/>
      <c r="GP885" s="1"/>
      <c r="GQ885" s="1"/>
      <c r="GR885" s="1"/>
      <c r="GS885" s="1"/>
      <c r="GT885" s="1"/>
      <c r="GU885" s="1"/>
      <c r="GV885" s="1"/>
      <c r="GW885" s="1"/>
      <c r="GX885" s="1"/>
      <c r="GY885" s="1"/>
      <c r="GZ885" s="1"/>
      <c r="HA885" s="1"/>
      <c r="HB885" s="1"/>
      <c r="HC885" s="1"/>
      <c r="HD885" s="1"/>
      <c r="HE885" s="1"/>
      <c r="HF885" s="1"/>
      <c r="HG885" s="1"/>
      <c r="HH885" s="1"/>
      <c r="HI885" s="1"/>
      <c r="HJ885" s="1"/>
      <c r="HK885" s="1"/>
      <c r="HL885" s="1"/>
      <c r="HM885" s="1"/>
      <c r="HN885" s="1"/>
      <c r="HO885" s="1"/>
      <c r="HP885" s="1"/>
      <c r="HQ885" s="1"/>
      <c r="HR885" s="1"/>
      <c r="HS885" s="1"/>
      <c r="HT885" s="1"/>
      <c r="HU885" s="1"/>
      <c r="HV885" s="1"/>
      <c r="HW885" s="1"/>
      <c r="HX885" s="1"/>
      <c r="HY885" s="1"/>
      <c r="HZ885" s="1"/>
      <c r="IA885" s="1"/>
      <c r="IB885" s="1"/>
      <c r="IC885" s="1"/>
      <c r="ID885" s="1"/>
      <c r="IE885" s="1"/>
      <c r="IF885" s="1"/>
      <c r="IG885" s="1"/>
      <c r="IH885" s="1"/>
      <c r="II885" s="1"/>
      <c r="IJ885" s="1"/>
      <c r="IK885" s="1"/>
      <c r="IL885" s="1"/>
      <c r="IM885" s="1"/>
      <c r="IN885" s="1"/>
      <c r="IO885" s="1"/>
      <c r="IP885" s="1"/>
      <c r="IQ885" s="1"/>
      <c r="IR885" s="1"/>
      <c r="IS885" s="1"/>
      <c r="IT885" s="1"/>
      <c r="IU885" s="1"/>
      <c r="IV885" s="1"/>
      <c r="IW885" s="1"/>
      <c r="IX885" s="1"/>
      <c r="IY885" s="1"/>
      <c r="IZ885" s="1"/>
      <c r="JA885" s="1"/>
      <c r="JB885" s="1"/>
      <c r="JC885" s="1"/>
      <c r="JD885" s="1"/>
    </row>
    <row r="886" spans="1:264" s="347" customFormat="1" x14ac:dyDescent="0.2">
      <c r="A886" s="347" t="s">
        <v>622</v>
      </c>
      <c r="B886" s="348"/>
      <c r="BH886" s="399">
        <v>0</v>
      </c>
      <c r="BI886" s="399">
        <v>0</v>
      </c>
      <c r="BJ886" s="351">
        <f>+BH886+BI886</f>
        <v>0</v>
      </c>
      <c r="BK886" s="348"/>
      <c r="BL886" s="399">
        <v>0</v>
      </c>
      <c r="BM886" s="399">
        <v>0</v>
      </c>
      <c r="BN886" s="351">
        <f>+BL886+BM886</f>
        <v>0</v>
      </c>
      <c r="BO886" s="348"/>
      <c r="BP886" s="399">
        <v>0</v>
      </c>
      <c r="BQ886" s="399">
        <v>0</v>
      </c>
      <c r="BR886" s="351">
        <f>+BP886+BQ886</f>
        <v>0</v>
      </c>
      <c r="BT886" s="399">
        <v>0</v>
      </c>
      <c r="BU886" s="399">
        <v>0</v>
      </c>
      <c r="BV886" s="351">
        <f>+BT886+BU886</f>
        <v>0</v>
      </c>
      <c r="BX886" s="399">
        <v>0</v>
      </c>
      <c r="BY886" s="399">
        <v>0</v>
      </c>
      <c r="BZ886" s="351">
        <f>+BX886+BY886</f>
        <v>0</v>
      </c>
      <c r="CB886" s="351">
        <f>CB826</f>
        <v>-375</v>
      </c>
      <c r="CC886" s="351">
        <f>CC826</f>
        <v>-325</v>
      </c>
      <c r="CD886" s="351">
        <f>+CB886+CC886</f>
        <v>-700</v>
      </c>
      <c r="CF886" s="351">
        <f>CF826</f>
        <v>0</v>
      </c>
      <c r="CG886" s="351">
        <f>CG826</f>
        <v>0</v>
      </c>
      <c r="CH886" s="351">
        <f>+CF886+CG886</f>
        <v>0</v>
      </c>
      <c r="CJ886" s="351">
        <f>CJ826</f>
        <v>0</v>
      </c>
      <c r="CK886" s="351">
        <f>CK826</f>
        <v>0</v>
      </c>
      <c r="CL886" s="351">
        <f>+CJ886+CK886</f>
        <v>0</v>
      </c>
      <c r="CN886" s="351">
        <f>CN826</f>
        <v>0</v>
      </c>
      <c r="CO886" s="351">
        <f>CO826</f>
        <v>0</v>
      </c>
      <c r="CP886" s="351">
        <f>+CN886+CO886</f>
        <v>0</v>
      </c>
      <c r="CR886" s="351">
        <f>CR826</f>
        <v>0</v>
      </c>
      <c r="CS886" s="351">
        <f>CS826</f>
        <v>0</v>
      </c>
      <c r="CT886" s="351">
        <f>+CR886+CS886</f>
        <v>0</v>
      </c>
      <c r="CV886" s="351">
        <f>CV826</f>
        <v>0</v>
      </c>
      <c r="CW886" s="351">
        <f>CW826</f>
        <v>0</v>
      </c>
      <c r="CX886" s="351">
        <f>+CV886+CW886</f>
        <v>0</v>
      </c>
      <c r="CZ886" s="351">
        <f>CZ826</f>
        <v>0</v>
      </c>
      <c r="DA886" s="351">
        <f>DA826</f>
        <v>0</v>
      </c>
      <c r="DB886" s="351">
        <f>+CZ886+DA886</f>
        <v>0</v>
      </c>
      <c r="DD886" s="351">
        <f>DD826</f>
        <v>0</v>
      </c>
      <c r="DE886" s="351">
        <f>DE826</f>
        <v>0</v>
      </c>
      <c r="DF886" s="351">
        <f>+DD886+DE886</f>
        <v>0</v>
      </c>
      <c r="DH886" s="351">
        <f>DH826</f>
        <v>0</v>
      </c>
      <c r="DI886" s="351">
        <f>DI826</f>
        <v>0</v>
      </c>
      <c r="DJ886" s="351">
        <f>DJ826</f>
        <v>0</v>
      </c>
      <c r="DL886" s="351">
        <f>DL826</f>
        <v>0</v>
      </c>
      <c r="DM886" s="351">
        <f>DM826</f>
        <v>0</v>
      </c>
      <c r="DN886" s="351">
        <f>DN826</f>
        <v>0</v>
      </c>
      <c r="DP886" s="351">
        <f>DP826</f>
        <v>0</v>
      </c>
      <c r="DQ886" s="351">
        <f>DQ826</f>
        <v>0</v>
      </c>
      <c r="DR886" s="351">
        <f>DR826</f>
        <v>0</v>
      </c>
      <c r="DT886" s="1"/>
      <c r="DU886" s="1"/>
      <c r="DV886" s="1"/>
      <c r="DW886" s="1"/>
      <c r="DX886" s="1"/>
      <c r="DY886" s="1"/>
      <c r="DZ886" s="1"/>
      <c r="EA886" s="1"/>
      <c r="EB886" s="1"/>
      <c r="EC886" s="1"/>
      <c r="ED886" s="1"/>
      <c r="EE886" s="1"/>
      <c r="EF886" s="1"/>
      <c r="EG886" s="1"/>
      <c r="EH886" s="1"/>
      <c r="EI886" s="1"/>
      <c r="EJ886" s="1"/>
      <c r="EK886" s="1"/>
      <c r="EL886" s="1"/>
      <c r="EM886" s="1"/>
      <c r="EN886" s="1"/>
      <c r="EO886" s="1"/>
      <c r="EP886" s="1"/>
      <c r="EQ886" s="1"/>
      <c r="ER886" s="1"/>
      <c r="ES886" s="1"/>
      <c r="ET886" s="1"/>
      <c r="EU886" s="1"/>
      <c r="EV886" s="1"/>
      <c r="EW886" s="1"/>
      <c r="EX886" s="1"/>
      <c r="EY886" s="1"/>
      <c r="EZ886" s="1"/>
      <c r="FA886" s="1"/>
      <c r="FB886" s="1"/>
      <c r="FC886" s="1"/>
      <c r="FD886" s="1"/>
      <c r="FE886" s="1"/>
      <c r="FF886" s="1"/>
      <c r="FG886" s="1"/>
      <c r="FH886" s="1"/>
      <c r="FI886" s="1"/>
      <c r="FJ886" s="1"/>
      <c r="FK886" s="1"/>
      <c r="FL886" s="1"/>
      <c r="FM886" s="1"/>
      <c r="FN886" s="1"/>
      <c r="FO886" s="1"/>
      <c r="FP886" s="1"/>
      <c r="FQ886" s="1"/>
      <c r="FR886" s="1"/>
      <c r="FS886" s="1"/>
      <c r="FT886" s="1"/>
      <c r="FU886" s="1"/>
      <c r="FV886" s="1"/>
      <c r="FW886" s="1"/>
      <c r="FX886" s="1"/>
      <c r="FY886" s="1"/>
      <c r="FZ886" s="1"/>
      <c r="GA886" s="1"/>
      <c r="GB886" s="1"/>
      <c r="GC886" s="1"/>
      <c r="GD886" s="1"/>
      <c r="GE886" s="1"/>
      <c r="GF886" s="1"/>
      <c r="GG886" s="1"/>
      <c r="GH886" s="1"/>
      <c r="GI886" s="1"/>
      <c r="GJ886" s="1"/>
      <c r="GK886" s="1"/>
      <c r="GL886" s="1"/>
      <c r="GM886" s="1"/>
      <c r="GN886" s="1"/>
      <c r="GO886" s="1"/>
      <c r="GP886" s="1"/>
      <c r="GQ886" s="1"/>
      <c r="GR886" s="1"/>
      <c r="GS886" s="1"/>
      <c r="GT886" s="1"/>
      <c r="GU886" s="1"/>
      <c r="GV886" s="1"/>
      <c r="GW886" s="1"/>
      <c r="GX886" s="1"/>
      <c r="GY886" s="1"/>
      <c r="GZ886" s="1"/>
      <c r="HA886" s="1"/>
      <c r="HB886" s="1"/>
      <c r="HC886" s="1"/>
      <c r="HD886" s="1"/>
      <c r="HE886" s="1"/>
      <c r="HF886" s="1"/>
      <c r="HG886" s="1"/>
      <c r="HH886" s="1"/>
      <c r="HI886" s="1"/>
      <c r="HJ886" s="1"/>
      <c r="HK886" s="1"/>
      <c r="HL886" s="1"/>
      <c r="HM886" s="1"/>
      <c r="HN886" s="1"/>
      <c r="HO886" s="1"/>
      <c r="HP886" s="1"/>
      <c r="HQ886" s="1"/>
      <c r="HR886" s="1"/>
      <c r="HS886" s="1"/>
      <c r="HT886" s="1"/>
      <c r="HU886" s="1"/>
      <c r="HV886" s="1"/>
      <c r="HW886" s="1"/>
      <c r="HX886" s="1"/>
      <c r="HY886" s="1"/>
      <c r="HZ886" s="1"/>
      <c r="IA886" s="1"/>
      <c r="IB886" s="1"/>
      <c r="IC886" s="1"/>
      <c r="ID886" s="1"/>
      <c r="IE886" s="1"/>
      <c r="IF886" s="1"/>
      <c r="IG886" s="1"/>
      <c r="IH886" s="1"/>
      <c r="II886" s="1"/>
      <c r="IJ886" s="1"/>
      <c r="IK886" s="1"/>
      <c r="IL886" s="1"/>
      <c r="IM886" s="1"/>
      <c r="IN886" s="1"/>
      <c r="IO886" s="1"/>
      <c r="IP886" s="1"/>
      <c r="IQ886" s="1"/>
      <c r="IR886" s="1"/>
      <c r="IS886" s="1"/>
      <c r="IT886" s="1"/>
      <c r="IU886" s="1"/>
      <c r="IV886" s="1"/>
      <c r="IW886" s="1"/>
      <c r="IX886" s="1"/>
      <c r="IY886" s="1"/>
      <c r="IZ886" s="1"/>
      <c r="JA886" s="1"/>
      <c r="JB886" s="1"/>
      <c r="JC886" s="1"/>
      <c r="JD886" s="1"/>
    </row>
    <row r="887" spans="1:264" s="347" customFormat="1" x14ac:dyDescent="0.2">
      <c r="A887" s="347" t="s">
        <v>623</v>
      </c>
      <c r="B887" s="348"/>
      <c r="BH887" s="351">
        <f>+BH884-BH886</f>
        <v>5206</v>
      </c>
      <c r="BI887" s="351">
        <f>+BI884-BI886</f>
        <v>5523</v>
      </c>
      <c r="BJ887" s="351">
        <f>+BJ884-BJ886</f>
        <v>10729</v>
      </c>
      <c r="BK887" s="348"/>
      <c r="BL887" s="351">
        <f>+BL884-BL886</f>
        <v>5940</v>
      </c>
      <c r="BM887" s="351">
        <f>+BM884-BM886</f>
        <v>6009</v>
      </c>
      <c r="BN887" s="351">
        <f>+BN884-BN886</f>
        <v>11949</v>
      </c>
      <c r="BO887" s="348"/>
      <c r="BP887" s="351">
        <f>+BP884-BP886</f>
        <v>6369</v>
      </c>
      <c r="BQ887" s="351">
        <f>+BQ884-BQ886</f>
        <v>6228</v>
      </c>
      <c r="BR887" s="351">
        <f>+BR884-BR886</f>
        <v>12597</v>
      </c>
      <c r="BT887" s="351">
        <f>+BT884-BT886</f>
        <v>6646</v>
      </c>
      <c r="BU887" s="351">
        <f>+BU884-BU886</f>
        <v>6411</v>
      </c>
      <c r="BV887" s="351">
        <f>+BV884-BV886</f>
        <v>13057</v>
      </c>
      <c r="BX887" s="351">
        <f>+BX884-BX886</f>
        <v>6762</v>
      </c>
      <c r="BY887" s="351">
        <f>+BY884-BY886</f>
        <v>6801</v>
      </c>
      <c r="BZ887" s="351">
        <f>+BZ884-BZ886</f>
        <v>13563</v>
      </c>
      <c r="CB887" s="351">
        <f>+CB884-CB886</f>
        <v>6972</v>
      </c>
      <c r="CC887" s="351">
        <f>+CC884-CC886</f>
        <v>6576</v>
      </c>
      <c r="CD887" s="351">
        <f>+CD884-CD886</f>
        <v>13548</v>
      </c>
      <c r="CF887" s="351">
        <f>+CF884-CF886</f>
        <v>6347</v>
      </c>
      <c r="CG887" s="351">
        <f>+CG884-CG886</f>
        <v>5207</v>
      </c>
      <c r="CH887" s="351">
        <f>+CH884-CH886</f>
        <v>11554</v>
      </c>
      <c r="CJ887" s="351">
        <f>+CJ884-CJ886</f>
        <v>6117</v>
      </c>
      <c r="CK887" s="351">
        <f>+CK884-CK886</f>
        <v>4130</v>
      </c>
      <c r="CL887" s="351">
        <f>+CL884-CL886</f>
        <v>10247</v>
      </c>
      <c r="CN887" s="351">
        <f>+CN884-CN886</f>
        <v>5488</v>
      </c>
      <c r="CO887" s="351">
        <f>+CO884-CO886</f>
        <v>6755</v>
      </c>
      <c r="CP887" s="351">
        <f>+CP884-CP886</f>
        <v>12243</v>
      </c>
      <c r="CR887" s="351">
        <f>+CR884-CR886</f>
        <v>6692</v>
      </c>
      <c r="CS887" s="351">
        <f>+CS884-CS886</f>
        <v>6926</v>
      </c>
      <c r="CT887" s="351">
        <f>+CT884-CT886</f>
        <v>13618</v>
      </c>
      <c r="CV887" s="351">
        <f>+CV884-CV886</f>
        <v>7339</v>
      </c>
      <c r="CW887" s="351">
        <f>+CW884-CW886</f>
        <v>6830</v>
      </c>
      <c r="CX887" s="351">
        <f>+CX884-CX886</f>
        <v>14169</v>
      </c>
      <c r="CZ887" s="351">
        <f>+CZ884-CZ886</f>
        <v>7223</v>
      </c>
      <c r="DA887" s="351">
        <f>+DA884-DA886</f>
        <v>6931</v>
      </c>
      <c r="DB887" s="351">
        <f>+DB884-DB886</f>
        <v>14154</v>
      </c>
      <c r="DD887" s="351">
        <f>+DD884-DD886</f>
        <v>7405</v>
      </c>
      <c r="DE887" s="351">
        <f>+DE884-DE886</f>
        <v>7338</v>
      </c>
      <c r="DF887" s="351">
        <f>+DF884-DF886</f>
        <v>14743</v>
      </c>
      <c r="DH887" s="351">
        <f>+DH884-DH886</f>
        <v>7812</v>
      </c>
      <c r="DI887" s="351">
        <f>+DI884-DI886</f>
        <v>8000.9294322598853</v>
      </c>
      <c r="DJ887" s="351">
        <f>+DJ884-DJ886</f>
        <v>15812.929432259885</v>
      </c>
      <c r="DL887" s="351">
        <f>+DL884-DL886</f>
        <v>8465.3602895161657</v>
      </c>
      <c r="DM887" s="351">
        <f>+DM884-DM886</f>
        <v>8393.6514041411065</v>
      </c>
      <c r="DN887" s="351">
        <f>+DN884-DN886</f>
        <v>16859.011693657274</v>
      </c>
      <c r="DP887" s="351">
        <f>+DP884-DP886</f>
        <v>8768.5779541938264</v>
      </c>
      <c r="DQ887" s="351">
        <f>+DQ884-DQ886</f>
        <v>8743.8603269136856</v>
      </c>
      <c r="DR887" s="351">
        <f>+DR884-DR886</f>
        <v>17512.438281107512</v>
      </c>
      <c r="DT887" s="1"/>
      <c r="DU887" s="1"/>
      <c r="DV887" s="1"/>
      <c r="DW887" s="1"/>
      <c r="DX887" s="1"/>
      <c r="DY887" s="1"/>
      <c r="DZ887" s="1"/>
      <c r="EA887" s="1"/>
      <c r="EB887" s="1"/>
      <c r="EC887" s="1"/>
      <c r="ED887" s="1"/>
      <c r="EE887" s="1"/>
      <c r="EF887" s="1"/>
      <c r="EG887" s="1"/>
      <c r="EH887" s="1"/>
      <c r="EI887" s="1"/>
      <c r="EJ887" s="1"/>
      <c r="EK887" s="1"/>
      <c r="EL887" s="1"/>
      <c r="EM887" s="1"/>
      <c r="EN887" s="1"/>
      <c r="EO887" s="1"/>
      <c r="EP887" s="1"/>
      <c r="EQ887" s="1"/>
      <c r="ER887" s="1"/>
      <c r="ES887" s="1"/>
      <c r="ET887" s="1"/>
      <c r="EU887" s="1"/>
      <c r="EV887" s="1"/>
      <c r="EW887" s="1"/>
      <c r="EX887" s="1"/>
      <c r="EY887" s="1"/>
      <c r="EZ887" s="1"/>
      <c r="FA887" s="1"/>
      <c r="FB887" s="1"/>
      <c r="FC887" s="1"/>
      <c r="FD887" s="1"/>
      <c r="FE887" s="1"/>
      <c r="FF887" s="1"/>
      <c r="FG887" s="1"/>
      <c r="FH887" s="1"/>
      <c r="FI887" s="1"/>
      <c r="FJ887" s="1"/>
      <c r="FK887" s="1"/>
      <c r="FL887" s="1"/>
      <c r="FM887" s="1"/>
      <c r="FN887" s="1"/>
      <c r="FO887" s="1"/>
      <c r="FP887" s="1"/>
      <c r="FQ887" s="1"/>
      <c r="FR887" s="1"/>
      <c r="FS887" s="1"/>
      <c r="FT887" s="1"/>
      <c r="FU887" s="1"/>
      <c r="FV887" s="1"/>
      <c r="FW887" s="1"/>
      <c r="FX887" s="1"/>
      <c r="FY887" s="1"/>
      <c r="FZ887" s="1"/>
      <c r="GA887" s="1"/>
      <c r="GB887" s="1"/>
      <c r="GC887" s="1"/>
      <c r="GD887" s="1"/>
      <c r="GE887" s="1"/>
      <c r="GF887" s="1"/>
      <c r="GG887" s="1"/>
      <c r="GH887" s="1"/>
      <c r="GI887" s="1"/>
      <c r="GJ887" s="1"/>
      <c r="GK887" s="1"/>
      <c r="GL887" s="1"/>
      <c r="GM887" s="1"/>
      <c r="GN887" s="1"/>
      <c r="GO887" s="1"/>
      <c r="GP887" s="1"/>
      <c r="GQ887" s="1"/>
      <c r="GR887" s="1"/>
      <c r="GS887" s="1"/>
      <c r="GT887" s="1"/>
      <c r="GU887" s="1"/>
      <c r="GV887" s="1"/>
      <c r="GW887" s="1"/>
      <c r="GX887" s="1"/>
      <c r="GY887" s="1"/>
      <c r="GZ887" s="1"/>
      <c r="HA887" s="1"/>
      <c r="HB887" s="1"/>
      <c r="HC887" s="1"/>
      <c r="HD887" s="1"/>
      <c r="HE887" s="1"/>
      <c r="HF887" s="1"/>
      <c r="HG887" s="1"/>
      <c r="HH887" s="1"/>
      <c r="HI887" s="1"/>
      <c r="HJ887" s="1"/>
      <c r="HK887" s="1"/>
      <c r="HL887" s="1"/>
      <c r="HM887" s="1"/>
      <c r="HN887" s="1"/>
      <c r="HO887" s="1"/>
      <c r="HP887" s="1"/>
      <c r="HQ887" s="1"/>
      <c r="HR887" s="1"/>
      <c r="HS887" s="1"/>
      <c r="HT887" s="1"/>
      <c r="HU887" s="1"/>
      <c r="HV887" s="1"/>
      <c r="HW887" s="1"/>
      <c r="HX887" s="1"/>
      <c r="HY887" s="1"/>
      <c r="HZ887" s="1"/>
      <c r="IA887" s="1"/>
      <c r="IB887" s="1"/>
      <c r="IC887" s="1"/>
      <c r="ID887" s="1"/>
      <c r="IE887" s="1"/>
      <c r="IF887" s="1"/>
      <c r="IG887" s="1"/>
      <c r="IH887" s="1"/>
      <c r="II887" s="1"/>
      <c r="IJ887" s="1"/>
      <c r="IK887" s="1"/>
      <c r="IL887" s="1"/>
      <c r="IM887" s="1"/>
      <c r="IN887" s="1"/>
      <c r="IO887" s="1"/>
      <c r="IP887" s="1"/>
      <c r="IQ887" s="1"/>
      <c r="IR887" s="1"/>
      <c r="IS887" s="1"/>
      <c r="IT887" s="1"/>
      <c r="IU887" s="1"/>
      <c r="IV887" s="1"/>
      <c r="IW887" s="1"/>
      <c r="IX887" s="1"/>
      <c r="IY887" s="1"/>
      <c r="IZ887" s="1"/>
      <c r="JA887" s="1"/>
      <c r="JB887" s="1"/>
      <c r="JC887" s="1"/>
      <c r="JD887" s="1"/>
    </row>
    <row r="888" spans="1:264" s="347" customFormat="1" x14ac:dyDescent="0.2">
      <c r="A888" s="526" t="s">
        <v>624</v>
      </c>
      <c r="B888" s="525"/>
      <c r="C888" s="526"/>
      <c r="D888" s="526"/>
      <c r="E888" s="526"/>
      <c r="F888" s="526"/>
      <c r="G888" s="526"/>
      <c r="H888" s="526"/>
      <c r="I888" s="526"/>
      <c r="J888" s="526"/>
      <c r="K888" s="526"/>
      <c r="L888" s="526"/>
      <c r="M888" s="526"/>
      <c r="N888" s="526"/>
      <c r="O888" s="526"/>
      <c r="P888" s="526"/>
      <c r="Q888" s="526"/>
      <c r="R888" s="526"/>
      <c r="S888" s="526"/>
      <c r="T888" s="526"/>
      <c r="U888" s="526"/>
      <c r="V888" s="526"/>
      <c r="W888" s="526"/>
      <c r="X888" s="526"/>
      <c r="Y888" s="526"/>
      <c r="Z888" s="526"/>
      <c r="AA888" s="526"/>
      <c r="AB888" s="526"/>
      <c r="AC888" s="526"/>
      <c r="AD888" s="526"/>
      <c r="AE888" s="526"/>
      <c r="AF888" s="526"/>
      <c r="AG888" s="526"/>
      <c r="AH888" s="526"/>
      <c r="AI888" s="526"/>
      <c r="AJ888" s="526"/>
      <c r="AK888" s="526"/>
      <c r="AL888" s="526"/>
      <c r="AM888" s="526"/>
      <c r="AN888" s="526"/>
      <c r="AO888" s="526"/>
      <c r="AP888" s="526"/>
      <c r="AQ888" s="526"/>
      <c r="AR888" s="526"/>
      <c r="AS888" s="526"/>
      <c r="AT888" s="526"/>
      <c r="AU888" s="526"/>
      <c r="AV888" s="526"/>
      <c r="AW888" s="526"/>
      <c r="AX888" s="526"/>
      <c r="AY888" s="526"/>
      <c r="AZ888" s="526"/>
      <c r="BA888" s="526"/>
      <c r="BB888" s="526"/>
      <c r="BC888" s="526"/>
      <c r="BD888" s="526"/>
      <c r="BE888" s="526"/>
      <c r="BF888" s="526"/>
      <c r="BG888" s="526"/>
      <c r="BH888" s="531">
        <f>-BH883/BH887</f>
        <v>0.27814060699193238</v>
      </c>
      <c r="BI888" s="531">
        <f>-BI883/BI887</f>
        <v>0.27249683143219267</v>
      </c>
      <c r="BJ888" s="531">
        <f>-BJ883/BJ887</f>
        <v>0.27523534346164602</v>
      </c>
      <c r="BK888" s="525"/>
      <c r="BL888" s="531">
        <f>-BL883/BL887</f>
        <v>0.27979797979797982</v>
      </c>
      <c r="BM888" s="531">
        <f>-BM883/BM887</f>
        <v>0.26427026127475456</v>
      </c>
      <c r="BN888" s="531">
        <f>-BN883/BN887</f>
        <v>0.27198928780651099</v>
      </c>
      <c r="BO888" s="525"/>
      <c r="BP888" s="531">
        <f>-BP883/BP887</f>
        <v>0.27319830428638719</v>
      </c>
      <c r="BQ888" s="531">
        <f>-BQ883/BQ887</f>
        <v>0.27280025690430315</v>
      </c>
      <c r="BR888" s="531">
        <f>-BR883/BR887</f>
        <v>0.27300150829562592</v>
      </c>
      <c r="BS888" s="526"/>
      <c r="BT888" s="531">
        <f>-BT883/BT887</f>
        <v>0.27490219681011135</v>
      </c>
      <c r="BU888" s="531">
        <f>-BU883/BU887</f>
        <v>0.27530806426454529</v>
      </c>
      <c r="BV888" s="531">
        <f>-BV883/BV887</f>
        <v>0.27510147813433405</v>
      </c>
      <c r="BW888" s="526"/>
      <c r="BX888" s="531">
        <f>-BX883/BX887</f>
        <v>0.28467908902691513</v>
      </c>
      <c r="BY888" s="531">
        <f>-BY883/BY887</f>
        <v>0.28260549919129541</v>
      </c>
      <c r="BZ888" s="531">
        <f>-BZ883/BZ887</f>
        <v>0.28363931283639315</v>
      </c>
      <c r="CA888" s="526"/>
      <c r="CB888" s="531">
        <f>-CB883/CB887</f>
        <v>0.28585771658060816</v>
      </c>
      <c r="CC888" s="531">
        <f>-CC883/CC887</f>
        <v>0.29303527980535282</v>
      </c>
      <c r="CD888" s="531">
        <f>-CD883/CD887</f>
        <v>0.28934160023619721</v>
      </c>
      <c r="CE888" s="526"/>
      <c r="CF888" s="531">
        <f>-CF883/CF887</f>
        <v>0.28218055774381595</v>
      </c>
      <c r="CG888" s="531">
        <f>-CG883/CG887</f>
        <v>0.29383522181678512</v>
      </c>
      <c r="CH888" s="531">
        <f>-CH883/CH887</f>
        <v>0.28743292366280077</v>
      </c>
      <c r="CI888" s="526"/>
      <c r="CJ888" s="531">
        <f>-CJ883/CJ887</f>
        <v>0.29377145659637077</v>
      </c>
      <c r="CK888" s="531">
        <f>-CK883/CK887</f>
        <v>0.29661016949152541</v>
      </c>
      <c r="CL888" s="531">
        <f>-CL883/CL887</f>
        <v>0.29491558504928272</v>
      </c>
      <c r="CM888" s="526"/>
      <c r="CN888" s="531">
        <f>-CN883/CN887</f>
        <v>0.29518950437317787</v>
      </c>
      <c r="CO888" s="531">
        <f>-CO883/CO887</f>
        <v>0.29163582531458176</v>
      </c>
      <c r="CP888" s="531">
        <f>-CP883/CP887</f>
        <v>0.29322878379482153</v>
      </c>
      <c r="CQ888" s="526"/>
      <c r="CR888" s="531">
        <f>-CR883/CR887</f>
        <v>0.29079497907949792</v>
      </c>
      <c r="CS888" s="531">
        <f>-CS883/CS887</f>
        <v>0.29988449321397631</v>
      </c>
      <c r="CT888" s="531">
        <f>-CT883/CT887</f>
        <v>0.29541782934351596</v>
      </c>
      <c r="CU888" s="526"/>
      <c r="CV888" s="531">
        <f>-CV883/CV887</f>
        <v>0.29418176863332879</v>
      </c>
      <c r="CW888" s="531">
        <f>-CW883/CW887</f>
        <v>0.28374816983894585</v>
      </c>
      <c r="CX888" s="531">
        <f>-CX883/CX887</f>
        <v>0.28915237490295714</v>
      </c>
      <c r="CY888" s="526"/>
      <c r="CZ888" s="531">
        <f>-CZ883/CZ887</f>
        <v>0.30513636992939219</v>
      </c>
      <c r="DA888" s="531">
        <f>-DA883/DA887</f>
        <v>0.30500649256961476</v>
      </c>
      <c r="DB888" s="531">
        <f>-DB883/DB887</f>
        <v>0.30507277094814189</v>
      </c>
      <c r="DC888" s="526"/>
      <c r="DD888" s="531">
        <f>-DD883/DD887</f>
        <v>0.30695476029709656</v>
      </c>
      <c r="DE888" s="531">
        <f>-DE883/DE887</f>
        <v>0.30226219678386479</v>
      </c>
      <c r="DF888" s="531">
        <f>-DF883/DF887</f>
        <v>0.30461914128739065</v>
      </c>
      <c r="DG888" s="526"/>
      <c r="DH888" s="531">
        <f>-DH883/DH887</f>
        <v>0.30299539170506912</v>
      </c>
      <c r="DI888" s="699">
        <v>0.29699999999999999</v>
      </c>
      <c r="DJ888" s="531">
        <f>-DJ883/DJ887</f>
        <v>0.29996188003624741</v>
      </c>
      <c r="DK888" s="526"/>
      <c r="DL888" s="699">
        <v>0.3</v>
      </c>
      <c r="DM888" s="699">
        <f>DL888</f>
        <v>0.3</v>
      </c>
      <c r="DN888" s="531">
        <f>-DN883/DN887</f>
        <v>0.3</v>
      </c>
      <c r="DO888" s="526"/>
      <c r="DP888" s="699">
        <f>DM888</f>
        <v>0.3</v>
      </c>
      <c r="DQ888" s="699">
        <f>DP888</f>
        <v>0.3</v>
      </c>
      <c r="DR888" s="531">
        <f>-DR883/DR887</f>
        <v>0.29999999999999993</v>
      </c>
      <c r="DS888" s="526"/>
      <c r="DT888" s="1"/>
      <c r="DU888" s="1"/>
      <c r="DV888" s="1"/>
      <c r="DW888" s="1"/>
      <c r="DX888" s="1"/>
      <c r="DY888" s="1"/>
      <c r="DZ888" s="1"/>
      <c r="EA888" s="1"/>
      <c r="EB888" s="1"/>
      <c r="EC888" s="1"/>
      <c r="ED888" s="1"/>
      <c r="EE888" s="1"/>
      <c r="EF888" s="1"/>
      <c r="EG888" s="1"/>
      <c r="EH888" s="1"/>
      <c r="EI888" s="1"/>
      <c r="EJ888" s="1"/>
      <c r="EK888" s="1"/>
      <c r="EL888" s="1"/>
      <c r="EM888" s="1"/>
      <c r="EN888" s="1"/>
      <c r="EO888" s="1"/>
      <c r="EP888" s="1"/>
      <c r="EQ888" s="1"/>
      <c r="ER888" s="1"/>
      <c r="ES888" s="1"/>
      <c r="ET888" s="1"/>
      <c r="EU888" s="1"/>
      <c r="EV888" s="1"/>
      <c r="EW888" s="1"/>
      <c r="EX888" s="1"/>
      <c r="EY888" s="1"/>
      <c r="EZ888" s="1"/>
      <c r="FA888" s="1"/>
      <c r="FB888" s="1"/>
      <c r="FC888" s="1"/>
      <c r="FD888" s="1"/>
      <c r="FE888" s="1"/>
      <c r="FF888" s="1"/>
      <c r="FG888" s="1"/>
      <c r="FH888" s="1"/>
      <c r="FI888" s="1"/>
      <c r="FJ888" s="1"/>
      <c r="FK888" s="1"/>
      <c r="FL888" s="1"/>
      <c r="FM888" s="1"/>
      <c r="FN888" s="1"/>
      <c r="FO888" s="1"/>
      <c r="FP888" s="1"/>
      <c r="FQ888" s="1"/>
      <c r="FR888" s="1"/>
      <c r="FS888" s="1"/>
      <c r="FT888" s="1"/>
      <c r="FU888" s="1"/>
      <c r="FV888" s="1"/>
      <c r="FW888" s="1"/>
      <c r="FX888" s="1"/>
      <c r="FY888" s="1"/>
      <c r="FZ888" s="1"/>
      <c r="GA888" s="1"/>
      <c r="GB888" s="1"/>
      <c r="GC888" s="1"/>
      <c r="GD888" s="1"/>
      <c r="GE888" s="1"/>
      <c r="GF888" s="1"/>
      <c r="GG888" s="1"/>
      <c r="GH888" s="1"/>
      <c r="GI888" s="1"/>
      <c r="GJ888" s="1"/>
      <c r="GK888" s="1"/>
      <c r="GL888" s="1"/>
      <c r="GM888" s="1"/>
      <c r="GN888" s="1"/>
      <c r="GO888" s="1"/>
      <c r="GP888" s="1"/>
      <c r="GQ888" s="1"/>
      <c r="GR888" s="1"/>
      <c r="GS888" s="1"/>
      <c r="GT888" s="1"/>
      <c r="GU888" s="1"/>
      <c r="GV888" s="1"/>
      <c r="GW888" s="1"/>
      <c r="GX888" s="1"/>
      <c r="GY888" s="1"/>
      <c r="GZ888" s="1"/>
      <c r="HA888" s="1"/>
      <c r="HB888" s="1"/>
      <c r="HC888" s="1"/>
      <c r="HD888" s="1"/>
      <c r="HE888" s="1"/>
      <c r="HF888" s="1"/>
      <c r="HG888" s="1"/>
      <c r="HH888" s="1"/>
      <c r="HI888" s="1"/>
      <c r="HJ888" s="1"/>
      <c r="HK888" s="1"/>
      <c r="HL888" s="1"/>
      <c r="HM888" s="1"/>
      <c r="HN888" s="1"/>
      <c r="HO888" s="1"/>
      <c r="HP888" s="1"/>
      <c r="HQ888" s="1"/>
      <c r="HR888" s="1"/>
      <c r="HS888" s="1"/>
      <c r="HT888" s="1"/>
      <c r="HU888" s="1"/>
      <c r="HV888" s="1"/>
      <c r="HW888" s="1"/>
      <c r="HX888" s="1"/>
      <c r="HY888" s="1"/>
      <c r="HZ888" s="1"/>
      <c r="IA888" s="1"/>
      <c r="IB888" s="1"/>
      <c r="IC888" s="1"/>
      <c r="ID888" s="1"/>
      <c r="IE888" s="1"/>
      <c r="IF888" s="1"/>
      <c r="IG888" s="1"/>
      <c r="IH888" s="1"/>
      <c r="II888" s="1"/>
      <c r="IJ888" s="1"/>
      <c r="IK888" s="1"/>
      <c r="IL888" s="1"/>
      <c r="IM888" s="1"/>
      <c r="IN888" s="1"/>
      <c r="IO888" s="1"/>
      <c r="IP888" s="1"/>
      <c r="IQ888" s="1"/>
      <c r="IR888" s="1"/>
      <c r="IS888" s="1"/>
      <c r="IT888" s="1"/>
      <c r="IU888" s="1"/>
      <c r="IV888" s="1"/>
      <c r="IW888" s="1"/>
      <c r="IX888" s="1"/>
      <c r="IY888" s="1"/>
      <c r="IZ888" s="1"/>
      <c r="JA888" s="1"/>
      <c r="JB888" s="1"/>
      <c r="JC888" s="1"/>
      <c r="JD888" s="1"/>
    </row>
    <row r="889" spans="1:264" s="347" customFormat="1" x14ac:dyDescent="0.2">
      <c r="A889" s="347" t="s">
        <v>625</v>
      </c>
      <c r="B889" s="348"/>
      <c r="BH889" s="419"/>
      <c r="BI889" s="419"/>
      <c r="BJ889" s="419"/>
      <c r="BK889" s="348"/>
      <c r="BL889" s="419"/>
      <c r="BM889" s="419"/>
      <c r="BN889" s="419"/>
      <c r="BO889" s="348"/>
      <c r="BP889" s="419"/>
      <c r="BQ889" s="419"/>
      <c r="BR889" s="419"/>
      <c r="BT889" s="419"/>
      <c r="BU889" s="419"/>
      <c r="BV889" s="419"/>
      <c r="BX889" s="419"/>
      <c r="BY889" s="419"/>
      <c r="BZ889" s="419"/>
      <c r="CB889" s="419">
        <f>-CB101/CB97</f>
        <v>0.32660676210782819</v>
      </c>
      <c r="CC889" s="419">
        <f>-CC101/CC97</f>
        <v>0.32704301935071167</v>
      </c>
      <c r="CD889" s="419">
        <f>-CD101/CD97</f>
        <v>0.3268195647086356</v>
      </c>
      <c r="CF889" s="419">
        <f>-CF101/CF97</f>
        <v>0.28336439888164028</v>
      </c>
      <c r="CG889" s="419">
        <f>-CG101/CG97</f>
        <v>0.29550465036169477</v>
      </c>
      <c r="CH889" s="419">
        <f>-CH101/CH97</f>
        <v>0.28912120222149623</v>
      </c>
      <c r="CJ889" s="419">
        <f>-CJ101/CJ97</f>
        <v>0.29377145659637077</v>
      </c>
      <c r="CK889" s="419">
        <f>-CK101/CK97</f>
        <v>0.2969505554345459</v>
      </c>
      <c r="CL889" s="419">
        <f>-CL101/CL97</f>
        <v>0.29513447889428468</v>
      </c>
      <c r="CN889" s="419">
        <f>-CN101/CN97</f>
        <v>0.29539267015706805</v>
      </c>
      <c r="CO889" s="419">
        <f>-CO101/CO97</f>
        <v>0.29202878103837465</v>
      </c>
      <c r="CP889" s="419">
        <f>-CP101/CP97</f>
        <v>0.29353253237634575</v>
      </c>
      <c r="CR889" s="419">
        <f>-CR101/CR97</f>
        <v>0.29092114959469412</v>
      </c>
      <c r="CS889" s="419">
        <f>-CS101/CS97</f>
        <v>0.29988500790570649</v>
      </c>
      <c r="CT889" s="419">
        <f>-CT101/CT97</f>
        <v>0.29545917624799889</v>
      </c>
      <c r="CV889" s="419">
        <f>-CV101/CV97</f>
        <v>0.29428838951310865</v>
      </c>
      <c r="CW889" s="419">
        <f>-CW101/CW97</f>
        <v>0.28423743254757178</v>
      </c>
      <c r="CX889" s="419">
        <f>-CX101/CX97</f>
        <v>0.29217022460190534</v>
      </c>
      <c r="CZ889" s="419">
        <f>-CZ101/CZ97</f>
        <v>0.30513636992939219</v>
      </c>
      <c r="DA889" s="419">
        <f>-DA101/DA97</f>
        <v>0.30494301994301992</v>
      </c>
      <c r="DB889" s="419">
        <f>-DB101/DB97</f>
        <v>0.30504107280769505</v>
      </c>
      <c r="DD889" s="419">
        <f>-DD101/DD97</f>
        <v>0.30695476029709656</v>
      </c>
      <c r="DE889" s="419">
        <f>-DE101/DE97</f>
        <v>0.30222281735404394</v>
      </c>
      <c r="DF889" s="419">
        <f>-DF101/DF97</f>
        <v>0.30457876689302765</v>
      </c>
      <c r="DH889" s="419">
        <f>-DH101/DH97</f>
        <v>0.30293159609120524</v>
      </c>
      <c r="DI889" s="419">
        <f>-DI101/DI97</f>
        <v>0.29701863138924045</v>
      </c>
      <c r="DJ889" s="419">
        <f>-DJ101/DJ97</f>
        <v>0.29996240310921807</v>
      </c>
      <c r="DL889" s="419">
        <f>-DL101/DL97</f>
        <v>0.3</v>
      </c>
      <c r="DM889" s="419">
        <f>-DM101/DM97</f>
        <v>0.29999999999999993</v>
      </c>
      <c r="DN889" s="419">
        <f>-DN101/DN97</f>
        <v>0.3</v>
      </c>
      <c r="DP889" s="419">
        <f>-DP101/DP97</f>
        <v>0.29999999999999993</v>
      </c>
      <c r="DQ889" s="419">
        <f>-DQ101/DQ97</f>
        <v>0.3</v>
      </c>
      <c r="DR889" s="419">
        <f>-DR101/DR97</f>
        <v>0.29999999999999993</v>
      </c>
      <c r="DT889" s="1"/>
      <c r="DU889" s="1"/>
      <c r="DV889" s="1"/>
      <c r="DW889" s="1"/>
      <c r="DX889" s="1"/>
      <c r="DY889" s="1"/>
      <c r="DZ889" s="1"/>
      <c r="EA889" s="1"/>
      <c r="EB889" s="1"/>
      <c r="EC889" s="1"/>
      <c r="ED889" s="1"/>
      <c r="EE889" s="1"/>
      <c r="EF889" s="1"/>
      <c r="EG889" s="1"/>
      <c r="EH889" s="1"/>
      <c r="EI889" s="1"/>
      <c r="EJ889" s="1"/>
      <c r="EK889" s="1"/>
      <c r="EL889" s="1"/>
      <c r="EM889" s="1"/>
      <c r="EN889" s="1"/>
      <c r="EO889" s="1"/>
      <c r="EP889" s="1"/>
      <c r="EQ889" s="1"/>
      <c r="ER889" s="1"/>
      <c r="ES889" s="1"/>
      <c r="ET889" s="1"/>
      <c r="EU889" s="1"/>
      <c r="EV889" s="1"/>
      <c r="EW889" s="1"/>
      <c r="EX889" s="1"/>
      <c r="EY889" s="1"/>
      <c r="EZ889" s="1"/>
      <c r="FA889" s="1"/>
      <c r="FB889" s="1"/>
      <c r="FC889" s="1"/>
      <c r="FD889" s="1"/>
      <c r="FE889" s="1"/>
      <c r="FF889" s="1"/>
      <c r="FG889" s="1"/>
      <c r="FH889" s="1"/>
      <c r="FI889" s="1"/>
      <c r="FJ889" s="1"/>
      <c r="FK889" s="1"/>
      <c r="FL889" s="1"/>
      <c r="FM889" s="1"/>
      <c r="FN889" s="1"/>
      <c r="FO889" s="1"/>
      <c r="FP889" s="1"/>
      <c r="FQ889" s="1"/>
      <c r="FR889" s="1"/>
      <c r="FS889" s="1"/>
      <c r="FT889" s="1"/>
      <c r="FU889" s="1"/>
      <c r="FV889" s="1"/>
      <c r="FW889" s="1"/>
      <c r="FX889" s="1"/>
      <c r="FY889" s="1"/>
      <c r="FZ889" s="1"/>
      <c r="GA889" s="1"/>
      <c r="GB889" s="1"/>
      <c r="GC889" s="1"/>
      <c r="GD889" s="1"/>
      <c r="GE889" s="1"/>
      <c r="GF889" s="1"/>
      <c r="GG889" s="1"/>
      <c r="GH889" s="1"/>
      <c r="GI889" s="1"/>
      <c r="GJ889" s="1"/>
      <c r="GK889" s="1"/>
      <c r="GL889" s="1"/>
      <c r="GM889" s="1"/>
      <c r="GN889" s="1"/>
      <c r="GO889" s="1"/>
      <c r="GP889" s="1"/>
      <c r="GQ889" s="1"/>
      <c r="GR889" s="1"/>
      <c r="GS889" s="1"/>
      <c r="GT889" s="1"/>
      <c r="GU889" s="1"/>
      <c r="GV889" s="1"/>
      <c r="GW889" s="1"/>
      <c r="GX889" s="1"/>
      <c r="GY889" s="1"/>
      <c r="GZ889" s="1"/>
      <c r="HA889" s="1"/>
      <c r="HB889" s="1"/>
      <c r="HC889" s="1"/>
      <c r="HD889" s="1"/>
      <c r="HE889" s="1"/>
      <c r="HF889" s="1"/>
      <c r="HG889" s="1"/>
      <c r="HH889" s="1"/>
      <c r="HI889" s="1"/>
      <c r="HJ889" s="1"/>
      <c r="HK889" s="1"/>
      <c r="HL889" s="1"/>
      <c r="HM889" s="1"/>
      <c r="HN889" s="1"/>
      <c r="HO889" s="1"/>
      <c r="HP889" s="1"/>
      <c r="HQ889" s="1"/>
      <c r="HR889" s="1"/>
      <c r="HS889" s="1"/>
      <c r="HT889" s="1"/>
      <c r="HU889" s="1"/>
      <c r="HV889" s="1"/>
      <c r="HW889" s="1"/>
      <c r="HX889" s="1"/>
      <c r="HY889" s="1"/>
      <c r="HZ889" s="1"/>
      <c r="IA889" s="1"/>
      <c r="IB889" s="1"/>
      <c r="IC889" s="1"/>
      <c r="ID889" s="1"/>
      <c r="IE889" s="1"/>
      <c r="IF889" s="1"/>
      <c r="IG889" s="1"/>
      <c r="IH889" s="1"/>
      <c r="II889" s="1"/>
      <c r="IJ889" s="1"/>
      <c r="IK889" s="1"/>
      <c r="IL889" s="1"/>
      <c r="IM889" s="1"/>
      <c r="IN889" s="1"/>
      <c r="IO889" s="1"/>
      <c r="IP889" s="1"/>
      <c r="IQ889" s="1"/>
      <c r="IR889" s="1"/>
      <c r="IS889" s="1"/>
      <c r="IT889" s="1"/>
      <c r="IU889" s="1"/>
      <c r="IV889" s="1"/>
      <c r="IW889" s="1"/>
      <c r="IX889" s="1"/>
      <c r="IY889" s="1"/>
      <c r="IZ889" s="1"/>
      <c r="JA889" s="1"/>
      <c r="JB889" s="1"/>
      <c r="JC889" s="1"/>
      <c r="JD889" s="1"/>
    </row>
    <row r="890" spans="1:264" s="347" customFormat="1" x14ac:dyDescent="0.2">
      <c r="B890" s="348"/>
      <c r="BH890" s="348"/>
      <c r="BI890" s="348"/>
      <c r="BJ890" s="348"/>
      <c r="BK890" s="348"/>
      <c r="BL890" s="348"/>
      <c r="BM890" s="348"/>
      <c r="BN890" s="348"/>
      <c r="BO890" s="348"/>
      <c r="BP890" s="348"/>
      <c r="BT890" s="348"/>
      <c r="BX890" s="348"/>
      <c r="CB890" s="348"/>
      <c r="CF890" s="348"/>
      <c r="CJ890" s="348"/>
      <c r="CN890" s="348"/>
      <c r="CR890" s="348"/>
      <c r="CV890" s="348"/>
      <c r="CZ890" s="348"/>
      <c r="DD890" s="348"/>
      <c r="DH890" s="348"/>
      <c r="DL890" s="348"/>
      <c r="DP890" s="348"/>
      <c r="DT890" s="1"/>
      <c r="DU890" s="1"/>
      <c r="DV890" s="1"/>
      <c r="DW890" s="1"/>
      <c r="DX890" s="1"/>
      <c r="DY890" s="1"/>
      <c r="DZ890" s="1"/>
      <c r="EA890" s="1"/>
      <c r="EB890" s="1"/>
      <c r="EC890" s="1"/>
      <c r="ED890" s="1"/>
      <c r="EE890" s="1"/>
      <c r="EF890" s="1"/>
      <c r="EG890" s="1"/>
      <c r="EH890" s="1"/>
      <c r="EI890" s="1"/>
      <c r="EJ890" s="1"/>
      <c r="EK890" s="1"/>
      <c r="EL890" s="1"/>
      <c r="EM890" s="1"/>
      <c r="EN890" s="1"/>
      <c r="EO890" s="1"/>
      <c r="EP890" s="1"/>
      <c r="EQ890" s="1"/>
      <c r="ER890" s="1"/>
      <c r="ES890" s="1"/>
      <c r="ET890" s="1"/>
      <c r="EU890" s="1"/>
      <c r="EV890" s="1"/>
      <c r="EW890" s="1"/>
      <c r="EX890" s="1"/>
      <c r="EY890" s="1"/>
      <c r="EZ890" s="1"/>
      <c r="FA890" s="1"/>
      <c r="FB890" s="1"/>
      <c r="FC890" s="1"/>
      <c r="FD890" s="1"/>
      <c r="FE890" s="1"/>
      <c r="FF890" s="1"/>
      <c r="FG890" s="1"/>
      <c r="FH890" s="1"/>
      <c r="FI890" s="1"/>
      <c r="FJ890" s="1"/>
      <c r="FK890" s="1"/>
      <c r="FL890" s="1"/>
      <c r="FM890" s="1"/>
      <c r="FN890" s="1"/>
      <c r="FO890" s="1"/>
      <c r="FP890" s="1"/>
      <c r="FQ890" s="1"/>
      <c r="FR890" s="1"/>
      <c r="FS890" s="1"/>
      <c r="FT890" s="1"/>
      <c r="FU890" s="1"/>
      <c r="FV890" s="1"/>
      <c r="FW890" s="1"/>
      <c r="FX890" s="1"/>
      <c r="FY890" s="1"/>
      <c r="FZ890" s="1"/>
      <c r="GA890" s="1"/>
      <c r="GB890" s="1"/>
      <c r="GC890" s="1"/>
      <c r="GD890" s="1"/>
      <c r="GE890" s="1"/>
      <c r="GF890" s="1"/>
      <c r="GG890" s="1"/>
      <c r="GH890" s="1"/>
      <c r="GI890" s="1"/>
      <c r="GJ890" s="1"/>
      <c r="GK890" s="1"/>
      <c r="GL890" s="1"/>
      <c r="GM890" s="1"/>
      <c r="GN890" s="1"/>
      <c r="GO890" s="1"/>
      <c r="GP890" s="1"/>
      <c r="GQ890" s="1"/>
      <c r="GR890" s="1"/>
      <c r="GS890" s="1"/>
      <c r="GT890" s="1"/>
      <c r="GU890" s="1"/>
      <c r="GV890" s="1"/>
      <c r="GW890" s="1"/>
      <c r="GX890" s="1"/>
      <c r="GY890" s="1"/>
      <c r="GZ890" s="1"/>
      <c r="HA890" s="1"/>
      <c r="HB890" s="1"/>
      <c r="HC890" s="1"/>
      <c r="HD890" s="1"/>
      <c r="HE890" s="1"/>
      <c r="HF890" s="1"/>
      <c r="HG890" s="1"/>
      <c r="HH890" s="1"/>
      <c r="HI890" s="1"/>
      <c r="HJ890" s="1"/>
      <c r="HK890" s="1"/>
      <c r="HL890" s="1"/>
      <c r="HM890" s="1"/>
      <c r="HN890" s="1"/>
      <c r="HO890" s="1"/>
      <c r="HP890" s="1"/>
      <c r="HQ890" s="1"/>
      <c r="HR890" s="1"/>
      <c r="HS890" s="1"/>
      <c r="HT890" s="1"/>
      <c r="HU890" s="1"/>
      <c r="HV890" s="1"/>
      <c r="HW890" s="1"/>
      <c r="HX890" s="1"/>
      <c r="HY890" s="1"/>
      <c r="HZ890" s="1"/>
      <c r="IA890" s="1"/>
      <c r="IB890" s="1"/>
      <c r="IC890" s="1"/>
      <c r="ID890" s="1"/>
      <c r="IE890" s="1"/>
      <c r="IF890" s="1"/>
      <c r="IG890" s="1"/>
      <c r="IH890" s="1"/>
      <c r="II890" s="1"/>
      <c r="IJ890" s="1"/>
      <c r="IK890" s="1"/>
      <c r="IL890" s="1"/>
      <c r="IM890" s="1"/>
      <c r="IN890" s="1"/>
      <c r="IO890" s="1"/>
      <c r="IP890" s="1"/>
      <c r="IQ890" s="1"/>
      <c r="IR890" s="1"/>
      <c r="IS890" s="1"/>
      <c r="IT890" s="1"/>
      <c r="IU890" s="1"/>
      <c r="IV890" s="1"/>
      <c r="IW890" s="1"/>
      <c r="IX890" s="1"/>
      <c r="IY890" s="1"/>
      <c r="IZ890" s="1"/>
      <c r="JA890" s="1"/>
      <c r="JB890" s="1"/>
      <c r="JC890" s="1"/>
      <c r="JD890" s="1"/>
    </row>
    <row r="891" spans="1:264" s="460" customFormat="1" x14ac:dyDescent="0.2">
      <c r="A891" s="568" t="s">
        <v>222</v>
      </c>
      <c r="B891" s="569"/>
      <c r="C891" s="568"/>
      <c r="D891" s="568"/>
      <c r="E891" s="568"/>
      <c r="F891" s="568"/>
      <c r="G891" s="568"/>
      <c r="H891" s="568"/>
      <c r="I891" s="568"/>
      <c r="J891" s="568"/>
      <c r="K891" s="568"/>
      <c r="L891" s="568"/>
      <c r="M891" s="568"/>
      <c r="N891" s="568"/>
      <c r="O891" s="568"/>
      <c r="P891" s="568"/>
      <c r="Q891" s="568"/>
      <c r="R891" s="568"/>
      <c r="S891" s="568"/>
      <c r="T891" s="568"/>
      <c r="U891" s="568"/>
      <c r="V891" s="568"/>
      <c r="W891" s="568"/>
      <c r="X891" s="568"/>
      <c r="Y891" s="568"/>
      <c r="Z891" s="568"/>
      <c r="AA891" s="568"/>
      <c r="AB891" s="568"/>
      <c r="AC891" s="568"/>
      <c r="AD891" s="568"/>
      <c r="AE891" s="568"/>
      <c r="AF891" s="568"/>
      <c r="AG891" s="568"/>
      <c r="AH891" s="568"/>
      <c r="AI891" s="568"/>
      <c r="AJ891" s="568"/>
      <c r="AK891" s="568"/>
      <c r="AL891" s="568"/>
      <c r="AM891" s="568"/>
      <c r="AN891" s="568"/>
      <c r="AO891" s="568"/>
      <c r="AP891" s="568"/>
      <c r="AQ891" s="568"/>
      <c r="AR891" s="568"/>
      <c r="AS891" s="568"/>
      <c r="AT891" s="568"/>
      <c r="AU891" s="568"/>
      <c r="AV891" s="568"/>
      <c r="AW891" s="568"/>
      <c r="AX891" s="568"/>
      <c r="AY891" s="568"/>
      <c r="AZ891" s="568"/>
      <c r="BA891" s="568"/>
      <c r="BB891" s="568"/>
      <c r="BC891" s="568"/>
      <c r="BD891" s="568"/>
      <c r="BE891" s="568"/>
      <c r="BF891" s="568"/>
      <c r="BG891" s="568"/>
      <c r="BH891" s="569"/>
      <c r="BI891" s="569"/>
      <c r="BJ891" s="569"/>
      <c r="BK891" s="569"/>
      <c r="BL891" s="569"/>
      <c r="BM891" s="569"/>
      <c r="BN891" s="569"/>
      <c r="BO891" s="569"/>
      <c r="BP891" s="569"/>
      <c r="BQ891" s="569"/>
      <c r="BR891" s="569"/>
      <c r="BS891" s="568"/>
      <c r="BT891" s="569"/>
      <c r="BU891" s="568"/>
      <c r="BV891" s="568"/>
      <c r="BW891" s="568"/>
      <c r="BX891" s="569"/>
      <c r="BY891" s="568"/>
      <c r="BZ891" s="568"/>
      <c r="CA891" s="568"/>
      <c r="CB891" s="569"/>
      <c r="CC891" s="568"/>
      <c r="CD891" s="568"/>
      <c r="CE891" s="568"/>
      <c r="CF891" s="569"/>
      <c r="CG891" s="568"/>
      <c r="CH891" s="568"/>
      <c r="CI891" s="568"/>
      <c r="CJ891" s="569"/>
      <c r="CK891" s="568"/>
      <c r="CL891" s="568"/>
      <c r="CM891" s="568"/>
      <c r="CN891" s="569"/>
      <c r="CO891" s="568"/>
      <c r="CP891" s="568"/>
      <c r="CQ891" s="568"/>
      <c r="CR891" s="569"/>
      <c r="CS891" s="568"/>
      <c r="CT891" s="568"/>
      <c r="CU891" s="568"/>
      <c r="CV891" s="569"/>
      <c r="CW891" s="568"/>
      <c r="CX891" s="568"/>
      <c r="CY891" s="568"/>
      <c r="CZ891" s="569"/>
      <c r="DA891" s="568"/>
      <c r="DB891" s="568"/>
      <c r="DC891" s="568"/>
      <c r="DD891" s="569"/>
      <c r="DE891" s="568"/>
      <c r="DF891" s="568"/>
      <c r="DG891" s="568"/>
      <c r="DH891" s="569"/>
      <c r="DI891" s="568"/>
      <c r="DJ891" s="568"/>
      <c r="DK891" s="568"/>
      <c r="DL891" s="569"/>
      <c r="DM891" s="568"/>
      <c r="DN891" s="568"/>
      <c r="DO891" s="568"/>
      <c r="DP891" s="569"/>
      <c r="DQ891" s="568"/>
      <c r="DR891" s="568"/>
      <c r="DS891" s="568"/>
      <c r="DT891" s="1"/>
      <c r="DU891" s="1"/>
      <c r="DV891" s="1"/>
      <c r="DW891" s="1"/>
      <c r="DX891" s="1"/>
      <c r="DY891" s="1"/>
      <c r="DZ891" s="1"/>
      <c r="EA891" s="1"/>
      <c r="EB891" s="1"/>
      <c r="EC891" s="1"/>
      <c r="ED891" s="1"/>
      <c r="EE891" s="1"/>
      <c r="EF891" s="1"/>
      <c r="EG891" s="1"/>
      <c r="EH891" s="1"/>
      <c r="EI891" s="1"/>
      <c r="EJ891" s="1"/>
      <c r="EK891" s="1"/>
      <c r="EL891" s="1"/>
      <c r="EM891" s="1"/>
      <c r="EN891" s="1"/>
      <c r="EO891" s="1"/>
      <c r="EP891" s="1"/>
      <c r="EQ891" s="1"/>
      <c r="ER891" s="1"/>
      <c r="ES891" s="1"/>
      <c r="ET891" s="1"/>
      <c r="EU891" s="1"/>
      <c r="EV891" s="1"/>
      <c r="EW891" s="1"/>
      <c r="EX891" s="1"/>
      <c r="EY891" s="1"/>
      <c r="EZ891" s="1"/>
      <c r="FA891" s="1"/>
      <c r="FB891" s="1"/>
      <c r="FC891" s="1"/>
      <c r="FD891" s="1"/>
      <c r="FE891" s="1"/>
      <c r="FF891" s="1"/>
      <c r="FG891" s="1"/>
      <c r="FH891" s="1"/>
      <c r="FI891" s="1"/>
      <c r="FJ891" s="1"/>
      <c r="FK891" s="1"/>
      <c r="FL891" s="1"/>
      <c r="FM891" s="1"/>
      <c r="FN891" s="1"/>
      <c r="FO891" s="1"/>
      <c r="FP891" s="1"/>
      <c r="FQ891" s="1"/>
      <c r="FR891" s="1"/>
      <c r="FS891" s="1"/>
      <c r="FT891" s="1"/>
      <c r="FU891" s="1"/>
      <c r="FV891" s="1"/>
      <c r="FW891" s="1"/>
      <c r="FX891" s="1"/>
      <c r="FY891" s="1"/>
      <c r="FZ891" s="1"/>
      <c r="GA891" s="1"/>
      <c r="GB891" s="1"/>
      <c r="GC891" s="1"/>
      <c r="GD891" s="1"/>
      <c r="GE891" s="1"/>
      <c r="GF891" s="1"/>
      <c r="GG891" s="1"/>
      <c r="GH891" s="1"/>
      <c r="GI891" s="1"/>
      <c r="GJ891" s="1"/>
      <c r="GK891" s="1"/>
      <c r="GL891" s="1"/>
      <c r="GM891" s="1"/>
      <c r="GN891" s="1"/>
      <c r="GO891" s="1"/>
      <c r="GP891" s="1"/>
      <c r="GQ891" s="1"/>
      <c r="GR891" s="1"/>
      <c r="GS891" s="1"/>
      <c r="GT891" s="1"/>
      <c r="GU891" s="1"/>
      <c r="GV891" s="1"/>
      <c r="GW891" s="1"/>
      <c r="GX891" s="1"/>
      <c r="GY891" s="1"/>
      <c r="GZ891" s="1"/>
      <c r="HA891" s="1"/>
      <c r="HB891" s="1"/>
      <c r="HC891" s="1"/>
      <c r="HD891" s="1"/>
      <c r="HE891" s="1"/>
      <c r="HF891" s="1"/>
      <c r="HG891" s="1"/>
      <c r="HH891" s="1"/>
      <c r="HI891" s="1"/>
      <c r="HJ891" s="1"/>
      <c r="HK891" s="1"/>
      <c r="HL891" s="1"/>
      <c r="HM891" s="1"/>
      <c r="HN891" s="1"/>
      <c r="HO891" s="1"/>
      <c r="HP891" s="1"/>
      <c r="HQ891" s="1"/>
      <c r="HR891" s="1"/>
      <c r="HS891" s="1"/>
      <c r="HT891" s="1"/>
      <c r="HU891" s="1"/>
      <c r="HV891" s="1"/>
      <c r="HW891" s="1"/>
      <c r="HX891" s="1"/>
      <c r="HY891" s="1"/>
      <c r="HZ891" s="1"/>
      <c r="IA891" s="1"/>
      <c r="IB891" s="1"/>
      <c r="IC891" s="1"/>
      <c r="ID891" s="1"/>
      <c r="IE891" s="1"/>
      <c r="IF891" s="1"/>
      <c r="IG891" s="1"/>
      <c r="IH891" s="1"/>
      <c r="II891" s="1"/>
      <c r="IJ891" s="1"/>
      <c r="IK891" s="1"/>
      <c r="IL891" s="1"/>
      <c r="IM891" s="1"/>
      <c r="IN891" s="1"/>
      <c r="IO891" s="1"/>
      <c r="IP891" s="1"/>
      <c r="IQ891" s="1"/>
      <c r="IR891" s="1"/>
      <c r="IS891" s="1"/>
      <c r="IT891" s="1"/>
      <c r="IU891" s="1"/>
      <c r="IV891" s="1"/>
      <c r="IW891" s="1"/>
      <c r="IX891" s="1"/>
      <c r="IY891" s="1"/>
      <c r="IZ891" s="1"/>
      <c r="JA891" s="1"/>
      <c r="JB891" s="1"/>
      <c r="JC891" s="1"/>
      <c r="JD891" s="1"/>
    </row>
    <row r="893" spans="1:264" s="387" customFormat="1" x14ac:dyDescent="0.2">
      <c r="A893" s="387" t="s">
        <v>358</v>
      </c>
      <c r="B893" s="388" t="s">
        <v>22</v>
      </c>
      <c r="BH893" s="388"/>
      <c r="BI893" s="388"/>
      <c r="BJ893" s="388"/>
      <c r="BK893" s="388"/>
      <c r="BL893" s="388"/>
      <c r="BM893" s="388"/>
      <c r="BN893" s="388"/>
      <c r="BO893" s="388"/>
      <c r="BP893" s="389">
        <f>BQ396</f>
        <v>820453</v>
      </c>
      <c r="BQ893" s="389">
        <f>BR396</f>
        <v>820453</v>
      </c>
      <c r="BR893" s="700"/>
      <c r="BT893" s="389">
        <f>BU396</f>
        <v>872322</v>
      </c>
      <c r="BU893" s="389">
        <f>BV396</f>
        <v>872322</v>
      </c>
      <c r="BV893" s="700"/>
      <c r="BX893" s="389">
        <f>BY396</f>
        <v>912658</v>
      </c>
      <c r="BY893" s="389">
        <f>BZ396</f>
        <v>912658</v>
      </c>
      <c r="BZ893" s="389"/>
      <c r="CB893" s="389">
        <f>CC396</f>
        <v>907305</v>
      </c>
      <c r="CC893" s="389">
        <f>CC396</f>
        <v>907305</v>
      </c>
      <c r="CF893" s="389">
        <f>CG396</f>
        <v>906853</v>
      </c>
      <c r="CG893" s="389">
        <f>CG396</f>
        <v>906853</v>
      </c>
      <c r="CJ893" s="389">
        <f>CK396</f>
        <v>943533</v>
      </c>
      <c r="CK893" s="389">
        <f>CK396</f>
        <v>943533</v>
      </c>
      <c r="CN893" s="389">
        <f>CO396</f>
        <v>1013244</v>
      </c>
      <c r="CO893" s="389">
        <f>CO396</f>
        <v>1013244</v>
      </c>
      <c r="CR893" s="389">
        <f>CR396</f>
        <v>1075150</v>
      </c>
      <c r="CS893" s="389">
        <f>CS396</f>
        <v>1142422</v>
      </c>
      <c r="CV893" s="389">
        <f>CV396</f>
        <v>1159860</v>
      </c>
      <c r="CW893" s="389">
        <f>CW396</f>
        <v>1180790</v>
      </c>
      <c r="CZ893" s="389">
        <f>CZ396</f>
        <v>1203130</v>
      </c>
      <c r="DA893" s="389">
        <f>DA396</f>
        <v>1180988</v>
      </c>
      <c r="DD893" s="389">
        <f>DD396</f>
        <v>1233302</v>
      </c>
      <c r="DE893" s="389">
        <f>DE396</f>
        <v>1275023</v>
      </c>
      <c r="DH893" s="389">
        <f>DH396</f>
        <v>1331496</v>
      </c>
      <c r="DI893" s="389">
        <f ca="1">DI396</f>
        <v>1378972.4065792374</v>
      </c>
      <c r="DL893" s="389">
        <f ca="1">DL396</f>
        <v>1420557.9258230359</v>
      </c>
      <c r="DM893" s="389">
        <f ca="1">DM396</f>
        <v>1465715.3843466155</v>
      </c>
      <c r="DP893" s="389">
        <f ca="1">DP396</f>
        <v>1500677.4999846099</v>
      </c>
      <c r="DQ893" s="389">
        <f ca="1">DQ396</f>
        <v>1538680.9279058413</v>
      </c>
    </row>
    <row r="894" spans="1:264" s="387" customFormat="1" x14ac:dyDescent="0.2">
      <c r="A894" s="701" t="s">
        <v>626</v>
      </c>
      <c r="B894" s="702"/>
      <c r="C894" s="701"/>
      <c r="D894" s="701"/>
      <c r="E894" s="701"/>
      <c r="F894" s="701"/>
      <c r="G894" s="701"/>
      <c r="H894" s="701"/>
      <c r="I894" s="701"/>
      <c r="J894" s="701"/>
      <c r="K894" s="701"/>
      <c r="L894" s="701"/>
      <c r="M894" s="701"/>
      <c r="N894" s="701"/>
      <c r="O894" s="701"/>
      <c r="P894" s="701"/>
      <c r="Q894" s="701"/>
      <c r="R894" s="701"/>
      <c r="S894" s="701"/>
      <c r="T894" s="701"/>
      <c r="U894" s="701"/>
      <c r="V894" s="701"/>
      <c r="W894" s="701"/>
      <c r="X894" s="701"/>
      <c r="Y894" s="701"/>
      <c r="Z894" s="701"/>
      <c r="AA894" s="701"/>
      <c r="AB894" s="701"/>
      <c r="AC894" s="701"/>
      <c r="AD894" s="701"/>
      <c r="AE894" s="701"/>
      <c r="AF894" s="701"/>
      <c r="AG894" s="701"/>
      <c r="AH894" s="701"/>
      <c r="AI894" s="701"/>
      <c r="AJ894" s="701"/>
      <c r="AK894" s="701"/>
      <c r="AL894" s="701"/>
      <c r="AM894" s="701"/>
      <c r="AN894" s="701"/>
      <c r="AO894" s="701"/>
      <c r="AP894" s="701"/>
      <c r="AQ894" s="701"/>
      <c r="AR894" s="701"/>
      <c r="AS894" s="701"/>
      <c r="AT894" s="701"/>
      <c r="AU894" s="701"/>
      <c r="AV894" s="701"/>
      <c r="AW894" s="701"/>
      <c r="AX894" s="701"/>
      <c r="AY894" s="701"/>
      <c r="AZ894" s="701"/>
      <c r="BA894" s="701"/>
      <c r="BB894" s="701"/>
      <c r="BC894" s="701"/>
      <c r="BD894" s="701"/>
      <c r="BE894" s="701"/>
      <c r="BF894" s="701"/>
      <c r="BG894" s="701"/>
      <c r="BH894" s="702"/>
      <c r="BI894" s="702"/>
      <c r="BJ894" s="702"/>
      <c r="BK894" s="702"/>
      <c r="BL894" s="702"/>
      <c r="BM894" s="702"/>
      <c r="BN894" s="702"/>
      <c r="BO894" s="702"/>
      <c r="BP894" s="702"/>
      <c r="BQ894" s="703"/>
      <c r="BR894" s="703"/>
      <c r="BS894" s="701"/>
      <c r="BT894" s="704"/>
      <c r="BU894" s="703"/>
      <c r="BV894" s="703"/>
      <c r="BW894" s="701"/>
      <c r="BX894" s="704"/>
      <c r="BY894" s="705">
        <f>+BY895/BY893</f>
        <v>0.98473031518926035</v>
      </c>
      <c r="BZ894" s="704"/>
      <c r="CA894" s="701"/>
      <c r="CB894" s="706">
        <v>0.97</v>
      </c>
      <c r="CC894" s="468">
        <v>0.98</v>
      </c>
      <c r="CD894" s="447"/>
      <c r="CE894" s="447"/>
      <c r="CF894" s="468">
        <v>0.97</v>
      </c>
      <c r="CG894" s="468">
        <v>0.96899999999999997</v>
      </c>
      <c r="CH894" s="447"/>
      <c r="CI894" s="447"/>
      <c r="CJ894" s="468">
        <v>0.97</v>
      </c>
      <c r="CK894" s="468">
        <v>0.97</v>
      </c>
      <c r="CL894" s="447"/>
      <c r="CM894" s="447"/>
      <c r="CN894" s="468">
        <v>0.93500000000000005</v>
      </c>
      <c r="CO894" s="468">
        <v>0.878</v>
      </c>
      <c r="CP894" s="447"/>
      <c r="CQ894" s="447"/>
      <c r="CR894" s="468">
        <v>0.86</v>
      </c>
      <c r="CS894" s="468">
        <v>0.87</v>
      </c>
      <c r="CT894" s="447"/>
      <c r="CU894" s="447"/>
      <c r="CV894" s="468">
        <v>0.92500000000000004</v>
      </c>
      <c r="CW894" s="468">
        <v>0.89500000000000002</v>
      </c>
      <c r="CX894" s="447"/>
      <c r="CY894" s="447"/>
      <c r="CZ894" s="468">
        <v>0.92400000000000004</v>
      </c>
      <c r="DA894" s="468">
        <v>0.97499999999999998</v>
      </c>
      <c r="DB894" s="447"/>
      <c r="DC894" s="447"/>
      <c r="DD894" s="468">
        <v>0.94110000000000005</v>
      </c>
      <c r="DE894" s="468">
        <v>0.96899999999999997</v>
      </c>
      <c r="DF894" s="447"/>
      <c r="DG894" s="447"/>
      <c r="DH894" s="468">
        <v>0.98499999999999999</v>
      </c>
      <c r="DI894" s="468">
        <f>DH894</f>
        <v>0.98499999999999999</v>
      </c>
      <c r="DJ894" s="447"/>
      <c r="DK894" s="447"/>
      <c r="DL894" s="468">
        <f>DI894</f>
        <v>0.98499999999999999</v>
      </c>
      <c r="DM894" s="468">
        <f>DL894</f>
        <v>0.98499999999999999</v>
      </c>
      <c r="DN894" s="447"/>
      <c r="DO894" s="447"/>
      <c r="DP894" s="468">
        <f>DM894</f>
        <v>0.98499999999999999</v>
      </c>
      <c r="DQ894" s="468">
        <f>DP894</f>
        <v>0.98499999999999999</v>
      </c>
      <c r="DR894" s="447"/>
      <c r="DS894" s="447"/>
    </row>
    <row r="895" spans="1:264" s="387" customFormat="1" x14ac:dyDescent="0.2">
      <c r="A895" s="387" t="s">
        <v>627</v>
      </c>
      <c r="B895" s="388"/>
      <c r="BH895" s="388"/>
      <c r="BI895" s="388"/>
      <c r="BJ895" s="388"/>
      <c r="BK895" s="388"/>
      <c r="BL895" s="388"/>
      <c r="BM895" s="388"/>
      <c r="BN895" s="388"/>
      <c r="BO895" s="388"/>
      <c r="BP895" s="388"/>
      <c r="BQ895" s="700"/>
      <c r="BR895" s="700"/>
      <c r="BT895" s="389"/>
      <c r="BU895" s="700"/>
      <c r="BV895" s="700"/>
      <c r="BX895" s="389"/>
      <c r="BY895" s="707">
        <v>898722</v>
      </c>
      <c r="BZ895" s="389"/>
      <c r="CB895" s="389">
        <f>+CB893*CB894</f>
        <v>880085.85</v>
      </c>
      <c r="CC895" s="389">
        <f>+CC893*CC894</f>
        <v>889158.9</v>
      </c>
      <c r="CF895" s="389">
        <f>+CF893*CF894</f>
        <v>879647.41</v>
      </c>
      <c r="CG895" s="389">
        <f>+CG893*CG894</f>
        <v>878740.55700000003</v>
      </c>
      <c r="CJ895" s="389">
        <f>+CJ893*CJ894</f>
        <v>915227.01</v>
      </c>
      <c r="CK895" s="389">
        <f>+CK893*CK894</f>
        <v>915227.01</v>
      </c>
      <c r="CN895" s="389">
        <f>+CN893*CN894</f>
        <v>947383.14</v>
      </c>
      <c r="CO895" s="389">
        <f>+CO893*CO894</f>
        <v>889628.23199999996</v>
      </c>
      <c r="CR895" s="389">
        <f>+CR893*CR894</f>
        <v>924629</v>
      </c>
      <c r="CS895" s="389">
        <f>+CS893*CS894</f>
        <v>993907.14</v>
      </c>
      <c r="CV895" s="389">
        <f>+CV893*CV894</f>
        <v>1072870.5</v>
      </c>
      <c r="CW895" s="389">
        <f>+CW893*CW894</f>
        <v>1056807.05</v>
      </c>
      <c r="CZ895" s="389">
        <f>+CZ893*CZ894</f>
        <v>1111692.1200000001</v>
      </c>
      <c r="DA895" s="389">
        <f>+DA893*DA894</f>
        <v>1151463.3</v>
      </c>
      <c r="DD895" s="389">
        <f>+DD893*DD894</f>
        <v>1160660.5122</v>
      </c>
      <c r="DE895" s="389">
        <f>+DE893*DE894</f>
        <v>1235497.287</v>
      </c>
      <c r="DH895" s="389">
        <f>+DH893*DH894</f>
        <v>1311523.56</v>
      </c>
      <c r="DI895" s="389">
        <f ca="1">+DI893*DI894</f>
        <v>1358287.8204805488</v>
      </c>
      <c r="DL895" s="389">
        <f ca="1">+DL893*DL894</f>
        <v>1399249.5569356903</v>
      </c>
      <c r="DM895" s="389">
        <f ca="1">+DM893*DM894</f>
        <v>1443729.6535814162</v>
      </c>
      <c r="DP895" s="389">
        <f ca="1">+DP893*DP894</f>
        <v>1478167.3374848408</v>
      </c>
      <c r="DQ895" s="389">
        <f ca="1">+DQ893*DQ894</f>
        <v>1515600.7139872536</v>
      </c>
    </row>
    <row r="896" spans="1:264" s="387" customFormat="1" x14ac:dyDescent="0.2">
      <c r="A896" s="387" t="s">
        <v>628</v>
      </c>
      <c r="B896" s="388"/>
      <c r="BH896" s="388"/>
      <c r="BI896" s="388"/>
      <c r="BJ896" s="388"/>
      <c r="BK896" s="388"/>
      <c r="BL896" s="388"/>
      <c r="BM896" s="388"/>
      <c r="BN896" s="388"/>
      <c r="BO896" s="388"/>
      <c r="BP896" s="388"/>
      <c r="BQ896" s="700"/>
      <c r="BR896" s="700"/>
      <c r="BT896" s="389"/>
      <c r="BU896" s="700"/>
      <c r="BV896" s="700"/>
      <c r="BX896" s="389"/>
      <c r="BY896" s="707">
        <v>-238500</v>
      </c>
      <c r="BZ896" s="389"/>
      <c r="CB896" s="389">
        <f>-CB$465*CB901</f>
        <v>-237748.13150000002</v>
      </c>
      <c r="CC896" s="389">
        <f>-CC$465*CC901</f>
        <v>-206098.88</v>
      </c>
      <c r="CF896" s="389">
        <f>-CF$465*CF901</f>
        <v>-216592.416</v>
      </c>
      <c r="CG896" s="389">
        <f>-CG$465*CG901</f>
        <v>-212052.21400000001</v>
      </c>
      <c r="CJ896" s="389">
        <f>-CJ$465*CJ901</f>
        <v>-252172.61500000002</v>
      </c>
      <c r="CK896" s="389">
        <f>-CK$465*CK901</f>
        <v>-276789.288</v>
      </c>
      <c r="CN896" s="389">
        <f>-CN$465*CN901</f>
        <v>-291424.18800000002</v>
      </c>
      <c r="CO896" s="389">
        <f>-CO$465*CO901</f>
        <v>-301813.45199999999</v>
      </c>
      <c r="CR896" s="389">
        <f>-CR$465*CR901</f>
        <v>-319550.66800000001</v>
      </c>
      <c r="CS896" s="389">
        <f>-CS$465*CS901</f>
        <v>-333066.48800000001</v>
      </c>
      <c r="CV896" s="389">
        <f>-CV$465*CV901</f>
        <v>-342031.652</v>
      </c>
      <c r="CW896" s="389">
        <f>-CW$465*CW901</f>
        <v>-349251.94</v>
      </c>
      <c r="CZ896" s="389">
        <f>-CZ$465*CZ901</f>
        <v>-351607.26</v>
      </c>
      <c r="DA896" s="389">
        <f>-DA$465*DA901</f>
        <v>-355173.36800000002</v>
      </c>
      <c r="DD896" s="389">
        <f>-DD$465*DD901</f>
        <v>-362358.50800000003</v>
      </c>
      <c r="DE896" s="389">
        <f>-DE$465*DE901</f>
        <v>-375743.83600000001</v>
      </c>
      <c r="DH896" s="389">
        <f>-DH$465*DH901</f>
        <v>-392218.14800000004</v>
      </c>
      <c r="DI896" s="389">
        <f>-DI$465*DI901</f>
        <v>-401184.5786746667</v>
      </c>
      <c r="DL896" s="389">
        <f>-DL$465*DL901</f>
        <v>-410793.06089051644</v>
      </c>
      <c r="DM896" s="389">
        <f>-DM$465*DM901</f>
        <v>-420721.13497261138</v>
      </c>
      <c r="DP896" s="389">
        <f>-DP$465*DP901</f>
        <v>-430769.15332729445</v>
      </c>
      <c r="DQ896" s="389">
        <f>-DQ$465*DQ901</f>
        <v>-441220.99042334297</v>
      </c>
    </row>
    <row r="897" spans="1:264" s="387" customFormat="1" x14ac:dyDescent="0.2">
      <c r="A897" s="387" t="s">
        <v>629</v>
      </c>
      <c r="B897" s="388"/>
      <c r="BH897" s="388"/>
      <c r="BI897" s="388"/>
      <c r="BJ897" s="388"/>
      <c r="BK897" s="388"/>
      <c r="BL897" s="388"/>
      <c r="BM897" s="388"/>
      <c r="BN897" s="388"/>
      <c r="BO897" s="388"/>
      <c r="BP897" s="388"/>
      <c r="BQ897" s="700"/>
      <c r="BR897" s="700"/>
      <c r="BT897" s="389"/>
      <c r="BU897" s="700"/>
      <c r="BV897" s="700"/>
      <c r="BX897" s="389"/>
      <c r="BY897" s="707">
        <v>-32094</v>
      </c>
      <c r="BZ897" s="389"/>
      <c r="CB897" s="389">
        <f>-CB$465*CB902</f>
        <v>-30756.550000000003</v>
      </c>
      <c r="CC897" s="389">
        <f>-CC$465*CC902</f>
        <v>-30488</v>
      </c>
      <c r="CF897" s="389">
        <f>-CF$465*CF902</f>
        <v>-31119.600000000002</v>
      </c>
      <c r="CG897" s="389">
        <f>-CG$465*CG902</f>
        <v>-31092.7</v>
      </c>
      <c r="CJ897" s="389">
        <f>-CJ$465*CJ902</f>
        <v>-32123.9</v>
      </c>
      <c r="CK897" s="389">
        <f>-CK$465*CK902</f>
        <v>-34256.1</v>
      </c>
      <c r="CN897" s="389">
        <f>-CN$465*CN902</f>
        <v>-36067.35</v>
      </c>
      <c r="CO897" s="389">
        <f>-CO$465*CO902</f>
        <v>-37353.15</v>
      </c>
      <c r="CR897" s="389">
        <f>-CR$465*CR902</f>
        <v>-39548.350000000006</v>
      </c>
      <c r="CS897" s="389">
        <f>-CS$465*CS902</f>
        <v>-41221.100000000006</v>
      </c>
      <c r="CV897" s="389">
        <f>-CV$465*CV902</f>
        <v>-42330.65</v>
      </c>
      <c r="CW897" s="389">
        <f>-CW$465*CW902</f>
        <v>-43224.25</v>
      </c>
      <c r="CZ897" s="389">
        <f>-CZ$465*CZ902</f>
        <v>-43515.75</v>
      </c>
      <c r="DA897" s="389">
        <f>-DA$465*DA902</f>
        <v>-43957.100000000006</v>
      </c>
      <c r="DD897" s="389">
        <f>-DD$465*DD902</f>
        <v>-44846.350000000006</v>
      </c>
      <c r="DE897" s="389">
        <f>-DE$465*DE902</f>
        <v>-46502.950000000004</v>
      </c>
      <c r="DH897" s="389">
        <f>-DH$465*DH902</f>
        <v>-48541.850000000006</v>
      </c>
      <c r="DI897" s="389">
        <f>-DI$465*DI902</f>
        <v>-49651.556766666676</v>
      </c>
      <c r="DL897" s="389">
        <f>-DL$465*DL902</f>
        <v>-50840.725357737188</v>
      </c>
      <c r="DM897" s="389">
        <f>-DM$465*DM902</f>
        <v>-52069.447397600423</v>
      </c>
      <c r="DP897" s="389">
        <f>-DP$465*DP902</f>
        <v>-53313.014025655255</v>
      </c>
      <c r="DQ897" s="389">
        <f>-DQ$465*DQ902</f>
        <v>-54606.558220710758</v>
      </c>
    </row>
    <row r="898" spans="1:264" s="387" customFormat="1" x14ac:dyDescent="0.2">
      <c r="A898" s="387" t="s">
        <v>630</v>
      </c>
      <c r="B898" s="388"/>
      <c r="BH898" s="388"/>
      <c r="BI898" s="388"/>
      <c r="BJ898" s="388"/>
      <c r="BK898" s="388"/>
      <c r="BL898" s="388"/>
      <c r="BM898" s="388"/>
      <c r="BN898" s="388"/>
      <c r="BO898" s="388"/>
      <c r="BP898" s="388"/>
      <c r="BQ898" s="700"/>
      <c r="BR898" s="700"/>
      <c r="BT898" s="389"/>
      <c r="BU898" s="700"/>
      <c r="BV898" s="700"/>
      <c r="BX898" s="389"/>
      <c r="BY898" s="707">
        <v>-8160</v>
      </c>
      <c r="BZ898" s="389"/>
      <c r="CB898" s="389">
        <f>-CB1282</f>
        <v>-8090</v>
      </c>
      <c r="CC898" s="389">
        <f>-CC1282</f>
        <v>-9455</v>
      </c>
      <c r="CF898" s="389">
        <f>-CF1282</f>
        <v>-9045</v>
      </c>
      <c r="CG898" s="389">
        <f>-CG1282</f>
        <v>-9045</v>
      </c>
      <c r="CJ898" s="389">
        <f>-CJ1282</f>
        <v>-10695</v>
      </c>
      <c r="CK898" s="389">
        <f>-CK1282</f>
        <v>-10695</v>
      </c>
      <c r="CN898" s="389">
        <f>-CN1282</f>
        <v>-10695</v>
      </c>
      <c r="CO898" s="389">
        <f>-CO1282</f>
        <v>-11875</v>
      </c>
      <c r="CR898" s="389">
        <f>-CR1282</f>
        <v>-10425</v>
      </c>
      <c r="CS898" s="389">
        <f>-CS1282</f>
        <v>-10535</v>
      </c>
      <c r="CV898" s="389">
        <f>-CV1282</f>
        <v>-9312</v>
      </c>
      <c r="CW898" s="389">
        <f>-CW1282</f>
        <v>-10862</v>
      </c>
      <c r="CZ898" s="389">
        <f>-CZ1282</f>
        <v>-10862</v>
      </c>
      <c r="DA898" s="389">
        <f>-DA1282</f>
        <v>-9272</v>
      </c>
      <c r="DD898" s="389">
        <f>-DD1282</f>
        <v>-9272</v>
      </c>
      <c r="DE898" s="389">
        <f>-DE1282</f>
        <v>-7907</v>
      </c>
      <c r="DH898" s="389">
        <f>-DH1282</f>
        <v>-7907</v>
      </c>
      <c r="DI898" s="389">
        <f>-DI1282</f>
        <v>-7907</v>
      </c>
      <c r="DL898" s="389">
        <f>-DL1282</f>
        <v>-7907</v>
      </c>
      <c r="DM898" s="389">
        <f>-DM1282</f>
        <v>-7907</v>
      </c>
      <c r="DP898" s="389">
        <f>-DP1282</f>
        <v>-7907</v>
      </c>
      <c r="DQ898" s="389">
        <f>-DQ1282</f>
        <v>-7907</v>
      </c>
    </row>
    <row r="899" spans="1:264" s="387" customFormat="1" x14ac:dyDescent="0.2">
      <c r="A899" s="387" t="s">
        <v>631</v>
      </c>
      <c r="B899" s="388"/>
      <c r="BH899" s="388"/>
      <c r="BI899" s="388"/>
      <c r="BJ899" s="388"/>
      <c r="BK899" s="388"/>
      <c r="BL899" s="388"/>
      <c r="BM899" s="388"/>
      <c r="BN899" s="388"/>
      <c r="BO899" s="388"/>
      <c r="BP899" s="388"/>
      <c r="BQ899" s="700"/>
      <c r="BR899" s="700"/>
      <c r="BT899" s="389"/>
      <c r="BU899" s="700"/>
      <c r="BV899" s="700"/>
      <c r="BX899" s="389"/>
      <c r="BY899" s="707">
        <v>-5161</v>
      </c>
      <c r="BZ899" s="389"/>
      <c r="CB899" s="389">
        <f>-CB$465*CB903</f>
        <v>-8222.167736862797</v>
      </c>
      <c r="CC899" s="389">
        <f>-CC$465*CC903</f>
        <v>-7926.8799999999992</v>
      </c>
      <c r="CF899" s="389">
        <f>-CF$465*CF903</f>
        <v>-8091.0959999999995</v>
      </c>
      <c r="CG899" s="389">
        <f>-CG$465*CG903</f>
        <v>-8084.1019999999999</v>
      </c>
      <c r="CJ899" s="389">
        <f>-CJ$465*CJ903</f>
        <v>-8352.2139999999999</v>
      </c>
      <c r="CK899" s="389">
        <f>-CK$465*CK903</f>
        <v>-8906.5859999999993</v>
      </c>
      <c r="CN899" s="389">
        <f>-CN$465*CN903</f>
        <v>-9377.5110000000004</v>
      </c>
      <c r="CO899" s="389">
        <f>-CO$465*CO903</f>
        <v>-9711.8189999999995</v>
      </c>
      <c r="CR899" s="389">
        <f>-CR$465*CR903</f>
        <v>-10282.571</v>
      </c>
      <c r="CS899" s="389">
        <f>-CS$465*CS903</f>
        <v>-10717.485999999999</v>
      </c>
      <c r="CV899" s="389">
        <f>-CV$465*CV903</f>
        <v>-11005.968999999999</v>
      </c>
      <c r="CW899" s="389">
        <f>-CW$465*CW903</f>
        <v>-11238.305</v>
      </c>
      <c r="CZ899" s="389">
        <f>-CZ$465*CZ903</f>
        <v>-11314.094999999999</v>
      </c>
      <c r="DA899" s="389">
        <f>-DA$465*DA903</f>
        <v>-11428.846</v>
      </c>
      <c r="DD899" s="389">
        <f>-DD$465*DD903</f>
        <v>-11660.050999999999</v>
      </c>
      <c r="DE899" s="389">
        <f>-DE$465*DE903</f>
        <v>-12090.767</v>
      </c>
      <c r="DH899" s="389">
        <f>-DH$465*DH903</f>
        <v>-12620.880999999999</v>
      </c>
      <c r="DI899" s="389">
        <f>-DI$465*DI903</f>
        <v>-12909.404759333334</v>
      </c>
      <c r="DL899" s="389">
        <f>-DL$465*DL903</f>
        <v>-13218.588593011667</v>
      </c>
      <c r="DM899" s="389">
        <f>-DM$465*DM903</f>
        <v>-13538.056323376108</v>
      </c>
      <c r="DP899" s="389">
        <f>-DP$465*DP903</f>
        <v>-13861.383646670363</v>
      </c>
      <c r="DQ899" s="389">
        <f>-DQ$465*DQ903</f>
        <v>-14197.705137384795</v>
      </c>
    </row>
    <row r="900" spans="1:264" s="564" customFormat="1" x14ac:dyDescent="0.2">
      <c r="A900" s="564" t="s">
        <v>632</v>
      </c>
      <c r="B900" s="390" t="s">
        <v>22</v>
      </c>
      <c r="BH900" s="390"/>
      <c r="BI900" s="390"/>
      <c r="BJ900" s="390"/>
      <c r="BK900" s="390"/>
      <c r="BL900" s="390"/>
      <c r="BM900" s="390"/>
      <c r="BN900" s="390"/>
      <c r="BO900" s="390"/>
      <c r="BP900" s="390"/>
      <c r="BQ900" s="708"/>
      <c r="BR900" s="708"/>
      <c r="BT900" s="566"/>
      <c r="BU900" s="708"/>
      <c r="BV900" s="708"/>
      <c r="BX900" s="566"/>
      <c r="BY900" s="566">
        <f>SUM(BY895:BY899)</f>
        <v>614807</v>
      </c>
      <c r="BZ900" s="566">
        <f>AVERAGE(BX900:BY900)</f>
        <v>614807</v>
      </c>
      <c r="CB900" s="566">
        <f>SUM(CB895:CB899)</f>
        <v>595269.00076313713</v>
      </c>
      <c r="CC900" s="566">
        <f>SUM(CC895:CC899)</f>
        <v>635190.14</v>
      </c>
      <c r="CD900" s="566">
        <f>AVERAGE(CB900:CC900)</f>
        <v>615229.57038156851</v>
      </c>
      <c r="CF900" s="566">
        <f>SUM(CF895:CF899)</f>
        <v>614799.29800000007</v>
      </c>
      <c r="CG900" s="566">
        <f>SUM(CG895:CG899)</f>
        <v>618466.54100000008</v>
      </c>
      <c r="CH900" s="566">
        <f>AVERAGE(CF900:CG900)</f>
        <v>616632.91950000008</v>
      </c>
      <c r="CJ900" s="566">
        <f>SUM(CJ895:CJ899)</f>
        <v>611883.28099999996</v>
      </c>
      <c r="CK900" s="566">
        <f>SUM(CK895:CK899)</f>
        <v>584580.03600000008</v>
      </c>
      <c r="CL900" s="566">
        <f>AVERAGE(CJ900:CK900)</f>
        <v>598231.65850000002</v>
      </c>
      <c r="CN900" s="566">
        <f>SUM(CN895:CN899)</f>
        <v>599819.09100000001</v>
      </c>
      <c r="CO900" s="566">
        <f>SUM(CO895:CO899)</f>
        <v>528874.81099999999</v>
      </c>
      <c r="CP900" s="566">
        <f>AVERAGE(CN900:CO900)</f>
        <v>564346.951</v>
      </c>
      <c r="CR900" s="566">
        <f>SUM(CR895:CR899)</f>
        <v>544822.41099999996</v>
      </c>
      <c r="CS900" s="566">
        <f>SUM(CS895:CS899)</f>
        <v>598367.06599999999</v>
      </c>
      <c r="CT900" s="566">
        <f>AVERAGE(CR900:CS900)</f>
        <v>571594.73849999998</v>
      </c>
      <c r="CV900" s="566">
        <f>SUM(CV895:CV899)</f>
        <v>668190.22899999993</v>
      </c>
      <c r="CW900" s="566">
        <f>SUM(CW895:CW899)</f>
        <v>642230.55500000005</v>
      </c>
      <c r="CX900" s="566">
        <f>AVERAGE(CV900:CW900)</f>
        <v>655210.39199999999</v>
      </c>
      <c r="CZ900" s="566">
        <f>SUM(CZ895:CZ899)</f>
        <v>694393.01500000013</v>
      </c>
      <c r="DA900" s="566">
        <f>SUM(DA895:DA899)</f>
        <v>731631.98600000003</v>
      </c>
      <c r="DB900" s="566">
        <f>AVERAGE(CZ900:DA900)</f>
        <v>713012.50050000008</v>
      </c>
      <c r="DD900" s="566">
        <f>SUM(DD895:DD899)</f>
        <v>732523.60320000001</v>
      </c>
      <c r="DE900" s="566">
        <f>SUM(DE895:DE899)</f>
        <v>793252.73400000005</v>
      </c>
      <c r="DF900" s="566">
        <f>AVERAGE(DD900:DE900)</f>
        <v>762888.16859999998</v>
      </c>
      <c r="DH900" s="566">
        <f>SUM(DH895:DH899)</f>
        <v>850235.68099999998</v>
      </c>
      <c r="DI900" s="566">
        <f ca="1">SUM(DI895:DI899)</f>
        <v>886635.28027988202</v>
      </c>
      <c r="DJ900" s="566">
        <f ca="1">AVERAGE(DH900:DI900)</f>
        <v>868435.48063994106</v>
      </c>
      <c r="DL900" s="566">
        <f ca="1">SUM(DL895:DL899)</f>
        <v>916490.18209442496</v>
      </c>
      <c r="DM900" s="566">
        <f ca="1">SUM(DM895:DM899)</f>
        <v>949494.01488782826</v>
      </c>
      <c r="DN900" s="566">
        <f ca="1">AVERAGE(DL900:DM900)</f>
        <v>932992.09849112667</v>
      </c>
      <c r="DP900" s="566">
        <f ca="1">SUM(DP895:DP899)</f>
        <v>972316.78648522077</v>
      </c>
      <c r="DQ900" s="566">
        <f ca="1">SUM(DQ895:DQ899)</f>
        <v>997668.46020581515</v>
      </c>
      <c r="DR900" s="566">
        <f ca="1">AVERAGE(DP900:DQ900)</f>
        <v>984992.62334551802</v>
      </c>
    </row>
    <row r="901" spans="1:264" s="387" customFormat="1" x14ac:dyDescent="0.2">
      <c r="A901" s="701" t="s">
        <v>633</v>
      </c>
      <c r="B901" s="702" t="s">
        <v>140</v>
      </c>
      <c r="C901" s="701"/>
      <c r="D901" s="701"/>
      <c r="E901" s="701"/>
      <c r="F901" s="701"/>
      <c r="G901" s="701"/>
      <c r="H901" s="701"/>
      <c r="I901" s="701"/>
      <c r="J901" s="701"/>
      <c r="K901" s="701"/>
      <c r="L901" s="701"/>
      <c r="M901" s="701"/>
      <c r="N901" s="701"/>
      <c r="O901" s="701"/>
      <c r="P901" s="701"/>
      <c r="Q901" s="701"/>
      <c r="R901" s="701"/>
      <c r="S901" s="701"/>
      <c r="T901" s="701"/>
      <c r="U901" s="701"/>
      <c r="V901" s="701"/>
      <c r="W901" s="701"/>
      <c r="X901" s="701"/>
      <c r="Y901" s="701"/>
      <c r="Z901" s="701"/>
      <c r="AA901" s="701"/>
      <c r="AB901" s="701"/>
      <c r="AC901" s="701"/>
      <c r="AD901" s="701"/>
      <c r="AE901" s="701"/>
      <c r="AF901" s="701"/>
      <c r="AG901" s="701"/>
      <c r="AH901" s="701"/>
      <c r="AI901" s="701"/>
      <c r="AJ901" s="701"/>
      <c r="AK901" s="701"/>
      <c r="AL901" s="701"/>
      <c r="AM901" s="701"/>
      <c r="AN901" s="701"/>
      <c r="AO901" s="701"/>
      <c r="AP901" s="701"/>
      <c r="AQ901" s="701"/>
      <c r="AR901" s="701"/>
      <c r="AS901" s="701"/>
      <c r="AT901" s="701"/>
      <c r="AU901" s="701"/>
      <c r="AV901" s="701"/>
      <c r="AW901" s="701"/>
      <c r="AX901" s="701"/>
      <c r="AY901" s="701"/>
      <c r="AZ901" s="701"/>
      <c r="BA901" s="701"/>
      <c r="BB901" s="701"/>
      <c r="BC901" s="701"/>
      <c r="BD901" s="701"/>
      <c r="BE901" s="701"/>
      <c r="BF901" s="701"/>
      <c r="BG901" s="701"/>
      <c r="BH901" s="702"/>
      <c r="BI901" s="702"/>
      <c r="BJ901" s="702"/>
      <c r="BK901" s="702"/>
      <c r="BL901" s="702"/>
      <c r="BM901" s="702"/>
      <c r="BN901" s="702"/>
      <c r="BO901" s="702"/>
      <c r="BP901" s="702"/>
      <c r="BQ901" s="703"/>
      <c r="BR901" s="703"/>
      <c r="BS901" s="701"/>
      <c r="BT901" s="704"/>
      <c r="BU901" s="703"/>
      <c r="BV901" s="703"/>
      <c r="BW901" s="701"/>
      <c r="BX901" s="704"/>
      <c r="BY901" s="478">
        <f>-BY896/BY$465</f>
        <v>0.39067618922814834</v>
      </c>
      <c r="BZ901" s="704"/>
      <c r="CA901" s="701"/>
      <c r="CB901" s="482">
        <v>0.38650000000000001</v>
      </c>
      <c r="CC901" s="468">
        <v>0.33800000000000002</v>
      </c>
      <c r="CD901" s="463"/>
      <c r="CE901" s="463"/>
      <c r="CF901" s="482">
        <v>0.34799999999999998</v>
      </c>
      <c r="CG901" s="482">
        <v>0.34100000000000003</v>
      </c>
      <c r="CH901" s="463"/>
      <c r="CI901" s="463"/>
      <c r="CJ901" s="468">
        <v>0.39250000000000002</v>
      </c>
      <c r="CK901" s="468">
        <v>0.40400000000000003</v>
      </c>
      <c r="CL901" s="463"/>
      <c r="CM901" s="463"/>
      <c r="CN901" s="468">
        <f>CK901</f>
        <v>0.40400000000000003</v>
      </c>
      <c r="CO901" s="468">
        <v>0.40400000000000003</v>
      </c>
      <c r="CP901" s="463"/>
      <c r="CQ901" s="463"/>
      <c r="CR901" s="468">
        <v>0.40400000000000003</v>
      </c>
      <c r="CS901" s="468">
        <v>0.40400000000000003</v>
      </c>
      <c r="CT901" s="463"/>
      <c r="CU901" s="463"/>
      <c r="CV901" s="468">
        <v>0.40400000000000003</v>
      </c>
      <c r="CW901" s="468">
        <v>0.40400000000000003</v>
      </c>
      <c r="CX901" s="463"/>
      <c r="CY901" s="463"/>
      <c r="CZ901" s="468">
        <v>0.40400000000000003</v>
      </c>
      <c r="DA901" s="468">
        <v>0.40400000000000003</v>
      </c>
      <c r="DB901" s="463"/>
      <c r="DC901" s="463"/>
      <c r="DD901" s="468">
        <v>0.40400000000000003</v>
      </c>
      <c r="DE901" s="468">
        <v>0.40400000000000003</v>
      </c>
      <c r="DF901" s="463"/>
      <c r="DG901" s="463"/>
      <c r="DH901" s="468">
        <v>0.40400000000000003</v>
      </c>
      <c r="DI901" s="482">
        <f>DH901</f>
        <v>0.40400000000000003</v>
      </c>
      <c r="DJ901" s="463"/>
      <c r="DK901" s="463"/>
      <c r="DL901" s="482">
        <f>DI901</f>
        <v>0.40400000000000003</v>
      </c>
      <c r="DM901" s="482">
        <f>DL901</f>
        <v>0.40400000000000003</v>
      </c>
      <c r="DN901" s="463"/>
      <c r="DO901" s="463"/>
      <c r="DP901" s="482">
        <f>DM901</f>
        <v>0.40400000000000003</v>
      </c>
      <c r="DQ901" s="482">
        <f>DP901</f>
        <v>0.40400000000000003</v>
      </c>
      <c r="DR901" s="463"/>
      <c r="DS901" s="463"/>
    </row>
    <row r="902" spans="1:264" s="387" customFormat="1" x14ac:dyDescent="0.2">
      <c r="A902" s="701" t="s">
        <v>634</v>
      </c>
      <c r="B902" s="702" t="s">
        <v>140</v>
      </c>
      <c r="C902" s="701"/>
      <c r="D902" s="701"/>
      <c r="E902" s="701"/>
      <c r="F902" s="701"/>
      <c r="G902" s="701"/>
      <c r="H902" s="701"/>
      <c r="I902" s="701"/>
      <c r="J902" s="701"/>
      <c r="K902" s="701"/>
      <c r="L902" s="701"/>
      <c r="M902" s="701"/>
      <c r="N902" s="701"/>
      <c r="O902" s="701"/>
      <c r="P902" s="701"/>
      <c r="Q902" s="701"/>
      <c r="R902" s="701"/>
      <c r="S902" s="701"/>
      <c r="T902" s="701"/>
      <c r="U902" s="701"/>
      <c r="V902" s="701"/>
      <c r="W902" s="701"/>
      <c r="X902" s="701"/>
      <c r="Y902" s="701"/>
      <c r="Z902" s="701"/>
      <c r="AA902" s="701"/>
      <c r="AB902" s="701"/>
      <c r="AC902" s="701"/>
      <c r="AD902" s="701"/>
      <c r="AE902" s="701"/>
      <c r="AF902" s="701"/>
      <c r="AG902" s="701"/>
      <c r="AH902" s="701"/>
      <c r="AI902" s="701"/>
      <c r="AJ902" s="701"/>
      <c r="AK902" s="701"/>
      <c r="AL902" s="701"/>
      <c r="AM902" s="701"/>
      <c r="AN902" s="701"/>
      <c r="AO902" s="701"/>
      <c r="AP902" s="701"/>
      <c r="AQ902" s="701"/>
      <c r="AR902" s="701"/>
      <c r="AS902" s="701"/>
      <c r="AT902" s="701"/>
      <c r="AU902" s="701"/>
      <c r="AV902" s="701"/>
      <c r="AW902" s="701"/>
      <c r="AX902" s="701"/>
      <c r="AY902" s="701"/>
      <c r="AZ902" s="701"/>
      <c r="BA902" s="701"/>
      <c r="BB902" s="701"/>
      <c r="BC902" s="701"/>
      <c r="BD902" s="701"/>
      <c r="BE902" s="701"/>
      <c r="BF902" s="701"/>
      <c r="BG902" s="701"/>
      <c r="BH902" s="702"/>
      <c r="BI902" s="702"/>
      <c r="BJ902" s="702"/>
      <c r="BK902" s="702"/>
      <c r="BL902" s="702"/>
      <c r="BM902" s="702"/>
      <c r="BN902" s="702"/>
      <c r="BO902" s="702"/>
      <c r="BP902" s="702"/>
      <c r="BQ902" s="703"/>
      <c r="BR902" s="703"/>
      <c r="BS902" s="701"/>
      <c r="BT902" s="704"/>
      <c r="BU902" s="703"/>
      <c r="BV902" s="703"/>
      <c r="BW902" s="701"/>
      <c r="BX902" s="704"/>
      <c r="BY902" s="478">
        <f>-BY897/BY$465</f>
        <v>5.2571746822172714E-2</v>
      </c>
      <c r="BZ902" s="704"/>
      <c r="CA902" s="701"/>
      <c r="CB902" s="482">
        <v>0.05</v>
      </c>
      <c r="CC902" s="468">
        <v>0.05</v>
      </c>
      <c r="CD902" s="463"/>
      <c r="CE902" s="463"/>
      <c r="CF902" s="468">
        <v>0.05</v>
      </c>
      <c r="CG902" s="468">
        <v>0.05</v>
      </c>
      <c r="CH902" s="463"/>
      <c r="CI902" s="463"/>
      <c r="CJ902" s="468">
        <v>0.05</v>
      </c>
      <c r="CK902" s="468">
        <v>0.05</v>
      </c>
      <c r="CL902" s="463"/>
      <c r="CM902" s="463"/>
      <c r="CN902" s="468">
        <f>CK902</f>
        <v>0.05</v>
      </c>
      <c r="CO902" s="468">
        <v>0.05</v>
      </c>
      <c r="CP902" s="463"/>
      <c r="CQ902" s="463"/>
      <c r="CR902" s="468">
        <f>CO902</f>
        <v>0.05</v>
      </c>
      <c r="CS902" s="468">
        <v>0.05</v>
      </c>
      <c r="CT902" s="463"/>
      <c r="CU902" s="463"/>
      <c r="CV902" s="468">
        <f>CS902</f>
        <v>0.05</v>
      </c>
      <c r="CW902" s="468">
        <v>0.05</v>
      </c>
      <c r="CX902" s="463"/>
      <c r="CY902" s="463"/>
      <c r="CZ902" s="468">
        <f>CW902</f>
        <v>0.05</v>
      </c>
      <c r="DA902" s="468">
        <v>0.05</v>
      </c>
      <c r="DB902" s="463"/>
      <c r="DC902" s="463"/>
      <c r="DD902" s="468">
        <f>DA902</f>
        <v>0.05</v>
      </c>
      <c r="DE902" s="468">
        <v>0.05</v>
      </c>
      <c r="DF902" s="463"/>
      <c r="DG902" s="463"/>
      <c r="DH902" s="468">
        <f>DE902</f>
        <v>0.05</v>
      </c>
      <c r="DI902" s="482">
        <f>DH902</f>
        <v>0.05</v>
      </c>
      <c r="DJ902" s="463"/>
      <c r="DK902" s="463"/>
      <c r="DL902" s="482">
        <f>DI902</f>
        <v>0.05</v>
      </c>
      <c r="DM902" s="482">
        <f>DL902</f>
        <v>0.05</v>
      </c>
      <c r="DN902" s="463"/>
      <c r="DO902" s="463"/>
      <c r="DP902" s="482">
        <f>DM902</f>
        <v>0.05</v>
      </c>
      <c r="DQ902" s="482">
        <f>DP902</f>
        <v>0.05</v>
      </c>
      <c r="DR902" s="463"/>
      <c r="DS902" s="463"/>
    </row>
    <row r="903" spans="1:264" s="387" customFormat="1" x14ac:dyDescent="0.2">
      <c r="A903" s="701" t="s">
        <v>635</v>
      </c>
      <c r="B903" s="702" t="s">
        <v>140</v>
      </c>
      <c r="C903" s="701"/>
      <c r="D903" s="701"/>
      <c r="E903" s="701"/>
      <c r="F903" s="701"/>
      <c r="G903" s="701"/>
      <c r="H903" s="701"/>
      <c r="I903" s="701"/>
      <c r="J903" s="701"/>
      <c r="K903" s="701"/>
      <c r="L903" s="701"/>
      <c r="M903" s="701"/>
      <c r="N903" s="701"/>
      <c r="O903" s="701"/>
      <c r="P903" s="701"/>
      <c r="Q903" s="701"/>
      <c r="R903" s="701"/>
      <c r="S903" s="701"/>
      <c r="T903" s="701"/>
      <c r="U903" s="701"/>
      <c r="V903" s="701"/>
      <c r="W903" s="701"/>
      <c r="X903" s="701"/>
      <c r="Y903" s="701"/>
      <c r="Z903" s="701"/>
      <c r="AA903" s="701"/>
      <c r="AB903" s="701"/>
      <c r="AC903" s="701"/>
      <c r="AD903" s="701"/>
      <c r="AE903" s="701"/>
      <c r="AF903" s="701"/>
      <c r="AG903" s="701"/>
      <c r="AH903" s="701"/>
      <c r="AI903" s="701"/>
      <c r="AJ903" s="701"/>
      <c r="AK903" s="701"/>
      <c r="AL903" s="701"/>
      <c r="AM903" s="701"/>
      <c r="AN903" s="701"/>
      <c r="AO903" s="701"/>
      <c r="AP903" s="701"/>
      <c r="AQ903" s="701"/>
      <c r="AR903" s="701"/>
      <c r="AS903" s="701"/>
      <c r="AT903" s="701"/>
      <c r="AU903" s="701"/>
      <c r="AV903" s="701"/>
      <c r="AW903" s="701"/>
      <c r="AX903" s="701"/>
      <c r="AY903" s="701"/>
      <c r="AZ903" s="701"/>
      <c r="BA903" s="701"/>
      <c r="BB903" s="701"/>
      <c r="BC903" s="701"/>
      <c r="BD903" s="701"/>
      <c r="BE903" s="701"/>
      <c r="BF903" s="701"/>
      <c r="BG903" s="701"/>
      <c r="BH903" s="702"/>
      <c r="BI903" s="702"/>
      <c r="BJ903" s="702"/>
      <c r="BK903" s="702"/>
      <c r="BL903" s="702"/>
      <c r="BM903" s="702"/>
      <c r="BN903" s="702"/>
      <c r="BO903" s="702"/>
      <c r="BP903" s="702"/>
      <c r="BQ903" s="703"/>
      <c r="BR903" s="703"/>
      <c r="BS903" s="701"/>
      <c r="BT903" s="704"/>
      <c r="BU903" s="703"/>
      <c r="BV903" s="703"/>
      <c r="BW903" s="701"/>
      <c r="BX903" s="704"/>
      <c r="BY903" s="478">
        <f>-BY898/BY$465</f>
        <v>1.3366531254095138E-2</v>
      </c>
      <c r="BZ903" s="704"/>
      <c r="CA903" s="701"/>
      <c r="CB903" s="482">
        <f>BY903</f>
        <v>1.3366531254095138E-2</v>
      </c>
      <c r="CC903" s="468">
        <v>1.2999999999999999E-2</v>
      </c>
      <c r="CD903" s="463"/>
      <c r="CE903" s="463"/>
      <c r="CF903" s="468">
        <v>1.2999999999999999E-2</v>
      </c>
      <c r="CG903" s="468">
        <v>1.2999999999999999E-2</v>
      </c>
      <c r="CH903" s="463"/>
      <c r="CI903" s="463"/>
      <c r="CJ903" s="468">
        <v>1.2999999999999999E-2</v>
      </c>
      <c r="CK903" s="468">
        <v>1.2999999999999999E-2</v>
      </c>
      <c r="CL903" s="463"/>
      <c r="CM903" s="463"/>
      <c r="CN903" s="468">
        <f>CK903</f>
        <v>1.2999999999999999E-2</v>
      </c>
      <c r="CO903" s="468">
        <v>1.2999999999999999E-2</v>
      </c>
      <c r="CP903" s="463"/>
      <c r="CQ903" s="463"/>
      <c r="CR903" s="468">
        <f>CO903</f>
        <v>1.2999999999999999E-2</v>
      </c>
      <c r="CS903" s="468">
        <v>1.2999999999999999E-2</v>
      </c>
      <c r="CT903" s="463"/>
      <c r="CU903" s="463"/>
      <c r="CV903" s="468">
        <f>CS903</f>
        <v>1.2999999999999999E-2</v>
      </c>
      <c r="CW903" s="468">
        <v>1.2999999999999999E-2</v>
      </c>
      <c r="CX903" s="463"/>
      <c r="CY903" s="463"/>
      <c r="CZ903" s="468">
        <f>CW903</f>
        <v>1.2999999999999999E-2</v>
      </c>
      <c r="DA903" s="468">
        <v>1.2999999999999999E-2</v>
      </c>
      <c r="DB903" s="463"/>
      <c r="DC903" s="463"/>
      <c r="DD903" s="468">
        <f>DA903</f>
        <v>1.2999999999999999E-2</v>
      </c>
      <c r="DE903" s="468">
        <v>1.2999999999999999E-2</v>
      </c>
      <c r="DF903" s="463"/>
      <c r="DG903" s="463"/>
      <c r="DH903" s="468">
        <f>DE903</f>
        <v>1.2999999999999999E-2</v>
      </c>
      <c r="DI903" s="482">
        <f>DH903</f>
        <v>1.2999999999999999E-2</v>
      </c>
      <c r="DJ903" s="463"/>
      <c r="DK903" s="463"/>
      <c r="DL903" s="482">
        <f>DI903</f>
        <v>1.2999999999999999E-2</v>
      </c>
      <c r="DM903" s="482">
        <f>DL903</f>
        <v>1.2999999999999999E-2</v>
      </c>
      <c r="DN903" s="463"/>
      <c r="DO903" s="463"/>
      <c r="DP903" s="482">
        <f>DM903</f>
        <v>1.2999999999999999E-2</v>
      </c>
      <c r="DQ903" s="482">
        <f>DP903</f>
        <v>1.2999999999999999E-2</v>
      </c>
      <c r="DR903" s="463"/>
      <c r="DS903" s="463"/>
    </row>
    <row r="904" spans="1:264" s="387" customFormat="1" ht="13.5" thickBot="1" x14ac:dyDescent="0.25">
      <c r="A904" s="701" t="s">
        <v>636</v>
      </c>
      <c r="B904" s="702" t="s">
        <v>140</v>
      </c>
      <c r="C904" s="701"/>
      <c r="D904" s="701"/>
      <c r="E904" s="701"/>
      <c r="F904" s="701"/>
      <c r="G904" s="701"/>
      <c r="H904" s="701"/>
      <c r="I904" s="701"/>
      <c r="J904" s="701"/>
      <c r="K904" s="701"/>
      <c r="L904" s="701"/>
      <c r="M904" s="701"/>
      <c r="N904" s="701"/>
      <c r="O904" s="701"/>
      <c r="P904" s="701"/>
      <c r="Q904" s="701"/>
      <c r="R904" s="701"/>
      <c r="S904" s="701"/>
      <c r="T904" s="701"/>
      <c r="U904" s="701"/>
      <c r="V904" s="701"/>
      <c r="W904" s="701"/>
      <c r="X904" s="701"/>
      <c r="Y904" s="701"/>
      <c r="Z904" s="701"/>
      <c r="AA904" s="701"/>
      <c r="AB904" s="701"/>
      <c r="AC904" s="701"/>
      <c r="AD904" s="701"/>
      <c r="AE904" s="701"/>
      <c r="AF904" s="701"/>
      <c r="AG904" s="701"/>
      <c r="AH904" s="701"/>
      <c r="AI904" s="701"/>
      <c r="AJ904" s="701"/>
      <c r="AK904" s="701"/>
      <c r="AL904" s="701"/>
      <c r="AM904" s="701"/>
      <c r="AN904" s="701"/>
      <c r="AO904" s="701"/>
      <c r="AP904" s="701"/>
      <c r="AQ904" s="701"/>
      <c r="AR904" s="701"/>
      <c r="AS904" s="701"/>
      <c r="AT904" s="701"/>
      <c r="AU904" s="701"/>
      <c r="AV904" s="701"/>
      <c r="AW904" s="701"/>
      <c r="AX904" s="701"/>
      <c r="AY904" s="701"/>
      <c r="AZ904" s="701"/>
      <c r="BA904" s="701"/>
      <c r="BB904" s="701"/>
      <c r="BC904" s="701"/>
      <c r="BD904" s="701"/>
      <c r="BE904" s="701"/>
      <c r="BF904" s="701"/>
      <c r="BG904" s="701"/>
      <c r="BH904" s="702"/>
      <c r="BI904" s="702"/>
      <c r="BJ904" s="702"/>
      <c r="BK904" s="702"/>
      <c r="BL904" s="702"/>
      <c r="BM904" s="702"/>
      <c r="BN904" s="702"/>
      <c r="BO904" s="702"/>
      <c r="BP904" s="702"/>
      <c r="BQ904" s="703"/>
      <c r="BR904" s="703"/>
      <c r="BS904" s="701"/>
      <c r="BT904" s="704"/>
      <c r="BU904" s="703"/>
      <c r="BV904" s="703"/>
      <c r="BW904" s="701"/>
      <c r="BX904" s="704"/>
      <c r="BY904" s="709">
        <v>5.9999999999999995E-4</v>
      </c>
      <c r="BZ904" s="710">
        <f>-BZ905/BZ900</f>
        <v>2.9753424657534241E-4</v>
      </c>
      <c r="CA904" s="701"/>
      <c r="CB904" s="709">
        <v>5.9999999999999995E-4</v>
      </c>
      <c r="CC904" s="709">
        <v>5.9999999999999995E-4</v>
      </c>
      <c r="CD904" s="710">
        <f>-CD905/CD900</f>
        <v>5.9984000169931943E-4</v>
      </c>
      <c r="CE904" s="701"/>
      <c r="CF904" s="709">
        <v>5.9999999999999995E-4</v>
      </c>
      <c r="CG904" s="709">
        <v>5.9999999999999995E-4</v>
      </c>
      <c r="CH904" s="710">
        <f>-CH905/CH900</f>
        <v>5.9998533565643291E-4</v>
      </c>
      <c r="CI904" s="701"/>
      <c r="CJ904" s="709">
        <v>5.9999999999999995E-4</v>
      </c>
      <c r="CK904" s="709">
        <v>5.9999999999999995E-4</v>
      </c>
      <c r="CL904" s="710">
        <f>-CL905/CL900</f>
        <v>6.0007481954088646E-4</v>
      </c>
      <c r="CM904" s="701"/>
      <c r="CN904" s="709">
        <v>5.9999999999999995E-4</v>
      </c>
      <c r="CO904" s="709">
        <v>5.9999999999999995E-4</v>
      </c>
      <c r="CP904" s="710">
        <f>-CP905/CP900</f>
        <v>6.0030997084516873E-4</v>
      </c>
      <c r="CQ904" s="701"/>
      <c r="CR904" s="709">
        <v>5.9999999999999995E-4</v>
      </c>
      <c r="CS904" s="709">
        <v>5.9999999999999995E-4</v>
      </c>
      <c r="CT904" s="710">
        <f>-CT905/CT900</f>
        <v>5.9976901831394606E-4</v>
      </c>
      <c r="CU904" s="701"/>
      <c r="CV904" s="709">
        <v>5.9999999999999995E-4</v>
      </c>
      <c r="CW904" s="709">
        <v>5.9999999999999995E-4</v>
      </c>
      <c r="CX904" s="710">
        <f>-CX905/CX900</f>
        <v>6.0009769404736251E-4</v>
      </c>
      <c r="CY904" s="701"/>
      <c r="CZ904" s="709">
        <v>5.9999999999999995E-4</v>
      </c>
      <c r="DA904" s="709">
        <v>5.9999999999999995E-4</v>
      </c>
      <c r="DB904" s="710">
        <f>-DB905/DB900</f>
        <v>5.9991438089318234E-4</v>
      </c>
      <c r="DC904" s="701"/>
      <c r="DD904" s="709">
        <v>5.9999999999999995E-4</v>
      </c>
      <c r="DE904" s="709">
        <v>5.9999999999999995E-4</v>
      </c>
      <c r="DF904" s="710">
        <f>-DF905/DF900</f>
        <v>5.9980371557928158E-4</v>
      </c>
      <c r="DG904" s="701"/>
      <c r="DH904" s="709">
        <v>5.9999999999999995E-4</v>
      </c>
      <c r="DI904" s="709">
        <v>5.9999999999999995E-4</v>
      </c>
      <c r="DJ904" s="710">
        <f ca="1">-DJ905/DJ900</f>
        <v>5.9989665042644896E-4</v>
      </c>
      <c r="DK904" s="701"/>
      <c r="DL904" s="709">
        <v>5.9999999999999995E-4</v>
      </c>
      <c r="DM904" s="709">
        <v>5.9999999999999995E-4</v>
      </c>
      <c r="DN904" s="710">
        <f ca="1">-DN905/DN900</f>
        <v>5.9991277598827599E-4</v>
      </c>
      <c r="DO904" s="701"/>
      <c r="DP904" s="709">
        <v>5.9999999999999995E-4</v>
      </c>
      <c r="DQ904" s="709">
        <v>5.9999999999999995E-4</v>
      </c>
      <c r="DR904" s="710">
        <f ca="1">-DR905/DR900</f>
        <v>5.9995780666791956E-4</v>
      </c>
      <c r="DS904" s="701"/>
    </row>
    <row r="905" spans="1:264" s="387" customFormat="1" x14ac:dyDescent="0.2">
      <c r="A905" s="711" t="s">
        <v>637</v>
      </c>
      <c r="B905" s="388" t="s">
        <v>22</v>
      </c>
      <c r="BH905" s="388"/>
      <c r="BI905" s="388"/>
      <c r="BJ905" s="388"/>
      <c r="BK905" s="388"/>
      <c r="BL905" s="388"/>
      <c r="BM905" s="388"/>
      <c r="BN905" s="388"/>
      <c r="BO905" s="388"/>
      <c r="BP905" s="388"/>
      <c r="BQ905" s="700"/>
      <c r="BR905" s="700"/>
      <c r="BT905" s="389"/>
      <c r="BU905" s="700"/>
      <c r="BV905" s="700"/>
      <c r="BX905" s="707"/>
      <c r="BY905" s="389">
        <f>-BY900*BY904*(BY3/BY4)</f>
        <v>-182.92613753424655</v>
      </c>
      <c r="BZ905" s="389">
        <f>+BX905+BY905</f>
        <v>-182.92613753424655</v>
      </c>
      <c r="CB905" s="712">
        <f>-CB900*CB904*(CB3/CB4)</f>
        <v>-180.0484868061653</v>
      </c>
      <c r="CC905" s="712">
        <f>-CC900*CC904*(CC3/CC4)</f>
        <v>-188.99081973698631</v>
      </c>
      <c r="CD905" s="389">
        <f>+CB905+CC905</f>
        <v>-369.03930654315161</v>
      </c>
      <c r="CF905" s="712">
        <f>-CF900*CF904*(CF3/CF4)</f>
        <v>-185.95573287452055</v>
      </c>
      <c r="CG905" s="712">
        <f>-CG900*CG904*(CG3/CG4)</f>
        <v>-184.01497630849317</v>
      </c>
      <c r="CH905" s="389">
        <f>+CF905+CG905</f>
        <v>-369.9707091830137</v>
      </c>
      <c r="CJ905" s="712">
        <f>-CJ900*CJ904*(CJ3/CJ4)</f>
        <v>-184.5680716459016</v>
      </c>
      <c r="CK905" s="712">
        <f>-CK900*CK904*(CK3/CK4)</f>
        <v>-174.41568287213116</v>
      </c>
      <c r="CL905" s="389">
        <f>+CJ905+CK905</f>
        <v>-358.98375451803275</v>
      </c>
      <c r="CN905" s="712">
        <f>-CN900*CN904*(CN3/CN4)</f>
        <v>-181.42473327780823</v>
      </c>
      <c r="CO905" s="712">
        <f>-CO900*CO904*(CO3/CO4)</f>
        <v>-157.35836842356161</v>
      </c>
      <c r="CP905" s="389">
        <f>+CN905+CO905</f>
        <v>-338.78310170136984</v>
      </c>
      <c r="CR905" s="712">
        <f>-CR900*CR904*(CR3/CR4)</f>
        <v>-164.79012102575342</v>
      </c>
      <c r="CS905" s="712">
        <f>-CS900*CS904*(CS3/CS4)</f>
        <v>-178.03469415780822</v>
      </c>
      <c r="CT905" s="389">
        <f>+CR905+CS905</f>
        <v>-342.82481518356167</v>
      </c>
      <c r="CV905" s="712">
        <f>-CV900*CV904*(CV3/CV4)</f>
        <v>-202.10466104547942</v>
      </c>
      <c r="CW905" s="712">
        <f>-CW900*CW904*(CW3/CW4)</f>
        <v>-191.08558430958902</v>
      </c>
      <c r="CX905" s="389">
        <f>+CV905+CW905</f>
        <v>-393.19024535506844</v>
      </c>
      <c r="CZ905" s="712">
        <f>-CZ900*CZ904*(CZ3/CZ4)</f>
        <v>-209.45625370491805</v>
      </c>
      <c r="DA905" s="712">
        <f>-DA900*DA904*(DA3/DA4)</f>
        <v>-218.29019910163933</v>
      </c>
      <c r="DB905" s="389">
        <f>+CZ905+DA905</f>
        <v>-427.74645280655739</v>
      </c>
      <c r="DD905" s="712">
        <f>-DD900*DD904*(DD3/DD4)</f>
        <v>-221.56330354323288</v>
      </c>
      <c r="DE905" s="712">
        <f>-DE900*DE904*(DE3/DE4)</f>
        <v>-236.01985455452055</v>
      </c>
      <c r="DF905" s="389">
        <f>+DD905+DE905</f>
        <v>-457.58315809775343</v>
      </c>
      <c r="DH905" s="712">
        <f>-DH900*DH904*(DH3/DH4)</f>
        <v>-257.16717584219174</v>
      </c>
      <c r="DI905" s="712">
        <f ca="1">-DI900*DI904*(DI3/DI4)</f>
        <v>-263.80436010519225</v>
      </c>
      <c r="DJ905" s="389">
        <f ca="1">+DH905+DI905</f>
        <v>-520.97153594738393</v>
      </c>
      <c r="DL905" s="712">
        <f ca="1">-DL900*DL904*(DL3/DL4)</f>
        <v>-277.20689343349181</v>
      </c>
      <c r="DM905" s="712">
        <f ca="1">-DM900*DM904*(DM3/DM4)</f>
        <v>-282.50698634744697</v>
      </c>
      <c r="DN905" s="389">
        <f ca="1">+DL905+DM905</f>
        <v>-559.71387978093878</v>
      </c>
      <c r="DP905" s="712">
        <f ca="1">-DP900*DP904*(DP3/DP4)</f>
        <v>-293.28899789062393</v>
      </c>
      <c r="DQ905" s="712">
        <f ca="1">-DQ900*DQ904*(DQ3/DQ4)</f>
        <v>-297.66501599583336</v>
      </c>
      <c r="DR905" s="389">
        <f ca="1">+DP905+DQ905</f>
        <v>-590.95401388645723</v>
      </c>
    </row>
    <row r="906" spans="1:264" s="387" customFormat="1" ht="13.5" thickBot="1" x14ac:dyDescent="0.25">
      <c r="A906" s="701" t="s">
        <v>638</v>
      </c>
      <c r="B906" s="702"/>
      <c r="C906" s="701"/>
      <c r="D906" s="701"/>
      <c r="E906" s="701"/>
      <c r="F906" s="701"/>
      <c r="G906" s="701"/>
      <c r="H906" s="701"/>
      <c r="I906" s="701"/>
      <c r="J906" s="701"/>
      <c r="K906" s="701"/>
      <c r="L906" s="701"/>
      <c r="M906" s="701"/>
      <c r="N906" s="701"/>
      <c r="O906" s="701"/>
      <c r="P906" s="701"/>
      <c r="Q906" s="701"/>
      <c r="R906" s="701"/>
      <c r="S906" s="701"/>
      <c r="T906" s="701"/>
      <c r="U906" s="701"/>
      <c r="V906" s="701"/>
      <c r="W906" s="701"/>
      <c r="X906" s="701"/>
      <c r="Y906" s="701"/>
      <c r="Z906" s="701"/>
      <c r="AA906" s="701"/>
      <c r="AB906" s="701"/>
      <c r="AC906" s="701"/>
      <c r="AD906" s="701"/>
      <c r="AE906" s="701"/>
      <c r="AF906" s="701"/>
      <c r="AG906" s="701"/>
      <c r="AH906" s="701"/>
      <c r="AI906" s="701"/>
      <c r="AJ906" s="701"/>
      <c r="AK906" s="701"/>
      <c r="AL906" s="701"/>
      <c r="AM906" s="701"/>
      <c r="AN906" s="701"/>
      <c r="AO906" s="701"/>
      <c r="AP906" s="701"/>
      <c r="AQ906" s="701"/>
      <c r="AR906" s="701"/>
      <c r="AS906" s="701"/>
      <c r="AT906" s="701"/>
      <c r="AU906" s="701"/>
      <c r="AV906" s="701"/>
      <c r="AW906" s="701"/>
      <c r="AX906" s="701"/>
      <c r="AY906" s="701"/>
      <c r="AZ906" s="701"/>
      <c r="BA906" s="701"/>
      <c r="BB906" s="701"/>
      <c r="BC906" s="701"/>
      <c r="BD906" s="701"/>
      <c r="BE906" s="701"/>
      <c r="BF906" s="701"/>
      <c r="BG906" s="701"/>
      <c r="BH906" s="702"/>
      <c r="BI906" s="702"/>
      <c r="BJ906" s="702"/>
      <c r="BK906" s="702"/>
      <c r="BL906" s="702"/>
      <c r="BM906" s="702"/>
      <c r="BN906" s="702"/>
      <c r="BO906" s="702"/>
      <c r="BP906" s="702"/>
      <c r="BQ906" s="703"/>
      <c r="BR906" s="703"/>
      <c r="BS906" s="701"/>
      <c r="BT906" s="704"/>
      <c r="BU906" s="703"/>
      <c r="BV906" s="703"/>
      <c r="BW906" s="701"/>
      <c r="BX906" s="704"/>
      <c r="BY906" s="713">
        <f>BY13</f>
        <v>0</v>
      </c>
      <c r="BZ906" s="713">
        <f>BZ13</f>
        <v>0</v>
      </c>
      <c r="CA906" s="701"/>
      <c r="CB906" s="714">
        <f>CB13</f>
        <v>-180</v>
      </c>
      <c r="CC906" s="714">
        <f>CC13</f>
        <v>-189</v>
      </c>
      <c r="CD906" s="713">
        <f>CD13</f>
        <v>-369</v>
      </c>
      <c r="CE906" s="715"/>
      <c r="CF906" s="714">
        <f>CF13</f>
        <v>-186</v>
      </c>
      <c r="CG906" s="714">
        <f>CG13</f>
        <v>-184</v>
      </c>
      <c r="CH906" s="713">
        <f>CH13</f>
        <v>-370</v>
      </c>
      <c r="CI906" s="715"/>
      <c r="CJ906" s="714">
        <v>-184</v>
      </c>
      <c r="CK906" s="714">
        <v>-174</v>
      </c>
      <c r="CL906" s="713">
        <f>CL13</f>
        <v>-358</v>
      </c>
      <c r="CM906" s="701"/>
      <c r="CN906" s="714">
        <v>-181</v>
      </c>
      <c r="CO906" s="714">
        <v>-157</v>
      </c>
      <c r="CP906" s="713">
        <f>CP13</f>
        <v>-338</v>
      </c>
      <c r="CQ906" s="701"/>
      <c r="CR906" s="714">
        <v>-165</v>
      </c>
      <c r="CS906" s="714">
        <v>-178</v>
      </c>
      <c r="CT906" s="713">
        <f>CT13</f>
        <v>-343</v>
      </c>
      <c r="CU906" s="701"/>
      <c r="CV906" s="714">
        <v>-202</v>
      </c>
      <c r="CW906" s="714">
        <v>-191</v>
      </c>
      <c r="CX906" s="713">
        <v>-393</v>
      </c>
      <c r="CY906" s="701"/>
      <c r="CZ906" s="714">
        <v>-209</v>
      </c>
      <c r="DA906" s="714">
        <v>-218</v>
      </c>
      <c r="DB906" s="713">
        <v>-427</v>
      </c>
      <c r="DC906" s="701"/>
      <c r="DD906" s="714">
        <v>-222</v>
      </c>
      <c r="DE906" s="714">
        <v>-236</v>
      </c>
      <c r="DF906" s="713">
        <v>-427</v>
      </c>
      <c r="DG906" s="701"/>
      <c r="DH906" s="714">
        <v>-257</v>
      </c>
      <c r="DI906" s="714">
        <f ca="1">DI13</f>
        <v>-263.80436010519225</v>
      </c>
      <c r="DJ906" s="713">
        <f ca="1">DJ13</f>
        <v>-520.97153594738393</v>
      </c>
      <c r="DK906" s="701"/>
      <c r="DL906" s="714">
        <f ca="1">DL13</f>
        <v>-277.20689343349181</v>
      </c>
      <c r="DM906" s="714">
        <f ca="1">DM13</f>
        <v>-282.50698634744697</v>
      </c>
      <c r="DN906" s="713">
        <f ca="1">DN13</f>
        <v>-559.71387978093878</v>
      </c>
      <c r="DO906" s="701"/>
      <c r="DP906" s="714">
        <f ca="1">DP13</f>
        <v>-293.28899789062393</v>
      </c>
      <c r="DQ906" s="714">
        <f ca="1">DQ13</f>
        <v>-297.66501599583336</v>
      </c>
      <c r="DR906" s="713">
        <f ca="1">DR13</f>
        <v>-590.95401388645723</v>
      </c>
      <c r="DS906" s="701"/>
    </row>
    <row r="907" spans="1:264" s="347" customFormat="1" ht="13.5" customHeight="1" x14ac:dyDescent="0.25">
      <c r="B907" s="348"/>
      <c r="BH907" s="348"/>
      <c r="BI907" s="348"/>
      <c r="BJ907" s="348"/>
      <c r="BK907" s="348"/>
      <c r="BL907" s="348"/>
      <c r="BM907" s="348"/>
      <c r="BN907" s="348"/>
      <c r="BO907" s="348"/>
      <c r="BP907" s="348"/>
      <c r="BT907" s="348"/>
      <c r="BX907" s="348"/>
      <c r="CB907" s="716">
        <f>CB905-CB906</f>
        <v>-4.8486806165300322E-2</v>
      </c>
      <c r="CC907" s="716">
        <f>CC905-CC906</f>
        <v>9.1802630136896823E-3</v>
      </c>
      <c r="CF907" s="716">
        <f>CF905-CF906</f>
        <v>4.4267125479450442E-2</v>
      </c>
      <c r="CG907" s="716">
        <f>CG905-CG906</f>
        <v>-1.4976308493174884E-2</v>
      </c>
      <c r="CH907" s="717"/>
      <c r="CI907" s="717"/>
      <c r="CJ907" s="716">
        <f>CJ905-CJ906</f>
        <v>-0.56807164590159687</v>
      </c>
      <c r="CK907" s="716">
        <f>CK905-CK906</f>
        <v>-0.41568287213115696</v>
      </c>
      <c r="CL907" s="717"/>
      <c r="CM907" s="717"/>
      <c r="CN907" s="716">
        <f>CN905-CN906</f>
        <v>-0.42473327780822956</v>
      </c>
      <c r="CO907" s="716">
        <f>CO905-CO906</f>
        <v>-0.35836842356161469</v>
      </c>
      <c r="CP907" s="717"/>
      <c r="CQ907" s="717"/>
      <c r="CR907" s="716">
        <f>CR905-CR906</f>
        <v>0.20987897424657831</v>
      </c>
      <c r="CS907" s="716">
        <f>CS905-CS906</f>
        <v>-3.4694157808218051E-2</v>
      </c>
      <c r="CT907" s="717"/>
      <c r="CU907" s="717"/>
      <c r="CV907" s="716">
        <f>CV905-CV906</f>
        <v>-0.10466104547941768</v>
      </c>
      <c r="CW907" s="716">
        <f>CW905-CW906</f>
        <v>-8.5584309589023633E-2</v>
      </c>
      <c r="CX907" s="717"/>
      <c r="CY907" s="717"/>
      <c r="CZ907" s="716">
        <f>CZ905-CZ906</f>
        <v>-0.45625370491805484</v>
      </c>
      <c r="DA907" s="716">
        <f>DA905-DA906</f>
        <v>-0.29019910163933105</v>
      </c>
      <c r="DB907" s="717"/>
      <c r="DC907" s="717"/>
      <c r="DD907" s="716">
        <f>DD905-DD906</f>
        <v>0.43669645676712321</v>
      </c>
      <c r="DE907" s="716">
        <f>DE905-DE906</f>
        <v>-1.9854554520549073E-2</v>
      </c>
      <c r="DF907" s="717"/>
      <c r="DG907" s="717"/>
      <c r="DH907" s="716">
        <f>DH905-DH906</f>
        <v>-0.16717584219173887</v>
      </c>
      <c r="DI907" s="716">
        <f ca="1">DI905-DI906</f>
        <v>0</v>
      </c>
      <c r="DJ907" s="717"/>
      <c r="DK907" s="717"/>
      <c r="DL907" s="716">
        <f ca="1">DL905-DL906</f>
        <v>0</v>
      </c>
      <c r="DM907" s="716">
        <f ca="1">DM905-DM906</f>
        <v>0</v>
      </c>
      <c r="DN907" s="717"/>
      <c r="DO907" s="717"/>
      <c r="DP907" s="716">
        <f ca="1">DP905-DP906</f>
        <v>0</v>
      </c>
      <c r="DQ907" s="716">
        <f ca="1">DQ905-DQ906</f>
        <v>0</v>
      </c>
      <c r="DR907" s="717"/>
      <c r="DS907" s="717"/>
      <c r="DT907" s="1"/>
      <c r="DU907" s="1"/>
      <c r="DV907" s="1"/>
      <c r="DW907" s="1"/>
      <c r="DX907" s="1"/>
      <c r="DY907" s="1"/>
      <c r="DZ907" s="1"/>
      <c r="EA907" s="1"/>
      <c r="EB907" s="1"/>
      <c r="EC907" s="1"/>
      <c r="ED907" s="1"/>
      <c r="EE907" s="1"/>
      <c r="EF907" s="1"/>
      <c r="EG907" s="1"/>
      <c r="EH907" s="1"/>
      <c r="EI907" s="1"/>
      <c r="EJ907" s="1"/>
      <c r="EK907" s="1"/>
      <c r="EL907" s="1"/>
      <c r="EM907" s="1"/>
      <c r="EN907" s="1"/>
      <c r="EO907" s="1"/>
      <c r="EP907" s="1"/>
      <c r="EQ907" s="1"/>
      <c r="ER907" s="1"/>
      <c r="ES907" s="1"/>
      <c r="ET907" s="1"/>
      <c r="EU907" s="1"/>
      <c r="EV907" s="1"/>
      <c r="EW907" s="1"/>
      <c r="EX907" s="1"/>
      <c r="EY907" s="1"/>
      <c r="EZ907" s="1"/>
      <c r="FA907" s="1"/>
      <c r="FB907" s="1"/>
      <c r="FC907" s="1"/>
      <c r="FD907" s="1"/>
      <c r="FE907" s="1"/>
      <c r="FF907" s="1"/>
      <c r="FG907" s="1"/>
      <c r="FH907" s="1"/>
      <c r="FI907" s="1"/>
      <c r="FJ907" s="1"/>
      <c r="FK907" s="1"/>
      <c r="FL907" s="1"/>
      <c r="FM907" s="1"/>
      <c r="FN907" s="1"/>
      <c r="FO907" s="1"/>
      <c r="FP907" s="1"/>
      <c r="FQ907" s="1"/>
      <c r="FR907" s="1"/>
      <c r="FS907" s="1"/>
      <c r="FT907" s="1"/>
      <c r="FU907" s="1"/>
      <c r="FV907" s="1"/>
      <c r="FW907" s="1"/>
      <c r="FX907" s="1"/>
      <c r="FY907" s="1"/>
      <c r="FZ907" s="1"/>
      <c r="GA907" s="1"/>
      <c r="GB907" s="1"/>
      <c r="GC907" s="1"/>
      <c r="GD907" s="1"/>
      <c r="GE907" s="1"/>
      <c r="GF907" s="1"/>
      <c r="GG907" s="1"/>
      <c r="GH907" s="1"/>
      <c r="GI907" s="1"/>
      <c r="GJ907" s="1"/>
      <c r="GK907" s="1"/>
      <c r="GL907" s="1"/>
      <c r="GM907" s="1"/>
      <c r="GN907" s="1"/>
      <c r="GO907" s="1"/>
      <c r="GP907" s="1"/>
      <c r="GQ907" s="1"/>
      <c r="GR907" s="1"/>
      <c r="GS907" s="1"/>
      <c r="GT907" s="1"/>
      <c r="GU907" s="1"/>
      <c r="GV907" s="1"/>
      <c r="GW907" s="1"/>
      <c r="GX907" s="1"/>
      <c r="GY907" s="1"/>
      <c r="GZ907" s="1"/>
      <c r="HA907" s="1"/>
      <c r="HB907" s="1"/>
      <c r="HC907" s="1"/>
      <c r="HD907" s="1"/>
      <c r="HE907" s="1"/>
      <c r="HF907" s="1"/>
      <c r="HG907" s="1"/>
      <c r="HH907" s="1"/>
      <c r="HI907" s="1"/>
      <c r="HJ907" s="1"/>
      <c r="HK907" s="1"/>
      <c r="HL907" s="1"/>
      <c r="HM907" s="1"/>
      <c r="HN907" s="1"/>
      <c r="HO907" s="1"/>
      <c r="HP907" s="1"/>
      <c r="HQ907" s="1"/>
      <c r="HR907" s="1"/>
      <c r="HS907" s="1"/>
      <c r="HT907" s="1"/>
      <c r="HU907" s="1"/>
      <c r="HV907" s="1"/>
      <c r="HW907" s="1"/>
      <c r="HX907" s="1"/>
      <c r="HY907" s="1"/>
      <c r="HZ907" s="1"/>
      <c r="IA907" s="1"/>
      <c r="IB907" s="1"/>
      <c r="IC907" s="1"/>
      <c r="ID907" s="1"/>
      <c r="IE907" s="1"/>
      <c r="IF907" s="1"/>
      <c r="IG907" s="1"/>
      <c r="IH907" s="1"/>
      <c r="II907" s="1"/>
      <c r="IJ907" s="1"/>
      <c r="IK907" s="1"/>
      <c r="IL907" s="1"/>
      <c r="IM907" s="1"/>
      <c r="IN907" s="1"/>
      <c r="IO907" s="1"/>
      <c r="IP907" s="1"/>
      <c r="IQ907" s="1"/>
      <c r="IR907" s="1"/>
      <c r="IS907" s="1"/>
      <c r="IT907" s="1"/>
      <c r="IU907" s="1"/>
      <c r="IV907" s="1"/>
      <c r="IW907" s="1"/>
      <c r="IX907" s="1"/>
      <c r="IY907" s="1"/>
      <c r="IZ907" s="1"/>
      <c r="JA907" s="1"/>
      <c r="JB907" s="1"/>
      <c r="JC907" s="1"/>
      <c r="JD907" s="1"/>
    </row>
    <row r="908" spans="1:264" s="460" customFormat="1" x14ac:dyDescent="0.2">
      <c r="A908" s="568" t="s">
        <v>639</v>
      </c>
      <c r="B908" s="569"/>
      <c r="C908" s="568"/>
      <c r="D908" s="568"/>
      <c r="E908" s="568"/>
      <c r="F908" s="568"/>
      <c r="G908" s="568"/>
      <c r="H908" s="568"/>
      <c r="I908" s="568"/>
      <c r="J908" s="568"/>
      <c r="K908" s="568"/>
      <c r="L908" s="568"/>
      <c r="M908" s="568"/>
      <c r="N908" s="568"/>
      <c r="O908" s="568"/>
      <c r="P908" s="568"/>
      <c r="Q908" s="568"/>
      <c r="R908" s="568"/>
      <c r="S908" s="568"/>
      <c r="T908" s="568"/>
      <c r="U908" s="568"/>
      <c r="V908" s="568"/>
      <c r="W908" s="568"/>
      <c r="X908" s="568"/>
      <c r="Y908" s="568"/>
      <c r="Z908" s="568"/>
      <c r="AA908" s="568"/>
      <c r="AB908" s="568"/>
      <c r="AC908" s="568"/>
      <c r="AD908" s="568"/>
      <c r="AE908" s="568"/>
      <c r="AF908" s="568"/>
      <c r="AG908" s="568"/>
      <c r="AH908" s="568"/>
      <c r="AI908" s="568"/>
      <c r="AJ908" s="568"/>
      <c r="AK908" s="568"/>
      <c r="AL908" s="568"/>
      <c r="AM908" s="568"/>
      <c r="AN908" s="568"/>
      <c r="AO908" s="568"/>
      <c r="AP908" s="568"/>
      <c r="AQ908" s="568"/>
      <c r="AR908" s="568"/>
      <c r="AS908" s="568"/>
      <c r="AT908" s="568"/>
      <c r="AU908" s="568"/>
      <c r="AV908" s="568"/>
      <c r="AW908" s="568"/>
      <c r="AX908" s="568"/>
      <c r="AY908" s="568"/>
      <c r="AZ908" s="568"/>
      <c r="BA908" s="568"/>
      <c r="BB908" s="568"/>
      <c r="BC908" s="568"/>
      <c r="BD908" s="568"/>
      <c r="BE908" s="568"/>
      <c r="BF908" s="568"/>
      <c r="BG908" s="568"/>
      <c r="BH908" s="569"/>
      <c r="BI908" s="569"/>
      <c r="BJ908" s="569"/>
      <c r="BK908" s="569"/>
      <c r="BL908" s="569"/>
      <c r="BM908" s="569"/>
      <c r="BN908" s="569"/>
      <c r="BO908" s="569"/>
      <c r="BP908" s="569"/>
      <c r="BQ908" s="568"/>
      <c r="BR908" s="568"/>
      <c r="BS908" s="568"/>
      <c r="BT908" s="569"/>
      <c r="BU908" s="568"/>
      <c r="BV908" s="568"/>
      <c r="BW908" s="568"/>
      <c r="BX908" s="569"/>
      <c r="BY908" s="568"/>
      <c r="BZ908" s="568"/>
      <c r="CA908" s="568"/>
      <c r="CB908" s="569"/>
      <c r="CC908" s="568"/>
      <c r="CD908" s="568"/>
      <c r="CE908" s="568"/>
      <c r="CF908" s="569"/>
      <c r="CG908" s="568"/>
      <c r="CH908" s="568"/>
      <c r="CI908" s="568"/>
      <c r="CJ908" s="569"/>
      <c r="CK908" s="568"/>
      <c r="CL908" s="568"/>
      <c r="CM908" s="568"/>
      <c r="CN908" s="569"/>
      <c r="CO908" s="568"/>
      <c r="CP908" s="568"/>
      <c r="CQ908" s="568"/>
      <c r="CR908" s="569"/>
      <c r="CS908" s="568"/>
      <c r="CT908" s="568"/>
      <c r="CU908" s="568"/>
      <c r="CV908" s="569"/>
      <c r="CW908" s="568"/>
      <c r="CX908" s="568"/>
      <c r="CY908" s="568"/>
      <c r="CZ908" s="569"/>
      <c r="DA908" s="568"/>
      <c r="DB908" s="568"/>
      <c r="DC908" s="568"/>
      <c r="DD908" s="569"/>
      <c r="DE908" s="568"/>
      <c r="DF908" s="568"/>
      <c r="DG908" s="568"/>
      <c r="DH908" s="569"/>
      <c r="DI908" s="568"/>
      <c r="DJ908" s="568"/>
      <c r="DK908" s="568"/>
      <c r="DL908" s="569"/>
      <c r="DM908" s="568"/>
      <c r="DN908" s="568"/>
      <c r="DO908" s="568"/>
      <c r="DP908" s="569"/>
      <c r="DQ908" s="568"/>
      <c r="DR908" s="568"/>
      <c r="DS908" s="568"/>
      <c r="DT908" s="1"/>
      <c r="DU908" s="1"/>
      <c r="DV908" s="1"/>
      <c r="DW908" s="1"/>
      <c r="DX908" s="1"/>
      <c r="DY908" s="1"/>
      <c r="DZ908" s="1"/>
      <c r="EA908" s="1"/>
      <c r="EB908" s="1"/>
      <c r="EC908" s="1"/>
      <c r="ED908" s="1"/>
      <c r="EE908" s="1"/>
      <c r="EF908" s="1"/>
      <c r="EG908" s="1"/>
      <c r="EH908" s="1"/>
      <c r="EI908" s="1"/>
      <c r="EJ908" s="1"/>
      <c r="EK908" s="1"/>
      <c r="EL908" s="1"/>
      <c r="EM908" s="1"/>
      <c r="EN908" s="1"/>
      <c r="EO908" s="1"/>
      <c r="EP908" s="1"/>
      <c r="EQ908" s="1"/>
      <c r="ER908" s="1"/>
      <c r="ES908" s="1"/>
      <c r="ET908" s="1"/>
      <c r="EU908" s="1"/>
      <c r="EV908" s="1"/>
      <c r="EW908" s="1"/>
      <c r="EX908" s="1"/>
      <c r="EY908" s="1"/>
      <c r="EZ908" s="1"/>
      <c r="FA908" s="1"/>
      <c r="FB908" s="1"/>
      <c r="FC908" s="1"/>
      <c r="FD908" s="1"/>
      <c r="FE908" s="1"/>
      <c r="FF908" s="1"/>
      <c r="FG908" s="1"/>
      <c r="FH908" s="1"/>
      <c r="FI908" s="1"/>
      <c r="FJ908" s="1"/>
      <c r="FK908" s="1"/>
      <c r="FL908" s="1"/>
      <c r="FM908" s="1"/>
      <c r="FN908" s="1"/>
      <c r="FO908" s="1"/>
      <c r="FP908" s="1"/>
      <c r="FQ908" s="1"/>
      <c r="FR908" s="1"/>
      <c r="FS908" s="1"/>
      <c r="FT908" s="1"/>
      <c r="FU908" s="1"/>
      <c r="FV908" s="1"/>
      <c r="FW908" s="1"/>
      <c r="FX908" s="1"/>
      <c r="FY908" s="1"/>
      <c r="FZ908" s="1"/>
      <c r="GA908" s="1"/>
      <c r="GB908" s="1"/>
      <c r="GC908" s="1"/>
      <c r="GD908" s="1"/>
      <c r="GE908" s="1"/>
      <c r="GF908" s="1"/>
      <c r="GG908" s="1"/>
      <c r="GH908" s="1"/>
      <c r="GI908" s="1"/>
      <c r="GJ908" s="1"/>
      <c r="GK908" s="1"/>
      <c r="GL908" s="1"/>
      <c r="GM908" s="1"/>
      <c r="GN908" s="1"/>
      <c r="GO908" s="1"/>
      <c r="GP908" s="1"/>
      <c r="GQ908" s="1"/>
      <c r="GR908" s="1"/>
      <c r="GS908" s="1"/>
      <c r="GT908" s="1"/>
      <c r="GU908" s="1"/>
      <c r="GV908" s="1"/>
      <c r="GW908" s="1"/>
      <c r="GX908" s="1"/>
      <c r="GY908" s="1"/>
      <c r="GZ908" s="1"/>
      <c r="HA908" s="1"/>
      <c r="HB908" s="1"/>
      <c r="HC908" s="1"/>
      <c r="HD908" s="1"/>
      <c r="HE908" s="1"/>
      <c r="HF908" s="1"/>
      <c r="HG908" s="1"/>
      <c r="HH908" s="1"/>
      <c r="HI908" s="1"/>
      <c r="HJ908" s="1"/>
      <c r="HK908" s="1"/>
      <c r="HL908" s="1"/>
      <c r="HM908" s="1"/>
      <c r="HN908" s="1"/>
      <c r="HO908" s="1"/>
      <c r="HP908" s="1"/>
      <c r="HQ908" s="1"/>
      <c r="HR908" s="1"/>
      <c r="HS908" s="1"/>
      <c r="HT908" s="1"/>
      <c r="HU908" s="1"/>
      <c r="HV908" s="1"/>
      <c r="HW908" s="1"/>
      <c r="HX908" s="1"/>
      <c r="HY908" s="1"/>
      <c r="HZ908" s="1"/>
      <c r="IA908" s="1"/>
      <c r="IB908" s="1"/>
      <c r="IC908" s="1"/>
      <c r="ID908" s="1"/>
      <c r="IE908" s="1"/>
      <c r="IF908" s="1"/>
      <c r="IG908" s="1"/>
      <c r="IH908" s="1"/>
      <c r="II908" s="1"/>
      <c r="IJ908" s="1"/>
      <c r="IK908" s="1"/>
      <c r="IL908" s="1"/>
      <c r="IM908" s="1"/>
      <c r="IN908" s="1"/>
      <c r="IO908" s="1"/>
      <c r="IP908" s="1"/>
      <c r="IQ908" s="1"/>
      <c r="IR908" s="1"/>
      <c r="IS908" s="1"/>
      <c r="IT908" s="1"/>
      <c r="IU908" s="1"/>
      <c r="IV908" s="1"/>
      <c r="IW908" s="1"/>
      <c r="IX908" s="1"/>
      <c r="IY908" s="1"/>
      <c r="IZ908" s="1"/>
      <c r="JA908" s="1"/>
      <c r="JB908" s="1"/>
      <c r="JC908" s="1"/>
      <c r="JD908" s="1"/>
    </row>
    <row r="909" spans="1:264" s="347" customFormat="1" x14ac:dyDescent="0.2">
      <c r="B909" s="348"/>
      <c r="BH909" s="348"/>
      <c r="BI909" s="348"/>
      <c r="BJ909" s="348"/>
      <c r="BK909" s="348"/>
      <c r="BL909" s="348"/>
      <c r="BM909" s="348"/>
      <c r="BN909" s="348"/>
      <c r="BO909" s="348"/>
      <c r="BP909" s="348"/>
      <c r="BT909" s="348"/>
      <c r="BX909" s="348"/>
      <c r="CB909" s="348"/>
      <c r="CF909" s="348"/>
      <c r="CJ909" s="348"/>
      <c r="CN909" s="348"/>
      <c r="CR909" s="348"/>
      <c r="CU909" s="1"/>
      <c r="CV909" s="348"/>
      <c r="CZ909" s="348"/>
      <c r="DD909" s="348"/>
      <c r="DH909" s="348"/>
      <c r="DL909" s="348"/>
      <c r="DP909" s="348"/>
      <c r="DT909" s="1"/>
      <c r="DU909" s="1"/>
      <c r="DV909" s="1"/>
      <c r="DW909" s="1"/>
      <c r="DX909" s="1"/>
      <c r="DY909" s="1"/>
      <c r="DZ909" s="1"/>
      <c r="EA909" s="1"/>
      <c r="EB909" s="1"/>
      <c r="EC909" s="1"/>
      <c r="ED909" s="1"/>
      <c r="EE909" s="1"/>
      <c r="EF909" s="1"/>
      <c r="EG909" s="1"/>
      <c r="EH909" s="1"/>
      <c r="EI909" s="1"/>
      <c r="EJ909" s="1"/>
      <c r="EK909" s="1"/>
      <c r="EL909" s="1"/>
      <c r="EM909" s="1"/>
      <c r="EN909" s="1"/>
      <c r="EO909" s="1"/>
      <c r="EP909" s="1"/>
      <c r="EQ909" s="1"/>
      <c r="ER909" s="1"/>
      <c r="ES909" s="1"/>
      <c r="ET909" s="1"/>
      <c r="EU909" s="1"/>
      <c r="EV909" s="1"/>
      <c r="EW909" s="1"/>
      <c r="EX909" s="1"/>
      <c r="EY909" s="1"/>
      <c r="EZ909" s="1"/>
      <c r="FA909" s="1"/>
      <c r="FB909" s="1"/>
      <c r="FC909" s="1"/>
      <c r="FD909" s="1"/>
      <c r="FE909" s="1"/>
      <c r="FF909" s="1"/>
      <c r="FG909" s="1"/>
      <c r="FH909" s="1"/>
      <c r="FI909" s="1"/>
      <c r="FJ909" s="1"/>
      <c r="FK909" s="1"/>
      <c r="FL909" s="1"/>
      <c r="FM909" s="1"/>
      <c r="FN909" s="1"/>
      <c r="FO909" s="1"/>
      <c r="FP909" s="1"/>
      <c r="FQ909" s="1"/>
      <c r="FR909" s="1"/>
      <c r="FS909" s="1"/>
      <c r="FT909" s="1"/>
      <c r="FU909" s="1"/>
      <c r="FV909" s="1"/>
      <c r="FW909" s="1"/>
      <c r="FX909" s="1"/>
      <c r="FY909" s="1"/>
      <c r="FZ909" s="1"/>
      <c r="GA909" s="1"/>
      <c r="GB909" s="1"/>
      <c r="GC909" s="1"/>
      <c r="GD909" s="1"/>
      <c r="GE909" s="1"/>
      <c r="GF909" s="1"/>
      <c r="GG909" s="1"/>
      <c r="GH909" s="1"/>
      <c r="GI909" s="1"/>
      <c r="GJ909" s="1"/>
      <c r="GK909" s="1"/>
      <c r="GL909" s="1"/>
      <c r="GM909" s="1"/>
      <c r="GN909" s="1"/>
      <c r="GO909" s="1"/>
      <c r="GP909" s="1"/>
      <c r="GQ909" s="1"/>
      <c r="GR909" s="1"/>
      <c r="GS909" s="1"/>
      <c r="GT909" s="1"/>
      <c r="GU909" s="1"/>
      <c r="GV909" s="1"/>
      <c r="GW909" s="1"/>
      <c r="GX909" s="1"/>
      <c r="GY909" s="1"/>
      <c r="GZ909" s="1"/>
      <c r="HA909" s="1"/>
      <c r="HB909" s="1"/>
      <c r="HC909" s="1"/>
      <c r="HD909" s="1"/>
      <c r="HE909" s="1"/>
      <c r="HF909" s="1"/>
      <c r="HG909" s="1"/>
      <c r="HH909" s="1"/>
      <c r="HI909" s="1"/>
      <c r="HJ909" s="1"/>
      <c r="HK909" s="1"/>
      <c r="HL909" s="1"/>
      <c r="HM909" s="1"/>
      <c r="HN909" s="1"/>
      <c r="HO909" s="1"/>
      <c r="HP909" s="1"/>
      <c r="HQ909" s="1"/>
      <c r="HR909" s="1"/>
      <c r="HS909" s="1"/>
      <c r="HT909" s="1"/>
      <c r="HU909" s="1"/>
      <c r="HV909" s="1"/>
      <c r="HW909" s="1"/>
      <c r="HX909" s="1"/>
      <c r="HY909" s="1"/>
      <c r="HZ909" s="1"/>
      <c r="IA909" s="1"/>
      <c r="IB909" s="1"/>
      <c r="IC909" s="1"/>
      <c r="ID909" s="1"/>
      <c r="IE909" s="1"/>
      <c r="IF909" s="1"/>
      <c r="IG909" s="1"/>
      <c r="IH909" s="1"/>
      <c r="II909" s="1"/>
      <c r="IJ909" s="1"/>
      <c r="IK909" s="1"/>
      <c r="IL909" s="1"/>
      <c r="IM909" s="1"/>
      <c r="IN909" s="1"/>
      <c r="IO909" s="1"/>
      <c r="IP909" s="1"/>
      <c r="IQ909" s="1"/>
      <c r="IR909" s="1"/>
      <c r="IS909" s="1"/>
      <c r="IT909" s="1"/>
      <c r="IU909" s="1"/>
      <c r="IV909" s="1"/>
      <c r="IW909" s="1"/>
      <c r="IX909" s="1"/>
      <c r="IY909" s="1"/>
      <c r="IZ909" s="1"/>
      <c r="JA909" s="1"/>
      <c r="JB909" s="1"/>
      <c r="JC909" s="1"/>
      <c r="JD909" s="1"/>
    </row>
    <row r="910" spans="1:264" s="347" customFormat="1" x14ac:dyDescent="0.2">
      <c r="A910" s="411" t="s">
        <v>640</v>
      </c>
      <c r="B910" s="348"/>
      <c r="BH910" s="348"/>
      <c r="BI910" s="348"/>
      <c r="BJ910" s="348"/>
      <c r="BK910" s="348"/>
      <c r="BL910" s="348"/>
      <c r="BM910" s="348"/>
      <c r="BN910" s="348"/>
      <c r="BO910" s="348"/>
      <c r="BP910" s="348"/>
      <c r="BT910" s="348"/>
      <c r="BX910" s="348"/>
      <c r="CB910" s="348"/>
      <c r="CF910" s="348"/>
      <c r="CJ910" s="348"/>
      <c r="CN910" s="348"/>
      <c r="CR910" s="348"/>
      <c r="CV910" s="348"/>
      <c r="CZ910" s="348"/>
      <c r="DD910" s="348"/>
      <c r="DH910" s="348"/>
      <c r="DL910" s="348"/>
      <c r="DP910" s="348"/>
      <c r="DT910" s="1"/>
      <c r="DU910" s="1"/>
      <c r="DV910" s="1"/>
      <c r="DW910" s="1"/>
      <c r="DX910" s="1"/>
      <c r="DY910" s="1"/>
      <c r="DZ910" s="1"/>
      <c r="EA910" s="1"/>
      <c r="EB910" s="1"/>
      <c r="EC910" s="1"/>
      <c r="ED910" s="1"/>
      <c r="EE910" s="1"/>
      <c r="EF910" s="1"/>
      <c r="EG910" s="1"/>
      <c r="EH910" s="1"/>
      <c r="EI910" s="1"/>
      <c r="EJ910" s="1"/>
      <c r="EK910" s="1"/>
      <c r="EL910" s="1"/>
      <c r="EM910" s="1"/>
      <c r="EN910" s="1"/>
      <c r="EO910" s="1"/>
      <c r="EP910" s="1"/>
      <c r="EQ910" s="1"/>
      <c r="ER910" s="1"/>
      <c r="ES910" s="1"/>
      <c r="ET910" s="1"/>
      <c r="EU910" s="1"/>
      <c r="EV910" s="1"/>
      <c r="EW910" s="1"/>
      <c r="EX910" s="1"/>
      <c r="EY910" s="1"/>
      <c r="EZ910" s="1"/>
      <c r="FA910" s="1"/>
      <c r="FB910" s="1"/>
      <c r="FC910" s="1"/>
      <c r="FD910" s="1"/>
      <c r="FE910" s="1"/>
      <c r="FF910" s="1"/>
      <c r="FG910" s="1"/>
      <c r="FH910" s="1"/>
      <c r="FI910" s="1"/>
      <c r="FJ910" s="1"/>
      <c r="FK910" s="1"/>
      <c r="FL910" s="1"/>
      <c r="FM910" s="1"/>
      <c r="FN910" s="1"/>
      <c r="FO910" s="1"/>
      <c r="FP910" s="1"/>
      <c r="FQ910" s="1"/>
      <c r="FR910" s="1"/>
      <c r="FS910" s="1"/>
      <c r="FT910" s="1"/>
      <c r="FU910" s="1"/>
      <c r="FV910" s="1"/>
      <c r="FW910" s="1"/>
      <c r="FX910" s="1"/>
      <c r="FY910" s="1"/>
      <c r="FZ910" s="1"/>
      <c r="GA910" s="1"/>
      <c r="GB910" s="1"/>
      <c r="GC910" s="1"/>
      <c r="GD910" s="1"/>
      <c r="GE910" s="1"/>
      <c r="GF910" s="1"/>
      <c r="GG910" s="1"/>
      <c r="GH910" s="1"/>
      <c r="GI910" s="1"/>
      <c r="GJ910" s="1"/>
      <c r="GK910" s="1"/>
      <c r="GL910" s="1"/>
      <c r="GM910" s="1"/>
      <c r="GN910" s="1"/>
      <c r="GO910" s="1"/>
      <c r="GP910" s="1"/>
      <c r="GQ910" s="1"/>
      <c r="GR910" s="1"/>
      <c r="GS910" s="1"/>
      <c r="GT910" s="1"/>
      <c r="GU910" s="1"/>
      <c r="GV910" s="1"/>
      <c r="GW910" s="1"/>
      <c r="GX910" s="1"/>
      <c r="GY910" s="1"/>
      <c r="GZ910" s="1"/>
      <c r="HA910" s="1"/>
      <c r="HB910" s="1"/>
      <c r="HC910" s="1"/>
      <c r="HD910" s="1"/>
      <c r="HE910" s="1"/>
      <c r="HF910" s="1"/>
      <c r="HG910" s="1"/>
      <c r="HH910" s="1"/>
      <c r="HI910" s="1"/>
      <c r="HJ910" s="1"/>
      <c r="HK910" s="1"/>
      <c r="HL910" s="1"/>
      <c r="HM910" s="1"/>
      <c r="HN910" s="1"/>
      <c r="HO910" s="1"/>
      <c r="HP910" s="1"/>
      <c r="HQ910" s="1"/>
      <c r="HR910" s="1"/>
      <c r="HS910" s="1"/>
      <c r="HT910" s="1"/>
      <c r="HU910" s="1"/>
      <c r="HV910" s="1"/>
      <c r="HW910" s="1"/>
      <c r="HX910" s="1"/>
      <c r="HY910" s="1"/>
      <c r="HZ910" s="1"/>
      <c r="IA910" s="1"/>
      <c r="IB910" s="1"/>
      <c r="IC910" s="1"/>
      <c r="ID910" s="1"/>
      <c r="IE910" s="1"/>
      <c r="IF910" s="1"/>
      <c r="IG910" s="1"/>
      <c r="IH910" s="1"/>
      <c r="II910" s="1"/>
      <c r="IJ910" s="1"/>
      <c r="IK910" s="1"/>
      <c r="IL910" s="1"/>
      <c r="IM910" s="1"/>
      <c r="IN910" s="1"/>
      <c r="IO910" s="1"/>
      <c r="IP910" s="1"/>
      <c r="IQ910" s="1"/>
      <c r="IR910" s="1"/>
      <c r="IS910" s="1"/>
      <c r="IT910" s="1"/>
      <c r="IU910" s="1"/>
      <c r="IV910" s="1"/>
      <c r="IW910" s="1"/>
      <c r="IX910" s="1"/>
      <c r="IY910" s="1"/>
      <c r="IZ910" s="1"/>
      <c r="JA910" s="1"/>
      <c r="JB910" s="1"/>
      <c r="JC910" s="1"/>
      <c r="JD910" s="1"/>
    </row>
    <row r="911" spans="1:264" s="347" customFormat="1" x14ac:dyDescent="0.2">
      <c r="A911" s="463" t="s">
        <v>641</v>
      </c>
      <c r="B911" s="466"/>
      <c r="C911" s="463"/>
      <c r="D911" s="463"/>
      <c r="E911" s="463"/>
      <c r="F911" s="463"/>
      <c r="G911" s="463"/>
      <c r="H911" s="463"/>
      <c r="I911" s="463"/>
      <c r="J911" s="463"/>
      <c r="K911" s="463"/>
      <c r="L911" s="463"/>
      <c r="M911" s="463"/>
      <c r="N911" s="463"/>
      <c r="O911" s="463"/>
      <c r="P911" s="463"/>
      <c r="Q911" s="463"/>
      <c r="R911" s="463"/>
      <c r="S911" s="463"/>
      <c r="T911" s="463"/>
      <c r="U911" s="463"/>
      <c r="V911" s="463"/>
      <c r="W911" s="463"/>
      <c r="X911" s="463"/>
      <c r="Y911" s="463"/>
      <c r="Z911" s="463"/>
      <c r="AA911" s="463"/>
      <c r="AB911" s="463"/>
      <c r="AC911" s="463"/>
      <c r="AD911" s="463"/>
      <c r="AE911" s="463"/>
      <c r="AF911" s="463"/>
      <c r="AG911" s="463"/>
      <c r="AH911" s="463"/>
      <c r="AI911" s="463"/>
      <c r="AJ911" s="463"/>
      <c r="AK911" s="463"/>
      <c r="AL911" s="463"/>
      <c r="AM911" s="463"/>
      <c r="AN911" s="463"/>
      <c r="AO911" s="463"/>
      <c r="AP911" s="463"/>
      <c r="AQ911" s="463"/>
      <c r="AR911" s="463"/>
      <c r="AS911" s="463"/>
      <c r="AT911" s="463"/>
      <c r="AU911" s="463"/>
      <c r="AV911" s="463"/>
      <c r="AW911" s="463"/>
      <c r="AX911" s="463"/>
      <c r="AY911" s="463"/>
      <c r="AZ911" s="463"/>
      <c r="BA911" s="463"/>
      <c r="BB911" s="463"/>
      <c r="BC911" s="463"/>
      <c r="BD911" s="463"/>
      <c r="BE911" s="463"/>
      <c r="BF911" s="463"/>
      <c r="BG911" s="463"/>
      <c r="BH911" s="485">
        <f>BH35</f>
        <v>-8</v>
      </c>
      <c r="BI911" s="485">
        <f>BI35</f>
        <v>-8</v>
      </c>
      <c r="BJ911" s="485">
        <f>+BI911+BH911</f>
        <v>-16</v>
      </c>
      <c r="BK911" s="466"/>
      <c r="BL911" s="485">
        <f>BL35</f>
        <v>-10</v>
      </c>
      <c r="BM911" s="485">
        <f>BM35</f>
        <v>-9</v>
      </c>
      <c r="BN911" s="485">
        <f>+BM911+BL911</f>
        <v>-19</v>
      </c>
      <c r="BO911" s="466"/>
      <c r="BP911" s="485">
        <f>BP35</f>
        <v>-10</v>
      </c>
      <c r="BQ911" s="485">
        <f>BQ35</f>
        <v>-11</v>
      </c>
      <c r="BR911" s="485">
        <f>+BQ911+BP911</f>
        <v>-21</v>
      </c>
      <c r="BS911" s="463"/>
      <c r="BT911" s="485">
        <f>BT35</f>
        <v>-11</v>
      </c>
      <c r="BU911" s="485">
        <f>BU35</f>
        <v>-9</v>
      </c>
      <c r="BV911" s="485">
        <f>+BU911+BT911</f>
        <v>-20</v>
      </c>
      <c r="BW911" s="463"/>
      <c r="BX911" s="485">
        <f>BX35</f>
        <v>-9</v>
      </c>
      <c r="BY911" s="485">
        <f>BY35</f>
        <v>-11</v>
      </c>
      <c r="BZ911" s="485">
        <f>+BY911+BX911</f>
        <v>-20</v>
      </c>
      <c r="CA911" s="463"/>
      <c r="CB911" s="485">
        <f>CB35</f>
        <v>-6</v>
      </c>
      <c r="CC911" s="485">
        <f>CC35</f>
        <v>-7</v>
      </c>
      <c r="CD911" s="485">
        <f>+CC911+CB911</f>
        <v>-13</v>
      </c>
      <c r="CE911" s="463"/>
      <c r="CF911" s="485">
        <f>CF35</f>
        <v>-6</v>
      </c>
      <c r="CG911" s="485">
        <f>CG35</f>
        <v>-6</v>
      </c>
      <c r="CH911" s="485">
        <f>+CG911+CF911</f>
        <v>-12</v>
      </c>
      <c r="CI911" s="463"/>
      <c r="CJ911" s="485">
        <f>CJ35</f>
        <v>0</v>
      </c>
      <c r="CK911" s="485">
        <f>CK35</f>
        <v>0</v>
      </c>
      <c r="CL911" s="485">
        <f>+CK911+CJ911</f>
        <v>0</v>
      </c>
      <c r="CM911" s="463"/>
      <c r="CN911" s="485">
        <f>CN35</f>
        <v>0</v>
      </c>
      <c r="CO911" s="485">
        <f>CO35</f>
        <v>0</v>
      </c>
      <c r="CP911" s="485">
        <f>+CO911+CN911</f>
        <v>0</v>
      </c>
      <c r="CQ911" s="463"/>
      <c r="CR911" s="485">
        <f>CR35</f>
        <v>0</v>
      </c>
      <c r="CS911" s="485">
        <f>CS35</f>
        <v>0</v>
      </c>
      <c r="CT911" s="485">
        <f>+CS911+CR911</f>
        <v>0</v>
      </c>
      <c r="CU911" s="463"/>
      <c r="CV911" s="485">
        <f>CV35</f>
        <v>0</v>
      </c>
      <c r="CW911" s="485">
        <f>CW35</f>
        <v>0</v>
      </c>
      <c r="CX911" s="485">
        <f>+CW911+CV911</f>
        <v>0</v>
      </c>
      <c r="CY911" s="463"/>
      <c r="CZ911" s="485">
        <f>CZ35</f>
        <v>0</v>
      </c>
      <c r="DA911" s="485">
        <f>DA35</f>
        <v>0</v>
      </c>
      <c r="DB911" s="485">
        <f>+DA911+CZ911</f>
        <v>0</v>
      </c>
      <c r="DC911" s="463"/>
      <c r="DD911" s="485">
        <f>DD35</f>
        <v>0</v>
      </c>
      <c r="DE911" s="485">
        <f>DE35</f>
        <v>0</v>
      </c>
      <c r="DF911" s="485">
        <f>+DE911+DD911</f>
        <v>0</v>
      </c>
      <c r="DG911" s="463"/>
      <c r="DH911" s="485">
        <f>DH35</f>
        <v>0</v>
      </c>
      <c r="DI911" s="514">
        <v>0</v>
      </c>
      <c r="DJ911" s="485">
        <f>DI911</f>
        <v>0</v>
      </c>
      <c r="DK911" s="463"/>
      <c r="DL911" s="514">
        <v>0</v>
      </c>
      <c r="DM911" s="514">
        <v>0</v>
      </c>
      <c r="DN911" s="485">
        <f>DM911</f>
        <v>0</v>
      </c>
      <c r="DO911" s="463"/>
      <c r="DP911" s="514">
        <v>0</v>
      </c>
      <c r="DQ911" s="514">
        <v>0</v>
      </c>
      <c r="DR911" s="485">
        <f>DQ911</f>
        <v>0</v>
      </c>
      <c r="DS911" s="463"/>
      <c r="DT911" s="1"/>
      <c r="DU911" s="1"/>
      <c r="DV911" s="1"/>
      <c r="DW911" s="1"/>
      <c r="DX911" s="1"/>
      <c r="DY911" s="1"/>
      <c r="DZ911" s="1"/>
      <c r="EA911" s="1"/>
      <c r="EB911" s="1"/>
      <c r="EC911" s="1"/>
      <c r="ED911" s="1"/>
      <c r="EE911" s="1"/>
      <c r="EF911" s="1"/>
      <c r="EG911" s="1"/>
      <c r="EH911" s="1"/>
      <c r="EI911" s="1"/>
      <c r="EJ911" s="1"/>
      <c r="EK911" s="1"/>
      <c r="EL911" s="1"/>
      <c r="EM911" s="1"/>
      <c r="EN911" s="1"/>
      <c r="EO911" s="1"/>
      <c r="EP911" s="1"/>
      <c r="EQ911" s="1"/>
      <c r="ER911" s="1"/>
      <c r="ES911" s="1"/>
      <c r="ET911" s="1"/>
      <c r="EU911" s="1"/>
      <c r="EV911" s="1"/>
      <c r="EW911" s="1"/>
      <c r="EX911" s="1"/>
      <c r="EY911" s="1"/>
      <c r="EZ911" s="1"/>
      <c r="FA911" s="1"/>
      <c r="FB911" s="1"/>
      <c r="FC911" s="1"/>
      <c r="FD911" s="1"/>
      <c r="FE911" s="1"/>
      <c r="FF911" s="1"/>
      <c r="FG911" s="1"/>
      <c r="FH911" s="1"/>
      <c r="FI911" s="1"/>
      <c r="FJ911" s="1"/>
      <c r="FK911" s="1"/>
      <c r="FL911" s="1"/>
      <c r="FM911" s="1"/>
      <c r="FN911" s="1"/>
      <c r="FO911" s="1"/>
      <c r="FP911" s="1"/>
      <c r="FQ911" s="1"/>
      <c r="FR911" s="1"/>
      <c r="FS911" s="1"/>
      <c r="FT911" s="1"/>
      <c r="FU911" s="1"/>
      <c r="FV911" s="1"/>
      <c r="FW911" s="1"/>
      <c r="FX911" s="1"/>
      <c r="FY911" s="1"/>
      <c r="FZ911" s="1"/>
      <c r="GA911" s="1"/>
      <c r="GB911" s="1"/>
      <c r="GC911" s="1"/>
      <c r="GD911" s="1"/>
      <c r="GE911" s="1"/>
      <c r="GF911" s="1"/>
      <c r="GG911" s="1"/>
      <c r="GH911" s="1"/>
      <c r="GI911" s="1"/>
      <c r="GJ911" s="1"/>
      <c r="GK911" s="1"/>
      <c r="GL911" s="1"/>
      <c r="GM911" s="1"/>
      <c r="GN911" s="1"/>
      <c r="GO911" s="1"/>
      <c r="GP911" s="1"/>
      <c r="GQ911" s="1"/>
      <c r="GR911" s="1"/>
      <c r="GS911" s="1"/>
      <c r="GT911" s="1"/>
      <c r="GU911" s="1"/>
      <c r="GV911" s="1"/>
      <c r="GW911" s="1"/>
      <c r="GX911" s="1"/>
      <c r="GY911" s="1"/>
      <c r="GZ911" s="1"/>
      <c r="HA911" s="1"/>
      <c r="HB911" s="1"/>
      <c r="HC911" s="1"/>
      <c r="HD911" s="1"/>
      <c r="HE911" s="1"/>
      <c r="HF911" s="1"/>
      <c r="HG911" s="1"/>
      <c r="HH911" s="1"/>
      <c r="HI911" s="1"/>
      <c r="HJ911" s="1"/>
      <c r="HK911" s="1"/>
      <c r="HL911" s="1"/>
      <c r="HM911" s="1"/>
      <c r="HN911" s="1"/>
      <c r="HO911" s="1"/>
      <c r="HP911" s="1"/>
      <c r="HQ911" s="1"/>
      <c r="HR911" s="1"/>
      <c r="HS911" s="1"/>
      <c r="HT911" s="1"/>
      <c r="HU911" s="1"/>
      <c r="HV911" s="1"/>
      <c r="HW911" s="1"/>
      <c r="HX911" s="1"/>
      <c r="HY911" s="1"/>
      <c r="HZ911" s="1"/>
      <c r="IA911" s="1"/>
      <c r="IB911" s="1"/>
      <c r="IC911" s="1"/>
      <c r="ID911" s="1"/>
      <c r="IE911" s="1"/>
      <c r="IF911" s="1"/>
      <c r="IG911" s="1"/>
      <c r="IH911" s="1"/>
      <c r="II911" s="1"/>
      <c r="IJ911" s="1"/>
      <c r="IK911" s="1"/>
      <c r="IL911" s="1"/>
      <c r="IM911" s="1"/>
      <c r="IN911" s="1"/>
      <c r="IO911" s="1"/>
      <c r="IP911" s="1"/>
      <c r="IQ911" s="1"/>
      <c r="IR911" s="1"/>
      <c r="IS911" s="1"/>
      <c r="IT911" s="1"/>
      <c r="IU911" s="1"/>
      <c r="IV911" s="1"/>
      <c r="IW911" s="1"/>
      <c r="IX911" s="1"/>
      <c r="IY911" s="1"/>
      <c r="IZ911" s="1"/>
      <c r="JA911" s="1"/>
      <c r="JB911" s="1"/>
      <c r="JC911" s="1"/>
      <c r="JD911" s="1"/>
    </row>
    <row r="912" spans="1:264" s="347" customFormat="1" x14ac:dyDescent="0.2">
      <c r="B912" s="348"/>
      <c r="BH912" s="456">
        <f>BH35</f>
        <v>-8</v>
      </c>
      <c r="BI912" s="456">
        <f>BI35</f>
        <v>-8</v>
      </c>
      <c r="BJ912" s="456">
        <f>BJ35</f>
        <v>-16</v>
      </c>
      <c r="BK912" s="348"/>
      <c r="BL912" s="456">
        <f>BL35</f>
        <v>-10</v>
      </c>
      <c r="BM912" s="456">
        <f>BM35</f>
        <v>-9</v>
      </c>
      <c r="BN912" s="456">
        <f>BN35</f>
        <v>-19</v>
      </c>
      <c r="BO912" s="348"/>
      <c r="BP912" s="456">
        <f>BP35</f>
        <v>-10</v>
      </c>
      <c r="BQ912" s="456">
        <f>BQ35</f>
        <v>-11</v>
      </c>
      <c r="BR912" s="456">
        <f>BR35</f>
        <v>-21</v>
      </c>
      <c r="BT912" s="456">
        <f>BT35</f>
        <v>-11</v>
      </c>
      <c r="BU912" s="456">
        <f>BU35</f>
        <v>-9</v>
      </c>
      <c r="BV912" s="456">
        <f>BV35</f>
        <v>-20</v>
      </c>
      <c r="BX912" s="456">
        <f>BX35</f>
        <v>-9</v>
      </c>
      <c r="BY912" s="456">
        <f>BY35</f>
        <v>-11</v>
      </c>
      <c r="BZ912" s="456">
        <f>BZ35</f>
        <v>-20</v>
      </c>
      <c r="CB912" s="456">
        <f>CB35</f>
        <v>-6</v>
      </c>
      <c r="CC912" s="456">
        <f>CC35</f>
        <v>-7</v>
      </c>
      <c r="CD912" s="456">
        <f>CD35</f>
        <v>-13</v>
      </c>
      <c r="CF912" s="456">
        <f>CF35</f>
        <v>-6</v>
      </c>
      <c r="CG912" s="456">
        <f>CG35</f>
        <v>-6</v>
      </c>
      <c r="CH912" s="456">
        <f>CH35</f>
        <v>-12</v>
      </c>
      <c r="CJ912" s="456">
        <f>CJ35</f>
        <v>0</v>
      </c>
      <c r="CK912" s="456">
        <f>CK35</f>
        <v>0</v>
      </c>
      <c r="CL912" s="456">
        <f>CL35</f>
        <v>0</v>
      </c>
      <c r="CN912" s="456">
        <f>CN35</f>
        <v>0</v>
      </c>
      <c r="CO912" s="456">
        <f>CO35</f>
        <v>0</v>
      </c>
      <c r="CP912" s="456">
        <f>CP35</f>
        <v>0</v>
      </c>
      <c r="CR912" s="456">
        <f>CR35</f>
        <v>0</v>
      </c>
      <c r="CS912" s="456">
        <f>CS35</f>
        <v>0</v>
      </c>
      <c r="CT912" s="456">
        <f>CT35</f>
        <v>0</v>
      </c>
      <c r="CV912" s="456">
        <f>CV35</f>
        <v>0</v>
      </c>
      <c r="CW912" s="456">
        <f>CW35</f>
        <v>0</v>
      </c>
      <c r="CX912" s="456">
        <f>CX35</f>
        <v>0</v>
      </c>
      <c r="CZ912" s="456">
        <f>CZ35</f>
        <v>0</v>
      </c>
      <c r="DA912" s="456">
        <f>DA35</f>
        <v>0</v>
      </c>
      <c r="DB912" s="456">
        <f>DB35</f>
        <v>0</v>
      </c>
      <c r="DD912" s="456">
        <f>DD35</f>
        <v>0</v>
      </c>
      <c r="DE912" s="456">
        <f>DE35</f>
        <v>0</v>
      </c>
      <c r="DF912" s="456">
        <f>DF35</f>
        <v>0</v>
      </c>
      <c r="DH912" s="456">
        <f>DH35</f>
        <v>0</v>
      </c>
      <c r="DI912" s="456">
        <f>DI35</f>
        <v>0</v>
      </c>
      <c r="DJ912" s="456">
        <f>DJ35</f>
        <v>0</v>
      </c>
      <c r="DL912" s="456">
        <f>DL35</f>
        <v>0</v>
      </c>
      <c r="DM912" s="456">
        <f>DM35</f>
        <v>0</v>
      </c>
      <c r="DN912" s="456">
        <f>DN35</f>
        <v>0</v>
      </c>
      <c r="DP912" s="456">
        <f>DP35</f>
        <v>0</v>
      </c>
      <c r="DQ912" s="456">
        <f>DQ35</f>
        <v>0</v>
      </c>
      <c r="DR912" s="456">
        <f>DR35</f>
        <v>0</v>
      </c>
      <c r="DT912" s="1"/>
      <c r="DU912" s="1"/>
      <c r="DV912" s="1"/>
      <c r="DW912" s="1"/>
      <c r="DX912" s="1"/>
      <c r="DY912" s="1"/>
      <c r="DZ912" s="1"/>
      <c r="EA912" s="1"/>
      <c r="EB912" s="1"/>
      <c r="EC912" s="1"/>
      <c r="ED912" s="1"/>
      <c r="EE912" s="1"/>
      <c r="EF912" s="1"/>
      <c r="EG912" s="1"/>
      <c r="EH912" s="1"/>
      <c r="EI912" s="1"/>
      <c r="EJ912" s="1"/>
      <c r="EK912" s="1"/>
      <c r="EL912" s="1"/>
      <c r="EM912" s="1"/>
      <c r="EN912" s="1"/>
      <c r="EO912" s="1"/>
      <c r="EP912" s="1"/>
      <c r="EQ912" s="1"/>
      <c r="ER912" s="1"/>
      <c r="ES912" s="1"/>
      <c r="ET912" s="1"/>
      <c r="EU912" s="1"/>
      <c r="EV912" s="1"/>
      <c r="EW912" s="1"/>
      <c r="EX912" s="1"/>
      <c r="EY912" s="1"/>
      <c r="EZ912" s="1"/>
      <c r="FA912" s="1"/>
      <c r="FB912" s="1"/>
      <c r="FC912" s="1"/>
      <c r="FD912" s="1"/>
      <c r="FE912" s="1"/>
      <c r="FF912" s="1"/>
      <c r="FG912" s="1"/>
      <c r="FH912" s="1"/>
      <c r="FI912" s="1"/>
      <c r="FJ912" s="1"/>
      <c r="FK912" s="1"/>
      <c r="FL912" s="1"/>
      <c r="FM912" s="1"/>
      <c r="FN912" s="1"/>
      <c r="FO912" s="1"/>
      <c r="FP912" s="1"/>
      <c r="FQ912" s="1"/>
      <c r="FR912" s="1"/>
      <c r="FS912" s="1"/>
      <c r="FT912" s="1"/>
      <c r="FU912" s="1"/>
      <c r="FV912" s="1"/>
      <c r="FW912" s="1"/>
      <c r="FX912" s="1"/>
      <c r="FY912" s="1"/>
      <c r="FZ912" s="1"/>
      <c r="GA912" s="1"/>
      <c r="GB912" s="1"/>
      <c r="GC912" s="1"/>
      <c r="GD912" s="1"/>
      <c r="GE912" s="1"/>
      <c r="GF912" s="1"/>
      <c r="GG912" s="1"/>
      <c r="GH912" s="1"/>
      <c r="GI912" s="1"/>
      <c r="GJ912" s="1"/>
      <c r="GK912" s="1"/>
      <c r="GL912" s="1"/>
      <c r="GM912" s="1"/>
      <c r="GN912" s="1"/>
      <c r="GO912" s="1"/>
      <c r="GP912" s="1"/>
      <c r="GQ912" s="1"/>
      <c r="GR912" s="1"/>
      <c r="GS912" s="1"/>
      <c r="GT912" s="1"/>
      <c r="GU912" s="1"/>
      <c r="GV912" s="1"/>
      <c r="GW912" s="1"/>
      <c r="GX912" s="1"/>
      <c r="GY912" s="1"/>
      <c r="GZ912" s="1"/>
      <c r="HA912" s="1"/>
      <c r="HB912" s="1"/>
      <c r="HC912" s="1"/>
      <c r="HD912" s="1"/>
      <c r="HE912" s="1"/>
      <c r="HF912" s="1"/>
      <c r="HG912" s="1"/>
      <c r="HH912" s="1"/>
      <c r="HI912" s="1"/>
      <c r="HJ912" s="1"/>
      <c r="HK912" s="1"/>
      <c r="HL912" s="1"/>
      <c r="HM912" s="1"/>
      <c r="HN912" s="1"/>
      <c r="HO912" s="1"/>
      <c r="HP912" s="1"/>
      <c r="HQ912" s="1"/>
      <c r="HR912" s="1"/>
      <c r="HS912" s="1"/>
      <c r="HT912" s="1"/>
      <c r="HU912" s="1"/>
      <c r="HV912" s="1"/>
      <c r="HW912" s="1"/>
      <c r="HX912" s="1"/>
      <c r="HY912" s="1"/>
      <c r="HZ912" s="1"/>
      <c r="IA912" s="1"/>
      <c r="IB912" s="1"/>
      <c r="IC912" s="1"/>
      <c r="ID912" s="1"/>
      <c r="IE912" s="1"/>
      <c r="IF912" s="1"/>
      <c r="IG912" s="1"/>
      <c r="IH912" s="1"/>
      <c r="II912" s="1"/>
      <c r="IJ912" s="1"/>
      <c r="IK912" s="1"/>
      <c r="IL912" s="1"/>
      <c r="IM912" s="1"/>
      <c r="IN912" s="1"/>
      <c r="IO912" s="1"/>
      <c r="IP912" s="1"/>
      <c r="IQ912" s="1"/>
      <c r="IR912" s="1"/>
      <c r="IS912" s="1"/>
      <c r="IT912" s="1"/>
      <c r="IU912" s="1"/>
      <c r="IV912" s="1"/>
      <c r="IW912" s="1"/>
      <c r="IX912" s="1"/>
      <c r="IY912" s="1"/>
      <c r="IZ912" s="1"/>
      <c r="JA912" s="1"/>
      <c r="JB912" s="1"/>
      <c r="JC912" s="1"/>
      <c r="JD912" s="1"/>
    </row>
    <row r="913" spans="1:264" s="347" customFormat="1" x14ac:dyDescent="0.2">
      <c r="A913" s="564" t="s">
        <v>642</v>
      </c>
      <c r="B913" s="348"/>
      <c r="BH913" s="348"/>
      <c r="BI913" s="348"/>
      <c r="BJ913" s="348"/>
      <c r="BK913" s="348"/>
      <c r="BL913" s="348"/>
      <c r="BM913" s="348"/>
      <c r="BN913" s="348"/>
      <c r="BO913" s="348"/>
      <c r="BP913" s="348"/>
      <c r="BQ913" s="348"/>
      <c r="BR913" s="348"/>
      <c r="BT913" s="348"/>
      <c r="BU913" s="348"/>
      <c r="BV913" s="348"/>
      <c r="BX913" s="348"/>
      <c r="BY913" s="348"/>
      <c r="BZ913" s="348"/>
      <c r="CB913" s="348"/>
      <c r="CC913" s="348"/>
      <c r="CD913" s="348"/>
      <c r="CF913" s="348"/>
      <c r="CG913" s="348"/>
      <c r="CH913" s="348"/>
      <c r="CJ913" s="348"/>
      <c r="CK913" s="348"/>
      <c r="CL913" s="348"/>
      <c r="CN913" s="348"/>
      <c r="CO913" s="348"/>
      <c r="CP913" s="348"/>
      <c r="CR913" s="348"/>
      <c r="CS913" s="348"/>
      <c r="CT913" s="348"/>
      <c r="CV913" s="348"/>
      <c r="CW913" s="348"/>
      <c r="CX913" s="348"/>
      <c r="CZ913" s="348"/>
      <c r="DA913" s="348"/>
      <c r="DB913" s="348"/>
      <c r="DD913" s="348"/>
      <c r="DE913" s="348"/>
      <c r="DF913" s="348"/>
      <c r="DH913" s="348"/>
      <c r="DL913" s="348"/>
      <c r="DP913" s="348"/>
      <c r="DT913" s="1"/>
      <c r="DU913" s="1"/>
      <c r="DV913" s="1"/>
      <c r="DW913" s="1"/>
      <c r="DX913" s="1"/>
      <c r="DY913" s="1"/>
      <c r="DZ913" s="1"/>
      <c r="EA913" s="1"/>
      <c r="EB913" s="1"/>
      <c r="EC913" s="1"/>
      <c r="ED913" s="1"/>
      <c r="EE913" s="1"/>
      <c r="EF913" s="1"/>
      <c r="EG913" s="1"/>
      <c r="EH913" s="1"/>
      <c r="EI913" s="1"/>
      <c r="EJ913" s="1"/>
      <c r="EK913" s="1"/>
      <c r="EL913" s="1"/>
      <c r="EM913" s="1"/>
      <c r="EN913" s="1"/>
      <c r="EO913" s="1"/>
      <c r="EP913" s="1"/>
      <c r="EQ913" s="1"/>
      <c r="ER913" s="1"/>
      <c r="ES913" s="1"/>
      <c r="ET913" s="1"/>
      <c r="EU913" s="1"/>
      <c r="EV913" s="1"/>
      <c r="EW913" s="1"/>
      <c r="EX913" s="1"/>
      <c r="EY913" s="1"/>
      <c r="EZ913" s="1"/>
      <c r="FA913" s="1"/>
      <c r="FB913" s="1"/>
      <c r="FC913" s="1"/>
      <c r="FD913" s="1"/>
      <c r="FE913" s="1"/>
      <c r="FF913" s="1"/>
      <c r="FG913" s="1"/>
      <c r="FH913" s="1"/>
      <c r="FI913" s="1"/>
      <c r="FJ913" s="1"/>
      <c r="FK913" s="1"/>
      <c r="FL913" s="1"/>
      <c r="FM913" s="1"/>
      <c r="FN913" s="1"/>
      <c r="FO913" s="1"/>
      <c r="FP913" s="1"/>
      <c r="FQ913" s="1"/>
      <c r="FR913" s="1"/>
      <c r="FS913" s="1"/>
      <c r="FT913" s="1"/>
      <c r="FU913" s="1"/>
      <c r="FV913" s="1"/>
      <c r="FW913" s="1"/>
      <c r="FX913" s="1"/>
      <c r="FY913" s="1"/>
      <c r="FZ913" s="1"/>
      <c r="GA913" s="1"/>
      <c r="GB913" s="1"/>
      <c r="GC913" s="1"/>
      <c r="GD913" s="1"/>
      <c r="GE913" s="1"/>
      <c r="GF913" s="1"/>
      <c r="GG913" s="1"/>
      <c r="GH913" s="1"/>
      <c r="GI913" s="1"/>
      <c r="GJ913" s="1"/>
      <c r="GK913" s="1"/>
      <c r="GL913" s="1"/>
      <c r="GM913" s="1"/>
      <c r="GN913" s="1"/>
      <c r="GO913" s="1"/>
      <c r="GP913" s="1"/>
      <c r="GQ913" s="1"/>
      <c r="GR913" s="1"/>
      <c r="GS913" s="1"/>
      <c r="GT913" s="1"/>
      <c r="GU913" s="1"/>
      <c r="GV913" s="1"/>
      <c r="GW913" s="1"/>
      <c r="GX913" s="1"/>
      <c r="GY913" s="1"/>
      <c r="GZ913" s="1"/>
      <c r="HA913" s="1"/>
      <c r="HB913" s="1"/>
      <c r="HC913" s="1"/>
      <c r="HD913" s="1"/>
      <c r="HE913" s="1"/>
      <c r="HF913" s="1"/>
      <c r="HG913" s="1"/>
      <c r="HH913" s="1"/>
      <c r="HI913" s="1"/>
      <c r="HJ913" s="1"/>
      <c r="HK913" s="1"/>
      <c r="HL913" s="1"/>
      <c r="HM913" s="1"/>
      <c r="HN913" s="1"/>
      <c r="HO913" s="1"/>
      <c r="HP913" s="1"/>
      <c r="HQ913" s="1"/>
      <c r="HR913" s="1"/>
      <c r="HS913" s="1"/>
      <c r="HT913" s="1"/>
      <c r="HU913" s="1"/>
      <c r="HV913" s="1"/>
      <c r="HW913" s="1"/>
      <c r="HX913" s="1"/>
      <c r="HY913" s="1"/>
      <c r="HZ913" s="1"/>
      <c r="IA913" s="1"/>
      <c r="IB913" s="1"/>
      <c r="IC913" s="1"/>
      <c r="ID913" s="1"/>
      <c r="IE913" s="1"/>
      <c r="IF913" s="1"/>
      <c r="IG913" s="1"/>
      <c r="IH913" s="1"/>
      <c r="II913" s="1"/>
      <c r="IJ913" s="1"/>
      <c r="IK913" s="1"/>
      <c r="IL913" s="1"/>
      <c r="IM913" s="1"/>
      <c r="IN913" s="1"/>
      <c r="IO913" s="1"/>
      <c r="IP913" s="1"/>
      <c r="IQ913" s="1"/>
      <c r="IR913" s="1"/>
      <c r="IS913" s="1"/>
      <c r="IT913" s="1"/>
      <c r="IU913" s="1"/>
      <c r="IV913" s="1"/>
      <c r="IW913" s="1"/>
      <c r="IX913" s="1"/>
      <c r="IY913" s="1"/>
      <c r="IZ913" s="1"/>
      <c r="JA913" s="1"/>
      <c r="JB913" s="1"/>
      <c r="JC913" s="1"/>
      <c r="JD913" s="1"/>
    </row>
    <row r="914" spans="1:264" s="347" customFormat="1" x14ac:dyDescent="0.2">
      <c r="A914" s="463" t="s">
        <v>643</v>
      </c>
      <c r="B914" s="466"/>
      <c r="C914" s="463"/>
      <c r="D914" s="463"/>
      <c r="E914" s="463"/>
      <c r="F914" s="463"/>
      <c r="G914" s="463"/>
      <c r="H914" s="463"/>
      <c r="I914" s="463"/>
      <c r="J914" s="463"/>
      <c r="K914" s="463"/>
      <c r="L914" s="463"/>
      <c r="M914" s="463"/>
      <c r="N914" s="463"/>
      <c r="O914" s="463"/>
      <c r="P914" s="463"/>
      <c r="Q914" s="463"/>
      <c r="R914" s="463"/>
      <c r="S914" s="463"/>
      <c r="T914" s="463"/>
      <c r="U914" s="463"/>
      <c r="V914" s="463"/>
      <c r="W914" s="463"/>
      <c r="X914" s="463"/>
      <c r="Y914" s="463"/>
      <c r="Z914" s="463"/>
      <c r="AA914" s="463"/>
      <c r="AB914" s="463"/>
      <c r="AC914" s="463"/>
      <c r="AD914" s="463"/>
      <c r="AE914" s="463"/>
      <c r="AF914" s="463"/>
      <c r="AG914" s="463"/>
      <c r="AH914" s="463"/>
      <c r="AI914" s="463"/>
      <c r="AJ914" s="463"/>
      <c r="AK914" s="463"/>
      <c r="AL914" s="463"/>
      <c r="AM914" s="463"/>
      <c r="AN914" s="463"/>
      <c r="AO914" s="463"/>
      <c r="AP914" s="463"/>
      <c r="AQ914" s="463"/>
      <c r="AR914" s="463"/>
      <c r="AS914" s="463"/>
      <c r="AT914" s="463"/>
      <c r="AU914" s="463"/>
      <c r="AV914" s="463"/>
      <c r="AW914" s="463"/>
      <c r="AX914" s="463"/>
      <c r="AY914" s="463"/>
      <c r="AZ914" s="463"/>
      <c r="BA914" s="463"/>
      <c r="BB914" s="463"/>
      <c r="BC914" s="463"/>
      <c r="BD914" s="463"/>
      <c r="BE914" s="463"/>
      <c r="BF914" s="463"/>
      <c r="BG914" s="463"/>
      <c r="BH914" s="464">
        <v>-10</v>
      </c>
      <c r="BI914" s="464">
        <v>37</v>
      </c>
      <c r="BJ914" s="485">
        <f>+BI914+BH914</f>
        <v>27</v>
      </c>
      <c r="BK914" s="466"/>
      <c r="BL914" s="464">
        <v>-5</v>
      </c>
      <c r="BM914" s="464">
        <v>11</v>
      </c>
      <c r="BN914" s="485">
        <f>+BM914+BL914</f>
        <v>6</v>
      </c>
      <c r="BO914" s="466"/>
      <c r="BP914" s="464">
        <v>-42</v>
      </c>
      <c r="BQ914" s="464">
        <v>48</v>
      </c>
      <c r="BR914" s="485">
        <f>+BQ914+BP914</f>
        <v>6</v>
      </c>
      <c r="BS914" s="463"/>
      <c r="BT914" s="464">
        <v>-151</v>
      </c>
      <c r="BU914" s="464">
        <v>-49</v>
      </c>
      <c r="BV914" s="485">
        <f>+BU914+BT914</f>
        <v>-200</v>
      </c>
      <c r="BW914" s="463"/>
      <c r="BX914" s="464">
        <v>8</v>
      </c>
      <c r="BY914" s="464">
        <v>65</v>
      </c>
      <c r="BZ914" s="485">
        <f>+BY914+BX914</f>
        <v>73</v>
      </c>
      <c r="CA914" s="463"/>
      <c r="CB914" s="464">
        <v>96</v>
      </c>
      <c r="CC914" s="464">
        <v>5</v>
      </c>
      <c r="CD914" s="485">
        <f>+CC914+CB914</f>
        <v>101</v>
      </c>
      <c r="CE914" s="463"/>
      <c r="CF914" s="464">
        <v>-91</v>
      </c>
      <c r="CG914" s="464">
        <v>12</v>
      </c>
      <c r="CH914" s="485">
        <f>+CG914+CF914</f>
        <v>-79</v>
      </c>
      <c r="CI914" s="463"/>
      <c r="CJ914" s="448">
        <v>36</v>
      </c>
      <c r="CK914" s="464">
        <v>57</v>
      </c>
      <c r="CL914" s="485">
        <f>+CK914+CJ914</f>
        <v>93</v>
      </c>
      <c r="CM914" s="463"/>
      <c r="CN914" s="448">
        <v>-8</v>
      </c>
      <c r="CO914" s="464">
        <v>15</v>
      </c>
      <c r="CP914" s="485">
        <f>+CO914+CN914</f>
        <v>7</v>
      </c>
      <c r="CQ914" s="463"/>
      <c r="CR914" s="448">
        <v>-16</v>
      </c>
      <c r="CS914" s="464">
        <v>124</v>
      </c>
      <c r="CT914" s="485">
        <f>+CS914+CR914</f>
        <v>108</v>
      </c>
      <c r="CU914" s="463"/>
      <c r="CV914" s="448">
        <v>12</v>
      </c>
      <c r="CW914" s="464">
        <v>-20</v>
      </c>
      <c r="CX914" s="485">
        <f>+CW914+CV914</f>
        <v>-8</v>
      </c>
      <c r="CY914" s="463"/>
      <c r="CZ914" s="448">
        <v>28</v>
      </c>
      <c r="DA914" s="464">
        <v>-11</v>
      </c>
      <c r="DB914" s="485">
        <f>+DA914+CZ914</f>
        <v>17</v>
      </c>
      <c r="DC914" s="463"/>
      <c r="DD914" s="448">
        <v>1</v>
      </c>
      <c r="DE914" s="464">
        <v>52</v>
      </c>
      <c r="DF914" s="485">
        <f>+DE914+DD914</f>
        <v>53</v>
      </c>
      <c r="DG914" s="463"/>
      <c r="DH914" s="448">
        <v>-15</v>
      </c>
      <c r="DI914" s="514">
        <v>0</v>
      </c>
      <c r="DJ914" s="485">
        <f>+DI914+DH914</f>
        <v>-15</v>
      </c>
      <c r="DK914" s="463"/>
      <c r="DL914" s="514">
        <v>0</v>
      </c>
      <c r="DM914" s="514">
        <v>0</v>
      </c>
      <c r="DN914" s="485">
        <f>+DM914+DL914</f>
        <v>0</v>
      </c>
      <c r="DO914" s="463"/>
      <c r="DP914" s="514">
        <v>0</v>
      </c>
      <c r="DQ914" s="514">
        <v>0</v>
      </c>
      <c r="DR914" s="485">
        <f>+DQ914+DP914</f>
        <v>0</v>
      </c>
      <c r="DS914" s="463"/>
      <c r="DT914" s="1"/>
      <c r="DU914" s="1"/>
      <c r="DV914" s="1"/>
      <c r="DW914" s="1"/>
      <c r="DX914" s="1"/>
      <c r="DY914" s="1"/>
      <c r="DZ914" s="1"/>
      <c r="EA914" s="1"/>
      <c r="EB914" s="1"/>
      <c r="EC914" s="1"/>
      <c r="ED914" s="1"/>
      <c r="EE914" s="1"/>
      <c r="EF914" s="1"/>
      <c r="EG914" s="1"/>
      <c r="EH914" s="1"/>
      <c r="EI914" s="1"/>
      <c r="EJ914" s="1"/>
      <c r="EK914" s="1"/>
      <c r="EL914" s="1"/>
      <c r="EM914" s="1"/>
      <c r="EN914" s="1"/>
      <c r="EO914" s="1"/>
      <c r="EP914" s="1"/>
      <c r="EQ914" s="1"/>
      <c r="ER914" s="1"/>
      <c r="ES914" s="1"/>
      <c r="ET914" s="1"/>
      <c r="EU914" s="1"/>
      <c r="EV914" s="1"/>
      <c r="EW914" s="1"/>
      <c r="EX914" s="1"/>
      <c r="EY914" s="1"/>
      <c r="EZ914" s="1"/>
      <c r="FA914" s="1"/>
      <c r="FB914" s="1"/>
      <c r="FC914" s="1"/>
      <c r="FD914" s="1"/>
      <c r="FE914" s="1"/>
      <c r="FF914" s="1"/>
      <c r="FG914" s="1"/>
      <c r="FH914" s="1"/>
      <c r="FI914" s="1"/>
      <c r="FJ914" s="1"/>
      <c r="FK914" s="1"/>
      <c r="FL914" s="1"/>
      <c r="FM914" s="1"/>
      <c r="FN914" s="1"/>
      <c r="FO914" s="1"/>
      <c r="FP914" s="1"/>
      <c r="FQ914" s="1"/>
      <c r="FR914" s="1"/>
      <c r="FS914" s="1"/>
      <c r="FT914" s="1"/>
      <c r="FU914" s="1"/>
      <c r="FV914" s="1"/>
      <c r="FW914" s="1"/>
      <c r="FX914" s="1"/>
      <c r="FY914" s="1"/>
      <c r="FZ914" s="1"/>
      <c r="GA914" s="1"/>
      <c r="GB914" s="1"/>
      <c r="GC914" s="1"/>
      <c r="GD914" s="1"/>
      <c r="GE914" s="1"/>
      <c r="GF914" s="1"/>
      <c r="GG914" s="1"/>
      <c r="GH914" s="1"/>
      <c r="GI914" s="1"/>
      <c r="GJ914" s="1"/>
      <c r="GK914" s="1"/>
      <c r="GL914" s="1"/>
      <c r="GM914" s="1"/>
      <c r="GN914" s="1"/>
      <c r="GO914" s="1"/>
      <c r="GP914" s="1"/>
      <c r="GQ914" s="1"/>
      <c r="GR914" s="1"/>
      <c r="GS914" s="1"/>
      <c r="GT914" s="1"/>
      <c r="GU914" s="1"/>
      <c r="GV914" s="1"/>
      <c r="GW914" s="1"/>
      <c r="GX914" s="1"/>
      <c r="GY914" s="1"/>
      <c r="GZ914" s="1"/>
      <c r="HA914" s="1"/>
      <c r="HB914" s="1"/>
      <c r="HC914" s="1"/>
      <c r="HD914" s="1"/>
      <c r="HE914" s="1"/>
      <c r="HF914" s="1"/>
      <c r="HG914" s="1"/>
      <c r="HH914" s="1"/>
      <c r="HI914" s="1"/>
      <c r="HJ914" s="1"/>
      <c r="HK914" s="1"/>
      <c r="HL914" s="1"/>
      <c r="HM914" s="1"/>
      <c r="HN914" s="1"/>
      <c r="HO914" s="1"/>
      <c r="HP914" s="1"/>
      <c r="HQ914" s="1"/>
      <c r="HR914" s="1"/>
      <c r="HS914" s="1"/>
      <c r="HT914" s="1"/>
      <c r="HU914" s="1"/>
      <c r="HV914" s="1"/>
      <c r="HW914" s="1"/>
      <c r="HX914" s="1"/>
      <c r="HY914" s="1"/>
      <c r="HZ914" s="1"/>
      <c r="IA914" s="1"/>
      <c r="IB914" s="1"/>
      <c r="IC914" s="1"/>
      <c r="ID914" s="1"/>
      <c r="IE914" s="1"/>
      <c r="IF914" s="1"/>
      <c r="IG914" s="1"/>
      <c r="IH914" s="1"/>
      <c r="II914" s="1"/>
      <c r="IJ914" s="1"/>
      <c r="IK914" s="1"/>
      <c r="IL914" s="1"/>
      <c r="IM914" s="1"/>
      <c r="IN914" s="1"/>
      <c r="IO914" s="1"/>
      <c r="IP914" s="1"/>
      <c r="IQ914" s="1"/>
      <c r="IR914" s="1"/>
      <c r="IS914" s="1"/>
      <c r="IT914" s="1"/>
      <c r="IU914" s="1"/>
      <c r="IV914" s="1"/>
      <c r="IW914" s="1"/>
      <c r="IX914" s="1"/>
      <c r="IY914" s="1"/>
      <c r="IZ914" s="1"/>
      <c r="JA914" s="1"/>
      <c r="JB914" s="1"/>
      <c r="JC914" s="1"/>
      <c r="JD914" s="1"/>
    </row>
    <row r="915" spans="1:264" s="347" customFormat="1" x14ac:dyDescent="0.2">
      <c r="A915" s="463" t="s">
        <v>644</v>
      </c>
      <c r="B915" s="466"/>
      <c r="C915" s="463"/>
      <c r="D915" s="463"/>
      <c r="E915" s="463"/>
      <c r="F915" s="463"/>
      <c r="G915" s="463"/>
      <c r="H915" s="463"/>
      <c r="I915" s="463"/>
      <c r="J915" s="463"/>
      <c r="K915" s="463"/>
      <c r="L915" s="463"/>
      <c r="M915" s="463"/>
      <c r="N915" s="463"/>
      <c r="O915" s="463"/>
      <c r="P915" s="463"/>
      <c r="Q915" s="463"/>
      <c r="R915" s="463"/>
      <c r="S915" s="463"/>
      <c r="T915" s="463"/>
      <c r="U915" s="463"/>
      <c r="V915" s="463"/>
      <c r="W915" s="463"/>
      <c r="X915" s="463"/>
      <c r="Y915" s="463"/>
      <c r="Z915" s="463"/>
      <c r="AA915" s="463"/>
      <c r="AB915" s="463"/>
      <c r="AC915" s="463"/>
      <c r="AD915" s="463"/>
      <c r="AE915" s="463"/>
      <c r="AF915" s="463"/>
      <c r="AG915" s="463"/>
      <c r="AH915" s="463"/>
      <c r="AI915" s="463"/>
      <c r="AJ915" s="463"/>
      <c r="AK915" s="463"/>
      <c r="AL915" s="463"/>
      <c r="AM915" s="463"/>
      <c r="AN915" s="463"/>
      <c r="AO915" s="463"/>
      <c r="AP915" s="463"/>
      <c r="AQ915" s="463"/>
      <c r="AR915" s="463"/>
      <c r="AS915" s="463"/>
      <c r="AT915" s="463"/>
      <c r="AU915" s="463"/>
      <c r="AV915" s="463"/>
      <c r="AW915" s="463"/>
      <c r="AX915" s="463"/>
      <c r="AY915" s="463"/>
      <c r="AZ915" s="463"/>
      <c r="BA915" s="463"/>
      <c r="BB915" s="463"/>
      <c r="BC915" s="463"/>
      <c r="BD915" s="463"/>
      <c r="BE915" s="463"/>
      <c r="BF915" s="463"/>
      <c r="BG915" s="463"/>
      <c r="BH915" s="464">
        <v>-33</v>
      </c>
      <c r="BI915" s="464">
        <v>-38</v>
      </c>
      <c r="BJ915" s="485">
        <f>+BI915+BH915</f>
        <v>-71</v>
      </c>
      <c r="BK915" s="466"/>
      <c r="BL915" s="464">
        <v>-30</v>
      </c>
      <c r="BM915" s="464">
        <v>-26</v>
      </c>
      <c r="BN915" s="485">
        <f>+BM915+BL915</f>
        <v>-56</v>
      </c>
      <c r="BO915" s="466"/>
      <c r="BP915" s="464">
        <v>-26</v>
      </c>
      <c r="BQ915" s="464">
        <v>-26</v>
      </c>
      <c r="BR915" s="485">
        <f>+BQ915+BP915</f>
        <v>-52</v>
      </c>
      <c r="BS915" s="463"/>
      <c r="BT915" s="464">
        <v>-26</v>
      </c>
      <c r="BU915" s="464">
        <v>-1</v>
      </c>
      <c r="BV915" s="485">
        <f>+BU915+BT915</f>
        <v>-27</v>
      </c>
      <c r="BW915" s="463"/>
      <c r="BX915" s="464">
        <v>-1</v>
      </c>
      <c r="BY915" s="464">
        <v>-2</v>
      </c>
      <c r="BZ915" s="485">
        <f>+BY915+BX915</f>
        <v>-3</v>
      </c>
      <c r="CA915" s="463"/>
      <c r="CB915" s="464">
        <v>-1</v>
      </c>
      <c r="CC915" s="464">
        <v>-2</v>
      </c>
      <c r="CD915" s="485">
        <f>+CC915+CB915</f>
        <v>-3</v>
      </c>
      <c r="CE915" s="463"/>
      <c r="CF915" s="464">
        <v>-1</v>
      </c>
      <c r="CG915" s="464">
        <v>0</v>
      </c>
      <c r="CH915" s="485">
        <f>+CG915+CF915</f>
        <v>-1</v>
      </c>
      <c r="CI915" s="463"/>
      <c r="CJ915" s="448">
        <v>0</v>
      </c>
      <c r="CK915" s="464">
        <v>0</v>
      </c>
      <c r="CL915" s="485">
        <f>+CK915+CJ915</f>
        <v>0</v>
      </c>
      <c r="CM915" s="463"/>
      <c r="CN915" s="448">
        <v>0</v>
      </c>
      <c r="CO915" s="464">
        <v>0</v>
      </c>
      <c r="CP915" s="485">
        <f>+CO915+CN915</f>
        <v>0</v>
      </c>
      <c r="CQ915" s="463"/>
      <c r="CR915" s="448">
        <v>0</v>
      </c>
      <c r="CS915" s="464">
        <v>0</v>
      </c>
      <c r="CT915" s="485">
        <f>+CS915+CR915</f>
        <v>0</v>
      </c>
      <c r="CU915" s="463"/>
      <c r="CV915" s="448">
        <v>0</v>
      </c>
      <c r="CW915" s="464">
        <v>0</v>
      </c>
      <c r="CX915" s="485">
        <f>+CW915+CV915</f>
        <v>0</v>
      </c>
      <c r="CY915" s="463"/>
      <c r="CZ915" s="448">
        <v>0</v>
      </c>
      <c r="DA915" s="464">
        <v>0</v>
      </c>
      <c r="DB915" s="485">
        <f>+DA915+CZ915</f>
        <v>0</v>
      </c>
      <c r="DC915" s="463"/>
      <c r="DD915" s="448">
        <v>0</v>
      </c>
      <c r="DE915" s="464">
        <v>0</v>
      </c>
      <c r="DF915" s="485">
        <f>+DE915+DD915</f>
        <v>0</v>
      </c>
      <c r="DG915" s="463"/>
      <c r="DH915" s="448">
        <v>0</v>
      </c>
      <c r="DI915" s="514">
        <f>DH915</f>
        <v>0</v>
      </c>
      <c r="DJ915" s="485">
        <f>+DI915+DH915</f>
        <v>0</v>
      </c>
      <c r="DK915" s="463"/>
      <c r="DL915" s="514">
        <f>DI915</f>
        <v>0</v>
      </c>
      <c r="DM915" s="514">
        <f>DL915</f>
        <v>0</v>
      </c>
      <c r="DN915" s="485">
        <f>+DM915+DL915</f>
        <v>0</v>
      </c>
      <c r="DO915" s="463"/>
      <c r="DP915" s="514">
        <f>DM915</f>
        <v>0</v>
      </c>
      <c r="DQ915" s="514">
        <f>DP915</f>
        <v>0</v>
      </c>
      <c r="DR915" s="485">
        <f>+DQ915+DP915</f>
        <v>0</v>
      </c>
      <c r="DS915" s="463"/>
      <c r="DT915" s="1"/>
      <c r="DU915" s="1"/>
      <c r="DV915" s="1"/>
      <c r="DW915" s="1"/>
      <c r="DX915" s="1"/>
      <c r="DY915" s="1"/>
      <c r="DZ915" s="1"/>
      <c r="EA915" s="1"/>
      <c r="EB915" s="1"/>
      <c r="EC915" s="1"/>
      <c r="ED915" s="1"/>
      <c r="EE915" s="1"/>
      <c r="EF915" s="1"/>
      <c r="EG915" s="1"/>
      <c r="EH915" s="1"/>
      <c r="EI915" s="1"/>
      <c r="EJ915" s="1"/>
      <c r="EK915" s="1"/>
      <c r="EL915" s="1"/>
      <c r="EM915" s="1"/>
      <c r="EN915" s="1"/>
      <c r="EO915" s="1"/>
      <c r="EP915" s="1"/>
      <c r="EQ915" s="1"/>
      <c r="ER915" s="1"/>
      <c r="ES915" s="1"/>
      <c r="ET915" s="1"/>
      <c r="EU915" s="1"/>
      <c r="EV915" s="1"/>
      <c r="EW915" s="1"/>
      <c r="EX915" s="1"/>
      <c r="EY915" s="1"/>
      <c r="EZ915" s="1"/>
      <c r="FA915" s="1"/>
      <c r="FB915" s="1"/>
      <c r="FC915" s="1"/>
      <c r="FD915" s="1"/>
      <c r="FE915" s="1"/>
      <c r="FF915" s="1"/>
      <c r="FG915" s="1"/>
      <c r="FH915" s="1"/>
      <c r="FI915" s="1"/>
      <c r="FJ915" s="1"/>
      <c r="FK915" s="1"/>
      <c r="FL915" s="1"/>
      <c r="FM915" s="1"/>
      <c r="FN915" s="1"/>
      <c r="FO915" s="1"/>
      <c r="FP915" s="1"/>
      <c r="FQ915" s="1"/>
      <c r="FR915" s="1"/>
      <c r="FS915" s="1"/>
      <c r="FT915" s="1"/>
      <c r="FU915" s="1"/>
      <c r="FV915" s="1"/>
      <c r="FW915" s="1"/>
      <c r="FX915" s="1"/>
      <c r="FY915" s="1"/>
      <c r="FZ915" s="1"/>
      <c r="GA915" s="1"/>
      <c r="GB915" s="1"/>
      <c r="GC915" s="1"/>
      <c r="GD915" s="1"/>
      <c r="GE915" s="1"/>
      <c r="GF915" s="1"/>
      <c r="GG915" s="1"/>
      <c r="GH915" s="1"/>
      <c r="GI915" s="1"/>
      <c r="GJ915" s="1"/>
      <c r="GK915" s="1"/>
      <c r="GL915" s="1"/>
      <c r="GM915" s="1"/>
      <c r="GN915" s="1"/>
      <c r="GO915" s="1"/>
      <c r="GP915" s="1"/>
      <c r="GQ915" s="1"/>
      <c r="GR915" s="1"/>
      <c r="GS915" s="1"/>
      <c r="GT915" s="1"/>
      <c r="GU915" s="1"/>
      <c r="GV915" s="1"/>
      <c r="GW915" s="1"/>
      <c r="GX915" s="1"/>
      <c r="GY915" s="1"/>
      <c r="GZ915" s="1"/>
      <c r="HA915" s="1"/>
      <c r="HB915" s="1"/>
      <c r="HC915" s="1"/>
      <c r="HD915" s="1"/>
      <c r="HE915" s="1"/>
      <c r="HF915" s="1"/>
      <c r="HG915" s="1"/>
      <c r="HH915" s="1"/>
      <c r="HI915" s="1"/>
      <c r="HJ915" s="1"/>
      <c r="HK915" s="1"/>
      <c r="HL915" s="1"/>
      <c r="HM915" s="1"/>
      <c r="HN915" s="1"/>
      <c r="HO915" s="1"/>
      <c r="HP915" s="1"/>
      <c r="HQ915" s="1"/>
      <c r="HR915" s="1"/>
      <c r="HS915" s="1"/>
      <c r="HT915" s="1"/>
      <c r="HU915" s="1"/>
      <c r="HV915" s="1"/>
      <c r="HW915" s="1"/>
      <c r="HX915" s="1"/>
      <c r="HY915" s="1"/>
      <c r="HZ915" s="1"/>
      <c r="IA915" s="1"/>
      <c r="IB915" s="1"/>
      <c r="IC915" s="1"/>
      <c r="ID915" s="1"/>
      <c r="IE915" s="1"/>
      <c r="IF915" s="1"/>
      <c r="IG915" s="1"/>
      <c r="IH915" s="1"/>
      <c r="II915" s="1"/>
      <c r="IJ915" s="1"/>
      <c r="IK915" s="1"/>
      <c r="IL915" s="1"/>
      <c r="IM915" s="1"/>
      <c r="IN915" s="1"/>
      <c r="IO915" s="1"/>
      <c r="IP915" s="1"/>
      <c r="IQ915" s="1"/>
      <c r="IR915" s="1"/>
      <c r="IS915" s="1"/>
      <c r="IT915" s="1"/>
      <c r="IU915" s="1"/>
      <c r="IV915" s="1"/>
      <c r="IW915" s="1"/>
      <c r="IX915" s="1"/>
      <c r="IY915" s="1"/>
      <c r="IZ915" s="1"/>
      <c r="JA915" s="1"/>
      <c r="JB915" s="1"/>
      <c r="JC915" s="1"/>
      <c r="JD915" s="1"/>
    </row>
    <row r="916" spans="1:264" s="347" customFormat="1" x14ac:dyDescent="0.2">
      <c r="A916" s="463" t="s">
        <v>645</v>
      </c>
      <c r="B916" s="466"/>
      <c r="C916" s="463"/>
      <c r="D916" s="463"/>
      <c r="E916" s="463"/>
      <c r="F916" s="463"/>
      <c r="G916" s="463"/>
      <c r="H916" s="463"/>
      <c r="I916" s="463"/>
      <c r="J916" s="463"/>
      <c r="K916" s="463"/>
      <c r="L916" s="463"/>
      <c r="M916" s="463"/>
      <c r="N916" s="463"/>
      <c r="O916" s="463"/>
      <c r="P916" s="463"/>
      <c r="Q916" s="463"/>
      <c r="R916" s="463"/>
      <c r="S916" s="463"/>
      <c r="T916" s="463"/>
      <c r="U916" s="463"/>
      <c r="V916" s="463"/>
      <c r="W916" s="463"/>
      <c r="X916" s="463"/>
      <c r="Y916" s="463"/>
      <c r="Z916" s="463"/>
      <c r="AA916" s="463"/>
      <c r="AB916" s="463"/>
      <c r="AC916" s="463"/>
      <c r="AD916" s="463"/>
      <c r="AE916" s="463"/>
      <c r="AF916" s="463"/>
      <c r="AG916" s="463"/>
      <c r="AH916" s="463"/>
      <c r="AI916" s="463"/>
      <c r="AJ916" s="463"/>
      <c r="AK916" s="463"/>
      <c r="AL916" s="463"/>
      <c r="AM916" s="463"/>
      <c r="AN916" s="463"/>
      <c r="AO916" s="463"/>
      <c r="AP916" s="463"/>
      <c r="AQ916" s="463"/>
      <c r="AR916" s="463"/>
      <c r="AS916" s="463"/>
      <c r="AT916" s="463"/>
      <c r="AU916" s="463"/>
      <c r="AV916" s="463"/>
      <c r="AW916" s="463"/>
      <c r="AX916" s="463"/>
      <c r="AY916" s="463"/>
      <c r="AZ916" s="463"/>
      <c r="BA916" s="463"/>
      <c r="BB916" s="463"/>
      <c r="BC916" s="463"/>
      <c r="BD916" s="463"/>
      <c r="BE916" s="463"/>
      <c r="BF916" s="463"/>
      <c r="BG916" s="463"/>
      <c r="BH916" s="464">
        <v>-31</v>
      </c>
      <c r="BI916" s="464">
        <v>-22</v>
      </c>
      <c r="BJ916" s="485">
        <f>+BI916+BH916</f>
        <v>-53</v>
      </c>
      <c r="BK916" s="466"/>
      <c r="BL916" s="464">
        <v>-28</v>
      </c>
      <c r="BM916" s="464">
        <v>-13</v>
      </c>
      <c r="BN916" s="485">
        <f>+BM916+BL916</f>
        <v>-41</v>
      </c>
      <c r="BO916" s="466"/>
      <c r="BP916" s="464">
        <v>-20</v>
      </c>
      <c r="BQ916" s="464">
        <v>-8</v>
      </c>
      <c r="BR916" s="485">
        <f>+BQ916+BP916</f>
        <v>-28</v>
      </c>
      <c r="BS916" s="463"/>
      <c r="BT916" s="464">
        <v>-9</v>
      </c>
      <c r="BU916" s="464">
        <v>13</v>
      </c>
      <c r="BV916" s="485">
        <f>+BU916+BT916</f>
        <v>4</v>
      </c>
      <c r="BW916" s="463"/>
      <c r="BX916" s="464">
        <v>-19</v>
      </c>
      <c r="BY916" s="464">
        <v>-4</v>
      </c>
      <c r="BZ916" s="485">
        <f>+BY916+BX916</f>
        <v>-23</v>
      </c>
      <c r="CA916" s="463"/>
      <c r="CB916" s="464">
        <v>-3</v>
      </c>
      <c r="CC916" s="464">
        <v>5</v>
      </c>
      <c r="CD916" s="485">
        <f>+CC916+CB916</f>
        <v>2</v>
      </c>
      <c r="CE916" s="463"/>
      <c r="CF916" s="464">
        <v>-3</v>
      </c>
      <c r="CG916" s="464">
        <v>0</v>
      </c>
      <c r="CH916" s="485">
        <f>+CG916+CF916</f>
        <v>-3</v>
      </c>
      <c r="CI916" s="463"/>
      <c r="CJ916" s="448">
        <v>0</v>
      </c>
      <c r="CK916" s="464">
        <v>0</v>
      </c>
      <c r="CL916" s="485">
        <f>+CK916+CJ916</f>
        <v>0</v>
      </c>
      <c r="CM916" s="463"/>
      <c r="CN916" s="448">
        <v>0</v>
      </c>
      <c r="CO916" s="464">
        <v>0</v>
      </c>
      <c r="CP916" s="485">
        <f>+CO916+CN916</f>
        <v>0</v>
      </c>
      <c r="CQ916" s="463"/>
      <c r="CR916" s="448">
        <v>0</v>
      </c>
      <c r="CS916" s="464">
        <v>0</v>
      </c>
      <c r="CT916" s="485">
        <f>+CS916+CR916</f>
        <v>0</v>
      </c>
      <c r="CU916" s="463"/>
      <c r="CV916" s="448">
        <v>0</v>
      </c>
      <c r="CW916" s="464">
        <v>0</v>
      </c>
      <c r="CX916" s="485">
        <f>+CW916+CV916</f>
        <v>0</v>
      </c>
      <c r="CY916" s="463"/>
      <c r="CZ916" s="448">
        <v>0</v>
      </c>
      <c r="DA916" s="464">
        <v>0</v>
      </c>
      <c r="DB916" s="485">
        <f>+DA916+CZ916</f>
        <v>0</v>
      </c>
      <c r="DC916" s="463"/>
      <c r="DD916" s="448">
        <v>0</v>
      </c>
      <c r="DE916" s="464">
        <v>0</v>
      </c>
      <c r="DF916" s="485">
        <f>+DE916+DD916</f>
        <v>0</v>
      </c>
      <c r="DG916" s="463"/>
      <c r="DH916" s="448">
        <v>0</v>
      </c>
      <c r="DI916" s="514">
        <f>DH916</f>
        <v>0</v>
      </c>
      <c r="DJ916" s="485">
        <f>+DI916+DH916</f>
        <v>0</v>
      </c>
      <c r="DK916" s="463"/>
      <c r="DL916" s="514">
        <f>DI916</f>
        <v>0</v>
      </c>
      <c r="DM916" s="514">
        <f>DL916</f>
        <v>0</v>
      </c>
      <c r="DN916" s="485">
        <f>+DM916+DL916</f>
        <v>0</v>
      </c>
      <c r="DO916" s="463"/>
      <c r="DP916" s="514">
        <f>DM916</f>
        <v>0</v>
      </c>
      <c r="DQ916" s="514">
        <f>DP916</f>
        <v>0</v>
      </c>
      <c r="DR916" s="485">
        <f>+DQ916+DP916</f>
        <v>0</v>
      </c>
      <c r="DS916" s="463"/>
      <c r="DT916" s="1"/>
      <c r="DU916" s="1"/>
      <c r="DV916" s="1"/>
      <c r="DW916" s="1"/>
      <c r="DX916" s="1"/>
      <c r="DY916" s="1"/>
      <c r="DZ916" s="1"/>
      <c r="EA916" s="1"/>
      <c r="EB916" s="1"/>
      <c r="EC916" s="1"/>
      <c r="ED916" s="1"/>
      <c r="EE916" s="1"/>
      <c r="EF916" s="1"/>
      <c r="EG916" s="1"/>
      <c r="EH916" s="1"/>
      <c r="EI916" s="1"/>
      <c r="EJ916" s="1"/>
      <c r="EK916" s="1"/>
      <c r="EL916" s="1"/>
      <c r="EM916" s="1"/>
      <c r="EN916" s="1"/>
      <c r="EO916" s="1"/>
      <c r="EP916" s="1"/>
      <c r="EQ916" s="1"/>
      <c r="ER916" s="1"/>
      <c r="ES916" s="1"/>
      <c r="ET916" s="1"/>
      <c r="EU916" s="1"/>
      <c r="EV916" s="1"/>
      <c r="EW916" s="1"/>
      <c r="EX916" s="1"/>
      <c r="EY916" s="1"/>
      <c r="EZ916" s="1"/>
      <c r="FA916" s="1"/>
      <c r="FB916" s="1"/>
      <c r="FC916" s="1"/>
      <c r="FD916" s="1"/>
      <c r="FE916" s="1"/>
      <c r="FF916" s="1"/>
      <c r="FG916" s="1"/>
      <c r="FH916" s="1"/>
      <c r="FI916" s="1"/>
      <c r="FJ916" s="1"/>
      <c r="FK916" s="1"/>
      <c r="FL916" s="1"/>
      <c r="FM916" s="1"/>
      <c r="FN916" s="1"/>
      <c r="FO916" s="1"/>
      <c r="FP916" s="1"/>
      <c r="FQ916" s="1"/>
      <c r="FR916" s="1"/>
      <c r="FS916" s="1"/>
      <c r="FT916" s="1"/>
      <c r="FU916" s="1"/>
      <c r="FV916" s="1"/>
      <c r="FW916" s="1"/>
      <c r="FX916" s="1"/>
      <c r="FY916" s="1"/>
      <c r="FZ916" s="1"/>
      <c r="GA916" s="1"/>
      <c r="GB916" s="1"/>
      <c r="GC916" s="1"/>
      <c r="GD916" s="1"/>
      <c r="GE916" s="1"/>
      <c r="GF916" s="1"/>
      <c r="GG916" s="1"/>
      <c r="GH916" s="1"/>
      <c r="GI916" s="1"/>
      <c r="GJ916" s="1"/>
      <c r="GK916" s="1"/>
      <c r="GL916" s="1"/>
      <c r="GM916" s="1"/>
      <c r="GN916" s="1"/>
      <c r="GO916" s="1"/>
      <c r="GP916" s="1"/>
      <c r="GQ916" s="1"/>
      <c r="GR916" s="1"/>
      <c r="GS916" s="1"/>
      <c r="GT916" s="1"/>
      <c r="GU916" s="1"/>
      <c r="GV916" s="1"/>
      <c r="GW916" s="1"/>
      <c r="GX916" s="1"/>
      <c r="GY916" s="1"/>
      <c r="GZ916" s="1"/>
      <c r="HA916" s="1"/>
      <c r="HB916" s="1"/>
      <c r="HC916" s="1"/>
      <c r="HD916" s="1"/>
      <c r="HE916" s="1"/>
      <c r="HF916" s="1"/>
      <c r="HG916" s="1"/>
      <c r="HH916" s="1"/>
      <c r="HI916" s="1"/>
      <c r="HJ916" s="1"/>
      <c r="HK916" s="1"/>
      <c r="HL916" s="1"/>
      <c r="HM916" s="1"/>
      <c r="HN916" s="1"/>
      <c r="HO916" s="1"/>
      <c r="HP916" s="1"/>
      <c r="HQ916" s="1"/>
      <c r="HR916" s="1"/>
      <c r="HS916" s="1"/>
      <c r="HT916" s="1"/>
      <c r="HU916" s="1"/>
      <c r="HV916" s="1"/>
      <c r="HW916" s="1"/>
      <c r="HX916" s="1"/>
      <c r="HY916" s="1"/>
      <c r="HZ916" s="1"/>
      <c r="IA916" s="1"/>
      <c r="IB916" s="1"/>
      <c r="IC916" s="1"/>
      <c r="ID916" s="1"/>
      <c r="IE916" s="1"/>
      <c r="IF916" s="1"/>
      <c r="IG916" s="1"/>
      <c r="IH916" s="1"/>
      <c r="II916" s="1"/>
      <c r="IJ916" s="1"/>
      <c r="IK916" s="1"/>
      <c r="IL916" s="1"/>
      <c r="IM916" s="1"/>
      <c r="IN916" s="1"/>
      <c r="IO916" s="1"/>
      <c r="IP916" s="1"/>
      <c r="IQ916" s="1"/>
      <c r="IR916" s="1"/>
      <c r="IS916" s="1"/>
      <c r="IT916" s="1"/>
      <c r="IU916" s="1"/>
      <c r="IV916" s="1"/>
      <c r="IW916" s="1"/>
      <c r="IX916" s="1"/>
      <c r="IY916" s="1"/>
      <c r="IZ916" s="1"/>
      <c r="JA916" s="1"/>
      <c r="JB916" s="1"/>
      <c r="JC916" s="1"/>
      <c r="JD916" s="1"/>
    </row>
    <row r="917" spans="1:264" s="347" customFormat="1" x14ac:dyDescent="0.2">
      <c r="A917" s="463" t="s">
        <v>646</v>
      </c>
      <c r="B917" s="466"/>
      <c r="C917" s="463"/>
      <c r="D917" s="463"/>
      <c r="E917" s="463"/>
      <c r="F917" s="463"/>
      <c r="G917" s="463"/>
      <c r="H917" s="463"/>
      <c r="I917" s="463"/>
      <c r="J917" s="463"/>
      <c r="K917" s="463"/>
      <c r="L917" s="463"/>
      <c r="M917" s="463"/>
      <c r="N917" s="463"/>
      <c r="O917" s="463"/>
      <c r="P917" s="463"/>
      <c r="Q917" s="463"/>
      <c r="R917" s="463"/>
      <c r="S917" s="463"/>
      <c r="T917" s="463"/>
      <c r="U917" s="463"/>
      <c r="V917" s="463"/>
      <c r="W917" s="463"/>
      <c r="X917" s="463"/>
      <c r="Y917" s="463"/>
      <c r="Z917" s="463"/>
      <c r="AA917" s="463"/>
      <c r="AB917" s="463"/>
      <c r="AC917" s="463"/>
      <c r="AD917" s="463"/>
      <c r="AE917" s="463"/>
      <c r="AF917" s="463"/>
      <c r="AG917" s="463"/>
      <c r="AH917" s="463"/>
      <c r="AI917" s="463"/>
      <c r="AJ917" s="463"/>
      <c r="AK917" s="463"/>
      <c r="AL917" s="463"/>
      <c r="AM917" s="463"/>
      <c r="AN917" s="463"/>
      <c r="AO917" s="463"/>
      <c r="AP917" s="463"/>
      <c r="AQ917" s="463"/>
      <c r="AR917" s="463"/>
      <c r="AS917" s="463"/>
      <c r="AT917" s="463"/>
      <c r="AU917" s="463"/>
      <c r="AV917" s="463"/>
      <c r="AW917" s="463"/>
      <c r="AX917" s="463"/>
      <c r="AY917" s="463"/>
      <c r="AZ917" s="463"/>
      <c r="BA917" s="463"/>
      <c r="BB917" s="463"/>
      <c r="BC917" s="463"/>
      <c r="BD917" s="463"/>
      <c r="BE917" s="463"/>
      <c r="BF917" s="463"/>
      <c r="BG917" s="463"/>
      <c r="BH917" s="464">
        <v>-45</v>
      </c>
      <c r="BI917" s="464">
        <v>0</v>
      </c>
      <c r="BJ917" s="485">
        <f>+BI917+BH917</f>
        <v>-45</v>
      </c>
      <c r="BK917" s="466"/>
      <c r="BL917" s="464">
        <v>2</v>
      </c>
      <c r="BM917" s="464">
        <f>25+15</f>
        <v>40</v>
      </c>
      <c r="BN917" s="485">
        <f>+BM917+BL917</f>
        <v>42</v>
      </c>
      <c r="BO917" s="466"/>
      <c r="BP917" s="464">
        <v>0</v>
      </c>
      <c r="BQ917" s="464">
        <v>0</v>
      </c>
      <c r="BR917" s="485">
        <f>+BQ917+BP917</f>
        <v>0</v>
      </c>
      <c r="BS917" s="463"/>
      <c r="BT917" s="464">
        <v>0</v>
      </c>
      <c r="BU917" s="464">
        <v>0</v>
      </c>
      <c r="BV917" s="485">
        <f>+BU917+BT917</f>
        <v>0</v>
      </c>
      <c r="BW917" s="463"/>
      <c r="BX917" s="464">
        <v>0</v>
      </c>
      <c r="BY917" s="464">
        <v>0</v>
      </c>
      <c r="BZ917" s="485">
        <f>+BY917+BX917</f>
        <v>0</v>
      </c>
      <c r="CA917" s="463"/>
      <c r="CB917" s="464">
        <f>65-122</f>
        <v>-57</v>
      </c>
      <c r="CC917" s="464">
        <f>-21-105</f>
        <v>-126</v>
      </c>
      <c r="CD917" s="485">
        <f>+CC917+CB917</f>
        <v>-183</v>
      </c>
      <c r="CE917" s="463"/>
      <c r="CF917" s="464">
        <v>-74</v>
      </c>
      <c r="CG917" s="464">
        <v>-43</v>
      </c>
      <c r="CH917" s="485">
        <f>+CG917+CF917</f>
        <v>-117</v>
      </c>
      <c r="CI917" s="463"/>
      <c r="CJ917" s="450">
        <v>1631</v>
      </c>
      <c r="CK917" s="448">
        <v>461</v>
      </c>
      <c r="CL917" s="485">
        <f>+CK917+CJ917</f>
        <v>2092</v>
      </c>
      <c r="CM917" s="463"/>
      <c r="CN917" s="448">
        <v>910</v>
      </c>
      <c r="CO917" s="448">
        <v>463</v>
      </c>
      <c r="CP917" s="485">
        <f>+CO917+CN917</f>
        <v>1373</v>
      </c>
      <c r="CQ917" s="463"/>
      <c r="CR917" s="448">
        <v>1040</v>
      </c>
      <c r="CS917" s="464">
        <v>-85</v>
      </c>
      <c r="CT917" s="485">
        <f>+CS917+CR917</f>
        <v>955</v>
      </c>
      <c r="CU917" s="463"/>
      <c r="CV917" s="448">
        <v>-30</v>
      </c>
      <c r="CW917" s="464">
        <v>-54</v>
      </c>
      <c r="CX917" s="485">
        <f>+CW917+CV917</f>
        <v>-84</v>
      </c>
      <c r="CY917" s="463"/>
      <c r="CZ917" s="448">
        <v>-294</v>
      </c>
      <c r="DA917" s="464">
        <v>-176</v>
      </c>
      <c r="DB917" s="485">
        <f>+DA917+CZ917</f>
        <v>-470</v>
      </c>
      <c r="DC917" s="463"/>
      <c r="DD917" s="448">
        <v>0</v>
      </c>
      <c r="DE917" s="464">
        <v>-190</v>
      </c>
      <c r="DF917" s="485">
        <f>+DE917+DD917</f>
        <v>-190</v>
      </c>
      <c r="DG917" s="463"/>
      <c r="DH917" s="448">
        <v>-63</v>
      </c>
      <c r="DI917" s="514">
        <v>0</v>
      </c>
      <c r="DJ917" s="485">
        <f>+DI917+DH917</f>
        <v>-63</v>
      </c>
      <c r="DK917" s="463"/>
      <c r="DL917" s="514">
        <v>0</v>
      </c>
      <c r="DM917" s="514">
        <v>0</v>
      </c>
      <c r="DN917" s="485">
        <f>+DM917+DL917</f>
        <v>0</v>
      </c>
      <c r="DO917" s="463"/>
      <c r="DP917" s="514">
        <v>0</v>
      </c>
      <c r="DQ917" s="514">
        <v>0</v>
      </c>
      <c r="DR917" s="485">
        <f>+DQ917+DP917</f>
        <v>0</v>
      </c>
      <c r="DS917" s="463"/>
      <c r="DT917" s="1"/>
      <c r="DU917" s="1"/>
      <c r="DV917" s="1"/>
      <c r="DW917" s="1"/>
      <c r="DX917" s="1"/>
      <c r="DY917" s="1"/>
      <c r="DZ917" s="1"/>
      <c r="EA917" s="1"/>
      <c r="EB917" s="1"/>
      <c r="EC917" s="1"/>
      <c r="ED917" s="1"/>
      <c r="EE917" s="1"/>
      <c r="EF917" s="1"/>
      <c r="EG917" s="1"/>
      <c r="EH917" s="1"/>
      <c r="EI917" s="1"/>
      <c r="EJ917" s="1"/>
      <c r="EK917" s="1"/>
      <c r="EL917" s="1"/>
      <c r="EM917" s="1"/>
      <c r="EN917" s="1"/>
      <c r="EO917" s="1"/>
      <c r="EP917" s="1"/>
      <c r="EQ917" s="1"/>
      <c r="ER917" s="1"/>
      <c r="ES917" s="1"/>
      <c r="ET917" s="1"/>
      <c r="EU917" s="1"/>
      <c r="EV917" s="1"/>
      <c r="EW917" s="1"/>
      <c r="EX917" s="1"/>
      <c r="EY917" s="1"/>
      <c r="EZ917" s="1"/>
      <c r="FA917" s="1"/>
      <c r="FB917" s="1"/>
      <c r="FC917" s="1"/>
      <c r="FD917" s="1"/>
      <c r="FE917" s="1"/>
      <c r="FF917" s="1"/>
      <c r="FG917" s="1"/>
      <c r="FH917" s="1"/>
      <c r="FI917" s="1"/>
      <c r="FJ917" s="1"/>
      <c r="FK917" s="1"/>
      <c r="FL917" s="1"/>
      <c r="FM917" s="1"/>
      <c r="FN917" s="1"/>
      <c r="FO917" s="1"/>
      <c r="FP917" s="1"/>
      <c r="FQ917" s="1"/>
      <c r="FR917" s="1"/>
      <c r="FS917" s="1"/>
      <c r="FT917" s="1"/>
      <c r="FU917" s="1"/>
      <c r="FV917" s="1"/>
      <c r="FW917" s="1"/>
      <c r="FX917" s="1"/>
      <c r="FY917" s="1"/>
      <c r="FZ917" s="1"/>
      <c r="GA917" s="1"/>
      <c r="GB917" s="1"/>
      <c r="GC917" s="1"/>
      <c r="GD917" s="1"/>
      <c r="GE917" s="1"/>
      <c r="GF917" s="1"/>
      <c r="GG917" s="1"/>
      <c r="GH917" s="1"/>
      <c r="GI917" s="1"/>
      <c r="GJ917" s="1"/>
      <c r="GK917" s="1"/>
      <c r="GL917" s="1"/>
      <c r="GM917" s="1"/>
      <c r="GN917" s="1"/>
      <c r="GO917" s="1"/>
      <c r="GP917" s="1"/>
      <c r="GQ917" s="1"/>
      <c r="GR917" s="1"/>
      <c r="GS917" s="1"/>
      <c r="GT917" s="1"/>
      <c r="GU917" s="1"/>
      <c r="GV917" s="1"/>
      <c r="GW917" s="1"/>
      <c r="GX917" s="1"/>
      <c r="GY917" s="1"/>
      <c r="GZ917" s="1"/>
      <c r="HA917" s="1"/>
      <c r="HB917" s="1"/>
      <c r="HC917" s="1"/>
      <c r="HD917" s="1"/>
      <c r="HE917" s="1"/>
      <c r="HF917" s="1"/>
      <c r="HG917" s="1"/>
      <c r="HH917" s="1"/>
      <c r="HI917" s="1"/>
      <c r="HJ917" s="1"/>
      <c r="HK917" s="1"/>
      <c r="HL917" s="1"/>
      <c r="HM917" s="1"/>
      <c r="HN917" s="1"/>
      <c r="HO917" s="1"/>
      <c r="HP917" s="1"/>
      <c r="HQ917" s="1"/>
      <c r="HR917" s="1"/>
      <c r="HS917" s="1"/>
      <c r="HT917" s="1"/>
      <c r="HU917" s="1"/>
      <c r="HV917" s="1"/>
      <c r="HW917" s="1"/>
      <c r="HX917" s="1"/>
      <c r="HY917" s="1"/>
      <c r="HZ917" s="1"/>
      <c r="IA917" s="1"/>
      <c r="IB917" s="1"/>
      <c r="IC917" s="1"/>
      <c r="ID917" s="1"/>
      <c r="IE917" s="1"/>
      <c r="IF917" s="1"/>
      <c r="IG917" s="1"/>
      <c r="IH917" s="1"/>
      <c r="II917" s="1"/>
      <c r="IJ917" s="1"/>
      <c r="IK917" s="1"/>
      <c r="IL917" s="1"/>
      <c r="IM917" s="1"/>
      <c r="IN917" s="1"/>
      <c r="IO917" s="1"/>
      <c r="IP917" s="1"/>
      <c r="IQ917" s="1"/>
      <c r="IR917" s="1"/>
      <c r="IS917" s="1"/>
      <c r="IT917" s="1"/>
      <c r="IU917" s="1"/>
      <c r="IV917" s="1"/>
      <c r="IW917" s="1"/>
      <c r="IX917" s="1"/>
      <c r="IY917" s="1"/>
      <c r="IZ917" s="1"/>
      <c r="JA917" s="1"/>
      <c r="JB917" s="1"/>
      <c r="JC917" s="1"/>
      <c r="JD917" s="1"/>
    </row>
    <row r="918" spans="1:264" s="411" customFormat="1" x14ac:dyDescent="0.2">
      <c r="A918" s="411" t="s">
        <v>378</v>
      </c>
      <c r="B918" s="423"/>
      <c r="BH918" s="397">
        <f>SUM(BH914:BH917)</f>
        <v>-119</v>
      </c>
      <c r="BI918" s="397">
        <f>SUM(BI914:BI917)</f>
        <v>-23</v>
      </c>
      <c r="BJ918" s="397">
        <f>SUM(BJ914:BJ917)</f>
        <v>-142</v>
      </c>
      <c r="BK918" s="423"/>
      <c r="BL918" s="397">
        <f>SUM(BL914:BL917)</f>
        <v>-61</v>
      </c>
      <c r="BM918" s="397">
        <f>SUM(BM914:BM917)</f>
        <v>12</v>
      </c>
      <c r="BN918" s="397">
        <f>SUM(BN914:BN917)</f>
        <v>-49</v>
      </c>
      <c r="BO918" s="423"/>
      <c r="BP918" s="397">
        <f>SUM(BP914:BP917)</f>
        <v>-88</v>
      </c>
      <c r="BQ918" s="397">
        <f>SUM(BQ914:BQ917)</f>
        <v>14</v>
      </c>
      <c r="BR918" s="397">
        <f>SUM(BR914:BR917)</f>
        <v>-74</v>
      </c>
      <c r="BT918" s="397">
        <f>SUM(BT914:BT917)</f>
        <v>-186</v>
      </c>
      <c r="BU918" s="397">
        <f>SUM(BU914:BU917)</f>
        <v>-37</v>
      </c>
      <c r="BV918" s="397">
        <f>SUM(BV914:BV917)</f>
        <v>-223</v>
      </c>
      <c r="BX918" s="397">
        <f>SUM(BX914:BX917)</f>
        <v>-12</v>
      </c>
      <c r="BY918" s="397">
        <f>SUM(BY914:BY917)</f>
        <v>59</v>
      </c>
      <c r="BZ918" s="397">
        <f>SUM(BZ914:BZ917)</f>
        <v>47</v>
      </c>
      <c r="CB918" s="397">
        <f>SUM(CB914:CB917)</f>
        <v>35</v>
      </c>
      <c r="CC918" s="397">
        <f>SUM(CC914:CC917)</f>
        <v>-118</v>
      </c>
      <c r="CD918" s="397">
        <f>SUM(CD914:CD917)</f>
        <v>-83</v>
      </c>
      <c r="CF918" s="397">
        <f>SUM(CF914:CF917)</f>
        <v>-169</v>
      </c>
      <c r="CG918" s="397">
        <f>SUM(CG914:CG917)</f>
        <v>-31</v>
      </c>
      <c r="CH918" s="397">
        <f>SUM(CH914:CH917)</f>
        <v>-200</v>
      </c>
      <c r="CJ918" s="397">
        <f>SUM(CJ914:CJ917)</f>
        <v>1667</v>
      </c>
      <c r="CK918" s="397">
        <f>SUM(CK914:CK917)</f>
        <v>518</v>
      </c>
      <c r="CL918" s="397">
        <f>SUM(CL914:CL917)</f>
        <v>2185</v>
      </c>
      <c r="CN918" s="397">
        <f>SUM(CN914:CN917)</f>
        <v>902</v>
      </c>
      <c r="CO918" s="397">
        <f>SUM(CO914:CO917)</f>
        <v>478</v>
      </c>
      <c r="CP918" s="397">
        <f>SUM(CP914:CP917)</f>
        <v>1380</v>
      </c>
      <c r="CR918" s="397">
        <f>SUM(CR914:CR917)</f>
        <v>1024</v>
      </c>
      <c r="CS918" s="397">
        <f>SUM(CS914:CS917)</f>
        <v>39</v>
      </c>
      <c r="CT918" s="397">
        <f>SUM(CT914:CT917)</f>
        <v>1063</v>
      </c>
      <c r="CV918" s="397">
        <f>SUM(CV914:CV917)</f>
        <v>-18</v>
      </c>
      <c r="CW918" s="397">
        <f>SUM(CW914:CW917)</f>
        <v>-74</v>
      </c>
      <c r="CX918" s="397">
        <f>SUM(CX914:CX917)</f>
        <v>-92</v>
      </c>
      <c r="CZ918" s="397">
        <f>SUM(CZ914:CZ917)</f>
        <v>-266</v>
      </c>
      <c r="DA918" s="397">
        <f>SUM(DA914:DA917)</f>
        <v>-187</v>
      </c>
      <c r="DB918" s="397">
        <f>SUM(DB914:DB917)</f>
        <v>-453</v>
      </c>
      <c r="DD918" s="397">
        <f>SUM(DD914:DD917)</f>
        <v>1</v>
      </c>
      <c r="DE918" s="397">
        <f>SUM(DE914:DE917)</f>
        <v>-138</v>
      </c>
      <c r="DF918" s="397">
        <f>SUM(DF914:DF917)</f>
        <v>-137</v>
      </c>
      <c r="DH918" s="397">
        <f>SUM(DH914:DH917)</f>
        <v>-78</v>
      </c>
      <c r="DI918" s="397">
        <f>SUM(DI914:DI917)</f>
        <v>0</v>
      </c>
      <c r="DJ918" s="397">
        <f>SUM(DJ914:DJ917)</f>
        <v>-78</v>
      </c>
      <c r="DL918" s="397">
        <f>SUM(DL914:DL917)</f>
        <v>0</v>
      </c>
      <c r="DM918" s="397">
        <f>SUM(DM914:DM917)</f>
        <v>0</v>
      </c>
      <c r="DN918" s="397">
        <f>SUM(DN914:DN917)</f>
        <v>0</v>
      </c>
      <c r="DP918" s="397">
        <f>SUM(DP914:DP917)</f>
        <v>0</v>
      </c>
      <c r="DQ918" s="397">
        <f>SUM(DQ914:DQ917)</f>
        <v>0</v>
      </c>
      <c r="DR918" s="397">
        <f>SUM(DR914:DR917)</f>
        <v>0</v>
      </c>
      <c r="DT918" s="1"/>
      <c r="DU918" s="1"/>
      <c r="DV918" s="1"/>
      <c r="DW918" s="1"/>
      <c r="DX918" s="1"/>
      <c r="DY918" s="1"/>
      <c r="DZ918" s="1"/>
      <c r="EA918" s="1"/>
      <c r="EB918" s="1"/>
      <c r="EC918" s="1"/>
      <c r="ED918" s="1"/>
      <c r="EE918" s="1"/>
      <c r="EF918" s="1"/>
      <c r="EG918" s="1"/>
      <c r="EH918" s="1"/>
      <c r="EI918" s="1"/>
      <c r="EJ918" s="1"/>
      <c r="EK918" s="1"/>
      <c r="EL918" s="1"/>
      <c r="EM918" s="1"/>
      <c r="EN918" s="1"/>
      <c r="EO918" s="1"/>
      <c r="EP918" s="1"/>
      <c r="EQ918" s="1"/>
      <c r="ER918" s="1"/>
      <c r="ES918" s="1"/>
      <c r="ET918" s="1"/>
      <c r="EU918" s="1"/>
      <c r="EV918" s="1"/>
      <c r="EW918" s="1"/>
      <c r="EX918" s="1"/>
      <c r="EY918" s="1"/>
      <c r="EZ918" s="1"/>
      <c r="FA918" s="1"/>
      <c r="FB918" s="1"/>
      <c r="FC918" s="1"/>
      <c r="FD918" s="1"/>
      <c r="FE918" s="1"/>
      <c r="FF918" s="1"/>
      <c r="FG918" s="1"/>
      <c r="FH918" s="1"/>
      <c r="FI918" s="1"/>
      <c r="FJ918" s="1"/>
      <c r="FK918" s="1"/>
      <c r="FL918" s="1"/>
      <c r="FM918" s="1"/>
      <c r="FN918" s="1"/>
      <c r="FO918" s="1"/>
      <c r="FP918" s="1"/>
      <c r="FQ918" s="1"/>
      <c r="FR918" s="1"/>
      <c r="FS918" s="1"/>
      <c r="FT918" s="1"/>
      <c r="FU918" s="1"/>
      <c r="FV918" s="1"/>
      <c r="FW918" s="1"/>
      <c r="FX918" s="1"/>
      <c r="FY918" s="1"/>
      <c r="FZ918" s="1"/>
      <c r="GA918" s="1"/>
      <c r="GB918" s="1"/>
      <c r="GC918" s="1"/>
      <c r="GD918" s="1"/>
      <c r="GE918" s="1"/>
      <c r="GF918" s="1"/>
      <c r="GG918" s="1"/>
      <c r="GH918" s="1"/>
      <c r="GI918" s="1"/>
      <c r="GJ918" s="1"/>
      <c r="GK918" s="1"/>
      <c r="GL918" s="1"/>
      <c r="GM918" s="1"/>
      <c r="GN918" s="1"/>
      <c r="GO918" s="1"/>
      <c r="GP918" s="1"/>
      <c r="GQ918" s="1"/>
      <c r="GR918" s="1"/>
      <c r="GS918" s="1"/>
      <c r="GT918" s="1"/>
      <c r="GU918" s="1"/>
      <c r="GV918" s="1"/>
      <c r="GW918" s="1"/>
      <c r="GX918" s="1"/>
      <c r="GY918" s="1"/>
      <c r="GZ918" s="1"/>
      <c r="HA918" s="1"/>
      <c r="HB918" s="1"/>
      <c r="HC918" s="1"/>
      <c r="HD918" s="1"/>
      <c r="HE918" s="1"/>
      <c r="HF918" s="1"/>
      <c r="HG918" s="1"/>
      <c r="HH918" s="1"/>
      <c r="HI918" s="1"/>
      <c r="HJ918" s="1"/>
      <c r="HK918" s="1"/>
      <c r="HL918" s="1"/>
      <c r="HM918" s="1"/>
      <c r="HN918" s="1"/>
      <c r="HO918" s="1"/>
      <c r="HP918" s="1"/>
      <c r="HQ918" s="1"/>
      <c r="HR918" s="1"/>
      <c r="HS918" s="1"/>
      <c r="HT918" s="1"/>
      <c r="HU918" s="1"/>
      <c r="HV918" s="1"/>
      <c r="HW918" s="1"/>
      <c r="HX918" s="1"/>
      <c r="HY918" s="1"/>
      <c r="HZ918" s="1"/>
      <c r="IA918" s="1"/>
      <c r="IB918" s="1"/>
      <c r="IC918" s="1"/>
      <c r="ID918" s="1"/>
      <c r="IE918" s="1"/>
      <c r="IF918" s="1"/>
      <c r="IG918" s="1"/>
      <c r="IH918" s="1"/>
      <c r="II918" s="1"/>
      <c r="IJ918" s="1"/>
      <c r="IK918" s="1"/>
      <c r="IL918" s="1"/>
      <c r="IM918" s="1"/>
      <c r="IN918" s="1"/>
      <c r="IO918" s="1"/>
      <c r="IP918" s="1"/>
      <c r="IQ918" s="1"/>
      <c r="IR918" s="1"/>
      <c r="IS918" s="1"/>
      <c r="IT918" s="1"/>
      <c r="IU918" s="1"/>
      <c r="IV918" s="1"/>
      <c r="IW918" s="1"/>
      <c r="IX918" s="1"/>
      <c r="IY918" s="1"/>
      <c r="IZ918" s="1"/>
      <c r="JA918" s="1"/>
      <c r="JB918" s="1"/>
      <c r="JC918" s="1"/>
      <c r="JD918" s="1"/>
    </row>
    <row r="919" spans="1:264" s="347" customFormat="1" x14ac:dyDescent="0.2">
      <c r="B919" s="348"/>
      <c r="BH919" s="456">
        <f>BH39</f>
        <v>-119</v>
      </c>
      <c r="BI919" s="456">
        <f>BI39</f>
        <v>-23</v>
      </c>
      <c r="BJ919" s="456">
        <f>BJ39</f>
        <v>-142</v>
      </c>
      <c r="BK919" s="348"/>
      <c r="BL919" s="456">
        <f>BL39</f>
        <v>-61</v>
      </c>
      <c r="BM919" s="456">
        <f>BM39</f>
        <v>12</v>
      </c>
      <c r="BN919" s="456">
        <f>BN39</f>
        <v>-49</v>
      </c>
      <c r="BO919" s="348"/>
      <c r="BP919" s="456">
        <f>BP39</f>
        <v>-88</v>
      </c>
      <c r="BQ919" s="456">
        <f>BQ39</f>
        <v>14</v>
      </c>
      <c r="BR919" s="456">
        <f>BR39</f>
        <v>-74</v>
      </c>
      <c r="BT919" s="456">
        <f>BT39</f>
        <v>-185</v>
      </c>
      <c r="BU919" s="456">
        <f>BU39</f>
        <v>-37</v>
      </c>
      <c r="BV919" s="456">
        <f>BV39</f>
        <v>-222</v>
      </c>
      <c r="BX919" s="456">
        <f>BX39</f>
        <v>-12</v>
      </c>
      <c r="BY919" s="456">
        <f>BY39</f>
        <v>59</v>
      </c>
      <c r="BZ919" s="456">
        <f>BZ39</f>
        <v>47</v>
      </c>
      <c r="CB919" s="456">
        <f>CB39</f>
        <v>35</v>
      </c>
      <c r="CC919" s="456">
        <f>CC39</f>
        <v>-118</v>
      </c>
      <c r="CD919" s="456">
        <f>CD39</f>
        <v>-83</v>
      </c>
      <c r="CF919" s="456">
        <f>CF39</f>
        <v>-169</v>
      </c>
      <c r="CG919" s="456">
        <f>CG39</f>
        <v>34</v>
      </c>
      <c r="CH919" s="456">
        <f>CH39</f>
        <v>-135</v>
      </c>
      <c r="CJ919" s="456">
        <f>CJ39</f>
        <v>1667</v>
      </c>
      <c r="CK919" s="456">
        <f>CK39</f>
        <v>518</v>
      </c>
      <c r="CL919" s="456">
        <f>CL39</f>
        <v>2185</v>
      </c>
      <c r="CN919" s="456">
        <f>CN39</f>
        <v>902</v>
      </c>
      <c r="CO919" s="456">
        <f>CO39</f>
        <v>478</v>
      </c>
      <c r="CP919" s="456">
        <f>CP39</f>
        <v>1380</v>
      </c>
      <c r="CR919" s="456">
        <f>CR39</f>
        <v>1024</v>
      </c>
      <c r="CS919" s="456">
        <f>CS39</f>
        <v>39</v>
      </c>
      <c r="CT919" s="456">
        <f>CT39</f>
        <v>1063</v>
      </c>
      <c r="CV919" s="456">
        <f>CV39</f>
        <v>-18</v>
      </c>
      <c r="CW919" s="456">
        <f>CW39</f>
        <v>-74</v>
      </c>
      <c r="CX919" s="456">
        <f>CX39</f>
        <v>-92</v>
      </c>
      <c r="CZ919" s="456">
        <f>CZ39</f>
        <v>-266</v>
      </c>
      <c r="DA919" s="456">
        <f>DA39</f>
        <v>-187</v>
      </c>
      <c r="DB919" s="456">
        <f>DB39</f>
        <v>-453</v>
      </c>
      <c r="DD919" s="456">
        <f>DD39</f>
        <v>1</v>
      </c>
      <c r="DE919" s="456">
        <f>DE39</f>
        <v>-138</v>
      </c>
      <c r="DF919" s="456">
        <f>DF39</f>
        <v>-137</v>
      </c>
      <c r="DH919" s="456">
        <f>DH39</f>
        <v>-78</v>
      </c>
      <c r="DI919" s="456">
        <f>DI39</f>
        <v>0</v>
      </c>
      <c r="DJ919" s="456">
        <f>DJ39</f>
        <v>-78</v>
      </c>
      <c r="DL919" s="456">
        <f>DL39</f>
        <v>0</v>
      </c>
      <c r="DM919" s="456">
        <f>DM39</f>
        <v>0</v>
      </c>
      <c r="DN919" s="456">
        <f>DN39</f>
        <v>0</v>
      </c>
      <c r="DP919" s="456">
        <f>DP39</f>
        <v>0</v>
      </c>
      <c r="DQ919" s="456">
        <f>DQ39</f>
        <v>0</v>
      </c>
      <c r="DR919" s="456">
        <f>DR39</f>
        <v>0</v>
      </c>
      <c r="DT919" s="1"/>
      <c r="DU919" s="1"/>
      <c r="DV919" s="1"/>
      <c r="DW919" s="1"/>
      <c r="DX919" s="1"/>
      <c r="DY919" s="1"/>
      <c r="DZ919" s="1"/>
      <c r="EA919" s="1"/>
      <c r="EB919" s="1"/>
      <c r="EC919" s="1"/>
      <c r="ED919" s="1"/>
      <c r="EE919" s="1"/>
      <c r="EF919" s="1"/>
      <c r="EG919" s="1"/>
      <c r="EH919" s="1"/>
      <c r="EI919" s="1"/>
      <c r="EJ919" s="1"/>
      <c r="EK919" s="1"/>
      <c r="EL919" s="1"/>
      <c r="EM919" s="1"/>
      <c r="EN919" s="1"/>
      <c r="EO919" s="1"/>
      <c r="EP919" s="1"/>
      <c r="EQ919" s="1"/>
      <c r="ER919" s="1"/>
      <c r="ES919" s="1"/>
      <c r="ET919" s="1"/>
      <c r="EU919" s="1"/>
      <c r="EV919" s="1"/>
      <c r="EW919" s="1"/>
      <c r="EX919" s="1"/>
      <c r="EY919" s="1"/>
      <c r="EZ919" s="1"/>
      <c r="FA919" s="1"/>
      <c r="FB919" s="1"/>
      <c r="FC919" s="1"/>
      <c r="FD919" s="1"/>
      <c r="FE919" s="1"/>
      <c r="FF919" s="1"/>
      <c r="FG919" s="1"/>
      <c r="FH919" s="1"/>
      <c r="FI919" s="1"/>
      <c r="FJ919" s="1"/>
      <c r="FK919" s="1"/>
      <c r="FL919" s="1"/>
      <c r="FM919" s="1"/>
      <c r="FN919" s="1"/>
      <c r="FO919" s="1"/>
      <c r="FP919" s="1"/>
      <c r="FQ919" s="1"/>
      <c r="FR919" s="1"/>
      <c r="FS919" s="1"/>
      <c r="FT919" s="1"/>
      <c r="FU919" s="1"/>
      <c r="FV919" s="1"/>
      <c r="FW919" s="1"/>
      <c r="FX919" s="1"/>
      <c r="FY919" s="1"/>
      <c r="FZ919" s="1"/>
      <c r="GA919" s="1"/>
      <c r="GB919" s="1"/>
      <c r="GC919" s="1"/>
      <c r="GD919" s="1"/>
      <c r="GE919" s="1"/>
      <c r="GF919" s="1"/>
      <c r="GG919" s="1"/>
      <c r="GH919" s="1"/>
      <c r="GI919" s="1"/>
      <c r="GJ919" s="1"/>
      <c r="GK919" s="1"/>
      <c r="GL919" s="1"/>
      <c r="GM919" s="1"/>
      <c r="GN919" s="1"/>
      <c r="GO919" s="1"/>
      <c r="GP919" s="1"/>
      <c r="GQ919" s="1"/>
      <c r="GR919" s="1"/>
      <c r="GS919" s="1"/>
      <c r="GT919" s="1"/>
      <c r="GU919" s="1"/>
      <c r="GV919" s="1"/>
      <c r="GW919" s="1"/>
      <c r="GX919" s="1"/>
      <c r="GY919" s="1"/>
      <c r="GZ919" s="1"/>
      <c r="HA919" s="1"/>
      <c r="HB919" s="1"/>
      <c r="HC919" s="1"/>
      <c r="HD919" s="1"/>
      <c r="HE919" s="1"/>
      <c r="HF919" s="1"/>
      <c r="HG919" s="1"/>
      <c r="HH919" s="1"/>
      <c r="HI919" s="1"/>
      <c r="HJ919" s="1"/>
      <c r="HK919" s="1"/>
      <c r="HL919" s="1"/>
      <c r="HM919" s="1"/>
      <c r="HN919" s="1"/>
      <c r="HO919" s="1"/>
      <c r="HP919" s="1"/>
      <c r="HQ919" s="1"/>
      <c r="HR919" s="1"/>
      <c r="HS919" s="1"/>
      <c r="HT919" s="1"/>
      <c r="HU919" s="1"/>
      <c r="HV919" s="1"/>
      <c r="HW919" s="1"/>
      <c r="HX919" s="1"/>
      <c r="HY919" s="1"/>
      <c r="HZ919" s="1"/>
      <c r="IA919" s="1"/>
      <c r="IB919" s="1"/>
      <c r="IC919" s="1"/>
      <c r="ID919" s="1"/>
      <c r="IE919" s="1"/>
      <c r="IF919" s="1"/>
      <c r="IG919" s="1"/>
      <c r="IH919" s="1"/>
      <c r="II919" s="1"/>
      <c r="IJ919" s="1"/>
      <c r="IK919" s="1"/>
      <c r="IL919" s="1"/>
      <c r="IM919" s="1"/>
      <c r="IN919" s="1"/>
      <c r="IO919" s="1"/>
      <c r="IP919" s="1"/>
      <c r="IQ919" s="1"/>
      <c r="IR919" s="1"/>
      <c r="IS919" s="1"/>
      <c r="IT919" s="1"/>
      <c r="IU919" s="1"/>
      <c r="IV919" s="1"/>
      <c r="IW919" s="1"/>
      <c r="IX919" s="1"/>
      <c r="IY919" s="1"/>
      <c r="IZ919" s="1"/>
      <c r="JA919" s="1"/>
      <c r="JB919" s="1"/>
      <c r="JC919" s="1"/>
      <c r="JD919" s="1"/>
    </row>
    <row r="920" spans="1:264" s="347" customFormat="1" x14ac:dyDescent="0.2">
      <c r="B920" s="348"/>
      <c r="BH920" s="456"/>
      <c r="BI920" s="456"/>
      <c r="BJ920" s="456"/>
      <c r="BK920" s="348"/>
      <c r="BL920" s="456"/>
      <c r="BM920" s="456"/>
      <c r="BN920" s="456"/>
      <c r="BO920" s="348"/>
      <c r="BP920" s="456"/>
      <c r="BQ920" s="456"/>
      <c r="BR920" s="456"/>
      <c r="BT920" s="456"/>
      <c r="BU920" s="456"/>
      <c r="BV920" s="456"/>
      <c r="BX920" s="456"/>
      <c r="BY920" s="456"/>
      <c r="BZ920" s="456"/>
      <c r="CB920" s="456"/>
      <c r="CC920" s="456"/>
      <c r="CD920" s="456"/>
      <c r="CF920" s="456"/>
      <c r="CG920" s="456"/>
      <c r="CH920" s="456"/>
      <c r="CJ920" s="456"/>
      <c r="CK920" s="456"/>
      <c r="CL920" s="456"/>
      <c r="CN920" s="456"/>
      <c r="CO920" s="456"/>
      <c r="CP920" s="456"/>
      <c r="CR920" s="456"/>
      <c r="CS920" s="456"/>
      <c r="CT920" s="456"/>
      <c r="CV920" s="456"/>
      <c r="CW920" s="456"/>
      <c r="CX920" s="456"/>
      <c r="CZ920" s="456"/>
      <c r="DA920" s="456"/>
      <c r="DB920" s="456"/>
      <c r="DD920" s="456"/>
      <c r="DE920" s="456"/>
      <c r="DF920" s="456"/>
      <c r="DH920" s="456"/>
      <c r="DI920" s="456"/>
      <c r="DJ920" s="456"/>
      <c r="DL920" s="456"/>
      <c r="DM920" s="456"/>
      <c r="DN920" s="456"/>
      <c r="DP920" s="456"/>
      <c r="DQ920" s="456"/>
      <c r="DR920" s="456"/>
      <c r="DT920" s="1"/>
      <c r="DU920" s="1"/>
      <c r="DV920" s="1"/>
      <c r="DW920" s="1"/>
      <c r="DX920" s="1"/>
      <c r="DY920" s="1"/>
      <c r="DZ920" s="1"/>
      <c r="EA920" s="1"/>
      <c r="EB920" s="1"/>
      <c r="EC920" s="1"/>
      <c r="ED920" s="1"/>
      <c r="EE920" s="1"/>
      <c r="EF920" s="1"/>
      <c r="EG920" s="1"/>
      <c r="EH920" s="1"/>
      <c r="EI920" s="1"/>
      <c r="EJ920" s="1"/>
      <c r="EK920" s="1"/>
      <c r="EL920" s="1"/>
      <c r="EM920" s="1"/>
      <c r="EN920" s="1"/>
      <c r="EO920" s="1"/>
      <c r="EP920" s="1"/>
      <c r="EQ920" s="1"/>
      <c r="ER920" s="1"/>
      <c r="ES920" s="1"/>
      <c r="ET920" s="1"/>
      <c r="EU920" s="1"/>
      <c r="EV920" s="1"/>
      <c r="EW920" s="1"/>
      <c r="EX920" s="1"/>
      <c r="EY920" s="1"/>
      <c r="EZ920" s="1"/>
      <c r="FA920" s="1"/>
      <c r="FB920" s="1"/>
      <c r="FC920" s="1"/>
      <c r="FD920" s="1"/>
      <c r="FE920" s="1"/>
      <c r="FF920" s="1"/>
      <c r="FG920" s="1"/>
      <c r="FH920" s="1"/>
      <c r="FI920" s="1"/>
      <c r="FJ920" s="1"/>
      <c r="FK920" s="1"/>
      <c r="FL920" s="1"/>
      <c r="FM920" s="1"/>
      <c r="FN920" s="1"/>
      <c r="FO920" s="1"/>
      <c r="FP920" s="1"/>
      <c r="FQ920" s="1"/>
      <c r="FR920" s="1"/>
      <c r="FS920" s="1"/>
      <c r="FT920" s="1"/>
      <c r="FU920" s="1"/>
      <c r="FV920" s="1"/>
      <c r="FW920" s="1"/>
      <c r="FX920" s="1"/>
      <c r="FY920" s="1"/>
      <c r="FZ920" s="1"/>
      <c r="GA920" s="1"/>
      <c r="GB920" s="1"/>
      <c r="GC920" s="1"/>
      <c r="GD920" s="1"/>
      <c r="GE920" s="1"/>
      <c r="GF920" s="1"/>
      <c r="GG920" s="1"/>
      <c r="GH920" s="1"/>
      <c r="GI920" s="1"/>
      <c r="GJ920" s="1"/>
      <c r="GK920" s="1"/>
      <c r="GL920" s="1"/>
      <c r="GM920" s="1"/>
      <c r="GN920" s="1"/>
      <c r="GO920" s="1"/>
      <c r="GP920" s="1"/>
      <c r="GQ920" s="1"/>
      <c r="GR920" s="1"/>
      <c r="GS920" s="1"/>
      <c r="GT920" s="1"/>
      <c r="GU920" s="1"/>
      <c r="GV920" s="1"/>
      <c r="GW920" s="1"/>
      <c r="GX920" s="1"/>
      <c r="GY920" s="1"/>
      <c r="GZ920" s="1"/>
      <c r="HA920" s="1"/>
      <c r="HB920" s="1"/>
      <c r="HC920" s="1"/>
      <c r="HD920" s="1"/>
      <c r="HE920" s="1"/>
      <c r="HF920" s="1"/>
      <c r="HG920" s="1"/>
      <c r="HH920" s="1"/>
      <c r="HI920" s="1"/>
      <c r="HJ920" s="1"/>
      <c r="HK920" s="1"/>
      <c r="HL920" s="1"/>
      <c r="HM920" s="1"/>
      <c r="HN920" s="1"/>
      <c r="HO920" s="1"/>
      <c r="HP920" s="1"/>
      <c r="HQ920" s="1"/>
      <c r="HR920" s="1"/>
      <c r="HS920" s="1"/>
      <c r="HT920" s="1"/>
      <c r="HU920" s="1"/>
      <c r="HV920" s="1"/>
      <c r="HW920" s="1"/>
      <c r="HX920" s="1"/>
      <c r="HY920" s="1"/>
      <c r="HZ920" s="1"/>
      <c r="IA920" s="1"/>
      <c r="IB920" s="1"/>
      <c r="IC920" s="1"/>
      <c r="ID920" s="1"/>
      <c r="IE920" s="1"/>
      <c r="IF920" s="1"/>
      <c r="IG920" s="1"/>
      <c r="IH920" s="1"/>
      <c r="II920" s="1"/>
      <c r="IJ920" s="1"/>
      <c r="IK920" s="1"/>
      <c r="IL920" s="1"/>
      <c r="IM920" s="1"/>
      <c r="IN920" s="1"/>
      <c r="IO920" s="1"/>
      <c r="IP920" s="1"/>
      <c r="IQ920" s="1"/>
      <c r="IR920" s="1"/>
      <c r="IS920" s="1"/>
      <c r="IT920" s="1"/>
      <c r="IU920" s="1"/>
      <c r="IV920" s="1"/>
      <c r="IW920" s="1"/>
      <c r="IX920" s="1"/>
      <c r="IY920" s="1"/>
      <c r="IZ920" s="1"/>
      <c r="JA920" s="1"/>
      <c r="JB920" s="1"/>
      <c r="JC920" s="1"/>
      <c r="JD920" s="1"/>
    </row>
    <row r="921" spans="1:264" s="411" customFormat="1" x14ac:dyDescent="0.2">
      <c r="A921" s="411" t="s">
        <v>647</v>
      </c>
      <c r="B921" s="423"/>
      <c r="BH921" s="508"/>
      <c r="BI921" s="508"/>
      <c r="BJ921" s="508"/>
      <c r="BK921" s="423"/>
      <c r="BL921" s="397">
        <f>BN921-BM921</f>
        <v>-25</v>
      </c>
      <c r="BM921" s="396">
        <f>-4-36-14+35+26+66</f>
        <v>73</v>
      </c>
      <c r="BN921" s="396">
        <f>-12-79-46+35+24+126</f>
        <v>48</v>
      </c>
      <c r="BO921" s="397"/>
      <c r="BP921" s="396">
        <f>-59-37-18+61</f>
        <v>-53</v>
      </c>
      <c r="BQ921" s="396">
        <f>72-38-4+38</f>
        <v>68</v>
      </c>
      <c r="BR921" s="397">
        <f>BP921+BQ921</f>
        <v>15</v>
      </c>
      <c r="BT921" s="396">
        <f>-213-37-10+9</f>
        <v>-251</v>
      </c>
      <c r="BU921" s="396">
        <f>-284-39+14+101-BT921</f>
        <v>43</v>
      </c>
      <c r="BV921" s="397">
        <f>BT921+BU921</f>
        <v>-208</v>
      </c>
      <c r="BX921" s="396">
        <f>10-2-20-24</f>
        <v>-36</v>
      </c>
      <c r="BY921" s="396">
        <f>106-4-22+32-BX921</f>
        <v>148</v>
      </c>
      <c r="BZ921" s="397">
        <f>BX921+BY921</f>
        <v>112</v>
      </c>
      <c r="CB921" s="396">
        <f>137+65-2</f>
        <v>200</v>
      </c>
      <c r="CC921" s="396">
        <f>6+4-4-30-2</f>
        <v>-26</v>
      </c>
      <c r="CD921" s="397">
        <f>CB921+CC921</f>
        <v>174</v>
      </c>
      <c r="CF921" s="396">
        <f>-131-6</f>
        <v>-137</v>
      </c>
      <c r="CG921" s="396">
        <f>-60+15</f>
        <v>-45</v>
      </c>
      <c r="CH921" s="397">
        <f>CF921+CG921</f>
        <v>-182</v>
      </c>
      <c r="CJ921" s="396">
        <v>1717</v>
      </c>
      <c r="CK921" s="396">
        <f>518-7+25</f>
        <v>536</v>
      </c>
      <c r="CL921" s="397">
        <f>CJ921+CK921</f>
        <v>2253</v>
      </c>
      <c r="CN921" s="396">
        <f>902+17</f>
        <v>919</v>
      </c>
      <c r="CO921" s="396">
        <f>CO923-CO922</f>
        <v>437</v>
      </c>
      <c r="CP921" s="397">
        <f>CN921+CO921</f>
        <v>1356</v>
      </c>
      <c r="CR921" s="396">
        <v>1024</v>
      </c>
      <c r="CS921" s="396">
        <v>39</v>
      </c>
      <c r="CT921" s="397">
        <f>CR921+CS921</f>
        <v>1063</v>
      </c>
      <c r="CV921" s="396">
        <v>-18</v>
      </c>
      <c r="CW921" s="396">
        <v>-74</v>
      </c>
      <c r="CX921" s="397">
        <f>CV921+CW921</f>
        <v>-92</v>
      </c>
      <c r="CZ921" s="396">
        <f>-294+28</f>
        <v>-266</v>
      </c>
      <c r="DA921" s="396">
        <f>-176-11</f>
        <v>-187</v>
      </c>
      <c r="DB921" s="397">
        <f>CZ921+DA921</f>
        <v>-453</v>
      </c>
      <c r="DD921" s="396">
        <v>1</v>
      </c>
      <c r="DE921" s="396">
        <v>-138</v>
      </c>
      <c r="DF921" s="397">
        <f>DD921+DE921</f>
        <v>-137</v>
      </c>
      <c r="DH921" s="396">
        <v>-78</v>
      </c>
      <c r="DI921" s="556"/>
      <c r="DJ921" s="397"/>
      <c r="DL921" s="556"/>
      <c r="DM921" s="556"/>
      <c r="DN921" s="397"/>
      <c r="DP921" s="556"/>
      <c r="DQ921" s="556"/>
      <c r="DR921" s="397"/>
      <c r="DT921" s="451"/>
      <c r="DU921" s="451"/>
      <c r="DV921" s="451"/>
      <c r="DW921" s="451"/>
      <c r="DX921" s="451"/>
      <c r="DY921" s="451"/>
      <c r="DZ921" s="451"/>
      <c r="EA921" s="451"/>
      <c r="EB921" s="451"/>
      <c r="EC921" s="451"/>
      <c r="ED921" s="451"/>
      <c r="EE921" s="451"/>
      <c r="EF921" s="451"/>
      <c r="EG921" s="451"/>
      <c r="EH921" s="451"/>
      <c r="EI921" s="451"/>
      <c r="EJ921" s="451"/>
      <c r="EK921" s="451"/>
      <c r="EL921" s="451"/>
      <c r="EM921" s="451"/>
      <c r="EN921" s="451"/>
      <c r="EO921" s="451"/>
      <c r="EP921" s="451"/>
      <c r="EQ921" s="451"/>
      <c r="ER921" s="451"/>
      <c r="ES921" s="451"/>
      <c r="ET921" s="451"/>
      <c r="EU921" s="451"/>
      <c r="EV921" s="451"/>
      <c r="EW921" s="451"/>
      <c r="EX921" s="451"/>
      <c r="EY921" s="451"/>
      <c r="EZ921" s="451"/>
      <c r="FA921" s="451"/>
      <c r="FB921" s="451"/>
      <c r="FC921" s="451"/>
      <c r="FD921" s="451"/>
      <c r="FE921" s="451"/>
      <c r="FF921" s="451"/>
      <c r="FG921" s="451"/>
      <c r="FH921" s="451"/>
      <c r="FI921" s="451"/>
      <c r="FJ921" s="451"/>
      <c r="FK921" s="451"/>
      <c r="FL921" s="451"/>
      <c r="FM921" s="451"/>
      <c r="FN921" s="451"/>
      <c r="FO921" s="451"/>
      <c r="FP921" s="451"/>
      <c r="FQ921" s="451"/>
      <c r="FR921" s="451"/>
      <c r="FS921" s="451"/>
      <c r="FT921" s="451"/>
      <c r="FU921" s="451"/>
      <c r="FV921" s="451"/>
      <c r="FW921" s="451"/>
      <c r="FX921" s="451"/>
      <c r="FY921" s="451"/>
      <c r="FZ921" s="451"/>
      <c r="GA921" s="451"/>
      <c r="GB921" s="451"/>
      <c r="GC921" s="451"/>
      <c r="GD921" s="451"/>
      <c r="GE921" s="451"/>
      <c r="GF921" s="451"/>
      <c r="GG921" s="451"/>
      <c r="GH921" s="451"/>
      <c r="GI921" s="451"/>
      <c r="GJ921" s="451"/>
      <c r="GK921" s="451"/>
      <c r="GL921" s="451"/>
      <c r="GM921" s="451"/>
      <c r="GN921" s="451"/>
      <c r="GO921" s="451"/>
      <c r="GP921" s="451"/>
      <c r="GQ921" s="451"/>
      <c r="GR921" s="451"/>
      <c r="GS921" s="451"/>
      <c r="GT921" s="451"/>
      <c r="GU921" s="451"/>
      <c r="GV921" s="451"/>
      <c r="GW921" s="451"/>
      <c r="GX921" s="451"/>
      <c r="GY921" s="451"/>
      <c r="GZ921" s="451"/>
      <c r="HA921" s="451"/>
      <c r="HB921" s="451"/>
      <c r="HC921" s="451"/>
      <c r="HD921" s="451"/>
      <c r="HE921" s="451"/>
      <c r="HF921" s="451"/>
      <c r="HG921" s="451"/>
      <c r="HH921" s="451"/>
      <c r="HI921" s="451"/>
      <c r="HJ921" s="451"/>
      <c r="HK921" s="451"/>
      <c r="HL921" s="451"/>
      <c r="HM921" s="451"/>
      <c r="HN921" s="451"/>
      <c r="HO921" s="451"/>
      <c r="HP921" s="451"/>
      <c r="HQ921" s="451"/>
      <c r="HR921" s="451"/>
      <c r="HS921" s="451"/>
      <c r="HT921" s="451"/>
      <c r="HU921" s="451"/>
      <c r="HV921" s="451"/>
      <c r="HW921" s="451"/>
      <c r="HX921" s="451"/>
      <c r="HY921" s="451"/>
      <c r="HZ921" s="451"/>
      <c r="IA921" s="451"/>
      <c r="IB921" s="451"/>
      <c r="IC921" s="451"/>
      <c r="ID921" s="451"/>
      <c r="IE921" s="451"/>
      <c r="IF921" s="451"/>
      <c r="IG921" s="451"/>
      <c r="IH921" s="451"/>
      <c r="II921" s="451"/>
      <c r="IJ921" s="451"/>
      <c r="IK921" s="451"/>
      <c r="IL921" s="451"/>
      <c r="IM921" s="451"/>
      <c r="IN921" s="451"/>
      <c r="IO921" s="451"/>
      <c r="IP921" s="451"/>
      <c r="IQ921" s="451"/>
      <c r="IR921" s="451"/>
      <c r="IS921" s="451"/>
      <c r="IT921" s="451"/>
      <c r="IU921" s="451"/>
      <c r="IV921" s="451"/>
      <c r="IW921" s="451"/>
      <c r="IX921" s="451"/>
      <c r="IY921" s="451"/>
      <c r="IZ921" s="451"/>
      <c r="JA921" s="451"/>
      <c r="JB921" s="451"/>
      <c r="JC921" s="451"/>
      <c r="JD921" s="451"/>
    </row>
    <row r="922" spans="1:264" s="347" customFormat="1" x14ac:dyDescent="0.2">
      <c r="A922" s="347" t="s">
        <v>258</v>
      </c>
      <c r="B922" s="348"/>
      <c r="BH922" s="398">
        <v>38</v>
      </c>
      <c r="BI922" s="398">
        <v>20</v>
      </c>
      <c r="BJ922" s="351">
        <f>+BI922+BH922</f>
        <v>58</v>
      </c>
      <c r="BK922" s="348"/>
      <c r="BL922" s="398">
        <v>36</v>
      </c>
      <c r="BM922" s="351">
        <f>BM921-BM918</f>
        <v>61</v>
      </c>
      <c r="BN922" s="351">
        <f>+BM922+BL922</f>
        <v>97</v>
      </c>
      <c r="BO922" s="348"/>
      <c r="BP922" s="351">
        <f>BP921-BP918</f>
        <v>35</v>
      </c>
      <c r="BQ922" s="351">
        <f>BQ921-BQ918</f>
        <v>54</v>
      </c>
      <c r="BR922" s="351">
        <f>+BQ922+BP922</f>
        <v>89</v>
      </c>
      <c r="BT922" s="351">
        <f>BT921-BT918</f>
        <v>-65</v>
      </c>
      <c r="BU922" s="351">
        <f>BU921-BU918</f>
        <v>80</v>
      </c>
      <c r="BV922" s="351">
        <f>+BU922+BT922</f>
        <v>15</v>
      </c>
      <c r="BX922" s="351">
        <f>BX921-BX918</f>
        <v>-24</v>
      </c>
      <c r="BY922" s="351">
        <f>BY921-BY918</f>
        <v>89</v>
      </c>
      <c r="BZ922" s="351">
        <f>+BY922+BX922</f>
        <v>65</v>
      </c>
      <c r="CB922" s="351">
        <f>CB921-CB918</f>
        <v>165</v>
      </c>
      <c r="CC922" s="351">
        <f>CC921-CC918</f>
        <v>92</v>
      </c>
      <c r="CD922" s="351">
        <f>+CC922+CB922</f>
        <v>257</v>
      </c>
      <c r="CF922" s="351">
        <f>CF921-CF918</f>
        <v>32</v>
      </c>
      <c r="CG922" s="351">
        <f>CG921-CG918</f>
        <v>-14</v>
      </c>
      <c r="CH922" s="351">
        <f>+CG922+CF922</f>
        <v>18</v>
      </c>
      <c r="CJ922" s="351">
        <f>CJ921-CJ918</f>
        <v>50</v>
      </c>
      <c r="CK922" s="351">
        <f>CK921-CK918</f>
        <v>18</v>
      </c>
      <c r="CL922" s="351">
        <f>+CK922+CJ922</f>
        <v>68</v>
      </c>
      <c r="CN922" s="351">
        <f>CN921-CN918</f>
        <v>17</v>
      </c>
      <c r="CO922" s="351">
        <f>CP922-CN922</f>
        <v>41</v>
      </c>
      <c r="CP922" s="399">
        <f>67-9</f>
        <v>58</v>
      </c>
      <c r="CR922" s="351">
        <f>CR921-CR918</f>
        <v>0</v>
      </c>
      <c r="CS922" s="351">
        <f>CS921-CS918</f>
        <v>0</v>
      </c>
      <c r="CT922" s="351">
        <f>CT921-CT918</f>
        <v>0</v>
      </c>
      <c r="CV922" s="351">
        <f>CV921-CV918</f>
        <v>0</v>
      </c>
      <c r="CW922" s="351">
        <f>CW921-CW918</f>
        <v>0</v>
      </c>
      <c r="CX922" s="351">
        <f>CX921-CX918</f>
        <v>0</v>
      </c>
      <c r="CZ922" s="351">
        <f>CZ921-CZ918</f>
        <v>0</v>
      </c>
      <c r="DA922" s="351">
        <f>DA921-DA918</f>
        <v>0</v>
      </c>
      <c r="DB922" s="351">
        <f>DB921-DB918</f>
        <v>0</v>
      </c>
      <c r="DD922" s="351">
        <f>DD921-DD918</f>
        <v>0</v>
      </c>
      <c r="DE922" s="351">
        <f>DE921-DE918</f>
        <v>0</v>
      </c>
      <c r="DF922" s="351">
        <f>DF921-DF918</f>
        <v>0</v>
      </c>
      <c r="DH922" s="351">
        <f>DH921-DH918</f>
        <v>0</v>
      </c>
      <c r="DI922" s="351"/>
      <c r="DJ922" s="351"/>
      <c r="DL922" s="351"/>
      <c r="DM922" s="351"/>
      <c r="DN922" s="351"/>
      <c r="DP922" s="351"/>
      <c r="DQ922" s="351"/>
      <c r="DR922" s="351"/>
      <c r="DT922" s="1"/>
      <c r="DU922" s="1"/>
      <c r="DV922" s="1"/>
      <c r="DW922" s="1"/>
      <c r="DX922" s="1"/>
      <c r="DY922" s="1"/>
      <c r="DZ922" s="1"/>
      <c r="EA922" s="1"/>
      <c r="EB922" s="1"/>
      <c r="EC922" s="1"/>
      <c r="ED922" s="1"/>
      <c r="EE922" s="1"/>
      <c r="EF922" s="1"/>
      <c r="EG922" s="1"/>
      <c r="EH922" s="1"/>
      <c r="EI922" s="1"/>
      <c r="EJ922" s="1"/>
      <c r="EK922" s="1"/>
      <c r="EL922" s="1"/>
      <c r="EM922" s="1"/>
      <c r="EN922" s="1"/>
      <c r="EO922" s="1"/>
      <c r="EP922" s="1"/>
      <c r="EQ922" s="1"/>
      <c r="ER922" s="1"/>
      <c r="ES922" s="1"/>
      <c r="ET922" s="1"/>
      <c r="EU922" s="1"/>
      <c r="EV922" s="1"/>
      <c r="EW922" s="1"/>
      <c r="EX922" s="1"/>
      <c r="EY922" s="1"/>
      <c r="EZ922" s="1"/>
      <c r="FA922" s="1"/>
      <c r="FB922" s="1"/>
      <c r="FC922" s="1"/>
      <c r="FD922" s="1"/>
      <c r="FE922" s="1"/>
      <c r="FF922" s="1"/>
      <c r="FG922" s="1"/>
      <c r="FH922" s="1"/>
      <c r="FI922" s="1"/>
      <c r="FJ922" s="1"/>
      <c r="FK922" s="1"/>
      <c r="FL922" s="1"/>
      <c r="FM922" s="1"/>
      <c r="FN922" s="1"/>
      <c r="FO922" s="1"/>
      <c r="FP922" s="1"/>
      <c r="FQ922" s="1"/>
      <c r="FR922" s="1"/>
      <c r="FS922" s="1"/>
      <c r="FT922" s="1"/>
      <c r="FU922" s="1"/>
      <c r="FV922" s="1"/>
      <c r="FW922" s="1"/>
      <c r="FX922" s="1"/>
      <c r="FY922" s="1"/>
      <c r="FZ922" s="1"/>
      <c r="GA922" s="1"/>
      <c r="GB922" s="1"/>
      <c r="GC922" s="1"/>
      <c r="GD922" s="1"/>
      <c r="GE922" s="1"/>
      <c r="GF922" s="1"/>
      <c r="GG922" s="1"/>
      <c r="GH922" s="1"/>
      <c r="GI922" s="1"/>
      <c r="GJ922" s="1"/>
      <c r="GK922" s="1"/>
      <c r="GL922" s="1"/>
      <c r="GM922" s="1"/>
      <c r="GN922" s="1"/>
      <c r="GO922" s="1"/>
      <c r="GP922" s="1"/>
      <c r="GQ922" s="1"/>
      <c r="GR922" s="1"/>
      <c r="GS922" s="1"/>
      <c r="GT922" s="1"/>
      <c r="GU922" s="1"/>
      <c r="GV922" s="1"/>
      <c r="GW922" s="1"/>
      <c r="GX922" s="1"/>
      <c r="GY922" s="1"/>
      <c r="GZ922" s="1"/>
      <c r="HA922" s="1"/>
      <c r="HB922" s="1"/>
      <c r="HC922" s="1"/>
      <c r="HD922" s="1"/>
      <c r="HE922" s="1"/>
      <c r="HF922" s="1"/>
      <c r="HG922" s="1"/>
      <c r="HH922" s="1"/>
      <c r="HI922" s="1"/>
      <c r="HJ922" s="1"/>
      <c r="HK922" s="1"/>
      <c r="HL922" s="1"/>
      <c r="HM922" s="1"/>
      <c r="HN922" s="1"/>
      <c r="HO922" s="1"/>
      <c r="HP922" s="1"/>
      <c r="HQ922" s="1"/>
      <c r="HR922" s="1"/>
      <c r="HS922" s="1"/>
      <c r="HT922" s="1"/>
      <c r="HU922" s="1"/>
      <c r="HV922" s="1"/>
      <c r="HW922" s="1"/>
      <c r="HX922" s="1"/>
      <c r="HY922" s="1"/>
      <c r="HZ922" s="1"/>
      <c r="IA922" s="1"/>
      <c r="IB922" s="1"/>
      <c r="IC922" s="1"/>
      <c r="ID922" s="1"/>
      <c r="IE922" s="1"/>
      <c r="IF922" s="1"/>
      <c r="IG922" s="1"/>
      <c r="IH922" s="1"/>
      <c r="II922" s="1"/>
      <c r="IJ922" s="1"/>
      <c r="IK922" s="1"/>
      <c r="IL922" s="1"/>
      <c r="IM922" s="1"/>
      <c r="IN922" s="1"/>
      <c r="IO922" s="1"/>
      <c r="IP922" s="1"/>
      <c r="IQ922" s="1"/>
      <c r="IR922" s="1"/>
      <c r="IS922" s="1"/>
      <c r="IT922" s="1"/>
      <c r="IU922" s="1"/>
      <c r="IV922" s="1"/>
      <c r="IW922" s="1"/>
      <c r="IX922" s="1"/>
      <c r="IY922" s="1"/>
      <c r="IZ922" s="1"/>
      <c r="JA922" s="1"/>
      <c r="JB922" s="1"/>
      <c r="JC922" s="1"/>
      <c r="JD922" s="1"/>
    </row>
    <row r="923" spans="1:264" s="347" customFormat="1" x14ac:dyDescent="0.2">
      <c r="A923" s="411" t="s">
        <v>648</v>
      </c>
      <c r="B923" s="348"/>
      <c r="BH923" s="398"/>
      <c r="BI923" s="398"/>
      <c r="BJ923" s="351"/>
      <c r="BK923" s="348"/>
      <c r="BL923" s="397">
        <f>+BL921-BL922</f>
        <v>-61</v>
      </c>
      <c r="BM923" s="397">
        <f>+BM921-BM922</f>
        <v>12</v>
      </c>
      <c r="BN923" s="397">
        <f>+BN921-BN922</f>
        <v>-49</v>
      </c>
      <c r="BO923" s="348"/>
      <c r="BP923" s="397">
        <f>+BP921-BP922</f>
        <v>-88</v>
      </c>
      <c r="BQ923" s="397">
        <f>+BQ921-BQ922</f>
        <v>14</v>
      </c>
      <c r="BR923" s="397">
        <f>+BR921-BR922</f>
        <v>-74</v>
      </c>
      <c r="BT923" s="397">
        <f>+BT921-BT922</f>
        <v>-186</v>
      </c>
      <c r="BU923" s="397">
        <f>+BU921-BU922</f>
        <v>-37</v>
      </c>
      <c r="BV923" s="397">
        <f>+BV921-BV922</f>
        <v>-223</v>
      </c>
      <c r="BX923" s="397">
        <f>+BX921-BX922</f>
        <v>-12</v>
      </c>
      <c r="BY923" s="397">
        <f>+BY921-BY922</f>
        <v>59</v>
      </c>
      <c r="BZ923" s="397">
        <f>+BZ921-BZ922</f>
        <v>47</v>
      </c>
      <c r="CB923" s="397">
        <f>+CB921-CB922</f>
        <v>35</v>
      </c>
      <c r="CC923" s="397">
        <f>+CC921-CC922</f>
        <v>-118</v>
      </c>
      <c r="CD923" s="397">
        <f>+CD921-CD922</f>
        <v>-83</v>
      </c>
      <c r="CF923" s="397">
        <f>+CF921-CF922</f>
        <v>-169</v>
      </c>
      <c r="CG923" s="397">
        <f>+CG921-CG922</f>
        <v>-31</v>
      </c>
      <c r="CH923" s="397">
        <f>+CH921-CH922</f>
        <v>-200</v>
      </c>
      <c r="CJ923" s="397">
        <f>+CJ921-CJ922</f>
        <v>1667</v>
      </c>
      <c r="CK923" s="397">
        <f>+CK921-CK922</f>
        <v>518</v>
      </c>
      <c r="CL923" s="397">
        <f>+CL921-CL922</f>
        <v>2185</v>
      </c>
      <c r="CN923" s="397">
        <f>+CN921-CN922</f>
        <v>902</v>
      </c>
      <c r="CO923" s="397">
        <f>CO918</f>
        <v>478</v>
      </c>
      <c r="CP923" s="397">
        <f>+CP921-CP922</f>
        <v>1298</v>
      </c>
      <c r="CR923" s="524">
        <v>1024</v>
      </c>
      <c r="CS923" s="524">
        <v>39</v>
      </c>
      <c r="CT923" s="397">
        <f>+CT921-CT922</f>
        <v>1063</v>
      </c>
      <c r="CV923" s="524">
        <v>-18</v>
      </c>
      <c r="CW923" s="524">
        <f>-39-35</f>
        <v>-74</v>
      </c>
      <c r="CX923" s="397">
        <f>+CX921-CX922</f>
        <v>-92</v>
      </c>
      <c r="CZ923" s="524">
        <f>-294+28</f>
        <v>-266</v>
      </c>
      <c r="DA923" s="524">
        <v>-187</v>
      </c>
      <c r="DB923" s="397">
        <f>+DB921-DB922</f>
        <v>-453</v>
      </c>
      <c r="DD923" s="524">
        <v>1</v>
      </c>
      <c r="DE923" s="524">
        <v>-138</v>
      </c>
      <c r="DF923" s="397">
        <f>+DF921-DF922</f>
        <v>-137</v>
      </c>
      <c r="DH923" s="524">
        <v>-78</v>
      </c>
      <c r="DI923" s="351"/>
      <c r="DJ923" s="351"/>
      <c r="DL923" s="351"/>
      <c r="DM923" s="351"/>
      <c r="DN923" s="351"/>
      <c r="DP923" s="351"/>
      <c r="DQ923" s="351"/>
      <c r="DR923" s="351"/>
      <c r="DT923" s="1"/>
      <c r="DU923" s="1"/>
      <c r="DV923" s="1"/>
      <c r="DW923" s="1"/>
      <c r="DX923" s="1"/>
      <c r="DY923" s="1"/>
      <c r="DZ923" s="1"/>
      <c r="EA923" s="1"/>
      <c r="EB923" s="1"/>
      <c r="EC923" s="1"/>
      <c r="ED923" s="1"/>
      <c r="EE923" s="1"/>
      <c r="EF923" s="1"/>
      <c r="EG923" s="1"/>
      <c r="EH923" s="1"/>
      <c r="EI923" s="1"/>
      <c r="EJ923" s="1"/>
      <c r="EK923" s="1"/>
      <c r="EL923" s="1"/>
      <c r="EM923" s="1"/>
      <c r="EN923" s="1"/>
      <c r="EO923" s="1"/>
      <c r="EP923" s="1"/>
      <c r="EQ923" s="1"/>
      <c r="ER923" s="1"/>
      <c r="ES923" s="1"/>
      <c r="ET923" s="1"/>
      <c r="EU923" s="1"/>
      <c r="EV923" s="1"/>
      <c r="EW923" s="1"/>
      <c r="EX923" s="1"/>
      <c r="EY923" s="1"/>
      <c r="EZ923" s="1"/>
      <c r="FA923" s="1"/>
      <c r="FB923" s="1"/>
      <c r="FC923" s="1"/>
      <c r="FD923" s="1"/>
      <c r="FE923" s="1"/>
      <c r="FF923" s="1"/>
      <c r="FG923" s="1"/>
      <c r="FH923" s="1"/>
      <c r="FI923" s="1"/>
      <c r="FJ923" s="1"/>
      <c r="FK923" s="1"/>
      <c r="FL923" s="1"/>
      <c r="FM923" s="1"/>
      <c r="FN923" s="1"/>
      <c r="FO923" s="1"/>
      <c r="FP923" s="1"/>
      <c r="FQ923" s="1"/>
      <c r="FR923" s="1"/>
      <c r="FS923" s="1"/>
      <c r="FT923" s="1"/>
      <c r="FU923" s="1"/>
      <c r="FV923" s="1"/>
      <c r="FW923" s="1"/>
      <c r="FX923" s="1"/>
      <c r="FY923" s="1"/>
      <c r="FZ923" s="1"/>
      <c r="GA923" s="1"/>
      <c r="GB923" s="1"/>
      <c r="GC923" s="1"/>
      <c r="GD923" s="1"/>
      <c r="GE923" s="1"/>
      <c r="GF923" s="1"/>
      <c r="GG923" s="1"/>
      <c r="GH923" s="1"/>
      <c r="GI923" s="1"/>
      <c r="GJ923" s="1"/>
      <c r="GK923" s="1"/>
      <c r="GL923" s="1"/>
      <c r="GM923" s="1"/>
      <c r="GN923" s="1"/>
      <c r="GO923" s="1"/>
      <c r="GP923" s="1"/>
      <c r="GQ923" s="1"/>
      <c r="GR923" s="1"/>
      <c r="GS923" s="1"/>
      <c r="GT923" s="1"/>
      <c r="GU923" s="1"/>
      <c r="GV923" s="1"/>
      <c r="GW923" s="1"/>
      <c r="GX923" s="1"/>
      <c r="GY923" s="1"/>
      <c r="GZ923" s="1"/>
      <c r="HA923" s="1"/>
      <c r="HB923" s="1"/>
      <c r="HC923" s="1"/>
      <c r="HD923" s="1"/>
      <c r="HE923" s="1"/>
      <c r="HF923" s="1"/>
      <c r="HG923" s="1"/>
      <c r="HH923" s="1"/>
      <c r="HI923" s="1"/>
      <c r="HJ923" s="1"/>
      <c r="HK923" s="1"/>
      <c r="HL923" s="1"/>
      <c r="HM923" s="1"/>
      <c r="HN923" s="1"/>
      <c r="HO923" s="1"/>
      <c r="HP923" s="1"/>
      <c r="HQ923" s="1"/>
      <c r="HR923" s="1"/>
      <c r="HS923" s="1"/>
      <c r="HT923" s="1"/>
      <c r="HU923" s="1"/>
      <c r="HV923" s="1"/>
      <c r="HW923" s="1"/>
      <c r="HX923" s="1"/>
      <c r="HY923" s="1"/>
      <c r="HZ923" s="1"/>
      <c r="IA923" s="1"/>
      <c r="IB923" s="1"/>
      <c r="IC923" s="1"/>
      <c r="ID923" s="1"/>
      <c r="IE923" s="1"/>
      <c r="IF923" s="1"/>
      <c r="IG923" s="1"/>
      <c r="IH923" s="1"/>
      <c r="II923" s="1"/>
      <c r="IJ923" s="1"/>
      <c r="IK923" s="1"/>
      <c r="IL923" s="1"/>
      <c r="IM923" s="1"/>
      <c r="IN923" s="1"/>
      <c r="IO923" s="1"/>
      <c r="IP923" s="1"/>
      <c r="IQ923" s="1"/>
      <c r="IR923" s="1"/>
      <c r="IS923" s="1"/>
      <c r="IT923" s="1"/>
      <c r="IU923" s="1"/>
      <c r="IV923" s="1"/>
      <c r="IW923" s="1"/>
      <c r="IX923" s="1"/>
      <c r="IY923" s="1"/>
      <c r="IZ923" s="1"/>
      <c r="JA923" s="1"/>
      <c r="JB923" s="1"/>
      <c r="JC923" s="1"/>
      <c r="JD923" s="1"/>
    </row>
    <row r="924" spans="1:264" s="347" customFormat="1" x14ac:dyDescent="0.2">
      <c r="A924" s="463" t="s">
        <v>649</v>
      </c>
      <c r="B924" s="522"/>
      <c r="C924" s="521"/>
      <c r="D924" s="521"/>
      <c r="E924" s="521"/>
      <c r="F924" s="521"/>
      <c r="G924" s="521"/>
      <c r="H924" s="521"/>
      <c r="I924" s="521"/>
      <c r="J924" s="521"/>
      <c r="K924" s="521"/>
      <c r="L924" s="521"/>
      <c r="M924" s="521"/>
      <c r="N924" s="521"/>
      <c r="O924" s="521"/>
      <c r="P924" s="521"/>
      <c r="Q924" s="521"/>
      <c r="R924" s="521"/>
      <c r="S924" s="521"/>
      <c r="T924" s="521"/>
      <c r="U924" s="521"/>
      <c r="V924" s="521"/>
      <c r="W924" s="521"/>
      <c r="X924" s="521"/>
      <c r="Y924" s="521"/>
      <c r="Z924" s="521"/>
      <c r="AA924" s="521"/>
      <c r="AB924" s="521"/>
      <c r="AC924" s="521"/>
      <c r="AD924" s="521"/>
      <c r="AE924" s="521"/>
      <c r="AF924" s="521"/>
      <c r="AG924" s="521"/>
      <c r="AH924" s="521"/>
      <c r="AI924" s="521"/>
      <c r="AJ924" s="521"/>
      <c r="AK924" s="521"/>
      <c r="AL924" s="521"/>
      <c r="AM924" s="521"/>
      <c r="AN924" s="521"/>
      <c r="AO924" s="521"/>
      <c r="AP924" s="521"/>
      <c r="AQ924" s="521"/>
      <c r="AR924" s="521"/>
      <c r="AS924" s="521"/>
      <c r="AT924" s="521"/>
      <c r="AU924" s="521"/>
      <c r="AV924" s="521"/>
      <c r="AW924" s="521"/>
      <c r="AX924" s="521"/>
      <c r="AY924" s="521"/>
      <c r="AZ924" s="521"/>
      <c r="BA924" s="521"/>
      <c r="BB924" s="521"/>
      <c r="BC924" s="521"/>
      <c r="BD924" s="521"/>
      <c r="BE924" s="487"/>
      <c r="BF924" s="463"/>
      <c r="BG924" s="463"/>
      <c r="BH924" s="467">
        <f>-BH922/BH918</f>
        <v>0.31932773109243695</v>
      </c>
      <c r="BI924" s="467">
        <f>-BI922/BI918</f>
        <v>0.86956521739130432</v>
      </c>
      <c r="BJ924" s="467">
        <f>-BJ922/BJ918</f>
        <v>0.40845070422535212</v>
      </c>
      <c r="BK924" s="637"/>
      <c r="BL924" s="467">
        <f>-BL922/BL918</f>
        <v>0.5901639344262295</v>
      </c>
      <c r="BM924" s="467">
        <f>-BM922/BM918</f>
        <v>-5.083333333333333</v>
      </c>
      <c r="BN924" s="467">
        <f>-BN922/BN918</f>
        <v>1.9795918367346939</v>
      </c>
      <c r="BO924" s="637"/>
      <c r="BP924" s="467">
        <f>-BP922/BP918</f>
        <v>0.39772727272727271</v>
      </c>
      <c r="BQ924" s="467">
        <f>-BQ922/BQ918</f>
        <v>-3.8571428571428572</v>
      </c>
      <c r="BR924" s="467">
        <f>-BR922/BR918</f>
        <v>1.2027027027027026</v>
      </c>
      <c r="BS924" s="463"/>
      <c r="BT924" s="467">
        <f>-BT922/BT918</f>
        <v>-0.34946236559139787</v>
      </c>
      <c r="BU924" s="467">
        <f>-BU922/BU918</f>
        <v>2.1621621621621623</v>
      </c>
      <c r="BV924" s="467">
        <f>-BV922/BV918</f>
        <v>6.726457399103139E-2</v>
      </c>
      <c r="BW924" s="463"/>
      <c r="BX924" s="467">
        <f>-BX922/BX918</f>
        <v>-2</v>
      </c>
      <c r="BY924" s="467">
        <f>-BY922/BY918</f>
        <v>-1.5084745762711864</v>
      </c>
      <c r="BZ924" s="467">
        <f>-BZ922/BZ918</f>
        <v>-1.3829787234042554</v>
      </c>
      <c r="CA924" s="463"/>
      <c r="CB924" s="467">
        <f>-CB922/CB918</f>
        <v>-4.7142857142857144</v>
      </c>
      <c r="CC924" s="467">
        <f>-CC922/CC918</f>
        <v>0.77966101694915257</v>
      </c>
      <c r="CD924" s="467">
        <f>-CD922/CD918</f>
        <v>3.0963855421686746</v>
      </c>
      <c r="CE924" s="463"/>
      <c r="CF924" s="467">
        <f>-CF922/CF918</f>
        <v>0.1893491124260355</v>
      </c>
      <c r="CG924" s="467">
        <f>-CG922/CG918</f>
        <v>-0.45161290322580644</v>
      </c>
      <c r="CH924" s="467">
        <f>-CH922/CH918</f>
        <v>0.09</v>
      </c>
      <c r="CI924" s="463"/>
      <c r="CJ924" s="467">
        <f>-CJ922/CJ918</f>
        <v>-2.9994001199760048E-2</v>
      </c>
      <c r="CK924" s="467">
        <f>-CK922/CK918</f>
        <v>-3.4749034749034749E-2</v>
      </c>
      <c r="CL924" s="467">
        <f>-CL922/CL918</f>
        <v>-3.1121281464530894E-2</v>
      </c>
      <c r="CM924" s="463"/>
      <c r="CN924" s="467">
        <f>-CN922/CN918</f>
        <v>-1.8847006651884702E-2</v>
      </c>
      <c r="CO924" s="467">
        <f>-CO922/CO918</f>
        <v>-8.5774058577405859E-2</v>
      </c>
      <c r="CP924" s="467">
        <f>-CP922/CP918</f>
        <v>-4.2028985507246375E-2</v>
      </c>
      <c r="CQ924" s="463"/>
      <c r="CR924" s="467">
        <f>-CR922/CR918</f>
        <v>0</v>
      </c>
      <c r="CS924" s="467">
        <f>-CS922/CS918</f>
        <v>0</v>
      </c>
      <c r="CT924" s="467">
        <f>-CT922/CT918</f>
        <v>0</v>
      </c>
      <c r="CU924" s="463"/>
      <c r="CV924" s="467">
        <f>-CV922/CV918</f>
        <v>0</v>
      </c>
      <c r="CW924" s="467">
        <f>-CW922/CW918</f>
        <v>0</v>
      </c>
      <c r="CX924" s="467">
        <f>-CX922/CX918</f>
        <v>0</v>
      </c>
      <c r="CY924" s="463"/>
      <c r="CZ924" s="467">
        <f>-CZ922/CZ918</f>
        <v>0</v>
      </c>
      <c r="DA924" s="467">
        <f>-DA922/DA918</f>
        <v>0</v>
      </c>
      <c r="DB924" s="467">
        <f>-DB922/DB918</f>
        <v>0</v>
      </c>
      <c r="DC924" s="463"/>
      <c r="DD924" s="467">
        <f>-DD922/DD918</f>
        <v>0</v>
      </c>
      <c r="DE924" s="467">
        <f>-DE922/DE918</f>
        <v>0</v>
      </c>
      <c r="DF924" s="467">
        <f>-DF922/DF918</f>
        <v>0</v>
      </c>
      <c r="DG924" s="463"/>
      <c r="DH924" s="467">
        <f>-DH922/DH918</f>
        <v>0</v>
      </c>
      <c r="DI924" s="718"/>
      <c r="DJ924" s="467"/>
      <c r="DK924" s="463"/>
      <c r="DL924" s="718"/>
      <c r="DM924" s="718"/>
      <c r="DN924" s="467"/>
      <c r="DO924" s="463"/>
      <c r="DP924" s="718"/>
      <c r="DQ924" s="718"/>
      <c r="DR924" s="467"/>
      <c r="DS924" s="463"/>
      <c r="DT924" s="1"/>
      <c r="DU924" s="1"/>
      <c r="DV924" s="1"/>
      <c r="DW924" s="1"/>
      <c r="DX924" s="1"/>
      <c r="DY924" s="1"/>
      <c r="DZ924" s="1"/>
      <c r="EA924" s="1"/>
      <c r="EB924" s="1"/>
      <c r="EC924" s="1"/>
      <c r="ED924" s="1"/>
      <c r="EE924" s="1"/>
      <c r="EF924" s="1"/>
      <c r="EG924" s="1"/>
      <c r="EH924" s="1"/>
      <c r="EI924" s="1"/>
      <c r="EJ924" s="1"/>
      <c r="EK924" s="1"/>
      <c r="EL924" s="1"/>
      <c r="EM924" s="1"/>
      <c r="EN924" s="1"/>
      <c r="EO924" s="1"/>
      <c r="EP924" s="1"/>
      <c r="EQ924" s="1"/>
      <c r="ER924" s="1"/>
      <c r="ES924" s="1"/>
      <c r="ET924" s="1"/>
      <c r="EU924" s="1"/>
      <c r="EV924" s="1"/>
      <c r="EW924" s="1"/>
      <c r="EX924" s="1"/>
      <c r="EY924" s="1"/>
      <c r="EZ924" s="1"/>
      <c r="FA924" s="1"/>
      <c r="FB924" s="1"/>
      <c r="FC924" s="1"/>
      <c r="FD924" s="1"/>
      <c r="FE924" s="1"/>
      <c r="FF924" s="1"/>
      <c r="FG924" s="1"/>
      <c r="FH924" s="1"/>
      <c r="FI924" s="1"/>
      <c r="FJ924" s="1"/>
      <c r="FK924" s="1"/>
      <c r="FL924" s="1"/>
      <c r="FM924" s="1"/>
      <c r="FN924" s="1"/>
      <c r="FO924" s="1"/>
      <c r="FP924" s="1"/>
      <c r="FQ924" s="1"/>
      <c r="FR924" s="1"/>
      <c r="FS924" s="1"/>
      <c r="FT924" s="1"/>
      <c r="FU924" s="1"/>
      <c r="FV924" s="1"/>
      <c r="FW924" s="1"/>
      <c r="FX924" s="1"/>
      <c r="FY924" s="1"/>
      <c r="FZ924" s="1"/>
      <c r="GA924" s="1"/>
      <c r="GB924" s="1"/>
      <c r="GC924" s="1"/>
      <c r="GD924" s="1"/>
      <c r="GE924" s="1"/>
      <c r="GF924" s="1"/>
      <c r="GG924" s="1"/>
      <c r="GH924" s="1"/>
      <c r="GI924" s="1"/>
      <c r="GJ924" s="1"/>
      <c r="GK924" s="1"/>
      <c r="GL924" s="1"/>
      <c r="GM924" s="1"/>
      <c r="GN924" s="1"/>
      <c r="GO924" s="1"/>
      <c r="GP924" s="1"/>
      <c r="GQ924" s="1"/>
      <c r="GR924" s="1"/>
      <c r="GS924" s="1"/>
      <c r="GT924" s="1"/>
      <c r="GU924" s="1"/>
      <c r="GV924" s="1"/>
      <c r="GW924" s="1"/>
      <c r="GX924" s="1"/>
      <c r="GY924" s="1"/>
      <c r="GZ924" s="1"/>
      <c r="HA924" s="1"/>
      <c r="HB924" s="1"/>
      <c r="HC924" s="1"/>
      <c r="HD924" s="1"/>
      <c r="HE924" s="1"/>
      <c r="HF924" s="1"/>
      <c r="HG924" s="1"/>
      <c r="HH924" s="1"/>
      <c r="HI924" s="1"/>
      <c r="HJ924" s="1"/>
      <c r="HK924" s="1"/>
      <c r="HL924" s="1"/>
      <c r="HM924" s="1"/>
      <c r="HN924" s="1"/>
      <c r="HO924" s="1"/>
      <c r="HP924" s="1"/>
      <c r="HQ924" s="1"/>
      <c r="HR924" s="1"/>
      <c r="HS924" s="1"/>
      <c r="HT924" s="1"/>
      <c r="HU924" s="1"/>
      <c r="HV924" s="1"/>
      <c r="HW924" s="1"/>
      <c r="HX924" s="1"/>
      <c r="HY924" s="1"/>
      <c r="HZ924" s="1"/>
      <c r="IA924" s="1"/>
      <c r="IB924" s="1"/>
      <c r="IC924" s="1"/>
      <c r="ID924" s="1"/>
      <c r="IE924" s="1"/>
      <c r="IF924" s="1"/>
      <c r="IG924" s="1"/>
      <c r="IH924" s="1"/>
      <c r="II924" s="1"/>
      <c r="IJ924" s="1"/>
      <c r="IK924" s="1"/>
      <c r="IL924" s="1"/>
      <c r="IM924" s="1"/>
      <c r="IN924" s="1"/>
      <c r="IO924" s="1"/>
      <c r="IP924" s="1"/>
      <c r="IQ924" s="1"/>
      <c r="IR924" s="1"/>
      <c r="IS924" s="1"/>
      <c r="IT924" s="1"/>
      <c r="IU924" s="1"/>
      <c r="IV924" s="1"/>
      <c r="IW924" s="1"/>
      <c r="IX924" s="1"/>
      <c r="IY924" s="1"/>
      <c r="IZ924" s="1"/>
      <c r="JA924" s="1"/>
      <c r="JB924" s="1"/>
      <c r="JC924" s="1"/>
      <c r="JD924" s="1"/>
    </row>
    <row r="925" spans="1:264" s="347" customFormat="1" x14ac:dyDescent="0.2">
      <c r="B925" s="348"/>
      <c r="BH925" s="483"/>
      <c r="BI925" s="456"/>
      <c r="BJ925" s="456"/>
      <c r="BK925" s="348"/>
      <c r="BL925" s="456"/>
      <c r="BM925" s="456"/>
      <c r="BN925" s="456"/>
      <c r="BO925" s="348"/>
      <c r="BP925" s="456"/>
      <c r="BQ925" s="456"/>
      <c r="BR925" s="456"/>
      <c r="BT925" s="456"/>
      <c r="BU925" s="456"/>
      <c r="BV925" s="456"/>
      <c r="BX925" s="456"/>
      <c r="BY925" s="456"/>
      <c r="BZ925" s="456"/>
      <c r="CB925" s="456"/>
      <c r="CC925" s="456"/>
      <c r="CD925" s="456"/>
      <c r="CF925" s="456"/>
      <c r="CG925" s="456"/>
      <c r="CH925" s="456"/>
      <c r="CJ925" s="456"/>
      <c r="CK925" s="456"/>
      <c r="CL925" s="456"/>
      <c r="CN925" s="456"/>
      <c r="CO925" s="456"/>
      <c r="CP925" s="456"/>
      <c r="CR925" s="456"/>
      <c r="CS925" s="456"/>
      <c r="CT925" s="456"/>
      <c r="CV925" s="456"/>
      <c r="CW925" s="456"/>
      <c r="CX925" s="456"/>
      <c r="CZ925" s="456"/>
      <c r="DA925" s="456"/>
      <c r="DB925" s="456"/>
      <c r="DD925" s="456"/>
      <c r="DE925" s="456"/>
      <c r="DF925" s="456"/>
      <c r="DH925" s="456"/>
      <c r="DI925" s="456"/>
      <c r="DJ925" s="456"/>
      <c r="DL925" s="456"/>
      <c r="DM925" s="456"/>
      <c r="DN925" s="456"/>
      <c r="DP925" s="456"/>
      <c r="DQ925" s="456"/>
      <c r="DR925" s="456"/>
      <c r="DT925" s="1"/>
      <c r="DU925" s="1"/>
      <c r="DV925" s="1"/>
      <c r="DW925" s="1"/>
      <c r="DX925" s="1"/>
      <c r="DY925" s="1"/>
      <c r="DZ925" s="1"/>
      <c r="EA925" s="1"/>
      <c r="EB925" s="1"/>
      <c r="EC925" s="1"/>
      <c r="ED925" s="1"/>
      <c r="EE925" s="1"/>
      <c r="EF925" s="1"/>
      <c r="EG925" s="1"/>
      <c r="EH925" s="1"/>
      <c r="EI925" s="1"/>
      <c r="EJ925" s="1"/>
      <c r="EK925" s="1"/>
      <c r="EL925" s="1"/>
      <c r="EM925" s="1"/>
      <c r="EN925" s="1"/>
      <c r="EO925" s="1"/>
      <c r="EP925" s="1"/>
      <c r="EQ925" s="1"/>
      <c r="ER925" s="1"/>
      <c r="ES925" s="1"/>
      <c r="ET925" s="1"/>
      <c r="EU925" s="1"/>
      <c r="EV925" s="1"/>
      <c r="EW925" s="1"/>
      <c r="EX925" s="1"/>
      <c r="EY925" s="1"/>
      <c r="EZ925" s="1"/>
      <c r="FA925" s="1"/>
      <c r="FB925" s="1"/>
      <c r="FC925" s="1"/>
      <c r="FD925" s="1"/>
      <c r="FE925" s="1"/>
      <c r="FF925" s="1"/>
      <c r="FG925" s="1"/>
      <c r="FH925" s="1"/>
      <c r="FI925" s="1"/>
      <c r="FJ925" s="1"/>
      <c r="FK925" s="1"/>
      <c r="FL925" s="1"/>
      <c r="FM925" s="1"/>
      <c r="FN925" s="1"/>
      <c r="FO925" s="1"/>
      <c r="FP925" s="1"/>
      <c r="FQ925" s="1"/>
      <c r="FR925" s="1"/>
      <c r="FS925" s="1"/>
      <c r="FT925" s="1"/>
      <c r="FU925" s="1"/>
      <c r="FV925" s="1"/>
      <c r="FW925" s="1"/>
      <c r="FX925" s="1"/>
      <c r="FY925" s="1"/>
      <c r="FZ925" s="1"/>
      <c r="GA925" s="1"/>
      <c r="GB925" s="1"/>
      <c r="GC925" s="1"/>
      <c r="GD925" s="1"/>
      <c r="GE925" s="1"/>
      <c r="GF925" s="1"/>
      <c r="GG925" s="1"/>
      <c r="GH925" s="1"/>
      <c r="GI925" s="1"/>
      <c r="GJ925" s="1"/>
      <c r="GK925" s="1"/>
      <c r="GL925" s="1"/>
      <c r="GM925" s="1"/>
      <c r="GN925" s="1"/>
      <c r="GO925" s="1"/>
      <c r="GP925" s="1"/>
      <c r="GQ925" s="1"/>
      <c r="GR925" s="1"/>
      <c r="GS925" s="1"/>
      <c r="GT925" s="1"/>
      <c r="GU925" s="1"/>
      <c r="GV925" s="1"/>
      <c r="GW925" s="1"/>
      <c r="GX925" s="1"/>
      <c r="GY925" s="1"/>
      <c r="GZ925" s="1"/>
      <c r="HA925" s="1"/>
      <c r="HB925" s="1"/>
      <c r="HC925" s="1"/>
      <c r="HD925" s="1"/>
      <c r="HE925" s="1"/>
      <c r="HF925" s="1"/>
      <c r="HG925" s="1"/>
      <c r="HH925" s="1"/>
      <c r="HI925" s="1"/>
      <c r="HJ925" s="1"/>
      <c r="HK925" s="1"/>
      <c r="HL925" s="1"/>
      <c r="HM925" s="1"/>
      <c r="HN925" s="1"/>
      <c r="HO925" s="1"/>
      <c r="HP925" s="1"/>
      <c r="HQ925" s="1"/>
      <c r="HR925" s="1"/>
      <c r="HS925" s="1"/>
      <c r="HT925" s="1"/>
      <c r="HU925" s="1"/>
      <c r="HV925" s="1"/>
      <c r="HW925" s="1"/>
      <c r="HX925" s="1"/>
      <c r="HY925" s="1"/>
      <c r="HZ925" s="1"/>
      <c r="IA925" s="1"/>
      <c r="IB925" s="1"/>
      <c r="IC925" s="1"/>
      <c r="ID925" s="1"/>
      <c r="IE925" s="1"/>
      <c r="IF925" s="1"/>
      <c r="IG925" s="1"/>
      <c r="IH925" s="1"/>
      <c r="II925" s="1"/>
      <c r="IJ925" s="1"/>
      <c r="IK925" s="1"/>
      <c r="IL925" s="1"/>
      <c r="IM925" s="1"/>
      <c r="IN925" s="1"/>
      <c r="IO925" s="1"/>
      <c r="IP925" s="1"/>
      <c r="IQ925" s="1"/>
      <c r="IR925" s="1"/>
      <c r="IS925" s="1"/>
      <c r="IT925" s="1"/>
      <c r="IU925" s="1"/>
      <c r="IV925" s="1"/>
      <c r="IW925" s="1"/>
      <c r="IX925" s="1"/>
      <c r="IY925" s="1"/>
      <c r="IZ925" s="1"/>
      <c r="JA925" s="1"/>
      <c r="JB925" s="1"/>
      <c r="JC925" s="1"/>
      <c r="JD925" s="1"/>
    </row>
    <row r="926" spans="1:264" s="347" customFormat="1" x14ac:dyDescent="0.2">
      <c r="A926" s="411" t="s">
        <v>650</v>
      </c>
      <c r="B926" s="348"/>
      <c r="BH926" s="348"/>
      <c r="BI926" s="348"/>
      <c r="BJ926" s="348"/>
      <c r="BK926" s="348"/>
      <c r="BL926" s="348"/>
      <c r="BM926" s="348"/>
      <c r="BN926" s="348"/>
      <c r="BO926" s="348"/>
      <c r="BP926" s="348"/>
      <c r="BQ926" s="348"/>
      <c r="BR926" s="348"/>
      <c r="BT926" s="348"/>
      <c r="BU926" s="348"/>
      <c r="BV926" s="348"/>
      <c r="BX926" s="348"/>
      <c r="BY926" s="348"/>
      <c r="BZ926" s="348"/>
      <c r="CB926" s="348"/>
      <c r="CC926" s="348"/>
      <c r="CD926" s="348"/>
      <c r="CF926" s="348"/>
      <c r="CG926" s="348"/>
      <c r="CH926" s="348"/>
      <c r="CJ926" s="348"/>
      <c r="CK926" s="348"/>
      <c r="CL926" s="348"/>
      <c r="CN926" s="348"/>
      <c r="CO926" s="348"/>
      <c r="CP926" s="348"/>
      <c r="CR926" s="348"/>
      <c r="CS926" s="348"/>
      <c r="CT926" s="348"/>
      <c r="CV926" s="348"/>
      <c r="CW926" s="348"/>
      <c r="CX926" s="348"/>
      <c r="CZ926" s="348"/>
      <c r="DA926" s="348"/>
      <c r="DB926" s="348"/>
      <c r="DD926" s="348"/>
      <c r="DE926" s="348"/>
      <c r="DF926" s="348"/>
      <c r="DH926" s="348"/>
      <c r="DL926" s="348"/>
      <c r="DP926" s="348"/>
      <c r="DT926" s="1"/>
      <c r="DU926" s="1"/>
      <c r="DV926" s="1"/>
      <c r="DW926" s="1"/>
      <c r="DX926" s="1"/>
      <c r="DY926" s="1"/>
      <c r="DZ926" s="1"/>
      <c r="EA926" s="1"/>
      <c r="EB926" s="1"/>
      <c r="EC926" s="1"/>
      <c r="ED926" s="1"/>
      <c r="EE926" s="1"/>
      <c r="EF926" s="1"/>
      <c r="EG926" s="1"/>
      <c r="EH926" s="1"/>
      <c r="EI926" s="1"/>
      <c r="EJ926" s="1"/>
      <c r="EK926" s="1"/>
      <c r="EL926" s="1"/>
      <c r="EM926" s="1"/>
      <c r="EN926" s="1"/>
      <c r="EO926" s="1"/>
      <c r="EP926" s="1"/>
      <c r="EQ926" s="1"/>
      <c r="ER926" s="1"/>
      <c r="ES926" s="1"/>
      <c r="ET926" s="1"/>
      <c r="EU926" s="1"/>
      <c r="EV926" s="1"/>
      <c r="EW926" s="1"/>
      <c r="EX926" s="1"/>
      <c r="EY926" s="1"/>
      <c r="EZ926" s="1"/>
      <c r="FA926" s="1"/>
      <c r="FB926" s="1"/>
      <c r="FC926" s="1"/>
      <c r="FD926" s="1"/>
      <c r="FE926" s="1"/>
      <c r="FF926" s="1"/>
      <c r="FG926" s="1"/>
      <c r="FH926" s="1"/>
      <c r="FI926" s="1"/>
      <c r="FJ926" s="1"/>
      <c r="FK926" s="1"/>
      <c r="FL926" s="1"/>
      <c r="FM926" s="1"/>
      <c r="FN926" s="1"/>
      <c r="FO926" s="1"/>
      <c r="FP926" s="1"/>
      <c r="FQ926" s="1"/>
      <c r="FR926" s="1"/>
      <c r="FS926" s="1"/>
      <c r="FT926" s="1"/>
      <c r="FU926" s="1"/>
      <c r="FV926" s="1"/>
      <c r="FW926" s="1"/>
      <c r="FX926" s="1"/>
      <c r="FY926" s="1"/>
      <c r="FZ926" s="1"/>
      <c r="GA926" s="1"/>
      <c r="GB926" s="1"/>
      <c r="GC926" s="1"/>
      <c r="GD926" s="1"/>
      <c r="GE926" s="1"/>
      <c r="GF926" s="1"/>
      <c r="GG926" s="1"/>
      <c r="GH926" s="1"/>
      <c r="GI926" s="1"/>
      <c r="GJ926" s="1"/>
      <c r="GK926" s="1"/>
      <c r="GL926" s="1"/>
      <c r="GM926" s="1"/>
      <c r="GN926" s="1"/>
      <c r="GO926" s="1"/>
      <c r="GP926" s="1"/>
      <c r="GQ926" s="1"/>
      <c r="GR926" s="1"/>
      <c r="GS926" s="1"/>
      <c r="GT926" s="1"/>
      <c r="GU926" s="1"/>
      <c r="GV926" s="1"/>
      <c r="GW926" s="1"/>
      <c r="GX926" s="1"/>
      <c r="GY926" s="1"/>
      <c r="GZ926" s="1"/>
      <c r="HA926" s="1"/>
      <c r="HB926" s="1"/>
      <c r="HC926" s="1"/>
      <c r="HD926" s="1"/>
      <c r="HE926" s="1"/>
      <c r="HF926" s="1"/>
      <c r="HG926" s="1"/>
      <c r="HH926" s="1"/>
      <c r="HI926" s="1"/>
      <c r="HJ926" s="1"/>
      <c r="HK926" s="1"/>
      <c r="HL926" s="1"/>
      <c r="HM926" s="1"/>
      <c r="HN926" s="1"/>
      <c r="HO926" s="1"/>
      <c r="HP926" s="1"/>
      <c r="HQ926" s="1"/>
      <c r="HR926" s="1"/>
      <c r="HS926" s="1"/>
      <c r="HT926" s="1"/>
      <c r="HU926" s="1"/>
      <c r="HV926" s="1"/>
      <c r="HW926" s="1"/>
      <c r="HX926" s="1"/>
      <c r="HY926" s="1"/>
      <c r="HZ926" s="1"/>
      <c r="IA926" s="1"/>
      <c r="IB926" s="1"/>
      <c r="IC926" s="1"/>
      <c r="ID926" s="1"/>
      <c r="IE926" s="1"/>
      <c r="IF926" s="1"/>
      <c r="IG926" s="1"/>
      <c r="IH926" s="1"/>
      <c r="II926" s="1"/>
      <c r="IJ926" s="1"/>
      <c r="IK926" s="1"/>
      <c r="IL926" s="1"/>
      <c r="IM926" s="1"/>
      <c r="IN926" s="1"/>
      <c r="IO926" s="1"/>
      <c r="IP926" s="1"/>
      <c r="IQ926" s="1"/>
      <c r="IR926" s="1"/>
      <c r="IS926" s="1"/>
      <c r="IT926" s="1"/>
      <c r="IU926" s="1"/>
      <c r="IV926" s="1"/>
      <c r="IW926" s="1"/>
      <c r="IX926" s="1"/>
      <c r="IY926" s="1"/>
      <c r="IZ926" s="1"/>
      <c r="JA926" s="1"/>
      <c r="JB926" s="1"/>
      <c r="JC926" s="1"/>
      <c r="JD926" s="1"/>
    </row>
    <row r="927" spans="1:264" s="347" customFormat="1" x14ac:dyDescent="0.2">
      <c r="A927" s="463" t="s">
        <v>650</v>
      </c>
      <c r="B927" s="466"/>
      <c r="C927" s="463"/>
      <c r="D927" s="463"/>
      <c r="E927" s="463"/>
      <c r="F927" s="463"/>
      <c r="G927" s="463"/>
      <c r="H927" s="463"/>
      <c r="I927" s="463"/>
      <c r="J927" s="463"/>
      <c r="K927" s="463"/>
      <c r="L927" s="463"/>
      <c r="M927" s="463"/>
      <c r="N927" s="463"/>
      <c r="O927" s="463"/>
      <c r="P927" s="463"/>
      <c r="Q927" s="463"/>
      <c r="R927" s="463"/>
      <c r="S927" s="463"/>
      <c r="T927" s="463"/>
      <c r="U927" s="463"/>
      <c r="V927" s="463"/>
      <c r="W927" s="463"/>
      <c r="X927" s="463"/>
      <c r="Y927" s="463"/>
      <c r="Z927" s="463"/>
      <c r="AA927" s="463"/>
      <c r="AB927" s="463"/>
      <c r="AC927" s="463"/>
      <c r="AD927" s="463"/>
      <c r="AE927" s="463"/>
      <c r="AF927" s="463"/>
      <c r="AG927" s="463"/>
      <c r="AH927" s="463"/>
      <c r="AI927" s="463"/>
      <c r="AJ927" s="463"/>
      <c r="AK927" s="463"/>
      <c r="AL927" s="463"/>
      <c r="AM927" s="463"/>
      <c r="AN927" s="463"/>
      <c r="AO927" s="463"/>
      <c r="AP927" s="463"/>
      <c r="AQ927" s="463"/>
      <c r="AR927" s="463"/>
      <c r="AS927" s="463"/>
      <c r="AT927" s="463"/>
      <c r="AU927" s="463"/>
      <c r="AV927" s="463"/>
      <c r="AW927" s="463"/>
      <c r="AX927" s="463"/>
      <c r="AY927" s="463"/>
      <c r="AZ927" s="463"/>
      <c r="BA927" s="463"/>
      <c r="BB927" s="463"/>
      <c r="BC927" s="463"/>
      <c r="BD927" s="463"/>
      <c r="BE927" s="463"/>
      <c r="BF927" s="463"/>
      <c r="BG927" s="463"/>
      <c r="BH927" s="485">
        <f>BH43</f>
        <v>-20</v>
      </c>
      <c r="BI927" s="485">
        <f>BI43</f>
        <v>-20</v>
      </c>
      <c r="BJ927" s="485">
        <f>+BI927+BH927</f>
        <v>-40</v>
      </c>
      <c r="BK927" s="466"/>
      <c r="BL927" s="485">
        <f>BL43</f>
        <v>-23</v>
      </c>
      <c r="BM927" s="485">
        <f>BM43</f>
        <v>-22</v>
      </c>
      <c r="BN927" s="485">
        <f>+BM927+BL927</f>
        <v>-45</v>
      </c>
      <c r="BO927" s="466"/>
      <c r="BP927" s="485">
        <f>BP43</f>
        <v>-24</v>
      </c>
      <c r="BQ927" s="485">
        <f>BQ43</f>
        <v>-28</v>
      </c>
      <c r="BR927" s="485">
        <f>+BQ927+BP927</f>
        <v>-52</v>
      </c>
      <c r="BS927" s="463"/>
      <c r="BT927" s="485">
        <f>BT43</f>
        <v>-32</v>
      </c>
      <c r="BU927" s="485">
        <f>BU43</f>
        <v>-18</v>
      </c>
      <c r="BV927" s="485">
        <f>+BU927+BT927</f>
        <v>-50</v>
      </c>
      <c r="BW927" s="463"/>
      <c r="BX927" s="485">
        <f>BX43</f>
        <v>0</v>
      </c>
      <c r="BY927" s="485">
        <f>BY43</f>
        <v>0</v>
      </c>
      <c r="BZ927" s="485">
        <f>+BY927+BX927</f>
        <v>0</v>
      </c>
      <c r="CA927" s="463"/>
      <c r="CB927" s="485">
        <f>CB43</f>
        <v>0</v>
      </c>
      <c r="CC927" s="485">
        <f>CC43</f>
        <v>0</v>
      </c>
      <c r="CD927" s="485">
        <f>+CC927+CB927</f>
        <v>0</v>
      </c>
      <c r="CE927" s="463"/>
      <c r="CF927" s="485">
        <f>CF43</f>
        <v>0</v>
      </c>
      <c r="CG927" s="485">
        <f>CG43</f>
        <v>0</v>
      </c>
      <c r="CH927" s="485">
        <f>+CG927+CF927</f>
        <v>0</v>
      </c>
      <c r="CI927" s="463"/>
      <c r="CJ927" s="485">
        <f>CJ43</f>
        <v>0</v>
      </c>
      <c r="CK927" s="485">
        <f>CK43</f>
        <v>0</v>
      </c>
      <c r="CL927" s="485">
        <f>+CK927+CJ927</f>
        <v>0</v>
      </c>
      <c r="CM927" s="463"/>
      <c r="CN927" s="485">
        <f>CN43</f>
        <v>0</v>
      </c>
      <c r="CO927" s="485">
        <f>CO43</f>
        <v>0</v>
      </c>
      <c r="CP927" s="485">
        <f>+CO927+CN927</f>
        <v>0</v>
      </c>
      <c r="CQ927" s="463"/>
      <c r="CR927" s="485">
        <f>CR43</f>
        <v>0</v>
      </c>
      <c r="CS927" s="485">
        <f>CS43</f>
        <v>0</v>
      </c>
      <c r="CT927" s="485">
        <f>+CS927+CR927</f>
        <v>0</v>
      </c>
      <c r="CU927" s="463"/>
      <c r="CV927" s="485">
        <f>CV43</f>
        <v>0</v>
      </c>
      <c r="CW927" s="485">
        <f>CW43</f>
        <v>0</v>
      </c>
      <c r="CX927" s="485">
        <f>+CW927+CV927</f>
        <v>0</v>
      </c>
      <c r="CY927" s="463"/>
      <c r="CZ927" s="485">
        <f>CZ43</f>
        <v>0</v>
      </c>
      <c r="DA927" s="485">
        <f>DA43</f>
        <v>0</v>
      </c>
      <c r="DB927" s="485">
        <f>+DA927+CZ927</f>
        <v>0</v>
      </c>
      <c r="DC927" s="463"/>
      <c r="DD927" s="485">
        <f>DD43</f>
        <v>0</v>
      </c>
      <c r="DE927" s="485">
        <f>DE43</f>
        <v>0</v>
      </c>
      <c r="DF927" s="485">
        <f>+DE927+DD927</f>
        <v>0</v>
      </c>
      <c r="DG927" s="463"/>
      <c r="DH927" s="485">
        <f>DH43</f>
        <v>0</v>
      </c>
      <c r="DI927" s="514">
        <v>0</v>
      </c>
      <c r="DJ927" s="485">
        <f>DI927</f>
        <v>0</v>
      </c>
      <c r="DK927" s="463"/>
      <c r="DL927" s="514">
        <v>0</v>
      </c>
      <c r="DM927" s="514">
        <v>0</v>
      </c>
      <c r="DN927" s="485">
        <f>DM927</f>
        <v>0</v>
      </c>
      <c r="DO927" s="463"/>
      <c r="DP927" s="514">
        <v>0</v>
      </c>
      <c r="DQ927" s="514">
        <v>0</v>
      </c>
      <c r="DR927" s="485">
        <f>DQ927</f>
        <v>0</v>
      </c>
      <c r="DS927" s="463"/>
      <c r="DT927" s="1"/>
      <c r="DU927" s="1"/>
      <c r="DV927" s="1"/>
      <c r="DW927" s="1"/>
      <c r="DX927" s="1"/>
      <c r="DY927" s="1"/>
      <c r="DZ927" s="1"/>
      <c r="EA927" s="1"/>
      <c r="EB927" s="1"/>
      <c r="EC927" s="1"/>
      <c r="ED927" s="1"/>
      <c r="EE927" s="1"/>
      <c r="EF927" s="1"/>
      <c r="EG927" s="1"/>
      <c r="EH927" s="1"/>
      <c r="EI927" s="1"/>
      <c r="EJ927" s="1"/>
      <c r="EK927" s="1"/>
      <c r="EL927" s="1"/>
      <c r="EM927" s="1"/>
      <c r="EN927" s="1"/>
      <c r="EO927" s="1"/>
      <c r="EP927" s="1"/>
      <c r="EQ927" s="1"/>
      <c r="ER927" s="1"/>
      <c r="ES927" s="1"/>
      <c r="ET927" s="1"/>
      <c r="EU927" s="1"/>
      <c r="EV927" s="1"/>
      <c r="EW927" s="1"/>
      <c r="EX927" s="1"/>
      <c r="EY927" s="1"/>
      <c r="EZ927" s="1"/>
      <c r="FA927" s="1"/>
      <c r="FB927" s="1"/>
      <c r="FC927" s="1"/>
      <c r="FD927" s="1"/>
      <c r="FE927" s="1"/>
      <c r="FF927" s="1"/>
      <c r="FG927" s="1"/>
      <c r="FH927" s="1"/>
      <c r="FI927" s="1"/>
      <c r="FJ927" s="1"/>
      <c r="FK927" s="1"/>
      <c r="FL927" s="1"/>
      <c r="FM927" s="1"/>
      <c r="FN927" s="1"/>
      <c r="FO927" s="1"/>
      <c r="FP927" s="1"/>
      <c r="FQ927" s="1"/>
      <c r="FR927" s="1"/>
      <c r="FS927" s="1"/>
      <c r="FT927" s="1"/>
      <c r="FU927" s="1"/>
      <c r="FV927" s="1"/>
      <c r="FW927" s="1"/>
      <c r="FX927" s="1"/>
      <c r="FY927" s="1"/>
      <c r="FZ927" s="1"/>
      <c r="GA927" s="1"/>
      <c r="GB927" s="1"/>
      <c r="GC927" s="1"/>
      <c r="GD927" s="1"/>
      <c r="GE927" s="1"/>
      <c r="GF927" s="1"/>
      <c r="GG927" s="1"/>
      <c r="GH927" s="1"/>
      <c r="GI927" s="1"/>
      <c r="GJ927" s="1"/>
      <c r="GK927" s="1"/>
      <c r="GL927" s="1"/>
      <c r="GM927" s="1"/>
      <c r="GN927" s="1"/>
      <c r="GO927" s="1"/>
      <c r="GP927" s="1"/>
      <c r="GQ927" s="1"/>
      <c r="GR927" s="1"/>
      <c r="GS927" s="1"/>
      <c r="GT927" s="1"/>
      <c r="GU927" s="1"/>
      <c r="GV927" s="1"/>
      <c r="GW927" s="1"/>
      <c r="GX927" s="1"/>
      <c r="GY927" s="1"/>
      <c r="GZ927" s="1"/>
      <c r="HA927" s="1"/>
      <c r="HB927" s="1"/>
      <c r="HC927" s="1"/>
      <c r="HD927" s="1"/>
      <c r="HE927" s="1"/>
      <c r="HF927" s="1"/>
      <c r="HG927" s="1"/>
      <c r="HH927" s="1"/>
      <c r="HI927" s="1"/>
      <c r="HJ927" s="1"/>
      <c r="HK927" s="1"/>
      <c r="HL927" s="1"/>
      <c r="HM927" s="1"/>
      <c r="HN927" s="1"/>
      <c r="HO927" s="1"/>
      <c r="HP927" s="1"/>
      <c r="HQ927" s="1"/>
      <c r="HR927" s="1"/>
      <c r="HS927" s="1"/>
      <c r="HT927" s="1"/>
      <c r="HU927" s="1"/>
      <c r="HV927" s="1"/>
      <c r="HW927" s="1"/>
      <c r="HX927" s="1"/>
      <c r="HY927" s="1"/>
      <c r="HZ927" s="1"/>
      <c r="IA927" s="1"/>
      <c r="IB927" s="1"/>
      <c r="IC927" s="1"/>
      <c r="ID927" s="1"/>
      <c r="IE927" s="1"/>
      <c r="IF927" s="1"/>
      <c r="IG927" s="1"/>
      <c r="IH927" s="1"/>
      <c r="II927" s="1"/>
      <c r="IJ927" s="1"/>
      <c r="IK927" s="1"/>
      <c r="IL927" s="1"/>
      <c r="IM927" s="1"/>
      <c r="IN927" s="1"/>
      <c r="IO927" s="1"/>
      <c r="IP927" s="1"/>
      <c r="IQ927" s="1"/>
      <c r="IR927" s="1"/>
      <c r="IS927" s="1"/>
      <c r="IT927" s="1"/>
      <c r="IU927" s="1"/>
      <c r="IV927" s="1"/>
      <c r="IW927" s="1"/>
      <c r="IX927" s="1"/>
      <c r="IY927" s="1"/>
      <c r="IZ927" s="1"/>
      <c r="JA927" s="1"/>
      <c r="JB927" s="1"/>
      <c r="JC927" s="1"/>
      <c r="JD927" s="1"/>
    </row>
    <row r="928" spans="1:264" s="347" customFormat="1" x14ac:dyDescent="0.2">
      <c r="B928" s="348"/>
      <c r="BH928" s="456">
        <f>BH43</f>
        <v>-20</v>
      </c>
      <c r="BI928" s="456">
        <f>BI43</f>
        <v>-20</v>
      </c>
      <c r="BJ928" s="456">
        <f>BJ43</f>
        <v>-40</v>
      </c>
      <c r="BK928" s="348"/>
      <c r="BL928" s="456">
        <f>BL43</f>
        <v>-23</v>
      </c>
      <c r="BM928" s="456">
        <f>BM43</f>
        <v>-22</v>
      </c>
      <c r="BN928" s="456">
        <f>BN43</f>
        <v>-45</v>
      </c>
      <c r="BO928" s="348"/>
      <c r="BP928" s="456">
        <f>BP43</f>
        <v>-24</v>
      </c>
      <c r="BQ928" s="456">
        <f>BQ43</f>
        <v>-28</v>
      </c>
      <c r="BR928" s="456">
        <f>BR43</f>
        <v>-52</v>
      </c>
      <c r="BT928" s="456">
        <f>BT43</f>
        <v>-32</v>
      </c>
      <c r="BU928" s="456">
        <f>BU43</f>
        <v>-18</v>
      </c>
      <c r="BV928" s="456">
        <f>BV43</f>
        <v>-50</v>
      </c>
      <c r="BX928" s="456">
        <f>BX43</f>
        <v>0</v>
      </c>
      <c r="BY928" s="456">
        <f>BY43</f>
        <v>0</v>
      </c>
      <c r="BZ928" s="456">
        <f>BZ43</f>
        <v>0</v>
      </c>
      <c r="CB928" s="456">
        <f>CB43</f>
        <v>0</v>
      </c>
      <c r="CC928" s="456">
        <f>CC43</f>
        <v>0</v>
      </c>
      <c r="CD928" s="456">
        <f>CD43</f>
        <v>0</v>
      </c>
      <c r="CF928" s="456">
        <f>CF43</f>
        <v>0</v>
      </c>
      <c r="CG928" s="456">
        <f>CG43</f>
        <v>0</v>
      </c>
      <c r="CH928" s="456">
        <f>CH43</f>
        <v>0</v>
      </c>
      <c r="CJ928" s="456">
        <f>CJ43</f>
        <v>0</v>
      </c>
      <c r="CK928" s="456">
        <f>CK43</f>
        <v>0</v>
      </c>
      <c r="CL928" s="456">
        <f>CL43</f>
        <v>0</v>
      </c>
      <c r="CN928" s="456">
        <f>CN43</f>
        <v>0</v>
      </c>
      <c r="CO928" s="456">
        <f>CO43</f>
        <v>0</v>
      </c>
      <c r="CP928" s="456">
        <f>CP43</f>
        <v>0</v>
      </c>
      <c r="CR928" s="456">
        <f>CR43</f>
        <v>0</v>
      </c>
      <c r="CS928" s="456">
        <f>CS43</f>
        <v>0</v>
      </c>
      <c r="CT928" s="456">
        <f>CT43</f>
        <v>0</v>
      </c>
      <c r="CV928" s="456">
        <f>CV43</f>
        <v>0</v>
      </c>
      <c r="CW928" s="456">
        <f>CW43</f>
        <v>0</v>
      </c>
      <c r="CX928" s="456">
        <f>CX43</f>
        <v>0</v>
      </c>
      <c r="CZ928" s="456">
        <f>CZ43</f>
        <v>0</v>
      </c>
      <c r="DA928" s="456">
        <f>DA43</f>
        <v>0</v>
      </c>
      <c r="DB928" s="456">
        <f>DB43</f>
        <v>0</v>
      </c>
      <c r="DD928" s="456">
        <f>DD43</f>
        <v>0</v>
      </c>
      <c r="DE928" s="456">
        <f>DE43</f>
        <v>0</v>
      </c>
      <c r="DF928" s="456">
        <f>DF43</f>
        <v>0</v>
      </c>
      <c r="DH928" s="456">
        <f>DH43</f>
        <v>0</v>
      </c>
      <c r="DI928" s="456">
        <f>DI43</f>
        <v>0</v>
      </c>
      <c r="DJ928" s="456">
        <f>DJ43</f>
        <v>0</v>
      </c>
      <c r="DL928" s="456">
        <f>DL43</f>
        <v>0</v>
      </c>
      <c r="DM928" s="456">
        <f>DM43</f>
        <v>0</v>
      </c>
      <c r="DN928" s="456">
        <f>DN43</f>
        <v>0</v>
      </c>
      <c r="DP928" s="456">
        <f>DP43</f>
        <v>0</v>
      </c>
      <c r="DQ928" s="456">
        <f>DQ43</f>
        <v>0</v>
      </c>
      <c r="DR928" s="456">
        <f>DR43</f>
        <v>0</v>
      </c>
      <c r="DT928" s="1"/>
      <c r="DU928" s="1"/>
      <c r="DV928" s="1"/>
      <c r="DW928" s="1"/>
      <c r="DX928" s="1"/>
      <c r="DY928" s="1"/>
      <c r="DZ928" s="1"/>
      <c r="EA928" s="1"/>
      <c r="EB928" s="1"/>
      <c r="EC928" s="1"/>
      <c r="ED928" s="1"/>
      <c r="EE928" s="1"/>
      <c r="EF928" s="1"/>
      <c r="EG928" s="1"/>
      <c r="EH928" s="1"/>
      <c r="EI928" s="1"/>
      <c r="EJ928" s="1"/>
      <c r="EK928" s="1"/>
      <c r="EL928" s="1"/>
      <c r="EM928" s="1"/>
      <c r="EN928" s="1"/>
      <c r="EO928" s="1"/>
      <c r="EP928" s="1"/>
      <c r="EQ928" s="1"/>
      <c r="ER928" s="1"/>
      <c r="ES928" s="1"/>
      <c r="ET928" s="1"/>
      <c r="EU928" s="1"/>
      <c r="EV928" s="1"/>
      <c r="EW928" s="1"/>
      <c r="EX928" s="1"/>
      <c r="EY928" s="1"/>
      <c r="EZ928" s="1"/>
      <c r="FA928" s="1"/>
      <c r="FB928" s="1"/>
      <c r="FC928" s="1"/>
      <c r="FD928" s="1"/>
      <c r="FE928" s="1"/>
      <c r="FF928" s="1"/>
      <c r="FG928" s="1"/>
      <c r="FH928" s="1"/>
      <c r="FI928" s="1"/>
      <c r="FJ928" s="1"/>
      <c r="FK928" s="1"/>
      <c r="FL928" s="1"/>
      <c r="FM928" s="1"/>
      <c r="FN928" s="1"/>
      <c r="FO928" s="1"/>
      <c r="FP928" s="1"/>
      <c r="FQ928" s="1"/>
      <c r="FR928" s="1"/>
      <c r="FS928" s="1"/>
      <c r="FT928" s="1"/>
      <c r="FU928" s="1"/>
      <c r="FV928" s="1"/>
      <c r="FW928" s="1"/>
      <c r="FX928" s="1"/>
      <c r="FY928" s="1"/>
      <c r="FZ928" s="1"/>
      <c r="GA928" s="1"/>
      <c r="GB928" s="1"/>
      <c r="GC928" s="1"/>
      <c r="GD928" s="1"/>
      <c r="GE928" s="1"/>
      <c r="GF928" s="1"/>
      <c r="GG928" s="1"/>
      <c r="GH928" s="1"/>
      <c r="GI928" s="1"/>
      <c r="GJ928" s="1"/>
      <c r="GK928" s="1"/>
      <c r="GL928" s="1"/>
      <c r="GM928" s="1"/>
      <c r="GN928" s="1"/>
      <c r="GO928" s="1"/>
      <c r="GP928" s="1"/>
      <c r="GQ928" s="1"/>
      <c r="GR928" s="1"/>
      <c r="GS928" s="1"/>
      <c r="GT928" s="1"/>
      <c r="GU928" s="1"/>
      <c r="GV928" s="1"/>
      <c r="GW928" s="1"/>
      <c r="GX928" s="1"/>
      <c r="GY928" s="1"/>
      <c r="GZ928" s="1"/>
      <c r="HA928" s="1"/>
      <c r="HB928" s="1"/>
      <c r="HC928" s="1"/>
      <c r="HD928" s="1"/>
      <c r="HE928" s="1"/>
      <c r="HF928" s="1"/>
      <c r="HG928" s="1"/>
      <c r="HH928" s="1"/>
      <c r="HI928" s="1"/>
      <c r="HJ928" s="1"/>
      <c r="HK928" s="1"/>
      <c r="HL928" s="1"/>
      <c r="HM928" s="1"/>
      <c r="HN928" s="1"/>
      <c r="HO928" s="1"/>
      <c r="HP928" s="1"/>
      <c r="HQ928" s="1"/>
      <c r="HR928" s="1"/>
      <c r="HS928" s="1"/>
      <c r="HT928" s="1"/>
      <c r="HU928" s="1"/>
      <c r="HV928" s="1"/>
      <c r="HW928" s="1"/>
      <c r="HX928" s="1"/>
      <c r="HY928" s="1"/>
      <c r="HZ928" s="1"/>
      <c r="IA928" s="1"/>
      <c r="IB928" s="1"/>
      <c r="IC928" s="1"/>
      <c r="ID928" s="1"/>
      <c r="IE928" s="1"/>
      <c r="IF928" s="1"/>
      <c r="IG928" s="1"/>
      <c r="IH928" s="1"/>
      <c r="II928" s="1"/>
      <c r="IJ928" s="1"/>
      <c r="IK928" s="1"/>
      <c r="IL928" s="1"/>
      <c r="IM928" s="1"/>
      <c r="IN928" s="1"/>
      <c r="IO928" s="1"/>
      <c r="IP928" s="1"/>
      <c r="IQ928" s="1"/>
      <c r="IR928" s="1"/>
      <c r="IS928" s="1"/>
      <c r="IT928" s="1"/>
      <c r="IU928" s="1"/>
      <c r="IV928" s="1"/>
      <c r="IW928" s="1"/>
      <c r="IX928" s="1"/>
      <c r="IY928" s="1"/>
      <c r="IZ928" s="1"/>
      <c r="JA928" s="1"/>
      <c r="JB928" s="1"/>
      <c r="JC928" s="1"/>
      <c r="JD928" s="1"/>
    </row>
    <row r="929" spans="1:264" s="347" customFormat="1" x14ac:dyDescent="0.2">
      <c r="B929" s="348"/>
      <c r="BH929" s="456"/>
      <c r="BI929" s="456"/>
      <c r="BJ929" s="456"/>
      <c r="BK929" s="348"/>
      <c r="BL929" s="456"/>
      <c r="BM929" s="456"/>
      <c r="BN929" s="456"/>
      <c r="BO929" s="348"/>
      <c r="BP929" s="456"/>
      <c r="BQ929" s="456"/>
      <c r="BR929" s="456"/>
      <c r="BT929" s="456"/>
      <c r="BU929" s="456"/>
      <c r="BV929" s="456"/>
      <c r="BX929" s="456"/>
      <c r="BY929" s="456"/>
      <c r="BZ929" s="456"/>
      <c r="CB929" s="456"/>
      <c r="CC929" s="456"/>
      <c r="CD929" s="456"/>
      <c r="CF929" s="456"/>
      <c r="CG929" s="456"/>
      <c r="CH929" s="456"/>
      <c r="CJ929" s="456"/>
      <c r="CK929" s="456"/>
      <c r="CL929" s="456"/>
      <c r="CN929" s="456"/>
      <c r="CO929" s="456"/>
      <c r="CP929" s="456"/>
      <c r="CR929" s="456"/>
      <c r="CS929" s="456"/>
      <c r="CT929" s="456"/>
      <c r="CV929" s="456"/>
      <c r="CW929" s="456"/>
      <c r="CX929" s="456"/>
      <c r="CZ929" s="456"/>
      <c r="DA929" s="456"/>
      <c r="DB929" s="456"/>
      <c r="DD929" s="456"/>
      <c r="DE929" s="456"/>
      <c r="DF929" s="456"/>
      <c r="DH929" s="456"/>
      <c r="DI929" s="456"/>
      <c r="DJ929" s="456"/>
      <c r="DL929" s="456"/>
      <c r="DM929" s="456"/>
      <c r="DN929" s="456"/>
      <c r="DP929" s="456"/>
      <c r="DQ929" s="456"/>
      <c r="DR929" s="456"/>
      <c r="DT929" s="1"/>
      <c r="DU929" s="1"/>
      <c r="DV929" s="1"/>
      <c r="DW929" s="1"/>
      <c r="DX929" s="1"/>
      <c r="DY929" s="1"/>
      <c r="DZ929" s="1"/>
      <c r="EA929" s="1"/>
      <c r="EB929" s="1"/>
      <c r="EC929" s="1"/>
      <c r="ED929" s="1"/>
      <c r="EE929" s="1"/>
      <c r="EF929" s="1"/>
      <c r="EG929" s="1"/>
      <c r="EH929" s="1"/>
      <c r="EI929" s="1"/>
      <c r="EJ929" s="1"/>
      <c r="EK929" s="1"/>
      <c r="EL929" s="1"/>
      <c r="EM929" s="1"/>
      <c r="EN929" s="1"/>
      <c r="EO929" s="1"/>
      <c r="EP929" s="1"/>
      <c r="EQ929" s="1"/>
      <c r="ER929" s="1"/>
      <c r="ES929" s="1"/>
      <c r="ET929" s="1"/>
      <c r="EU929" s="1"/>
      <c r="EV929" s="1"/>
      <c r="EW929" s="1"/>
      <c r="EX929" s="1"/>
      <c r="EY929" s="1"/>
      <c r="EZ929" s="1"/>
      <c r="FA929" s="1"/>
      <c r="FB929" s="1"/>
      <c r="FC929" s="1"/>
      <c r="FD929" s="1"/>
      <c r="FE929" s="1"/>
      <c r="FF929" s="1"/>
      <c r="FG929" s="1"/>
      <c r="FH929" s="1"/>
      <c r="FI929" s="1"/>
      <c r="FJ929" s="1"/>
      <c r="FK929" s="1"/>
      <c r="FL929" s="1"/>
      <c r="FM929" s="1"/>
      <c r="FN929" s="1"/>
      <c r="FO929" s="1"/>
      <c r="FP929" s="1"/>
      <c r="FQ929" s="1"/>
      <c r="FR929" s="1"/>
      <c r="FS929" s="1"/>
      <c r="FT929" s="1"/>
      <c r="FU929" s="1"/>
      <c r="FV929" s="1"/>
      <c r="FW929" s="1"/>
      <c r="FX929" s="1"/>
      <c r="FY929" s="1"/>
      <c r="FZ929" s="1"/>
      <c r="GA929" s="1"/>
      <c r="GB929" s="1"/>
      <c r="GC929" s="1"/>
      <c r="GD929" s="1"/>
      <c r="GE929" s="1"/>
      <c r="GF929" s="1"/>
      <c r="GG929" s="1"/>
      <c r="GH929" s="1"/>
      <c r="GI929" s="1"/>
      <c r="GJ929" s="1"/>
      <c r="GK929" s="1"/>
      <c r="GL929" s="1"/>
      <c r="GM929" s="1"/>
      <c r="GN929" s="1"/>
      <c r="GO929" s="1"/>
      <c r="GP929" s="1"/>
      <c r="GQ929" s="1"/>
      <c r="GR929" s="1"/>
      <c r="GS929" s="1"/>
      <c r="GT929" s="1"/>
      <c r="GU929" s="1"/>
      <c r="GV929" s="1"/>
      <c r="GW929" s="1"/>
      <c r="GX929" s="1"/>
      <c r="GY929" s="1"/>
      <c r="GZ929" s="1"/>
      <c r="HA929" s="1"/>
      <c r="HB929" s="1"/>
      <c r="HC929" s="1"/>
      <c r="HD929" s="1"/>
      <c r="HE929" s="1"/>
      <c r="HF929" s="1"/>
      <c r="HG929" s="1"/>
      <c r="HH929" s="1"/>
      <c r="HI929" s="1"/>
      <c r="HJ929" s="1"/>
      <c r="HK929" s="1"/>
      <c r="HL929" s="1"/>
      <c r="HM929" s="1"/>
      <c r="HN929" s="1"/>
      <c r="HO929" s="1"/>
      <c r="HP929" s="1"/>
      <c r="HQ929" s="1"/>
      <c r="HR929" s="1"/>
      <c r="HS929" s="1"/>
      <c r="HT929" s="1"/>
      <c r="HU929" s="1"/>
      <c r="HV929" s="1"/>
      <c r="HW929" s="1"/>
      <c r="HX929" s="1"/>
      <c r="HY929" s="1"/>
      <c r="HZ929" s="1"/>
      <c r="IA929" s="1"/>
      <c r="IB929" s="1"/>
      <c r="IC929" s="1"/>
      <c r="ID929" s="1"/>
      <c r="IE929" s="1"/>
      <c r="IF929" s="1"/>
      <c r="IG929" s="1"/>
      <c r="IH929" s="1"/>
      <c r="II929" s="1"/>
      <c r="IJ929" s="1"/>
      <c r="IK929" s="1"/>
      <c r="IL929" s="1"/>
      <c r="IM929" s="1"/>
      <c r="IN929" s="1"/>
      <c r="IO929" s="1"/>
      <c r="IP929" s="1"/>
      <c r="IQ929" s="1"/>
      <c r="IR929" s="1"/>
      <c r="IS929" s="1"/>
      <c r="IT929" s="1"/>
      <c r="IU929" s="1"/>
      <c r="IV929" s="1"/>
      <c r="IW929" s="1"/>
      <c r="IX929" s="1"/>
      <c r="IY929" s="1"/>
      <c r="IZ929" s="1"/>
      <c r="JA929" s="1"/>
      <c r="JB929" s="1"/>
      <c r="JC929" s="1"/>
      <c r="JD929" s="1"/>
    </row>
    <row r="930" spans="1:264" s="347" customFormat="1" x14ac:dyDescent="0.2">
      <c r="A930" s="411" t="s">
        <v>651</v>
      </c>
      <c r="B930" s="348"/>
      <c r="BH930" s="456"/>
      <c r="BI930" s="456"/>
      <c r="BJ930" s="456"/>
      <c r="BK930" s="348"/>
      <c r="BL930" s="456"/>
      <c r="BM930" s="456"/>
      <c r="BN930" s="456"/>
      <c r="BO930" s="348"/>
      <c r="BP930" s="456"/>
      <c r="BQ930" s="456"/>
      <c r="BR930" s="456"/>
      <c r="BT930" s="456"/>
      <c r="BU930" s="456"/>
      <c r="BV930" s="456"/>
      <c r="BX930" s="456"/>
      <c r="BY930" s="456"/>
      <c r="BZ930" s="456"/>
      <c r="CB930" s="456"/>
      <c r="CC930" s="456"/>
      <c r="CD930" s="456"/>
      <c r="CF930" s="456"/>
      <c r="CG930" s="456"/>
      <c r="CH930" s="456"/>
      <c r="CJ930" s="456"/>
      <c r="CK930" s="456"/>
      <c r="CL930" s="456"/>
      <c r="CN930" s="456"/>
      <c r="CO930" s="456"/>
      <c r="CP930" s="456"/>
      <c r="CR930" s="456"/>
      <c r="CS930" s="456"/>
      <c r="CT930" s="456"/>
      <c r="CV930" s="456"/>
      <c r="CW930" s="456"/>
      <c r="CX930" s="456"/>
      <c r="CZ930" s="456"/>
      <c r="DA930" s="456"/>
      <c r="DB930" s="456"/>
      <c r="DD930" s="456"/>
      <c r="DE930" s="456"/>
      <c r="DF930" s="456"/>
      <c r="DH930" s="456"/>
      <c r="DI930" s="456"/>
      <c r="DJ930" s="456"/>
      <c r="DL930" s="456"/>
      <c r="DM930" s="456"/>
      <c r="DN930" s="456"/>
      <c r="DP930" s="456"/>
      <c r="DQ930" s="456"/>
      <c r="DR930" s="456"/>
      <c r="DT930" s="1"/>
      <c r="DU930" s="1"/>
      <c r="DV930" s="1"/>
      <c r="DW930" s="1"/>
      <c r="DX930" s="1"/>
      <c r="DY930" s="1"/>
      <c r="DZ930" s="1"/>
      <c r="EA930" s="1"/>
      <c r="EB930" s="1"/>
      <c r="EC930" s="1"/>
      <c r="ED930" s="1"/>
      <c r="EE930" s="1"/>
      <c r="EF930" s="1"/>
      <c r="EG930" s="1"/>
      <c r="EH930" s="1"/>
      <c r="EI930" s="1"/>
      <c r="EJ930" s="1"/>
      <c r="EK930" s="1"/>
      <c r="EL930" s="1"/>
      <c r="EM930" s="1"/>
      <c r="EN930" s="1"/>
      <c r="EO930" s="1"/>
      <c r="EP930" s="1"/>
      <c r="EQ930" s="1"/>
      <c r="ER930" s="1"/>
      <c r="ES930" s="1"/>
      <c r="ET930" s="1"/>
      <c r="EU930" s="1"/>
      <c r="EV930" s="1"/>
      <c r="EW930" s="1"/>
      <c r="EX930" s="1"/>
      <c r="EY930" s="1"/>
      <c r="EZ930" s="1"/>
      <c r="FA930" s="1"/>
      <c r="FB930" s="1"/>
      <c r="FC930" s="1"/>
      <c r="FD930" s="1"/>
      <c r="FE930" s="1"/>
      <c r="FF930" s="1"/>
      <c r="FG930" s="1"/>
      <c r="FH930" s="1"/>
      <c r="FI930" s="1"/>
      <c r="FJ930" s="1"/>
      <c r="FK930" s="1"/>
      <c r="FL930" s="1"/>
      <c r="FM930" s="1"/>
      <c r="FN930" s="1"/>
      <c r="FO930" s="1"/>
      <c r="FP930" s="1"/>
      <c r="FQ930" s="1"/>
      <c r="FR930" s="1"/>
      <c r="FS930" s="1"/>
      <c r="FT930" s="1"/>
      <c r="FU930" s="1"/>
      <c r="FV930" s="1"/>
      <c r="FW930" s="1"/>
      <c r="FX930" s="1"/>
      <c r="FY930" s="1"/>
      <c r="FZ930" s="1"/>
      <c r="GA930" s="1"/>
      <c r="GB930" s="1"/>
      <c r="GC930" s="1"/>
      <c r="GD930" s="1"/>
      <c r="GE930" s="1"/>
      <c r="GF930" s="1"/>
      <c r="GG930" s="1"/>
      <c r="GH930" s="1"/>
      <c r="GI930" s="1"/>
      <c r="GJ930" s="1"/>
      <c r="GK930" s="1"/>
      <c r="GL930" s="1"/>
      <c r="GM930" s="1"/>
      <c r="GN930" s="1"/>
      <c r="GO930" s="1"/>
      <c r="GP930" s="1"/>
      <c r="GQ930" s="1"/>
      <c r="GR930" s="1"/>
      <c r="GS930" s="1"/>
      <c r="GT930" s="1"/>
      <c r="GU930" s="1"/>
      <c r="GV930" s="1"/>
      <c r="GW930" s="1"/>
      <c r="GX930" s="1"/>
      <c r="GY930" s="1"/>
      <c r="GZ930" s="1"/>
      <c r="HA930" s="1"/>
      <c r="HB930" s="1"/>
      <c r="HC930" s="1"/>
      <c r="HD930" s="1"/>
      <c r="HE930" s="1"/>
      <c r="HF930" s="1"/>
      <c r="HG930" s="1"/>
      <c r="HH930" s="1"/>
      <c r="HI930" s="1"/>
      <c r="HJ930" s="1"/>
      <c r="HK930" s="1"/>
      <c r="HL930" s="1"/>
      <c r="HM930" s="1"/>
      <c r="HN930" s="1"/>
      <c r="HO930" s="1"/>
      <c r="HP930" s="1"/>
      <c r="HQ930" s="1"/>
      <c r="HR930" s="1"/>
      <c r="HS930" s="1"/>
      <c r="HT930" s="1"/>
      <c r="HU930" s="1"/>
      <c r="HV930" s="1"/>
      <c r="HW930" s="1"/>
      <c r="HX930" s="1"/>
      <c r="HY930" s="1"/>
      <c r="HZ930" s="1"/>
      <c r="IA930" s="1"/>
      <c r="IB930" s="1"/>
      <c r="IC930" s="1"/>
      <c r="ID930" s="1"/>
      <c r="IE930" s="1"/>
      <c r="IF930" s="1"/>
      <c r="IG930" s="1"/>
      <c r="IH930" s="1"/>
      <c r="II930" s="1"/>
      <c r="IJ930" s="1"/>
      <c r="IK930" s="1"/>
      <c r="IL930" s="1"/>
      <c r="IM930" s="1"/>
      <c r="IN930" s="1"/>
      <c r="IO930" s="1"/>
      <c r="IP930" s="1"/>
      <c r="IQ930" s="1"/>
      <c r="IR930" s="1"/>
      <c r="IS930" s="1"/>
      <c r="IT930" s="1"/>
      <c r="IU930" s="1"/>
      <c r="IV930" s="1"/>
      <c r="IW930" s="1"/>
      <c r="IX930" s="1"/>
      <c r="IY930" s="1"/>
      <c r="IZ930" s="1"/>
      <c r="JA930" s="1"/>
      <c r="JB930" s="1"/>
      <c r="JC930" s="1"/>
      <c r="JD930" s="1"/>
    </row>
    <row r="931" spans="1:264" s="347" customFormat="1" x14ac:dyDescent="0.2">
      <c r="A931" s="347" t="s">
        <v>652</v>
      </c>
      <c r="B931" s="348"/>
      <c r="BH931" s="456"/>
      <c r="BI931" s="456"/>
      <c r="BJ931" s="456"/>
      <c r="BK931" s="348"/>
      <c r="BL931" s="456"/>
      <c r="BM931" s="456"/>
      <c r="BN931" s="456"/>
      <c r="BO931" s="348"/>
      <c r="BP931" s="456"/>
      <c r="BQ931" s="456"/>
      <c r="BR931" s="456"/>
      <c r="BT931" s="456"/>
      <c r="BU931" s="456"/>
      <c r="BV931" s="456"/>
      <c r="BX931" s="456"/>
      <c r="BY931" s="456"/>
      <c r="BZ931" s="399">
        <v>130</v>
      </c>
      <c r="CB931" s="399">
        <v>94</v>
      </c>
      <c r="CC931" s="399">
        <v>66</v>
      </c>
      <c r="CD931" s="351">
        <f>+CC931+CB931</f>
        <v>160</v>
      </c>
      <c r="CF931" s="399">
        <v>12</v>
      </c>
      <c r="CG931" s="399">
        <v>1</v>
      </c>
      <c r="CH931" s="351">
        <f t="shared" ref="CH931:CH936" si="824">+CG931+CF931</f>
        <v>13</v>
      </c>
      <c r="CJ931" s="399">
        <v>-18</v>
      </c>
      <c r="CK931" s="399">
        <v>0</v>
      </c>
      <c r="CL931" s="351">
        <f t="shared" ref="CL931:CL936" si="825">+CK931+CJ931</f>
        <v>-18</v>
      </c>
      <c r="CN931" s="399">
        <v>0</v>
      </c>
      <c r="CO931" s="399">
        <v>0</v>
      </c>
      <c r="CP931" s="351">
        <f t="shared" ref="CP931:CP936" si="826">+CO931+CN931</f>
        <v>0</v>
      </c>
      <c r="CR931" s="399">
        <v>0</v>
      </c>
      <c r="CS931" s="399">
        <v>0</v>
      </c>
      <c r="CT931" s="351">
        <f t="shared" ref="CT931:CT936" si="827">+CS931+CR931</f>
        <v>0</v>
      </c>
      <c r="CV931" s="399">
        <v>0</v>
      </c>
      <c r="CW931" s="399">
        <v>0</v>
      </c>
      <c r="CX931" s="351">
        <f t="shared" ref="CX931:CX936" si="828">+CW931+CV931</f>
        <v>0</v>
      </c>
      <c r="CZ931" s="399">
        <v>0</v>
      </c>
      <c r="DA931" s="399">
        <v>0</v>
      </c>
      <c r="DB931" s="351">
        <f t="shared" ref="DB931:DB936" si="829">+DA931+CZ931</f>
        <v>0</v>
      </c>
      <c r="DD931" s="399">
        <v>0</v>
      </c>
      <c r="DE931" s="399">
        <v>0</v>
      </c>
      <c r="DF931" s="351">
        <f t="shared" ref="DF931:DF936" si="830">+DE931+DD931</f>
        <v>0</v>
      </c>
      <c r="DH931" s="399">
        <v>0</v>
      </c>
      <c r="DI931" s="399">
        <v>0</v>
      </c>
      <c r="DJ931" s="351">
        <f t="shared" ref="DJ931:DJ936" si="831">+DI931+DH931</f>
        <v>0</v>
      </c>
      <c r="DL931" s="351">
        <v>0</v>
      </c>
      <c r="DM931" s="399">
        <v>0</v>
      </c>
      <c r="DN931" s="351">
        <f t="shared" ref="DN931:DN936" si="832">+DM931+DL931</f>
        <v>0</v>
      </c>
      <c r="DP931" s="351">
        <v>0</v>
      </c>
      <c r="DQ931" s="399">
        <v>0</v>
      </c>
      <c r="DR931" s="351">
        <f t="shared" ref="DR931:DR936" si="833">+DQ931+DP931</f>
        <v>0</v>
      </c>
      <c r="DT931" s="1"/>
      <c r="DU931" s="1"/>
      <c r="DV931" s="1"/>
      <c r="DW931" s="1"/>
      <c r="DX931" s="1"/>
      <c r="DY931" s="1"/>
      <c r="DZ931" s="1"/>
      <c r="EA931" s="1"/>
      <c r="EB931" s="1"/>
      <c r="EC931" s="1"/>
      <c r="ED931" s="1"/>
      <c r="EE931" s="1"/>
      <c r="EF931" s="1"/>
      <c r="EG931" s="1"/>
      <c r="EH931" s="1"/>
      <c r="EI931" s="1"/>
      <c r="EJ931" s="1"/>
      <c r="EK931" s="1"/>
      <c r="EL931" s="1"/>
      <c r="EM931" s="1"/>
      <c r="EN931" s="1"/>
      <c r="EO931" s="1"/>
      <c r="EP931" s="1"/>
      <c r="EQ931" s="1"/>
      <c r="ER931" s="1"/>
      <c r="ES931" s="1"/>
      <c r="ET931" s="1"/>
      <c r="EU931" s="1"/>
      <c r="EV931" s="1"/>
      <c r="EW931" s="1"/>
      <c r="EX931" s="1"/>
      <c r="EY931" s="1"/>
      <c r="EZ931" s="1"/>
      <c r="FA931" s="1"/>
      <c r="FB931" s="1"/>
      <c r="FC931" s="1"/>
      <c r="FD931" s="1"/>
      <c r="FE931" s="1"/>
      <c r="FF931" s="1"/>
      <c r="FG931" s="1"/>
      <c r="FH931" s="1"/>
      <c r="FI931" s="1"/>
      <c r="FJ931" s="1"/>
      <c r="FK931" s="1"/>
      <c r="FL931" s="1"/>
      <c r="FM931" s="1"/>
      <c r="FN931" s="1"/>
      <c r="FO931" s="1"/>
      <c r="FP931" s="1"/>
      <c r="FQ931" s="1"/>
      <c r="FR931" s="1"/>
      <c r="FS931" s="1"/>
      <c r="FT931" s="1"/>
      <c r="FU931" s="1"/>
      <c r="FV931" s="1"/>
      <c r="FW931" s="1"/>
      <c r="FX931" s="1"/>
      <c r="FY931" s="1"/>
      <c r="FZ931" s="1"/>
      <c r="GA931" s="1"/>
      <c r="GB931" s="1"/>
      <c r="GC931" s="1"/>
      <c r="GD931" s="1"/>
      <c r="GE931" s="1"/>
      <c r="GF931" s="1"/>
      <c r="GG931" s="1"/>
      <c r="GH931" s="1"/>
      <c r="GI931" s="1"/>
      <c r="GJ931" s="1"/>
      <c r="GK931" s="1"/>
      <c r="GL931" s="1"/>
      <c r="GM931" s="1"/>
      <c r="GN931" s="1"/>
      <c r="GO931" s="1"/>
      <c r="GP931" s="1"/>
      <c r="GQ931" s="1"/>
      <c r="GR931" s="1"/>
      <c r="GS931" s="1"/>
      <c r="GT931" s="1"/>
      <c r="GU931" s="1"/>
      <c r="GV931" s="1"/>
      <c r="GW931" s="1"/>
      <c r="GX931" s="1"/>
      <c r="GY931" s="1"/>
      <c r="GZ931" s="1"/>
      <c r="HA931" s="1"/>
      <c r="HB931" s="1"/>
      <c r="HC931" s="1"/>
      <c r="HD931" s="1"/>
      <c r="HE931" s="1"/>
      <c r="HF931" s="1"/>
      <c r="HG931" s="1"/>
      <c r="HH931" s="1"/>
      <c r="HI931" s="1"/>
      <c r="HJ931" s="1"/>
      <c r="HK931" s="1"/>
      <c r="HL931" s="1"/>
      <c r="HM931" s="1"/>
      <c r="HN931" s="1"/>
      <c r="HO931" s="1"/>
      <c r="HP931" s="1"/>
      <c r="HQ931" s="1"/>
      <c r="HR931" s="1"/>
      <c r="HS931" s="1"/>
      <c r="HT931" s="1"/>
      <c r="HU931" s="1"/>
      <c r="HV931" s="1"/>
      <c r="HW931" s="1"/>
      <c r="HX931" s="1"/>
      <c r="HY931" s="1"/>
      <c r="HZ931" s="1"/>
      <c r="IA931" s="1"/>
      <c r="IB931" s="1"/>
      <c r="IC931" s="1"/>
      <c r="ID931" s="1"/>
      <c r="IE931" s="1"/>
      <c r="IF931" s="1"/>
      <c r="IG931" s="1"/>
      <c r="IH931" s="1"/>
      <c r="II931" s="1"/>
      <c r="IJ931" s="1"/>
      <c r="IK931" s="1"/>
      <c r="IL931" s="1"/>
      <c r="IM931" s="1"/>
      <c r="IN931" s="1"/>
      <c r="IO931" s="1"/>
      <c r="IP931" s="1"/>
      <c r="IQ931" s="1"/>
      <c r="IR931" s="1"/>
      <c r="IS931" s="1"/>
      <c r="IT931" s="1"/>
      <c r="IU931" s="1"/>
      <c r="IV931" s="1"/>
      <c r="IW931" s="1"/>
      <c r="IX931" s="1"/>
      <c r="IY931" s="1"/>
      <c r="IZ931" s="1"/>
      <c r="JA931" s="1"/>
      <c r="JB931" s="1"/>
      <c r="JC931" s="1"/>
      <c r="JD931" s="1"/>
    </row>
    <row r="932" spans="1:264" s="347" customFormat="1" x14ac:dyDescent="0.2">
      <c r="A932" s="347" t="s">
        <v>653</v>
      </c>
      <c r="B932" s="348"/>
      <c r="BH932" s="456"/>
      <c r="BI932" s="456"/>
      <c r="BJ932" s="456"/>
      <c r="BK932" s="348"/>
      <c r="BL932" s="456"/>
      <c r="BM932" s="456"/>
      <c r="BN932" s="456"/>
      <c r="BO932" s="348"/>
      <c r="BP932" s="456"/>
      <c r="BQ932" s="456"/>
      <c r="BR932" s="456"/>
      <c r="BT932" s="456"/>
      <c r="BU932" s="456"/>
      <c r="BV932" s="456"/>
      <c r="BX932" s="456"/>
      <c r="BY932" s="456"/>
      <c r="BZ932" s="399">
        <v>-41</v>
      </c>
      <c r="CB932" s="399">
        <v>-12</v>
      </c>
      <c r="CC932" s="399">
        <v>-25</v>
      </c>
      <c r="CD932" s="351">
        <f>+CC932+CB932</f>
        <v>-37</v>
      </c>
      <c r="CF932" s="399">
        <v>-30</v>
      </c>
      <c r="CG932" s="399">
        <v>-15</v>
      </c>
      <c r="CH932" s="351">
        <f t="shared" si="824"/>
        <v>-45</v>
      </c>
      <c r="CJ932" s="399">
        <v>0</v>
      </c>
      <c r="CK932" s="399">
        <v>0</v>
      </c>
      <c r="CL932" s="351">
        <f t="shared" si="825"/>
        <v>0</v>
      </c>
      <c r="CN932" s="399">
        <v>0</v>
      </c>
      <c r="CO932" s="399">
        <v>0</v>
      </c>
      <c r="CP932" s="351">
        <f t="shared" si="826"/>
        <v>0</v>
      </c>
      <c r="CR932" s="399">
        <v>0</v>
      </c>
      <c r="CS932" s="399">
        <v>0</v>
      </c>
      <c r="CT932" s="351">
        <f t="shared" si="827"/>
        <v>0</v>
      </c>
      <c r="CV932" s="399">
        <v>0</v>
      </c>
      <c r="CW932" s="399">
        <v>0</v>
      </c>
      <c r="CX932" s="351">
        <f t="shared" si="828"/>
        <v>0</v>
      </c>
      <c r="CZ932" s="399">
        <v>0</v>
      </c>
      <c r="DA932" s="399">
        <v>0</v>
      </c>
      <c r="DB932" s="351">
        <f t="shared" si="829"/>
        <v>0</v>
      </c>
      <c r="DD932" s="399">
        <v>0</v>
      </c>
      <c r="DE932" s="399">
        <v>0</v>
      </c>
      <c r="DF932" s="351">
        <f t="shared" si="830"/>
        <v>0</v>
      </c>
      <c r="DH932" s="399">
        <v>0</v>
      </c>
      <c r="DI932" s="399">
        <v>0</v>
      </c>
      <c r="DJ932" s="351">
        <f t="shared" si="831"/>
        <v>0</v>
      </c>
      <c r="DL932" s="351">
        <v>0</v>
      </c>
      <c r="DM932" s="399">
        <v>0</v>
      </c>
      <c r="DN932" s="351">
        <f t="shared" si="832"/>
        <v>0</v>
      </c>
      <c r="DP932" s="351">
        <v>0</v>
      </c>
      <c r="DQ932" s="399">
        <v>0</v>
      </c>
      <c r="DR932" s="351">
        <f t="shared" si="833"/>
        <v>0</v>
      </c>
      <c r="DT932" s="1"/>
      <c r="DU932" s="1"/>
      <c r="DV932" s="1"/>
      <c r="DW932" s="1"/>
      <c r="DX932" s="1"/>
      <c r="DY932" s="1"/>
      <c r="DZ932" s="1"/>
      <c r="EA932" s="1"/>
      <c r="EB932" s="1"/>
      <c r="EC932" s="1"/>
      <c r="ED932" s="1"/>
      <c r="EE932" s="1"/>
      <c r="EF932" s="1"/>
      <c r="EG932" s="1"/>
      <c r="EH932" s="1"/>
      <c r="EI932" s="1"/>
      <c r="EJ932" s="1"/>
      <c r="EK932" s="1"/>
      <c r="EL932" s="1"/>
      <c r="EM932" s="1"/>
      <c r="EN932" s="1"/>
      <c r="EO932" s="1"/>
      <c r="EP932" s="1"/>
      <c r="EQ932" s="1"/>
      <c r="ER932" s="1"/>
      <c r="ES932" s="1"/>
      <c r="ET932" s="1"/>
      <c r="EU932" s="1"/>
      <c r="EV932" s="1"/>
      <c r="EW932" s="1"/>
      <c r="EX932" s="1"/>
      <c r="EY932" s="1"/>
      <c r="EZ932" s="1"/>
      <c r="FA932" s="1"/>
      <c r="FB932" s="1"/>
      <c r="FC932" s="1"/>
      <c r="FD932" s="1"/>
      <c r="FE932" s="1"/>
      <c r="FF932" s="1"/>
      <c r="FG932" s="1"/>
      <c r="FH932" s="1"/>
      <c r="FI932" s="1"/>
      <c r="FJ932" s="1"/>
      <c r="FK932" s="1"/>
      <c r="FL932" s="1"/>
      <c r="FM932" s="1"/>
      <c r="FN932" s="1"/>
      <c r="FO932" s="1"/>
      <c r="FP932" s="1"/>
      <c r="FQ932" s="1"/>
      <c r="FR932" s="1"/>
      <c r="FS932" s="1"/>
      <c r="FT932" s="1"/>
      <c r="FU932" s="1"/>
      <c r="FV932" s="1"/>
      <c r="FW932" s="1"/>
      <c r="FX932" s="1"/>
      <c r="FY932" s="1"/>
      <c r="FZ932" s="1"/>
      <c r="GA932" s="1"/>
      <c r="GB932" s="1"/>
      <c r="GC932" s="1"/>
      <c r="GD932" s="1"/>
      <c r="GE932" s="1"/>
      <c r="GF932" s="1"/>
      <c r="GG932" s="1"/>
      <c r="GH932" s="1"/>
      <c r="GI932" s="1"/>
      <c r="GJ932" s="1"/>
      <c r="GK932" s="1"/>
      <c r="GL932" s="1"/>
      <c r="GM932" s="1"/>
      <c r="GN932" s="1"/>
      <c r="GO932" s="1"/>
      <c r="GP932" s="1"/>
      <c r="GQ932" s="1"/>
      <c r="GR932" s="1"/>
      <c r="GS932" s="1"/>
      <c r="GT932" s="1"/>
      <c r="GU932" s="1"/>
      <c r="GV932" s="1"/>
      <c r="GW932" s="1"/>
      <c r="GX932" s="1"/>
      <c r="GY932" s="1"/>
      <c r="GZ932" s="1"/>
      <c r="HA932" s="1"/>
      <c r="HB932" s="1"/>
      <c r="HC932" s="1"/>
      <c r="HD932" s="1"/>
      <c r="HE932" s="1"/>
      <c r="HF932" s="1"/>
      <c r="HG932" s="1"/>
      <c r="HH932" s="1"/>
      <c r="HI932" s="1"/>
      <c r="HJ932" s="1"/>
      <c r="HK932" s="1"/>
      <c r="HL932" s="1"/>
      <c r="HM932" s="1"/>
      <c r="HN932" s="1"/>
      <c r="HO932" s="1"/>
      <c r="HP932" s="1"/>
      <c r="HQ932" s="1"/>
      <c r="HR932" s="1"/>
      <c r="HS932" s="1"/>
      <c r="HT932" s="1"/>
      <c r="HU932" s="1"/>
      <c r="HV932" s="1"/>
      <c r="HW932" s="1"/>
      <c r="HX932" s="1"/>
      <c r="HY932" s="1"/>
      <c r="HZ932" s="1"/>
      <c r="IA932" s="1"/>
      <c r="IB932" s="1"/>
      <c r="IC932" s="1"/>
      <c r="ID932" s="1"/>
      <c r="IE932" s="1"/>
      <c r="IF932" s="1"/>
      <c r="IG932" s="1"/>
      <c r="IH932" s="1"/>
      <c r="II932" s="1"/>
      <c r="IJ932" s="1"/>
      <c r="IK932" s="1"/>
      <c r="IL932" s="1"/>
      <c r="IM932" s="1"/>
      <c r="IN932" s="1"/>
      <c r="IO932" s="1"/>
      <c r="IP932" s="1"/>
      <c r="IQ932" s="1"/>
      <c r="IR932" s="1"/>
      <c r="IS932" s="1"/>
      <c r="IT932" s="1"/>
      <c r="IU932" s="1"/>
      <c r="IV932" s="1"/>
      <c r="IW932" s="1"/>
      <c r="IX932" s="1"/>
      <c r="IY932" s="1"/>
      <c r="IZ932" s="1"/>
      <c r="JA932" s="1"/>
      <c r="JB932" s="1"/>
      <c r="JC932" s="1"/>
      <c r="JD932" s="1"/>
    </row>
    <row r="933" spans="1:264" s="347" customFormat="1" x14ac:dyDescent="0.2">
      <c r="A933" s="347" t="s">
        <v>654</v>
      </c>
      <c r="B933" s="348"/>
      <c r="BH933" s="456"/>
      <c r="BI933" s="456"/>
      <c r="BJ933" s="456"/>
      <c r="BK933" s="348"/>
      <c r="BL933" s="456"/>
      <c r="BM933" s="456"/>
      <c r="BN933" s="456"/>
      <c r="BO933" s="348"/>
      <c r="BP933" s="456"/>
      <c r="BQ933" s="456"/>
      <c r="BR933" s="456"/>
      <c r="BT933" s="456"/>
      <c r="BU933" s="456"/>
      <c r="BV933" s="456"/>
      <c r="BX933" s="456"/>
      <c r="BY933" s="456"/>
      <c r="BZ933" s="399">
        <v>96</v>
      </c>
      <c r="CB933" s="399">
        <v>49</v>
      </c>
      <c r="CC933" s="399">
        <v>47</v>
      </c>
      <c r="CD933" s="351">
        <f>+CC933+CB933</f>
        <v>96</v>
      </c>
      <c r="CF933" s="399">
        <v>0</v>
      </c>
      <c r="CG933" s="399">
        <v>0</v>
      </c>
      <c r="CH933" s="351">
        <f t="shared" si="824"/>
        <v>0</v>
      </c>
      <c r="CJ933" s="399">
        <v>0</v>
      </c>
      <c r="CK933" s="399">
        <v>0</v>
      </c>
      <c r="CL933" s="351">
        <f t="shared" si="825"/>
        <v>0</v>
      </c>
      <c r="CN933" s="399">
        <v>0</v>
      </c>
      <c r="CO933" s="399">
        <v>0</v>
      </c>
      <c r="CP933" s="351">
        <f t="shared" si="826"/>
        <v>0</v>
      </c>
      <c r="CR933" s="399">
        <v>0</v>
      </c>
      <c r="CS933" s="399">
        <v>0</v>
      </c>
      <c r="CT933" s="351">
        <f t="shared" si="827"/>
        <v>0</v>
      </c>
      <c r="CV933" s="399">
        <v>0</v>
      </c>
      <c r="CW933" s="399">
        <v>0</v>
      </c>
      <c r="CX933" s="351">
        <f t="shared" si="828"/>
        <v>0</v>
      </c>
      <c r="CZ933" s="399">
        <v>0</v>
      </c>
      <c r="DA933" s="399">
        <v>0</v>
      </c>
      <c r="DB933" s="351">
        <f t="shared" si="829"/>
        <v>0</v>
      </c>
      <c r="DD933" s="399">
        <v>0</v>
      </c>
      <c r="DE933" s="399">
        <v>0</v>
      </c>
      <c r="DF933" s="351">
        <f t="shared" si="830"/>
        <v>0</v>
      </c>
      <c r="DH933" s="399">
        <v>0</v>
      </c>
      <c r="DI933" s="399">
        <v>0</v>
      </c>
      <c r="DJ933" s="351">
        <f t="shared" si="831"/>
        <v>0</v>
      </c>
      <c r="DL933" s="351">
        <v>0</v>
      </c>
      <c r="DM933" s="399">
        <v>0</v>
      </c>
      <c r="DN933" s="351">
        <f t="shared" si="832"/>
        <v>0</v>
      </c>
      <c r="DP933" s="351">
        <v>0</v>
      </c>
      <c r="DQ933" s="399">
        <v>0</v>
      </c>
      <c r="DR933" s="351">
        <f t="shared" si="833"/>
        <v>0</v>
      </c>
      <c r="DT933" s="1"/>
      <c r="DU933" s="1"/>
      <c r="DV933" s="1"/>
      <c r="DW933" s="1"/>
      <c r="DX933" s="1"/>
      <c r="DY933" s="1"/>
      <c r="DZ933" s="1"/>
      <c r="EA933" s="1"/>
      <c r="EB933" s="1"/>
      <c r="EC933" s="1"/>
      <c r="ED933" s="1"/>
      <c r="EE933" s="1"/>
      <c r="EF933" s="1"/>
      <c r="EG933" s="1"/>
      <c r="EH933" s="1"/>
      <c r="EI933" s="1"/>
      <c r="EJ933" s="1"/>
      <c r="EK933" s="1"/>
      <c r="EL933" s="1"/>
      <c r="EM933" s="1"/>
      <c r="EN933" s="1"/>
      <c r="EO933" s="1"/>
      <c r="EP933" s="1"/>
      <c r="EQ933" s="1"/>
      <c r="ER933" s="1"/>
      <c r="ES933" s="1"/>
      <c r="ET933" s="1"/>
      <c r="EU933" s="1"/>
      <c r="EV933" s="1"/>
      <c r="EW933" s="1"/>
      <c r="EX933" s="1"/>
      <c r="EY933" s="1"/>
      <c r="EZ933" s="1"/>
      <c r="FA933" s="1"/>
      <c r="FB933" s="1"/>
      <c r="FC933" s="1"/>
      <c r="FD933" s="1"/>
      <c r="FE933" s="1"/>
      <c r="FF933" s="1"/>
      <c r="FG933" s="1"/>
      <c r="FH933" s="1"/>
      <c r="FI933" s="1"/>
      <c r="FJ933" s="1"/>
      <c r="FK933" s="1"/>
      <c r="FL933" s="1"/>
      <c r="FM933" s="1"/>
      <c r="FN933" s="1"/>
      <c r="FO933" s="1"/>
      <c r="FP933" s="1"/>
      <c r="FQ933" s="1"/>
      <c r="FR933" s="1"/>
      <c r="FS933" s="1"/>
      <c r="FT933" s="1"/>
      <c r="FU933" s="1"/>
      <c r="FV933" s="1"/>
      <c r="FW933" s="1"/>
      <c r="FX933" s="1"/>
      <c r="FY933" s="1"/>
      <c r="FZ933" s="1"/>
      <c r="GA933" s="1"/>
      <c r="GB933" s="1"/>
      <c r="GC933" s="1"/>
      <c r="GD933" s="1"/>
      <c r="GE933" s="1"/>
      <c r="GF933" s="1"/>
      <c r="GG933" s="1"/>
      <c r="GH933" s="1"/>
      <c r="GI933" s="1"/>
      <c r="GJ933" s="1"/>
      <c r="GK933" s="1"/>
      <c r="GL933" s="1"/>
      <c r="GM933" s="1"/>
      <c r="GN933" s="1"/>
      <c r="GO933" s="1"/>
      <c r="GP933" s="1"/>
      <c r="GQ933" s="1"/>
      <c r="GR933" s="1"/>
      <c r="GS933" s="1"/>
      <c r="GT933" s="1"/>
      <c r="GU933" s="1"/>
      <c r="GV933" s="1"/>
      <c r="GW933" s="1"/>
      <c r="GX933" s="1"/>
      <c r="GY933" s="1"/>
      <c r="GZ933" s="1"/>
      <c r="HA933" s="1"/>
      <c r="HB933" s="1"/>
      <c r="HC933" s="1"/>
      <c r="HD933" s="1"/>
      <c r="HE933" s="1"/>
      <c r="HF933" s="1"/>
      <c r="HG933" s="1"/>
      <c r="HH933" s="1"/>
      <c r="HI933" s="1"/>
      <c r="HJ933" s="1"/>
      <c r="HK933" s="1"/>
      <c r="HL933" s="1"/>
      <c r="HM933" s="1"/>
      <c r="HN933" s="1"/>
      <c r="HO933" s="1"/>
      <c r="HP933" s="1"/>
      <c r="HQ933" s="1"/>
      <c r="HR933" s="1"/>
      <c r="HS933" s="1"/>
      <c r="HT933" s="1"/>
      <c r="HU933" s="1"/>
      <c r="HV933" s="1"/>
      <c r="HW933" s="1"/>
      <c r="HX933" s="1"/>
      <c r="HY933" s="1"/>
      <c r="HZ933" s="1"/>
      <c r="IA933" s="1"/>
      <c r="IB933" s="1"/>
      <c r="IC933" s="1"/>
      <c r="ID933" s="1"/>
      <c r="IE933" s="1"/>
      <c r="IF933" s="1"/>
      <c r="IG933" s="1"/>
      <c r="IH933" s="1"/>
      <c r="II933" s="1"/>
      <c r="IJ933" s="1"/>
      <c r="IK933" s="1"/>
      <c r="IL933" s="1"/>
      <c r="IM933" s="1"/>
      <c r="IN933" s="1"/>
      <c r="IO933" s="1"/>
      <c r="IP933" s="1"/>
      <c r="IQ933" s="1"/>
      <c r="IR933" s="1"/>
      <c r="IS933" s="1"/>
      <c r="IT933" s="1"/>
      <c r="IU933" s="1"/>
      <c r="IV933" s="1"/>
      <c r="IW933" s="1"/>
      <c r="IX933" s="1"/>
      <c r="IY933" s="1"/>
      <c r="IZ933" s="1"/>
      <c r="JA933" s="1"/>
      <c r="JB933" s="1"/>
      <c r="JC933" s="1"/>
      <c r="JD933" s="1"/>
    </row>
    <row r="934" spans="1:264" s="347" customFormat="1" x14ac:dyDescent="0.2">
      <c r="A934" s="347" t="s">
        <v>655</v>
      </c>
      <c r="B934" s="348"/>
      <c r="BH934" s="456"/>
      <c r="BI934" s="456"/>
      <c r="BJ934" s="456"/>
      <c r="BK934" s="348"/>
      <c r="BL934" s="456"/>
      <c r="BM934" s="456"/>
      <c r="BN934" s="456"/>
      <c r="BO934" s="348"/>
      <c r="BP934" s="456"/>
      <c r="BQ934" s="456"/>
      <c r="BR934" s="456"/>
      <c r="BT934" s="456"/>
      <c r="BU934" s="456"/>
      <c r="BV934" s="456"/>
      <c r="BX934" s="456"/>
      <c r="BY934" s="456"/>
      <c r="BZ934" s="456"/>
      <c r="CB934" s="399">
        <v>149</v>
      </c>
      <c r="CC934" s="399">
        <v>143</v>
      </c>
      <c r="CD934" s="351">
        <f>+CC934+CB934</f>
        <v>292</v>
      </c>
      <c r="CF934" s="399">
        <v>115</v>
      </c>
      <c r="CG934" s="399">
        <v>125</v>
      </c>
      <c r="CH934" s="351">
        <f t="shared" si="824"/>
        <v>240</v>
      </c>
      <c r="CJ934" s="399">
        <v>24</v>
      </c>
      <c r="CK934" s="399">
        <v>0</v>
      </c>
      <c r="CL934" s="351">
        <f t="shared" si="825"/>
        <v>24</v>
      </c>
      <c r="CN934" s="399">
        <v>0</v>
      </c>
      <c r="CO934" s="399">
        <v>0</v>
      </c>
      <c r="CP934" s="351">
        <f t="shared" si="826"/>
        <v>0</v>
      </c>
      <c r="CR934" s="399">
        <v>0</v>
      </c>
      <c r="CS934" s="399">
        <v>0</v>
      </c>
      <c r="CT934" s="351">
        <f t="shared" si="827"/>
        <v>0</v>
      </c>
      <c r="CV934" s="399">
        <v>0</v>
      </c>
      <c r="CW934" s="399">
        <v>0</v>
      </c>
      <c r="CX934" s="351">
        <f t="shared" si="828"/>
        <v>0</v>
      </c>
      <c r="CZ934" s="399">
        <v>0</v>
      </c>
      <c r="DA934" s="399">
        <v>0</v>
      </c>
      <c r="DB934" s="351">
        <f t="shared" si="829"/>
        <v>0</v>
      </c>
      <c r="DD934" s="399">
        <v>0</v>
      </c>
      <c r="DE934" s="399">
        <v>0</v>
      </c>
      <c r="DF934" s="351">
        <f t="shared" si="830"/>
        <v>0</v>
      </c>
      <c r="DH934" s="399">
        <v>0</v>
      </c>
      <c r="DI934" s="399">
        <v>0</v>
      </c>
      <c r="DJ934" s="351">
        <f t="shared" si="831"/>
        <v>0</v>
      </c>
      <c r="DL934" s="351">
        <v>0</v>
      </c>
      <c r="DM934" s="399">
        <v>0</v>
      </c>
      <c r="DN934" s="351">
        <f t="shared" si="832"/>
        <v>0</v>
      </c>
      <c r="DP934" s="351">
        <v>0</v>
      </c>
      <c r="DQ934" s="399">
        <v>0</v>
      </c>
      <c r="DR934" s="351">
        <f t="shared" si="833"/>
        <v>0</v>
      </c>
      <c r="DT934" s="1"/>
      <c r="DU934" s="1"/>
      <c r="DV934" s="1"/>
      <c r="DW934" s="1"/>
      <c r="DX934" s="1"/>
      <c r="DY934" s="1"/>
      <c r="DZ934" s="1"/>
      <c r="EA934" s="1"/>
      <c r="EB934" s="1"/>
      <c r="EC934" s="1"/>
      <c r="ED934" s="1"/>
      <c r="EE934" s="1"/>
      <c r="EF934" s="1"/>
      <c r="EG934" s="1"/>
      <c r="EH934" s="1"/>
      <c r="EI934" s="1"/>
      <c r="EJ934" s="1"/>
      <c r="EK934" s="1"/>
      <c r="EL934" s="1"/>
      <c r="EM934" s="1"/>
      <c r="EN934" s="1"/>
      <c r="EO934" s="1"/>
      <c r="EP934" s="1"/>
      <c r="EQ934" s="1"/>
      <c r="ER934" s="1"/>
      <c r="ES934" s="1"/>
      <c r="ET934" s="1"/>
      <c r="EU934" s="1"/>
      <c r="EV934" s="1"/>
      <c r="EW934" s="1"/>
      <c r="EX934" s="1"/>
      <c r="EY934" s="1"/>
      <c r="EZ934" s="1"/>
      <c r="FA934" s="1"/>
      <c r="FB934" s="1"/>
      <c r="FC934" s="1"/>
      <c r="FD934" s="1"/>
      <c r="FE934" s="1"/>
      <c r="FF934" s="1"/>
      <c r="FG934" s="1"/>
      <c r="FH934" s="1"/>
      <c r="FI934" s="1"/>
      <c r="FJ934" s="1"/>
      <c r="FK934" s="1"/>
      <c r="FL934" s="1"/>
      <c r="FM934" s="1"/>
      <c r="FN934" s="1"/>
      <c r="FO934" s="1"/>
      <c r="FP934" s="1"/>
      <c r="FQ934" s="1"/>
      <c r="FR934" s="1"/>
      <c r="FS934" s="1"/>
      <c r="FT934" s="1"/>
      <c r="FU934" s="1"/>
      <c r="FV934" s="1"/>
      <c r="FW934" s="1"/>
      <c r="FX934" s="1"/>
      <c r="FY934" s="1"/>
      <c r="FZ934" s="1"/>
      <c r="GA934" s="1"/>
      <c r="GB934" s="1"/>
      <c r="GC934" s="1"/>
      <c r="GD934" s="1"/>
      <c r="GE934" s="1"/>
      <c r="GF934" s="1"/>
      <c r="GG934" s="1"/>
      <c r="GH934" s="1"/>
      <c r="GI934" s="1"/>
      <c r="GJ934" s="1"/>
      <c r="GK934" s="1"/>
      <c r="GL934" s="1"/>
      <c r="GM934" s="1"/>
      <c r="GN934" s="1"/>
      <c r="GO934" s="1"/>
      <c r="GP934" s="1"/>
      <c r="GQ934" s="1"/>
      <c r="GR934" s="1"/>
      <c r="GS934" s="1"/>
      <c r="GT934" s="1"/>
      <c r="GU934" s="1"/>
      <c r="GV934" s="1"/>
      <c r="GW934" s="1"/>
      <c r="GX934" s="1"/>
      <c r="GY934" s="1"/>
      <c r="GZ934" s="1"/>
      <c r="HA934" s="1"/>
      <c r="HB934" s="1"/>
      <c r="HC934" s="1"/>
      <c r="HD934" s="1"/>
      <c r="HE934" s="1"/>
      <c r="HF934" s="1"/>
      <c r="HG934" s="1"/>
      <c r="HH934" s="1"/>
      <c r="HI934" s="1"/>
      <c r="HJ934" s="1"/>
      <c r="HK934" s="1"/>
      <c r="HL934" s="1"/>
      <c r="HM934" s="1"/>
      <c r="HN934" s="1"/>
      <c r="HO934" s="1"/>
      <c r="HP934" s="1"/>
      <c r="HQ934" s="1"/>
      <c r="HR934" s="1"/>
      <c r="HS934" s="1"/>
      <c r="HT934" s="1"/>
      <c r="HU934" s="1"/>
      <c r="HV934" s="1"/>
      <c r="HW934" s="1"/>
      <c r="HX934" s="1"/>
      <c r="HY934" s="1"/>
      <c r="HZ934" s="1"/>
      <c r="IA934" s="1"/>
      <c r="IB934" s="1"/>
      <c r="IC934" s="1"/>
      <c r="ID934" s="1"/>
      <c r="IE934" s="1"/>
      <c r="IF934" s="1"/>
      <c r="IG934" s="1"/>
      <c r="IH934" s="1"/>
      <c r="II934" s="1"/>
      <c r="IJ934" s="1"/>
      <c r="IK934" s="1"/>
      <c r="IL934" s="1"/>
      <c r="IM934" s="1"/>
      <c r="IN934" s="1"/>
      <c r="IO934" s="1"/>
      <c r="IP934" s="1"/>
      <c r="IQ934" s="1"/>
      <c r="IR934" s="1"/>
      <c r="IS934" s="1"/>
      <c r="IT934" s="1"/>
      <c r="IU934" s="1"/>
      <c r="IV934" s="1"/>
      <c r="IW934" s="1"/>
      <c r="IX934" s="1"/>
      <c r="IY934" s="1"/>
      <c r="IZ934" s="1"/>
      <c r="JA934" s="1"/>
      <c r="JB934" s="1"/>
      <c r="JC934" s="1"/>
      <c r="JD934" s="1"/>
    </row>
    <row r="935" spans="1:264" s="347" customFormat="1" x14ac:dyDescent="0.2">
      <c r="A935" s="347" t="s">
        <v>656</v>
      </c>
      <c r="B935" s="348"/>
      <c r="BH935" s="456"/>
      <c r="BI935" s="456"/>
      <c r="BJ935" s="456"/>
      <c r="BK935" s="348"/>
      <c r="BL935" s="456"/>
      <c r="BM935" s="456"/>
      <c r="BN935" s="456"/>
      <c r="BO935" s="348"/>
      <c r="BP935" s="456"/>
      <c r="BQ935" s="456"/>
      <c r="BR935" s="456"/>
      <c r="BT935" s="456"/>
      <c r="BU935" s="456"/>
      <c r="BV935" s="456"/>
      <c r="BX935" s="456"/>
      <c r="BY935" s="456"/>
      <c r="BZ935" s="456"/>
      <c r="CB935" s="456"/>
      <c r="CC935" s="456"/>
      <c r="CD935" s="351"/>
      <c r="CF935" s="399">
        <v>163</v>
      </c>
      <c r="CG935" s="399">
        <f>275-CF935</f>
        <v>112</v>
      </c>
      <c r="CH935" s="351">
        <f t="shared" si="824"/>
        <v>275</v>
      </c>
      <c r="CJ935" s="399">
        <f>121+14</f>
        <v>135</v>
      </c>
      <c r="CK935" s="399">
        <f>10+15</f>
        <v>25</v>
      </c>
      <c r="CL935" s="351">
        <f t="shared" si="825"/>
        <v>160</v>
      </c>
      <c r="CN935" s="399">
        <v>84</v>
      </c>
      <c r="CO935" s="399">
        <f>134-CN935</f>
        <v>50</v>
      </c>
      <c r="CP935" s="351">
        <f t="shared" si="826"/>
        <v>134</v>
      </c>
      <c r="CR935" s="399">
        <v>96</v>
      </c>
      <c r="CS935" s="399">
        <v>0</v>
      </c>
      <c r="CT935" s="351">
        <f t="shared" si="827"/>
        <v>96</v>
      </c>
      <c r="CV935" s="399">
        <v>0</v>
      </c>
      <c r="CW935" s="399">
        <v>0</v>
      </c>
      <c r="CX935" s="351">
        <f t="shared" si="828"/>
        <v>0</v>
      </c>
      <c r="CZ935" s="399">
        <v>0</v>
      </c>
      <c r="DA935" s="399">
        <v>0</v>
      </c>
      <c r="DB935" s="351">
        <f t="shared" si="829"/>
        <v>0</v>
      </c>
      <c r="DD935" s="399">
        <v>0</v>
      </c>
      <c r="DE935" s="399">
        <v>0</v>
      </c>
      <c r="DF935" s="351">
        <f t="shared" si="830"/>
        <v>0</v>
      </c>
      <c r="DH935" s="399">
        <v>0</v>
      </c>
      <c r="DI935" s="399">
        <v>0</v>
      </c>
      <c r="DJ935" s="351">
        <f t="shared" si="831"/>
        <v>0</v>
      </c>
      <c r="DL935" s="351">
        <v>0</v>
      </c>
      <c r="DM935" s="399">
        <v>0</v>
      </c>
      <c r="DN935" s="351">
        <f t="shared" si="832"/>
        <v>0</v>
      </c>
      <c r="DP935" s="351">
        <v>0</v>
      </c>
      <c r="DQ935" s="399">
        <v>0</v>
      </c>
      <c r="DR935" s="351">
        <f t="shared" si="833"/>
        <v>0</v>
      </c>
      <c r="DT935" s="1"/>
      <c r="DU935" s="1"/>
      <c r="DV935" s="1"/>
      <c r="DW935" s="1"/>
      <c r="DX935" s="1"/>
      <c r="DY935" s="1"/>
      <c r="DZ935" s="1"/>
      <c r="EA935" s="1"/>
      <c r="EB935" s="1"/>
      <c r="EC935" s="1"/>
      <c r="ED935" s="1"/>
      <c r="EE935" s="1"/>
      <c r="EF935" s="1"/>
      <c r="EG935" s="1"/>
      <c r="EH935" s="1"/>
      <c r="EI935" s="1"/>
      <c r="EJ935" s="1"/>
      <c r="EK935" s="1"/>
      <c r="EL935" s="1"/>
      <c r="EM935" s="1"/>
      <c r="EN935" s="1"/>
      <c r="EO935" s="1"/>
      <c r="EP935" s="1"/>
      <c r="EQ935" s="1"/>
      <c r="ER935" s="1"/>
      <c r="ES935" s="1"/>
      <c r="ET935" s="1"/>
      <c r="EU935" s="1"/>
      <c r="EV935" s="1"/>
      <c r="EW935" s="1"/>
      <c r="EX935" s="1"/>
      <c r="EY935" s="1"/>
      <c r="EZ935" s="1"/>
      <c r="FA935" s="1"/>
      <c r="FB935" s="1"/>
      <c r="FC935" s="1"/>
      <c r="FD935" s="1"/>
      <c r="FE935" s="1"/>
      <c r="FF935" s="1"/>
      <c r="FG935" s="1"/>
      <c r="FH935" s="1"/>
      <c r="FI935" s="1"/>
      <c r="FJ935" s="1"/>
      <c r="FK935" s="1"/>
      <c r="FL935" s="1"/>
      <c r="FM935" s="1"/>
      <c r="FN935" s="1"/>
      <c r="FO935" s="1"/>
      <c r="FP935" s="1"/>
      <c r="FQ935" s="1"/>
      <c r="FR935" s="1"/>
      <c r="FS935" s="1"/>
      <c r="FT935" s="1"/>
      <c r="FU935" s="1"/>
      <c r="FV935" s="1"/>
      <c r="FW935" s="1"/>
      <c r="FX935" s="1"/>
      <c r="FY935" s="1"/>
      <c r="FZ935" s="1"/>
      <c r="GA935" s="1"/>
      <c r="GB935" s="1"/>
      <c r="GC935" s="1"/>
      <c r="GD935" s="1"/>
      <c r="GE935" s="1"/>
      <c r="GF935" s="1"/>
      <c r="GG935" s="1"/>
      <c r="GH935" s="1"/>
      <c r="GI935" s="1"/>
      <c r="GJ935" s="1"/>
      <c r="GK935" s="1"/>
      <c r="GL935" s="1"/>
      <c r="GM935" s="1"/>
      <c r="GN935" s="1"/>
      <c r="GO935" s="1"/>
      <c r="GP935" s="1"/>
      <c r="GQ935" s="1"/>
      <c r="GR935" s="1"/>
      <c r="GS935" s="1"/>
      <c r="GT935" s="1"/>
      <c r="GU935" s="1"/>
      <c r="GV935" s="1"/>
      <c r="GW935" s="1"/>
      <c r="GX935" s="1"/>
      <c r="GY935" s="1"/>
      <c r="GZ935" s="1"/>
      <c r="HA935" s="1"/>
      <c r="HB935" s="1"/>
      <c r="HC935" s="1"/>
      <c r="HD935" s="1"/>
      <c r="HE935" s="1"/>
      <c r="HF935" s="1"/>
      <c r="HG935" s="1"/>
      <c r="HH935" s="1"/>
      <c r="HI935" s="1"/>
      <c r="HJ935" s="1"/>
      <c r="HK935" s="1"/>
      <c r="HL935" s="1"/>
      <c r="HM935" s="1"/>
      <c r="HN935" s="1"/>
      <c r="HO935" s="1"/>
      <c r="HP935" s="1"/>
      <c r="HQ935" s="1"/>
      <c r="HR935" s="1"/>
      <c r="HS935" s="1"/>
      <c r="HT935" s="1"/>
      <c r="HU935" s="1"/>
      <c r="HV935" s="1"/>
      <c r="HW935" s="1"/>
      <c r="HX935" s="1"/>
      <c r="HY935" s="1"/>
      <c r="HZ935" s="1"/>
      <c r="IA935" s="1"/>
      <c r="IB935" s="1"/>
      <c r="IC935" s="1"/>
      <c r="ID935" s="1"/>
      <c r="IE935" s="1"/>
      <c r="IF935" s="1"/>
      <c r="IG935" s="1"/>
      <c r="IH935" s="1"/>
      <c r="II935" s="1"/>
      <c r="IJ935" s="1"/>
      <c r="IK935" s="1"/>
      <c r="IL935" s="1"/>
      <c r="IM935" s="1"/>
      <c r="IN935" s="1"/>
      <c r="IO935" s="1"/>
      <c r="IP935" s="1"/>
      <c r="IQ935" s="1"/>
      <c r="IR935" s="1"/>
      <c r="IS935" s="1"/>
      <c r="IT935" s="1"/>
      <c r="IU935" s="1"/>
      <c r="IV935" s="1"/>
      <c r="IW935" s="1"/>
      <c r="IX935" s="1"/>
      <c r="IY935" s="1"/>
      <c r="IZ935" s="1"/>
      <c r="JA935" s="1"/>
      <c r="JB935" s="1"/>
      <c r="JC935" s="1"/>
      <c r="JD935" s="1"/>
    </row>
    <row r="936" spans="1:264" s="347" customFormat="1" x14ac:dyDescent="0.2">
      <c r="A936" s="347" t="s">
        <v>377</v>
      </c>
      <c r="B936" s="348"/>
      <c r="BH936" s="456"/>
      <c r="BI936" s="456"/>
      <c r="BJ936" s="456"/>
      <c r="BK936" s="348"/>
      <c r="BL936" s="456"/>
      <c r="BM936" s="456"/>
      <c r="BN936" s="456"/>
      <c r="BO936" s="348"/>
      <c r="BP936" s="456"/>
      <c r="BQ936" s="456"/>
      <c r="BR936" s="456"/>
      <c r="BT936" s="456"/>
      <c r="BU936" s="456"/>
      <c r="BV936" s="456"/>
      <c r="BX936" s="456"/>
      <c r="BY936" s="456"/>
      <c r="BZ936" s="351">
        <f>BZ937-SUM(BZ930:BZ934)</f>
        <v>0</v>
      </c>
      <c r="CB936" s="351">
        <f>CB937-SUM(CB930:CB935)</f>
        <v>-7</v>
      </c>
      <c r="CC936" s="351">
        <f>CC937-SUM(CC930:CC935)</f>
        <v>-7</v>
      </c>
      <c r="CD936" s="351">
        <f>+CC936+CB936</f>
        <v>-14</v>
      </c>
      <c r="CF936" s="351">
        <f>CF937-SUM(CF930:CF935)</f>
        <v>1</v>
      </c>
      <c r="CG936" s="351">
        <f>CG937-SUM(CG930:CG935)</f>
        <v>1</v>
      </c>
      <c r="CH936" s="351">
        <f t="shared" si="824"/>
        <v>2</v>
      </c>
      <c r="CJ936" s="351">
        <f>CJ937-SUM(CJ930:CJ935)</f>
        <v>11</v>
      </c>
      <c r="CK936" s="351">
        <f>CK937-SUM(CK930:CK935)</f>
        <v>5</v>
      </c>
      <c r="CL936" s="351">
        <f t="shared" si="825"/>
        <v>16</v>
      </c>
      <c r="CN936" s="351">
        <f>CN937-SUM(CN930:CN935)</f>
        <v>15</v>
      </c>
      <c r="CO936" s="351">
        <f>CO937-SUM(CO930:CO935)</f>
        <v>-1</v>
      </c>
      <c r="CP936" s="351">
        <f t="shared" si="826"/>
        <v>14</v>
      </c>
      <c r="CR936" s="351">
        <f>CR937-SUM(CR930:CR935)</f>
        <v>4</v>
      </c>
      <c r="CS936" s="351">
        <f>CS937-SUM(CS930:CS935)</f>
        <v>13</v>
      </c>
      <c r="CT936" s="351">
        <f t="shared" si="827"/>
        <v>17</v>
      </c>
      <c r="CV936" s="351">
        <f>CV937-SUM(CV930:CV935)</f>
        <v>10</v>
      </c>
      <c r="CW936" s="351">
        <f>CW937-SUM(CW930:CW935)</f>
        <v>8</v>
      </c>
      <c r="CX936" s="351">
        <f t="shared" si="828"/>
        <v>18</v>
      </c>
      <c r="CZ936" s="351">
        <f>CZ937-SUM(CZ930:CZ935)</f>
        <v>5</v>
      </c>
      <c r="DA936" s="351">
        <f>DA937-SUM(DA930:DA935)</f>
        <v>6</v>
      </c>
      <c r="DB936" s="351">
        <f t="shared" si="829"/>
        <v>11</v>
      </c>
      <c r="DD936" s="351">
        <f>DD937-SUM(DD930:DD935)</f>
        <v>1</v>
      </c>
      <c r="DE936" s="351">
        <f>DE937-SUM(DE930:DE935)</f>
        <v>0</v>
      </c>
      <c r="DF936" s="351">
        <f t="shared" si="830"/>
        <v>1</v>
      </c>
      <c r="DH936" s="351">
        <f>DH937-SUM(DH930:DH935)</f>
        <v>0</v>
      </c>
      <c r="DI936" s="399">
        <v>0</v>
      </c>
      <c r="DJ936" s="351">
        <f t="shared" si="831"/>
        <v>0</v>
      </c>
      <c r="DL936" s="351">
        <v>0</v>
      </c>
      <c r="DM936" s="399">
        <v>0</v>
      </c>
      <c r="DN936" s="351">
        <f t="shared" si="832"/>
        <v>0</v>
      </c>
      <c r="DP936" s="351">
        <v>0</v>
      </c>
      <c r="DQ936" s="399">
        <v>0</v>
      </c>
      <c r="DR936" s="351">
        <f t="shared" si="833"/>
        <v>0</v>
      </c>
      <c r="DT936" s="1"/>
      <c r="DU936" s="1"/>
      <c r="DV936" s="1"/>
      <c r="DW936" s="1"/>
      <c r="DX936" s="1"/>
      <c r="DY936" s="1"/>
      <c r="DZ936" s="1"/>
      <c r="EA936" s="1"/>
      <c r="EB936" s="1"/>
      <c r="EC936" s="1"/>
      <c r="ED936" s="1"/>
      <c r="EE936" s="1"/>
      <c r="EF936" s="1"/>
      <c r="EG936" s="1"/>
      <c r="EH936" s="1"/>
      <c r="EI936" s="1"/>
      <c r="EJ936" s="1"/>
      <c r="EK936" s="1"/>
      <c r="EL936" s="1"/>
      <c r="EM936" s="1"/>
      <c r="EN936" s="1"/>
      <c r="EO936" s="1"/>
      <c r="EP936" s="1"/>
      <c r="EQ936" s="1"/>
      <c r="ER936" s="1"/>
      <c r="ES936" s="1"/>
      <c r="ET936" s="1"/>
      <c r="EU936" s="1"/>
      <c r="EV936" s="1"/>
      <c r="EW936" s="1"/>
      <c r="EX936" s="1"/>
      <c r="EY936" s="1"/>
      <c r="EZ936" s="1"/>
      <c r="FA936" s="1"/>
      <c r="FB936" s="1"/>
      <c r="FC936" s="1"/>
      <c r="FD936" s="1"/>
      <c r="FE936" s="1"/>
      <c r="FF936" s="1"/>
      <c r="FG936" s="1"/>
      <c r="FH936" s="1"/>
      <c r="FI936" s="1"/>
      <c r="FJ936" s="1"/>
      <c r="FK936" s="1"/>
      <c r="FL936" s="1"/>
      <c r="FM936" s="1"/>
      <c r="FN936" s="1"/>
      <c r="FO936" s="1"/>
      <c r="FP936" s="1"/>
      <c r="FQ936" s="1"/>
      <c r="FR936" s="1"/>
      <c r="FS936" s="1"/>
      <c r="FT936" s="1"/>
      <c r="FU936" s="1"/>
      <c r="FV936" s="1"/>
      <c r="FW936" s="1"/>
      <c r="FX936" s="1"/>
      <c r="FY936" s="1"/>
      <c r="FZ936" s="1"/>
      <c r="GA936" s="1"/>
      <c r="GB936" s="1"/>
      <c r="GC936" s="1"/>
      <c r="GD936" s="1"/>
      <c r="GE936" s="1"/>
      <c r="GF936" s="1"/>
      <c r="GG936" s="1"/>
      <c r="GH936" s="1"/>
      <c r="GI936" s="1"/>
      <c r="GJ936" s="1"/>
      <c r="GK936" s="1"/>
      <c r="GL936" s="1"/>
      <c r="GM936" s="1"/>
      <c r="GN936" s="1"/>
      <c r="GO936" s="1"/>
      <c r="GP936" s="1"/>
      <c r="GQ936" s="1"/>
      <c r="GR936" s="1"/>
      <c r="GS936" s="1"/>
      <c r="GT936" s="1"/>
      <c r="GU936" s="1"/>
      <c r="GV936" s="1"/>
      <c r="GW936" s="1"/>
      <c r="GX936" s="1"/>
      <c r="GY936" s="1"/>
      <c r="GZ936" s="1"/>
      <c r="HA936" s="1"/>
      <c r="HB936" s="1"/>
      <c r="HC936" s="1"/>
      <c r="HD936" s="1"/>
      <c r="HE936" s="1"/>
      <c r="HF936" s="1"/>
      <c r="HG936" s="1"/>
      <c r="HH936" s="1"/>
      <c r="HI936" s="1"/>
      <c r="HJ936" s="1"/>
      <c r="HK936" s="1"/>
      <c r="HL936" s="1"/>
      <c r="HM936" s="1"/>
      <c r="HN936" s="1"/>
      <c r="HO936" s="1"/>
      <c r="HP936" s="1"/>
      <c r="HQ936" s="1"/>
      <c r="HR936" s="1"/>
      <c r="HS936" s="1"/>
      <c r="HT936" s="1"/>
      <c r="HU936" s="1"/>
      <c r="HV936" s="1"/>
      <c r="HW936" s="1"/>
      <c r="HX936" s="1"/>
      <c r="HY936" s="1"/>
      <c r="HZ936" s="1"/>
      <c r="IA936" s="1"/>
      <c r="IB936" s="1"/>
      <c r="IC936" s="1"/>
      <c r="ID936" s="1"/>
      <c r="IE936" s="1"/>
      <c r="IF936" s="1"/>
      <c r="IG936" s="1"/>
      <c r="IH936" s="1"/>
      <c r="II936" s="1"/>
      <c r="IJ936" s="1"/>
      <c r="IK936" s="1"/>
      <c r="IL936" s="1"/>
      <c r="IM936" s="1"/>
      <c r="IN936" s="1"/>
      <c r="IO936" s="1"/>
      <c r="IP936" s="1"/>
      <c r="IQ936" s="1"/>
      <c r="IR936" s="1"/>
      <c r="IS936" s="1"/>
      <c r="IT936" s="1"/>
      <c r="IU936" s="1"/>
      <c r="IV936" s="1"/>
      <c r="IW936" s="1"/>
      <c r="IX936" s="1"/>
      <c r="IY936" s="1"/>
      <c r="IZ936" s="1"/>
      <c r="JA936" s="1"/>
      <c r="JB936" s="1"/>
      <c r="JC936" s="1"/>
      <c r="JD936" s="1"/>
    </row>
    <row r="937" spans="1:264" s="411" customFormat="1" x14ac:dyDescent="0.2">
      <c r="A937" s="411" t="s">
        <v>657</v>
      </c>
      <c r="B937" s="423"/>
      <c r="BH937" s="508"/>
      <c r="BI937" s="508"/>
      <c r="BJ937" s="508"/>
      <c r="BK937" s="423"/>
      <c r="BL937" s="508"/>
      <c r="BM937" s="508"/>
      <c r="BN937" s="508"/>
      <c r="BO937" s="423"/>
      <c r="BP937" s="397"/>
      <c r="BQ937" s="397"/>
      <c r="BR937" s="508"/>
      <c r="BT937" s="508"/>
      <c r="BU937" s="508"/>
      <c r="BV937" s="508"/>
      <c r="BX937" s="524">
        <v>79</v>
      </c>
      <c r="BY937" s="454">
        <f>BZ937-BX937</f>
        <v>106</v>
      </c>
      <c r="BZ937" s="719">
        <f>185</f>
        <v>185</v>
      </c>
      <c r="CB937" s="524">
        <v>273</v>
      </c>
      <c r="CC937" s="524">
        <v>224</v>
      </c>
      <c r="CD937" s="508">
        <f>SUM(CB937:CC937)</f>
        <v>497</v>
      </c>
      <c r="CF937" s="524">
        <v>261</v>
      </c>
      <c r="CG937" s="524">
        <v>224</v>
      </c>
      <c r="CH937" s="508">
        <f>SUM(CF937:CG937)</f>
        <v>485</v>
      </c>
      <c r="CJ937" s="524">
        <f>138+14</f>
        <v>152</v>
      </c>
      <c r="CK937" s="524">
        <f>15+15</f>
        <v>30</v>
      </c>
      <c r="CL937" s="508">
        <f>SUM(CJ937:CK937)</f>
        <v>182</v>
      </c>
      <c r="CN937" s="524">
        <f>89+10</f>
        <v>99</v>
      </c>
      <c r="CO937" s="524">
        <v>49</v>
      </c>
      <c r="CP937" s="508">
        <f>SUM(CN937:CO937)</f>
        <v>148</v>
      </c>
      <c r="CR937" s="524">
        <v>100</v>
      </c>
      <c r="CS937" s="524">
        <v>13</v>
      </c>
      <c r="CT937" s="508">
        <f>SUM(CR937:CS937)</f>
        <v>113</v>
      </c>
      <c r="CV937" s="524">
        <v>10</v>
      </c>
      <c r="CW937" s="524">
        <v>8</v>
      </c>
      <c r="CX937" s="508">
        <f>SUM(CV937:CW937)</f>
        <v>18</v>
      </c>
      <c r="CZ937" s="524">
        <v>5</v>
      </c>
      <c r="DA937" s="524">
        <v>6</v>
      </c>
      <c r="DB937" s="508">
        <f>SUM(CZ937:DA937)</f>
        <v>11</v>
      </c>
      <c r="DD937" s="524">
        <v>1</v>
      </c>
      <c r="DE937" s="524">
        <v>0</v>
      </c>
      <c r="DF937" s="508">
        <f>SUM(DD937:DE937)</f>
        <v>1</v>
      </c>
      <c r="DH937" s="524">
        <v>0</v>
      </c>
      <c r="DI937" s="397">
        <f>SUM(DI931:DI936)</f>
        <v>0</v>
      </c>
      <c r="DJ937" s="397">
        <f>SUM(DH937:DI937)</f>
        <v>0</v>
      </c>
      <c r="DL937" s="397">
        <f>SUM(DL931:DL936)</f>
        <v>0</v>
      </c>
      <c r="DM937" s="397">
        <f>SUM(DM931:DM936)</f>
        <v>0</v>
      </c>
      <c r="DN937" s="397">
        <f>SUM(DL937:DM937)</f>
        <v>0</v>
      </c>
      <c r="DP937" s="397">
        <f>SUM(DP931:DP936)</f>
        <v>0</v>
      </c>
      <c r="DQ937" s="397">
        <f>SUM(DQ931:DQ936)</f>
        <v>0</v>
      </c>
      <c r="DR937" s="397">
        <f>SUM(DP937:DQ937)</f>
        <v>0</v>
      </c>
      <c r="DT937" s="451"/>
      <c r="DU937" s="451"/>
      <c r="DV937" s="451"/>
      <c r="DW937" s="451"/>
      <c r="DX937" s="451"/>
      <c r="DY937" s="451"/>
      <c r="DZ937" s="451"/>
      <c r="EA937" s="451"/>
      <c r="EB937" s="451"/>
      <c r="EC937" s="451"/>
      <c r="ED937" s="451"/>
      <c r="EE937" s="451"/>
      <c r="EF937" s="451"/>
      <c r="EG937" s="451"/>
      <c r="EH937" s="451"/>
      <c r="EI937" s="451"/>
      <c r="EJ937" s="451"/>
      <c r="EK937" s="451"/>
      <c r="EL937" s="451"/>
      <c r="EM937" s="451"/>
      <c r="EN937" s="451"/>
      <c r="EO937" s="451"/>
      <c r="EP937" s="451"/>
      <c r="EQ937" s="451"/>
      <c r="ER937" s="451"/>
      <c r="ES937" s="451"/>
      <c r="ET937" s="451"/>
      <c r="EU937" s="451"/>
      <c r="EV937" s="451"/>
      <c r="EW937" s="451"/>
      <c r="EX937" s="451"/>
      <c r="EY937" s="451"/>
      <c r="EZ937" s="451"/>
      <c r="FA937" s="451"/>
      <c r="FB937" s="451"/>
      <c r="FC937" s="451"/>
      <c r="FD937" s="451"/>
      <c r="FE937" s="451"/>
      <c r="FF937" s="451"/>
      <c r="FG937" s="451"/>
      <c r="FH937" s="451"/>
      <c r="FI937" s="451"/>
      <c r="FJ937" s="451"/>
      <c r="FK937" s="451"/>
      <c r="FL937" s="451"/>
      <c r="FM937" s="451"/>
      <c r="FN937" s="451"/>
      <c r="FO937" s="451"/>
      <c r="FP937" s="451"/>
      <c r="FQ937" s="451"/>
      <c r="FR937" s="451"/>
      <c r="FS937" s="451"/>
      <c r="FT937" s="451"/>
      <c r="FU937" s="451"/>
      <c r="FV937" s="451"/>
      <c r="FW937" s="451"/>
      <c r="FX937" s="451"/>
      <c r="FY937" s="451"/>
      <c r="FZ937" s="451"/>
      <c r="GA937" s="451"/>
      <c r="GB937" s="451"/>
      <c r="GC937" s="451"/>
      <c r="GD937" s="451"/>
      <c r="GE937" s="451"/>
      <c r="GF937" s="451"/>
      <c r="GG937" s="451"/>
      <c r="GH937" s="451"/>
      <c r="GI937" s="451"/>
      <c r="GJ937" s="451"/>
      <c r="GK937" s="451"/>
      <c r="GL937" s="451"/>
      <c r="GM937" s="451"/>
      <c r="GN937" s="451"/>
      <c r="GO937" s="451"/>
      <c r="GP937" s="451"/>
      <c r="GQ937" s="451"/>
      <c r="GR937" s="451"/>
      <c r="GS937" s="451"/>
      <c r="GT937" s="451"/>
      <c r="GU937" s="451"/>
      <c r="GV937" s="451"/>
      <c r="GW937" s="451"/>
      <c r="GX937" s="451"/>
      <c r="GY937" s="451"/>
      <c r="GZ937" s="451"/>
      <c r="HA937" s="451"/>
      <c r="HB937" s="451"/>
      <c r="HC937" s="451"/>
      <c r="HD937" s="451"/>
      <c r="HE937" s="451"/>
      <c r="HF937" s="451"/>
      <c r="HG937" s="451"/>
      <c r="HH937" s="451"/>
      <c r="HI937" s="451"/>
      <c r="HJ937" s="451"/>
      <c r="HK937" s="451"/>
      <c r="HL937" s="451"/>
      <c r="HM937" s="451"/>
      <c r="HN937" s="451"/>
      <c r="HO937" s="451"/>
      <c r="HP937" s="451"/>
      <c r="HQ937" s="451"/>
      <c r="HR937" s="451"/>
      <c r="HS937" s="451"/>
      <c r="HT937" s="451"/>
      <c r="HU937" s="451"/>
      <c r="HV937" s="451"/>
      <c r="HW937" s="451"/>
      <c r="HX937" s="451"/>
      <c r="HY937" s="451"/>
      <c r="HZ937" s="451"/>
      <c r="IA937" s="451"/>
      <c r="IB937" s="451"/>
      <c r="IC937" s="451"/>
      <c r="ID937" s="451"/>
      <c r="IE937" s="451"/>
      <c r="IF937" s="451"/>
      <c r="IG937" s="451"/>
      <c r="IH937" s="451"/>
      <c r="II937" s="451"/>
      <c r="IJ937" s="451"/>
      <c r="IK937" s="451"/>
      <c r="IL937" s="451"/>
      <c r="IM937" s="451"/>
      <c r="IN937" s="451"/>
      <c r="IO937" s="451"/>
      <c r="IP937" s="451"/>
      <c r="IQ937" s="451"/>
      <c r="IR937" s="451"/>
      <c r="IS937" s="451"/>
      <c r="IT937" s="451"/>
      <c r="IU937" s="451"/>
      <c r="IV937" s="451"/>
      <c r="IW937" s="451"/>
      <c r="IX937" s="451"/>
      <c r="IY937" s="451"/>
      <c r="IZ937" s="451"/>
      <c r="JA937" s="451"/>
      <c r="JB937" s="451"/>
      <c r="JC937" s="451"/>
      <c r="JD937" s="451"/>
    </row>
    <row r="938" spans="1:264" s="347" customFormat="1" x14ac:dyDescent="0.2">
      <c r="B938" s="348"/>
      <c r="BH938" s="348"/>
      <c r="BI938" s="348"/>
      <c r="BJ938" s="348"/>
      <c r="BK938" s="348"/>
      <c r="BL938" s="348"/>
      <c r="BM938" s="348"/>
      <c r="BN938" s="348"/>
      <c r="BO938" s="348"/>
      <c r="BP938" s="348"/>
      <c r="BT938" s="348"/>
      <c r="BX938" s="348"/>
      <c r="CB938" s="348"/>
      <c r="CF938" s="348"/>
      <c r="CJ938" s="348"/>
      <c r="CL938" s="400"/>
      <c r="CN938" s="348"/>
      <c r="CR938" s="348"/>
      <c r="CV938" s="348"/>
      <c r="CZ938" s="348"/>
      <c r="DD938" s="348"/>
      <c r="DH938" s="348"/>
      <c r="DL938" s="348"/>
      <c r="DP938" s="348"/>
      <c r="DT938" s="1"/>
      <c r="DU938" s="1"/>
      <c r="DV938" s="1"/>
      <c r="DW938" s="1"/>
      <c r="DX938" s="1"/>
      <c r="DY938" s="1"/>
      <c r="DZ938" s="1"/>
      <c r="EA938" s="1"/>
      <c r="EB938" s="1"/>
      <c r="EC938" s="1"/>
      <c r="ED938" s="1"/>
      <c r="EE938" s="1"/>
      <c r="EF938" s="1"/>
      <c r="EG938" s="1"/>
      <c r="EH938" s="1"/>
      <c r="EI938" s="1"/>
      <c r="EJ938" s="1"/>
      <c r="EK938" s="1"/>
      <c r="EL938" s="1"/>
      <c r="EM938" s="1"/>
      <c r="EN938" s="1"/>
      <c r="EO938" s="1"/>
      <c r="EP938" s="1"/>
      <c r="EQ938" s="1"/>
      <c r="ER938" s="1"/>
      <c r="ES938" s="1"/>
      <c r="ET938" s="1"/>
      <c r="EU938" s="1"/>
      <c r="EV938" s="1"/>
      <c r="EW938" s="1"/>
      <c r="EX938" s="1"/>
      <c r="EY938" s="1"/>
      <c r="EZ938" s="1"/>
      <c r="FA938" s="1"/>
      <c r="FB938" s="1"/>
      <c r="FC938" s="1"/>
      <c r="FD938" s="1"/>
      <c r="FE938" s="1"/>
      <c r="FF938" s="1"/>
      <c r="FG938" s="1"/>
      <c r="FH938" s="1"/>
      <c r="FI938" s="1"/>
      <c r="FJ938" s="1"/>
      <c r="FK938" s="1"/>
      <c r="FL938" s="1"/>
      <c r="FM938" s="1"/>
      <c r="FN938" s="1"/>
      <c r="FO938" s="1"/>
      <c r="FP938" s="1"/>
      <c r="FQ938" s="1"/>
      <c r="FR938" s="1"/>
      <c r="FS938" s="1"/>
      <c r="FT938" s="1"/>
      <c r="FU938" s="1"/>
      <c r="FV938" s="1"/>
      <c r="FW938" s="1"/>
      <c r="FX938" s="1"/>
      <c r="FY938" s="1"/>
      <c r="FZ938" s="1"/>
      <c r="GA938" s="1"/>
      <c r="GB938" s="1"/>
      <c r="GC938" s="1"/>
      <c r="GD938" s="1"/>
      <c r="GE938" s="1"/>
      <c r="GF938" s="1"/>
      <c r="GG938" s="1"/>
      <c r="GH938" s="1"/>
      <c r="GI938" s="1"/>
      <c r="GJ938" s="1"/>
      <c r="GK938" s="1"/>
      <c r="GL938" s="1"/>
      <c r="GM938" s="1"/>
      <c r="GN938" s="1"/>
      <c r="GO938" s="1"/>
      <c r="GP938" s="1"/>
      <c r="GQ938" s="1"/>
      <c r="GR938" s="1"/>
      <c r="GS938" s="1"/>
      <c r="GT938" s="1"/>
      <c r="GU938" s="1"/>
      <c r="GV938" s="1"/>
      <c r="GW938" s="1"/>
      <c r="GX938" s="1"/>
      <c r="GY938" s="1"/>
      <c r="GZ938" s="1"/>
      <c r="HA938" s="1"/>
      <c r="HB938" s="1"/>
      <c r="HC938" s="1"/>
      <c r="HD938" s="1"/>
      <c r="HE938" s="1"/>
      <c r="HF938" s="1"/>
      <c r="HG938" s="1"/>
      <c r="HH938" s="1"/>
      <c r="HI938" s="1"/>
      <c r="HJ938" s="1"/>
      <c r="HK938" s="1"/>
      <c r="HL938" s="1"/>
      <c r="HM938" s="1"/>
      <c r="HN938" s="1"/>
      <c r="HO938" s="1"/>
      <c r="HP938" s="1"/>
      <c r="HQ938" s="1"/>
      <c r="HR938" s="1"/>
      <c r="HS938" s="1"/>
      <c r="HT938" s="1"/>
      <c r="HU938" s="1"/>
      <c r="HV938" s="1"/>
      <c r="HW938" s="1"/>
      <c r="HX938" s="1"/>
      <c r="HY938" s="1"/>
      <c r="HZ938" s="1"/>
      <c r="IA938" s="1"/>
      <c r="IB938" s="1"/>
      <c r="IC938" s="1"/>
      <c r="ID938" s="1"/>
      <c r="IE938" s="1"/>
      <c r="IF938" s="1"/>
      <c r="IG938" s="1"/>
      <c r="IH938" s="1"/>
      <c r="II938" s="1"/>
      <c r="IJ938" s="1"/>
      <c r="IK938" s="1"/>
      <c r="IL938" s="1"/>
      <c r="IM938" s="1"/>
      <c r="IN938" s="1"/>
      <c r="IO938" s="1"/>
      <c r="IP938" s="1"/>
      <c r="IQ938" s="1"/>
      <c r="IR938" s="1"/>
      <c r="IS938" s="1"/>
      <c r="IT938" s="1"/>
      <c r="IU938" s="1"/>
      <c r="IV938" s="1"/>
      <c r="IW938" s="1"/>
      <c r="IX938" s="1"/>
      <c r="IY938" s="1"/>
      <c r="IZ938" s="1"/>
      <c r="JA938" s="1"/>
      <c r="JB938" s="1"/>
      <c r="JC938" s="1"/>
      <c r="JD938" s="1"/>
    </row>
    <row r="939" spans="1:264" s="386" customFormat="1" x14ac:dyDescent="0.2">
      <c r="A939" s="383" t="s">
        <v>658</v>
      </c>
      <c r="B939" s="384"/>
      <c r="C939" s="385"/>
      <c r="D939" s="385"/>
      <c r="E939" s="385"/>
      <c r="F939" s="385"/>
      <c r="G939" s="385"/>
      <c r="H939" s="385"/>
      <c r="I939" s="385"/>
      <c r="J939" s="385"/>
      <c r="K939" s="385"/>
      <c r="L939" s="385"/>
      <c r="M939" s="385"/>
      <c r="N939" s="385"/>
      <c r="O939" s="385"/>
      <c r="P939" s="385"/>
      <c r="Q939" s="385"/>
      <c r="R939" s="385"/>
      <c r="S939" s="385"/>
      <c r="T939" s="385"/>
      <c r="U939" s="385"/>
      <c r="V939" s="385"/>
      <c r="W939" s="385"/>
      <c r="X939" s="385"/>
      <c r="Y939" s="385"/>
      <c r="Z939" s="385"/>
      <c r="AA939" s="385"/>
      <c r="AB939" s="385"/>
      <c r="AC939" s="385"/>
      <c r="AD939" s="385"/>
      <c r="AE939" s="385"/>
      <c r="AF939" s="385"/>
      <c r="AG939" s="385"/>
      <c r="AH939" s="385"/>
      <c r="AI939" s="385"/>
      <c r="AJ939" s="385"/>
      <c r="AK939" s="385"/>
      <c r="AL939" s="385"/>
      <c r="AM939" s="385"/>
      <c r="AN939" s="385"/>
      <c r="AO939" s="385"/>
      <c r="AP939" s="385"/>
      <c r="AQ939" s="385"/>
      <c r="AR939" s="385"/>
      <c r="AS939" s="385"/>
      <c r="AT939" s="385"/>
      <c r="AU939" s="385"/>
      <c r="AV939" s="385"/>
      <c r="AW939" s="385"/>
      <c r="AX939" s="385"/>
      <c r="AY939" s="385"/>
      <c r="AZ939" s="385"/>
      <c r="BA939" s="385"/>
      <c r="BB939" s="385"/>
      <c r="BC939" s="385"/>
      <c r="BD939" s="385"/>
      <c r="BE939" s="385"/>
      <c r="BF939" s="385"/>
      <c r="BG939" s="385"/>
      <c r="BH939" s="384"/>
      <c r="BI939" s="384"/>
      <c r="BJ939" s="384"/>
      <c r="BK939" s="384"/>
      <c r="BL939" s="384"/>
      <c r="BM939" s="384"/>
      <c r="BN939" s="384"/>
      <c r="BO939" s="384"/>
      <c r="BP939" s="384"/>
      <c r="BQ939" s="385"/>
      <c r="BR939" s="385"/>
      <c r="BS939" s="385"/>
      <c r="BT939" s="384"/>
      <c r="BU939" s="385"/>
      <c r="BV939" s="385"/>
      <c r="BW939" s="385"/>
      <c r="BX939" s="384"/>
      <c r="BY939" s="385"/>
      <c r="BZ939" s="385"/>
      <c r="CA939" s="385"/>
      <c r="CB939" s="384"/>
      <c r="CC939" s="385"/>
      <c r="CD939" s="385"/>
      <c r="CE939" s="385"/>
      <c r="CF939" s="384"/>
      <c r="CG939" s="385"/>
      <c r="CH939" s="385"/>
      <c r="CI939" s="385"/>
      <c r="CJ939" s="384"/>
      <c r="CK939" s="385"/>
      <c r="CL939" s="385"/>
      <c r="CM939" s="385"/>
      <c r="CN939" s="384"/>
      <c r="CO939" s="385"/>
      <c r="CP939" s="385"/>
      <c r="CQ939" s="385"/>
      <c r="CR939" s="384"/>
      <c r="CS939" s="385"/>
      <c r="CT939" s="385"/>
      <c r="CU939" s="385"/>
      <c r="CV939" s="384"/>
      <c r="CW939" s="385"/>
      <c r="CX939" s="385"/>
      <c r="CY939" s="385"/>
      <c r="CZ939" s="384"/>
      <c r="DA939" s="385"/>
      <c r="DB939" s="385"/>
      <c r="DC939" s="385"/>
      <c r="DD939" s="384"/>
      <c r="DE939" s="385"/>
      <c r="DF939" s="385"/>
      <c r="DG939" s="385"/>
      <c r="DH939" s="384"/>
      <c r="DI939" s="385"/>
      <c r="DJ939" s="385"/>
      <c r="DK939" s="385"/>
      <c r="DL939" s="384"/>
      <c r="DM939" s="385"/>
      <c r="DN939" s="385"/>
      <c r="DO939" s="385"/>
      <c r="DP939" s="384"/>
      <c r="DQ939" s="385"/>
      <c r="DR939" s="385"/>
      <c r="DS939" s="385"/>
      <c r="DT939" s="1"/>
      <c r="DU939" s="1"/>
      <c r="DV939" s="1"/>
      <c r="DW939" s="1"/>
      <c r="DX939" s="1"/>
      <c r="DY939" s="1"/>
      <c r="DZ939" s="1"/>
      <c r="EA939" s="1"/>
      <c r="EB939" s="1"/>
      <c r="EC939" s="1"/>
      <c r="ED939" s="1"/>
      <c r="EE939" s="1"/>
      <c r="EF939" s="1"/>
      <c r="EG939" s="1"/>
      <c r="EH939" s="1"/>
      <c r="EI939" s="1"/>
      <c r="EJ939" s="1"/>
      <c r="EK939" s="1"/>
      <c r="EL939" s="1"/>
      <c r="EM939" s="1"/>
      <c r="EN939" s="1"/>
      <c r="EO939" s="1"/>
      <c r="EP939" s="1"/>
      <c r="EQ939" s="1"/>
      <c r="ER939" s="1"/>
      <c r="ES939" s="1"/>
      <c r="ET939" s="1"/>
      <c r="EU939" s="1"/>
      <c r="EV939" s="1"/>
      <c r="EW939" s="1"/>
      <c r="EX939" s="1"/>
      <c r="EY939" s="1"/>
      <c r="EZ939" s="1"/>
      <c r="FA939" s="1"/>
      <c r="FB939" s="1"/>
      <c r="FC939" s="1"/>
      <c r="FD939" s="1"/>
      <c r="FE939" s="1"/>
      <c r="FF939" s="1"/>
      <c r="FG939" s="1"/>
      <c r="FH939" s="1"/>
      <c r="FI939" s="1"/>
      <c r="FJ939" s="1"/>
      <c r="FK939" s="1"/>
      <c r="FL939" s="1"/>
      <c r="FM939" s="1"/>
      <c r="FN939" s="1"/>
      <c r="FO939" s="1"/>
      <c r="FP939" s="1"/>
      <c r="FQ939" s="1"/>
      <c r="FR939" s="1"/>
      <c r="FS939" s="1"/>
      <c r="FT939" s="1"/>
      <c r="FU939" s="1"/>
      <c r="FV939" s="1"/>
      <c r="FW939" s="1"/>
      <c r="FX939" s="1"/>
      <c r="FY939" s="1"/>
      <c r="FZ939" s="1"/>
      <c r="GA939" s="1"/>
      <c r="GB939" s="1"/>
      <c r="GC939" s="1"/>
      <c r="GD939" s="1"/>
      <c r="GE939" s="1"/>
      <c r="GF939" s="1"/>
      <c r="GG939" s="1"/>
      <c r="GH939" s="1"/>
      <c r="GI939" s="1"/>
      <c r="GJ939" s="1"/>
      <c r="GK939" s="1"/>
      <c r="GL939" s="1"/>
      <c r="GM939" s="1"/>
      <c r="GN939" s="1"/>
      <c r="GO939" s="1"/>
      <c r="GP939" s="1"/>
      <c r="GQ939" s="1"/>
      <c r="GR939" s="1"/>
      <c r="GS939" s="1"/>
      <c r="GT939" s="1"/>
      <c r="GU939" s="1"/>
      <c r="GV939" s="1"/>
      <c r="GW939" s="1"/>
      <c r="GX939" s="1"/>
      <c r="GY939" s="1"/>
      <c r="GZ939" s="1"/>
      <c r="HA939" s="1"/>
      <c r="HB939" s="1"/>
      <c r="HC939" s="1"/>
      <c r="HD939" s="1"/>
      <c r="HE939" s="1"/>
      <c r="HF939" s="1"/>
      <c r="HG939" s="1"/>
      <c r="HH939" s="1"/>
      <c r="HI939" s="1"/>
      <c r="HJ939" s="1"/>
      <c r="HK939" s="1"/>
      <c r="HL939" s="1"/>
      <c r="HM939" s="1"/>
      <c r="HN939" s="1"/>
      <c r="HO939" s="1"/>
      <c r="HP939" s="1"/>
      <c r="HQ939" s="1"/>
      <c r="HR939" s="1"/>
      <c r="HS939" s="1"/>
      <c r="HT939" s="1"/>
      <c r="HU939" s="1"/>
      <c r="HV939" s="1"/>
      <c r="HW939" s="1"/>
      <c r="HX939" s="1"/>
      <c r="HY939" s="1"/>
      <c r="HZ939" s="1"/>
      <c r="IA939" s="1"/>
      <c r="IB939" s="1"/>
      <c r="IC939" s="1"/>
      <c r="ID939" s="1"/>
      <c r="IE939" s="1"/>
      <c r="IF939" s="1"/>
      <c r="IG939" s="1"/>
      <c r="IH939" s="1"/>
      <c r="II939" s="1"/>
      <c r="IJ939" s="1"/>
      <c r="IK939" s="1"/>
      <c r="IL939" s="1"/>
      <c r="IM939" s="1"/>
      <c r="IN939" s="1"/>
      <c r="IO939" s="1"/>
      <c r="IP939" s="1"/>
      <c r="IQ939" s="1"/>
      <c r="IR939" s="1"/>
      <c r="IS939" s="1"/>
      <c r="IT939" s="1"/>
      <c r="IU939" s="1"/>
      <c r="IV939" s="1"/>
      <c r="IW939" s="1"/>
      <c r="IX939" s="1"/>
      <c r="IY939" s="1"/>
      <c r="IZ939" s="1"/>
      <c r="JA939" s="1"/>
      <c r="JB939" s="1"/>
      <c r="JC939" s="1"/>
      <c r="JD939" s="1"/>
    </row>
    <row r="940" spans="1:264" s="347" customFormat="1" x14ac:dyDescent="0.2">
      <c r="B940" s="348"/>
      <c r="BH940" s="348"/>
      <c r="BI940" s="348"/>
      <c r="BJ940" s="348"/>
      <c r="BK940" s="348"/>
      <c r="BL940" s="348"/>
      <c r="BM940" s="348"/>
      <c r="BN940" s="348"/>
      <c r="BO940" s="348"/>
      <c r="BP940" s="348"/>
      <c r="BT940" s="348"/>
      <c r="BX940" s="348"/>
      <c r="CB940" s="348"/>
      <c r="CF940" s="348"/>
      <c r="CJ940" s="348"/>
      <c r="CN940" s="348"/>
      <c r="CR940" s="348"/>
      <c r="CV940" s="348"/>
      <c r="CZ940" s="348"/>
      <c r="DD940" s="348"/>
      <c r="DH940" s="348"/>
      <c r="DL940" s="348"/>
      <c r="DP940" s="348"/>
      <c r="DT940" s="1"/>
      <c r="DU940" s="1"/>
      <c r="DV940" s="1"/>
      <c r="DW940" s="1"/>
      <c r="DX940" s="1"/>
      <c r="DY940" s="1"/>
      <c r="DZ940" s="1"/>
      <c r="EA940" s="1"/>
      <c r="EB940" s="1"/>
      <c r="EC940" s="1"/>
      <c r="ED940" s="1"/>
      <c r="EE940" s="1"/>
      <c r="EF940" s="1"/>
      <c r="EG940" s="1"/>
      <c r="EH940" s="1"/>
      <c r="EI940" s="1"/>
      <c r="EJ940" s="1"/>
      <c r="EK940" s="1"/>
      <c r="EL940" s="1"/>
      <c r="EM940" s="1"/>
      <c r="EN940" s="1"/>
      <c r="EO940" s="1"/>
      <c r="EP940" s="1"/>
      <c r="EQ940" s="1"/>
      <c r="ER940" s="1"/>
      <c r="ES940" s="1"/>
      <c r="ET940" s="1"/>
      <c r="EU940" s="1"/>
      <c r="EV940" s="1"/>
      <c r="EW940" s="1"/>
      <c r="EX940" s="1"/>
      <c r="EY940" s="1"/>
      <c r="EZ940" s="1"/>
      <c r="FA940" s="1"/>
      <c r="FB940" s="1"/>
      <c r="FC940" s="1"/>
      <c r="FD940" s="1"/>
      <c r="FE940" s="1"/>
      <c r="FF940" s="1"/>
      <c r="FG940" s="1"/>
      <c r="FH940" s="1"/>
      <c r="FI940" s="1"/>
      <c r="FJ940" s="1"/>
      <c r="FK940" s="1"/>
      <c r="FL940" s="1"/>
      <c r="FM940" s="1"/>
      <c r="FN940" s="1"/>
      <c r="FO940" s="1"/>
      <c r="FP940" s="1"/>
      <c r="FQ940" s="1"/>
      <c r="FR940" s="1"/>
      <c r="FS940" s="1"/>
      <c r="FT940" s="1"/>
      <c r="FU940" s="1"/>
      <c r="FV940" s="1"/>
      <c r="FW940" s="1"/>
      <c r="FX940" s="1"/>
      <c r="FY940" s="1"/>
      <c r="FZ940" s="1"/>
      <c r="GA940" s="1"/>
      <c r="GB940" s="1"/>
      <c r="GC940" s="1"/>
      <c r="GD940" s="1"/>
      <c r="GE940" s="1"/>
      <c r="GF940" s="1"/>
      <c r="GG940" s="1"/>
      <c r="GH940" s="1"/>
      <c r="GI940" s="1"/>
      <c r="GJ940" s="1"/>
      <c r="GK940" s="1"/>
      <c r="GL940" s="1"/>
      <c r="GM940" s="1"/>
      <c r="GN940" s="1"/>
      <c r="GO940" s="1"/>
      <c r="GP940" s="1"/>
      <c r="GQ940" s="1"/>
      <c r="GR940" s="1"/>
      <c r="GS940" s="1"/>
      <c r="GT940" s="1"/>
      <c r="GU940" s="1"/>
      <c r="GV940" s="1"/>
      <c r="GW940" s="1"/>
      <c r="GX940" s="1"/>
      <c r="GY940" s="1"/>
      <c r="GZ940" s="1"/>
      <c r="HA940" s="1"/>
      <c r="HB940" s="1"/>
      <c r="HC940" s="1"/>
      <c r="HD940" s="1"/>
      <c r="HE940" s="1"/>
      <c r="HF940" s="1"/>
      <c r="HG940" s="1"/>
      <c r="HH940" s="1"/>
      <c r="HI940" s="1"/>
      <c r="HJ940" s="1"/>
      <c r="HK940" s="1"/>
      <c r="HL940" s="1"/>
      <c r="HM940" s="1"/>
      <c r="HN940" s="1"/>
      <c r="HO940" s="1"/>
      <c r="HP940" s="1"/>
      <c r="HQ940" s="1"/>
      <c r="HR940" s="1"/>
      <c r="HS940" s="1"/>
      <c r="HT940" s="1"/>
      <c r="HU940" s="1"/>
      <c r="HV940" s="1"/>
      <c r="HW940" s="1"/>
      <c r="HX940" s="1"/>
      <c r="HY940" s="1"/>
      <c r="HZ940" s="1"/>
      <c r="IA940" s="1"/>
      <c r="IB940" s="1"/>
      <c r="IC940" s="1"/>
      <c r="ID940" s="1"/>
      <c r="IE940" s="1"/>
      <c r="IF940" s="1"/>
      <c r="IG940" s="1"/>
      <c r="IH940" s="1"/>
      <c r="II940" s="1"/>
      <c r="IJ940" s="1"/>
      <c r="IK940" s="1"/>
      <c r="IL940" s="1"/>
      <c r="IM940" s="1"/>
      <c r="IN940" s="1"/>
      <c r="IO940" s="1"/>
      <c r="IP940" s="1"/>
      <c r="IQ940" s="1"/>
      <c r="IR940" s="1"/>
      <c r="IS940" s="1"/>
      <c r="IT940" s="1"/>
      <c r="IU940" s="1"/>
      <c r="IV940" s="1"/>
      <c r="IW940" s="1"/>
      <c r="IX940" s="1"/>
      <c r="IY940" s="1"/>
      <c r="IZ940" s="1"/>
      <c r="JA940" s="1"/>
      <c r="JB940" s="1"/>
      <c r="JC940" s="1"/>
      <c r="JD940" s="1"/>
    </row>
    <row r="941" spans="1:264" s="347" customFormat="1" x14ac:dyDescent="0.2">
      <c r="A941" s="347" t="s">
        <v>659</v>
      </c>
      <c r="B941" s="348"/>
      <c r="BH941" s="398">
        <v>26126</v>
      </c>
      <c r="BI941" s="398">
        <v>26323</v>
      </c>
      <c r="BJ941" s="351">
        <f>BI941</f>
        <v>26323</v>
      </c>
      <c r="BK941" s="348"/>
      <c r="BL941" s="398">
        <v>26327</v>
      </c>
      <c r="BM941" s="398">
        <v>27036</v>
      </c>
      <c r="BN941" s="351">
        <f>BM941</f>
        <v>27036</v>
      </c>
      <c r="BO941" s="348"/>
      <c r="BP941" s="398">
        <v>27039</v>
      </c>
      <c r="BQ941" s="398">
        <v>27619</v>
      </c>
      <c r="BR941" s="351">
        <f>BQ941</f>
        <v>27619</v>
      </c>
      <c r="BT941" s="398">
        <v>33252</v>
      </c>
      <c r="BU941" s="398">
        <v>33845</v>
      </c>
      <c r="BV941" s="351">
        <f>BU941</f>
        <v>33845</v>
      </c>
      <c r="BX941" s="398">
        <v>34455</v>
      </c>
      <c r="BY941" s="398">
        <v>34971</v>
      </c>
      <c r="BZ941" s="351">
        <f>BY941</f>
        <v>34971</v>
      </c>
      <c r="CB941" s="398">
        <v>36776</v>
      </c>
      <c r="CC941" s="398">
        <v>37270</v>
      </c>
      <c r="CD941" s="351">
        <f>CC941</f>
        <v>37270</v>
      </c>
      <c r="CF941" s="398">
        <v>38015</v>
      </c>
      <c r="CG941" s="398">
        <v>38020</v>
      </c>
      <c r="CH941" s="351">
        <f>CG941</f>
        <v>38020</v>
      </c>
      <c r="CJ941" s="398">
        <v>38126</v>
      </c>
      <c r="CK941" s="398">
        <v>38131</v>
      </c>
      <c r="CL941" s="351">
        <f>CK941</f>
        <v>38131</v>
      </c>
      <c r="CN941" s="398">
        <v>38417</v>
      </c>
      <c r="CO941" s="398">
        <v>38420</v>
      </c>
      <c r="CP941" s="351">
        <f>CO941</f>
        <v>38420</v>
      </c>
      <c r="CR941" s="398">
        <v>36949</v>
      </c>
      <c r="CS941" s="398">
        <v>36467</v>
      </c>
      <c r="CT941" s="351">
        <f>CS941</f>
        <v>36467</v>
      </c>
      <c r="CV941" s="398">
        <v>35140</v>
      </c>
      <c r="CW941" s="398">
        <v>33913</v>
      </c>
      <c r="CX941" s="351">
        <f>CW941</f>
        <v>33913</v>
      </c>
      <c r="CZ941" s="398">
        <v>33774</v>
      </c>
      <c r="DA941" s="398">
        <v>33635</v>
      </c>
      <c r="DB941" s="351">
        <f>DA941</f>
        <v>33635</v>
      </c>
      <c r="DD941" s="398">
        <v>33586</v>
      </c>
      <c r="DE941" s="398">
        <v>33560</v>
      </c>
      <c r="DF941" s="351">
        <f>DE941</f>
        <v>33560</v>
      </c>
      <c r="DH941" s="398">
        <v>33580</v>
      </c>
      <c r="DI941" s="351">
        <f>DI957</f>
        <v>33580</v>
      </c>
      <c r="DJ941" s="351">
        <f>DI941</f>
        <v>33580</v>
      </c>
      <c r="DL941" s="351">
        <f ca="1">DL957</f>
        <v>33580</v>
      </c>
      <c r="DM941" s="351">
        <f ca="1">DM957</f>
        <v>33580</v>
      </c>
      <c r="DN941" s="351">
        <f ca="1">DM941</f>
        <v>33580</v>
      </c>
      <c r="DP941" s="351">
        <f ca="1">DP957</f>
        <v>33580</v>
      </c>
      <c r="DQ941" s="351">
        <f ca="1">DQ957</f>
        <v>33580</v>
      </c>
      <c r="DR941" s="351">
        <f ca="1">DQ941</f>
        <v>33580</v>
      </c>
      <c r="DT941" s="1"/>
      <c r="DU941" s="1"/>
      <c r="DV941" s="1"/>
      <c r="DW941" s="1"/>
      <c r="DX941" s="1"/>
      <c r="DY941" s="1"/>
      <c r="DZ941" s="1"/>
      <c r="EA941" s="1"/>
      <c r="EB941" s="1"/>
      <c r="EC941" s="1"/>
      <c r="ED941" s="1"/>
      <c r="EE941" s="1"/>
      <c r="EF941" s="1"/>
      <c r="EG941" s="1"/>
      <c r="EH941" s="1"/>
      <c r="EI941" s="1"/>
      <c r="EJ941" s="1"/>
      <c r="EK941" s="1"/>
      <c r="EL941" s="1"/>
      <c r="EM941" s="1"/>
      <c r="EN941" s="1"/>
      <c r="EO941" s="1"/>
      <c r="EP941" s="1"/>
      <c r="EQ941" s="1"/>
      <c r="ER941" s="1"/>
      <c r="ES941" s="1"/>
      <c r="ET941" s="1"/>
      <c r="EU941" s="1"/>
      <c r="EV941" s="1"/>
      <c r="EW941" s="1"/>
      <c r="EX941" s="1"/>
      <c r="EY941" s="1"/>
      <c r="EZ941" s="1"/>
      <c r="FA941" s="1"/>
      <c r="FB941" s="1"/>
      <c r="FC941" s="1"/>
      <c r="FD941" s="1"/>
      <c r="FE941" s="1"/>
      <c r="FF941" s="1"/>
      <c r="FG941" s="1"/>
      <c r="FH941" s="1"/>
      <c r="FI941" s="1"/>
      <c r="FJ941" s="1"/>
      <c r="FK941" s="1"/>
      <c r="FL941" s="1"/>
      <c r="FM941" s="1"/>
      <c r="FN941" s="1"/>
      <c r="FO941" s="1"/>
      <c r="FP941" s="1"/>
      <c r="FQ941" s="1"/>
      <c r="FR941" s="1"/>
      <c r="FS941" s="1"/>
      <c r="FT941" s="1"/>
      <c r="FU941" s="1"/>
      <c r="FV941" s="1"/>
      <c r="FW941" s="1"/>
      <c r="FX941" s="1"/>
      <c r="FY941" s="1"/>
      <c r="FZ941" s="1"/>
      <c r="GA941" s="1"/>
      <c r="GB941" s="1"/>
      <c r="GC941" s="1"/>
      <c r="GD941" s="1"/>
      <c r="GE941" s="1"/>
      <c r="GF941" s="1"/>
      <c r="GG941" s="1"/>
      <c r="GH941" s="1"/>
      <c r="GI941" s="1"/>
      <c r="GJ941" s="1"/>
      <c r="GK941" s="1"/>
      <c r="GL941" s="1"/>
      <c r="GM941" s="1"/>
      <c r="GN941" s="1"/>
      <c r="GO941" s="1"/>
      <c r="GP941" s="1"/>
      <c r="GQ941" s="1"/>
      <c r="GR941" s="1"/>
      <c r="GS941" s="1"/>
      <c r="GT941" s="1"/>
      <c r="GU941" s="1"/>
      <c r="GV941" s="1"/>
      <c r="GW941" s="1"/>
      <c r="GX941" s="1"/>
      <c r="GY941" s="1"/>
      <c r="GZ941" s="1"/>
      <c r="HA941" s="1"/>
      <c r="HB941" s="1"/>
      <c r="HC941" s="1"/>
      <c r="HD941" s="1"/>
      <c r="HE941" s="1"/>
      <c r="HF941" s="1"/>
      <c r="HG941" s="1"/>
      <c r="HH941" s="1"/>
      <c r="HI941" s="1"/>
      <c r="HJ941" s="1"/>
      <c r="HK941" s="1"/>
      <c r="HL941" s="1"/>
      <c r="HM941" s="1"/>
      <c r="HN941" s="1"/>
      <c r="HO941" s="1"/>
      <c r="HP941" s="1"/>
      <c r="HQ941" s="1"/>
      <c r="HR941" s="1"/>
      <c r="HS941" s="1"/>
      <c r="HT941" s="1"/>
      <c r="HU941" s="1"/>
      <c r="HV941" s="1"/>
      <c r="HW941" s="1"/>
      <c r="HX941" s="1"/>
      <c r="HY941" s="1"/>
      <c r="HZ941" s="1"/>
      <c r="IA941" s="1"/>
      <c r="IB941" s="1"/>
      <c r="IC941" s="1"/>
      <c r="ID941" s="1"/>
      <c r="IE941" s="1"/>
      <c r="IF941" s="1"/>
      <c r="IG941" s="1"/>
      <c r="IH941" s="1"/>
      <c r="II941" s="1"/>
      <c r="IJ941" s="1"/>
      <c r="IK941" s="1"/>
      <c r="IL941" s="1"/>
      <c r="IM941" s="1"/>
      <c r="IN941" s="1"/>
      <c r="IO941" s="1"/>
      <c r="IP941" s="1"/>
      <c r="IQ941" s="1"/>
      <c r="IR941" s="1"/>
      <c r="IS941" s="1"/>
      <c r="IT941" s="1"/>
      <c r="IU941" s="1"/>
      <c r="IV941" s="1"/>
      <c r="IW941" s="1"/>
      <c r="IX941" s="1"/>
      <c r="IY941" s="1"/>
      <c r="IZ941" s="1"/>
      <c r="JA941" s="1"/>
      <c r="JB941" s="1"/>
      <c r="JC941" s="1"/>
      <c r="JD941" s="1"/>
    </row>
    <row r="942" spans="1:264" s="347" customFormat="1" x14ac:dyDescent="0.2">
      <c r="A942" s="347" t="s">
        <v>660</v>
      </c>
      <c r="B942" s="348"/>
      <c r="BH942" s="398">
        <v>1262</v>
      </c>
      <c r="BI942" s="398">
        <v>1333</v>
      </c>
      <c r="BJ942" s="351">
        <f>BI942</f>
        <v>1333</v>
      </c>
      <c r="BK942" s="348"/>
      <c r="BL942" s="398">
        <v>1780</v>
      </c>
      <c r="BM942" s="398">
        <v>2009</v>
      </c>
      <c r="BN942" s="351">
        <f>BM942</f>
        <v>2009</v>
      </c>
      <c r="BO942" s="348"/>
      <c r="BP942" s="398">
        <v>2674</v>
      </c>
      <c r="BQ942" s="398">
        <v>2345</v>
      </c>
      <c r="BR942" s="351">
        <f>BQ942</f>
        <v>2345</v>
      </c>
      <c r="BT942" s="398">
        <v>2554</v>
      </c>
      <c r="BU942" s="398">
        <v>2734</v>
      </c>
      <c r="BV942" s="351">
        <f>BU942</f>
        <v>2734</v>
      </c>
      <c r="BX942" s="398">
        <v>2144</v>
      </c>
      <c r="BY942" s="398">
        <v>1869</v>
      </c>
      <c r="BZ942" s="351">
        <f>BY942</f>
        <v>1869</v>
      </c>
      <c r="CB942" s="398">
        <v>1494</v>
      </c>
      <c r="CC942" s="398">
        <v>1676</v>
      </c>
      <c r="CD942" s="351">
        <f>CC942</f>
        <v>1676</v>
      </c>
      <c r="CF942" s="398">
        <v>2051</v>
      </c>
      <c r="CG942" s="398">
        <v>3092</v>
      </c>
      <c r="CH942" s="351">
        <f>CG942</f>
        <v>3092</v>
      </c>
      <c r="CJ942" s="398">
        <v>1910</v>
      </c>
      <c r="CK942" s="398">
        <v>2666</v>
      </c>
      <c r="CL942" s="351">
        <f>CK942</f>
        <v>2666</v>
      </c>
      <c r="CN942" s="398">
        <v>2287</v>
      </c>
      <c r="CO942" s="398">
        <v>3249</v>
      </c>
      <c r="CP942" s="351">
        <f>CO942</f>
        <v>3249</v>
      </c>
      <c r="CR942" s="398">
        <v>2848</v>
      </c>
      <c r="CS942" s="398">
        <v>-460</v>
      </c>
      <c r="CT942" s="351">
        <f>CS942</f>
        <v>-460</v>
      </c>
      <c r="CV942" s="398">
        <v>-1540</v>
      </c>
      <c r="CW942" s="398">
        <v>-2295</v>
      </c>
      <c r="CX942" s="351">
        <f>CW942</f>
        <v>-2295</v>
      </c>
      <c r="CZ942" s="398">
        <v>-1583</v>
      </c>
      <c r="DA942" s="398">
        <v>-2147</v>
      </c>
      <c r="DB942" s="351">
        <f>DA942</f>
        <v>-2147</v>
      </c>
      <c r="DD942" s="398">
        <v>-900</v>
      </c>
      <c r="DE942" s="398">
        <v>1242</v>
      </c>
      <c r="DF942" s="351">
        <f>DE942</f>
        <v>1242</v>
      </c>
      <c r="DH942" s="398">
        <v>-1367</v>
      </c>
      <c r="DI942" s="479">
        <f>DI977</f>
        <v>-1367</v>
      </c>
      <c r="DJ942" s="351">
        <f>DI942</f>
        <v>-1367</v>
      </c>
      <c r="DL942" s="479">
        <f>DL977</f>
        <v>-1367</v>
      </c>
      <c r="DM942" s="479">
        <f>DM977</f>
        <v>-1367</v>
      </c>
      <c r="DN942" s="351">
        <f>DM942</f>
        <v>-1367</v>
      </c>
      <c r="DP942" s="479">
        <f>DP977</f>
        <v>-1367</v>
      </c>
      <c r="DQ942" s="479">
        <f>DQ977</f>
        <v>-1367</v>
      </c>
      <c r="DR942" s="351">
        <f>DQ942</f>
        <v>-1367</v>
      </c>
      <c r="DT942" s="1"/>
      <c r="DU942" s="1"/>
      <c r="DV942" s="1"/>
      <c r="DW942" s="1"/>
      <c r="DX942" s="1"/>
      <c r="DY942" s="1"/>
      <c r="DZ942" s="1"/>
      <c r="EA942" s="1"/>
      <c r="EB942" s="1"/>
      <c r="EC942" s="1"/>
      <c r="ED942" s="1"/>
      <c r="EE942" s="1"/>
      <c r="EF942" s="1"/>
      <c r="EG942" s="1"/>
      <c r="EH942" s="1"/>
      <c r="EI942" s="1"/>
      <c r="EJ942" s="1"/>
      <c r="EK942" s="1"/>
      <c r="EL942" s="1"/>
      <c r="EM942" s="1"/>
      <c r="EN942" s="1"/>
      <c r="EO942" s="1"/>
      <c r="EP942" s="1"/>
      <c r="EQ942" s="1"/>
      <c r="ER942" s="1"/>
      <c r="ES942" s="1"/>
      <c r="ET942" s="1"/>
      <c r="EU942" s="1"/>
      <c r="EV942" s="1"/>
      <c r="EW942" s="1"/>
      <c r="EX942" s="1"/>
      <c r="EY942" s="1"/>
      <c r="EZ942" s="1"/>
      <c r="FA942" s="1"/>
      <c r="FB942" s="1"/>
      <c r="FC942" s="1"/>
      <c r="FD942" s="1"/>
      <c r="FE942" s="1"/>
      <c r="FF942" s="1"/>
      <c r="FG942" s="1"/>
      <c r="FH942" s="1"/>
      <c r="FI942" s="1"/>
      <c r="FJ942" s="1"/>
      <c r="FK942" s="1"/>
      <c r="FL942" s="1"/>
      <c r="FM942" s="1"/>
      <c r="FN942" s="1"/>
      <c r="FO942" s="1"/>
      <c r="FP942" s="1"/>
      <c r="FQ942" s="1"/>
      <c r="FR942" s="1"/>
      <c r="FS942" s="1"/>
      <c r="FT942" s="1"/>
      <c r="FU942" s="1"/>
      <c r="FV942" s="1"/>
      <c r="FW942" s="1"/>
      <c r="FX942" s="1"/>
      <c r="FY942" s="1"/>
      <c r="FZ942" s="1"/>
      <c r="GA942" s="1"/>
      <c r="GB942" s="1"/>
      <c r="GC942" s="1"/>
      <c r="GD942" s="1"/>
      <c r="GE942" s="1"/>
      <c r="GF942" s="1"/>
      <c r="GG942" s="1"/>
      <c r="GH942" s="1"/>
      <c r="GI942" s="1"/>
      <c r="GJ942" s="1"/>
      <c r="GK942" s="1"/>
      <c r="GL942" s="1"/>
      <c r="GM942" s="1"/>
      <c r="GN942" s="1"/>
      <c r="GO942" s="1"/>
      <c r="GP942" s="1"/>
      <c r="GQ942" s="1"/>
      <c r="GR942" s="1"/>
      <c r="GS942" s="1"/>
      <c r="GT942" s="1"/>
      <c r="GU942" s="1"/>
      <c r="GV942" s="1"/>
      <c r="GW942" s="1"/>
      <c r="GX942" s="1"/>
      <c r="GY942" s="1"/>
      <c r="GZ942" s="1"/>
      <c r="HA942" s="1"/>
      <c r="HB942" s="1"/>
      <c r="HC942" s="1"/>
      <c r="HD942" s="1"/>
      <c r="HE942" s="1"/>
      <c r="HF942" s="1"/>
      <c r="HG942" s="1"/>
      <c r="HH942" s="1"/>
      <c r="HI942" s="1"/>
      <c r="HJ942" s="1"/>
      <c r="HK942" s="1"/>
      <c r="HL942" s="1"/>
      <c r="HM942" s="1"/>
      <c r="HN942" s="1"/>
      <c r="HO942" s="1"/>
      <c r="HP942" s="1"/>
      <c r="HQ942" s="1"/>
      <c r="HR942" s="1"/>
      <c r="HS942" s="1"/>
      <c r="HT942" s="1"/>
      <c r="HU942" s="1"/>
      <c r="HV942" s="1"/>
      <c r="HW942" s="1"/>
      <c r="HX942" s="1"/>
      <c r="HY942" s="1"/>
      <c r="HZ942" s="1"/>
      <c r="IA942" s="1"/>
      <c r="IB942" s="1"/>
      <c r="IC942" s="1"/>
      <c r="ID942" s="1"/>
      <c r="IE942" s="1"/>
      <c r="IF942" s="1"/>
      <c r="IG942" s="1"/>
      <c r="IH942" s="1"/>
      <c r="II942" s="1"/>
      <c r="IJ942" s="1"/>
      <c r="IK942" s="1"/>
      <c r="IL942" s="1"/>
      <c r="IM942" s="1"/>
      <c r="IN942" s="1"/>
      <c r="IO942" s="1"/>
      <c r="IP942" s="1"/>
      <c r="IQ942" s="1"/>
      <c r="IR942" s="1"/>
      <c r="IS942" s="1"/>
      <c r="IT942" s="1"/>
      <c r="IU942" s="1"/>
      <c r="IV942" s="1"/>
      <c r="IW942" s="1"/>
      <c r="IX942" s="1"/>
      <c r="IY942" s="1"/>
      <c r="IZ942" s="1"/>
      <c r="JA942" s="1"/>
      <c r="JB942" s="1"/>
      <c r="JC942" s="1"/>
      <c r="JD942" s="1"/>
    </row>
    <row r="943" spans="1:264" s="347" customFormat="1" x14ac:dyDescent="0.2">
      <c r="A943" s="347" t="s">
        <v>661</v>
      </c>
      <c r="B943" s="348"/>
      <c r="BH943" s="398">
        <v>14489</v>
      </c>
      <c r="BI943" s="398">
        <v>16405</v>
      </c>
      <c r="BJ943" s="351">
        <f>BI943</f>
        <v>16405</v>
      </c>
      <c r="BK943" s="348"/>
      <c r="BL943" s="398">
        <v>17455</v>
      </c>
      <c r="BM943" s="398">
        <v>18827</v>
      </c>
      <c r="BN943" s="351">
        <f>BM943</f>
        <v>18827</v>
      </c>
      <c r="BO943" s="348"/>
      <c r="BP943" s="398">
        <v>19823</v>
      </c>
      <c r="BQ943" s="398">
        <v>21528</v>
      </c>
      <c r="BR943" s="351">
        <f>BQ943</f>
        <v>21528</v>
      </c>
      <c r="BT943" s="398">
        <v>22365</v>
      </c>
      <c r="BU943" s="398">
        <v>23435</v>
      </c>
      <c r="BV943" s="351">
        <f>BU943</f>
        <v>23435</v>
      </c>
      <c r="BX943" s="398">
        <v>24606</v>
      </c>
      <c r="BY943" s="398">
        <v>26274</v>
      </c>
      <c r="BZ943" s="351">
        <f>BY943</f>
        <v>26274</v>
      </c>
      <c r="CB943" s="398">
        <v>27267</v>
      </c>
      <c r="CC943" s="398">
        <v>28360</v>
      </c>
      <c r="CD943" s="351">
        <f>CC943</f>
        <v>28360</v>
      </c>
      <c r="CF943" s="398">
        <v>27959</v>
      </c>
      <c r="CG943" s="398">
        <v>28482</v>
      </c>
      <c r="CH943" s="351">
        <f>CG943</f>
        <v>28482</v>
      </c>
      <c r="CJ943" s="398">
        <v>31066</v>
      </c>
      <c r="CK943" s="398">
        <v>31136</v>
      </c>
      <c r="CL943" s="351">
        <f>CK943</f>
        <v>31136</v>
      </c>
      <c r="CN943" s="398">
        <v>34211</v>
      </c>
      <c r="CO943" s="398">
        <v>37044</v>
      </c>
      <c r="CP943" s="351">
        <f>CO943</f>
        <v>37044</v>
      </c>
      <c r="CR943" s="398">
        <v>34861</v>
      </c>
      <c r="CS943" s="398">
        <v>36826</v>
      </c>
      <c r="CT943" s="351">
        <f>CS943</f>
        <v>36826</v>
      </c>
      <c r="CV943" s="398">
        <v>38716</v>
      </c>
      <c r="CW943" s="398">
        <v>40010</v>
      </c>
      <c r="CX943" s="351">
        <f>CW943</f>
        <v>40010</v>
      </c>
      <c r="CZ943" s="398">
        <v>40643</v>
      </c>
      <c r="DA943" s="398">
        <v>41600</v>
      </c>
      <c r="DB943" s="351">
        <f>DA943</f>
        <v>41600</v>
      </c>
      <c r="DD943" s="398">
        <v>42578</v>
      </c>
      <c r="DE943" s="398">
        <v>43974</v>
      </c>
      <c r="DF943" s="351">
        <f>DE943</f>
        <v>43974</v>
      </c>
      <c r="DH943" s="398">
        <v>45019</v>
      </c>
      <c r="DI943" s="351">
        <f>DI970</f>
        <v>46711.0168495787</v>
      </c>
      <c r="DJ943" s="351">
        <f>DI943</f>
        <v>46711.0168495787</v>
      </c>
      <c r="DL943" s="351">
        <f>DL970</f>
        <v>47957.057431028938</v>
      </c>
      <c r="DM943" s="351">
        <f>DM970</f>
        <v>49483.111297174306</v>
      </c>
      <c r="DN943" s="351">
        <f>DM943</f>
        <v>49483.111297174306</v>
      </c>
      <c r="DP943" s="351">
        <f>DP970</f>
        <v>50603.391055714426</v>
      </c>
      <c r="DQ943" s="351">
        <f>DQ970</f>
        <v>52212.659927121284</v>
      </c>
      <c r="DR943" s="351">
        <f>DQ943</f>
        <v>52212.659927121284</v>
      </c>
      <c r="DT943" s="1"/>
      <c r="DU943" s="1"/>
      <c r="DV943" s="1"/>
      <c r="DW943" s="1"/>
      <c r="DX943" s="1"/>
      <c r="DY943" s="1"/>
      <c r="DZ943" s="1"/>
      <c r="EA943" s="1"/>
      <c r="EB943" s="1"/>
      <c r="EC943" s="1"/>
      <c r="ED943" s="1"/>
      <c r="EE943" s="1"/>
      <c r="EF943" s="1"/>
      <c r="EG943" s="1"/>
      <c r="EH943" s="1"/>
      <c r="EI943" s="1"/>
      <c r="EJ943" s="1"/>
      <c r="EK943" s="1"/>
      <c r="EL943" s="1"/>
      <c r="EM943" s="1"/>
      <c r="EN943" s="1"/>
      <c r="EO943" s="1"/>
      <c r="EP943" s="1"/>
      <c r="EQ943" s="1"/>
      <c r="ER943" s="1"/>
      <c r="ES943" s="1"/>
      <c r="ET943" s="1"/>
      <c r="EU943" s="1"/>
      <c r="EV943" s="1"/>
      <c r="EW943" s="1"/>
      <c r="EX943" s="1"/>
      <c r="EY943" s="1"/>
      <c r="EZ943" s="1"/>
      <c r="FA943" s="1"/>
      <c r="FB943" s="1"/>
      <c r="FC943" s="1"/>
      <c r="FD943" s="1"/>
      <c r="FE943" s="1"/>
      <c r="FF943" s="1"/>
      <c r="FG943" s="1"/>
      <c r="FH943" s="1"/>
      <c r="FI943" s="1"/>
      <c r="FJ943" s="1"/>
      <c r="FK943" s="1"/>
      <c r="FL943" s="1"/>
      <c r="FM943" s="1"/>
      <c r="FN943" s="1"/>
      <c r="FO943" s="1"/>
      <c r="FP943" s="1"/>
      <c r="FQ943" s="1"/>
      <c r="FR943" s="1"/>
      <c r="FS943" s="1"/>
      <c r="FT943" s="1"/>
      <c r="FU943" s="1"/>
      <c r="FV943" s="1"/>
      <c r="FW943" s="1"/>
      <c r="FX943" s="1"/>
      <c r="FY943" s="1"/>
      <c r="FZ943" s="1"/>
      <c r="GA943" s="1"/>
      <c r="GB943" s="1"/>
      <c r="GC943" s="1"/>
      <c r="GD943" s="1"/>
      <c r="GE943" s="1"/>
      <c r="GF943" s="1"/>
      <c r="GG943" s="1"/>
      <c r="GH943" s="1"/>
      <c r="GI943" s="1"/>
      <c r="GJ943" s="1"/>
      <c r="GK943" s="1"/>
      <c r="GL943" s="1"/>
      <c r="GM943" s="1"/>
      <c r="GN943" s="1"/>
      <c r="GO943" s="1"/>
      <c r="GP943" s="1"/>
      <c r="GQ943" s="1"/>
      <c r="GR943" s="1"/>
      <c r="GS943" s="1"/>
      <c r="GT943" s="1"/>
      <c r="GU943" s="1"/>
      <c r="GV943" s="1"/>
      <c r="GW943" s="1"/>
      <c r="GX943" s="1"/>
      <c r="GY943" s="1"/>
      <c r="GZ943" s="1"/>
      <c r="HA943" s="1"/>
      <c r="HB943" s="1"/>
      <c r="HC943" s="1"/>
      <c r="HD943" s="1"/>
      <c r="HE943" s="1"/>
      <c r="HF943" s="1"/>
      <c r="HG943" s="1"/>
      <c r="HH943" s="1"/>
      <c r="HI943" s="1"/>
      <c r="HJ943" s="1"/>
      <c r="HK943" s="1"/>
      <c r="HL943" s="1"/>
      <c r="HM943" s="1"/>
      <c r="HN943" s="1"/>
      <c r="HO943" s="1"/>
      <c r="HP943" s="1"/>
      <c r="HQ943" s="1"/>
      <c r="HR943" s="1"/>
      <c r="HS943" s="1"/>
      <c r="HT943" s="1"/>
      <c r="HU943" s="1"/>
      <c r="HV943" s="1"/>
      <c r="HW943" s="1"/>
      <c r="HX943" s="1"/>
      <c r="HY943" s="1"/>
      <c r="HZ943" s="1"/>
      <c r="IA943" s="1"/>
      <c r="IB943" s="1"/>
      <c r="IC943" s="1"/>
      <c r="ID943" s="1"/>
      <c r="IE943" s="1"/>
      <c r="IF943" s="1"/>
      <c r="IG943" s="1"/>
      <c r="IH943" s="1"/>
      <c r="II943" s="1"/>
      <c r="IJ943" s="1"/>
      <c r="IK943" s="1"/>
      <c r="IL943" s="1"/>
      <c r="IM943" s="1"/>
      <c r="IN943" s="1"/>
      <c r="IO943" s="1"/>
      <c r="IP943" s="1"/>
      <c r="IQ943" s="1"/>
      <c r="IR943" s="1"/>
      <c r="IS943" s="1"/>
      <c r="IT943" s="1"/>
      <c r="IU943" s="1"/>
      <c r="IV943" s="1"/>
      <c r="IW943" s="1"/>
      <c r="IX943" s="1"/>
      <c r="IY943" s="1"/>
      <c r="IZ943" s="1"/>
      <c r="JA943" s="1"/>
      <c r="JB943" s="1"/>
      <c r="JC943" s="1"/>
      <c r="JD943" s="1"/>
    </row>
    <row r="944" spans="1:264" s="411" customFormat="1" x14ac:dyDescent="0.2">
      <c r="A944" s="411" t="s">
        <v>662</v>
      </c>
      <c r="B944" s="423"/>
      <c r="BH944" s="397">
        <f>SUM(BH941:BH943)</f>
        <v>41877</v>
      </c>
      <c r="BI944" s="397">
        <f>SUM(BI941:BI943)</f>
        <v>44061</v>
      </c>
      <c r="BJ944" s="397">
        <f>SUM(BJ941:BJ943)</f>
        <v>44061</v>
      </c>
      <c r="BK944" s="423"/>
      <c r="BL944" s="397">
        <f>SUM(BL941:BL943)</f>
        <v>45562</v>
      </c>
      <c r="BM944" s="397">
        <f>SUM(BM941:BM943)</f>
        <v>47872</v>
      </c>
      <c r="BN944" s="397">
        <f>SUM(BN941:BN943)</f>
        <v>47872</v>
      </c>
      <c r="BO944" s="423"/>
      <c r="BP944" s="397">
        <f>SUM(BP941:BP943)</f>
        <v>49536</v>
      </c>
      <c r="BQ944" s="397">
        <f>SUM(BQ941:BQ943)</f>
        <v>51492</v>
      </c>
      <c r="BR944" s="397">
        <f>SUM(BR941:BR943)</f>
        <v>51492</v>
      </c>
      <c r="BT944" s="397">
        <f>SUM(BT941:BT943)</f>
        <v>58171</v>
      </c>
      <c r="BU944" s="397">
        <f>SUM(BU941:BU943)</f>
        <v>60014</v>
      </c>
      <c r="BV944" s="397">
        <f>SUM(BV941:BV943)</f>
        <v>60014</v>
      </c>
      <c r="BX944" s="397">
        <f>SUM(BX941:BX943)</f>
        <v>61205</v>
      </c>
      <c r="BY944" s="397">
        <f>SUM(BY941:BY943)</f>
        <v>63114</v>
      </c>
      <c r="BZ944" s="397">
        <f>SUM(BZ941:BZ943)</f>
        <v>63114</v>
      </c>
      <c r="CB944" s="397">
        <f>SUM(CB941:CB943)</f>
        <v>65537</v>
      </c>
      <c r="CC944" s="397">
        <f>SUM(CC941:CC943)</f>
        <v>67306</v>
      </c>
      <c r="CD944" s="397">
        <f>SUM(CD941:CD943)</f>
        <v>67306</v>
      </c>
      <c r="CF944" s="397">
        <f>SUM(CF941:CF943)</f>
        <v>68025</v>
      </c>
      <c r="CG944" s="397">
        <f>SUM(CG941:CG943)</f>
        <v>69594</v>
      </c>
      <c r="CH944" s="397">
        <f>SUM(CH941:CH943)</f>
        <v>69594</v>
      </c>
      <c r="CJ944" s="397">
        <f>SUM(CJ941:CJ943)</f>
        <v>71102</v>
      </c>
      <c r="CK944" s="397">
        <f>SUM(CK941:CK943)</f>
        <v>71933</v>
      </c>
      <c r="CL944" s="397">
        <f>SUM(CL941:CL943)</f>
        <v>71933</v>
      </c>
      <c r="CN944" s="397">
        <f>SUM(CN941:CN943)</f>
        <v>74915</v>
      </c>
      <c r="CO944" s="397">
        <f>SUM(CO941:CO943)</f>
        <v>78713</v>
      </c>
      <c r="CP944" s="397">
        <f>SUM(CP941:CP943)</f>
        <v>78713</v>
      </c>
      <c r="CR944" s="397">
        <f>SUM(CR941:CR943)</f>
        <v>74658</v>
      </c>
      <c r="CS944" s="397">
        <f>SUM(CS941:CS943)</f>
        <v>72833</v>
      </c>
      <c r="CT944" s="397">
        <f>SUM(CT941:CT943)</f>
        <v>72833</v>
      </c>
      <c r="CV944" s="397">
        <f>SUM(CV941:CV943)</f>
        <v>72316</v>
      </c>
      <c r="CW944" s="397">
        <f>SUM(CW941:CW943)</f>
        <v>71628</v>
      </c>
      <c r="CX944" s="397">
        <f>SUM(CX941:CX943)</f>
        <v>71628</v>
      </c>
      <c r="CZ944" s="397">
        <f>SUM(CZ941:CZ943)</f>
        <v>72834</v>
      </c>
      <c r="DA944" s="397">
        <f>SUM(DA941:DA943)</f>
        <v>73088</v>
      </c>
      <c r="DB944" s="397">
        <f>SUM(DB941:DB943)</f>
        <v>73088</v>
      </c>
      <c r="DD944" s="397">
        <f>SUM(DD941:DD943)</f>
        <v>75264</v>
      </c>
      <c r="DE944" s="397">
        <f>SUM(DE941:DE943)</f>
        <v>78776</v>
      </c>
      <c r="DF944" s="397">
        <f>SUM(DF941:DF943)</f>
        <v>78776</v>
      </c>
      <c r="DH944" s="397">
        <f>SUM(DH941:DH943)</f>
        <v>77232</v>
      </c>
      <c r="DI944" s="397">
        <f>SUM(DI941:DI943)</f>
        <v>78924.016849578707</v>
      </c>
      <c r="DJ944" s="397">
        <f>SUM(DJ941:DJ943)</f>
        <v>78924.016849578707</v>
      </c>
      <c r="DL944" s="397">
        <f ca="1">SUM(DL941:DL943)</f>
        <v>80170.057431028938</v>
      </c>
      <c r="DM944" s="397">
        <f ca="1">SUM(DM941:DM943)</f>
        <v>81696.111297174299</v>
      </c>
      <c r="DN944" s="397">
        <f ca="1">SUM(DN941:DN943)</f>
        <v>81696.111297174299</v>
      </c>
      <c r="DP944" s="397">
        <f ca="1">SUM(DP941:DP943)</f>
        <v>82816.391055714426</v>
      </c>
      <c r="DQ944" s="397">
        <f ca="1">SUM(DQ941:DQ943)</f>
        <v>84425.659927121276</v>
      </c>
      <c r="DR944" s="397">
        <f ca="1">SUM(DR941:DR943)</f>
        <v>84425.659927121276</v>
      </c>
      <c r="DT944" s="1"/>
      <c r="DU944" s="1"/>
      <c r="DV944" s="1"/>
      <c r="DW944" s="1"/>
      <c r="DX944" s="1"/>
      <c r="DY944" s="1"/>
      <c r="DZ944" s="1"/>
      <c r="EA944" s="1"/>
      <c r="EB944" s="1"/>
      <c r="EC944" s="1"/>
      <c r="ED944" s="1"/>
      <c r="EE944" s="1"/>
      <c r="EF944" s="1"/>
      <c r="EG944" s="1"/>
      <c r="EH944" s="1"/>
      <c r="EI944" s="1"/>
      <c r="EJ944" s="1"/>
      <c r="EK944" s="1"/>
      <c r="EL944" s="1"/>
      <c r="EM944" s="1"/>
      <c r="EN944" s="1"/>
      <c r="EO944" s="1"/>
      <c r="EP944" s="1"/>
      <c r="EQ944" s="1"/>
      <c r="ER944" s="1"/>
      <c r="ES944" s="1"/>
      <c r="ET944" s="1"/>
      <c r="EU944" s="1"/>
      <c r="EV944" s="1"/>
      <c r="EW944" s="1"/>
      <c r="EX944" s="1"/>
      <c r="EY944" s="1"/>
      <c r="EZ944" s="1"/>
      <c r="FA944" s="1"/>
      <c r="FB944" s="1"/>
      <c r="FC944" s="1"/>
      <c r="FD944" s="1"/>
      <c r="FE944" s="1"/>
      <c r="FF944" s="1"/>
      <c r="FG944" s="1"/>
      <c r="FH944" s="1"/>
      <c r="FI944" s="1"/>
      <c r="FJ944" s="1"/>
      <c r="FK944" s="1"/>
      <c r="FL944" s="1"/>
      <c r="FM944" s="1"/>
      <c r="FN944" s="1"/>
      <c r="FO944" s="1"/>
      <c r="FP944" s="1"/>
      <c r="FQ944" s="1"/>
      <c r="FR944" s="1"/>
      <c r="FS944" s="1"/>
      <c r="FT944" s="1"/>
      <c r="FU944" s="1"/>
      <c r="FV944" s="1"/>
      <c r="FW944" s="1"/>
      <c r="FX944" s="1"/>
      <c r="FY944" s="1"/>
      <c r="FZ944" s="1"/>
      <c r="GA944" s="1"/>
      <c r="GB944" s="1"/>
      <c r="GC944" s="1"/>
      <c r="GD944" s="1"/>
      <c r="GE944" s="1"/>
      <c r="GF944" s="1"/>
      <c r="GG944" s="1"/>
      <c r="GH944" s="1"/>
      <c r="GI944" s="1"/>
      <c r="GJ944" s="1"/>
      <c r="GK944" s="1"/>
      <c r="GL944" s="1"/>
      <c r="GM944" s="1"/>
      <c r="GN944" s="1"/>
      <c r="GO944" s="1"/>
      <c r="GP944" s="1"/>
      <c r="GQ944" s="1"/>
      <c r="GR944" s="1"/>
      <c r="GS944" s="1"/>
      <c r="GT944" s="1"/>
      <c r="GU944" s="1"/>
      <c r="GV944" s="1"/>
      <c r="GW944" s="1"/>
      <c r="GX944" s="1"/>
      <c r="GY944" s="1"/>
      <c r="GZ944" s="1"/>
      <c r="HA944" s="1"/>
      <c r="HB944" s="1"/>
      <c r="HC944" s="1"/>
      <c r="HD944" s="1"/>
      <c r="HE944" s="1"/>
      <c r="HF944" s="1"/>
      <c r="HG944" s="1"/>
      <c r="HH944" s="1"/>
      <c r="HI944" s="1"/>
      <c r="HJ944" s="1"/>
      <c r="HK944" s="1"/>
      <c r="HL944" s="1"/>
      <c r="HM944" s="1"/>
      <c r="HN944" s="1"/>
      <c r="HO944" s="1"/>
      <c r="HP944" s="1"/>
      <c r="HQ944" s="1"/>
      <c r="HR944" s="1"/>
      <c r="HS944" s="1"/>
      <c r="HT944" s="1"/>
      <c r="HU944" s="1"/>
      <c r="HV944" s="1"/>
      <c r="HW944" s="1"/>
      <c r="HX944" s="1"/>
      <c r="HY944" s="1"/>
      <c r="HZ944" s="1"/>
      <c r="IA944" s="1"/>
      <c r="IB944" s="1"/>
      <c r="IC944" s="1"/>
      <c r="ID944" s="1"/>
      <c r="IE944" s="1"/>
      <c r="IF944" s="1"/>
      <c r="IG944" s="1"/>
      <c r="IH944" s="1"/>
      <c r="II944" s="1"/>
      <c r="IJ944" s="1"/>
      <c r="IK944" s="1"/>
      <c r="IL944" s="1"/>
      <c r="IM944" s="1"/>
      <c r="IN944" s="1"/>
      <c r="IO944" s="1"/>
      <c r="IP944" s="1"/>
      <c r="IQ944" s="1"/>
      <c r="IR944" s="1"/>
      <c r="IS944" s="1"/>
      <c r="IT944" s="1"/>
      <c r="IU944" s="1"/>
      <c r="IV944" s="1"/>
      <c r="IW944" s="1"/>
      <c r="IX944" s="1"/>
      <c r="IY944" s="1"/>
      <c r="IZ944" s="1"/>
      <c r="JA944" s="1"/>
      <c r="JB944" s="1"/>
      <c r="JC944" s="1"/>
      <c r="JD944" s="1"/>
    </row>
    <row r="945" spans="1:264" s="347" customFormat="1" x14ac:dyDescent="0.2">
      <c r="A945" s="347" t="s">
        <v>663</v>
      </c>
      <c r="B945" s="348"/>
      <c r="BH945" s="398">
        <v>939</v>
      </c>
      <c r="BI945" s="398">
        <v>939</v>
      </c>
      <c r="BJ945" s="351">
        <f>BI945</f>
        <v>939</v>
      </c>
      <c r="BK945" s="348"/>
      <c r="BL945" s="398">
        <v>939</v>
      </c>
      <c r="BM945" s="398">
        <v>939</v>
      </c>
      <c r="BN945" s="351">
        <f>BM945</f>
        <v>939</v>
      </c>
      <c r="BO945" s="348"/>
      <c r="BP945" s="398">
        <v>939</v>
      </c>
      <c r="BQ945" s="398">
        <v>939</v>
      </c>
      <c r="BR945" s="351">
        <f>BQ945</f>
        <v>939</v>
      </c>
      <c r="BT945" s="398">
        <v>939</v>
      </c>
      <c r="BU945" s="398">
        <v>0</v>
      </c>
      <c r="BV945" s="351">
        <f>BU945</f>
        <v>0</v>
      </c>
      <c r="BX945" s="398">
        <v>0</v>
      </c>
      <c r="BY945" s="398">
        <v>0</v>
      </c>
      <c r="BZ945" s="351">
        <f>BY945</f>
        <v>0</v>
      </c>
      <c r="CB945" s="398">
        <v>0</v>
      </c>
      <c r="CC945" s="398">
        <v>0</v>
      </c>
      <c r="CD945" s="351">
        <f>CC945</f>
        <v>0</v>
      </c>
      <c r="CF945" s="398">
        <v>0</v>
      </c>
      <c r="CG945" s="398">
        <v>0</v>
      </c>
      <c r="CH945" s="351">
        <f>CG945</f>
        <v>0</v>
      </c>
      <c r="CJ945" s="398">
        <v>0</v>
      </c>
      <c r="CK945" s="398">
        <v>0</v>
      </c>
      <c r="CL945" s="351">
        <f>CK945</f>
        <v>0</v>
      </c>
      <c r="CN945" s="398">
        <v>0</v>
      </c>
      <c r="CO945" s="398">
        <v>0</v>
      </c>
      <c r="CP945" s="351">
        <f>CO945</f>
        <v>0</v>
      </c>
      <c r="CR945" s="398">
        <v>0</v>
      </c>
      <c r="CS945" s="398">
        <v>0</v>
      </c>
      <c r="CT945" s="351">
        <f>CS945</f>
        <v>0</v>
      </c>
      <c r="CV945" s="398">
        <v>0</v>
      </c>
      <c r="CW945" s="398">
        <v>0</v>
      </c>
      <c r="CX945" s="351">
        <f>CW945</f>
        <v>0</v>
      </c>
      <c r="CZ945" s="398">
        <v>0</v>
      </c>
      <c r="DA945" s="398">
        <v>0</v>
      </c>
      <c r="DB945" s="351">
        <f>DA945</f>
        <v>0</v>
      </c>
      <c r="DD945" s="398">
        <v>0</v>
      </c>
      <c r="DE945" s="398">
        <v>0</v>
      </c>
      <c r="DF945" s="351">
        <f>DE945</f>
        <v>0</v>
      </c>
      <c r="DH945" s="398">
        <v>0</v>
      </c>
      <c r="DI945" s="479">
        <f>DI982</f>
        <v>0</v>
      </c>
      <c r="DJ945" s="351">
        <f>DI945</f>
        <v>0</v>
      </c>
      <c r="DL945" s="479">
        <f>DL982</f>
        <v>0</v>
      </c>
      <c r="DM945" s="479">
        <f>DM982</f>
        <v>0</v>
      </c>
      <c r="DN945" s="351">
        <f>DM945</f>
        <v>0</v>
      </c>
      <c r="DP945" s="479">
        <f>DP982</f>
        <v>0</v>
      </c>
      <c r="DQ945" s="479">
        <f>DQ982</f>
        <v>0</v>
      </c>
      <c r="DR945" s="351">
        <f>DQ945</f>
        <v>0</v>
      </c>
      <c r="DT945" s="1"/>
      <c r="DU945" s="1"/>
      <c r="DV945" s="1"/>
      <c r="DW945" s="1"/>
      <c r="DX945" s="1"/>
      <c r="DY945" s="1"/>
      <c r="DZ945" s="1"/>
      <c r="EA945" s="1"/>
      <c r="EB945" s="1"/>
      <c r="EC945" s="1"/>
      <c r="ED945" s="1"/>
      <c r="EE945" s="1"/>
      <c r="EF945" s="1"/>
      <c r="EG945" s="1"/>
      <c r="EH945" s="1"/>
      <c r="EI945" s="1"/>
      <c r="EJ945" s="1"/>
      <c r="EK945" s="1"/>
      <c r="EL945" s="1"/>
      <c r="EM945" s="1"/>
      <c r="EN945" s="1"/>
      <c r="EO945" s="1"/>
      <c r="EP945" s="1"/>
      <c r="EQ945" s="1"/>
      <c r="ER945" s="1"/>
      <c r="ES945" s="1"/>
      <c r="ET945" s="1"/>
      <c r="EU945" s="1"/>
      <c r="EV945" s="1"/>
      <c r="EW945" s="1"/>
      <c r="EX945" s="1"/>
      <c r="EY945" s="1"/>
      <c r="EZ945" s="1"/>
      <c r="FA945" s="1"/>
      <c r="FB945" s="1"/>
      <c r="FC945" s="1"/>
      <c r="FD945" s="1"/>
      <c r="FE945" s="1"/>
      <c r="FF945" s="1"/>
      <c r="FG945" s="1"/>
      <c r="FH945" s="1"/>
      <c r="FI945" s="1"/>
      <c r="FJ945" s="1"/>
      <c r="FK945" s="1"/>
      <c r="FL945" s="1"/>
      <c r="FM945" s="1"/>
      <c r="FN945" s="1"/>
      <c r="FO945" s="1"/>
      <c r="FP945" s="1"/>
      <c r="FQ945" s="1"/>
      <c r="FR945" s="1"/>
      <c r="FS945" s="1"/>
      <c r="FT945" s="1"/>
      <c r="FU945" s="1"/>
      <c r="FV945" s="1"/>
      <c r="FW945" s="1"/>
      <c r="FX945" s="1"/>
      <c r="FY945" s="1"/>
      <c r="FZ945" s="1"/>
      <c r="GA945" s="1"/>
      <c r="GB945" s="1"/>
      <c r="GC945" s="1"/>
      <c r="GD945" s="1"/>
      <c r="GE945" s="1"/>
      <c r="GF945" s="1"/>
      <c r="GG945" s="1"/>
      <c r="GH945" s="1"/>
      <c r="GI945" s="1"/>
      <c r="GJ945" s="1"/>
      <c r="GK945" s="1"/>
      <c r="GL945" s="1"/>
      <c r="GM945" s="1"/>
      <c r="GN945" s="1"/>
      <c r="GO945" s="1"/>
      <c r="GP945" s="1"/>
      <c r="GQ945" s="1"/>
      <c r="GR945" s="1"/>
      <c r="GS945" s="1"/>
      <c r="GT945" s="1"/>
      <c r="GU945" s="1"/>
      <c r="GV945" s="1"/>
      <c r="GW945" s="1"/>
      <c r="GX945" s="1"/>
      <c r="GY945" s="1"/>
      <c r="GZ945" s="1"/>
      <c r="HA945" s="1"/>
      <c r="HB945" s="1"/>
      <c r="HC945" s="1"/>
      <c r="HD945" s="1"/>
      <c r="HE945" s="1"/>
      <c r="HF945" s="1"/>
      <c r="HG945" s="1"/>
      <c r="HH945" s="1"/>
      <c r="HI945" s="1"/>
      <c r="HJ945" s="1"/>
      <c r="HK945" s="1"/>
      <c r="HL945" s="1"/>
      <c r="HM945" s="1"/>
      <c r="HN945" s="1"/>
      <c r="HO945" s="1"/>
      <c r="HP945" s="1"/>
      <c r="HQ945" s="1"/>
      <c r="HR945" s="1"/>
      <c r="HS945" s="1"/>
      <c r="HT945" s="1"/>
      <c r="HU945" s="1"/>
      <c r="HV945" s="1"/>
      <c r="HW945" s="1"/>
      <c r="HX945" s="1"/>
      <c r="HY945" s="1"/>
      <c r="HZ945" s="1"/>
      <c r="IA945" s="1"/>
      <c r="IB945" s="1"/>
      <c r="IC945" s="1"/>
      <c r="ID945" s="1"/>
      <c r="IE945" s="1"/>
      <c r="IF945" s="1"/>
      <c r="IG945" s="1"/>
      <c r="IH945" s="1"/>
      <c r="II945" s="1"/>
      <c r="IJ945" s="1"/>
      <c r="IK945" s="1"/>
      <c r="IL945" s="1"/>
      <c r="IM945" s="1"/>
      <c r="IN945" s="1"/>
      <c r="IO945" s="1"/>
      <c r="IP945" s="1"/>
      <c r="IQ945" s="1"/>
      <c r="IR945" s="1"/>
      <c r="IS945" s="1"/>
      <c r="IT945" s="1"/>
      <c r="IU945" s="1"/>
      <c r="IV945" s="1"/>
      <c r="IW945" s="1"/>
      <c r="IX945" s="1"/>
      <c r="IY945" s="1"/>
      <c r="IZ945" s="1"/>
      <c r="JA945" s="1"/>
      <c r="JB945" s="1"/>
      <c r="JC945" s="1"/>
      <c r="JD945" s="1"/>
    </row>
    <row r="946" spans="1:264" s="347" customFormat="1" x14ac:dyDescent="0.2">
      <c r="A946" s="347" t="s">
        <v>664</v>
      </c>
      <c r="B946" s="348"/>
      <c r="BH946" s="398">
        <v>532</v>
      </c>
      <c r="BI946" s="398">
        <v>537</v>
      </c>
      <c r="BJ946" s="351">
        <f>BI946</f>
        <v>537</v>
      </c>
      <c r="BK946" s="348"/>
      <c r="BL946" s="398">
        <v>536</v>
      </c>
      <c r="BM946" s="398">
        <v>537</v>
      </c>
      <c r="BN946" s="351">
        <f>BM946</f>
        <v>537</v>
      </c>
      <c r="BO946" s="348"/>
      <c r="BP946" s="398">
        <v>556</v>
      </c>
      <c r="BQ946" s="398">
        <v>562</v>
      </c>
      <c r="BR946" s="351">
        <f>BQ946</f>
        <v>562</v>
      </c>
      <c r="BT946" s="398">
        <v>554</v>
      </c>
      <c r="BU946" s="398">
        <v>550</v>
      </c>
      <c r="BV946" s="351">
        <f>BU946</f>
        <v>550</v>
      </c>
      <c r="BX946" s="398">
        <v>551</v>
      </c>
      <c r="BY946" s="398">
        <v>546</v>
      </c>
      <c r="BZ946" s="351">
        <f>BY946</f>
        <v>546</v>
      </c>
      <c r="CB946" s="398">
        <v>554</v>
      </c>
      <c r="CC946" s="398">
        <v>554</v>
      </c>
      <c r="CD946" s="351">
        <f>CC946</f>
        <v>554</v>
      </c>
      <c r="CF946" s="398">
        <v>553</v>
      </c>
      <c r="CG946" s="398">
        <v>55</v>
      </c>
      <c r="CH946" s="351">
        <f>CG946</f>
        <v>55</v>
      </c>
      <c r="CJ946" s="398">
        <v>51</v>
      </c>
      <c r="CK946" s="398">
        <v>5</v>
      </c>
      <c r="CL946" s="351">
        <f>CK946</f>
        <v>5</v>
      </c>
      <c r="CN946" s="398">
        <v>5</v>
      </c>
      <c r="CO946" s="398">
        <v>5</v>
      </c>
      <c r="CP946" s="351">
        <f>CO946</f>
        <v>5</v>
      </c>
      <c r="CR946" s="398">
        <v>5</v>
      </c>
      <c r="CS946" s="398">
        <v>5</v>
      </c>
      <c r="CT946" s="351">
        <f>CS946</f>
        <v>5</v>
      </c>
      <c r="CV946" s="398">
        <v>5</v>
      </c>
      <c r="CW946" s="398">
        <v>5</v>
      </c>
      <c r="CX946" s="351">
        <f>CW946</f>
        <v>5</v>
      </c>
      <c r="CZ946" s="398">
        <v>5</v>
      </c>
      <c r="DA946" s="398">
        <v>0</v>
      </c>
      <c r="DB946" s="351">
        <f>DA946</f>
        <v>0</v>
      </c>
      <c r="DD946" s="398">
        <v>0</v>
      </c>
      <c r="DE946" s="398">
        <v>0</v>
      </c>
      <c r="DF946" s="351">
        <f>DE946</f>
        <v>0</v>
      </c>
      <c r="DH946" s="398">
        <v>0</v>
      </c>
      <c r="DI946" s="479">
        <f>DI987</f>
        <v>0</v>
      </c>
      <c r="DJ946" s="351">
        <f>DI946</f>
        <v>0</v>
      </c>
      <c r="DL946" s="479">
        <f>DL987</f>
        <v>0</v>
      </c>
      <c r="DM946" s="479">
        <f>DM987</f>
        <v>0</v>
      </c>
      <c r="DN946" s="351">
        <f>DM946</f>
        <v>0</v>
      </c>
      <c r="DP946" s="479">
        <f>DP987</f>
        <v>0</v>
      </c>
      <c r="DQ946" s="479">
        <f>DQ987</f>
        <v>0</v>
      </c>
      <c r="DR946" s="351">
        <f>DQ946</f>
        <v>0</v>
      </c>
      <c r="DT946" s="1"/>
      <c r="DU946" s="1"/>
      <c r="DV946" s="1"/>
      <c r="DW946" s="1"/>
      <c r="DX946" s="1"/>
      <c r="DY946" s="1"/>
      <c r="DZ946" s="1"/>
      <c r="EA946" s="1"/>
      <c r="EB946" s="1"/>
      <c r="EC946" s="1"/>
      <c r="ED946" s="1"/>
      <c r="EE946" s="1"/>
      <c r="EF946" s="1"/>
      <c r="EG946" s="1"/>
      <c r="EH946" s="1"/>
      <c r="EI946" s="1"/>
      <c r="EJ946" s="1"/>
      <c r="EK946" s="1"/>
      <c r="EL946" s="1"/>
      <c r="EM946" s="1"/>
      <c r="EN946" s="1"/>
      <c r="EO946" s="1"/>
      <c r="EP946" s="1"/>
      <c r="EQ946" s="1"/>
      <c r="ER946" s="1"/>
      <c r="ES946" s="1"/>
      <c r="ET946" s="1"/>
      <c r="EU946" s="1"/>
      <c r="EV946" s="1"/>
      <c r="EW946" s="1"/>
      <c r="EX946" s="1"/>
      <c r="EY946" s="1"/>
      <c r="EZ946" s="1"/>
      <c r="FA946" s="1"/>
      <c r="FB946" s="1"/>
      <c r="FC946" s="1"/>
      <c r="FD946" s="1"/>
      <c r="FE946" s="1"/>
      <c r="FF946" s="1"/>
      <c r="FG946" s="1"/>
      <c r="FH946" s="1"/>
      <c r="FI946" s="1"/>
      <c r="FJ946" s="1"/>
      <c r="FK946" s="1"/>
      <c r="FL946" s="1"/>
      <c r="FM946" s="1"/>
      <c r="FN946" s="1"/>
      <c r="FO946" s="1"/>
      <c r="FP946" s="1"/>
      <c r="FQ946" s="1"/>
      <c r="FR946" s="1"/>
      <c r="FS946" s="1"/>
      <c r="FT946" s="1"/>
      <c r="FU946" s="1"/>
      <c r="FV946" s="1"/>
      <c r="FW946" s="1"/>
      <c r="FX946" s="1"/>
      <c r="FY946" s="1"/>
      <c r="FZ946" s="1"/>
      <c r="GA946" s="1"/>
      <c r="GB946" s="1"/>
      <c r="GC946" s="1"/>
      <c r="GD946" s="1"/>
      <c r="GE946" s="1"/>
      <c r="GF946" s="1"/>
      <c r="GG946" s="1"/>
      <c r="GH946" s="1"/>
      <c r="GI946" s="1"/>
      <c r="GJ946" s="1"/>
      <c r="GK946" s="1"/>
      <c r="GL946" s="1"/>
      <c r="GM946" s="1"/>
      <c r="GN946" s="1"/>
      <c r="GO946" s="1"/>
      <c r="GP946" s="1"/>
      <c r="GQ946" s="1"/>
      <c r="GR946" s="1"/>
      <c r="GS946" s="1"/>
      <c r="GT946" s="1"/>
      <c r="GU946" s="1"/>
      <c r="GV946" s="1"/>
      <c r="GW946" s="1"/>
      <c r="GX946" s="1"/>
      <c r="GY946" s="1"/>
      <c r="GZ946" s="1"/>
      <c r="HA946" s="1"/>
      <c r="HB946" s="1"/>
      <c r="HC946" s="1"/>
      <c r="HD946" s="1"/>
      <c r="HE946" s="1"/>
      <c r="HF946" s="1"/>
      <c r="HG946" s="1"/>
      <c r="HH946" s="1"/>
      <c r="HI946" s="1"/>
      <c r="HJ946" s="1"/>
      <c r="HK946" s="1"/>
      <c r="HL946" s="1"/>
      <c r="HM946" s="1"/>
      <c r="HN946" s="1"/>
      <c r="HO946" s="1"/>
      <c r="HP946" s="1"/>
      <c r="HQ946" s="1"/>
      <c r="HR946" s="1"/>
      <c r="HS946" s="1"/>
      <c r="HT946" s="1"/>
      <c r="HU946" s="1"/>
      <c r="HV946" s="1"/>
      <c r="HW946" s="1"/>
      <c r="HX946" s="1"/>
      <c r="HY946" s="1"/>
      <c r="HZ946" s="1"/>
      <c r="IA946" s="1"/>
      <c r="IB946" s="1"/>
      <c r="IC946" s="1"/>
      <c r="ID946" s="1"/>
      <c r="IE946" s="1"/>
      <c r="IF946" s="1"/>
      <c r="IG946" s="1"/>
      <c r="IH946" s="1"/>
      <c r="II946" s="1"/>
      <c r="IJ946" s="1"/>
      <c r="IK946" s="1"/>
      <c r="IL946" s="1"/>
      <c r="IM946" s="1"/>
      <c r="IN946" s="1"/>
      <c r="IO946" s="1"/>
      <c r="IP946" s="1"/>
      <c r="IQ946" s="1"/>
      <c r="IR946" s="1"/>
      <c r="IS946" s="1"/>
      <c r="IT946" s="1"/>
      <c r="IU946" s="1"/>
      <c r="IV946" s="1"/>
      <c r="IW946" s="1"/>
      <c r="IX946" s="1"/>
      <c r="IY946" s="1"/>
      <c r="IZ946" s="1"/>
      <c r="JA946" s="1"/>
      <c r="JB946" s="1"/>
      <c r="JC946" s="1"/>
      <c r="JD946" s="1"/>
    </row>
    <row r="947" spans="1:264" s="411" customFormat="1" x14ac:dyDescent="0.2">
      <c r="A947" s="411" t="s">
        <v>665</v>
      </c>
      <c r="B947" s="423"/>
      <c r="BH947" s="397">
        <f>SUM(BH944:BH946)</f>
        <v>43348</v>
      </c>
      <c r="BI947" s="397">
        <f>SUM(BI944:BI946)</f>
        <v>45537</v>
      </c>
      <c r="BJ947" s="397">
        <f>SUM(BJ944:BJ946)</f>
        <v>45537</v>
      </c>
      <c r="BK947" s="423"/>
      <c r="BL947" s="397">
        <f>SUM(BL944:BL946)</f>
        <v>47037</v>
      </c>
      <c r="BM947" s="397">
        <f>SUM(BM944:BM946)</f>
        <v>49348</v>
      </c>
      <c r="BN947" s="397">
        <f>SUM(BN944:BN946)</f>
        <v>49348</v>
      </c>
      <c r="BO947" s="423"/>
      <c r="BP947" s="397">
        <f>SUM(BP944:BP946)</f>
        <v>51031</v>
      </c>
      <c r="BQ947" s="397">
        <f>SUM(BQ944:BQ946)</f>
        <v>52993</v>
      </c>
      <c r="BR947" s="397">
        <f>SUM(BR944:BR946)</f>
        <v>52993</v>
      </c>
      <c r="BT947" s="397">
        <f>SUM(BT944:BT946)</f>
        <v>59664</v>
      </c>
      <c r="BU947" s="397">
        <f>SUM(BU944:BU946)</f>
        <v>60564</v>
      </c>
      <c r="BV947" s="397">
        <f>SUM(BV944:BV946)</f>
        <v>60564</v>
      </c>
      <c r="BX947" s="397">
        <f>SUM(BX944:BX946)</f>
        <v>61756</v>
      </c>
      <c r="BY947" s="397">
        <f>SUM(BY944:BY946)</f>
        <v>63660</v>
      </c>
      <c r="BZ947" s="397">
        <f>SUM(BZ944:BZ946)</f>
        <v>63660</v>
      </c>
      <c r="CB947" s="397">
        <f>SUM(CB944:CB946)</f>
        <v>66091</v>
      </c>
      <c r="CC947" s="397">
        <f>SUM(CC944:CC946)</f>
        <v>67860</v>
      </c>
      <c r="CD947" s="397">
        <f>SUM(CD944:CD946)</f>
        <v>67860</v>
      </c>
      <c r="CF947" s="397">
        <f>SUM(CF944:CF946)</f>
        <v>68578</v>
      </c>
      <c r="CG947" s="397">
        <f>SUM(CG944:CG946)</f>
        <v>69649</v>
      </c>
      <c r="CH947" s="397">
        <f>SUM(CH944:CH946)</f>
        <v>69649</v>
      </c>
      <c r="CJ947" s="397">
        <f>SUM(CJ944:CJ946)</f>
        <v>71153</v>
      </c>
      <c r="CK947" s="397">
        <f>SUM(CK944:CK946)</f>
        <v>71938</v>
      </c>
      <c r="CL947" s="397">
        <f>SUM(CL944:CL946)</f>
        <v>71938</v>
      </c>
      <c r="CN947" s="397">
        <f>SUM(CN944:CN946)</f>
        <v>74920</v>
      </c>
      <c r="CO947" s="397">
        <f>SUM(CO944:CO946)</f>
        <v>78718</v>
      </c>
      <c r="CP947" s="397">
        <f>SUM(CP944:CP946)</f>
        <v>78718</v>
      </c>
      <c r="CR947" s="397">
        <f>SUM(CR944:CR946)</f>
        <v>74663</v>
      </c>
      <c r="CS947" s="397">
        <f>SUM(CS944:CS946)</f>
        <v>72838</v>
      </c>
      <c r="CT947" s="397">
        <f>SUM(CT944:CT946)</f>
        <v>72838</v>
      </c>
      <c r="CV947" s="397">
        <f>SUM(CV944:CV946)</f>
        <v>72321</v>
      </c>
      <c r="CW947" s="397">
        <f>SUM(CW944:CW946)</f>
        <v>71633</v>
      </c>
      <c r="CX947" s="397">
        <f>SUM(CX944:CX946)</f>
        <v>71633</v>
      </c>
      <c r="CZ947" s="397">
        <f>SUM(CZ944:CZ946)</f>
        <v>72839</v>
      </c>
      <c r="DA947" s="397">
        <f>SUM(DA944:DA946)</f>
        <v>73088</v>
      </c>
      <c r="DB947" s="397">
        <f>SUM(DB944:DB946)</f>
        <v>73088</v>
      </c>
      <c r="DD947" s="397">
        <f>SUM(DD944:DD946)</f>
        <v>75264</v>
      </c>
      <c r="DE947" s="397">
        <f>SUM(DE944:DE946)</f>
        <v>78776</v>
      </c>
      <c r="DF947" s="397">
        <f>SUM(DF944:DF946)</f>
        <v>78776</v>
      </c>
      <c r="DH947" s="397">
        <f>SUM(DH944:DH946)</f>
        <v>77232</v>
      </c>
      <c r="DI947" s="397">
        <f>SUM(DI944:DI946)</f>
        <v>78924.016849578707</v>
      </c>
      <c r="DJ947" s="397">
        <f>SUM(DJ944:DJ946)</f>
        <v>78924.016849578707</v>
      </c>
      <c r="DL947" s="397">
        <f ca="1">SUM(DL944:DL946)</f>
        <v>80170.057431028938</v>
      </c>
      <c r="DM947" s="397">
        <f ca="1">SUM(DM944:DM946)</f>
        <v>81696.111297174299</v>
      </c>
      <c r="DN947" s="397">
        <f ca="1">SUM(DN944:DN946)</f>
        <v>81696.111297174299</v>
      </c>
      <c r="DP947" s="397">
        <f ca="1">SUM(DP944:DP946)</f>
        <v>82816.391055714426</v>
      </c>
      <c r="DQ947" s="397">
        <f ca="1">SUM(DQ944:DQ946)</f>
        <v>84425.659927121276</v>
      </c>
      <c r="DR947" s="397">
        <f ca="1">SUM(DR944:DR946)</f>
        <v>84425.659927121276</v>
      </c>
      <c r="DT947" s="1"/>
      <c r="DU947" s="1"/>
      <c r="DV947" s="1"/>
      <c r="DW947" s="1"/>
      <c r="DX947" s="1"/>
      <c r="DY947" s="1"/>
      <c r="DZ947" s="1"/>
      <c r="EA947" s="1"/>
      <c r="EB947" s="1"/>
      <c r="EC947" s="1"/>
      <c r="ED947" s="1"/>
      <c r="EE947" s="1"/>
      <c r="EF947" s="1"/>
      <c r="EG947" s="1"/>
      <c r="EH947" s="1"/>
      <c r="EI947" s="1"/>
      <c r="EJ947" s="1"/>
      <c r="EK947" s="1"/>
      <c r="EL947" s="1"/>
      <c r="EM947" s="1"/>
      <c r="EN947" s="1"/>
      <c r="EO947" s="1"/>
      <c r="EP947" s="1"/>
      <c r="EQ947" s="1"/>
      <c r="ER947" s="1"/>
      <c r="ES947" s="1"/>
      <c r="ET947" s="1"/>
      <c r="EU947" s="1"/>
      <c r="EV947" s="1"/>
      <c r="EW947" s="1"/>
      <c r="EX947" s="1"/>
      <c r="EY947" s="1"/>
      <c r="EZ947" s="1"/>
      <c r="FA947" s="1"/>
      <c r="FB947" s="1"/>
      <c r="FC947" s="1"/>
      <c r="FD947" s="1"/>
      <c r="FE947" s="1"/>
      <c r="FF947" s="1"/>
      <c r="FG947" s="1"/>
      <c r="FH947" s="1"/>
      <c r="FI947" s="1"/>
      <c r="FJ947" s="1"/>
      <c r="FK947" s="1"/>
      <c r="FL947" s="1"/>
      <c r="FM947" s="1"/>
      <c r="FN947" s="1"/>
      <c r="FO947" s="1"/>
      <c r="FP947" s="1"/>
      <c r="FQ947" s="1"/>
      <c r="FR947" s="1"/>
      <c r="FS947" s="1"/>
      <c r="FT947" s="1"/>
      <c r="FU947" s="1"/>
      <c r="FV947" s="1"/>
      <c r="FW947" s="1"/>
      <c r="FX947" s="1"/>
      <c r="FY947" s="1"/>
      <c r="FZ947" s="1"/>
      <c r="GA947" s="1"/>
      <c r="GB947" s="1"/>
      <c r="GC947" s="1"/>
      <c r="GD947" s="1"/>
      <c r="GE947" s="1"/>
      <c r="GF947" s="1"/>
      <c r="GG947" s="1"/>
      <c r="GH947" s="1"/>
      <c r="GI947" s="1"/>
      <c r="GJ947" s="1"/>
      <c r="GK947" s="1"/>
      <c r="GL947" s="1"/>
      <c r="GM947" s="1"/>
      <c r="GN947" s="1"/>
      <c r="GO947" s="1"/>
      <c r="GP947" s="1"/>
      <c r="GQ947" s="1"/>
      <c r="GR947" s="1"/>
      <c r="GS947" s="1"/>
      <c r="GT947" s="1"/>
      <c r="GU947" s="1"/>
      <c r="GV947" s="1"/>
      <c r="GW947" s="1"/>
      <c r="GX947" s="1"/>
      <c r="GY947" s="1"/>
      <c r="GZ947" s="1"/>
      <c r="HA947" s="1"/>
      <c r="HB947" s="1"/>
      <c r="HC947" s="1"/>
      <c r="HD947" s="1"/>
      <c r="HE947" s="1"/>
      <c r="HF947" s="1"/>
      <c r="HG947" s="1"/>
      <c r="HH947" s="1"/>
      <c r="HI947" s="1"/>
      <c r="HJ947" s="1"/>
      <c r="HK947" s="1"/>
      <c r="HL947" s="1"/>
      <c r="HM947" s="1"/>
      <c r="HN947" s="1"/>
      <c r="HO947" s="1"/>
      <c r="HP947" s="1"/>
      <c r="HQ947" s="1"/>
      <c r="HR947" s="1"/>
      <c r="HS947" s="1"/>
      <c r="HT947" s="1"/>
      <c r="HU947" s="1"/>
      <c r="HV947" s="1"/>
      <c r="HW947" s="1"/>
      <c r="HX947" s="1"/>
      <c r="HY947" s="1"/>
      <c r="HZ947" s="1"/>
      <c r="IA947" s="1"/>
      <c r="IB947" s="1"/>
      <c r="IC947" s="1"/>
      <c r="ID947" s="1"/>
      <c r="IE947" s="1"/>
      <c r="IF947" s="1"/>
      <c r="IG947" s="1"/>
      <c r="IH947" s="1"/>
      <c r="II947" s="1"/>
      <c r="IJ947" s="1"/>
      <c r="IK947" s="1"/>
      <c r="IL947" s="1"/>
      <c r="IM947" s="1"/>
      <c r="IN947" s="1"/>
      <c r="IO947" s="1"/>
      <c r="IP947" s="1"/>
      <c r="IQ947" s="1"/>
      <c r="IR947" s="1"/>
      <c r="IS947" s="1"/>
      <c r="IT947" s="1"/>
      <c r="IU947" s="1"/>
      <c r="IV947" s="1"/>
      <c r="IW947" s="1"/>
      <c r="IX947" s="1"/>
      <c r="IY947" s="1"/>
      <c r="IZ947" s="1"/>
      <c r="JA947" s="1"/>
      <c r="JB947" s="1"/>
      <c r="JC947" s="1"/>
      <c r="JD947" s="1"/>
    </row>
    <row r="948" spans="1:264" s="347" customFormat="1" x14ac:dyDescent="0.2">
      <c r="B948" s="348"/>
      <c r="BH948" s="351"/>
      <c r="BI948" s="351"/>
      <c r="BJ948" s="348"/>
      <c r="BK948" s="348"/>
      <c r="BL948" s="348"/>
      <c r="BM948" s="351"/>
      <c r="BN948" s="348"/>
      <c r="BO948" s="348"/>
      <c r="BP948" s="348"/>
      <c r="BQ948" s="351"/>
      <c r="BR948" s="348"/>
      <c r="BT948" s="348"/>
      <c r="BU948" s="351"/>
      <c r="BV948" s="348"/>
      <c r="BX948" s="348"/>
      <c r="BY948" s="351"/>
      <c r="BZ948" s="348"/>
      <c r="CB948" s="348"/>
      <c r="CC948" s="351"/>
      <c r="CD948" s="348"/>
      <c r="CF948" s="348"/>
      <c r="CG948" s="351"/>
      <c r="CH948" s="348"/>
      <c r="CJ948" s="348"/>
      <c r="CK948" s="351"/>
      <c r="CL948" s="348"/>
      <c r="CN948" s="348"/>
      <c r="CO948" s="351"/>
      <c r="CP948" s="348"/>
      <c r="CR948" s="348"/>
      <c r="CS948" s="351"/>
      <c r="CT948" s="348"/>
      <c r="CV948" s="348"/>
      <c r="CW948" s="351"/>
      <c r="CX948" s="348"/>
      <c r="CZ948" s="348"/>
      <c r="DA948" s="351"/>
      <c r="DB948" s="348"/>
      <c r="DD948" s="348"/>
      <c r="DE948" s="351"/>
      <c r="DF948" s="348"/>
      <c r="DH948" s="348"/>
      <c r="DL948" s="348"/>
      <c r="DP948" s="348"/>
    </row>
    <row r="949" spans="1:264" s="347" customFormat="1" x14ac:dyDescent="0.2">
      <c r="A949" s="411" t="s">
        <v>659</v>
      </c>
      <c r="B949" s="348"/>
      <c r="BH949" s="348"/>
      <c r="BI949" s="348"/>
      <c r="BJ949" s="348"/>
      <c r="BK949" s="348"/>
      <c r="BL949" s="348"/>
      <c r="BM949" s="348"/>
      <c r="BN949" s="348"/>
      <c r="BO949" s="348"/>
      <c r="BP949" s="348"/>
      <c r="BQ949" s="348"/>
      <c r="BR949" s="348"/>
      <c r="BT949" s="348"/>
      <c r="BU949" s="348"/>
      <c r="BV949" s="348"/>
      <c r="BX949" s="348"/>
      <c r="BY949" s="348"/>
      <c r="BZ949" s="348"/>
      <c r="CB949" s="348"/>
      <c r="CC949" s="348"/>
      <c r="CD949" s="348"/>
      <c r="CF949" s="348"/>
      <c r="CG949" s="348"/>
      <c r="CH949" s="348"/>
      <c r="CJ949" s="348"/>
      <c r="CK949" s="348"/>
      <c r="CL949" s="348"/>
      <c r="CN949" s="348"/>
      <c r="CO949" s="348"/>
      <c r="CP949" s="348"/>
      <c r="CR949" s="348"/>
      <c r="CS949" s="348"/>
      <c r="CT949" s="348"/>
      <c r="CV949" s="348"/>
      <c r="CW949" s="348"/>
      <c r="CX949" s="348"/>
      <c r="CZ949" s="348"/>
      <c r="DA949" s="348"/>
      <c r="DB949" s="348"/>
      <c r="DD949" s="348"/>
      <c r="DE949" s="348"/>
      <c r="DF949" s="348"/>
      <c r="DH949" s="348"/>
      <c r="DL949" s="348"/>
      <c r="DP949" s="348"/>
    </row>
    <row r="950" spans="1:264" s="347" customFormat="1" x14ac:dyDescent="0.2">
      <c r="A950" s="347" t="s">
        <v>313</v>
      </c>
      <c r="B950" s="348"/>
      <c r="BH950" s="398">
        <v>25175</v>
      </c>
      <c r="BI950" s="351">
        <f>BH957</f>
        <v>26126</v>
      </c>
      <c r="BJ950" s="351">
        <f>BH950</f>
        <v>25175</v>
      </c>
      <c r="BK950" s="348"/>
      <c r="BL950" s="351">
        <f>BI957</f>
        <v>26323</v>
      </c>
      <c r="BM950" s="351">
        <f>BL957</f>
        <v>26327</v>
      </c>
      <c r="BN950" s="351">
        <f>BL950</f>
        <v>26323</v>
      </c>
      <c r="BO950" s="348"/>
      <c r="BP950" s="351">
        <f>BM957</f>
        <v>27036</v>
      </c>
      <c r="BQ950" s="351">
        <f>BP957</f>
        <v>27039</v>
      </c>
      <c r="BR950" s="351">
        <f>BP950</f>
        <v>27036</v>
      </c>
      <c r="BT950" s="351">
        <f>BQ957</f>
        <v>27619</v>
      </c>
      <c r="BU950" s="351">
        <f>BT957</f>
        <v>33252</v>
      </c>
      <c r="BV950" s="351">
        <f>BT950</f>
        <v>27619</v>
      </c>
      <c r="BX950" s="351">
        <f>BU957</f>
        <v>33845</v>
      </c>
      <c r="BY950" s="351">
        <f>BX957</f>
        <v>34455</v>
      </c>
      <c r="BZ950" s="351">
        <f>BX950</f>
        <v>33845</v>
      </c>
      <c r="CB950" s="351">
        <f>BY957</f>
        <v>34971</v>
      </c>
      <c r="CC950" s="351">
        <f>CB957</f>
        <v>36776</v>
      </c>
      <c r="CD950" s="351">
        <f>CB950</f>
        <v>34971</v>
      </c>
      <c r="CF950" s="351">
        <f>CC957</f>
        <v>37270</v>
      </c>
      <c r="CG950" s="351">
        <f>CF957</f>
        <v>38015</v>
      </c>
      <c r="CH950" s="351">
        <f>CF950</f>
        <v>37270</v>
      </c>
      <c r="CJ950" s="351">
        <f>CG957</f>
        <v>38020</v>
      </c>
      <c r="CK950" s="351">
        <f>CJ957</f>
        <v>38126</v>
      </c>
      <c r="CL950" s="351">
        <f>CJ950</f>
        <v>38020</v>
      </c>
      <c r="CN950" s="351">
        <f>CK957</f>
        <v>38131</v>
      </c>
      <c r="CO950" s="351">
        <f>CN957</f>
        <v>38417</v>
      </c>
      <c r="CP950" s="351">
        <f>CN950</f>
        <v>38131</v>
      </c>
      <c r="CR950" s="351">
        <f>CO957</f>
        <v>38420</v>
      </c>
      <c r="CS950" s="351">
        <f>CR957</f>
        <v>36949</v>
      </c>
      <c r="CT950" s="351">
        <f>CR950</f>
        <v>38420</v>
      </c>
      <c r="CV950" s="351">
        <f>CS957</f>
        <v>36467</v>
      </c>
      <c r="CW950" s="351">
        <f>CV957</f>
        <v>35140</v>
      </c>
      <c r="CX950" s="351">
        <f>CV950</f>
        <v>36467</v>
      </c>
      <c r="CZ950" s="351">
        <f>CW957</f>
        <v>33913</v>
      </c>
      <c r="DA950" s="351">
        <f>CZ957</f>
        <v>33774</v>
      </c>
      <c r="DB950" s="351">
        <f>CZ950</f>
        <v>33913</v>
      </c>
      <c r="DD950" s="351">
        <f>DA957</f>
        <v>33635</v>
      </c>
      <c r="DE950" s="351">
        <f>DD957</f>
        <v>33586</v>
      </c>
      <c r="DF950" s="351">
        <f>DD950</f>
        <v>33635</v>
      </c>
      <c r="DH950" s="351">
        <f>DE957</f>
        <v>33560</v>
      </c>
      <c r="DI950" s="351">
        <f>DH957</f>
        <v>33580</v>
      </c>
      <c r="DJ950" s="351">
        <f>DH950</f>
        <v>33560</v>
      </c>
      <c r="DL950" s="351">
        <f>DI957</f>
        <v>33580</v>
      </c>
      <c r="DM950" s="351">
        <f ca="1">DL957</f>
        <v>33580</v>
      </c>
      <c r="DN950" s="351">
        <f>DL950</f>
        <v>33580</v>
      </c>
      <c r="DP950" s="351">
        <f ca="1">DM957</f>
        <v>33580</v>
      </c>
      <c r="DQ950" s="351">
        <f ca="1">DP957</f>
        <v>33580</v>
      </c>
      <c r="DR950" s="351">
        <f ca="1">DP950</f>
        <v>33580</v>
      </c>
    </row>
    <row r="951" spans="1:264" s="347" customFormat="1" x14ac:dyDescent="0.2">
      <c r="A951" s="347" t="s">
        <v>666</v>
      </c>
      <c r="B951" s="348"/>
      <c r="BH951" s="520">
        <v>0</v>
      </c>
      <c r="BI951" s="520">
        <v>0</v>
      </c>
      <c r="BJ951" s="351">
        <f t="shared" ref="BJ951:BJ956" si="834">SUM(BH951:BI951)</f>
        <v>0</v>
      </c>
      <c r="BK951" s="348"/>
      <c r="BL951" s="398">
        <v>0</v>
      </c>
      <c r="BM951" s="520">
        <v>0</v>
      </c>
      <c r="BN951" s="351">
        <f t="shared" ref="BN951:BN956" si="835">SUM(BL951:BM951)</f>
        <v>0</v>
      </c>
      <c r="BO951" s="348"/>
      <c r="BP951" s="398">
        <v>0</v>
      </c>
      <c r="BQ951" s="520">
        <v>0</v>
      </c>
      <c r="BR951" s="351">
        <f t="shared" ref="BR951:BR956" si="836">SUM(BP951:BQ951)</f>
        <v>0</v>
      </c>
      <c r="BT951" s="398">
        <v>5022</v>
      </c>
      <c r="BU951" s="520">
        <v>0</v>
      </c>
      <c r="BV951" s="351">
        <f t="shared" ref="BV951:BV956" si="837">SUM(BT951:BU951)</f>
        <v>5022</v>
      </c>
      <c r="BX951" s="398">
        <v>0</v>
      </c>
      <c r="BY951" s="398">
        <v>0</v>
      </c>
      <c r="BZ951" s="351">
        <f t="shared" ref="BZ951:BZ956" si="838">SUM(BX951:BY951)</f>
        <v>0</v>
      </c>
      <c r="CB951" s="398">
        <v>0</v>
      </c>
      <c r="CC951" s="398">
        <v>0</v>
      </c>
      <c r="CD951" s="351">
        <f t="shared" ref="CD951:CD956" si="839">SUM(CB951:CC951)</f>
        <v>0</v>
      </c>
      <c r="CF951" s="398">
        <v>0</v>
      </c>
      <c r="CG951" s="398">
        <v>0</v>
      </c>
      <c r="CH951" s="351">
        <f t="shared" ref="CH951:CH956" si="840">SUM(CF951:CG951)</f>
        <v>0</v>
      </c>
      <c r="CJ951" s="398">
        <v>0</v>
      </c>
      <c r="CK951" s="398">
        <v>0</v>
      </c>
      <c r="CL951" s="351">
        <f t="shared" ref="CL951:CL956" si="841">SUM(CJ951:CK951)</f>
        <v>0</v>
      </c>
      <c r="CN951" s="398">
        <v>0</v>
      </c>
      <c r="CO951" s="398">
        <v>0</v>
      </c>
      <c r="CP951" s="351">
        <f t="shared" ref="CP951:CP956" si="842">SUM(CN951:CO951)</f>
        <v>0</v>
      </c>
      <c r="CR951" s="398">
        <v>0</v>
      </c>
      <c r="CS951" s="398">
        <v>0</v>
      </c>
      <c r="CT951" s="351">
        <f t="shared" ref="CT951:CT956" si="843">SUM(CR951:CS951)</f>
        <v>0</v>
      </c>
      <c r="CV951" s="398">
        <v>0</v>
      </c>
      <c r="CW951" s="398">
        <v>0</v>
      </c>
      <c r="CX951" s="351">
        <f t="shared" ref="CX951:CX956" si="844">SUM(CV951:CW951)</f>
        <v>0</v>
      </c>
      <c r="CZ951" s="398">
        <v>0</v>
      </c>
      <c r="DA951" s="398">
        <v>0</v>
      </c>
      <c r="DB951" s="351">
        <f t="shared" ref="DB951:DB956" si="845">SUM(CZ951:DA951)</f>
        <v>0</v>
      </c>
      <c r="DD951" s="398">
        <v>0</v>
      </c>
      <c r="DE951" s="398">
        <v>0</v>
      </c>
      <c r="DF951" s="351">
        <f t="shared" ref="DF951:DF956" si="846">SUM(DD951:DE951)</f>
        <v>0</v>
      </c>
      <c r="DH951" s="398">
        <v>0</v>
      </c>
      <c r="DI951" s="351">
        <f>DH1093</f>
        <v>0</v>
      </c>
      <c r="DJ951" s="351">
        <f t="shared" ref="DJ951:DJ956" si="847">SUM(DH951:DI951)</f>
        <v>0</v>
      </c>
      <c r="DL951" s="351">
        <f ca="1">DI1093</f>
        <v>0</v>
      </c>
      <c r="DM951" s="351">
        <f ca="1">DL1093</f>
        <v>0</v>
      </c>
      <c r="DN951" s="351">
        <f t="shared" ref="DN951:DN956" ca="1" si="848">SUM(DL951:DM951)</f>
        <v>0</v>
      </c>
      <c r="DP951" s="351">
        <f ca="1">DM1093</f>
        <v>0</v>
      </c>
      <c r="DQ951" s="351">
        <f ca="1">DP1093</f>
        <v>0</v>
      </c>
      <c r="DR951" s="351">
        <f t="shared" ref="DR951:DR956" ca="1" si="849">SUM(DP951:DQ951)</f>
        <v>0</v>
      </c>
    </row>
    <row r="952" spans="1:264" s="347" customFormat="1" x14ac:dyDescent="0.2">
      <c r="A952" s="347" t="s">
        <v>667</v>
      </c>
      <c r="B952" s="348"/>
      <c r="BH952" s="520">
        <v>929</v>
      </c>
      <c r="BI952" s="351">
        <f>BH1078</f>
        <v>595.62586764000002</v>
      </c>
      <c r="BJ952" s="351">
        <f t="shared" si="834"/>
        <v>1524.62586764</v>
      </c>
      <c r="BK952" s="348"/>
      <c r="BL952" s="351">
        <f>BI1078</f>
        <v>722.14411852800004</v>
      </c>
      <c r="BM952" s="351">
        <f>BL1078</f>
        <v>706.95914477119993</v>
      </c>
      <c r="BN952" s="351">
        <f t="shared" si="835"/>
        <v>1429.1032632992001</v>
      </c>
      <c r="BO952" s="489">
        <f>BM952/BM1237</f>
        <v>2.0933602142966701E-3</v>
      </c>
      <c r="BP952" s="351">
        <f>BM1078</f>
        <v>704.42103549395597</v>
      </c>
      <c r="BQ952" s="351">
        <f>BP1078</f>
        <v>572.52134394000007</v>
      </c>
      <c r="BR952" s="351">
        <f t="shared" si="836"/>
        <v>1276.9423794339559</v>
      </c>
      <c r="BT952" s="351">
        <f>BQ1078</f>
        <v>657.11185149999994</v>
      </c>
      <c r="BU952" s="399">
        <v>552</v>
      </c>
      <c r="BV952" s="351">
        <f t="shared" si="837"/>
        <v>1209.1118514999998</v>
      </c>
      <c r="BX952" s="351">
        <f>BU1078</f>
        <v>586.25041940000006</v>
      </c>
      <c r="BY952" s="520">
        <v>557</v>
      </c>
      <c r="BZ952" s="351">
        <f t="shared" si="838"/>
        <v>1143.2504194000001</v>
      </c>
      <c r="CB952" s="420">
        <f>BY1078</f>
        <v>1573.0963510900001</v>
      </c>
      <c r="CC952" s="520">
        <v>533</v>
      </c>
      <c r="CD952" s="351">
        <f t="shared" si="839"/>
        <v>2106.0963510900001</v>
      </c>
      <c r="CF952" s="420">
        <f>CC1078</f>
        <v>749.32</v>
      </c>
      <c r="CG952" s="398">
        <f>CF1078</f>
        <v>591.94370117999995</v>
      </c>
      <c r="CH952" s="351">
        <f t="shared" si="840"/>
        <v>1341.26370118</v>
      </c>
      <c r="CJ952" s="420">
        <f>CG1078</f>
        <v>613.96650384999998</v>
      </c>
      <c r="CK952" s="420">
        <f>CJ1078</f>
        <v>519.4862333100001</v>
      </c>
      <c r="CL952" s="351">
        <f t="shared" si="841"/>
        <v>1133.4527371600002</v>
      </c>
      <c r="CN952" s="420">
        <f>CK1078</f>
        <v>264.31356259</v>
      </c>
      <c r="CO952" s="420">
        <f>CN1078</f>
        <v>415.13629849999995</v>
      </c>
      <c r="CP952" s="351">
        <f t="shared" si="842"/>
        <v>679.44986109000001</v>
      </c>
      <c r="CR952" s="420">
        <f>CO1078</f>
        <v>571.25904402000003</v>
      </c>
      <c r="CS952" s="420">
        <f>CR1078</f>
        <v>500.18603862937505</v>
      </c>
      <c r="CT952" s="351">
        <f t="shared" si="843"/>
        <v>1071.4450826493751</v>
      </c>
      <c r="CV952" s="420">
        <f>CS1078</f>
        <v>596.72951898420001</v>
      </c>
      <c r="CW952" s="420">
        <f>CV1078</f>
        <v>595.67251882319999</v>
      </c>
      <c r="CX952" s="351">
        <f t="shared" si="844"/>
        <v>1192.4020378074001</v>
      </c>
      <c r="CZ952" s="420">
        <f>CW1078</f>
        <v>727</v>
      </c>
      <c r="DA952" s="420">
        <f>CZ1078</f>
        <v>481</v>
      </c>
      <c r="DB952" s="351">
        <f t="shared" si="845"/>
        <v>1208</v>
      </c>
      <c r="DD952" s="420">
        <f>DA1078</f>
        <v>758</v>
      </c>
      <c r="DE952" s="420">
        <f>DD1078</f>
        <v>682</v>
      </c>
      <c r="DF952" s="351">
        <f t="shared" si="846"/>
        <v>1440</v>
      </c>
      <c r="DH952" s="420">
        <f>DE1078</f>
        <v>643</v>
      </c>
      <c r="DI952" s="351">
        <f>DH1078</f>
        <v>589.895481195</v>
      </c>
      <c r="DJ952" s="351">
        <f t="shared" si="847"/>
        <v>1232.895481195</v>
      </c>
      <c r="DL952" s="351">
        <f>DI1078</f>
        <v>701.95674318166164</v>
      </c>
      <c r="DM952" s="351">
        <f>DL1078</f>
        <v>652.4253175130109</v>
      </c>
      <c r="DN952" s="351">
        <f t="shared" si="848"/>
        <v>1354.3820606946724</v>
      </c>
      <c r="DP952" s="351">
        <f>DM1078</f>
        <v>752.65872140933311</v>
      </c>
      <c r="DQ952" s="351">
        <f>DP1078</f>
        <v>676.7150036149086</v>
      </c>
      <c r="DR952" s="351">
        <f t="shared" si="849"/>
        <v>1429.3737250242416</v>
      </c>
    </row>
    <row r="953" spans="1:264" s="347" customFormat="1" x14ac:dyDescent="0.2">
      <c r="A953" s="347" t="s">
        <v>668</v>
      </c>
      <c r="B953" s="348"/>
      <c r="BH953" s="520">
        <v>0</v>
      </c>
      <c r="BI953" s="398">
        <f>-BI952</f>
        <v>-595.62586764000002</v>
      </c>
      <c r="BJ953" s="351">
        <f t="shared" si="834"/>
        <v>-595.62586764000002</v>
      </c>
      <c r="BK953" s="348"/>
      <c r="BL953" s="398">
        <f>-BL952</f>
        <v>-722.14411852800004</v>
      </c>
      <c r="BM953" s="398">
        <v>0</v>
      </c>
      <c r="BN953" s="351">
        <f t="shared" si="835"/>
        <v>-722.14411852800004</v>
      </c>
      <c r="BO953" s="348"/>
      <c r="BP953" s="398">
        <v>-727</v>
      </c>
      <c r="BQ953" s="398">
        <v>0</v>
      </c>
      <c r="BR953" s="351">
        <f t="shared" si="836"/>
        <v>-727</v>
      </c>
      <c r="BT953" s="398">
        <v>0</v>
      </c>
      <c r="BU953" s="398">
        <v>0</v>
      </c>
      <c r="BV953" s="351">
        <f t="shared" si="837"/>
        <v>0</v>
      </c>
      <c r="BX953" s="398">
        <v>0</v>
      </c>
      <c r="BY953" s="398">
        <v>0</v>
      </c>
      <c r="BZ953" s="351">
        <f t="shared" si="838"/>
        <v>0</v>
      </c>
      <c r="CB953" s="398">
        <v>0</v>
      </c>
      <c r="CC953" s="398">
        <v>0</v>
      </c>
      <c r="CD953" s="351">
        <f t="shared" si="839"/>
        <v>0</v>
      </c>
      <c r="CF953" s="398">
        <v>0</v>
      </c>
      <c r="CG953" s="398">
        <f>-CG952</f>
        <v>-591.94370117999995</v>
      </c>
      <c r="CH953" s="351">
        <f t="shared" si="840"/>
        <v>-591.94370117999995</v>
      </c>
      <c r="CJ953" s="398">
        <v>-616</v>
      </c>
      <c r="CK953" s="420">
        <f>-CK952</f>
        <v>-519.4862333100001</v>
      </c>
      <c r="CL953" s="351">
        <f t="shared" si="841"/>
        <v>-1135.48623331</v>
      </c>
      <c r="CN953" s="398">
        <v>0</v>
      </c>
      <c r="CO953" s="420">
        <f>-CO952</f>
        <v>-415.13629849999995</v>
      </c>
      <c r="CP953" s="351">
        <f t="shared" si="842"/>
        <v>-415.13629849999995</v>
      </c>
      <c r="CR953" s="398">
        <f>-CR952</f>
        <v>-571.25904402000003</v>
      </c>
      <c r="CS953" s="398">
        <f>-CS952</f>
        <v>-500.18603862937505</v>
      </c>
      <c r="CT953" s="351">
        <f t="shared" si="843"/>
        <v>-1071.4450826493751</v>
      </c>
      <c r="CV953" s="398">
        <f>-CV952</f>
        <v>-596.72951898420001</v>
      </c>
      <c r="CW953" s="398">
        <f>-CW952</f>
        <v>-595.67251882319999</v>
      </c>
      <c r="CX953" s="351">
        <f t="shared" si="844"/>
        <v>-1192.4020378074001</v>
      </c>
      <c r="CZ953" s="398">
        <v>-727</v>
      </c>
      <c r="DA953" s="398">
        <v>-481</v>
      </c>
      <c r="DB953" s="351">
        <f t="shared" si="845"/>
        <v>-1208</v>
      </c>
      <c r="DD953" s="398">
        <v>-758</v>
      </c>
      <c r="DE953" s="398">
        <v>-682</v>
      </c>
      <c r="DF953" s="351">
        <f t="shared" si="846"/>
        <v>-1440</v>
      </c>
      <c r="DH953" s="398">
        <v>-643</v>
      </c>
      <c r="DI953" s="351">
        <f>DH1082</f>
        <v>-589.895481195</v>
      </c>
      <c r="DJ953" s="351">
        <f t="shared" si="847"/>
        <v>-1232.895481195</v>
      </c>
      <c r="DL953" s="351">
        <f>DI1082</f>
        <v>-701.95674318166164</v>
      </c>
      <c r="DM953" s="351">
        <f>DL1082</f>
        <v>-652.4253175130109</v>
      </c>
      <c r="DN953" s="351">
        <f t="shared" si="848"/>
        <v>-1354.3820606946724</v>
      </c>
      <c r="DP953" s="351">
        <f>DM1082</f>
        <v>-752.65872140933311</v>
      </c>
      <c r="DQ953" s="351">
        <f>DP1082</f>
        <v>-676.7150036149086</v>
      </c>
      <c r="DR953" s="351">
        <f t="shared" si="849"/>
        <v>-1429.3737250242416</v>
      </c>
    </row>
    <row r="954" spans="1:264" s="347" customFormat="1" x14ac:dyDescent="0.2">
      <c r="A954" s="347" t="s">
        <v>669</v>
      </c>
      <c r="B954" s="348"/>
      <c r="BH954" s="520">
        <v>0</v>
      </c>
      <c r="BI954" s="520">
        <v>0</v>
      </c>
      <c r="BJ954" s="351">
        <f t="shared" si="834"/>
        <v>0</v>
      </c>
      <c r="BK954" s="348"/>
      <c r="BL954" s="398">
        <v>0</v>
      </c>
      <c r="BM954" s="520">
        <v>0</v>
      </c>
      <c r="BN954" s="351">
        <f t="shared" si="835"/>
        <v>0</v>
      </c>
      <c r="BO954" s="348"/>
      <c r="BP954" s="398">
        <v>0</v>
      </c>
      <c r="BQ954" s="520">
        <v>0</v>
      </c>
      <c r="BR954" s="351">
        <f t="shared" si="836"/>
        <v>0</v>
      </c>
      <c r="BT954" s="398">
        <v>0</v>
      </c>
      <c r="BU954" s="520">
        <v>0</v>
      </c>
      <c r="BV954" s="351">
        <f t="shared" si="837"/>
        <v>0</v>
      </c>
      <c r="BX954" s="398">
        <v>0</v>
      </c>
      <c r="BY954" s="398">
        <v>0</v>
      </c>
      <c r="BZ954" s="351">
        <f t="shared" si="838"/>
        <v>0</v>
      </c>
      <c r="CB954" s="398">
        <v>0</v>
      </c>
      <c r="CC954" s="398">
        <v>0</v>
      </c>
      <c r="CD954" s="351">
        <f t="shared" si="839"/>
        <v>0</v>
      </c>
      <c r="CF954" s="398">
        <v>0</v>
      </c>
      <c r="CG954" s="398">
        <v>0</v>
      </c>
      <c r="CH954" s="351">
        <f t="shared" si="840"/>
        <v>0</v>
      </c>
      <c r="CJ954" s="398">
        <v>0</v>
      </c>
      <c r="CK954" s="398">
        <v>0</v>
      </c>
      <c r="CL954" s="351">
        <f t="shared" si="841"/>
        <v>0</v>
      </c>
      <c r="CM954" s="400"/>
      <c r="CN954" s="398">
        <v>0</v>
      </c>
      <c r="CO954" s="398">
        <v>0</v>
      </c>
      <c r="CP954" s="351">
        <f t="shared" si="842"/>
        <v>0</v>
      </c>
      <c r="CR954" s="398">
        <v>-1467</v>
      </c>
      <c r="CS954" s="398">
        <v>-470</v>
      </c>
      <c r="CT954" s="351">
        <f t="shared" si="843"/>
        <v>-1937</v>
      </c>
      <c r="CV954" s="398">
        <v>-1331</v>
      </c>
      <c r="CW954" s="398">
        <v>-1202</v>
      </c>
      <c r="CX954" s="351">
        <f t="shared" si="844"/>
        <v>-2533</v>
      </c>
      <c r="CZ954" s="398">
        <v>-154</v>
      </c>
      <c r="DA954" s="398">
        <v>-128</v>
      </c>
      <c r="DB954" s="351">
        <f t="shared" si="845"/>
        <v>-282</v>
      </c>
      <c r="DD954" s="398">
        <v>-18</v>
      </c>
      <c r="DE954" s="398">
        <v>0</v>
      </c>
      <c r="DF954" s="351">
        <f t="shared" si="846"/>
        <v>-18</v>
      </c>
      <c r="DH954" s="398">
        <v>0</v>
      </c>
      <c r="DI954" s="351">
        <f>DH1102</f>
        <v>0</v>
      </c>
      <c r="DJ954" s="351">
        <f t="shared" si="847"/>
        <v>0</v>
      </c>
      <c r="DL954" s="351">
        <f>DI1102</f>
        <v>0</v>
      </c>
      <c r="DM954" s="351">
        <f>DL1102</f>
        <v>0</v>
      </c>
      <c r="DN954" s="351">
        <f t="shared" si="848"/>
        <v>0</v>
      </c>
      <c r="DP954" s="351">
        <f>DM1102</f>
        <v>0</v>
      </c>
      <c r="DQ954" s="351">
        <f>DP1102</f>
        <v>0</v>
      </c>
      <c r="DR954" s="351">
        <f t="shared" si="849"/>
        <v>0</v>
      </c>
    </row>
    <row r="955" spans="1:264" s="347" customFormat="1" x14ac:dyDescent="0.2">
      <c r="A955" s="463" t="s">
        <v>670</v>
      </c>
      <c r="B955" s="466"/>
      <c r="C955" s="463"/>
      <c r="D955" s="463"/>
      <c r="E955" s="463"/>
      <c r="F955" s="463"/>
      <c r="G955" s="463"/>
      <c r="H955" s="463"/>
      <c r="I955" s="463"/>
      <c r="J955" s="463"/>
      <c r="K955" s="463"/>
      <c r="L955" s="463"/>
      <c r="M955" s="463"/>
      <c r="N955" s="463"/>
      <c r="O955" s="463"/>
      <c r="P955" s="463"/>
      <c r="Q955" s="463"/>
      <c r="R955" s="463"/>
      <c r="S955" s="463"/>
      <c r="T955" s="463"/>
      <c r="U955" s="463"/>
      <c r="V955" s="463"/>
      <c r="W955" s="463"/>
      <c r="X955" s="463"/>
      <c r="Y955" s="463"/>
      <c r="Z955" s="463"/>
      <c r="AA955" s="463"/>
      <c r="AB955" s="463"/>
      <c r="AC955" s="463"/>
      <c r="AD955" s="463"/>
      <c r="AE955" s="463"/>
      <c r="AF955" s="463"/>
      <c r="AG955" s="463"/>
      <c r="AH955" s="463"/>
      <c r="AI955" s="463"/>
      <c r="AJ955" s="463"/>
      <c r="AK955" s="463"/>
      <c r="AL955" s="463"/>
      <c r="AM955" s="463"/>
      <c r="AN955" s="463"/>
      <c r="AO955" s="463"/>
      <c r="AP955" s="463"/>
      <c r="AQ955" s="463"/>
      <c r="AR955" s="463"/>
      <c r="AS955" s="463"/>
      <c r="AT955" s="463"/>
      <c r="AU955" s="463"/>
      <c r="AV955" s="463"/>
      <c r="AW955" s="463"/>
      <c r="AX955" s="463"/>
      <c r="AY955" s="463"/>
      <c r="AZ955" s="463"/>
      <c r="BA955" s="463"/>
      <c r="BB955" s="463"/>
      <c r="BC955" s="463"/>
      <c r="BD955" s="463"/>
      <c r="BE955" s="463"/>
      <c r="BF955" s="463"/>
      <c r="BG955" s="463"/>
      <c r="BH955" s="720">
        <f>77-55</f>
        <v>22</v>
      </c>
      <c r="BI955" s="720">
        <f>613-609</f>
        <v>4</v>
      </c>
      <c r="BJ955" s="466">
        <f t="shared" si="834"/>
        <v>26</v>
      </c>
      <c r="BK955" s="466"/>
      <c r="BL955" s="464">
        <f>808-804</f>
        <v>4</v>
      </c>
      <c r="BM955" s="720">
        <f>-9+11</f>
        <v>2</v>
      </c>
      <c r="BN955" s="466">
        <f t="shared" si="835"/>
        <v>6</v>
      </c>
      <c r="BO955" s="466"/>
      <c r="BP955" s="464">
        <f>-727+730</f>
        <v>3</v>
      </c>
      <c r="BQ955" s="720">
        <f>-63+72</f>
        <v>9</v>
      </c>
      <c r="BR955" s="466">
        <f t="shared" si="836"/>
        <v>12</v>
      </c>
      <c r="BS955" s="463"/>
      <c r="BT955" s="464">
        <f>-99+53</f>
        <v>-46</v>
      </c>
      <c r="BU955" s="720">
        <f>-9+50</f>
        <v>41</v>
      </c>
      <c r="BV955" s="466">
        <f t="shared" si="837"/>
        <v>-5</v>
      </c>
      <c r="BW955" s="463"/>
      <c r="BX955" s="464">
        <f>-27+57</f>
        <v>30</v>
      </c>
      <c r="BY955" s="464">
        <f>-65+24</f>
        <v>-41</v>
      </c>
      <c r="BZ955" s="466">
        <f t="shared" si="838"/>
        <v>-11</v>
      </c>
      <c r="CA955" s="463"/>
      <c r="CB955" s="464">
        <f>-12+81</f>
        <v>69</v>
      </c>
      <c r="CC955" s="464">
        <f>-83+44</f>
        <v>-39</v>
      </c>
      <c r="CD955" s="466">
        <f t="shared" si="839"/>
        <v>30</v>
      </c>
      <c r="CE955" s="463"/>
      <c r="CF955" s="464">
        <f>-74+71</f>
        <v>-3</v>
      </c>
      <c r="CG955" s="464">
        <f>-19+24</f>
        <v>5</v>
      </c>
      <c r="CH955" s="466">
        <f t="shared" si="840"/>
        <v>2</v>
      </c>
      <c r="CI955" s="463"/>
      <c r="CJ955" s="464">
        <f>-54+79+82</f>
        <v>107</v>
      </c>
      <c r="CK955" s="464">
        <f>-11+16</f>
        <v>5</v>
      </c>
      <c r="CL955" s="466">
        <f t="shared" si="841"/>
        <v>112</v>
      </c>
      <c r="CM955" s="463"/>
      <c r="CN955" s="464">
        <f>84-62</f>
        <v>22</v>
      </c>
      <c r="CO955" s="464">
        <f>-11+16</f>
        <v>5</v>
      </c>
      <c r="CP955" s="466">
        <f t="shared" si="842"/>
        <v>27</v>
      </c>
      <c r="CQ955" s="463"/>
      <c r="CR955" s="464">
        <f>-61+58</f>
        <v>-3</v>
      </c>
      <c r="CS955" s="464">
        <f>-15+3</f>
        <v>-12</v>
      </c>
      <c r="CT955" s="466">
        <f t="shared" si="843"/>
        <v>-15</v>
      </c>
      <c r="CU955" s="463"/>
      <c r="CV955" s="464">
        <f>-69+73</f>
        <v>4</v>
      </c>
      <c r="CW955" s="464">
        <f>-32+7</f>
        <v>-25</v>
      </c>
      <c r="CX955" s="466">
        <f t="shared" si="844"/>
        <v>-21</v>
      </c>
      <c r="CY955" s="463"/>
      <c r="CZ955" s="464">
        <f>-66+81</f>
        <v>15</v>
      </c>
      <c r="DA955" s="464">
        <f>-14+3</f>
        <v>-11</v>
      </c>
      <c r="DB955" s="466">
        <f t="shared" si="845"/>
        <v>4</v>
      </c>
      <c r="DC955" s="463"/>
      <c r="DD955" s="464">
        <f>-105+74</f>
        <v>-31</v>
      </c>
      <c r="DE955" s="464">
        <f>-31+5</f>
        <v>-26</v>
      </c>
      <c r="DF955" s="466">
        <f t="shared" si="846"/>
        <v>-57</v>
      </c>
      <c r="DG955" s="463"/>
      <c r="DH955" s="464">
        <f>-73+93</f>
        <v>20</v>
      </c>
      <c r="DI955" s="464">
        <v>0</v>
      </c>
      <c r="DJ955" s="485">
        <f t="shared" si="847"/>
        <v>20</v>
      </c>
      <c r="DK955" s="463"/>
      <c r="DL955" s="464">
        <v>0</v>
      </c>
      <c r="DM955" s="464">
        <v>0</v>
      </c>
      <c r="DN955" s="485">
        <f t="shared" si="848"/>
        <v>0</v>
      </c>
      <c r="DO955" s="463"/>
      <c r="DP955" s="464">
        <v>0</v>
      </c>
      <c r="DQ955" s="464">
        <v>0</v>
      </c>
      <c r="DR955" s="485">
        <f t="shared" si="849"/>
        <v>0</v>
      </c>
      <c r="DS955" s="463"/>
    </row>
    <row r="956" spans="1:264" s="347" customFormat="1" x14ac:dyDescent="0.2">
      <c r="A956" s="347" t="s">
        <v>671</v>
      </c>
      <c r="B956" s="348"/>
      <c r="BH956" s="351">
        <f>+BH957-SUM(BH950:BH955)</f>
        <v>0</v>
      </c>
      <c r="BI956" s="351">
        <f>+BI957-SUM(BI950:BI955)</f>
        <v>193</v>
      </c>
      <c r="BJ956" s="348">
        <f t="shared" si="834"/>
        <v>193</v>
      </c>
      <c r="BK956" s="348"/>
      <c r="BL956" s="351">
        <f>+BL957-SUM(BL950:BL955)</f>
        <v>0</v>
      </c>
      <c r="BM956" s="351">
        <f>+BM957-SUM(BM950:BM955)</f>
        <v>4.0855228799046017E-2</v>
      </c>
      <c r="BN956" s="351">
        <f t="shared" si="835"/>
        <v>4.0855228799046017E-2</v>
      </c>
      <c r="BO956" s="348"/>
      <c r="BP956" s="351">
        <f>+BP957-SUM(BP950:BP955)</f>
        <v>22.578964506043121</v>
      </c>
      <c r="BQ956" s="351">
        <f>+BQ957-SUM(BQ950:BQ955)</f>
        <v>-1.5213439399994968</v>
      </c>
      <c r="BR956" s="351">
        <f t="shared" si="836"/>
        <v>21.057620566043624</v>
      </c>
      <c r="BT956" s="351">
        <f>+BT957-SUM(BT950:BT955)</f>
        <v>-0.11185149999801069</v>
      </c>
      <c r="BU956" s="351">
        <f>+BU957-SUM(BU950:BU955)</f>
        <v>0</v>
      </c>
      <c r="BV956" s="351">
        <f t="shared" si="837"/>
        <v>-0.11185149999801069</v>
      </c>
      <c r="BX956" s="351">
        <f>+BX957-SUM(BX950:BX955)</f>
        <v>-6.2504193999993731</v>
      </c>
      <c r="BY956" s="351">
        <f>+BY957-SUM(BY950:BY955)</f>
        <v>0</v>
      </c>
      <c r="BZ956" s="351">
        <f t="shared" si="838"/>
        <v>-6.2504193999993731</v>
      </c>
      <c r="CB956" s="351">
        <f>+CB957-SUM(CB950:CB955)</f>
        <v>162.90364890999626</v>
      </c>
      <c r="CC956" s="351">
        <f>+CC957-SUM(CC950:CC955)</f>
        <v>0</v>
      </c>
      <c r="CD956" s="351">
        <f t="shared" si="839"/>
        <v>162.90364890999626</v>
      </c>
      <c r="CF956" s="351">
        <f>+CF957-SUM(CF950:CF955)</f>
        <v>-1.319999999999709</v>
      </c>
      <c r="CG956" s="351">
        <f>+CG957-SUM(CG950:CG955)</f>
        <v>0</v>
      </c>
      <c r="CH956" s="351">
        <f t="shared" si="840"/>
        <v>-1.319999999999709</v>
      </c>
      <c r="CJ956" s="351">
        <f>+CJ957-SUM(CJ950:CJ955)</f>
        <v>1.0334961499975179</v>
      </c>
      <c r="CK956" s="420">
        <f>+CK957-SUM(CK950:CK955)</f>
        <v>0</v>
      </c>
      <c r="CL956" s="351">
        <f t="shared" si="841"/>
        <v>1.0334961499975179</v>
      </c>
      <c r="CN956" s="351">
        <f>+CN957-SUM(CN950:CN955)</f>
        <v>-0.31356259000313003</v>
      </c>
      <c r="CO956" s="420">
        <f>+CO957-SUM(CO950:CO955)</f>
        <v>-2</v>
      </c>
      <c r="CP956" s="351">
        <f t="shared" si="842"/>
        <v>-2.31356259000313</v>
      </c>
      <c r="CR956" s="351">
        <f>+CR957-SUM(CR950:CR955)</f>
        <v>-1</v>
      </c>
      <c r="CS956" s="420">
        <f>+CS957-SUM(CS950:CS955)</f>
        <v>0</v>
      </c>
      <c r="CT956" s="351">
        <f t="shared" si="843"/>
        <v>-1</v>
      </c>
      <c r="CV956" s="351">
        <f>+CV957-SUM(CV950:CV955)</f>
        <v>0</v>
      </c>
      <c r="CW956" s="420">
        <f>+CW957-SUM(CW950:CW955)</f>
        <v>0</v>
      </c>
      <c r="CX956" s="351">
        <f t="shared" si="844"/>
        <v>0</v>
      </c>
      <c r="CZ956" s="351">
        <f>+CZ957-SUM(CZ950:CZ955)</f>
        <v>0</v>
      </c>
      <c r="DA956" s="420">
        <f>+DA957-SUM(DA950:DA955)</f>
        <v>0</v>
      </c>
      <c r="DB956" s="351">
        <f t="shared" si="845"/>
        <v>0</v>
      </c>
      <c r="DD956" s="351">
        <f>+DD957-SUM(DD950:DD955)</f>
        <v>0</v>
      </c>
      <c r="DE956" s="420">
        <f>+DE957-SUM(DE950:DE955)</f>
        <v>0</v>
      </c>
      <c r="DF956" s="351">
        <f t="shared" si="846"/>
        <v>0</v>
      </c>
      <c r="DH956" s="351">
        <f>+DH957-SUM(DH950:DH955)</f>
        <v>0</v>
      </c>
      <c r="DI956" s="351">
        <f>DI1109</f>
        <v>0</v>
      </c>
      <c r="DJ956" s="351">
        <f t="shared" si="847"/>
        <v>0</v>
      </c>
      <c r="DL956" s="351">
        <f>DL1109</f>
        <v>0</v>
      </c>
      <c r="DM956" s="351">
        <f ca="1">DM1109</f>
        <v>0</v>
      </c>
      <c r="DN956" s="351">
        <f t="shared" ca="1" si="848"/>
        <v>0</v>
      </c>
      <c r="DP956" s="351">
        <f ca="1">DP1109</f>
        <v>0</v>
      </c>
      <c r="DQ956" s="351">
        <f ca="1">DQ1109</f>
        <v>0</v>
      </c>
      <c r="DR956" s="351">
        <f t="shared" ca="1" si="849"/>
        <v>0</v>
      </c>
    </row>
    <row r="957" spans="1:264" s="347" customFormat="1" x14ac:dyDescent="0.2">
      <c r="A957" s="411" t="s">
        <v>319</v>
      </c>
      <c r="B957" s="348"/>
      <c r="BH957" s="397">
        <f>BH941</f>
        <v>26126</v>
      </c>
      <c r="BI957" s="397">
        <f>BI941</f>
        <v>26323</v>
      </c>
      <c r="BJ957" s="397">
        <f>SUM(BJ950:BJ956)</f>
        <v>26323</v>
      </c>
      <c r="BK957" s="348"/>
      <c r="BL957" s="397">
        <f>BL941</f>
        <v>26327</v>
      </c>
      <c r="BM957" s="397">
        <f>BM941</f>
        <v>27036</v>
      </c>
      <c r="BN957" s="397">
        <f>SUM(BN950:BN956)</f>
        <v>27036</v>
      </c>
      <c r="BO957" s="348"/>
      <c r="BP957" s="397">
        <f>BP941</f>
        <v>27039</v>
      </c>
      <c r="BQ957" s="397">
        <f>BQ941</f>
        <v>27619</v>
      </c>
      <c r="BR957" s="397">
        <f>SUM(BR950:BR956)</f>
        <v>27619</v>
      </c>
      <c r="BT957" s="397">
        <f>BT941</f>
        <v>33252</v>
      </c>
      <c r="BU957" s="397">
        <f>BU941</f>
        <v>33845</v>
      </c>
      <c r="BV957" s="397">
        <f>SUM(BV950:BV956)</f>
        <v>33845</v>
      </c>
      <c r="BX957" s="397">
        <f>BX941</f>
        <v>34455</v>
      </c>
      <c r="BY957" s="397">
        <f>BY941</f>
        <v>34971</v>
      </c>
      <c r="BZ957" s="397">
        <f>SUM(BZ950:BZ956)</f>
        <v>34971</v>
      </c>
      <c r="CB957" s="397">
        <f>CB941</f>
        <v>36776</v>
      </c>
      <c r="CC957" s="397">
        <f>CC941</f>
        <v>37270</v>
      </c>
      <c r="CD957" s="397">
        <f>SUM(CD950:CD956)</f>
        <v>37270</v>
      </c>
      <c r="CF957" s="397">
        <f>CF941</f>
        <v>38015</v>
      </c>
      <c r="CG957" s="397">
        <f>CG941</f>
        <v>38020</v>
      </c>
      <c r="CH957" s="397">
        <f>SUM(CH950:CH956)</f>
        <v>38020.000000000007</v>
      </c>
      <c r="CJ957" s="397">
        <f>CJ941</f>
        <v>38126</v>
      </c>
      <c r="CK957" s="397">
        <f>CK941</f>
        <v>38131</v>
      </c>
      <c r="CL957" s="397">
        <f>SUM(CL950:CL956)</f>
        <v>38130.999999999993</v>
      </c>
      <c r="CN957" s="397">
        <f>CN941</f>
        <v>38417</v>
      </c>
      <c r="CO957" s="397">
        <f>CO941</f>
        <v>38420</v>
      </c>
      <c r="CP957" s="397">
        <f>SUM(CP950:CP956)</f>
        <v>38419.999999999993</v>
      </c>
      <c r="CR957" s="397">
        <f>CR941</f>
        <v>36949</v>
      </c>
      <c r="CS957" s="397">
        <f>CS941</f>
        <v>36467</v>
      </c>
      <c r="CT957" s="397">
        <f>SUM(CT950:CT956)</f>
        <v>36467</v>
      </c>
      <c r="CV957" s="397">
        <f>CV941</f>
        <v>35140</v>
      </c>
      <c r="CW957" s="397">
        <f>CW941</f>
        <v>33913</v>
      </c>
      <c r="CX957" s="397">
        <f>SUM(CX950:CX956)</f>
        <v>33913</v>
      </c>
      <c r="CZ957" s="397">
        <f>CZ941</f>
        <v>33774</v>
      </c>
      <c r="DA957" s="397">
        <f>DA941</f>
        <v>33635</v>
      </c>
      <c r="DB957" s="397">
        <f>SUM(DB950:DB956)</f>
        <v>33635</v>
      </c>
      <c r="DD957" s="397">
        <f>DD941</f>
        <v>33586</v>
      </c>
      <c r="DE957" s="397">
        <f>DE941</f>
        <v>33560</v>
      </c>
      <c r="DF957" s="397">
        <f>SUM(DF950:DF956)</f>
        <v>33560</v>
      </c>
      <c r="DH957" s="397">
        <f>DH941</f>
        <v>33580</v>
      </c>
      <c r="DI957" s="397">
        <f>SUM(DI950:DI956)</f>
        <v>33580</v>
      </c>
      <c r="DJ957" s="397">
        <f>SUM(DJ950:DJ956)</f>
        <v>33580</v>
      </c>
      <c r="DL957" s="397">
        <f ca="1">SUM(DL950:DL956)</f>
        <v>33580</v>
      </c>
      <c r="DM957" s="397">
        <f ca="1">SUM(DM950:DM956)</f>
        <v>33580</v>
      </c>
      <c r="DN957" s="397">
        <f ca="1">SUM(DN950:DN956)</f>
        <v>33580</v>
      </c>
      <c r="DP957" s="397">
        <f ca="1">SUM(DP950:DP956)</f>
        <v>33580</v>
      </c>
      <c r="DQ957" s="397">
        <f ca="1">SUM(DQ950:DQ956)</f>
        <v>33580</v>
      </c>
      <c r="DR957" s="397">
        <f ca="1">SUM(DR950:DR956)</f>
        <v>33580</v>
      </c>
    </row>
    <row r="958" spans="1:264" s="347" customFormat="1" x14ac:dyDescent="0.2">
      <c r="B958" s="348"/>
      <c r="BH958" s="348"/>
      <c r="BI958" s="348"/>
      <c r="BJ958" s="348"/>
      <c r="BK958" s="348"/>
      <c r="BL958" s="348"/>
      <c r="BM958" s="348"/>
      <c r="BN958" s="348"/>
      <c r="BO958" s="348"/>
      <c r="BP958" s="348"/>
      <c r="BQ958" s="348"/>
      <c r="BR958" s="348"/>
      <c r="BT958" s="348"/>
      <c r="BU958" s="348"/>
      <c r="BV958" s="348"/>
      <c r="BX958" s="348"/>
      <c r="CB958" s="348"/>
      <c r="CF958" s="348"/>
      <c r="CJ958" s="348"/>
      <c r="CN958" s="348"/>
      <c r="CR958" s="348"/>
      <c r="CV958" s="348"/>
      <c r="CZ958" s="348"/>
      <c r="DD958" s="348"/>
      <c r="DH958" s="348"/>
      <c r="DL958" s="348"/>
      <c r="DP958" s="348"/>
    </row>
    <row r="959" spans="1:264" s="347" customFormat="1" x14ac:dyDescent="0.2">
      <c r="A959" s="411" t="s">
        <v>661</v>
      </c>
      <c r="B959" s="348"/>
      <c r="BH959" s="348"/>
      <c r="BI959" s="348"/>
      <c r="BJ959" s="348"/>
      <c r="BK959" s="348"/>
      <c r="BL959" s="348"/>
      <c r="BM959" s="348"/>
      <c r="BN959" s="348"/>
      <c r="BO959" s="348"/>
      <c r="BP959" s="348"/>
      <c r="BQ959" s="348"/>
      <c r="BR959" s="348"/>
      <c r="BT959" s="348"/>
      <c r="BU959" s="348"/>
      <c r="BV959" s="348"/>
      <c r="BX959" s="348"/>
      <c r="CB959" s="348"/>
      <c r="CF959" s="348"/>
      <c r="CJ959" s="348"/>
      <c r="CN959" s="348"/>
      <c r="CR959" s="348"/>
      <c r="CV959" s="348"/>
      <c r="CZ959" s="348"/>
      <c r="DD959" s="348"/>
      <c r="DH959" s="348"/>
      <c r="DL959" s="348"/>
      <c r="DP959" s="348"/>
    </row>
    <row r="960" spans="1:264" s="347" customFormat="1" x14ac:dyDescent="0.2">
      <c r="A960" s="347" t="s">
        <v>313</v>
      </c>
      <c r="B960" s="348"/>
      <c r="BH960" s="398">
        <v>13356</v>
      </c>
      <c r="BI960" s="351">
        <f>BH970</f>
        <v>14489</v>
      </c>
      <c r="BJ960" s="351">
        <f>BH960</f>
        <v>13356</v>
      </c>
      <c r="BK960" s="348"/>
      <c r="BL960" s="351">
        <f>BI970</f>
        <v>16405</v>
      </c>
      <c r="BM960" s="351">
        <f>BL970</f>
        <v>17455</v>
      </c>
      <c r="BN960" s="351">
        <f>BL960</f>
        <v>16405</v>
      </c>
      <c r="BO960" s="348"/>
      <c r="BP960" s="351">
        <f>BM970</f>
        <v>18827</v>
      </c>
      <c r="BQ960" s="351">
        <f>BP970</f>
        <v>19823</v>
      </c>
      <c r="BR960" s="351">
        <f>BP960</f>
        <v>18827</v>
      </c>
      <c r="BT960" s="351">
        <f>BQ970</f>
        <v>21528</v>
      </c>
      <c r="BU960" s="351">
        <f>BT970</f>
        <v>22365</v>
      </c>
      <c r="BV960" s="351">
        <f>BT960</f>
        <v>21528</v>
      </c>
      <c r="BX960" s="351">
        <f>BU970</f>
        <v>23435</v>
      </c>
      <c r="BY960" s="351">
        <f>BX970</f>
        <v>24606</v>
      </c>
      <c r="BZ960" s="406">
        <v>23379</v>
      </c>
      <c r="CB960" s="351">
        <f>BY970</f>
        <v>26274</v>
      </c>
      <c r="CC960" s="351">
        <f>CB970</f>
        <v>27267</v>
      </c>
      <c r="CD960" s="351">
        <f>CB960</f>
        <v>26274</v>
      </c>
      <c r="CF960" s="351">
        <f>CC970</f>
        <v>28360</v>
      </c>
      <c r="CG960" s="351">
        <f>CF970</f>
        <v>27959</v>
      </c>
      <c r="CH960" s="351">
        <f>CF960</f>
        <v>28360</v>
      </c>
      <c r="CJ960" s="351">
        <f>CG970</f>
        <v>28482</v>
      </c>
      <c r="CK960" s="351">
        <f>CJ970</f>
        <v>31066</v>
      </c>
      <c r="CL960" s="351">
        <f>CJ960</f>
        <v>28482</v>
      </c>
      <c r="CN960" s="351">
        <f>CK970</f>
        <v>31136</v>
      </c>
      <c r="CO960" s="351">
        <f>CN970</f>
        <v>34211</v>
      </c>
      <c r="CP960" s="351">
        <f>CN960</f>
        <v>31136</v>
      </c>
      <c r="CR960" s="351">
        <f>CO970</f>
        <v>37014</v>
      </c>
      <c r="CS960" s="351">
        <f>CR970</f>
        <v>34861</v>
      </c>
      <c r="CT960" s="351">
        <f>CR960</f>
        <v>37014</v>
      </c>
      <c r="CV960" s="351">
        <f>CS970</f>
        <v>36826</v>
      </c>
      <c r="CW960" s="351">
        <f>CV970</f>
        <v>38716</v>
      </c>
      <c r="CX960" s="351">
        <f>CV960</f>
        <v>36826</v>
      </c>
      <c r="CZ960" s="351">
        <f>CW970</f>
        <v>40010</v>
      </c>
      <c r="DA960" s="351">
        <f>CZ970</f>
        <v>40643</v>
      </c>
      <c r="DB960" s="351">
        <f>CZ960</f>
        <v>40010</v>
      </c>
      <c r="DD960" s="351">
        <f>DA970</f>
        <v>41600</v>
      </c>
      <c r="DE960" s="351">
        <f>DD970</f>
        <v>42578</v>
      </c>
      <c r="DF960" s="351">
        <f>DD960</f>
        <v>41600</v>
      </c>
      <c r="DH960" s="351">
        <f>DE970</f>
        <v>43974</v>
      </c>
      <c r="DI960" s="351">
        <f>DH970</f>
        <v>45019</v>
      </c>
      <c r="DJ960" s="351">
        <f>DH960</f>
        <v>43974</v>
      </c>
      <c r="DL960" s="351">
        <f>DI970</f>
        <v>46711.0168495787</v>
      </c>
      <c r="DM960" s="351">
        <f>DL970</f>
        <v>47957.057431028938</v>
      </c>
      <c r="DN960" s="351">
        <f>DL960</f>
        <v>46711.0168495787</v>
      </c>
      <c r="DP960" s="351">
        <f>DM970</f>
        <v>49483.111297174306</v>
      </c>
      <c r="DQ960" s="351">
        <f>DP970</f>
        <v>50603.391055714426</v>
      </c>
      <c r="DR960" s="351">
        <f>DP960</f>
        <v>49483.111297174306</v>
      </c>
    </row>
    <row r="961" spans="1:264" s="347" customFormat="1" x14ac:dyDescent="0.2">
      <c r="A961" s="463" t="s">
        <v>672</v>
      </c>
      <c r="B961" s="466"/>
      <c r="C961" s="463"/>
      <c r="D961" s="463"/>
      <c r="E961" s="463"/>
      <c r="F961" s="463"/>
      <c r="G961" s="463"/>
      <c r="H961" s="463"/>
      <c r="I961" s="463"/>
      <c r="J961" s="463"/>
      <c r="K961" s="463"/>
      <c r="L961" s="463"/>
      <c r="M961" s="463"/>
      <c r="N961" s="463"/>
      <c r="O961" s="463"/>
      <c r="P961" s="463"/>
      <c r="Q961" s="463"/>
      <c r="R961" s="463"/>
      <c r="S961" s="463"/>
      <c r="T961" s="463"/>
      <c r="U961" s="463"/>
      <c r="V961" s="463"/>
      <c r="W961" s="463"/>
      <c r="X961" s="463"/>
      <c r="Y961" s="463"/>
      <c r="Z961" s="463"/>
      <c r="AA961" s="463"/>
      <c r="AB961" s="463"/>
      <c r="AC961" s="463"/>
      <c r="AD961" s="463"/>
      <c r="AE961" s="463"/>
      <c r="AF961" s="463"/>
      <c r="AG961" s="463"/>
      <c r="AH961" s="463"/>
      <c r="AI961" s="463"/>
      <c r="AJ961" s="463"/>
      <c r="AK961" s="463"/>
      <c r="AL961" s="463"/>
      <c r="AM961" s="463"/>
      <c r="AN961" s="463"/>
      <c r="AO961" s="463"/>
      <c r="AP961" s="463"/>
      <c r="AQ961" s="463"/>
      <c r="AR961" s="463"/>
      <c r="AS961" s="463"/>
      <c r="AT961" s="463"/>
      <c r="AU961" s="463"/>
      <c r="AV961" s="463"/>
      <c r="AW961" s="463"/>
      <c r="AX961" s="463"/>
      <c r="AY961" s="463"/>
      <c r="AZ961" s="463"/>
      <c r="BA961" s="463"/>
      <c r="BB961" s="463"/>
      <c r="BC961" s="463"/>
      <c r="BD961" s="463"/>
      <c r="BE961" s="463"/>
      <c r="BF961" s="463"/>
      <c r="BG961" s="463"/>
      <c r="BH961" s="464">
        <v>48</v>
      </c>
      <c r="BI961" s="464">
        <v>0</v>
      </c>
      <c r="BJ961" s="485">
        <f>+BI961+BH961</f>
        <v>48</v>
      </c>
      <c r="BK961" s="466"/>
      <c r="BL961" s="464">
        <v>0</v>
      </c>
      <c r="BM961" s="464">
        <v>0</v>
      </c>
      <c r="BN961" s="485">
        <f>+BM961+BL961</f>
        <v>0</v>
      </c>
      <c r="BO961" s="466"/>
      <c r="BP961" s="464">
        <v>0</v>
      </c>
      <c r="BQ961" s="464">
        <v>0</v>
      </c>
      <c r="BR961" s="485">
        <f>+BQ961+BP961</f>
        <v>0</v>
      </c>
      <c r="BS961" s="463"/>
      <c r="BT961" s="464">
        <v>0</v>
      </c>
      <c r="BU961" s="464">
        <v>0</v>
      </c>
      <c r="BV961" s="485">
        <f>+BU961+BT961</f>
        <v>0</v>
      </c>
      <c r="BW961" s="463"/>
      <c r="BX961" s="464">
        <v>0</v>
      </c>
      <c r="BY961" s="485">
        <f>BZ961-BX961</f>
        <v>-3</v>
      </c>
      <c r="BZ961" s="464">
        <v>-3</v>
      </c>
      <c r="CA961" s="463"/>
      <c r="CB961" s="464">
        <v>-1</v>
      </c>
      <c r="CC961" s="464">
        <v>-1</v>
      </c>
      <c r="CD961" s="485">
        <f>+CC961+CB961</f>
        <v>-2</v>
      </c>
      <c r="CE961" s="463"/>
      <c r="CF961" s="721">
        <v>-955</v>
      </c>
      <c r="CG961" s="721">
        <v>0</v>
      </c>
      <c r="CH961" s="485">
        <f>+CG961+CF961</f>
        <v>-955</v>
      </c>
      <c r="CI961" s="463"/>
      <c r="CJ961" s="450">
        <v>-146</v>
      </c>
      <c r="CK961" s="721">
        <v>0</v>
      </c>
      <c r="CL961" s="485">
        <f>+CK961+CJ961</f>
        <v>-146</v>
      </c>
      <c r="CM961" s="463"/>
      <c r="CN961" s="450">
        <v>0</v>
      </c>
      <c r="CO961" s="721">
        <v>0</v>
      </c>
      <c r="CP961" s="485">
        <f>+CO961+CN961</f>
        <v>0</v>
      </c>
      <c r="CQ961" s="463"/>
      <c r="CR961" s="450">
        <v>24</v>
      </c>
      <c r="CS961" s="721">
        <v>0</v>
      </c>
      <c r="CT961" s="485">
        <f>+CS961+CR961</f>
        <v>24</v>
      </c>
      <c r="CU961" s="463"/>
      <c r="CV961" s="450">
        <v>0</v>
      </c>
      <c r="CW961" s="721">
        <v>0</v>
      </c>
      <c r="CX961" s="485">
        <f>+CW961+CV961</f>
        <v>0</v>
      </c>
      <c r="CY961" s="463"/>
      <c r="CZ961" s="450">
        <v>0</v>
      </c>
      <c r="DA961" s="721">
        <v>0</v>
      </c>
      <c r="DB961" s="485">
        <f>+DA961+CZ961</f>
        <v>0</v>
      </c>
      <c r="DC961" s="463"/>
      <c r="DD961" s="450">
        <v>0</v>
      </c>
      <c r="DE961" s="721">
        <v>0</v>
      </c>
      <c r="DF961" s="485">
        <f>+DE961+DD961</f>
        <v>0</v>
      </c>
      <c r="DG961" s="463"/>
      <c r="DH961" s="450">
        <v>0</v>
      </c>
      <c r="DI961" s="514">
        <v>0</v>
      </c>
      <c r="DJ961" s="485">
        <f>+DI961+DH961</f>
        <v>0</v>
      </c>
      <c r="DK961" s="463"/>
      <c r="DL961" s="514">
        <v>0</v>
      </c>
      <c r="DM961" s="514">
        <v>0</v>
      </c>
      <c r="DN961" s="485">
        <f>+DM961+DL961</f>
        <v>0</v>
      </c>
      <c r="DO961" s="463"/>
      <c r="DP961" s="514">
        <v>0</v>
      </c>
      <c r="DQ961" s="514">
        <v>0</v>
      </c>
      <c r="DR961" s="485">
        <f>+DQ961+DP961</f>
        <v>0</v>
      </c>
      <c r="DS961" s="463"/>
    </row>
    <row r="962" spans="1:264" s="347" customFormat="1" x14ac:dyDescent="0.2">
      <c r="A962" s="463" t="s">
        <v>673</v>
      </c>
      <c r="B962" s="466"/>
      <c r="C962" s="463"/>
      <c r="D962" s="463"/>
      <c r="E962" s="463"/>
      <c r="F962" s="463"/>
      <c r="G962" s="463"/>
      <c r="H962" s="463"/>
      <c r="I962" s="463"/>
      <c r="J962" s="463"/>
      <c r="K962" s="463"/>
      <c r="L962" s="463"/>
      <c r="M962" s="463"/>
      <c r="N962" s="463"/>
      <c r="O962" s="463"/>
      <c r="P962" s="463"/>
      <c r="Q962" s="463"/>
      <c r="R962" s="463"/>
      <c r="S962" s="463"/>
      <c r="T962" s="463"/>
      <c r="U962" s="463"/>
      <c r="V962" s="463"/>
      <c r="W962" s="463"/>
      <c r="X962" s="463"/>
      <c r="Y962" s="463"/>
      <c r="Z962" s="463"/>
      <c r="AA962" s="463"/>
      <c r="AB962" s="463"/>
      <c r="AC962" s="463"/>
      <c r="AD962" s="463"/>
      <c r="AE962" s="463"/>
      <c r="AF962" s="463"/>
      <c r="AG962" s="463"/>
      <c r="AH962" s="463"/>
      <c r="AI962" s="463"/>
      <c r="AJ962" s="463"/>
      <c r="AK962" s="463"/>
      <c r="AL962" s="463"/>
      <c r="AM962" s="463"/>
      <c r="AN962" s="463"/>
      <c r="AO962" s="463"/>
      <c r="AP962" s="463"/>
      <c r="AQ962" s="463"/>
      <c r="AR962" s="463"/>
      <c r="AS962" s="463"/>
      <c r="AT962" s="463"/>
      <c r="AU962" s="463"/>
      <c r="AV962" s="463"/>
      <c r="AW962" s="463"/>
      <c r="AX962" s="463"/>
      <c r="AY962" s="463"/>
      <c r="AZ962" s="463"/>
      <c r="BA962" s="463"/>
      <c r="BB962" s="463"/>
      <c r="BC962" s="463"/>
      <c r="BD962" s="463"/>
      <c r="BE962" s="463"/>
      <c r="BF962" s="463"/>
      <c r="BG962" s="463"/>
      <c r="BH962" s="464">
        <v>266</v>
      </c>
      <c r="BI962" s="464">
        <v>101</v>
      </c>
      <c r="BJ962" s="485">
        <f>+BI962+BH962</f>
        <v>367</v>
      </c>
      <c r="BK962" s="466"/>
      <c r="BL962" s="464">
        <v>107</v>
      </c>
      <c r="BM962" s="464">
        <v>-65</v>
      </c>
      <c r="BN962" s="485">
        <f>+BM962+BL962</f>
        <v>42</v>
      </c>
      <c r="BO962" s="466"/>
      <c r="BP962" s="464">
        <v>-16</v>
      </c>
      <c r="BQ962" s="464">
        <v>0</v>
      </c>
      <c r="BR962" s="485">
        <f>+BQ962+BP962</f>
        <v>-16</v>
      </c>
      <c r="BS962" s="463"/>
      <c r="BT962" s="464">
        <v>130</v>
      </c>
      <c r="BU962" s="464">
        <v>-120</v>
      </c>
      <c r="BV962" s="485">
        <f>+BU962+BT962</f>
        <v>10</v>
      </c>
      <c r="BW962" s="463"/>
      <c r="BX962" s="464">
        <v>0</v>
      </c>
      <c r="BY962" s="485">
        <f>BZ962-BX962</f>
        <v>175</v>
      </c>
      <c r="BZ962" s="464">
        <v>175</v>
      </c>
      <c r="CA962" s="463"/>
      <c r="CB962" s="464">
        <v>44</v>
      </c>
      <c r="CC962" s="464">
        <v>117</v>
      </c>
      <c r="CD962" s="485">
        <f>+CC962+CB962</f>
        <v>161</v>
      </c>
      <c r="CE962" s="463"/>
      <c r="CF962" s="464">
        <v>-79</v>
      </c>
      <c r="CG962" s="448">
        <v>30</v>
      </c>
      <c r="CH962" s="485">
        <f>+CG962+CF962</f>
        <v>-49</v>
      </c>
      <c r="CI962" s="463"/>
      <c r="CJ962" s="448">
        <v>0</v>
      </c>
      <c r="CK962" s="448">
        <v>0</v>
      </c>
      <c r="CL962" s="485">
        <f>+CK962+CJ962</f>
        <v>0</v>
      </c>
      <c r="CM962" s="463"/>
      <c r="CN962" s="448">
        <v>0</v>
      </c>
      <c r="CO962" s="448">
        <v>0</v>
      </c>
      <c r="CP962" s="485">
        <f>+CO962+CN962</f>
        <v>0</v>
      </c>
      <c r="CQ962" s="463"/>
      <c r="CR962" s="448">
        <v>0</v>
      </c>
      <c r="CS962" s="448">
        <v>0</v>
      </c>
      <c r="CT962" s="485">
        <f>+CS962+CR962</f>
        <v>0</v>
      </c>
      <c r="CU962" s="463"/>
      <c r="CV962" s="448">
        <v>0</v>
      </c>
      <c r="CW962" s="448">
        <v>0</v>
      </c>
      <c r="CX962" s="485">
        <f>+CW962+CV962</f>
        <v>0</v>
      </c>
      <c r="CY962" s="463"/>
      <c r="CZ962" s="448">
        <v>0</v>
      </c>
      <c r="DA962" s="448">
        <v>0</v>
      </c>
      <c r="DB962" s="485">
        <f>+DA962+CZ962</f>
        <v>0</v>
      </c>
      <c r="DC962" s="463"/>
      <c r="DD962" s="448">
        <v>0</v>
      </c>
      <c r="DE962" s="448">
        <v>0</v>
      </c>
      <c r="DF962" s="485">
        <f>+DE962+DD962</f>
        <v>0</v>
      </c>
      <c r="DG962" s="463"/>
      <c r="DH962" s="448">
        <v>0</v>
      </c>
      <c r="DI962" s="514">
        <v>0</v>
      </c>
      <c r="DJ962" s="485">
        <f>+DI962+DH962</f>
        <v>0</v>
      </c>
      <c r="DK962" s="463"/>
      <c r="DL962" s="514">
        <v>0</v>
      </c>
      <c r="DM962" s="514">
        <v>0</v>
      </c>
      <c r="DN962" s="485">
        <f>+DM962+DL962</f>
        <v>0</v>
      </c>
      <c r="DO962" s="463"/>
      <c r="DP962" s="514">
        <v>0</v>
      </c>
      <c r="DQ962" s="514">
        <v>0</v>
      </c>
      <c r="DR962" s="485">
        <f>+DQ962+DP962</f>
        <v>0</v>
      </c>
      <c r="DS962" s="463"/>
    </row>
    <row r="963" spans="1:264" s="347" customFormat="1" x14ac:dyDescent="0.2">
      <c r="A963" s="463" t="s">
        <v>674</v>
      </c>
      <c r="B963" s="466"/>
      <c r="C963" s="463"/>
      <c r="D963" s="463"/>
      <c r="E963" s="463"/>
      <c r="F963" s="463"/>
      <c r="G963" s="463"/>
      <c r="H963" s="463"/>
      <c r="I963" s="463"/>
      <c r="J963" s="463"/>
      <c r="K963" s="463"/>
      <c r="L963" s="463"/>
      <c r="M963" s="463"/>
      <c r="N963" s="463"/>
      <c r="O963" s="463"/>
      <c r="P963" s="463"/>
      <c r="Q963" s="463"/>
      <c r="R963" s="463"/>
      <c r="S963" s="463"/>
      <c r="T963" s="463"/>
      <c r="U963" s="463"/>
      <c r="V963" s="463"/>
      <c r="W963" s="463"/>
      <c r="X963" s="463"/>
      <c r="Y963" s="463"/>
      <c r="Z963" s="463"/>
      <c r="AA963" s="463"/>
      <c r="AB963" s="463"/>
      <c r="AC963" s="463"/>
      <c r="AD963" s="463"/>
      <c r="AE963" s="463"/>
      <c r="AF963" s="463"/>
      <c r="AG963" s="463"/>
      <c r="AH963" s="463"/>
      <c r="AI963" s="463"/>
      <c r="AJ963" s="463"/>
      <c r="AK963" s="463"/>
      <c r="AL963" s="463"/>
      <c r="AM963" s="463"/>
      <c r="AN963" s="463"/>
      <c r="AO963" s="463"/>
      <c r="AP963" s="463"/>
      <c r="AQ963" s="463"/>
      <c r="AR963" s="463"/>
      <c r="AS963" s="463"/>
      <c r="AT963" s="463"/>
      <c r="AU963" s="463"/>
      <c r="AV963" s="463"/>
      <c r="AW963" s="463"/>
      <c r="AX963" s="463"/>
      <c r="AY963" s="463"/>
      <c r="AZ963" s="463"/>
      <c r="BA963" s="463"/>
      <c r="BB963" s="463"/>
      <c r="BC963" s="463"/>
      <c r="BD963" s="463"/>
      <c r="BE963" s="463"/>
      <c r="BF963" s="463"/>
      <c r="BG963" s="463"/>
      <c r="BH963" s="464">
        <v>14</v>
      </c>
      <c r="BI963" s="464">
        <v>15</v>
      </c>
      <c r="BJ963" s="485">
        <f>+BI963+BH963</f>
        <v>29</v>
      </c>
      <c r="BK963" s="466"/>
      <c r="BL963" s="464">
        <v>16</v>
      </c>
      <c r="BM963" s="464">
        <v>11</v>
      </c>
      <c r="BN963" s="485">
        <f>+BM963+BL963</f>
        <v>27</v>
      </c>
      <c r="BO963" s="466"/>
      <c r="BP963" s="464">
        <v>26</v>
      </c>
      <c r="BQ963" s="464">
        <v>0</v>
      </c>
      <c r="BR963" s="485">
        <f>+BQ963+BP963</f>
        <v>26</v>
      </c>
      <c r="BS963" s="463"/>
      <c r="BT963" s="464">
        <v>7</v>
      </c>
      <c r="BU963" s="464">
        <v>13</v>
      </c>
      <c r="BV963" s="485">
        <f>+BU963+BT963</f>
        <v>20</v>
      </c>
      <c r="BW963" s="463"/>
      <c r="BX963" s="464">
        <v>15</v>
      </c>
      <c r="BY963" s="464">
        <v>11</v>
      </c>
      <c r="BZ963" s="485">
        <f>+BY963+BX963</f>
        <v>26</v>
      </c>
      <c r="CA963" s="463"/>
      <c r="CB963" s="464">
        <v>12</v>
      </c>
      <c r="CC963" s="464">
        <v>4</v>
      </c>
      <c r="CD963" s="485">
        <f>+CC963+CB963</f>
        <v>16</v>
      </c>
      <c r="CE963" s="463"/>
      <c r="CF963" s="464">
        <v>7</v>
      </c>
      <c r="CG963" s="448">
        <v>5</v>
      </c>
      <c r="CH963" s="485">
        <f>+CG963+CF963</f>
        <v>12</v>
      </c>
      <c r="CI963" s="463"/>
      <c r="CJ963" s="448">
        <v>13</v>
      </c>
      <c r="CK963" s="448">
        <v>0</v>
      </c>
      <c r="CL963" s="485">
        <f>+CK963+CJ963</f>
        <v>13</v>
      </c>
      <c r="CM963" s="463"/>
      <c r="CN963" s="448">
        <v>13</v>
      </c>
      <c r="CO963" s="448">
        <v>0</v>
      </c>
      <c r="CP963" s="485">
        <f>+CO963+CN963</f>
        <v>13</v>
      </c>
      <c r="CQ963" s="463"/>
      <c r="CR963" s="448">
        <v>0</v>
      </c>
      <c r="CS963" s="448">
        <v>0</v>
      </c>
      <c r="CT963" s="485">
        <f>+CS963+CR963</f>
        <v>0</v>
      </c>
      <c r="CU963" s="463"/>
      <c r="CV963" s="448">
        <v>0</v>
      </c>
      <c r="CW963" s="448">
        <v>0</v>
      </c>
      <c r="CX963" s="485">
        <f>+CW963+CV963</f>
        <v>0</v>
      </c>
      <c r="CY963" s="463"/>
      <c r="CZ963" s="448">
        <v>0</v>
      </c>
      <c r="DA963" s="448">
        <v>0</v>
      </c>
      <c r="DB963" s="485">
        <f>+DA963+CZ963</f>
        <v>0</v>
      </c>
      <c r="DC963" s="463"/>
      <c r="DD963" s="448">
        <v>0</v>
      </c>
      <c r="DE963" s="448">
        <v>0</v>
      </c>
      <c r="DF963" s="485">
        <f>+DE963+DD963</f>
        <v>0</v>
      </c>
      <c r="DG963" s="463"/>
      <c r="DH963" s="448">
        <v>0</v>
      </c>
      <c r="DI963" s="514">
        <v>0</v>
      </c>
      <c r="DJ963" s="485">
        <f>+DI963+DH963</f>
        <v>0</v>
      </c>
      <c r="DK963" s="463"/>
      <c r="DL963" s="514">
        <v>0</v>
      </c>
      <c r="DM963" s="514">
        <v>0</v>
      </c>
      <c r="DN963" s="485">
        <f>+DM963+DL963</f>
        <v>0</v>
      </c>
      <c r="DO963" s="463"/>
      <c r="DP963" s="514">
        <v>0</v>
      </c>
      <c r="DQ963" s="514">
        <v>0</v>
      </c>
      <c r="DR963" s="485">
        <f>+DQ963+DP963</f>
        <v>0</v>
      </c>
      <c r="DS963" s="463"/>
    </row>
    <row r="964" spans="1:264" s="347" customFormat="1" x14ac:dyDescent="0.2">
      <c r="A964" s="347" t="s">
        <v>60</v>
      </c>
      <c r="B964" s="348"/>
      <c r="BH964" s="351">
        <f>BH40</f>
        <v>3631</v>
      </c>
      <c r="BI964" s="351">
        <f>BI40</f>
        <v>3987</v>
      </c>
      <c r="BJ964" s="351">
        <f>+BI964+BH964</f>
        <v>7618</v>
      </c>
      <c r="BK964" s="348"/>
      <c r="BL964" s="351">
        <f>BL40</f>
        <v>4207</v>
      </c>
      <c r="BM964" s="351">
        <f>BM40</f>
        <v>4424</v>
      </c>
      <c r="BN964" s="351">
        <f>+BM964+BL964</f>
        <v>8631</v>
      </c>
      <c r="BO964" s="348"/>
      <c r="BP964" s="351">
        <f>BP40</f>
        <v>4531</v>
      </c>
      <c r="BQ964" s="351">
        <f>BQ40</f>
        <v>4532</v>
      </c>
      <c r="BR964" s="351">
        <f>+BQ964+BP964</f>
        <v>9063</v>
      </c>
      <c r="BT964" s="351">
        <f>BT40</f>
        <v>4623</v>
      </c>
      <c r="BU964" s="351">
        <f>BU40</f>
        <v>4600</v>
      </c>
      <c r="BV964" s="351">
        <f>+BU964+BT964</f>
        <v>9223</v>
      </c>
      <c r="BX964" s="351">
        <f>BX40</f>
        <v>4895</v>
      </c>
      <c r="BY964" s="351">
        <f>BY40</f>
        <v>5033</v>
      </c>
      <c r="BZ964" s="351">
        <f>+BY964+BX964</f>
        <v>9928</v>
      </c>
      <c r="CB964" s="351">
        <f>CB40</f>
        <v>4906</v>
      </c>
      <c r="CC964" s="351">
        <f>CC40</f>
        <v>4423</v>
      </c>
      <c r="CD964" s="351">
        <f>+CC964+CB964</f>
        <v>9329</v>
      </c>
      <c r="CF964" s="351">
        <f>CF40</f>
        <v>4642</v>
      </c>
      <c r="CG964" s="351">
        <f>CG40</f>
        <v>3929</v>
      </c>
      <c r="CH964" s="351">
        <f>+CG964+CF964</f>
        <v>8571</v>
      </c>
      <c r="CJ964" s="351">
        <f>CJ40</f>
        <v>6139</v>
      </c>
      <c r="CK964" s="351">
        <f>CK40</f>
        <v>3453</v>
      </c>
      <c r="CL964" s="351">
        <f>+CK964+CJ964</f>
        <v>9592</v>
      </c>
      <c r="CN964" s="351">
        <f>CN40</f>
        <v>4869</v>
      </c>
      <c r="CO964" s="351">
        <f>CO40</f>
        <v>5312</v>
      </c>
      <c r="CP964" s="351">
        <f>+CO964+CN964</f>
        <v>10181</v>
      </c>
      <c r="CR964" s="351">
        <f>CR40</f>
        <v>5870</v>
      </c>
      <c r="CS964" s="351">
        <f>CS40</f>
        <v>4901</v>
      </c>
      <c r="CT964" s="351">
        <f>+CS964+CR964</f>
        <v>10771</v>
      </c>
      <c r="CV964" s="351">
        <f>CV40</f>
        <v>5172</v>
      </c>
      <c r="CW964" s="351">
        <f>CW40</f>
        <v>4826</v>
      </c>
      <c r="CX964" s="351">
        <f>+CW964+CV964</f>
        <v>9998</v>
      </c>
      <c r="CZ964" s="351">
        <f>CZ40</f>
        <v>4759</v>
      </c>
      <c r="DA964" s="351">
        <f>DA40</f>
        <v>4635</v>
      </c>
      <c r="DB964" s="351">
        <f>+DA964+CZ964</f>
        <v>9394</v>
      </c>
      <c r="DD964" s="351">
        <f>DD40</f>
        <v>5134</v>
      </c>
      <c r="DE964" s="351">
        <f>DE40</f>
        <v>4982</v>
      </c>
      <c r="DF964" s="351">
        <f>+DE964+DD964</f>
        <v>10116</v>
      </c>
      <c r="DH964" s="351">
        <f>DH40</f>
        <v>5367</v>
      </c>
      <c r="DI964" s="351">
        <f>DI40</f>
        <v>5624.6533908786996</v>
      </c>
      <c r="DJ964" s="351">
        <f>+DI964+DH964</f>
        <v>10991.653390878699</v>
      </c>
      <c r="DL964" s="351">
        <f>DL40</f>
        <v>5925.752202661316</v>
      </c>
      <c r="DM964" s="351">
        <f>DM40</f>
        <v>5875.5559828987753</v>
      </c>
      <c r="DN964" s="351">
        <f>+DM964+DL964</f>
        <v>11801.30818556009</v>
      </c>
      <c r="DP964" s="351">
        <f>DP40</f>
        <v>6138.004567935679</v>
      </c>
      <c r="DQ964" s="351">
        <f>DQ40</f>
        <v>6120.7022288395801</v>
      </c>
      <c r="DR964" s="351">
        <f>+DQ964+DP964</f>
        <v>12258.706796775259</v>
      </c>
      <c r="DT964" s="1"/>
      <c r="DU964" s="1"/>
      <c r="DV964" s="1"/>
      <c r="DW964" s="1"/>
      <c r="DX964" s="1"/>
      <c r="DY964" s="1"/>
      <c r="DZ964" s="1"/>
      <c r="EA964" s="1"/>
      <c r="EB964" s="1"/>
      <c r="EC964" s="1"/>
      <c r="ED964" s="1"/>
      <c r="EE964" s="1"/>
      <c r="EF964" s="1"/>
      <c r="EG964" s="1"/>
      <c r="EH964" s="1"/>
      <c r="EI964" s="1"/>
      <c r="EJ964" s="1"/>
      <c r="EK964" s="1"/>
      <c r="EL964" s="1"/>
      <c r="EM964" s="1"/>
      <c r="EN964" s="1"/>
      <c r="EO964" s="1"/>
      <c r="EP964" s="1"/>
      <c r="EQ964" s="1"/>
      <c r="ER964" s="1"/>
      <c r="ES964" s="1"/>
      <c r="ET964" s="1"/>
      <c r="EU964" s="1"/>
      <c r="EV964" s="1"/>
      <c r="EW964" s="1"/>
      <c r="EX964" s="1"/>
      <c r="EY964" s="1"/>
      <c r="EZ964" s="1"/>
      <c r="FA964" s="1"/>
      <c r="FB964" s="1"/>
      <c r="FC964" s="1"/>
      <c r="FD964" s="1"/>
      <c r="FE964" s="1"/>
      <c r="FF964" s="1"/>
      <c r="FG964" s="1"/>
      <c r="FH964" s="1"/>
      <c r="FI964" s="1"/>
      <c r="FJ964" s="1"/>
      <c r="FK964" s="1"/>
      <c r="FL964" s="1"/>
      <c r="FM964" s="1"/>
      <c r="FN964" s="1"/>
      <c r="FO964" s="1"/>
      <c r="FP964" s="1"/>
      <c r="FQ964" s="1"/>
      <c r="FR964" s="1"/>
      <c r="FS964" s="1"/>
      <c r="FT964" s="1"/>
      <c r="FU964" s="1"/>
      <c r="FV964" s="1"/>
      <c r="FW964" s="1"/>
      <c r="FX964" s="1"/>
      <c r="FY964" s="1"/>
      <c r="FZ964" s="1"/>
      <c r="GA964" s="1"/>
      <c r="GB964" s="1"/>
      <c r="GC964" s="1"/>
      <c r="GD964" s="1"/>
      <c r="GE964" s="1"/>
      <c r="GF964" s="1"/>
      <c r="GG964" s="1"/>
      <c r="GH964" s="1"/>
      <c r="GI964" s="1"/>
      <c r="GJ964" s="1"/>
      <c r="GK964" s="1"/>
      <c r="GL964" s="1"/>
      <c r="GM964" s="1"/>
      <c r="GN964" s="1"/>
      <c r="GO964" s="1"/>
      <c r="GP964" s="1"/>
      <c r="GQ964" s="1"/>
      <c r="GR964" s="1"/>
      <c r="GS964" s="1"/>
      <c r="GT964" s="1"/>
      <c r="GU964" s="1"/>
      <c r="GV964" s="1"/>
      <c r="GW964" s="1"/>
      <c r="GX964" s="1"/>
      <c r="GY964" s="1"/>
      <c r="GZ964" s="1"/>
      <c r="HA964" s="1"/>
      <c r="HB964" s="1"/>
      <c r="HC964" s="1"/>
      <c r="HD964" s="1"/>
      <c r="HE964" s="1"/>
      <c r="HF964" s="1"/>
      <c r="HG964" s="1"/>
      <c r="HH964" s="1"/>
      <c r="HI964" s="1"/>
      <c r="HJ964" s="1"/>
      <c r="HK964" s="1"/>
      <c r="HL964" s="1"/>
      <c r="HM964" s="1"/>
      <c r="HN964" s="1"/>
      <c r="HO964" s="1"/>
      <c r="HP964" s="1"/>
      <c r="HQ964" s="1"/>
      <c r="HR964" s="1"/>
      <c r="HS964" s="1"/>
      <c r="HT964" s="1"/>
      <c r="HU964" s="1"/>
      <c r="HV964" s="1"/>
      <c r="HW964" s="1"/>
      <c r="HX964" s="1"/>
      <c r="HY964" s="1"/>
      <c r="HZ964" s="1"/>
      <c r="IA964" s="1"/>
      <c r="IB964" s="1"/>
      <c r="IC964" s="1"/>
      <c r="ID964" s="1"/>
      <c r="IE964" s="1"/>
      <c r="IF964" s="1"/>
      <c r="IG964" s="1"/>
      <c r="IH964" s="1"/>
      <c r="II964" s="1"/>
      <c r="IJ964" s="1"/>
      <c r="IK964" s="1"/>
      <c r="IL964" s="1"/>
      <c r="IM964" s="1"/>
      <c r="IN964" s="1"/>
      <c r="IO964" s="1"/>
      <c r="IP964" s="1"/>
      <c r="IQ964" s="1"/>
      <c r="IR964" s="1"/>
      <c r="IS964" s="1"/>
      <c r="IT964" s="1"/>
      <c r="IU964" s="1"/>
      <c r="IV964" s="1"/>
      <c r="IW964" s="1"/>
      <c r="IX964" s="1"/>
      <c r="IY964" s="1"/>
      <c r="IZ964" s="1"/>
      <c r="JA964" s="1"/>
      <c r="JB964" s="1"/>
      <c r="JC964" s="1"/>
      <c r="JD964" s="1"/>
    </row>
    <row r="965" spans="1:264" s="347" customFormat="1" x14ac:dyDescent="0.2">
      <c r="A965" s="411" t="s">
        <v>675</v>
      </c>
      <c r="B965" s="348"/>
      <c r="BH965" s="397">
        <f>SUM(BH960:BH964)</f>
        <v>17315</v>
      </c>
      <c r="BI965" s="397">
        <f>SUM(BI960:BI964)</f>
        <v>18592</v>
      </c>
      <c r="BJ965" s="397">
        <f>SUM(BJ960:BJ964)</f>
        <v>21418</v>
      </c>
      <c r="BK965" s="348"/>
      <c r="BL965" s="397">
        <f>SUM(BL960:BL964)</f>
        <v>20735</v>
      </c>
      <c r="BM965" s="397">
        <f>SUM(BM960:BM964)</f>
        <v>21825</v>
      </c>
      <c r="BN965" s="397">
        <f>SUM(BN960:BN964)</f>
        <v>25105</v>
      </c>
      <c r="BO965" s="348"/>
      <c r="BP965" s="397">
        <f>SUM(BP960:BP964)</f>
        <v>23368</v>
      </c>
      <c r="BQ965" s="397">
        <f>SUM(BQ960:BQ964)</f>
        <v>24355</v>
      </c>
      <c r="BR965" s="397">
        <f>SUM(BR960:BR964)</f>
        <v>27900</v>
      </c>
      <c r="BT965" s="397">
        <f>SUM(BT960:BT964)</f>
        <v>26288</v>
      </c>
      <c r="BU965" s="397">
        <f>SUM(BU960:BU964)</f>
        <v>26858</v>
      </c>
      <c r="BV965" s="397">
        <f>SUM(BV960:BV964)</f>
        <v>30781</v>
      </c>
      <c r="BX965" s="397">
        <f>SUM(BX960:BX964)</f>
        <v>28345</v>
      </c>
      <c r="BY965" s="397">
        <f>SUM(BY960:BY964)</f>
        <v>29822</v>
      </c>
      <c r="BZ965" s="397">
        <f>SUM(BZ960:BZ964)</f>
        <v>33505</v>
      </c>
      <c r="CB965" s="397">
        <f>SUM(CB960:CB964)</f>
        <v>31235</v>
      </c>
      <c r="CC965" s="397">
        <f>SUM(CC960:CC964)</f>
        <v>31810</v>
      </c>
      <c r="CD965" s="397">
        <f>SUM(CD960:CD964)</f>
        <v>35778</v>
      </c>
      <c r="CF965" s="397">
        <f>SUM(CF960:CF964)</f>
        <v>31975</v>
      </c>
      <c r="CG965" s="397">
        <f>SUM(CG960:CG964)</f>
        <v>31923</v>
      </c>
      <c r="CH965" s="397">
        <f>SUM(CH960:CH964)</f>
        <v>35939</v>
      </c>
      <c r="CJ965" s="397">
        <f>SUM(CJ960:CJ964)</f>
        <v>34488</v>
      </c>
      <c r="CK965" s="397">
        <f>SUM(CK960:CK964)</f>
        <v>34519</v>
      </c>
      <c r="CL965" s="397">
        <f>SUM(CL960:CL964)</f>
        <v>37941</v>
      </c>
      <c r="CN965" s="397">
        <f>SUM(CN960:CN964)</f>
        <v>36018</v>
      </c>
      <c r="CO965" s="397">
        <f>SUM(CO960:CO964)</f>
        <v>39523</v>
      </c>
      <c r="CP965" s="397">
        <f>SUM(CP960:CP964)</f>
        <v>41330</v>
      </c>
      <c r="CR965" s="397">
        <f>SUM(CR960:CR964)</f>
        <v>42908</v>
      </c>
      <c r="CS965" s="397">
        <f>SUM(CS960:CS964)</f>
        <v>39762</v>
      </c>
      <c r="CT965" s="397">
        <f>SUM(CT960:CT964)</f>
        <v>47809</v>
      </c>
      <c r="CV965" s="397">
        <f>SUM(CV960:CV964)</f>
        <v>41998</v>
      </c>
      <c r="CW965" s="397">
        <f>SUM(CW960:CW964)</f>
        <v>43542</v>
      </c>
      <c r="CX965" s="397">
        <f>SUM(CX960:CX964)</f>
        <v>46824</v>
      </c>
      <c r="CZ965" s="397">
        <f>SUM(CZ960:CZ964)</f>
        <v>44769</v>
      </c>
      <c r="DA965" s="397">
        <f>SUM(DA960:DA964)</f>
        <v>45278</v>
      </c>
      <c r="DB965" s="397">
        <f>SUM(DB960:DB964)</f>
        <v>49404</v>
      </c>
      <c r="DD965" s="397">
        <f>SUM(DD960:DD964)</f>
        <v>46734</v>
      </c>
      <c r="DE965" s="397">
        <f>SUM(DE960:DE964)</f>
        <v>47560</v>
      </c>
      <c r="DF965" s="397">
        <f>SUM(DF960:DF964)</f>
        <v>51716</v>
      </c>
      <c r="DH965" s="397">
        <f>SUM(DH960:DH964)</f>
        <v>49341</v>
      </c>
      <c r="DI965" s="397">
        <f>SUM(DI960:DI964)</f>
        <v>50643.653390878702</v>
      </c>
      <c r="DJ965" s="397">
        <f>SUM(DJ960:DJ964)</f>
        <v>54965.653390878695</v>
      </c>
      <c r="DL965" s="397">
        <f>SUM(DL960:DL964)</f>
        <v>52636.769052240015</v>
      </c>
      <c r="DM965" s="397">
        <f>SUM(DM960:DM964)</f>
        <v>53832.613413927713</v>
      </c>
      <c r="DN965" s="397">
        <f>SUM(DN960:DN964)</f>
        <v>58512.325035138791</v>
      </c>
      <c r="DP965" s="397">
        <f>SUM(DP960:DP964)</f>
        <v>55621.115865109983</v>
      </c>
      <c r="DQ965" s="397">
        <f>SUM(DQ960:DQ964)</f>
        <v>56724.093284554008</v>
      </c>
      <c r="DR965" s="397">
        <f>SUM(DR960:DR964)</f>
        <v>61741.818093949565</v>
      </c>
      <c r="DT965" s="1"/>
      <c r="DU965" s="1"/>
      <c r="DV965" s="1"/>
      <c r="DW965" s="1"/>
      <c r="DX965" s="1"/>
      <c r="DY965" s="1"/>
      <c r="DZ965" s="1"/>
      <c r="EA965" s="1"/>
      <c r="EB965" s="1"/>
      <c r="EC965" s="1"/>
      <c r="ED965" s="1"/>
      <c r="EE965" s="1"/>
      <c r="EF965" s="1"/>
      <c r="EG965" s="1"/>
      <c r="EH965" s="1"/>
      <c r="EI965" s="1"/>
      <c r="EJ965" s="1"/>
      <c r="EK965" s="1"/>
      <c r="EL965" s="1"/>
      <c r="EM965" s="1"/>
      <c r="EN965" s="1"/>
      <c r="EO965" s="1"/>
      <c r="EP965" s="1"/>
      <c r="EQ965" s="1"/>
      <c r="ER965" s="1"/>
      <c r="ES965" s="1"/>
      <c r="ET965" s="1"/>
      <c r="EU965" s="1"/>
      <c r="EV965" s="1"/>
      <c r="EW965" s="1"/>
      <c r="EX965" s="1"/>
      <c r="EY965" s="1"/>
      <c r="EZ965" s="1"/>
      <c r="FA965" s="1"/>
      <c r="FB965" s="1"/>
      <c r="FC965" s="1"/>
      <c r="FD965" s="1"/>
      <c r="FE965" s="1"/>
      <c r="FF965" s="1"/>
      <c r="FG965" s="1"/>
      <c r="FH965" s="1"/>
      <c r="FI965" s="1"/>
      <c r="FJ965" s="1"/>
      <c r="FK965" s="1"/>
      <c r="FL965" s="1"/>
      <c r="FM965" s="1"/>
      <c r="FN965" s="1"/>
      <c r="FO965" s="1"/>
      <c r="FP965" s="1"/>
      <c r="FQ965" s="1"/>
      <c r="FR965" s="1"/>
      <c r="FS965" s="1"/>
      <c r="FT965" s="1"/>
      <c r="FU965" s="1"/>
      <c r="FV965" s="1"/>
      <c r="FW965" s="1"/>
      <c r="FX965" s="1"/>
      <c r="FY965" s="1"/>
      <c r="FZ965" s="1"/>
      <c r="GA965" s="1"/>
      <c r="GB965" s="1"/>
      <c r="GC965" s="1"/>
      <c r="GD965" s="1"/>
      <c r="GE965" s="1"/>
      <c r="GF965" s="1"/>
      <c r="GG965" s="1"/>
      <c r="GH965" s="1"/>
      <c r="GI965" s="1"/>
      <c r="GJ965" s="1"/>
      <c r="GK965" s="1"/>
      <c r="GL965" s="1"/>
      <c r="GM965" s="1"/>
      <c r="GN965" s="1"/>
      <c r="GO965" s="1"/>
      <c r="GP965" s="1"/>
      <c r="GQ965" s="1"/>
      <c r="GR965" s="1"/>
      <c r="GS965" s="1"/>
      <c r="GT965" s="1"/>
      <c r="GU965" s="1"/>
      <c r="GV965" s="1"/>
      <c r="GW965" s="1"/>
      <c r="GX965" s="1"/>
      <c r="GY965" s="1"/>
      <c r="GZ965" s="1"/>
      <c r="HA965" s="1"/>
      <c r="HB965" s="1"/>
      <c r="HC965" s="1"/>
      <c r="HD965" s="1"/>
      <c r="HE965" s="1"/>
      <c r="HF965" s="1"/>
      <c r="HG965" s="1"/>
      <c r="HH965" s="1"/>
      <c r="HI965" s="1"/>
      <c r="HJ965" s="1"/>
      <c r="HK965" s="1"/>
      <c r="HL965" s="1"/>
      <c r="HM965" s="1"/>
      <c r="HN965" s="1"/>
      <c r="HO965" s="1"/>
      <c r="HP965" s="1"/>
      <c r="HQ965" s="1"/>
      <c r="HR965" s="1"/>
      <c r="HS965" s="1"/>
      <c r="HT965" s="1"/>
      <c r="HU965" s="1"/>
      <c r="HV965" s="1"/>
      <c r="HW965" s="1"/>
      <c r="HX965" s="1"/>
      <c r="HY965" s="1"/>
      <c r="HZ965" s="1"/>
      <c r="IA965" s="1"/>
      <c r="IB965" s="1"/>
      <c r="IC965" s="1"/>
      <c r="ID965" s="1"/>
      <c r="IE965" s="1"/>
      <c r="IF965" s="1"/>
      <c r="IG965" s="1"/>
      <c r="IH965" s="1"/>
      <c r="II965" s="1"/>
      <c r="IJ965" s="1"/>
      <c r="IK965" s="1"/>
      <c r="IL965" s="1"/>
      <c r="IM965" s="1"/>
      <c r="IN965" s="1"/>
      <c r="IO965" s="1"/>
      <c r="IP965" s="1"/>
      <c r="IQ965" s="1"/>
      <c r="IR965" s="1"/>
      <c r="IS965" s="1"/>
      <c r="IT965" s="1"/>
      <c r="IU965" s="1"/>
      <c r="IV965" s="1"/>
      <c r="IW965" s="1"/>
      <c r="IX965" s="1"/>
      <c r="IY965" s="1"/>
      <c r="IZ965" s="1"/>
      <c r="JA965" s="1"/>
      <c r="JB965" s="1"/>
      <c r="JC965" s="1"/>
      <c r="JD965" s="1"/>
    </row>
    <row r="966" spans="1:264" s="347" customFormat="1" x14ac:dyDescent="0.2">
      <c r="A966" s="347" t="s">
        <v>676</v>
      </c>
      <c r="B966" s="348"/>
      <c r="BH966" s="351">
        <f>-BH975</f>
        <v>325</v>
      </c>
      <c r="BI966" s="351">
        <f>-BI975</f>
        <v>466</v>
      </c>
      <c r="BJ966" s="351">
        <f>SUM(BH966:BI966)</f>
        <v>791</v>
      </c>
      <c r="BK966" s="348"/>
      <c r="BL966" s="351">
        <f>-BL975</f>
        <v>-40</v>
      </c>
      <c r="BM966" s="351">
        <f>-BM975</f>
        <v>0</v>
      </c>
      <c r="BN966" s="351">
        <f>SUM(BL966:BM966)</f>
        <v>-40</v>
      </c>
      <c r="BO966" s="348"/>
      <c r="BP966" s="351">
        <f>-BP975</f>
        <v>3</v>
      </c>
      <c r="BQ966" s="351">
        <f>-BQ975</f>
        <v>307</v>
      </c>
      <c r="BR966" s="351">
        <f>SUM(BP966:BQ966)</f>
        <v>310</v>
      </c>
      <c r="BT966" s="351">
        <f>-BT975</f>
        <v>-87</v>
      </c>
      <c r="BU966" s="351">
        <f>-BU975</f>
        <v>0</v>
      </c>
      <c r="BV966" s="351">
        <f>SUM(BT966:BU966)</f>
        <v>-87</v>
      </c>
      <c r="BX966" s="351">
        <f>-BX975</f>
        <v>0</v>
      </c>
      <c r="BY966" s="351">
        <f>-BY975</f>
        <v>0</v>
      </c>
      <c r="BZ966" s="351">
        <f>SUM(BX966:BY966)</f>
        <v>0</v>
      </c>
      <c r="CB966" s="351">
        <f>-CB975</f>
        <v>0</v>
      </c>
      <c r="CC966" s="351">
        <f>-CC975</f>
        <v>0</v>
      </c>
      <c r="CD966" s="351">
        <f>SUM(CB966:CC966)</f>
        <v>0</v>
      </c>
      <c r="CF966" s="351">
        <f>-CF975</f>
        <v>72</v>
      </c>
      <c r="CG966" s="351">
        <f>-CG975</f>
        <v>57</v>
      </c>
      <c r="CH966" s="351">
        <f>SUM(CF966:CG966)</f>
        <v>129</v>
      </c>
      <c r="CJ966" s="351">
        <f>-CJ975</f>
        <v>739</v>
      </c>
      <c r="CK966" s="351">
        <f>-CK975</f>
        <v>2</v>
      </c>
      <c r="CL966" s="351">
        <f>SUM(CJ966:CK966)</f>
        <v>741</v>
      </c>
      <c r="CN966" s="351">
        <f>-CN975</f>
        <v>213</v>
      </c>
      <c r="CO966" s="351">
        <f>-CO975</f>
        <v>5</v>
      </c>
      <c r="CP966" s="351">
        <f>SUM(CN966:CO966)</f>
        <v>218</v>
      </c>
      <c r="CR966" s="351">
        <f>-CR975</f>
        <v>35</v>
      </c>
      <c r="CS966" s="351">
        <f>-CS975</f>
        <v>-1</v>
      </c>
      <c r="CT966" s="351">
        <f>SUM(CR966:CS966)</f>
        <v>34</v>
      </c>
      <c r="CV966" s="351">
        <f>-CV975</f>
        <v>4</v>
      </c>
      <c r="CW966" s="351">
        <v>6</v>
      </c>
      <c r="CX966" s="351">
        <f>SUM(CV966:CW966)</f>
        <v>10</v>
      </c>
      <c r="CZ966" s="351">
        <f>-CZ975</f>
        <v>-13</v>
      </c>
      <c r="DA966" s="351">
        <v>6</v>
      </c>
      <c r="DB966" s="351">
        <f>SUM(CZ966:DA966)</f>
        <v>-7</v>
      </c>
      <c r="DD966" s="351">
        <f>-DD975</f>
        <v>8</v>
      </c>
      <c r="DE966" s="351">
        <v>6</v>
      </c>
      <c r="DF966" s="351">
        <f>SUM(DD966:DE966)</f>
        <v>14</v>
      </c>
      <c r="DH966" s="351">
        <f>-DH975</f>
        <v>0</v>
      </c>
      <c r="DI966" s="351">
        <f>-DI975</f>
        <v>0</v>
      </c>
      <c r="DJ966" s="351">
        <f>SUM(DH966:DI966)</f>
        <v>0</v>
      </c>
      <c r="DL966" s="351">
        <f>-DL975</f>
        <v>0</v>
      </c>
      <c r="DM966" s="351">
        <f>-DM975</f>
        <v>0</v>
      </c>
      <c r="DN966" s="351">
        <f>SUM(DL966:DM966)</f>
        <v>0</v>
      </c>
      <c r="DP966" s="351">
        <f>-DP975</f>
        <v>0</v>
      </c>
      <c r="DQ966" s="351">
        <f>-DQ975</f>
        <v>0</v>
      </c>
      <c r="DR966" s="351">
        <f>SUM(DP966:DQ966)</f>
        <v>0</v>
      </c>
      <c r="DT966" s="1"/>
      <c r="DU966" s="1"/>
      <c r="DV966" s="1"/>
      <c r="DW966" s="1"/>
      <c r="DX966" s="1"/>
      <c r="DY966" s="1"/>
      <c r="DZ966" s="1"/>
      <c r="EA966" s="1"/>
      <c r="EB966" s="1"/>
      <c r="EC966" s="1"/>
      <c r="ED966" s="1"/>
      <c r="EE966" s="1"/>
      <c r="EF966" s="1"/>
      <c r="EG966" s="1"/>
      <c r="EH966" s="1"/>
      <c r="EI966" s="1"/>
      <c r="EJ966" s="1"/>
      <c r="EK966" s="1"/>
      <c r="EL966" s="1"/>
      <c r="EM966" s="1"/>
      <c r="EN966" s="1"/>
      <c r="EO966" s="1"/>
      <c r="EP966" s="1"/>
      <c r="EQ966" s="1"/>
      <c r="ER966" s="1"/>
      <c r="ES966" s="1"/>
      <c r="ET966" s="1"/>
      <c r="EU966" s="1"/>
      <c r="EV966" s="1"/>
      <c r="EW966" s="1"/>
      <c r="EX966" s="1"/>
      <c r="EY966" s="1"/>
      <c r="EZ966" s="1"/>
      <c r="FA966" s="1"/>
      <c r="FB966" s="1"/>
      <c r="FC966" s="1"/>
      <c r="FD966" s="1"/>
      <c r="FE966" s="1"/>
      <c r="FF966" s="1"/>
      <c r="FG966" s="1"/>
      <c r="FH966" s="1"/>
      <c r="FI966" s="1"/>
      <c r="FJ966" s="1"/>
      <c r="FK966" s="1"/>
      <c r="FL966" s="1"/>
      <c r="FM966" s="1"/>
      <c r="FN966" s="1"/>
      <c r="FO966" s="1"/>
      <c r="FP966" s="1"/>
      <c r="FQ966" s="1"/>
      <c r="FR966" s="1"/>
      <c r="FS966" s="1"/>
      <c r="FT966" s="1"/>
      <c r="FU966" s="1"/>
      <c r="FV966" s="1"/>
      <c r="FW966" s="1"/>
      <c r="FX966" s="1"/>
      <c r="FY966" s="1"/>
      <c r="FZ966" s="1"/>
      <c r="GA966" s="1"/>
      <c r="GB966" s="1"/>
      <c r="GC966" s="1"/>
      <c r="GD966" s="1"/>
      <c r="GE966" s="1"/>
      <c r="GF966" s="1"/>
      <c r="GG966" s="1"/>
      <c r="GH966" s="1"/>
      <c r="GI966" s="1"/>
      <c r="GJ966" s="1"/>
      <c r="GK966" s="1"/>
      <c r="GL966" s="1"/>
      <c r="GM966" s="1"/>
      <c r="GN966" s="1"/>
      <c r="GO966" s="1"/>
      <c r="GP966" s="1"/>
      <c r="GQ966" s="1"/>
      <c r="GR966" s="1"/>
      <c r="GS966" s="1"/>
      <c r="GT966" s="1"/>
      <c r="GU966" s="1"/>
      <c r="GV966" s="1"/>
      <c r="GW966" s="1"/>
      <c r="GX966" s="1"/>
      <c r="GY966" s="1"/>
      <c r="GZ966" s="1"/>
      <c r="HA966" s="1"/>
      <c r="HB966" s="1"/>
      <c r="HC966" s="1"/>
      <c r="HD966" s="1"/>
      <c r="HE966" s="1"/>
      <c r="HF966" s="1"/>
      <c r="HG966" s="1"/>
      <c r="HH966" s="1"/>
      <c r="HI966" s="1"/>
      <c r="HJ966" s="1"/>
      <c r="HK966" s="1"/>
      <c r="HL966" s="1"/>
      <c r="HM966" s="1"/>
      <c r="HN966" s="1"/>
      <c r="HO966" s="1"/>
      <c r="HP966" s="1"/>
      <c r="HQ966" s="1"/>
      <c r="HR966" s="1"/>
      <c r="HS966" s="1"/>
      <c r="HT966" s="1"/>
      <c r="HU966" s="1"/>
      <c r="HV966" s="1"/>
      <c r="HW966" s="1"/>
      <c r="HX966" s="1"/>
      <c r="HY966" s="1"/>
      <c r="HZ966" s="1"/>
      <c r="IA966" s="1"/>
      <c r="IB966" s="1"/>
      <c r="IC966" s="1"/>
      <c r="ID966" s="1"/>
      <c r="IE966" s="1"/>
      <c r="IF966" s="1"/>
      <c r="IG966" s="1"/>
      <c r="IH966" s="1"/>
      <c r="II966" s="1"/>
      <c r="IJ966" s="1"/>
      <c r="IK966" s="1"/>
      <c r="IL966" s="1"/>
      <c r="IM966" s="1"/>
      <c r="IN966" s="1"/>
      <c r="IO966" s="1"/>
      <c r="IP966" s="1"/>
      <c r="IQ966" s="1"/>
      <c r="IR966" s="1"/>
      <c r="IS966" s="1"/>
      <c r="IT966" s="1"/>
      <c r="IU966" s="1"/>
      <c r="IV966" s="1"/>
      <c r="IW966" s="1"/>
      <c r="IX966" s="1"/>
      <c r="IY966" s="1"/>
      <c r="IZ966" s="1"/>
      <c r="JA966" s="1"/>
      <c r="JB966" s="1"/>
      <c r="JC966" s="1"/>
      <c r="JD966" s="1"/>
    </row>
    <row r="967" spans="1:264" s="347" customFormat="1" x14ac:dyDescent="0.2">
      <c r="A967" s="347" t="s">
        <v>677</v>
      </c>
      <c r="B967" s="348"/>
      <c r="BH967" s="398">
        <v>-3137</v>
      </c>
      <c r="BI967" s="398">
        <v>0</v>
      </c>
      <c r="BJ967" s="351">
        <f>+BI967+BH967</f>
        <v>-3137</v>
      </c>
      <c r="BK967" s="348"/>
      <c r="BL967" s="398">
        <v>-3224</v>
      </c>
      <c r="BM967" s="398">
        <v>0</v>
      </c>
      <c r="BN967" s="351">
        <f>+BM967+BL967</f>
        <v>-3224</v>
      </c>
      <c r="BO967" s="348"/>
      <c r="BP967" s="398">
        <v>-3534</v>
      </c>
      <c r="BQ967" s="398">
        <v>0</v>
      </c>
      <c r="BR967" s="351">
        <f>+BQ967+BP967</f>
        <v>-3534</v>
      </c>
      <c r="BT967" s="398">
        <f>-2958-655</f>
        <v>-3613</v>
      </c>
      <c r="BU967" s="398">
        <v>0</v>
      </c>
      <c r="BV967" s="351">
        <f>+BU967+BT967</f>
        <v>-3613</v>
      </c>
      <c r="BX967" s="398">
        <v>-3808</v>
      </c>
      <c r="BY967" s="398">
        <v>0</v>
      </c>
      <c r="BZ967" s="351">
        <f>+BY967+BX967</f>
        <v>-3808</v>
      </c>
      <c r="CB967" s="398">
        <v>-3979</v>
      </c>
      <c r="CC967" s="398">
        <v>0</v>
      </c>
      <c r="CD967" s="351">
        <f>+CC967+CB967</f>
        <v>-3979</v>
      </c>
      <c r="CF967" s="398">
        <v>-4065</v>
      </c>
      <c r="CG967" s="398">
        <v>0</v>
      </c>
      <c r="CH967" s="351">
        <f>+CG967+CF967</f>
        <v>-4065</v>
      </c>
      <c r="CJ967" s="398">
        <f>-3474-615</f>
        <v>-4089</v>
      </c>
      <c r="CK967" s="398">
        <v>0</v>
      </c>
      <c r="CL967" s="351">
        <f>+CK967+CJ967</f>
        <v>-4089</v>
      </c>
      <c r="CN967" s="398">
        <v>-1735</v>
      </c>
      <c r="CO967" s="398">
        <v>0</v>
      </c>
      <c r="CP967" s="351">
        <f>+CO967+CN967</f>
        <v>-1735</v>
      </c>
      <c r="CR967" s="398">
        <v>-3548</v>
      </c>
      <c r="CS967" s="398">
        <v>0</v>
      </c>
      <c r="CT967" s="351">
        <f>+CS967+CR967</f>
        <v>-3548</v>
      </c>
      <c r="CV967" s="398">
        <f>+-3571</f>
        <v>-3571</v>
      </c>
      <c r="CW967" s="398">
        <v>0</v>
      </c>
      <c r="CX967" s="351">
        <f>+CW967+CV967</f>
        <v>-3571</v>
      </c>
      <c r="CZ967" s="398">
        <v>-4023</v>
      </c>
      <c r="DA967" s="398">
        <v>0</v>
      </c>
      <c r="DB967" s="351">
        <f>+DA967+CZ967</f>
        <v>-4023</v>
      </c>
      <c r="DD967" s="398">
        <v>-4184</v>
      </c>
      <c r="DE967" s="398">
        <v>0</v>
      </c>
      <c r="DF967" s="351">
        <f>+DE967+DD967</f>
        <v>-4184</v>
      </c>
      <c r="DH967" s="398">
        <v>-4351</v>
      </c>
      <c r="DI967" s="398">
        <v>0</v>
      </c>
      <c r="DJ967" s="351">
        <f>+DI967+DH967</f>
        <v>-4351</v>
      </c>
      <c r="DL967" s="351">
        <f>-DI1037</f>
        <v>-4679.7116212110777</v>
      </c>
      <c r="DM967" s="398">
        <v>0</v>
      </c>
      <c r="DN967" s="351">
        <f>+DM967+DL967</f>
        <v>-4679.7116212110777</v>
      </c>
      <c r="DP967" s="351">
        <f>-DM1037</f>
        <v>-5017.7248093955541</v>
      </c>
      <c r="DQ967" s="398">
        <v>0</v>
      </c>
      <c r="DR967" s="351">
        <f>+DQ967+DP967</f>
        <v>-5017.7248093955541</v>
      </c>
      <c r="DT967" s="1"/>
      <c r="DU967" s="1"/>
      <c r="DV967" s="1"/>
      <c r="DW967" s="1"/>
      <c r="DX967" s="1"/>
      <c r="DY967" s="1"/>
      <c r="DZ967" s="1"/>
      <c r="EA967" s="1"/>
      <c r="EB967" s="1"/>
      <c r="EC967" s="1"/>
      <c r="ED967" s="1"/>
      <c r="EE967" s="1"/>
      <c r="EF967" s="1"/>
      <c r="EG967" s="1"/>
      <c r="EH967" s="1"/>
      <c r="EI967" s="1"/>
      <c r="EJ967" s="1"/>
      <c r="EK967" s="1"/>
      <c r="EL967" s="1"/>
      <c r="EM967" s="1"/>
      <c r="EN967" s="1"/>
      <c r="EO967" s="1"/>
      <c r="EP967" s="1"/>
      <c r="EQ967" s="1"/>
      <c r="ER967" s="1"/>
      <c r="ES967" s="1"/>
      <c r="ET967" s="1"/>
      <c r="EU967" s="1"/>
      <c r="EV967" s="1"/>
      <c r="EW967" s="1"/>
      <c r="EX967" s="1"/>
      <c r="EY967" s="1"/>
      <c r="EZ967" s="1"/>
      <c r="FA967" s="1"/>
      <c r="FB967" s="1"/>
      <c r="FC967" s="1"/>
      <c r="FD967" s="1"/>
      <c r="FE967" s="1"/>
      <c r="FF967" s="1"/>
      <c r="FG967" s="1"/>
      <c r="FH967" s="1"/>
      <c r="FI967" s="1"/>
      <c r="FJ967" s="1"/>
      <c r="FK967" s="1"/>
      <c r="FL967" s="1"/>
      <c r="FM967" s="1"/>
      <c r="FN967" s="1"/>
      <c r="FO967" s="1"/>
      <c r="FP967" s="1"/>
      <c r="FQ967" s="1"/>
      <c r="FR967" s="1"/>
      <c r="FS967" s="1"/>
      <c r="FT967" s="1"/>
      <c r="FU967" s="1"/>
      <c r="FV967" s="1"/>
      <c r="FW967" s="1"/>
      <c r="FX967" s="1"/>
      <c r="FY967" s="1"/>
      <c r="FZ967" s="1"/>
      <c r="GA967" s="1"/>
      <c r="GB967" s="1"/>
      <c r="GC967" s="1"/>
      <c r="GD967" s="1"/>
      <c r="GE967" s="1"/>
      <c r="GF967" s="1"/>
      <c r="GG967" s="1"/>
      <c r="GH967" s="1"/>
      <c r="GI967" s="1"/>
      <c r="GJ967" s="1"/>
      <c r="GK967" s="1"/>
      <c r="GL967" s="1"/>
      <c r="GM967" s="1"/>
      <c r="GN967" s="1"/>
      <c r="GO967" s="1"/>
      <c r="GP967" s="1"/>
      <c r="GQ967" s="1"/>
      <c r="GR967" s="1"/>
      <c r="GS967" s="1"/>
      <c r="GT967" s="1"/>
      <c r="GU967" s="1"/>
      <c r="GV967" s="1"/>
      <c r="GW967" s="1"/>
      <c r="GX967" s="1"/>
      <c r="GY967" s="1"/>
      <c r="GZ967" s="1"/>
      <c r="HA967" s="1"/>
      <c r="HB967" s="1"/>
      <c r="HC967" s="1"/>
      <c r="HD967" s="1"/>
      <c r="HE967" s="1"/>
      <c r="HF967" s="1"/>
      <c r="HG967" s="1"/>
      <c r="HH967" s="1"/>
      <c r="HI967" s="1"/>
      <c r="HJ967" s="1"/>
      <c r="HK967" s="1"/>
      <c r="HL967" s="1"/>
      <c r="HM967" s="1"/>
      <c r="HN967" s="1"/>
      <c r="HO967" s="1"/>
      <c r="HP967" s="1"/>
      <c r="HQ967" s="1"/>
      <c r="HR967" s="1"/>
      <c r="HS967" s="1"/>
      <c r="HT967" s="1"/>
      <c r="HU967" s="1"/>
      <c r="HV967" s="1"/>
      <c r="HW967" s="1"/>
      <c r="HX967" s="1"/>
      <c r="HY967" s="1"/>
      <c r="HZ967" s="1"/>
      <c r="IA967" s="1"/>
      <c r="IB967" s="1"/>
      <c r="IC967" s="1"/>
      <c r="ID967" s="1"/>
      <c r="IE967" s="1"/>
      <c r="IF967" s="1"/>
      <c r="IG967" s="1"/>
      <c r="IH967" s="1"/>
      <c r="II967" s="1"/>
      <c r="IJ967" s="1"/>
      <c r="IK967" s="1"/>
      <c r="IL967" s="1"/>
      <c r="IM967" s="1"/>
      <c r="IN967" s="1"/>
      <c r="IO967" s="1"/>
      <c r="IP967" s="1"/>
      <c r="IQ967" s="1"/>
      <c r="IR967" s="1"/>
      <c r="IS967" s="1"/>
      <c r="IT967" s="1"/>
      <c r="IU967" s="1"/>
      <c r="IV967" s="1"/>
      <c r="IW967" s="1"/>
      <c r="IX967" s="1"/>
      <c r="IY967" s="1"/>
      <c r="IZ967" s="1"/>
      <c r="JA967" s="1"/>
      <c r="JB967" s="1"/>
      <c r="JC967" s="1"/>
      <c r="JD967" s="1"/>
    </row>
    <row r="968" spans="1:264" s="347" customFormat="1" x14ac:dyDescent="0.2">
      <c r="A968" s="347" t="s">
        <v>678</v>
      </c>
      <c r="B968" s="348"/>
      <c r="BH968" s="398">
        <v>0</v>
      </c>
      <c r="BI968" s="398">
        <v>-2639</v>
      </c>
      <c r="BJ968" s="351">
        <f>+BI968+BH968</f>
        <v>-2639</v>
      </c>
      <c r="BK968" s="348"/>
      <c r="BL968" s="398">
        <v>0</v>
      </c>
      <c r="BM968" s="398">
        <v>-2950</v>
      </c>
      <c r="BN968" s="351">
        <f>+BM968+BL968</f>
        <v>-2950</v>
      </c>
      <c r="BO968" s="348"/>
      <c r="BP968" s="398">
        <v>0</v>
      </c>
      <c r="BQ968" s="398">
        <v>-3210</v>
      </c>
      <c r="BR968" s="351">
        <f>+BQ968+BP968</f>
        <v>-3210</v>
      </c>
      <c r="BT968" s="398">
        <v>0</v>
      </c>
      <c r="BU968" s="398">
        <f>-2829-552</f>
        <v>-3381</v>
      </c>
      <c r="BV968" s="351">
        <f>+BU968+BT968</f>
        <v>-3381</v>
      </c>
      <c r="BX968" s="398">
        <v>0</v>
      </c>
      <c r="BY968" s="398">
        <f>-2871-558</f>
        <v>-3429</v>
      </c>
      <c r="BZ968" s="351">
        <f>+BY968+BX968</f>
        <v>-3429</v>
      </c>
      <c r="CB968" s="398">
        <v>0</v>
      </c>
      <c r="CC968" s="398">
        <v>-3505</v>
      </c>
      <c r="CD968" s="351">
        <f>+CC968+CB968</f>
        <v>-3505</v>
      </c>
      <c r="CF968" s="398">
        <v>0</v>
      </c>
      <c r="CG968" s="398">
        <v>-3541</v>
      </c>
      <c r="CH968" s="351">
        <f>+CG968+CF968</f>
        <v>-3541</v>
      </c>
      <c r="CJ968" s="398">
        <v>0</v>
      </c>
      <c r="CK968" s="398">
        <v>-3540</v>
      </c>
      <c r="CL968" s="351">
        <f>+CK968+CJ968</f>
        <v>-3540</v>
      </c>
      <c r="CN968" s="398">
        <v>0</v>
      </c>
      <c r="CO968" s="398">
        <v>-2661</v>
      </c>
      <c r="CP968" s="351">
        <f>+CO968+CN968</f>
        <v>-2661</v>
      </c>
      <c r="CR968" s="398">
        <v>0</v>
      </c>
      <c r="CS968" s="398">
        <v>-2987</v>
      </c>
      <c r="CT968" s="351">
        <f>+CS968+CR968</f>
        <v>-2987</v>
      </c>
      <c r="CV968" s="398">
        <v>0</v>
      </c>
      <c r="CW968" s="398">
        <v>-3546</v>
      </c>
      <c r="CX968" s="351">
        <f>+CW968+CV968</f>
        <v>-3546</v>
      </c>
      <c r="CZ968" s="398">
        <v>0</v>
      </c>
      <c r="DA968" s="398">
        <v>-3600</v>
      </c>
      <c r="DB968" s="351">
        <f>+DA968+CZ968</f>
        <v>-3600</v>
      </c>
      <c r="DD968" s="398">
        <v>0</v>
      </c>
      <c r="DE968" s="398">
        <v>-3765</v>
      </c>
      <c r="DF968" s="351">
        <f>+DE968+DD968</f>
        <v>-3765</v>
      </c>
      <c r="DH968" s="398">
        <v>0</v>
      </c>
      <c r="DI968" s="351">
        <f>-DH1037</f>
        <v>-3932.6365412999999</v>
      </c>
      <c r="DJ968" s="351">
        <f>+DI968+DH968</f>
        <v>-3932.6365412999999</v>
      </c>
      <c r="DL968" s="398">
        <v>0</v>
      </c>
      <c r="DM968" s="351">
        <f>-DL1037</f>
        <v>-4349.502116753406</v>
      </c>
      <c r="DN968" s="351">
        <f>+DM968+DL968</f>
        <v>-4349.502116753406</v>
      </c>
      <c r="DP968" s="398">
        <v>0</v>
      </c>
      <c r="DQ968" s="351">
        <f>-DP1037</f>
        <v>-4511.4333574327238</v>
      </c>
      <c r="DR968" s="351">
        <f>+DQ968+DP968</f>
        <v>-4511.4333574327238</v>
      </c>
      <c r="DT968" s="1"/>
      <c r="DU968" s="1"/>
      <c r="DV968" s="1"/>
      <c r="DW968" s="1"/>
      <c r="DX968" s="1"/>
      <c r="DY968" s="1"/>
      <c r="DZ968" s="1"/>
      <c r="EA968" s="1"/>
      <c r="EB968" s="1"/>
      <c r="EC968" s="1"/>
      <c r="ED968" s="1"/>
      <c r="EE968" s="1"/>
      <c r="EF968" s="1"/>
      <c r="EG968" s="1"/>
      <c r="EH968" s="1"/>
      <c r="EI968" s="1"/>
      <c r="EJ968" s="1"/>
      <c r="EK968" s="1"/>
      <c r="EL968" s="1"/>
      <c r="EM968" s="1"/>
      <c r="EN968" s="1"/>
      <c r="EO968" s="1"/>
      <c r="EP968" s="1"/>
      <c r="EQ968" s="1"/>
      <c r="ER968" s="1"/>
      <c r="ES968" s="1"/>
      <c r="ET968" s="1"/>
      <c r="EU968" s="1"/>
      <c r="EV968" s="1"/>
      <c r="EW968" s="1"/>
      <c r="EX968" s="1"/>
      <c r="EY968" s="1"/>
      <c r="EZ968" s="1"/>
      <c r="FA968" s="1"/>
      <c r="FB968" s="1"/>
      <c r="FC968" s="1"/>
      <c r="FD968" s="1"/>
      <c r="FE968" s="1"/>
      <c r="FF968" s="1"/>
      <c r="FG968" s="1"/>
      <c r="FH968" s="1"/>
      <c r="FI968" s="1"/>
      <c r="FJ968" s="1"/>
      <c r="FK968" s="1"/>
      <c r="FL968" s="1"/>
      <c r="FM968" s="1"/>
      <c r="FN968" s="1"/>
      <c r="FO968" s="1"/>
      <c r="FP968" s="1"/>
      <c r="FQ968" s="1"/>
      <c r="FR968" s="1"/>
      <c r="FS968" s="1"/>
      <c r="FT968" s="1"/>
      <c r="FU968" s="1"/>
      <c r="FV968" s="1"/>
      <c r="FW968" s="1"/>
      <c r="FX968" s="1"/>
      <c r="FY968" s="1"/>
      <c r="FZ968" s="1"/>
      <c r="GA968" s="1"/>
      <c r="GB968" s="1"/>
      <c r="GC968" s="1"/>
      <c r="GD968" s="1"/>
      <c r="GE968" s="1"/>
      <c r="GF968" s="1"/>
      <c r="GG968" s="1"/>
      <c r="GH968" s="1"/>
      <c r="GI968" s="1"/>
      <c r="GJ968" s="1"/>
      <c r="GK968" s="1"/>
      <c r="GL968" s="1"/>
      <c r="GM968" s="1"/>
      <c r="GN968" s="1"/>
      <c r="GO968" s="1"/>
      <c r="GP968" s="1"/>
      <c r="GQ968" s="1"/>
      <c r="GR968" s="1"/>
      <c r="GS968" s="1"/>
      <c r="GT968" s="1"/>
      <c r="GU968" s="1"/>
      <c r="GV968" s="1"/>
      <c r="GW968" s="1"/>
      <c r="GX968" s="1"/>
      <c r="GY968" s="1"/>
      <c r="GZ968" s="1"/>
      <c r="HA968" s="1"/>
      <c r="HB968" s="1"/>
      <c r="HC968" s="1"/>
      <c r="HD968" s="1"/>
      <c r="HE968" s="1"/>
      <c r="HF968" s="1"/>
      <c r="HG968" s="1"/>
      <c r="HH968" s="1"/>
      <c r="HI968" s="1"/>
      <c r="HJ968" s="1"/>
      <c r="HK968" s="1"/>
      <c r="HL968" s="1"/>
      <c r="HM968" s="1"/>
      <c r="HN968" s="1"/>
      <c r="HO968" s="1"/>
      <c r="HP968" s="1"/>
      <c r="HQ968" s="1"/>
      <c r="HR968" s="1"/>
      <c r="HS968" s="1"/>
      <c r="HT968" s="1"/>
      <c r="HU968" s="1"/>
      <c r="HV968" s="1"/>
      <c r="HW968" s="1"/>
      <c r="HX968" s="1"/>
      <c r="HY968" s="1"/>
      <c r="HZ968" s="1"/>
      <c r="IA968" s="1"/>
      <c r="IB968" s="1"/>
      <c r="IC968" s="1"/>
      <c r="ID968" s="1"/>
      <c r="IE968" s="1"/>
      <c r="IF968" s="1"/>
      <c r="IG968" s="1"/>
      <c r="IH968" s="1"/>
      <c r="II968" s="1"/>
      <c r="IJ968" s="1"/>
      <c r="IK968" s="1"/>
      <c r="IL968" s="1"/>
      <c r="IM968" s="1"/>
      <c r="IN968" s="1"/>
      <c r="IO968" s="1"/>
      <c r="IP968" s="1"/>
      <c r="IQ968" s="1"/>
      <c r="IR968" s="1"/>
      <c r="IS968" s="1"/>
      <c r="IT968" s="1"/>
      <c r="IU968" s="1"/>
      <c r="IV968" s="1"/>
      <c r="IW968" s="1"/>
      <c r="IX968" s="1"/>
      <c r="IY968" s="1"/>
      <c r="IZ968" s="1"/>
      <c r="JA968" s="1"/>
      <c r="JB968" s="1"/>
      <c r="JC968" s="1"/>
      <c r="JD968" s="1"/>
    </row>
    <row r="969" spans="1:264" s="347" customFormat="1" x14ac:dyDescent="0.2">
      <c r="A969" s="463" t="s">
        <v>679</v>
      </c>
      <c r="B969" s="466"/>
      <c r="C969" s="463"/>
      <c r="D969" s="463"/>
      <c r="E969" s="463"/>
      <c r="F969" s="463"/>
      <c r="G969" s="463"/>
      <c r="H969" s="463"/>
      <c r="I969" s="463"/>
      <c r="J969" s="463"/>
      <c r="K969" s="463"/>
      <c r="L969" s="463"/>
      <c r="M969" s="463"/>
      <c r="N969" s="463"/>
      <c r="O969" s="463"/>
      <c r="P969" s="463"/>
      <c r="Q969" s="463"/>
      <c r="R969" s="463"/>
      <c r="S969" s="463"/>
      <c r="T969" s="463"/>
      <c r="U969" s="463"/>
      <c r="V969" s="463"/>
      <c r="W969" s="463"/>
      <c r="X969" s="463"/>
      <c r="Y969" s="463"/>
      <c r="Z969" s="463"/>
      <c r="AA969" s="463"/>
      <c r="AB969" s="463"/>
      <c r="AC969" s="463"/>
      <c r="AD969" s="463"/>
      <c r="AE969" s="463"/>
      <c r="AF969" s="463"/>
      <c r="AG969" s="463"/>
      <c r="AH969" s="463"/>
      <c r="AI969" s="463"/>
      <c r="AJ969" s="463"/>
      <c r="AK969" s="463"/>
      <c r="AL969" s="463"/>
      <c r="AM969" s="463"/>
      <c r="AN969" s="463"/>
      <c r="AO969" s="463"/>
      <c r="AP969" s="463"/>
      <c r="AQ969" s="463"/>
      <c r="AR969" s="463"/>
      <c r="AS969" s="463"/>
      <c r="AT969" s="463"/>
      <c r="AU969" s="463"/>
      <c r="AV969" s="463"/>
      <c r="AW969" s="463"/>
      <c r="AX969" s="463"/>
      <c r="AY969" s="463"/>
      <c r="AZ969" s="463"/>
      <c r="BA969" s="463"/>
      <c r="BB969" s="463"/>
      <c r="BC969" s="463"/>
      <c r="BD969" s="463"/>
      <c r="BE969" s="463"/>
      <c r="BF969" s="463"/>
      <c r="BG969" s="463"/>
      <c r="BH969" s="485">
        <f>BH970-SUM(BH965:BH968)</f>
        <v>-14</v>
      </c>
      <c r="BI969" s="485">
        <f>BI970-SUM(BI965:BI968)</f>
        <v>-14</v>
      </c>
      <c r="BJ969" s="485">
        <f>+BI969+BH969</f>
        <v>-28</v>
      </c>
      <c r="BK969" s="466"/>
      <c r="BL969" s="485">
        <f>BL970-SUM(BL965:BL968)</f>
        <v>-16</v>
      </c>
      <c r="BM969" s="485">
        <f>BM970-SUM(BM965:BM968)</f>
        <v>-48</v>
      </c>
      <c r="BN969" s="485">
        <f>+BM969+BL969</f>
        <v>-64</v>
      </c>
      <c r="BO969" s="466"/>
      <c r="BP969" s="485">
        <f>BP970-SUM(BP965:BP968)</f>
        <v>-14</v>
      </c>
      <c r="BQ969" s="485">
        <f>BQ970-SUM(BQ965:BQ968)</f>
        <v>76</v>
      </c>
      <c r="BR969" s="485">
        <f>+BQ969+BP969</f>
        <v>62</v>
      </c>
      <c r="BS969" s="463"/>
      <c r="BT969" s="485">
        <f>BT970-SUM(BT965:BT968)</f>
        <v>-223</v>
      </c>
      <c r="BU969" s="485">
        <f>BU970-SUM(BU965:BU968)</f>
        <v>-42</v>
      </c>
      <c r="BV969" s="485">
        <f>+BU969+BT969</f>
        <v>-265</v>
      </c>
      <c r="BW969" s="463"/>
      <c r="BX969" s="485">
        <f>BX970-SUM(BX965:BX968)</f>
        <v>69</v>
      </c>
      <c r="BY969" s="485">
        <f>BY970-SUM(BY965:BY968)</f>
        <v>-119</v>
      </c>
      <c r="BZ969" s="485">
        <f>+BY969+BX969</f>
        <v>-50</v>
      </c>
      <c r="CA969" s="463"/>
      <c r="CB969" s="485">
        <f>CB970-SUM(CB965:CB968)</f>
        <v>11</v>
      </c>
      <c r="CC969" s="485">
        <f>CC970-SUM(CC965:CC968)</f>
        <v>55</v>
      </c>
      <c r="CD969" s="485">
        <f>+CC969+CB969</f>
        <v>66</v>
      </c>
      <c r="CE969" s="463"/>
      <c r="CF969" s="485">
        <f>CF970-SUM(CF965:CF968)</f>
        <v>-23</v>
      </c>
      <c r="CG969" s="485">
        <f>CG970-SUM(CG965:CG968)</f>
        <v>43</v>
      </c>
      <c r="CH969" s="485">
        <f>+CG969+CF969</f>
        <v>20</v>
      </c>
      <c r="CI969" s="463"/>
      <c r="CJ969" s="485">
        <f>CJ970-SUM(CJ965:CJ968)</f>
        <v>-72</v>
      </c>
      <c r="CK969" s="485">
        <f>CK970-SUM(CK965:CK968)</f>
        <v>155</v>
      </c>
      <c r="CL969" s="485">
        <f>+CK969+CJ969</f>
        <v>83</v>
      </c>
      <c r="CM969" s="463"/>
      <c r="CN969" s="485">
        <f>CN970-SUM(CN965:CN968)</f>
        <v>-285</v>
      </c>
      <c r="CO969" s="485">
        <f>CO970-SUM(CO965:CO968)</f>
        <v>147</v>
      </c>
      <c r="CP969" s="485">
        <f>+CO969+CN969</f>
        <v>-138</v>
      </c>
      <c r="CQ969" s="463"/>
      <c r="CR969" s="485">
        <f>CR970-SUM(CR965:CR968)</f>
        <v>-4534</v>
      </c>
      <c r="CS969" s="485">
        <f>CS970-SUM(CS965:CS968)</f>
        <v>52</v>
      </c>
      <c r="CT969" s="485">
        <f>+CS969+CR969</f>
        <v>-4482</v>
      </c>
      <c r="CU969" s="463"/>
      <c r="CV969" s="485">
        <f>CV970-SUM(CV965:CV968)</f>
        <v>285</v>
      </c>
      <c r="CW969" s="485">
        <f>CW970-SUM(CW965:CW968)</f>
        <v>8</v>
      </c>
      <c r="CX969" s="485">
        <f>+CW969+CV969</f>
        <v>293</v>
      </c>
      <c r="CY969" s="463"/>
      <c r="CZ969" s="485">
        <f>CZ970-SUM(CZ965:CZ968)</f>
        <v>-90</v>
      </c>
      <c r="DA969" s="485">
        <f>DA970-SUM(DA965:DA968)</f>
        <v>-84</v>
      </c>
      <c r="DB969" s="485">
        <f>+DA969+CZ969</f>
        <v>-174</v>
      </c>
      <c r="DC969" s="463"/>
      <c r="DD969" s="485">
        <f>DD970-SUM(DD965:DD968)</f>
        <v>20</v>
      </c>
      <c r="DE969" s="485">
        <f>DE970-SUM(DE965:DE968)</f>
        <v>173</v>
      </c>
      <c r="DF969" s="485">
        <f>+DE969+DD969</f>
        <v>193</v>
      </c>
      <c r="DG969" s="463"/>
      <c r="DH969" s="485">
        <f>DH970-SUM(DH965:DH968)</f>
        <v>29</v>
      </c>
      <c r="DI969" s="514">
        <v>0</v>
      </c>
      <c r="DJ969" s="485">
        <f>+DI969+DH969</f>
        <v>29</v>
      </c>
      <c r="DK969" s="463"/>
      <c r="DL969" s="514">
        <v>0</v>
      </c>
      <c r="DM969" s="514">
        <v>0</v>
      </c>
      <c r="DN969" s="485">
        <f>+DM969+DL969</f>
        <v>0</v>
      </c>
      <c r="DO969" s="463"/>
      <c r="DP969" s="514">
        <v>0</v>
      </c>
      <c r="DQ969" s="514">
        <v>0</v>
      </c>
      <c r="DR969" s="485">
        <f>+DQ969+DP969</f>
        <v>0</v>
      </c>
      <c r="DS969" s="463"/>
      <c r="DT969" s="1"/>
      <c r="DU969" s="1"/>
      <c r="DV969" s="1"/>
      <c r="DW969" s="1"/>
      <c r="DX969" s="1"/>
      <c r="DY969" s="1"/>
      <c r="DZ969" s="1"/>
      <c r="EA969" s="1"/>
      <c r="EB969" s="1"/>
      <c r="EC969" s="1"/>
      <c r="ED969" s="1"/>
      <c r="EE969" s="1"/>
      <c r="EF969" s="1"/>
      <c r="EG969" s="1"/>
      <c r="EH969" s="1"/>
      <c r="EI969" s="1"/>
      <c r="EJ969" s="1"/>
      <c r="EK969" s="1"/>
      <c r="EL969" s="1"/>
      <c r="EM969" s="1"/>
      <c r="EN969" s="1"/>
      <c r="EO969" s="1"/>
      <c r="EP969" s="1"/>
      <c r="EQ969" s="1"/>
      <c r="ER969" s="1"/>
      <c r="ES969" s="1"/>
      <c r="ET969" s="1"/>
      <c r="EU969" s="1"/>
      <c r="EV969" s="1"/>
      <c r="EW969" s="1"/>
      <c r="EX969" s="1"/>
      <c r="EY969" s="1"/>
      <c r="EZ969" s="1"/>
      <c r="FA969" s="1"/>
      <c r="FB969" s="1"/>
      <c r="FC969" s="1"/>
      <c r="FD969" s="1"/>
      <c r="FE969" s="1"/>
      <c r="FF969" s="1"/>
      <c r="FG969" s="1"/>
      <c r="FH969" s="1"/>
      <c r="FI969" s="1"/>
      <c r="FJ969" s="1"/>
      <c r="FK969" s="1"/>
      <c r="FL969" s="1"/>
      <c r="FM969" s="1"/>
      <c r="FN969" s="1"/>
      <c r="FO969" s="1"/>
      <c r="FP969" s="1"/>
      <c r="FQ969" s="1"/>
      <c r="FR969" s="1"/>
      <c r="FS969" s="1"/>
      <c r="FT969" s="1"/>
      <c r="FU969" s="1"/>
      <c r="FV969" s="1"/>
      <c r="FW969" s="1"/>
      <c r="FX969" s="1"/>
      <c r="FY969" s="1"/>
      <c r="FZ969" s="1"/>
      <c r="GA969" s="1"/>
      <c r="GB969" s="1"/>
      <c r="GC969" s="1"/>
      <c r="GD969" s="1"/>
      <c r="GE969" s="1"/>
      <c r="GF969" s="1"/>
      <c r="GG969" s="1"/>
      <c r="GH969" s="1"/>
      <c r="GI969" s="1"/>
      <c r="GJ969" s="1"/>
      <c r="GK969" s="1"/>
      <c r="GL969" s="1"/>
      <c r="GM969" s="1"/>
      <c r="GN969" s="1"/>
      <c r="GO969" s="1"/>
      <c r="GP969" s="1"/>
      <c r="GQ969" s="1"/>
      <c r="GR969" s="1"/>
      <c r="GS969" s="1"/>
      <c r="GT969" s="1"/>
      <c r="GU969" s="1"/>
      <c r="GV969" s="1"/>
      <c r="GW969" s="1"/>
      <c r="GX969" s="1"/>
      <c r="GY969" s="1"/>
      <c r="GZ969" s="1"/>
      <c r="HA969" s="1"/>
      <c r="HB969" s="1"/>
      <c r="HC969" s="1"/>
      <c r="HD969" s="1"/>
      <c r="HE969" s="1"/>
      <c r="HF969" s="1"/>
      <c r="HG969" s="1"/>
      <c r="HH969" s="1"/>
      <c r="HI969" s="1"/>
      <c r="HJ969" s="1"/>
      <c r="HK969" s="1"/>
      <c r="HL969" s="1"/>
      <c r="HM969" s="1"/>
      <c r="HN969" s="1"/>
      <c r="HO969" s="1"/>
      <c r="HP969" s="1"/>
      <c r="HQ969" s="1"/>
      <c r="HR969" s="1"/>
      <c r="HS969" s="1"/>
      <c r="HT969" s="1"/>
      <c r="HU969" s="1"/>
      <c r="HV969" s="1"/>
      <c r="HW969" s="1"/>
      <c r="HX969" s="1"/>
      <c r="HY969" s="1"/>
      <c r="HZ969" s="1"/>
      <c r="IA969" s="1"/>
      <c r="IB969" s="1"/>
      <c r="IC969" s="1"/>
      <c r="ID969" s="1"/>
      <c r="IE969" s="1"/>
      <c r="IF969" s="1"/>
      <c r="IG969" s="1"/>
      <c r="IH969" s="1"/>
      <c r="II969" s="1"/>
      <c r="IJ969" s="1"/>
      <c r="IK969" s="1"/>
      <c r="IL969" s="1"/>
      <c r="IM969" s="1"/>
      <c r="IN969" s="1"/>
      <c r="IO969" s="1"/>
      <c r="IP969" s="1"/>
      <c r="IQ969" s="1"/>
      <c r="IR969" s="1"/>
      <c r="IS969" s="1"/>
      <c r="IT969" s="1"/>
      <c r="IU969" s="1"/>
      <c r="IV969" s="1"/>
      <c r="IW969" s="1"/>
      <c r="IX969" s="1"/>
      <c r="IY969" s="1"/>
      <c r="IZ969" s="1"/>
      <c r="JA969" s="1"/>
      <c r="JB969" s="1"/>
      <c r="JC969" s="1"/>
      <c r="JD969" s="1"/>
    </row>
    <row r="970" spans="1:264" s="347" customFormat="1" x14ac:dyDescent="0.2">
      <c r="A970" s="411" t="s">
        <v>319</v>
      </c>
      <c r="B970" s="348"/>
      <c r="BH970" s="397">
        <f>BH943</f>
        <v>14489</v>
      </c>
      <c r="BI970" s="397">
        <f>BI943</f>
        <v>16405</v>
      </c>
      <c r="BJ970" s="397">
        <f>SUM(BJ965:BJ969)</f>
        <v>16405</v>
      </c>
      <c r="BK970" s="348"/>
      <c r="BL970" s="397">
        <f>BL943</f>
        <v>17455</v>
      </c>
      <c r="BM970" s="397">
        <f>BM943</f>
        <v>18827</v>
      </c>
      <c r="BN970" s="397">
        <f>SUM(BN965:BN969)</f>
        <v>18827</v>
      </c>
      <c r="BO970" s="348"/>
      <c r="BP970" s="397">
        <f>BP943</f>
        <v>19823</v>
      </c>
      <c r="BQ970" s="397">
        <f>BQ943</f>
        <v>21528</v>
      </c>
      <c r="BR970" s="397">
        <f>SUM(BR965:BR969)</f>
        <v>21528</v>
      </c>
      <c r="BT970" s="397">
        <f>BT943</f>
        <v>22365</v>
      </c>
      <c r="BU970" s="397">
        <f>BU943</f>
        <v>23435</v>
      </c>
      <c r="BV970" s="397">
        <f>SUM(BV965:BV969)</f>
        <v>23435</v>
      </c>
      <c r="BX970" s="397">
        <f>BX943</f>
        <v>24606</v>
      </c>
      <c r="BY970" s="397">
        <f>BY943</f>
        <v>26274</v>
      </c>
      <c r="BZ970" s="397">
        <f>SUM(BZ965:BZ969)</f>
        <v>26218</v>
      </c>
      <c r="CB970" s="397">
        <f>CB943</f>
        <v>27267</v>
      </c>
      <c r="CC970" s="397">
        <f>CC943</f>
        <v>28360</v>
      </c>
      <c r="CD970" s="397">
        <f>SUM(CD965:CD969)</f>
        <v>28360</v>
      </c>
      <c r="CF970" s="397">
        <f>CF943</f>
        <v>27959</v>
      </c>
      <c r="CG970" s="397">
        <f>CG943</f>
        <v>28482</v>
      </c>
      <c r="CH970" s="397">
        <f>SUM(CH965:CH969)</f>
        <v>28482</v>
      </c>
      <c r="CJ970" s="397">
        <f>CJ943</f>
        <v>31066</v>
      </c>
      <c r="CK970" s="397">
        <f>CK943</f>
        <v>31136</v>
      </c>
      <c r="CL970" s="397">
        <f>SUM(CL965:CL969)</f>
        <v>31136</v>
      </c>
      <c r="CN970" s="397">
        <f>CN943</f>
        <v>34211</v>
      </c>
      <c r="CO970" s="524">
        <v>37014</v>
      </c>
      <c r="CP970" s="397">
        <f>SUM(CP965:CP969)</f>
        <v>37014</v>
      </c>
      <c r="CR970" s="397">
        <f>CR943</f>
        <v>34861</v>
      </c>
      <c r="CS970" s="397">
        <f>CS943</f>
        <v>36826</v>
      </c>
      <c r="CT970" s="397">
        <f>SUM(CT965:CT969)</f>
        <v>36826</v>
      </c>
      <c r="CV970" s="397">
        <f>CV943</f>
        <v>38716</v>
      </c>
      <c r="CW970" s="397">
        <f>CW943</f>
        <v>40010</v>
      </c>
      <c r="CX970" s="397">
        <f>SUM(CX965:CX969)</f>
        <v>40010</v>
      </c>
      <c r="CZ970" s="397">
        <f>CZ943</f>
        <v>40643</v>
      </c>
      <c r="DA970" s="397">
        <f>DA943</f>
        <v>41600</v>
      </c>
      <c r="DB970" s="397">
        <f>SUM(DB965:DB969)</f>
        <v>41600</v>
      </c>
      <c r="DD970" s="397">
        <f>DD943</f>
        <v>42578</v>
      </c>
      <c r="DE970" s="397">
        <f>DE943</f>
        <v>43974</v>
      </c>
      <c r="DF970" s="397">
        <f>SUM(DF965:DF969)</f>
        <v>43974</v>
      </c>
      <c r="DH970" s="397">
        <f>DH943</f>
        <v>45019</v>
      </c>
      <c r="DI970" s="397">
        <f>SUM(DI965:DI969)</f>
        <v>46711.0168495787</v>
      </c>
      <c r="DJ970" s="397">
        <f>SUM(DJ965:DJ969)</f>
        <v>46711.016849578693</v>
      </c>
      <c r="DL970" s="397">
        <f>SUM(DL965:DL969)</f>
        <v>47957.057431028938</v>
      </c>
      <c r="DM970" s="397">
        <f>SUM(DM965:DM969)</f>
        <v>49483.111297174306</v>
      </c>
      <c r="DN970" s="397">
        <f>SUM(DN965:DN969)</f>
        <v>49483.111297174306</v>
      </c>
      <c r="DP970" s="397">
        <f>SUM(DP965:DP969)</f>
        <v>50603.391055714426</v>
      </c>
      <c r="DQ970" s="397">
        <f>SUM(DQ965:DQ969)</f>
        <v>52212.659927121284</v>
      </c>
      <c r="DR970" s="397">
        <f>SUM(DR965:DR969)</f>
        <v>52212.659927121284</v>
      </c>
      <c r="DT970" s="1"/>
      <c r="DU970" s="1"/>
      <c r="DV970" s="1"/>
      <c r="DW970" s="1"/>
      <c r="DX970" s="1"/>
      <c r="DY970" s="1"/>
      <c r="DZ970" s="1"/>
      <c r="EA970" s="1"/>
      <c r="EB970" s="1"/>
      <c r="EC970" s="1"/>
      <c r="ED970" s="1"/>
      <c r="EE970" s="1"/>
      <c r="EF970" s="1"/>
      <c r="EG970" s="1"/>
      <c r="EH970" s="1"/>
      <c r="EI970" s="1"/>
      <c r="EJ970" s="1"/>
      <c r="EK970" s="1"/>
      <c r="EL970" s="1"/>
      <c r="EM970" s="1"/>
      <c r="EN970" s="1"/>
      <c r="EO970" s="1"/>
      <c r="EP970" s="1"/>
      <c r="EQ970" s="1"/>
      <c r="ER970" s="1"/>
      <c r="ES970" s="1"/>
      <c r="ET970" s="1"/>
      <c r="EU970" s="1"/>
      <c r="EV970" s="1"/>
      <c r="EW970" s="1"/>
      <c r="EX970" s="1"/>
      <c r="EY970" s="1"/>
      <c r="EZ970" s="1"/>
      <c r="FA970" s="1"/>
      <c r="FB970" s="1"/>
      <c r="FC970" s="1"/>
      <c r="FD970" s="1"/>
      <c r="FE970" s="1"/>
      <c r="FF970" s="1"/>
      <c r="FG970" s="1"/>
      <c r="FH970" s="1"/>
      <c r="FI970" s="1"/>
      <c r="FJ970" s="1"/>
      <c r="FK970" s="1"/>
      <c r="FL970" s="1"/>
      <c r="FM970" s="1"/>
      <c r="FN970" s="1"/>
      <c r="FO970" s="1"/>
      <c r="FP970" s="1"/>
      <c r="FQ970" s="1"/>
      <c r="FR970" s="1"/>
      <c r="FS970" s="1"/>
      <c r="FT970" s="1"/>
      <c r="FU970" s="1"/>
      <c r="FV970" s="1"/>
      <c r="FW970" s="1"/>
      <c r="FX970" s="1"/>
      <c r="FY970" s="1"/>
      <c r="FZ970" s="1"/>
      <c r="GA970" s="1"/>
      <c r="GB970" s="1"/>
      <c r="GC970" s="1"/>
      <c r="GD970" s="1"/>
      <c r="GE970" s="1"/>
      <c r="GF970" s="1"/>
      <c r="GG970" s="1"/>
      <c r="GH970" s="1"/>
      <c r="GI970" s="1"/>
      <c r="GJ970" s="1"/>
      <c r="GK970" s="1"/>
      <c r="GL970" s="1"/>
      <c r="GM970" s="1"/>
      <c r="GN970" s="1"/>
      <c r="GO970" s="1"/>
      <c r="GP970" s="1"/>
      <c r="GQ970" s="1"/>
      <c r="GR970" s="1"/>
      <c r="GS970" s="1"/>
      <c r="GT970" s="1"/>
      <c r="GU970" s="1"/>
      <c r="GV970" s="1"/>
      <c r="GW970" s="1"/>
      <c r="GX970" s="1"/>
      <c r="GY970" s="1"/>
      <c r="GZ970" s="1"/>
      <c r="HA970" s="1"/>
      <c r="HB970" s="1"/>
      <c r="HC970" s="1"/>
      <c r="HD970" s="1"/>
      <c r="HE970" s="1"/>
      <c r="HF970" s="1"/>
      <c r="HG970" s="1"/>
      <c r="HH970" s="1"/>
      <c r="HI970" s="1"/>
      <c r="HJ970" s="1"/>
      <c r="HK970" s="1"/>
      <c r="HL970" s="1"/>
      <c r="HM970" s="1"/>
      <c r="HN970" s="1"/>
      <c r="HO970" s="1"/>
      <c r="HP970" s="1"/>
      <c r="HQ970" s="1"/>
      <c r="HR970" s="1"/>
      <c r="HS970" s="1"/>
      <c r="HT970" s="1"/>
      <c r="HU970" s="1"/>
      <c r="HV970" s="1"/>
      <c r="HW970" s="1"/>
      <c r="HX970" s="1"/>
      <c r="HY970" s="1"/>
      <c r="HZ970" s="1"/>
      <c r="IA970" s="1"/>
      <c r="IB970" s="1"/>
      <c r="IC970" s="1"/>
      <c r="ID970" s="1"/>
      <c r="IE970" s="1"/>
      <c r="IF970" s="1"/>
      <c r="IG970" s="1"/>
      <c r="IH970" s="1"/>
      <c r="II970" s="1"/>
      <c r="IJ970" s="1"/>
      <c r="IK970" s="1"/>
      <c r="IL970" s="1"/>
      <c r="IM970" s="1"/>
      <c r="IN970" s="1"/>
      <c r="IO970" s="1"/>
      <c r="IP970" s="1"/>
      <c r="IQ970" s="1"/>
      <c r="IR970" s="1"/>
      <c r="IS970" s="1"/>
      <c r="IT970" s="1"/>
      <c r="IU970" s="1"/>
      <c r="IV970" s="1"/>
      <c r="IW970" s="1"/>
      <c r="IX970" s="1"/>
      <c r="IY970" s="1"/>
      <c r="IZ970" s="1"/>
      <c r="JA970" s="1"/>
      <c r="JB970" s="1"/>
      <c r="JC970" s="1"/>
      <c r="JD970" s="1"/>
    </row>
    <row r="971" spans="1:264" s="347" customFormat="1" x14ac:dyDescent="0.2">
      <c r="B971" s="348"/>
      <c r="BH971" s="348"/>
      <c r="BI971" s="348"/>
      <c r="BJ971" s="348"/>
      <c r="BK971" s="348"/>
      <c r="BL971" s="348"/>
      <c r="BM971" s="348"/>
      <c r="BN971" s="348"/>
      <c r="BO971" s="348"/>
      <c r="BP971" s="348"/>
      <c r="BQ971" s="348"/>
      <c r="BR971" s="348"/>
      <c r="BT971" s="348"/>
      <c r="BU971" s="348"/>
      <c r="BV971" s="348"/>
      <c r="BX971" s="348"/>
      <c r="CB971" s="348"/>
      <c r="CF971" s="348"/>
      <c r="CJ971" s="348"/>
      <c r="CN971" s="348"/>
      <c r="CR971" s="348"/>
      <c r="CV971" s="348"/>
      <c r="CZ971" s="348"/>
      <c r="DD971" s="348"/>
      <c r="DH971" s="348"/>
      <c r="DL971" s="348"/>
      <c r="DP971" s="348"/>
      <c r="DT971" s="1"/>
      <c r="DU971" s="1"/>
      <c r="DV971" s="1"/>
      <c r="DW971" s="1"/>
      <c r="DX971" s="1"/>
      <c r="DY971" s="1"/>
      <c r="DZ971" s="1"/>
      <c r="EA971" s="1"/>
      <c r="EB971" s="1"/>
      <c r="EC971" s="1"/>
      <c r="ED971" s="1"/>
      <c r="EE971" s="1"/>
      <c r="EF971" s="1"/>
      <c r="EG971" s="1"/>
      <c r="EH971" s="1"/>
      <c r="EI971" s="1"/>
      <c r="EJ971" s="1"/>
      <c r="EK971" s="1"/>
      <c r="EL971" s="1"/>
      <c r="EM971" s="1"/>
      <c r="EN971" s="1"/>
      <c r="EO971" s="1"/>
      <c r="EP971" s="1"/>
      <c r="EQ971" s="1"/>
      <c r="ER971" s="1"/>
      <c r="ES971" s="1"/>
      <c r="ET971" s="1"/>
      <c r="EU971" s="1"/>
      <c r="EV971" s="1"/>
      <c r="EW971" s="1"/>
      <c r="EX971" s="1"/>
      <c r="EY971" s="1"/>
      <c r="EZ971" s="1"/>
      <c r="FA971" s="1"/>
      <c r="FB971" s="1"/>
      <c r="FC971" s="1"/>
      <c r="FD971" s="1"/>
      <c r="FE971" s="1"/>
      <c r="FF971" s="1"/>
      <c r="FG971" s="1"/>
      <c r="FH971" s="1"/>
      <c r="FI971" s="1"/>
      <c r="FJ971" s="1"/>
      <c r="FK971" s="1"/>
      <c r="FL971" s="1"/>
      <c r="FM971" s="1"/>
      <c r="FN971" s="1"/>
      <c r="FO971" s="1"/>
      <c r="FP971" s="1"/>
      <c r="FQ971" s="1"/>
      <c r="FR971" s="1"/>
      <c r="FS971" s="1"/>
      <c r="FT971" s="1"/>
      <c r="FU971" s="1"/>
      <c r="FV971" s="1"/>
      <c r="FW971" s="1"/>
      <c r="FX971" s="1"/>
      <c r="FY971" s="1"/>
      <c r="FZ971" s="1"/>
      <c r="GA971" s="1"/>
      <c r="GB971" s="1"/>
      <c r="GC971" s="1"/>
      <c r="GD971" s="1"/>
      <c r="GE971" s="1"/>
      <c r="GF971" s="1"/>
      <c r="GG971" s="1"/>
      <c r="GH971" s="1"/>
      <c r="GI971" s="1"/>
      <c r="GJ971" s="1"/>
      <c r="GK971" s="1"/>
      <c r="GL971" s="1"/>
      <c r="GM971" s="1"/>
      <c r="GN971" s="1"/>
      <c r="GO971" s="1"/>
      <c r="GP971" s="1"/>
      <c r="GQ971" s="1"/>
      <c r="GR971" s="1"/>
      <c r="GS971" s="1"/>
      <c r="GT971" s="1"/>
      <c r="GU971" s="1"/>
      <c r="GV971" s="1"/>
      <c r="GW971" s="1"/>
      <c r="GX971" s="1"/>
      <c r="GY971" s="1"/>
      <c r="GZ971" s="1"/>
      <c r="HA971" s="1"/>
      <c r="HB971" s="1"/>
      <c r="HC971" s="1"/>
      <c r="HD971" s="1"/>
      <c r="HE971" s="1"/>
      <c r="HF971" s="1"/>
      <c r="HG971" s="1"/>
      <c r="HH971" s="1"/>
      <c r="HI971" s="1"/>
      <c r="HJ971" s="1"/>
      <c r="HK971" s="1"/>
      <c r="HL971" s="1"/>
      <c r="HM971" s="1"/>
      <c r="HN971" s="1"/>
      <c r="HO971" s="1"/>
      <c r="HP971" s="1"/>
      <c r="HQ971" s="1"/>
      <c r="HR971" s="1"/>
      <c r="HS971" s="1"/>
      <c r="HT971" s="1"/>
      <c r="HU971" s="1"/>
      <c r="HV971" s="1"/>
      <c r="HW971" s="1"/>
      <c r="HX971" s="1"/>
      <c r="HY971" s="1"/>
      <c r="HZ971" s="1"/>
      <c r="IA971" s="1"/>
      <c r="IB971" s="1"/>
      <c r="IC971" s="1"/>
      <c r="ID971" s="1"/>
      <c r="IE971" s="1"/>
      <c r="IF971" s="1"/>
      <c r="IG971" s="1"/>
      <c r="IH971" s="1"/>
      <c r="II971" s="1"/>
      <c r="IJ971" s="1"/>
      <c r="IK971" s="1"/>
      <c r="IL971" s="1"/>
      <c r="IM971" s="1"/>
      <c r="IN971" s="1"/>
      <c r="IO971" s="1"/>
      <c r="IP971" s="1"/>
      <c r="IQ971" s="1"/>
      <c r="IR971" s="1"/>
      <c r="IS971" s="1"/>
      <c r="IT971" s="1"/>
      <c r="IU971" s="1"/>
      <c r="IV971" s="1"/>
      <c r="IW971" s="1"/>
      <c r="IX971" s="1"/>
      <c r="IY971" s="1"/>
      <c r="IZ971" s="1"/>
      <c r="JA971" s="1"/>
      <c r="JB971" s="1"/>
      <c r="JC971" s="1"/>
      <c r="JD971" s="1"/>
    </row>
    <row r="972" spans="1:264" s="347" customFormat="1" x14ac:dyDescent="0.2">
      <c r="A972" s="411" t="s">
        <v>660</v>
      </c>
      <c r="B972" s="348"/>
      <c r="BH972" s="348"/>
      <c r="BI972" s="348"/>
      <c r="BJ972" s="348"/>
      <c r="BK972" s="348"/>
      <c r="BL972" s="348"/>
      <c r="BM972" s="348"/>
      <c r="BN972" s="348"/>
      <c r="BO972" s="348"/>
      <c r="BP972" s="348"/>
      <c r="BQ972" s="348"/>
      <c r="BR972" s="348"/>
      <c r="BT972" s="348"/>
      <c r="BU972" s="348"/>
      <c r="BV972" s="348"/>
      <c r="BX972" s="348"/>
      <c r="CB972" s="348"/>
      <c r="CF972" s="348"/>
      <c r="CJ972" s="348"/>
      <c r="CN972" s="348"/>
      <c r="CR972" s="348"/>
      <c r="CV972" s="348"/>
      <c r="CZ972" s="348"/>
      <c r="DD972" s="348"/>
      <c r="DH972" s="348"/>
      <c r="DL972" s="348"/>
      <c r="DP972" s="348"/>
      <c r="DT972" s="1"/>
      <c r="DU972" s="1"/>
      <c r="DV972" s="1"/>
      <c r="DW972" s="1"/>
      <c r="DX972" s="1"/>
      <c r="DY972" s="1"/>
      <c r="DZ972" s="1"/>
      <c r="EA972" s="1"/>
      <c r="EB972" s="1"/>
      <c r="EC972" s="1"/>
      <c r="ED972" s="1"/>
      <c r="EE972" s="1"/>
      <c r="EF972" s="1"/>
      <c r="EG972" s="1"/>
      <c r="EH972" s="1"/>
      <c r="EI972" s="1"/>
      <c r="EJ972" s="1"/>
      <c r="EK972" s="1"/>
      <c r="EL972" s="1"/>
      <c r="EM972" s="1"/>
      <c r="EN972" s="1"/>
      <c r="EO972" s="1"/>
      <c r="EP972" s="1"/>
      <c r="EQ972" s="1"/>
      <c r="ER972" s="1"/>
      <c r="ES972" s="1"/>
      <c r="ET972" s="1"/>
      <c r="EU972" s="1"/>
      <c r="EV972" s="1"/>
      <c r="EW972" s="1"/>
      <c r="EX972" s="1"/>
      <c r="EY972" s="1"/>
      <c r="EZ972" s="1"/>
      <c r="FA972" s="1"/>
      <c r="FB972" s="1"/>
      <c r="FC972" s="1"/>
      <c r="FD972" s="1"/>
      <c r="FE972" s="1"/>
      <c r="FF972" s="1"/>
      <c r="FG972" s="1"/>
      <c r="FH972" s="1"/>
      <c r="FI972" s="1"/>
      <c r="FJ972" s="1"/>
      <c r="FK972" s="1"/>
      <c r="FL972" s="1"/>
      <c r="FM972" s="1"/>
      <c r="FN972" s="1"/>
      <c r="FO972" s="1"/>
      <c r="FP972" s="1"/>
      <c r="FQ972" s="1"/>
      <c r="FR972" s="1"/>
      <c r="FS972" s="1"/>
      <c r="FT972" s="1"/>
      <c r="FU972" s="1"/>
      <c r="FV972" s="1"/>
      <c r="FW972" s="1"/>
      <c r="FX972" s="1"/>
      <c r="FY972" s="1"/>
      <c r="FZ972" s="1"/>
      <c r="GA972" s="1"/>
      <c r="GB972" s="1"/>
      <c r="GC972" s="1"/>
      <c r="GD972" s="1"/>
      <c r="GE972" s="1"/>
      <c r="GF972" s="1"/>
      <c r="GG972" s="1"/>
      <c r="GH972" s="1"/>
      <c r="GI972" s="1"/>
      <c r="GJ972" s="1"/>
      <c r="GK972" s="1"/>
      <c r="GL972" s="1"/>
      <c r="GM972" s="1"/>
      <c r="GN972" s="1"/>
      <c r="GO972" s="1"/>
      <c r="GP972" s="1"/>
      <c r="GQ972" s="1"/>
      <c r="GR972" s="1"/>
      <c r="GS972" s="1"/>
      <c r="GT972" s="1"/>
      <c r="GU972" s="1"/>
      <c r="GV972" s="1"/>
      <c r="GW972" s="1"/>
      <c r="GX972" s="1"/>
      <c r="GY972" s="1"/>
      <c r="GZ972" s="1"/>
      <c r="HA972" s="1"/>
      <c r="HB972" s="1"/>
      <c r="HC972" s="1"/>
      <c r="HD972" s="1"/>
      <c r="HE972" s="1"/>
      <c r="HF972" s="1"/>
      <c r="HG972" s="1"/>
      <c r="HH972" s="1"/>
      <c r="HI972" s="1"/>
      <c r="HJ972" s="1"/>
      <c r="HK972" s="1"/>
      <c r="HL972" s="1"/>
      <c r="HM972" s="1"/>
      <c r="HN972" s="1"/>
      <c r="HO972" s="1"/>
      <c r="HP972" s="1"/>
      <c r="HQ972" s="1"/>
      <c r="HR972" s="1"/>
      <c r="HS972" s="1"/>
      <c r="HT972" s="1"/>
      <c r="HU972" s="1"/>
      <c r="HV972" s="1"/>
      <c r="HW972" s="1"/>
      <c r="HX972" s="1"/>
      <c r="HY972" s="1"/>
      <c r="HZ972" s="1"/>
      <c r="IA972" s="1"/>
      <c r="IB972" s="1"/>
      <c r="IC972" s="1"/>
      <c r="ID972" s="1"/>
      <c r="IE972" s="1"/>
      <c r="IF972" s="1"/>
      <c r="IG972" s="1"/>
      <c r="IH972" s="1"/>
      <c r="II972" s="1"/>
      <c r="IJ972" s="1"/>
      <c r="IK972" s="1"/>
      <c r="IL972" s="1"/>
      <c r="IM972" s="1"/>
      <c r="IN972" s="1"/>
      <c r="IO972" s="1"/>
      <c r="IP972" s="1"/>
      <c r="IQ972" s="1"/>
      <c r="IR972" s="1"/>
      <c r="IS972" s="1"/>
      <c r="IT972" s="1"/>
      <c r="IU972" s="1"/>
      <c r="IV972" s="1"/>
      <c r="IW972" s="1"/>
      <c r="IX972" s="1"/>
      <c r="IY972" s="1"/>
      <c r="IZ972" s="1"/>
      <c r="JA972" s="1"/>
      <c r="JB972" s="1"/>
      <c r="JC972" s="1"/>
      <c r="JD972" s="1"/>
    </row>
    <row r="973" spans="1:264" s="347" customFormat="1" x14ac:dyDescent="0.2">
      <c r="A973" s="347" t="s">
        <v>313</v>
      </c>
      <c r="B973" s="348"/>
      <c r="BH973" s="351">
        <f>1201+351+195-893+644+136-63</f>
        <v>1571</v>
      </c>
      <c r="BI973" s="351">
        <f>BH977</f>
        <v>1262</v>
      </c>
      <c r="BJ973" s="351">
        <f>BH973</f>
        <v>1571</v>
      </c>
      <c r="BK973" s="348"/>
      <c r="BL973" s="351">
        <f>BI977</f>
        <v>1333</v>
      </c>
      <c r="BM973" s="351">
        <f>BL977</f>
        <v>1780</v>
      </c>
      <c r="BN973" s="351">
        <f>BL973</f>
        <v>1333</v>
      </c>
      <c r="BO973" s="348"/>
      <c r="BP973" s="351">
        <f>BM977</f>
        <v>2009</v>
      </c>
      <c r="BQ973" s="351">
        <f>BP977</f>
        <v>2674</v>
      </c>
      <c r="BR973" s="351">
        <f>BP973</f>
        <v>2009</v>
      </c>
      <c r="BT973" s="351">
        <f>BQ977</f>
        <v>2345</v>
      </c>
      <c r="BU973" s="351">
        <f>BT977</f>
        <v>2554</v>
      </c>
      <c r="BV973" s="351">
        <f>BT973</f>
        <v>2345</v>
      </c>
      <c r="BX973" s="351">
        <f>BU977</f>
        <v>2734</v>
      </c>
      <c r="BY973" s="351">
        <f>BX977</f>
        <v>2144</v>
      </c>
      <c r="BZ973" s="351">
        <f>BX973</f>
        <v>2734</v>
      </c>
      <c r="CB973" s="351">
        <f>BY977</f>
        <v>1869</v>
      </c>
      <c r="CC973" s="351">
        <f>CB977</f>
        <v>1494</v>
      </c>
      <c r="CD973" s="351">
        <f>CB973</f>
        <v>1869</v>
      </c>
      <c r="CF973" s="351">
        <f>CC977</f>
        <v>1676</v>
      </c>
      <c r="CG973" s="351">
        <f>CF977</f>
        <v>2051</v>
      </c>
      <c r="CH973" s="351">
        <f>CF973</f>
        <v>1676</v>
      </c>
      <c r="CJ973" s="351">
        <f>CG977</f>
        <v>3092</v>
      </c>
      <c r="CK973" s="351">
        <f>CJ977</f>
        <v>1910</v>
      </c>
      <c r="CL973" s="351">
        <f>CJ973</f>
        <v>3092</v>
      </c>
      <c r="CN973" s="351">
        <f>CK977</f>
        <v>2666</v>
      </c>
      <c r="CO973" s="351">
        <f>CN977</f>
        <v>2287</v>
      </c>
      <c r="CP973" s="351">
        <f>CN973</f>
        <v>2666</v>
      </c>
      <c r="CR973" s="351">
        <f>CO977</f>
        <v>3249</v>
      </c>
      <c r="CS973" s="351">
        <f>CR977</f>
        <v>2848</v>
      </c>
      <c r="CT973" s="351">
        <f>CR973</f>
        <v>3249</v>
      </c>
      <c r="CV973" s="351">
        <f>CS977</f>
        <v>-460</v>
      </c>
      <c r="CW973" s="351">
        <f>CV977</f>
        <v>-1540</v>
      </c>
      <c r="CX973" s="351">
        <f>CV973</f>
        <v>-460</v>
      </c>
      <c r="CZ973" s="351">
        <f>CW977</f>
        <v>-2295</v>
      </c>
      <c r="DA973" s="351">
        <f>CZ977</f>
        <v>-1583</v>
      </c>
      <c r="DB973" s="351">
        <f>CZ973</f>
        <v>-2295</v>
      </c>
      <c r="DD973" s="351">
        <f>DA977</f>
        <v>-2147</v>
      </c>
      <c r="DE973" s="351">
        <f>DD977</f>
        <v>-900</v>
      </c>
      <c r="DF973" s="351">
        <f>DD973</f>
        <v>-2147</v>
      </c>
      <c r="DH973" s="351">
        <f>DE977</f>
        <v>1242</v>
      </c>
      <c r="DI973" s="351">
        <f>DH977</f>
        <v>-1367</v>
      </c>
      <c r="DJ973" s="351">
        <f>DH973</f>
        <v>1242</v>
      </c>
      <c r="DL973" s="351">
        <f>DI977</f>
        <v>-1367</v>
      </c>
      <c r="DM973" s="351">
        <f>DL977</f>
        <v>-1367</v>
      </c>
      <c r="DN973" s="351">
        <f>DL973</f>
        <v>-1367</v>
      </c>
      <c r="DP973" s="351">
        <f>DM977</f>
        <v>-1367</v>
      </c>
      <c r="DQ973" s="351">
        <f>DP977</f>
        <v>-1367</v>
      </c>
      <c r="DR973" s="351">
        <f>DP973</f>
        <v>-1367</v>
      </c>
      <c r="DT973" s="1"/>
      <c r="DU973" s="1"/>
      <c r="DV973" s="1"/>
      <c r="DW973" s="1"/>
      <c r="DX973" s="1"/>
      <c r="DY973" s="1"/>
      <c r="DZ973" s="1"/>
      <c r="EA973" s="1"/>
      <c r="EB973" s="1"/>
      <c r="EC973" s="1"/>
      <c r="ED973" s="1"/>
      <c r="EE973" s="1"/>
      <c r="EF973" s="1"/>
      <c r="EG973" s="1"/>
      <c r="EH973" s="1"/>
      <c r="EI973" s="1"/>
      <c r="EJ973" s="1"/>
      <c r="EK973" s="1"/>
      <c r="EL973" s="1"/>
      <c r="EM973" s="1"/>
      <c r="EN973" s="1"/>
      <c r="EO973" s="1"/>
      <c r="EP973" s="1"/>
      <c r="EQ973" s="1"/>
      <c r="ER973" s="1"/>
      <c r="ES973" s="1"/>
      <c r="ET973" s="1"/>
      <c r="EU973" s="1"/>
      <c r="EV973" s="1"/>
      <c r="EW973" s="1"/>
      <c r="EX973" s="1"/>
      <c r="EY973" s="1"/>
      <c r="EZ973" s="1"/>
      <c r="FA973" s="1"/>
      <c r="FB973" s="1"/>
      <c r="FC973" s="1"/>
      <c r="FD973" s="1"/>
      <c r="FE973" s="1"/>
      <c r="FF973" s="1"/>
      <c r="FG973" s="1"/>
      <c r="FH973" s="1"/>
      <c r="FI973" s="1"/>
      <c r="FJ973" s="1"/>
      <c r="FK973" s="1"/>
      <c r="FL973" s="1"/>
      <c r="FM973" s="1"/>
      <c r="FN973" s="1"/>
      <c r="FO973" s="1"/>
      <c r="FP973" s="1"/>
      <c r="FQ973" s="1"/>
      <c r="FR973" s="1"/>
      <c r="FS973" s="1"/>
      <c r="FT973" s="1"/>
      <c r="FU973" s="1"/>
      <c r="FV973" s="1"/>
      <c r="FW973" s="1"/>
      <c r="FX973" s="1"/>
      <c r="FY973" s="1"/>
      <c r="FZ973" s="1"/>
      <c r="GA973" s="1"/>
      <c r="GB973" s="1"/>
      <c r="GC973" s="1"/>
      <c r="GD973" s="1"/>
      <c r="GE973" s="1"/>
      <c r="GF973" s="1"/>
      <c r="GG973" s="1"/>
      <c r="GH973" s="1"/>
      <c r="GI973" s="1"/>
      <c r="GJ973" s="1"/>
      <c r="GK973" s="1"/>
      <c r="GL973" s="1"/>
      <c r="GM973" s="1"/>
      <c r="GN973" s="1"/>
      <c r="GO973" s="1"/>
      <c r="GP973" s="1"/>
      <c r="GQ973" s="1"/>
      <c r="GR973" s="1"/>
      <c r="GS973" s="1"/>
      <c r="GT973" s="1"/>
      <c r="GU973" s="1"/>
      <c r="GV973" s="1"/>
      <c r="GW973" s="1"/>
      <c r="GX973" s="1"/>
      <c r="GY973" s="1"/>
      <c r="GZ973" s="1"/>
      <c r="HA973" s="1"/>
      <c r="HB973" s="1"/>
      <c r="HC973" s="1"/>
      <c r="HD973" s="1"/>
      <c r="HE973" s="1"/>
      <c r="HF973" s="1"/>
      <c r="HG973" s="1"/>
      <c r="HH973" s="1"/>
      <c r="HI973" s="1"/>
      <c r="HJ973" s="1"/>
      <c r="HK973" s="1"/>
      <c r="HL973" s="1"/>
      <c r="HM973" s="1"/>
      <c r="HN973" s="1"/>
      <c r="HO973" s="1"/>
      <c r="HP973" s="1"/>
      <c r="HQ973" s="1"/>
      <c r="HR973" s="1"/>
      <c r="HS973" s="1"/>
      <c r="HT973" s="1"/>
      <c r="HU973" s="1"/>
      <c r="HV973" s="1"/>
      <c r="HW973" s="1"/>
      <c r="HX973" s="1"/>
      <c r="HY973" s="1"/>
      <c r="HZ973" s="1"/>
      <c r="IA973" s="1"/>
      <c r="IB973" s="1"/>
      <c r="IC973" s="1"/>
      <c r="ID973" s="1"/>
      <c r="IE973" s="1"/>
      <c r="IF973" s="1"/>
      <c r="IG973" s="1"/>
      <c r="IH973" s="1"/>
      <c r="II973" s="1"/>
      <c r="IJ973" s="1"/>
      <c r="IK973" s="1"/>
      <c r="IL973" s="1"/>
      <c r="IM973" s="1"/>
      <c r="IN973" s="1"/>
      <c r="IO973" s="1"/>
      <c r="IP973" s="1"/>
      <c r="IQ973" s="1"/>
      <c r="IR973" s="1"/>
      <c r="IS973" s="1"/>
      <c r="IT973" s="1"/>
      <c r="IU973" s="1"/>
      <c r="IV973" s="1"/>
      <c r="IW973" s="1"/>
      <c r="IX973" s="1"/>
      <c r="IY973" s="1"/>
      <c r="IZ973" s="1"/>
      <c r="JA973" s="1"/>
      <c r="JB973" s="1"/>
      <c r="JC973" s="1"/>
      <c r="JD973" s="1"/>
    </row>
    <row r="974" spans="1:264" s="347" customFormat="1" x14ac:dyDescent="0.2">
      <c r="A974" s="463" t="s">
        <v>521</v>
      </c>
      <c r="B974" s="466"/>
      <c r="C974" s="463"/>
      <c r="D974" s="463"/>
      <c r="E974" s="463"/>
      <c r="F974" s="463"/>
      <c r="G974" s="463"/>
      <c r="H974" s="463"/>
      <c r="I974" s="463"/>
      <c r="J974" s="463"/>
      <c r="K974" s="463"/>
      <c r="L974" s="463"/>
      <c r="M974" s="463"/>
      <c r="N974" s="463"/>
      <c r="O974" s="463"/>
      <c r="P974" s="463"/>
      <c r="Q974" s="463"/>
      <c r="R974" s="463"/>
      <c r="S974" s="463"/>
      <c r="T974" s="463"/>
      <c r="U974" s="463"/>
      <c r="V974" s="463"/>
      <c r="W974" s="463"/>
      <c r="X974" s="463"/>
      <c r="Y974" s="463"/>
      <c r="Z974" s="463"/>
      <c r="AA974" s="463"/>
      <c r="AB974" s="463"/>
      <c r="AC974" s="463"/>
      <c r="AD974" s="463"/>
      <c r="AE974" s="463"/>
      <c r="AF974" s="463"/>
      <c r="AG974" s="463"/>
      <c r="AH974" s="463"/>
      <c r="AI974" s="463"/>
      <c r="AJ974" s="463"/>
      <c r="AK974" s="463"/>
      <c r="AL974" s="463"/>
      <c r="AM974" s="463"/>
      <c r="AN974" s="463"/>
      <c r="AO974" s="463"/>
      <c r="AP974" s="463"/>
      <c r="AQ974" s="463"/>
      <c r="AR974" s="463"/>
      <c r="AS974" s="463"/>
      <c r="AT974" s="463"/>
      <c r="AU974" s="463"/>
      <c r="AV974" s="463"/>
      <c r="AW974" s="463"/>
      <c r="AX974" s="463"/>
      <c r="AY974" s="463"/>
      <c r="AZ974" s="463"/>
      <c r="BA974" s="463"/>
      <c r="BB974" s="463"/>
      <c r="BC974" s="463"/>
      <c r="BD974" s="463"/>
      <c r="BE974" s="463"/>
      <c r="BF974" s="463"/>
      <c r="BG974" s="463"/>
      <c r="BH974" s="464">
        <v>0</v>
      </c>
      <c r="BI974" s="464">
        <v>0</v>
      </c>
      <c r="BJ974" s="485">
        <f>+BI974+BH974</f>
        <v>0</v>
      </c>
      <c r="BK974" s="466"/>
      <c r="BL974" s="464">
        <v>0</v>
      </c>
      <c r="BM974" s="464">
        <v>0</v>
      </c>
      <c r="BN974" s="485">
        <f>+BM974+BL974</f>
        <v>0</v>
      </c>
      <c r="BO974" s="466"/>
      <c r="BP974" s="464">
        <v>0</v>
      </c>
      <c r="BQ974" s="464">
        <v>0</v>
      </c>
      <c r="BR974" s="485">
        <f>+BQ974+BP974</f>
        <v>0</v>
      </c>
      <c r="BS974" s="463"/>
      <c r="BT974" s="464">
        <v>0</v>
      </c>
      <c r="BU974" s="464">
        <v>0</v>
      </c>
      <c r="BV974" s="485">
        <f>+BU974+BT974</f>
        <v>0</v>
      </c>
      <c r="BW974" s="463"/>
      <c r="BX974" s="464">
        <v>0</v>
      </c>
      <c r="BY974" s="464">
        <v>0</v>
      </c>
      <c r="BZ974" s="485">
        <f>+BY974+BX974</f>
        <v>0</v>
      </c>
      <c r="CA974" s="463"/>
      <c r="CB974" s="464">
        <v>0</v>
      </c>
      <c r="CC974" s="464">
        <v>0</v>
      </c>
      <c r="CD974" s="485">
        <f>+CC974+CB974</f>
        <v>0</v>
      </c>
      <c r="CE974" s="463"/>
      <c r="CF974" s="464">
        <v>0</v>
      </c>
      <c r="CG974" s="464">
        <v>0</v>
      </c>
      <c r="CH974" s="485">
        <f>+CG974+CF974</f>
        <v>0</v>
      </c>
      <c r="CI974" s="463"/>
      <c r="CJ974" s="448">
        <v>0</v>
      </c>
      <c r="CK974" s="464">
        <v>0</v>
      </c>
      <c r="CL974" s="485">
        <f>+CK974+CJ974</f>
        <v>0</v>
      </c>
      <c r="CM974" s="463"/>
      <c r="CN974" s="448">
        <v>0</v>
      </c>
      <c r="CO974" s="464">
        <v>0</v>
      </c>
      <c r="CP974" s="485">
        <f>+CO974+CN974</f>
        <v>0</v>
      </c>
      <c r="CQ974" s="463"/>
      <c r="CR974" s="448">
        <v>0</v>
      </c>
      <c r="CS974" s="464">
        <v>0</v>
      </c>
      <c r="CT974" s="485">
        <f>+CS974+CR974</f>
        <v>0</v>
      </c>
      <c r="CU974" s="463"/>
      <c r="CV974" s="448">
        <v>0</v>
      </c>
      <c r="CW974" s="464">
        <v>0</v>
      </c>
      <c r="CX974" s="485">
        <f>+CW974+CV974</f>
        <v>0</v>
      </c>
      <c r="CY974" s="463"/>
      <c r="CZ974" s="448">
        <v>0</v>
      </c>
      <c r="DA974" s="464">
        <v>0</v>
      </c>
      <c r="DB974" s="485">
        <f>+DA974+CZ974</f>
        <v>0</v>
      </c>
      <c r="DC974" s="463"/>
      <c r="DD974" s="448">
        <v>0</v>
      </c>
      <c r="DE974" s="464">
        <v>0</v>
      </c>
      <c r="DF974" s="485">
        <f>+DE974+DD974</f>
        <v>0</v>
      </c>
      <c r="DG974" s="463"/>
      <c r="DH974" s="448">
        <v>0</v>
      </c>
      <c r="DI974" s="514">
        <v>0</v>
      </c>
      <c r="DJ974" s="485">
        <f>+DI974+DH974</f>
        <v>0</v>
      </c>
      <c r="DK974" s="463"/>
      <c r="DL974" s="514">
        <v>0</v>
      </c>
      <c r="DM974" s="514">
        <v>0</v>
      </c>
      <c r="DN974" s="485">
        <f>+DM974+DL974</f>
        <v>0</v>
      </c>
      <c r="DO974" s="463"/>
      <c r="DP974" s="514">
        <v>0</v>
      </c>
      <c r="DQ974" s="514">
        <v>0</v>
      </c>
      <c r="DR974" s="485">
        <f>+DQ974+DP974</f>
        <v>0</v>
      </c>
      <c r="DS974" s="463"/>
      <c r="DT974" s="1"/>
      <c r="DU974" s="1"/>
      <c r="DV974" s="1"/>
      <c r="DW974" s="1"/>
      <c r="DX974" s="1"/>
      <c r="DY974" s="1"/>
      <c r="DZ974" s="1"/>
      <c r="EA974" s="1"/>
      <c r="EB974" s="1"/>
      <c r="EC974" s="1"/>
      <c r="ED974" s="1"/>
      <c r="EE974" s="1"/>
      <c r="EF974" s="1"/>
      <c r="EG974" s="1"/>
      <c r="EH974" s="1"/>
      <c r="EI974" s="1"/>
      <c r="EJ974" s="1"/>
      <c r="EK974" s="1"/>
      <c r="EL974" s="1"/>
      <c r="EM974" s="1"/>
      <c r="EN974" s="1"/>
      <c r="EO974" s="1"/>
      <c r="EP974" s="1"/>
      <c r="EQ974" s="1"/>
      <c r="ER974" s="1"/>
      <c r="ES974" s="1"/>
      <c r="ET974" s="1"/>
      <c r="EU974" s="1"/>
      <c r="EV974" s="1"/>
      <c r="EW974" s="1"/>
      <c r="EX974" s="1"/>
      <c r="EY974" s="1"/>
      <c r="EZ974" s="1"/>
      <c r="FA974" s="1"/>
      <c r="FB974" s="1"/>
      <c r="FC974" s="1"/>
      <c r="FD974" s="1"/>
      <c r="FE974" s="1"/>
      <c r="FF974" s="1"/>
      <c r="FG974" s="1"/>
      <c r="FH974" s="1"/>
      <c r="FI974" s="1"/>
      <c r="FJ974" s="1"/>
      <c r="FK974" s="1"/>
      <c r="FL974" s="1"/>
      <c r="FM974" s="1"/>
      <c r="FN974" s="1"/>
      <c r="FO974" s="1"/>
      <c r="FP974" s="1"/>
      <c r="FQ974" s="1"/>
      <c r="FR974" s="1"/>
      <c r="FS974" s="1"/>
      <c r="FT974" s="1"/>
      <c r="FU974" s="1"/>
      <c r="FV974" s="1"/>
      <c r="FW974" s="1"/>
      <c r="FX974" s="1"/>
      <c r="FY974" s="1"/>
      <c r="FZ974" s="1"/>
      <c r="GA974" s="1"/>
      <c r="GB974" s="1"/>
      <c r="GC974" s="1"/>
      <c r="GD974" s="1"/>
      <c r="GE974" s="1"/>
      <c r="GF974" s="1"/>
      <c r="GG974" s="1"/>
      <c r="GH974" s="1"/>
      <c r="GI974" s="1"/>
      <c r="GJ974" s="1"/>
      <c r="GK974" s="1"/>
      <c r="GL974" s="1"/>
      <c r="GM974" s="1"/>
      <c r="GN974" s="1"/>
      <c r="GO974" s="1"/>
      <c r="GP974" s="1"/>
      <c r="GQ974" s="1"/>
      <c r="GR974" s="1"/>
      <c r="GS974" s="1"/>
      <c r="GT974" s="1"/>
      <c r="GU974" s="1"/>
      <c r="GV974" s="1"/>
      <c r="GW974" s="1"/>
      <c r="GX974" s="1"/>
      <c r="GY974" s="1"/>
      <c r="GZ974" s="1"/>
      <c r="HA974" s="1"/>
      <c r="HB974" s="1"/>
      <c r="HC974" s="1"/>
      <c r="HD974" s="1"/>
      <c r="HE974" s="1"/>
      <c r="HF974" s="1"/>
      <c r="HG974" s="1"/>
      <c r="HH974" s="1"/>
      <c r="HI974" s="1"/>
      <c r="HJ974" s="1"/>
      <c r="HK974" s="1"/>
      <c r="HL974" s="1"/>
      <c r="HM974" s="1"/>
      <c r="HN974" s="1"/>
      <c r="HO974" s="1"/>
      <c r="HP974" s="1"/>
      <c r="HQ974" s="1"/>
      <c r="HR974" s="1"/>
      <c r="HS974" s="1"/>
      <c r="HT974" s="1"/>
      <c r="HU974" s="1"/>
      <c r="HV974" s="1"/>
      <c r="HW974" s="1"/>
      <c r="HX974" s="1"/>
      <c r="HY974" s="1"/>
      <c r="HZ974" s="1"/>
      <c r="IA974" s="1"/>
      <c r="IB974" s="1"/>
      <c r="IC974" s="1"/>
      <c r="ID974" s="1"/>
      <c r="IE974" s="1"/>
      <c r="IF974" s="1"/>
      <c r="IG974" s="1"/>
      <c r="IH974" s="1"/>
      <c r="II974" s="1"/>
      <c r="IJ974" s="1"/>
      <c r="IK974" s="1"/>
      <c r="IL974" s="1"/>
      <c r="IM974" s="1"/>
      <c r="IN974" s="1"/>
      <c r="IO974" s="1"/>
      <c r="IP974" s="1"/>
      <c r="IQ974" s="1"/>
      <c r="IR974" s="1"/>
      <c r="IS974" s="1"/>
      <c r="IT974" s="1"/>
      <c r="IU974" s="1"/>
      <c r="IV974" s="1"/>
      <c r="IW974" s="1"/>
      <c r="IX974" s="1"/>
      <c r="IY974" s="1"/>
      <c r="IZ974" s="1"/>
      <c r="JA974" s="1"/>
      <c r="JB974" s="1"/>
      <c r="JC974" s="1"/>
      <c r="JD974" s="1"/>
    </row>
    <row r="975" spans="1:264" s="347" customFormat="1" x14ac:dyDescent="0.2">
      <c r="A975" s="463" t="s">
        <v>680</v>
      </c>
      <c r="B975" s="466"/>
      <c r="C975" s="463"/>
      <c r="D975" s="463"/>
      <c r="E975" s="463"/>
      <c r="F975" s="463"/>
      <c r="G975" s="463"/>
      <c r="H975" s="463"/>
      <c r="I975" s="463"/>
      <c r="J975" s="463"/>
      <c r="K975" s="463"/>
      <c r="L975" s="463"/>
      <c r="M975" s="463"/>
      <c r="N975" s="463"/>
      <c r="O975" s="463"/>
      <c r="P975" s="463"/>
      <c r="Q975" s="463"/>
      <c r="R975" s="463"/>
      <c r="S975" s="463"/>
      <c r="T975" s="463"/>
      <c r="U975" s="463"/>
      <c r="V975" s="463"/>
      <c r="W975" s="463"/>
      <c r="X975" s="463"/>
      <c r="Y975" s="463"/>
      <c r="Z975" s="463"/>
      <c r="AA975" s="463"/>
      <c r="AB975" s="463"/>
      <c r="AC975" s="463"/>
      <c r="AD975" s="463"/>
      <c r="AE975" s="463"/>
      <c r="AF975" s="463"/>
      <c r="AG975" s="463"/>
      <c r="AH975" s="463"/>
      <c r="AI975" s="463"/>
      <c r="AJ975" s="463"/>
      <c r="AK975" s="463"/>
      <c r="AL975" s="463"/>
      <c r="AM975" s="463"/>
      <c r="AN975" s="463"/>
      <c r="AO975" s="463"/>
      <c r="AP975" s="463"/>
      <c r="AQ975" s="463"/>
      <c r="AR975" s="463"/>
      <c r="AS975" s="463"/>
      <c r="AT975" s="463"/>
      <c r="AU975" s="463"/>
      <c r="AV975" s="463"/>
      <c r="AW975" s="463"/>
      <c r="AX975" s="463"/>
      <c r="AY975" s="463"/>
      <c r="AZ975" s="463"/>
      <c r="BA975" s="463"/>
      <c r="BB975" s="463"/>
      <c r="BC975" s="463"/>
      <c r="BD975" s="463"/>
      <c r="BE975" s="463"/>
      <c r="BF975" s="463"/>
      <c r="BG975" s="463"/>
      <c r="BH975" s="464">
        <v>-325</v>
      </c>
      <c r="BI975" s="464">
        <f>-111-355</f>
        <v>-466</v>
      </c>
      <c r="BJ975" s="485">
        <f>+BI975+BH975</f>
        <v>-791</v>
      </c>
      <c r="BK975" s="466"/>
      <c r="BL975" s="464">
        <f>52-12</f>
        <v>40</v>
      </c>
      <c r="BM975" s="464">
        <v>0</v>
      </c>
      <c r="BN975" s="485">
        <f>+BM975+BL975</f>
        <v>40</v>
      </c>
      <c r="BO975" s="466"/>
      <c r="BP975" s="464">
        <f>9-12</f>
        <v>-3</v>
      </c>
      <c r="BQ975" s="464">
        <v>-307</v>
      </c>
      <c r="BR975" s="485">
        <f>+BQ975+BP975</f>
        <v>-310</v>
      </c>
      <c r="BS975" s="463"/>
      <c r="BT975" s="464">
        <f>101-14</f>
        <v>87</v>
      </c>
      <c r="BU975" s="464">
        <v>0</v>
      </c>
      <c r="BV975" s="485">
        <f>+BU975+BT975</f>
        <v>87</v>
      </c>
      <c r="BW975" s="463"/>
      <c r="BX975" s="464">
        <v>0</v>
      </c>
      <c r="BY975" s="464">
        <v>0</v>
      </c>
      <c r="BZ975" s="485">
        <f>+BY975+BX975</f>
        <v>0</v>
      </c>
      <c r="CA975" s="463"/>
      <c r="CB975" s="464">
        <v>0</v>
      </c>
      <c r="CC975" s="464">
        <v>0</v>
      </c>
      <c r="CD975" s="485">
        <f>+CC975+CB975</f>
        <v>0</v>
      </c>
      <c r="CE975" s="463"/>
      <c r="CF975" s="464">
        <f>-72</f>
        <v>-72</v>
      </c>
      <c r="CG975" s="464">
        <f>-54-3</f>
        <v>-57</v>
      </c>
      <c r="CH975" s="485">
        <f>+CG975+CF975</f>
        <v>-129</v>
      </c>
      <c r="CI975" s="463"/>
      <c r="CJ975" s="448">
        <f>-733-6</f>
        <v>-739</v>
      </c>
      <c r="CK975" s="464">
        <v>-2</v>
      </c>
      <c r="CL975" s="485">
        <f>+CK975+CJ975</f>
        <v>-741</v>
      </c>
      <c r="CM975" s="463"/>
      <c r="CN975" s="448">
        <v>-213</v>
      </c>
      <c r="CO975" s="464">
        <v>-5</v>
      </c>
      <c r="CP975" s="485">
        <f>+CO975+CN975</f>
        <v>-218</v>
      </c>
      <c r="CQ975" s="463"/>
      <c r="CR975" s="448">
        <v>-35</v>
      </c>
      <c r="CS975" s="464">
        <v>1</v>
      </c>
      <c r="CT975" s="485">
        <f>+CS975+CR975</f>
        <v>-34</v>
      </c>
      <c r="CU975" s="463"/>
      <c r="CV975" s="448">
        <v>-4</v>
      </c>
      <c r="CW975" s="464">
        <v>-6</v>
      </c>
      <c r="CX975" s="485">
        <f>+CW975+CV975</f>
        <v>-10</v>
      </c>
      <c r="CY975" s="463"/>
      <c r="CZ975" s="448">
        <v>13</v>
      </c>
      <c r="DA975" s="464">
        <v>0</v>
      </c>
      <c r="DB975" s="485">
        <f>+DA975+CZ975</f>
        <v>13</v>
      </c>
      <c r="DC975" s="463"/>
      <c r="DD975" s="448">
        <v>-8</v>
      </c>
      <c r="DE975" s="464">
        <v>0</v>
      </c>
      <c r="DF975" s="485">
        <f>+DE975+DD975</f>
        <v>-8</v>
      </c>
      <c r="DG975" s="463"/>
      <c r="DH975" s="448">
        <v>0</v>
      </c>
      <c r="DI975" s="514">
        <v>0</v>
      </c>
      <c r="DJ975" s="485">
        <f>+DI975+DH975</f>
        <v>0</v>
      </c>
      <c r="DK975" s="463"/>
      <c r="DL975" s="514">
        <v>0</v>
      </c>
      <c r="DM975" s="514">
        <v>0</v>
      </c>
      <c r="DN975" s="485">
        <f>+DM975+DL975</f>
        <v>0</v>
      </c>
      <c r="DO975" s="463"/>
      <c r="DP975" s="514">
        <v>0</v>
      </c>
      <c r="DQ975" s="514">
        <v>0</v>
      </c>
      <c r="DR975" s="485">
        <f>+DQ975+DP975</f>
        <v>0</v>
      </c>
      <c r="DS975" s="463"/>
      <c r="DT975" s="1"/>
      <c r="DU975" s="1"/>
      <c r="DV975" s="1"/>
      <c r="DW975" s="1"/>
      <c r="DX975" s="1"/>
      <c r="DY975" s="1"/>
      <c r="DZ975" s="1"/>
      <c r="EA975" s="1"/>
      <c r="EB975" s="1"/>
      <c r="EC975" s="1"/>
      <c r="ED975" s="1"/>
      <c r="EE975" s="1"/>
      <c r="EF975" s="1"/>
      <c r="EG975" s="1"/>
      <c r="EH975" s="1"/>
      <c r="EI975" s="1"/>
      <c r="EJ975" s="1"/>
      <c r="EK975" s="1"/>
      <c r="EL975" s="1"/>
      <c r="EM975" s="1"/>
      <c r="EN975" s="1"/>
      <c r="EO975" s="1"/>
      <c r="EP975" s="1"/>
      <c r="EQ975" s="1"/>
      <c r="ER975" s="1"/>
      <c r="ES975" s="1"/>
      <c r="ET975" s="1"/>
      <c r="EU975" s="1"/>
      <c r="EV975" s="1"/>
      <c r="EW975" s="1"/>
      <c r="EX975" s="1"/>
      <c r="EY975" s="1"/>
      <c r="EZ975" s="1"/>
      <c r="FA975" s="1"/>
      <c r="FB975" s="1"/>
      <c r="FC975" s="1"/>
      <c r="FD975" s="1"/>
      <c r="FE975" s="1"/>
      <c r="FF975" s="1"/>
      <c r="FG975" s="1"/>
      <c r="FH975" s="1"/>
      <c r="FI975" s="1"/>
      <c r="FJ975" s="1"/>
      <c r="FK975" s="1"/>
      <c r="FL975" s="1"/>
      <c r="FM975" s="1"/>
      <c r="FN975" s="1"/>
      <c r="FO975" s="1"/>
      <c r="FP975" s="1"/>
      <c r="FQ975" s="1"/>
      <c r="FR975" s="1"/>
      <c r="FS975" s="1"/>
      <c r="FT975" s="1"/>
      <c r="FU975" s="1"/>
      <c r="FV975" s="1"/>
      <c r="FW975" s="1"/>
      <c r="FX975" s="1"/>
      <c r="FY975" s="1"/>
      <c r="FZ975" s="1"/>
      <c r="GA975" s="1"/>
      <c r="GB975" s="1"/>
      <c r="GC975" s="1"/>
      <c r="GD975" s="1"/>
      <c r="GE975" s="1"/>
      <c r="GF975" s="1"/>
      <c r="GG975" s="1"/>
      <c r="GH975" s="1"/>
      <c r="GI975" s="1"/>
      <c r="GJ975" s="1"/>
      <c r="GK975" s="1"/>
      <c r="GL975" s="1"/>
      <c r="GM975" s="1"/>
      <c r="GN975" s="1"/>
      <c r="GO975" s="1"/>
      <c r="GP975" s="1"/>
      <c r="GQ975" s="1"/>
      <c r="GR975" s="1"/>
      <c r="GS975" s="1"/>
      <c r="GT975" s="1"/>
      <c r="GU975" s="1"/>
      <c r="GV975" s="1"/>
      <c r="GW975" s="1"/>
      <c r="GX975" s="1"/>
      <c r="GY975" s="1"/>
      <c r="GZ975" s="1"/>
      <c r="HA975" s="1"/>
      <c r="HB975" s="1"/>
      <c r="HC975" s="1"/>
      <c r="HD975" s="1"/>
      <c r="HE975" s="1"/>
      <c r="HF975" s="1"/>
      <c r="HG975" s="1"/>
      <c r="HH975" s="1"/>
      <c r="HI975" s="1"/>
      <c r="HJ975" s="1"/>
      <c r="HK975" s="1"/>
      <c r="HL975" s="1"/>
      <c r="HM975" s="1"/>
      <c r="HN975" s="1"/>
      <c r="HO975" s="1"/>
      <c r="HP975" s="1"/>
      <c r="HQ975" s="1"/>
      <c r="HR975" s="1"/>
      <c r="HS975" s="1"/>
      <c r="HT975" s="1"/>
      <c r="HU975" s="1"/>
      <c r="HV975" s="1"/>
      <c r="HW975" s="1"/>
      <c r="HX975" s="1"/>
      <c r="HY975" s="1"/>
      <c r="HZ975" s="1"/>
      <c r="IA975" s="1"/>
      <c r="IB975" s="1"/>
      <c r="IC975" s="1"/>
      <c r="ID975" s="1"/>
      <c r="IE975" s="1"/>
      <c r="IF975" s="1"/>
      <c r="IG975" s="1"/>
      <c r="IH975" s="1"/>
      <c r="II975" s="1"/>
      <c r="IJ975" s="1"/>
      <c r="IK975" s="1"/>
      <c r="IL975" s="1"/>
      <c r="IM975" s="1"/>
      <c r="IN975" s="1"/>
      <c r="IO975" s="1"/>
      <c r="IP975" s="1"/>
      <c r="IQ975" s="1"/>
      <c r="IR975" s="1"/>
      <c r="IS975" s="1"/>
      <c r="IT975" s="1"/>
      <c r="IU975" s="1"/>
      <c r="IV975" s="1"/>
      <c r="IW975" s="1"/>
      <c r="IX975" s="1"/>
      <c r="IY975" s="1"/>
      <c r="IZ975" s="1"/>
      <c r="JA975" s="1"/>
      <c r="JB975" s="1"/>
      <c r="JC975" s="1"/>
      <c r="JD975" s="1"/>
    </row>
    <row r="976" spans="1:264" s="347" customFormat="1" x14ac:dyDescent="0.2">
      <c r="A976" s="463" t="s">
        <v>377</v>
      </c>
      <c r="B976" s="466"/>
      <c r="C976" s="463"/>
      <c r="D976" s="463"/>
      <c r="E976" s="463"/>
      <c r="F976" s="463"/>
      <c r="G976" s="463"/>
      <c r="H976" s="463"/>
      <c r="I976" s="463"/>
      <c r="J976" s="463"/>
      <c r="K976" s="463"/>
      <c r="L976" s="463"/>
      <c r="M976" s="463"/>
      <c r="N976" s="463"/>
      <c r="O976" s="463"/>
      <c r="P976" s="463"/>
      <c r="Q976" s="463"/>
      <c r="R976" s="463"/>
      <c r="S976" s="463"/>
      <c r="T976" s="463"/>
      <c r="U976" s="463"/>
      <c r="V976" s="463"/>
      <c r="W976" s="463"/>
      <c r="X976" s="463"/>
      <c r="Y976" s="463"/>
      <c r="Z976" s="463"/>
      <c r="AA976" s="463"/>
      <c r="AB976" s="463"/>
      <c r="AC976" s="463"/>
      <c r="AD976" s="463"/>
      <c r="AE976" s="463"/>
      <c r="AF976" s="463"/>
      <c r="AG976" s="463"/>
      <c r="AH976" s="463"/>
      <c r="AI976" s="463"/>
      <c r="AJ976" s="463"/>
      <c r="AK976" s="463"/>
      <c r="AL976" s="463"/>
      <c r="AM976" s="463"/>
      <c r="AN976" s="463"/>
      <c r="AO976" s="463"/>
      <c r="AP976" s="463"/>
      <c r="AQ976" s="463"/>
      <c r="AR976" s="463"/>
      <c r="AS976" s="463"/>
      <c r="AT976" s="463"/>
      <c r="AU976" s="463"/>
      <c r="AV976" s="463"/>
      <c r="AW976" s="463"/>
      <c r="AX976" s="463"/>
      <c r="AY976" s="463"/>
      <c r="AZ976" s="463"/>
      <c r="BA976" s="463"/>
      <c r="BB976" s="463"/>
      <c r="BC976" s="463"/>
      <c r="BD976" s="463"/>
      <c r="BE976" s="463"/>
      <c r="BF976" s="463"/>
      <c r="BG976" s="463"/>
      <c r="BH976" s="485">
        <f>BH977-BH973-BH975-BH974</f>
        <v>16</v>
      </c>
      <c r="BI976" s="485">
        <f>BI977-BI973-BI975-BI974</f>
        <v>537</v>
      </c>
      <c r="BJ976" s="485">
        <f>+BI976+BH976</f>
        <v>553</v>
      </c>
      <c r="BK976" s="466"/>
      <c r="BL976" s="485">
        <f>BL977-BL973-BL975-BL974</f>
        <v>407</v>
      </c>
      <c r="BM976" s="485">
        <f>BM977-BM973-BM975-BM974</f>
        <v>229</v>
      </c>
      <c r="BN976" s="485">
        <f>+BM976+BL976</f>
        <v>636</v>
      </c>
      <c r="BO976" s="466"/>
      <c r="BP976" s="485">
        <f>BP977-BP973-BP975-BP974</f>
        <v>668</v>
      </c>
      <c r="BQ976" s="485">
        <f>BQ977-BQ973-BQ975-BQ974</f>
        <v>-22</v>
      </c>
      <c r="BR976" s="485">
        <f>+BQ976+BP976</f>
        <v>646</v>
      </c>
      <c r="BS976" s="463"/>
      <c r="BT976" s="485">
        <f>BT977-BT973-BT975-BT974</f>
        <v>122</v>
      </c>
      <c r="BU976" s="485">
        <f>BU977-BU973-BU975-BU974</f>
        <v>180</v>
      </c>
      <c r="BV976" s="485">
        <f>+BU976+BT976</f>
        <v>302</v>
      </c>
      <c r="BW976" s="463"/>
      <c r="BX976" s="485">
        <f>BX977-BX973-BX975-BX974</f>
        <v>-590</v>
      </c>
      <c r="BY976" s="485">
        <f>BY977-BY973-BY975-BY974</f>
        <v>-275</v>
      </c>
      <c r="BZ976" s="485">
        <f>+BY976+BX976</f>
        <v>-865</v>
      </c>
      <c r="CA976" s="463"/>
      <c r="CB976" s="485">
        <f>CB977-CB973-CB975-CB974</f>
        <v>-375</v>
      </c>
      <c r="CC976" s="485">
        <f>CC977-CC973-CC975-CC974</f>
        <v>182</v>
      </c>
      <c r="CD976" s="485">
        <f>+CC976+CB976</f>
        <v>-193</v>
      </c>
      <c r="CE976" s="463"/>
      <c r="CF976" s="485">
        <f>CF977-CF973-CF975-CF974</f>
        <v>447</v>
      </c>
      <c r="CG976" s="485">
        <f>CG977-CG973-CG975-CG974</f>
        <v>1098</v>
      </c>
      <c r="CH976" s="485">
        <f>+CG976+CF976</f>
        <v>1545</v>
      </c>
      <c r="CI976" s="463"/>
      <c r="CJ976" s="485">
        <f>CJ977-CJ973-CJ975-CJ974</f>
        <v>-443</v>
      </c>
      <c r="CK976" s="485">
        <f>CK977-CK973-CK975-CK974</f>
        <v>758</v>
      </c>
      <c r="CL976" s="485">
        <f>+CK976+CJ976</f>
        <v>315</v>
      </c>
      <c r="CM976" s="463"/>
      <c r="CN976" s="485">
        <f>CN977-CN973-CN975-CN974</f>
        <v>-166</v>
      </c>
      <c r="CO976" s="485">
        <f>CO977-CO973-CO975-CO974</f>
        <v>967</v>
      </c>
      <c r="CP976" s="485">
        <f>+CO976+CN976</f>
        <v>801</v>
      </c>
      <c r="CQ976" s="463"/>
      <c r="CR976" s="485">
        <f>CR977-CR973-CR975-CR974</f>
        <v>-366</v>
      </c>
      <c r="CS976" s="485">
        <f>CS977-CS973-CS975-CS974</f>
        <v>-3309</v>
      </c>
      <c r="CT976" s="485">
        <f>+CS976+CR976</f>
        <v>-3675</v>
      </c>
      <c r="CU976" s="463"/>
      <c r="CV976" s="485">
        <f>CV977-CV973-CV975-CV974</f>
        <v>-1076</v>
      </c>
      <c r="CW976" s="485">
        <f>CW977-CW973-CW975-CW974</f>
        <v>-749</v>
      </c>
      <c r="CX976" s="485">
        <f>+CW976+CV976</f>
        <v>-1825</v>
      </c>
      <c r="CY976" s="463"/>
      <c r="CZ976" s="485">
        <f>CZ977-CZ973-CZ975-CZ974</f>
        <v>699</v>
      </c>
      <c r="DA976" s="485">
        <f>DA977-DA973-DA975-DA974</f>
        <v>-564</v>
      </c>
      <c r="DB976" s="485">
        <f>+DA976+CZ976</f>
        <v>135</v>
      </c>
      <c r="DC976" s="463"/>
      <c r="DD976" s="485">
        <f>DD977-DD973-DD975-DD974</f>
        <v>1255</v>
      </c>
      <c r="DE976" s="485">
        <f>DE977-DE973-DE975-DE974</f>
        <v>2142</v>
      </c>
      <c r="DF976" s="485">
        <f>+DE976+DD976</f>
        <v>3397</v>
      </c>
      <c r="DG976" s="463"/>
      <c r="DH976" s="485">
        <f>DH977-DH973-DH975-DH974</f>
        <v>-2609</v>
      </c>
      <c r="DI976" s="514">
        <v>0</v>
      </c>
      <c r="DJ976" s="485">
        <f>+DI976+DH976</f>
        <v>-2609</v>
      </c>
      <c r="DK976" s="463"/>
      <c r="DL976" s="514">
        <v>0</v>
      </c>
      <c r="DM976" s="514">
        <v>0</v>
      </c>
      <c r="DN976" s="485">
        <f>+DM976+DL976</f>
        <v>0</v>
      </c>
      <c r="DO976" s="463"/>
      <c r="DP976" s="514">
        <v>0</v>
      </c>
      <c r="DQ976" s="514">
        <v>0</v>
      </c>
      <c r="DR976" s="485">
        <f>+DQ976+DP976</f>
        <v>0</v>
      </c>
      <c r="DS976" s="463"/>
      <c r="DT976" s="1"/>
      <c r="DU976" s="1"/>
      <c r="DV976" s="1"/>
      <c r="DW976" s="1"/>
      <c r="DX976" s="1"/>
      <c r="DY976" s="1"/>
      <c r="DZ976" s="1"/>
      <c r="EA976" s="1"/>
      <c r="EB976" s="1"/>
      <c r="EC976" s="1"/>
      <c r="ED976" s="1"/>
      <c r="EE976" s="1"/>
      <c r="EF976" s="1"/>
      <c r="EG976" s="1"/>
      <c r="EH976" s="1"/>
      <c r="EI976" s="1"/>
      <c r="EJ976" s="1"/>
      <c r="EK976" s="1"/>
      <c r="EL976" s="1"/>
      <c r="EM976" s="1"/>
      <c r="EN976" s="1"/>
      <c r="EO976" s="1"/>
      <c r="EP976" s="1"/>
      <c r="EQ976" s="1"/>
      <c r="ER976" s="1"/>
      <c r="ES976" s="1"/>
      <c r="ET976" s="1"/>
      <c r="EU976" s="1"/>
      <c r="EV976" s="1"/>
      <c r="EW976" s="1"/>
      <c r="EX976" s="1"/>
      <c r="EY976" s="1"/>
      <c r="EZ976" s="1"/>
      <c r="FA976" s="1"/>
      <c r="FB976" s="1"/>
      <c r="FC976" s="1"/>
      <c r="FD976" s="1"/>
      <c r="FE976" s="1"/>
      <c r="FF976" s="1"/>
      <c r="FG976" s="1"/>
      <c r="FH976" s="1"/>
      <c r="FI976" s="1"/>
      <c r="FJ976" s="1"/>
      <c r="FK976" s="1"/>
      <c r="FL976" s="1"/>
      <c r="FM976" s="1"/>
      <c r="FN976" s="1"/>
      <c r="FO976" s="1"/>
      <c r="FP976" s="1"/>
      <c r="FQ976" s="1"/>
      <c r="FR976" s="1"/>
      <c r="FS976" s="1"/>
      <c r="FT976" s="1"/>
      <c r="FU976" s="1"/>
      <c r="FV976" s="1"/>
      <c r="FW976" s="1"/>
      <c r="FX976" s="1"/>
      <c r="FY976" s="1"/>
      <c r="FZ976" s="1"/>
      <c r="GA976" s="1"/>
      <c r="GB976" s="1"/>
      <c r="GC976" s="1"/>
      <c r="GD976" s="1"/>
      <c r="GE976" s="1"/>
      <c r="GF976" s="1"/>
      <c r="GG976" s="1"/>
      <c r="GH976" s="1"/>
      <c r="GI976" s="1"/>
      <c r="GJ976" s="1"/>
      <c r="GK976" s="1"/>
      <c r="GL976" s="1"/>
      <c r="GM976" s="1"/>
      <c r="GN976" s="1"/>
      <c r="GO976" s="1"/>
      <c r="GP976" s="1"/>
      <c r="GQ976" s="1"/>
      <c r="GR976" s="1"/>
      <c r="GS976" s="1"/>
      <c r="GT976" s="1"/>
      <c r="GU976" s="1"/>
      <c r="GV976" s="1"/>
      <c r="GW976" s="1"/>
      <c r="GX976" s="1"/>
      <c r="GY976" s="1"/>
      <c r="GZ976" s="1"/>
      <c r="HA976" s="1"/>
      <c r="HB976" s="1"/>
      <c r="HC976" s="1"/>
      <c r="HD976" s="1"/>
      <c r="HE976" s="1"/>
      <c r="HF976" s="1"/>
      <c r="HG976" s="1"/>
      <c r="HH976" s="1"/>
      <c r="HI976" s="1"/>
      <c r="HJ976" s="1"/>
      <c r="HK976" s="1"/>
      <c r="HL976" s="1"/>
      <c r="HM976" s="1"/>
      <c r="HN976" s="1"/>
      <c r="HO976" s="1"/>
      <c r="HP976" s="1"/>
      <c r="HQ976" s="1"/>
      <c r="HR976" s="1"/>
      <c r="HS976" s="1"/>
      <c r="HT976" s="1"/>
      <c r="HU976" s="1"/>
      <c r="HV976" s="1"/>
      <c r="HW976" s="1"/>
      <c r="HX976" s="1"/>
      <c r="HY976" s="1"/>
      <c r="HZ976" s="1"/>
      <c r="IA976" s="1"/>
      <c r="IB976" s="1"/>
      <c r="IC976" s="1"/>
      <c r="ID976" s="1"/>
      <c r="IE976" s="1"/>
      <c r="IF976" s="1"/>
      <c r="IG976" s="1"/>
      <c r="IH976" s="1"/>
      <c r="II976" s="1"/>
      <c r="IJ976" s="1"/>
      <c r="IK976" s="1"/>
      <c r="IL976" s="1"/>
      <c r="IM976" s="1"/>
      <c r="IN976" s="1"/>
      <c r="IO976" s="1"/>
      <c r="IP976" s="1"/>
      <c r="IQ976" s="1"/>
      <c r="IR976" s="1"/>
      <c r="IS976" s="1"/>
      <c r="IT976" s="1"/>
      <c r="IU976" s="1"/>
      <c r="IV976" s="1"/>
      <c r="IW976" s="1"/>
      <c r="IX976" s="1"/>
      <c r="IY976" s="1"/>
      <c r="IZ976" s="1"/>
      <c r="JA976" s="1"/>
      <c r="JB976" s="1"/>
      <c r="JC976" s="1"/>
      <c r="JD976" s="1"/>
    </row>
    <row r="977" spans="1:264" s="411" customFormat="1" x14ac:dyDescent="0.2">
      <c r="A977" s="411" t="s">
        <v>319</v>
      </c>
      <c r="B977" s="423"/>
      <c r="BH977" s="397">
        <f>BH942</f>
        <v>1262</v>
      </c>
      <c r="BI977" s="397">
        <f>BI942</f>
        <v>1333</v>
      </c>
      <c r="BJ977" s="397">
        <f>BJ942</f>
        <v>1333</v>
      </c>
      <c r="BK977" s="423"/>
      <c r="BL977" s="397">
        <f>BL942</f>
        <v>1780</v>
      </c>
      <c r="BM977" s="397">
        <f>BM942</f>
        <v>2009</v>
      </c>
      <c r="BN977" s="397">
        <f>BN942</f>
        <v>2009</v>
      </c>
      <c r="BO977" s="423"/>
      <c r="BP977" s="397">
        <f>BP942</f>
        <v>2674</v>
      </c>
      <c r="BQ977" s="397">
        <f>BQ942</f>
        <v>2345</v>
      </c>
      <c r="BR977" s="397">
        <f>BR942</f>
        <v>2345</v>
      </c>
      <c r="BT977" s="397">
        <f>BT942</f>
        <v>2554</v>
      </c>
      <c r="BU977" s="397">
        <f>BU942</f>
        <v>2734</v>
      </c>
      <c r="BV977" s="397">
        <f>BV942</f>
        <v>2734</v>
      </c>
      <c r="BX977" s="397">
        <f>BX942</f>
        <v>2144</v>
      </c>
      <c r="BY977" s="397">
        <f>BY942</f>
        <v>1869</v>
      </c>
      <c r="BZ977" s="397">
        <f>BZ942</f>
        <v>1869</v>
      </c>
      <c r="CB977" s="397">
        <f>CB942</f>
        <v>1494</v>
      </c>
      <c r="CC977" s="397">
        <f>CC942</f>
        <v>1676</v>
      </c>
      <c r="CD977" s="397">
        <f>CD942</f>
        <v>1676</v>
      </c>
      <c r="CF977" s="397">
        <f>CF942</f>
        <v>2051</v>
      </c>
      <c r="CG977" s="397">
        <f>CG942</f>
        <v>3092</v>
      </c>
      <c r="CH977" s="397">
        <f>CH942</f>
        <v>3092</v>
      </c>
      <c r="CJ977" s="397">
        <f>CJ942</f>
        <v>1910</v>
      </c>
      <c r="CK977" s="397">
        <f>CK942</f>
        <v>2666</v>
      </c>
      <c r="CL977" s="397">
        <f>CL942</f>
        <v>2666</v>
      </c>
      <c r="CN977" s="397">
        <f>CN942</f>
        <v>2287</v>
      </c>
      <c r="CO977" s="397">
        <f>CO942</f>
        <v>3249</v>
      </c>
      <c r="CP977" s="397">
        <f>CP942</f>
        <v>3249</v>
      </c>
      <c r="CR977" s="397">
        <f>CR942</f>
        <v>2848</v>
      </c>
      <c r="CS977" s="397">
        <f>CS942</f>
        <v>-460</v>
      </c>
      <c r="CT977" s="397">
        <f>CT942</f>
        <v>-460</v>
      </c>
      <c r="CV977" s="397">
        <f>CV942</f>
        <v>-1540</v>
      </c>
      <c r="CW977" s="397">
        <f>CW942</f>
        <v>-2295</v>
      </c>
      <c r="CX977" s="397">
        <f>CX942</f>
        <v>-2295</v>
      </c>
      <c r="CZ977" s="397">
        <f>CZ942</f>
        <v>-1583</v>
      </c>
      <c r="DA977" s="397">
        <f>DA942</f>
        <v>-2147</v>
      </c>
      <c r="DB977" s="397">
        <f>DB942</f>
        <v>-2147</v>
      </c>
      <c r="DD977" s="397">
        <f>DD942</f>
        <v>-900</v>
      </c>
      <c r="DE977" s="397">
        <f>DE942</f>
        <v>1242</v>
      </c>
      <c r="DF977" s="397">
        <f>DF942</f>
        <v>1242</v>
      </c>
      <c r="DH977" s="397">
        <f>DH942</f>
        <v>-1367</v>
      </c>
      <c r="DI977" s="397">
        <f>SUM(DI973:DI976)</f>
        <v>-1367</v>
      </c>
      <c r="DJ977" s="397">
        <f>SUM(DJ973:DJ976)</f>
        <v>-1367</v>
      </c>
      <c r="DL977" s="397">
        <f>SUM(DL973:DL976)</f>
        <v>-1367</v>
      </c>
      <c r="DM977" s="397">
        <f>SUM(DM973:DM976)</f>
        <v>-1367</v>
      </c>
      <c r="DN977" s="397">
        <f>SUM(DN973:DN976)</f>
        <v>-1367</v>
      </c>
      <c r="DP977" s="397">
        <f>SUM(DP973:DP976)</f>
        <v>-1367</v>
      </c>
      <c r="DQ977" s="397">
        <f>SUM(DQ973:DQ976)</f>
        <v>-1367</v>
      </c>
      <c r="DR977" s="397">
        <f>SUM(DR973:DR976)</f>
        <v>-1367</v>
      </c>
      <c r="DT977" s="1"/>
      <c r="DU977" s="1"/>
      <c r="DV977" s="1"/>
      <c r="DW977" s="1"/>
      <c r="DX977" s="1"/>
      <c r="DY977" s="1"/>
      <c r="DZ977" s="1"/>
      <c r="EA977" s="1"/>
      <c r="EB977" s="1"/>
      <c r="EC977" s="1"/>
      <c r="ED977" s="1"/>
      <c r="EE977" s="1"/>
      <c r="EF977" s="1"/>
      <c r="EG977" s="1"/>
      <c r="EH977" s="1"/>
      <c r="EI977" s="1"/>
      <c r="EJ977" s="1"/>
      <c r="EK977" s="1"/>
      <c r="EL977" s="1"/>
      <c r="EM977" s="1"/>
      <c r="EN977" s="1"/>
      <c r="EO977" s="1"/>
      <c r="EP977" s="1"/>
      <c r="EQ977" s="1"/>
      <c r="ER977" s="1"/>
      <c r="ES977" s="1"/>
      <c r="ET977" s="1"/>
      <c r="EU977" s="1"/>
      <c r="EV977" s="1"/>
      <c r="EW977" s="1"/>
      <c r="EX977" s="1"/>
      <c r="EY977" s="1"/>
      <c r="EZ977" s="1"/>
      <c r="FA977" s="1"/>
      <c r="FB977" s="1"/>
      <c r="FC977" s="1"/>
      <c r="FD977" s="1"/>
      <c r="FE977" s="1"/>
      <c r="FF977" s="1"/>
      <c r="FG977" s="1"/>
      <c r="FH977" s="1"/>
      <c r="FI977" s="1"/>
      <c r="FJ977" s="1"/>
      <c r="FK977" s="1"/>
      <c r="FL977" s="1"/>
      <c r="FM977" s="1"/>
      <c r="FN977" s="1"/>
      <c r="FO977" s="1"/>
      <c r="FP977" s="1"/>
      <c r="FQ977" s="1"/>
      <c r="FR977" s="1"/>
      <c r="FS977" s="1"/>
      <c r="FT977" s="1"/>
      <c r="FU977" s="1"/>
      <c r="FV977" s="1"/>
      <c r="FW977" s="1"/>
      <c r="FX977" s="1"/>
      <c r="FY977" s="1"/>
      <c r="FZ977" s="1"/>
      <c r="GA977" s="1"/>
      <c r="GB977" s="1"/>
      <c r="GC977" s="1"/>
      <c r="GD977" s="1"/>
      <c r="GE977" s="1"/>
      <c r="GF977" s="1"/>
      <c r="GG977" s="1"/>
      <c r="GH977" s="1"/>
      <c r="GI977" s="1"/>
      <c r="GJ977" s="1"/>
      <c r="GK977" s="1"/>
      <c r="GL977" s="1"/>
      <c r="GM977" s="1"/>
      <c r="GN977" s="1"/>
      <c r="GO977" s="1"/>
      <c r="GP977" s="1"/>
      <c r="GQ977" s="1"/>
      <c r="GR977" s="1"/>
      <c r="GS977" s="1"/>
      <c r="GT977" s="1"/>
      <c r="GU977" s="1"/>
      <c r="GV977" s="1"/>
      <c r="GW977" s="1"/>
      <c r="GX977" s="1"/>
      <c r="GY977" s="1"/>
      <c r="GZ977" s="1"/>
      <c r="HA977" s="1"/>
      <c r="HB977" s="1"/>
      <c r="HC977" s="1"/>
      <c r="HD977" s="1"/>
      <c r="HE977" s="1"/>
      <c r="HF977" s="1"/>
      <c r="HG977" s="1"/>
      <c r="HH977" s="1"/>
      <c r="HI977" s="1"/>
      <c r="HJ977" s="1"/>
      <c r="HK977" s="1"/>
      <c r="HL977" s="1"/>
      <c r="HM977" s="1"/>
      <c r="HN977" s="1"/>
      <c r="HO977" s="1"/>
      <c r="HP977" s="1"/>
      <c r="HQ977" s="1"/>
      <c r="HR977" s="1"/>
      <c r="HS977" s="1"/>
      <c r="HT977" s="1"/>
      <c r="HU977" s="1"/>
      <c r="HV977" s="1"/>
      <c r="HW977" s="1"/>
      <c r="HX977" s="1"/>
      <c r="HY977" s="1"/>
      <c r="HZ977" s="1"/>
      <c r="IA977" s="1"/>
      <c r="IB977" s="1"/>
      <c r="IC977" s="1"/>
      <c r="ID977" s="1"/>
      <c r="IE977" s="1"/>
      <c r="IF977" s="1"/>
      <c r="IG977" s="1"/>
      <c r="IH977" s="1"/>
      <c r="II977" s="1"/>
      <c r="IJ977" s="1"/>
      <c r="IK977" s="1"/>
      <c r="IL977" s="1"/>
      <c r="IM977" s="1"/>
      <c r="IN977" s="1"/>
      <c r="IO977" s="1"/>
      <c r="IP977" s="1"/>
      <c r="IQ977" s="1"/>
      <c r="IR977" s="1"/>
      <c r="IS977" s="1"/>
      <c r="IT977" s="1"/>
      <c r="IU977" s="1"/>
      <c r="IV977" s="1"/>
      <c r="IW977" s="1"/>
      <c r="IX977" s="1"/>
      <c r="IY977" s="1"/>
      <c r="IZ977" s="1"/>
      <c r="JA977" s="1"/>
      <c r="JB977" s="1"/>
      <c r="JC977" s="1"/>
      <c r="JD977" s="1"/>
    </row>
    <row r="978" spans="1:264" s="411" customFormat="1" x14ac:dyDescent="0.2">
      <c r="B978" s="423"/>
      <c r="BH978" s="397"/>
      <c r="BI978" s="397"/>
      <c r="BJ978" s="397"/>
      <c r="BK978" s="423"/>
      <c r="BL978" s="397"/>
      <c r="BM978" s="397"/>
      <c r="BN978" s="397"/>
      <c r="BO978" s="423"/>
      <c r="BP978" s="397"/>
      <c r="BQ978" s="397"/>
      <c r="BR978" s="397"/>
      <c r="BT978" s="397"/>
      <c r="BU978" s="397"/>
      <c r="BV978" s="397"/>
      <c r="BX978" s="397"/>
      <c r="BY978" s="397"/>
      <c r="BZ978" s="397"/>
      <c r="CB978" s="397"/>
      <c r="CC978" s="397"/>
      <c r="CD978" s="397"/>
      <c r="CF978" s="397"/>
      <c r="CJ978" s="397"/>
      <c r="CN978" s="397"/>
      <c r="CR978" s="397"/>
      <c r="CV978" s="397"/>
      <c r="CZ978" s="397"/>
      <c r="DD978" s="397"/>
      <c r="DH978" s="397"/>
      <c r="DL978" s="423"/>
      <c r="DP978" s="423"/>
      <c r="DT978" s="1"/>
      <c r="DU978" s="1"/>
      <c r="DV978" s="1"/>
      <c r="DW978" s="1"/>
      <c r="DX978" s="1"/>
      <c r="DY978" s="1"/>
      <c r="DZ978" s="1"/>
      <c r="EA978" s="1"/>
      <c r="EB978" s="1"/>
      <c r="EC978" s="1"/>
      <c r="ED978" s="1"/>
      <c r="EE978" s="1"/>
      <c r="EF978" s="1"/>
      <c r="EG978" s="1"/>
      <c r="EH978" s="1"/>
      <c r="EI978" s="1"/>
      <c r="EJ978" s="1"/>
      <c r="EK978" s="1"/>
      <c r="EL978" s="1"/>
      <c r="EM978" s="1"/>
      <c r="EN978" s="1"/>
      <c r="EO978" s="1"/>
      <c r="EP978" s="1"/>
      <c r="EQ978" s="1"/>
      <c r="ER978" s="1"/>
      <c r="ES978" s="1"/>
      <c r="ET978" s="1"/>
      <c r="EU978" s="1"/>
      <c r="EV978" s="1"/>
      <c r="EW978" s="1"/>
      <c r="EX978" s="1"/>
      <c r="EY978" s="1"/>
      <c r="EZ978" s="1"/>
      <c r="FA978" s="1"/>
      <c r="FB978" s="1"/>
      <c r="FC978" s="1"/>
      <c r="FD978" s="1"/>
      <c r="FE978" s="1"/>
      <c r="FF978" s="1"/>
      <c r="FG978" s="1"/>
      <c r="FH978" s="1"/>
      <c r="FI978" s="1"/>
      <c r="FJ978" s="1"/>
      <c r="FK978" s="1"/>
      <c r="FL978" s="1"/>
      <c r="FM978" s="1"/>
      <c r="FN978" s="1"/>
      <c r="FO978" s="1"/>
      <c r="FP978" s="1"/>
      <c r="FQ978" s="1"/>
      <c r="FR978" s="1"/>
      <c r="FS978" s="1"/>
      <c r="FT978" s="1"/>
      <c r="FU978" s="1"/>
      <c r="FV978" s="1"/>
      <c r="FW978" s="1"/>
      <c r="FX978" s="1"/>
      <c r="FY978" s="1"/>
      <c r="FZ978" s="1"/>
      <c r="GA978" s="1"/>
      <c r="GB978" s="1"/>
      <c r="GC978" s="1"/>
      <c r="GD978" s="1"/>
      <c r="GE978" s="1"/>
      <c r="GF978" s="1"/>
      <c r="GG978" s="1"/>
      <c r="GH978" s="1"/>
      <c r="GI978" s="1"/>
      <c r="GJ978" s="1"/>
      <c r="GK978" s="1"/>
      <c r="GL978" s="1"/>
      <c r="GM978" s="1"/>
      <c r="GN978" s="1"/>
      <c r="GO978" s="1"/>
      <c r="GP978" s="1"/>
      <c r="GQ978" s="1"/>
      <c r="GR978" s="1"/>
      <c r="GS978" s="1"/>
      <c r="GT978" s="1"/>
      <c r="GU978" s="1"/>
      <c r="GV978" s="1"/>
      <c r="GW978" s="1"/>
      <c r="GX978" s="1"/>
      <c r="GY978" s="1"/>
      <c r="GZ978" s="1"/>
      <c r="HA978" s="1"/>
      <c r="HB978" s="1"/>
      <c r="HC978" s="1"/>
      <c r="HD978" s="1"/>
      <c r="HE978" s="1"/>
      <c r="HF978" s="1"/>
      <c r="HG978" s="1"/>
      <c r="HH978" s="1"/>
      <c r="HI978" s="1"/>
      <c r="HJ978" s="1"/>
      <c r="HK978" s="1"/>
      <c r="HL978" s="1"/>
      <c r="HM978" s="1"/>
      <c r="HN978" s="1"/>
      <c r="HO978" s="1"/>
      <c r="HP978" s="1"/>
      <c r="HQ978" s="1"/>
      <c r="HR978" s="1"/>
      <c r="HS978" s="1"/>
      <c r="HT978" s="1"/>
      <c r="HU978" s="1"/>
      <c r="HV978" s="1"/>
      <c r="HW978" s="1"/>
      <c r="HX978" s="1"/>
      <c r="HY978" s="1"/>
      <c r="HZ978" s="1"/>
      <c r="IA978" s="1"/>
      <c r="IB978" s="1"/>
      <c r="IC978" s="1"/>
      <c r="ID978" s="1"/>
      <c r="IE978" s="1"/>
      <c r="IF978" s="1"/>
      <c r="IG978" s="1"/>
      <c r="IH978" s="1"/>
      <c r="II978" s="1"/>
      <c r="IJ978" s="1"/>
      <c r="IK978" s="1"/>
      <c r="IL978" s="1"/>
      <c r="IM978" s="1"/>
      <c r="IN978" s="1"/>
      <c r="IO978" s="1"/>
      <c r="IP978" s="1"/>
      <c r="IQ978" s="1"/>
      <c r="IR978" s="1"/>
      <c r="IS978" s="1"/>
      <c r="IT978" s="1"/>
      <c r="IU978" s="1"/>
      <c r="IV978" s="1"/>
      <c r="IW978" s="1"/>
      <c r="IX978" s="1"/>
      <c r="IY978" s="1"/>
      <c r="IZ978" s="1"/>
      <c r="JA978" s="1"/>
      <c r="JB978" s="1"/>
      <c r="JC978" s="1"/>
      <c r="JD978" s="1"/>
    </row>
    <row r="979" spans="1:264" s="347" customFormat="1" x14ac:dyDescent="0.2">
      <c r="A979" s="411" t="s">
        <v>663</v>
      </c>
      <c r="B979" s="348"/>
      <c r="BH979" s="348"/>
      <c r="BI979" s="348"/>
      <c r="BJ979" s="348"/>
      <c r="BK979" s="348"/>
      <c r="BL979" s="348"/>
      <c r="BM979" s="348"/>
      <c r="BN979" s="348"/>
      <c r="BO979" s="348"/>
      <c r="BP979" s="348"/>
      <c r="BQ979" s="348"/>
      <c r="BR979" s="348"/>
      <c r="BT979" s="348"/>
      <c r="BU979" s="348"/>
      <c r="BV979" s="348"/>
      <c r="BX979" s="348"/>
      <c r="BY979" s="348"/>
      <c r="BZ979" s="348"/>
      <c r="CB979" s="348"/>
      <c r="CC979" s="348"/>
      <c r="CD979" s="348"/>
      <c r="CF979" s="348"/>
      <c r="CJ979" s="348"/>
      <c r="CN979" s="348"/>
      <c r="CR979" s="348"/>
      <c r="CV979" s="348"/>
      <c r="CZ979" s="348"/>
      <c r="DD979" s="348"/>
      <c r="DH979" s="348"/>
      <c r="DL979" s="348"/>
      <c r="DP979" s="348"/>
      <c r="DT979" s="1"/>
      <c r="DU979" s="1"/>
      <c r="DV979" s="1"/>
      <c r="DW979" s="1"/>
      <c r="DX979" s="1"/>
      <c r="DY979" s="1"/>
      <c r="DZ979" s="1"/>
      <c r="EA979" s="1"/>
      <c r="EB979" s="1"/>
      <c r="EC979" s="1"/>
      <c r="ED979" s="1"/>
      <c r="EE979" s="1"/>
      <c r="EF979" s="1"/>
      <c r="EG979" s="1"/>
      <c r="EH979" s="1"/>
      <c r="EI979" s="1"/>
      <c r="EJ979" s="1"/>
      <c r="EK979" s="1"/>
      <c r="EL979" s="1"/>
      <c r="EM979" s="1"/>
      <c r="EN979" s="1"/>
      <c r="EO979" s="1"/>
      <c r="EP979" s="1"/>
      <c r="EQ979" s="1"/>
      <c r="ER979" s="1"/>
      <c r="ES979" s="1"/>
      <c r="ET979" s="1"/>
      <c r="EU979" s="1"/>
      <c r="EV979" s="1"/>
      <c r="EW979" s="1"/>
      <c r="EX979" s="1"/>
      <c r="EY979" s="1"/>
      <c r="EZ979" s="1"/>
      <c r="FA979" s="1"/>
      <c r="FB979" s="1"/>
      <c r="FC979" s="1"/>
      <c r="FD979" s="1"/>
      <c r="FE979" s="1"/>
      <c r="FF979" s="1"/>
      <c r="FG979" s="1"/>
      <c r="FH979" s="1"/>
      <c r="FI979" s="1"/>
      <c r="FJ979" s="1"/>
      <c r="FK979" s="1"/>
      <c r="FL979" s="1"/>
      <c r="FM979" s="1"/>
      <c r="FN979" s="1"/>
      <c r="FO979" s="1"/>
      <c r="FP979" s="1"/>
      <c r="FQ979" s="1"/>
      <c r="FR979" s="1"/>
      <c r="FS979" s="1"/>
      <c r="FT979" s="1"/>
      <c r="FU979" s="1"/>
      <c r="FV979" s="1"/>
      <c r="FW979" s="1"/>
      <c r="FX979" s="1"/>
      <c r="FY979" s="1"/>
      <c r="FZ979" s="1"/>
      <c r="GA979" s="1"/>
      <c r="GB979" s="1"/>
      <c r="GC979" s="1"/>
      <c r="GD979" s="1"/>
      <c r="GE979" s="1"/>
      <c r="GF979" s="1"/>
      <c r="GG979" s="1"/>
      <c r="GH979" s="1"/>
      <c r="GI979" s="1"/>
      <c r="GJ979" s="1"/>
      <c r="GK979" s="1"/>
      <c r="GL979" s="1"/>
      <c r="GM979" s="1"/>
      <c r="GN979" s="1"/>
      <c r="GO979" s="1"/>
      <c r="GP979" s="1"/>
      <c r="GQ979" s="1"/>
      <c r="GR979" s="1"/>
      <c r="GS979" s="1"/>
      <c r="GT979" s="1"/>
      <c r="GU979" s="1"/>
      <c r="GV979" s="1"/>
      <c r="GW979" s="1"/>
      <c r="GX979" s="1"/>
      <c r="GY979" s="1"/>
      <c r="GZ979" s="1"/>
      <c r="HA979" s="1"/>
      <c r="HB979" s="1"/>
      <c r="HC979" s="1"/>
      <c r="HD979" s="1"/>
      <c r="HE979" s="1"/>
      <c r="HF979" s="1"/>
      <c r="HG979" s="1"/>
      <c r="HH979" s="1"/>
      <c r="HI979" s="1"/>
      <c r="HJ979" s="1"/>
      <c r="HK979" s="1"/>
      <c r="HL979" s="1"/>
      <c r="HM979" s="1"/>
      <c r="HN979" s="1"/>
      <c r="HO979" s="1"/>
      <c r="HP979" s="1"/>
      <c r="HQ979" s="1"/>
      <c r="HR979" s="1"/>
      <c r="HS979" s="1"/>
      <c r="HT979" s="1"/>
      <c r="HU979" s="1"/>
      <c r="HV979" s="1"/>
      <c r="HW979" s="1"/>
      <c r="HX979" s="1"/>
      <c r="HY979" s="1"/>
      <c r="HZ979" s="1"/>
      <c r="IA979" s="1"/>
      <c r="IB979" s="1"/>
      <c r="IC979" s="1"/>
      <c r="ID979" s="1"/>
      <c r="IE979" s="1"/>
      <c r="IF979" s="1"/>
      <c r="IG979" s="1"/>
      <c r="IH979" s="1"/>
      <c r="II979" s="1"/>
      <c r="IJ979" s="1"/>
      <c r="IK979" s="1"/>
      <c r="IL979" s="1"/>
      <c r="IM979" s="1"/>
      <c r="IN979" s="1"/>
      <c r="IO979" s="1"/>
      <c r="IP979" s="1"/>
      <c r="IQ979" s="1"/>
      <c r="IR979" s="1"/>
      <c r="IS979" s="1"/>
      <c r="IT979" s="1"/>
      <c r="IU979" s="1"/>
      <c r="IV979" s="1"/>
      <c r="IW979" s="1"/>
      <c r="IX979" s="1"/>
      <c r="IY979" s="1"/>
      <c r="IZ979" s="1"/>
      <c r="JA979" s="1"/>
      <c r="JB979" s="1"/>
      <c r="JC979" s="1"/>
      <c r="JD979" s="1"/>
    </row>
    <row r="980" spans="1:264" s="347" customFormat="1" x14ac:dyDescent="0.2">
      <c r="A980" s="347" t="s">
        <v>313</v>
      </c>
      <c r="B980" s="348"/>
      <c r="BH980" s="398">
        <v>939</v>
      </c>
      <c r="BI980" s="351">
        <f>BH982</f>
        <v>939</v>
      </c>
      <c r="BJ980" s="351">
        <f>+BH980</f>
        <v>939</v>
      </c>
      <c r="BK980" s="348"/>
      <c r="BL980" s="351">
        <f>BJ982</f>
        <v>939</v>
      </c>
      <c r="BM980" s="351">
        <f>BL982</f>
        <v>939</v>
      </c>
      <c r="BN980" s="351">
        <f>+BL980</f>
        <v>939</v>
      </c>
      <c r="BO980" s="348"/>
      <c r="BP980" s="351">
        <f>BN982</f>
        <v>939</v>
      </c>
      <c r="BQ980" s="351">
        <f>BP982</f>
        <v>939</v>
      </c>
      <c r="BR980" s="351">
        <f>+BP980</f>
        <v>939</v>
      </c>
      <c r="BT980" s="351">
        <f>BR982</f>
        <v>939</v>
      </c>
      <c r="BU980" s="351">
        <f>BT982</f>
        <v>939</v>
      </c>
      <c r="BV980" s="351">
        <f>+BT980</f>
        <v>939</v>
      </c>
      <c r="BX980" s="351">
        <f>BV982</f>
        <v>0</v>
      </c>
      <c r="BY980" s="351">
        <f>BX982</f>
        <v>0</v>
      </c>
      <c r="BZ980" s="351">
        <f>+BX980</f>
        <v>0</v>
      </c>
      <c r="CB980" s="351">
        <f>BZ982</f>
        <v>0</v>
      </c>
      <c r="CC980" s="351">
        <f>CB982</f>
        <v>0</v>
      </c>
      <c r="CD980" s="351">
        <f>+CB980</f>
        <v>0</v>
      </c>
      <c r="CF980" s="351">
        <f>CD982</f>
        <v>0</v>
      </c>
      <c r="CG980" s="351">
        <f>CF982</f>
        <v>0</v>
      </c>
      <c r="CH980" s="351">
        <f>+CF980</f>
        <v>0</v>
      </c>
      <c r="CJ980" s="351">
        <f>CH982</f>
        <v>0</v>
      </c>
      <c r="CK980" s="351">
        <f>CJ982</f>
        <v>0</v>
      </c>
      <c r="CL980" s="351">
        <f>+CJ980</f>
        <v>0</v>
      </c>
      <c r="CN980" s="351">
        <f>CL982</f>
        <v>0</v>
      </c>
      <c r="CO980" s="351">
        <f>CN982</f>
        <v>0</v>
      </c>
      <c r="CP980" s="351">
        <f>+CN980</f>
        <v>0</v>
      </c>
      <c r="CR980" s="351">
        <f>CP982</f>
        <v>0</v>
      </c>
      <c r="CS980" s="351">
        <f>CR982</f>
        <v>0</v>
      </c>
      <c r="CT980" s="351">
        <f>+CR980</f>
        <v>0</v>
      </c>
      <c r="CV980" s="351">
        <f>CT982</f>
        <v>0</v>
      </c>
      <c r="CW980" s="351">
        <f>CV982</f>
        <v>0</v>
      </c>
      <c r="CX980" s="351">
        <f>+CV980</f>
        <v>0</v>
      </c>
      <c r="CZ980" s="351">
        <f>CX982</f>
        <v>0</v>
      </c>
      <c r="DA980" s="351">
        <f>CZ982</f>
        <v>0</v>
      </c>
      <c r="DB980" s="351">
        <f>+CZ980</f>
        <v>0</v>
      </c>
      <c r="DD980" s="351">
        <f>DB982</f>
        <v>0</v>
      </c>
      <c r="DE980" s="351">
        <f>DD982</f>
        <v>0</v>
      </c>
      <c r="DF980" s="351">
        <f>+DD980</f>
        <v>0</v>
      </c>
      <c r="DH980" s="351">
        <f>DF982</f>
        <v>0</v>
      </c>
      <c r="DI980" s="351">
        <f>DH982</f>
        <v>0</v>
      </c>
      <c r="DJ980" s="351">
        <f>+DH980</f>
        <v>0</v>
      </c>
      <c r="DL980" s="351">
        <f>DJ982</f>
        <v>0</v>
      </c>
      <c r="DM980" s="351">
        <f>DL982</f>
        <v>0</v>
      </c>
      <c r="DN980" s="351">
        <f>+DL980</f>
        <v>0</v>
      </c>
      <c r="DP980" s="351">
        <f>DN982</f>
        <v>0</v>
      </c>
      <c r="DQ980" s="351">
        <f>DP982</f>
        <v>0</v>
      </c>
      <c r="DR980" s="351">
        <f>+DP980</f>
        <v>0</v>
      </c>
      <c r="DT980" s="1"/>
      <c r="DU980" s="1"/>
      <c r="DV980" s="1"/>
      <c r="DW980" s="1"/>
      <c r="DX980" s="1"/>
      <c r="DY980" s="1"/>
      <c r="DZ980" s="1"/>
      <c r="EA980" s="1"/>
      <c r="EB980" s="1"/>
      <c r="EC980" s="1"/>
      <c r="ED980" s="1"/>
      <c r="EE980" s="1"/>
      <c r="EF980" s="1"/>
      <c r="EG980" s="1"/>
      <c r="EH980" s="1"/>
      <c r="EI980" s="1"/>
      <c r="EJ980" s="1"/>
      <c r="EK980" s="1"/>
      <c r="EL980" s="1"/>
      <c r="EM980" s="1"/>
      <c r="EN980" s="1"/>
      <c r="EO980" s="1"/>
      <c r="EP980" s="1"/>
      <c r="EQ980" s="1"/>
      <c r="ER980" s="1"/>
      <c r="ES980" s="1"/>
      <c r="ET980" s="1"/>
      <c r="EU980" s="1"/>
      <c r="EV980" s="1"/>
      <c r="EW980" s="1"/>
      <c r="EX980" s="1"/>
      <c r="EY980" s="1"/>
      <c r="EZ980" s="1"/>
      <c r="FA980" s="1"/>
      <c r="FB980" s="1"/>
      <c r="FC980" s="1"/>
      <c r="FD980" s="1"/>
      <c r="FE980" s="1"/>
      <c r="FF980" s="1"/>
      <c r="FG980" s="1"/>
      <c r="FH980" s="1"/>
      <c r="FI980" s="1"/>
      <c r="FJ980" s="1"/>
      <c r="FK980" s="1"/>
      <c r="FL980" s="1"/>
      <c r="FM980" s="1"/>
      <c r="FN980" s="1"/>
      <c r="FO980" s="1"/>
      <c r="FP980" s="1"/>
      <c r="FQ980" s="1"/>
      <c r="FR980" s="1"/>
      <c r="FS980" s="1"/>
      <c r="FT980" s="1"/>
      <c r="FU980" s="1"/>
      <c r="FV980" s="1"/>
      <c r="FW980" s="1"/>
      <c r="FX980" s="1"/>
      <c r="FY980" s="1"/>
      <c r="FZ980" s="1"/>
      <c r="GA980" s="1"/>
      <c r="GB980" s="1"/>
      <c r="GC980" s="1"/>
      <c r="GD980" s="1"/>
      <c r="GE980" s="1"/>
      <c r="GF980" s="1"/>
      <c r="GG980" s="1"/>
      <c r="GH980" s="1"/>
      <c r="GI980" s="1"/>
      <c r="GJ980" s="1"/>
      <c r="GK980" s="1"/>
      <c r="GL980" s="1"/>
      <c r="GM980" s="1"/>
      <c r="GN980" s="1"/>
      <c r="GO980" s="1"/>
      <c r="GP980" s="1"/>
      <c r="GQ980" s="1"/>
      <c r="GR980" s="1"/>
      <c r="GS980" s="1"/>
      <c r="GT980" s="1"/>
      <c r="GU980" s="1"/>
      <c r="GV980" s="1"/>
      <c r="GW980" s="1"/>
      <c r="GX980" s="1"/>
      <c r="GY980" s="1"/>
      <c r="GZ980" s="1"/>
      <c r="HA980" s="1"/>
      <c r="HB980" s="1"/>
      <c r="HC980" s="1"/>
      <c r="HD980" s="1"/>
      <c r="HE980" s="1"/>
      <c r="HF980" s="1"/>
      <c r="HG980" s="1"/>
      <c r="HH980" s="1"/>
      <c r="HI980" s="1"/>
      <c r="HJ980" s="1"/>
      <c r="HK980" s="1"/>
      <c r="HL980" s="1"/>
      <c r="HM980" s="1"/>
      <c r="HN980" s="1"/>
      <c r="HO980" s="1"/>
      <c r="HP980" s="1"/>
      <c r="HQ980" s="1"/>
      <c r="HR980" s="1"/>
      <c r="HS980" s="1"/>
      <c r="HT980" s="1"/>
      <c r="HU980" s="1"/>
      <c r="HV980" s="1"/>
      <c r="HW980" s="1"/>
      <c r="HX980" s="1"/>
      <c r="HY980" s="1"/>
      <c r="HZ980" s="1"/>
      <c r="IA980" s="1"/>
      <c r="IB980" s="1"/>
      <c r="IC980" s="1"/>
      <c r="ID980" s="1"/>
      <c r="IE980" s="1"/>
      <c r="IF980" s="1"/>
      <c r="IG980" s="1"/>
      <c r="IH980" s="1"/>
      <c r="II980" s="1"/>
      <c r="IJ980" s="1"/>
      <c r="IK980" s="1"/>
      <c r="IL980" s="1"/>
      <c r="IM980" s="1"/>
      <c r="IN980" s="1"/>
      <c r="IO980" s="1"/>
      <c r="IP980" s="1"/>
      <c r="IQ980" s="1"/>
      <c r="IR980" s="1"/>
      <c r="IS980" s="1"/>
      <c r="IT980" s="1"/>
      <c r="IU980" s="1"/>
      <c r="IV980" s="1"/>
      <c r="IW980" s="1"/>
      <c r="IX980" s="1"/>
      <c r="IY980" s="1"/>
      <c r="IZ980" s="1"/>
      <c r="JA980" s="1"/>
      <c r="JB980" s="1"/>
      <c r="JC980" s="1"/>
      <c r="JD980" s="1"/>
    </row>
    <row r="981" spans="1:264" s="347" customFormat="1" x14ac:dyDescent="0.2">
      <c r="A981" s="463" t="s">
        <v>377</v>
      </c>
      <c r="B981" s="466"/>
      <c r="C981" s="463"/>
      <c r="D981" s="463"/>
      <c r="E981" s="463"/>
      <c r="F981" s="463"/>
      <c r="G981" s="463"/>
      <c r="H981" s="463"/>
      <c r="I981" s="463"/>
      <c r="J981" s="463"/>
      <c r="K981" s="463"/>
      <c r="L981" s="463"/>
      <c r="M981" s="463"/>
      <c r="N981" s="463"/>
      <c r="O981" s="463"/>
      <c r="P981" s="463"/>
      <c r="Q981" s="463"/>
      <c r="R981" s="463"/>
      <c r="S981" s="463"/>
      <c r="T981" s="463"/>
      <c r="U981" s="463"/>
      <c r="V981" s="463"/>
      <c r="W981" s="463"/>
      <c r="X981" s="463"/>
      <c r="Y981" s="463"/>
      <c r="Z981" s="463"/>
      <c r="AA981" s="463"/>
      <c r="AB981" s="463"/>
      <c r="AC981" s="463"/>
      <c r="AD981" s="463"/>
      <c r="AE981" s="463"/>
      <c r="AF981" s="463"/>
      <c r="AG981" s="463"/>
      <c r="AH981" s="463"/>
      <c r="AI981" s="463"/>
      <c r="AJ981" s="463"/>
      <c r="AK981" s="463"/>
      <c r="AL981" s="463"/>
      <c r="AM981" s="463"/>
      <c r="AN981" s="463"/>
      <c r="AO981" s="463"/>
      <c r="AP981" s="463"/>
      <c r="AQ981" s="463"/>
      <c r="AR981" s="463"/>
      <c r="AS981" s="463"/>
      <c r="AT981" s="463"/>
      <c r="AU981" s="463"/>
      <c r="AV981" s="463"/>
      <c r="AW981" s="463"/>
      <c r="AX981" s="463"/>
      <c r="AY981" s="463"/>
      <c r="AZ981" s="463"/>
      <c r="BA981" s="463"/>
      <c r="BB981" s="463"/>
      <c r="BC981" s="463"/>
      <c r="BD981" s="463"/>
      <c r="BE981" s="463"/>
      <c r="BF981" s="463"/>
      <c r="BG981" s="463"/>
      <c r="BH981" s="485">
        <f>+BH982-BH980</f>
        <v>0</v>
      </c>
      <c r="BI981" s="485">
        <f>+BI982-BI980</f>
        <v>0</v>
      </c>
      <c r="BJ981" s="485">
        <f>+BI981+BH981</f>
        <v>0</v>
      </c>
      <c r="BK981" s="466"/>
      <c r="BL981" s="485">
        <f>+BL982-BL980</f>
        <v>0</v>
      </c>
      <c r="BM981" s="485">
        <f>+BM982-BM980</f>
        <v>0</v>
      </c>
      <c r="BN981" s="485">
        <f>+BM981+BL981</f>
        <v>0</v>
      </c>
      <c r="BO981" s="466"/>
      <c r="BP981" s="485">
        <f>+BP982-BP980</f>
        <v>0</v>
      </c>
      <c r="BQ981" s="485">
        <f>+BQ982-BQ980</f>
        <v>0</v>
      </c>
      <c r="BR981" s="485">
        <f>+BQ981+BP981</f>
        <v>0</v>
      </c>
      <c r="BS981" s="463"/>
      <c r="BT981" s="485">
        <f>+BT982-BT980</f>
        <v>0</v>
      </c>
      <c r="BU981" s="485">
        <f>+BU982-BU980</f>
        <v>-939</v>
      </c>
      <c r="BV981" s="485">
        <f>+BU981+BT981</f>
        <v>-939</v>
      </c>
      <c r="BW981" s="463"/>
      <c r="BX981" s="485">
        <f>+BX982-BX980</f>
        <v>0</v>
      </c>
      <c r="BY981" s="485">
        <f>+BY982-BY980</f>
        <v>0</v>
      </c>
      <c r="BZ981" s="485">
        <f>+BY981+BX981</f>
        <v>0</v>
      </c>
      <c r="CA981" s="463"/>
      <c r="CB981" s="485">
        <f>+CB982-CB980</f>
        <v>0</v>
      </c>
      <c r="CC981" s="485">
        <f>+CC982-CC980</f>
        <v>0</v>
      </c>
      <c r="CD981" s="485">
        <f>+CC981+CB981</f>
        <v>0</v>
      </c>
      <c r="CE981" s="463"/>
      <c r="CF981" s="485">
        <f>+CF982-CF980</f>
        <v>0</v>
      </c>
      <c r="CG981" s="485">
        <f>+CG982-CG980</f>
        <v>0</v>
      </c>
      <c r="CH981" s="485">
        <f>+CG981+CF981</f>
        <v>0</v>
      </c>
      <c r="CI981" s="463"/>
      <c r="CJ981" s="485">
        <f>+CJ982-CJ980</f>
        <v>0</v>
      </c>
      <c r="CK981" s="485">
        <f>+CK982-CK980</f>
        <v>0</v>
      </c>
      <c r="CL981" s="485">
        <f>+CK981+CJ981</f>
        <v>0</v>
      </c>
      <c r="CM981" s="463"/>
      <c r="CN981" s="485">
        <f>+CN982-CN980</f>
        <v>0</v>
      </c>
      <c r="CO981" s="485">
        <f>+CO982-CO980</f>
        <v>0</v>
      </c>
      <c r="CP981" s="485">
        <f>+CO981+CN981</f>
        <v>0</v>
      </c>
      <c r="CQ981" s="463"/>
      <c r="CR981" s="485">
        <f>+CR982-CR980</f>
        <v>0</v>
      </c>
      <c r="CS981" s="485">
        <f>+CS982-CS980</f>
        <v>0</v>
      </c>
      <c r="CT981" s="485">
        <f>+CS981+CR981</f>
        <v>0</v>
      </c>
      <c r="CU981" s="463"/>
      <c r="CV981" s="485">
        <f>+CV982-CV980</f>
        <v>0</v>
      </c>
      <c r="CW981" s="485">
        <f>+CW982-CW980</f>
        <v>0</v>
      </c>
      <c r="CX981" s="485">
        <f>+CW981+CV981</f>
        <v>0</v>
      </c>
      <c r="CY981" s="463"/>
      <c r="CZ981" s="485">
        <f>+CZ982-CZ980</f>
        <v>0</v>
      </c>
      <c r="DA981" s="485">
        <f>+DA982-DA980</f>
        <v>0</v>
      </c>
      <c r="DB981" s="485">
        <f>+DA981+CZ981</f>
        <v>0</v>
      </c>
      <c r="DC981" s="463"/>
      <c r="DD981" s="485">
        <f>+DD982-DD980</f>
        <v>0</v>
      </c>
      <c r="DE981" s="485">
        <f>+DE982-DE980</f>
        <v>0</v>
      </c>
      <c r="DF981" s="485">
        <f>+DE981+DD981</f>
        <v>0</v>
      </c>
      <c r="DG981" s="463"/>
      <c r="DH981" s="485">
        <f>+DH982-DH980</f>
        <v>0</v>
      </c>
      <c r="DI981" s="514">
        <v>0</v>
      </c>
      <c r="DJ981" s="485">
        <f>+DI981+DH981</f>
        <v>0</v>
      </c>
      <c r="DK981" s="463"/>
      <c r="DL981" s="514">
        <v>0</v>
      </c>
      <c r="DM981" s="514">
        <v>0</v>
      </c>
      <c r="DN981" s="485">
        <f>+DM981+DL981</f>
        <v>0</v>
      </c>
      <c r="DO981" s="463"/>
      <c r="DP981" s="514">
        <v>0</v>
      </c>
      <c r="DQ981" s="514">
        <v>0</v>
      </c>
      <c r="DR981" s="485">
        <f>+DQ981+DP981</f>
        <v>0</v>
      </c>
      <c r="DS981" s="463"/>
      <c r="DT981" s="1"/>
      <c r="DU981" s="1"/>
      <c r="DV981" s="1"/>
      <c r="DW981" s="1"/>
      <c r="DX981" s="1"/>
      <c r="DY981" s="1"/>
      <c r="DZ981" s="1"/>
      <c r="EA981" s="1"/>
      <c r="EB981" s="1"/>
      <c r="EC981" s="1"/>
      <c r="ED981" s="1"/>
      <c r="EE981" s="1"/>
      <c r="EF981" s="1"/>
      <c r="EG981" s="1"/>
      <c r="EH981" s="1"/>
      <c r="EI981" s="1"/>
      <c r="EJ981" s="1"/>
      <c r="EK981" s="1"/>
      <c r="EL981" s="1"/>
      <c r="EM981" s="1"/>
      <c r="EN981" s="1"/>
      <c r="EO981" s="1"/>
      <c r="EP981" s="1"/>
      <c r="EQ981" s="1"/>
      <c r="ER981" s="1"/>
      <c r="ES981" s="1"/>
      <c r="ET981" s="1"/>
      <c r="EU981" s="1"/>
      <c r="EV981" s="1"/>
      <c r="EW981" s="1"/>
      <c r="EX981" s="1"/>
      <c r="EY981" s="1"/>
      <c r="EZ981" s="1"/>
      <c r="FA981" s="1"/>
      <c r="FB981" s="1"/>
      <c r="FC981" s="1"/>
      <c r="FD981" s="1"/>
      <c r="FE981" s="1"/>
      <c r="FF981" s="1"/>
      <c r="FG981" s="1"/>
      <c r="FH981" s="1"/>
      <c r="FI981" s="1"/>
      <c r="FJ981" s="1"/>
      <c r="FK981" s="1"/>
      <c r="FL981" s="1"/>
      <c r="FM981" s="1"/>
      <c r="FN981" s="1"/>
      <c r="FO981" s="1"/>
      <c r="FP981" s="1"/>
      <c r="FQ981" s="1"/>
      <c r="FR981" s="1"/>
      <c r="FS981" s="1"/>
      <c r="FT981" s="1"/>
      <c r="FU981" s="1"/>
      <c r="FV981" s="1"/>
      <c r="FW981" s="1"/>
      <c r="FX981" s="1"/>
      <c r="FY981" s="1"/>
      <c r="FZ981" s="1"/>
      <c r="GA981" s="1"/>
      <c r="GB981" s="1"/>
      <c r="GC981" s="1"/>
      <c r="GD981" s="1"/>
      <c r="GE981" s="1"/>
      <c r="GF981" s="1"/>
      <c r="GG981" s="1"/>
      <c r="GH981" s="1"/>
      <c r="GI981" s="1"/>
      <c r="GJ981" s="1"/>
      <c r="GK981" s="1"/>
      <c r="GL981" s="1"/>
      <c r="GM981" s="1"/>
      <c r="GN981" s="1"/>
      <c r="GO981" s="1"/>
      <c r="GP981" s="1"/>
      <c r="GQ981" s="1"/>
      <c r="GR981" s="1"/>
      <c r="GS981" s="1"/>
      <c r="GT981" s="1"/>
      <c r="GU981" s="1"/>
      <c r="GV981" s="1"/>
      <c r="GW981" s="1"/>
      <c r="GX981" s="1"/>
      <c r="GY981" s="1"/>
      <c r="GZ981" s="1"/>
      <c r="HA981" s="1"/>
      <c r="HB981" s="1"/>
      <c r="HC981" s="1"/>
      <c r="HD981" s="1"/>
      <c r="HE981" s="1"/>
      <c r="HF981" s="1"/>
      <c r="HG981" s="1"/>
      <c r="HH981" s="1"/>
      <c r="HI981" s="1"/>
      <c r="HJ981" s="1"/>
      <c r="HK981" s="1"/>
      <c r="HL981" s="1"/>
      <c r="HM981" s="1"/>
      <c r="HN981" s="1"/>
      <c r="HO981" s="1"/>
      <c r="HP981" s="1"/>
      <c r="HQ981" s="1"/>
      <c r="HR981" s="1"/>
      <c r="HS981" s="1"/>
      <c r="HT981" s="1"/>
      <c r="HU981" s="1"/>
      <c r="HV981" s="1"/>
      <c r="HW981" s="1"/>
      <c r="HX981" s="1"/>
      <c r="HY981" s="1"/>
      <c r="HZ981" s="1"/>
      <c r="IA981" s="1"/>
      <c r="IB981" s="1"/>
      <c r="IC981" s="1"/>
      <c r="ID981" s="1"/>
      <c r="IE981" s="1"/>
      <c r="IF981" s="1"/>
      <c r="IG981" s="1"/>
      <c r="IH981" s="1"/>
      <c r="II981" s="1"/>
      <c r="IJ981" s="1"/>
      <c r="IK981" s="1"/>
      <c r="IL981" s="1"/>
      <c r="IM981" s="1"/>
      <c r="IN981" s="1"/>
      <c r="IO981" s="1"/>
      <c r="IP981" s="1"/>
      <c r="IQ981" s="1"/>
      <c r="IR981" s="1"/>
      <c r="IS981" s="1"/>
      <c r="IT981" s="1"/>
      <c r="IU981" s="1"/>
      <c r="IV981" s="1"/>
      <c r="IW981" s="1"/>
      <c r="IX981" s="1"/>
      <c r="IY981" s="1"/>
      <c r="IZ981" s="1"/>
      <c r="JA981" s="1"/>
      <c r="JB981" s="1"/>
      <c r="JC981" s="1"/>
      <c r="JD981" s="1"/>
    </row>
    <row r="982" spans="1:264" s="347" customFormat="1" x14ac:dyDescent="0.2">
      <c r="A982" s="411" t="s">
        <v>319</v>
      </c>
      <c r="B982" s="423"/>
      <c r="C982" s="411"/>
      <c r="D982" s="411"/>
      <c r="E982" s="411"/>
      <c r="F982" s="411"/>
      <c r="G982" s="411"/>
      <c r="H982" s="411"/>
      <c r="I982" s="411"/>
      <c r="J982" s="411"/>
      <c r="K982" s="411"/>
      <c r="L982" s="411"/>
      <c r="M982" s="411"/>
      <c r="N982" s="411"/>
      <c r="O982" s="411"/>
      <c r="P982" s="411"/>
      <c r="Q982" s="411"/>
      <c r="R982" s="411"/>
      <c r="S982" s="411"/>
      <c r="T982" s="411"/>
      <c r="U982" s="411"/>
      <c r="V982" s="411"/>
      <c r="W982" s="411"/>
      <c r="X982" s="411"/>
      <c r="Y982" s="411"/>
      <c r="Z982" s="411"/>
      <c r="AA982" s="411"/>
      <c r="AB982" s="411"/>
      <c r="AC982" s="411"/>
      <c r="AD982" s="411"/>
      <c r="AE982" s="411"/>
      <c r="AF982" s="411"/>
      <c r="AG982" s="411"/>
      <c r="AH982" s="411"/>
      <c r="AI982" s="411"/>
      <c r="AJ982" s="411"/>
      <c r="AK982" s="411"/>
      <c r="AL982" s="411"/>
      <c r="AM982" s="411"/>
      <c r="AN982" s="411"/>
      <c r="AO982" s="411"/>
      <c r="AP982" s="411"/>
      <c r="AQ982" s="411"/>
      <c r="AR982" s="411"/>
      <c r="AS982" s="411"/>
      <c r="AT982" s="411"/>
      <c r="AU982" s="411"/>
      <c r="AV982" s="411"/>
      <c r="AW982" s="411"/>
      <c r="AX982" s="411"/>
      <c r="AY982" s="411"/>
      <c r="AZ982" s="411"/>
      <c r="BA982" s="411"/>
      <c r="BB982" s="411"/>
      <c r="BC982" s="411"/>
      <c r="BD982" s="411"/>
      <c r="BE982" s="411"/>
      <c r="BF982" s="411"/>
      <c r="BG982" s="411"/>
      <c r="BH982" s="397">
        <f>BH945</f>
        <v>939</v>
      </c>
      <c r="BI982" s="397">
        <f>BI945</f>
        <v>939</v>
      </c>
      <c r="BJ982" s="397">
        <f>BJ945</f>
        <v>939</v>
      </c>
      <c r="BK982" s="423"/>
      <c r="BL982" s="397">
        <f>BL945</f>
        <v>939</v>
      </c>
      <c r="BM982" s="397">
        <f>BM945</f>
        <v>939</v>
      </c>
      <c r="BN982" s="397">
        <f>BN945</f>
        <v>939</v>
      </c>
      <c r="BO982" s="348"/>
      <c r="BP982" s="397">
        <f>BP945</f>
        <v>939</v>
      </c>
      <c r="BQ982" s="397">
        <f>BQ945</f>
        <v>939</v>
      </c>
      <c r="BR982" s="397">
        <f>BR945</f>
        <v>939</v>
      </c>
      <c r="BT982" s="397">
        <f>BT945</f>
        <v>939</v>
      </c>
      <c r="BU982" s="397">
        <f>BU945</f>
        <v>0</v>
      </c>
      <c r="BV982" s="397">
        <f>BV945</f>
        <v>0</v>
      </c>
      <c r="BX982" s="397">
        <f>BX945</f>
        <v>0</v>
      </c>
      <c r="BY982" s="397">
        <f>BY945</f>
        <v>0</v>
      </c>
      <c r="BZ982" s="397">
        <f>BZ945</f>
        <v>0</v>
      </c>
      <c r="CB982" s="397">
        <f>CB945</f>
        <v>0</v>
      </c>
      <c r="CC982" s="397">
        <f>CC945</f>
        <v>0</v>
      </c>
      <c r="CD982" s="397">
        <f>CD945</f>
        <v>0</v>
      </c>
      <c r="CF982" s="397">
        <f>CF945</f>
        <v>0</v>
      </c>
      <c r="CG982" s="397">
        <f>CG945</f>
        <v>0</v>
      </c>
      <c r="CH982" s="397">
        <f>CH945</f>
        <v>0</v>
      </c>
      <c r="CJ982" s="397">
        <f>CJ945</f>
        <v>0</v>
      </c>
      <c r="CK982" s="397">
        <f>CK945</f>
        <v>0</v>
      </c>
      <c r="CL982" s="397">
        <f>CL945</f>
        <v>0</v>
      </c>
      <c r="CN982" s="397">
        <f>CN945</f>
        <v>0</v>
      </c>
      <c r="CO982" s="397">
        <f>CO945</f>
        <v>0</v>
      </c>
      <c r="CP982" s="397">
        <f>CP945</f>
        <v>0</v>
      </c>
      <c r="CR982" s="397">
        <f>CR945</f>
        <v>0</v>
      </c>
      <c r="CS982" s="397">
        <f>CS945</f>
        <v>0</v>
      </c>
      <c r="CT982" s="397">
        <f>CT945</f>
        <v>0</v>
      </c>
      <c r="CV982" s="397">
        <f>CV945</f>
        <v>0</v>
      </c>
      <c r="CW982" s="397">
        <f>CW945</f>
        <v>0</v>
      </c>
      <c r="CX982" s="397">
        <f>CX945</f>
        <v>0</v>
      </c>
      <c r="CZ982" s="397">
        <f>CZ945</f>
        <v>0</v>
      </c>
      <c r="DA982" s="397">
        <f>DA945</f>
        <v>0</v>
      </c>
      <c r="DB982" s="397">
        <f>DB945</f>
        <v>0</v>
      </c>
      <c r="DD982" s="397">
        <f>DD945</f>
        <v>0</v>
      </c>
      <c r="DE982" s="397">
        <f>DE945</f>
        <v>0</v>
      </c>
      <c r="DF982" s="397">
        <f>DF945</f>
        <v>0</v>
      </c>
      <c r="DH982" s="397">
        <f>DH945</f>
        <v>0</v>
      </c>
      <c r="DI982" s="397">
        <f>SUM(DI980:DI981)</f>
        <v>0</v>
      </c>
      <c r="DJ982" s="397">
        <f>DJ945</f>
        <v>0</v>
      </c>
      <c r="DL982" s="397">
        <f>SUM(DL980:DL981)</f>
        <v>0</v>
      </c>
      <c r="DM982" s="397">
        <f>SUM(DM980:DM981)</f>
        <v>0</v>
      </c>
      <c r="DN982" s="397">
        <f>DN945</f>
        <v>0</v>
      </c>
      <c r="DP982" s="397">
        <f>SUM(DP980:DP981)</f>
        <v>0</v>
      </c>
      <c r="DQ982" s="397">
        <f>SUM(DQ980:DQ981)</f>
        <v>0</v>
      </c>
      <c r="DR982" s="397">
        <f>DR945</f>
        <v>0</v>
      </c>
      <c r="DT982" s="1"/>
      <c r="DU982" s="1"/>
      <c r="DV982" s="1"/>
      <c r="DW982" s="1"/>
      <c r="DX982" s="1"/>
      <c r="DY982" s="1"/>
      <c r="DZ982" s="1"/>
      <c r="EA982" s="1"/>
      <c r="EB982" s="1"/>
      <c r="EC982" s="1"/>
      <c r="ED982" s="1"/>
      <c r="EE982" s="1"/>
      <c r="EF982" s="1"/>
      <c r="EG982" s="1"/>
      <c r="EH982" s="1"/>
      <c r="EI982" s="1"/>
      <c r="EJ982" s="1"/>
      <c r="EK982" s="1"/>
      <c r="EL982" s="1"/>
      <c r="EM982" s="1"/>
      <c r="EN982" s="1"/>
      <c r="EO982" s="1"/>
      <c r="EP982" s="1"/>
      <c r="EQ982" s="1"/>
      <c r="ER982" s="1"/>
      <c r="ES982" s="1"/>
      <c r="ET982" s="1"/>
      <c r="EU982" s="1"/>
      <c r="EV982" s="1"/>
      <c r="EW982" s="1"/>
      <c r="EX982" s="1"/>
      <c r="EY982" s="1"/>
      <c r="EZ982" s="1"/>
      <c r="FA982" s="1"/>
      <c r="FB982" s="1"/>
      <c r="FC982" s="1"/>
      <c r="FD982" s="1"/>
      <c r="FE982" s="1"/>
      <c r="FF982" s="1"/>
      <c r="FG982" s="1"/>
      <c r="FH982" s="1"/>
      <c r="FI982" s="1"/>
      <c r="FJ982" s="1"/>
      <c r="FK982" s="1"/>
      <c r="FL982" s="1"/>
      <c r="FM982" s="1"/>
      <c r="FN982" s="1"/>
      <c r="FO982" s="1"/>
      <c r="FP982" s="1"/>
      <c r="FQ982" s="1"/>
      <c r="FR982" s="1"/>
      <c r="FS982" s="1"/>
      <c r="FT982" s="1"/>
      <c r="FU982" s="1"/>
      <c r="FV982" s="1"/>
      <c r="FW982" s="1"/>
      <c r="FX982" s="1"/>
      <c r="FY982" s="1"/>
      <c r="FZ982" s="1"/>
      <c r="GA982" s="1"/>
      <c r="GB982" s="1"/>
      <c r="GC982" s="1"/>
      <c r="GD982" s="1"/>
      <c r="GE982" s="1"/>
      <c r="GF982" s="1"/>
      <c r="GG982" s="1"/>
      <c r="GH982" s="1"/>
      <c r="GI982" s="1"/>
      <c r="GJ982" s="1"/>
      <c r="GK982" s="1"/>
      <c r="GL982" s="1"/>
      <c r="GM982" s="1"/>
      <c r="GN982" s="1"/>
      <c r="GO982" s="1"/>
      <c r="GP982" s="1"/>
      <c r="GQ982" s="1"/>
      <c r="GR982" s="1"/>
      <c r="GS982" s="1"/>
      <c r="GT982" s="1"/>
      <c r="GU982" s="1"/>
      <c r="GV982" s="1"/>
      <c r="GW982" s="1"/>
      <c r="GX982" s="1"/>
      <c r="GY982" s="1"/>
      <c r="GZ982" s="1"/>
      <c r="HA982" s="1"/>
      <c r="HB982" s="1"/>
      <c r="HC982" s="1"/>
      <c r="HD982" s="1"/>
      <c r="HE982" s="1"/>
      <c r="HF982" s="1"/>
      <c r="HG982" s="1"/>
      <c r="HH982" s="1"/>
      <c r="HI982" s="1"/>
      <c r="HJ982" s="1"/>
      <c r="HK982" s="1"/>
      <c r="HL982" s="1"/>
      <c r="HM982" s="1"/>
      <c r="HN982" s="1"/>
      <c r="HO982" s="1"/>
      <c r="HP982" s="1"/>
      <c r="HQ982" s="1"/>
      <c r="HR982" s="1"/>
      <c r="HS982" s="1"/>
      <c r="HT982" s="1"/>
      <c r="HU982" s="1"/>
      <c r="HV982" s="1"/>
      <c r="HW982" s="1"/>
      <c r="HX982" s="1"/>
      <c r="HY982" s="1"/>
      <c r="HZ982" s="1"/>
      <c r="IA982" s="1"/>
      <c r="IB982" s="1"/>
      <c r="IC982" s="1"/>
      <c r="ID982" s="1"/>
      <c r="IE982" s="1"/>
      <c r="IF982" s="1"/>
      <c r="IG982" s="1"/>
      <c r="IH982" s="1"/>
      <c r="II982" s="1"/>
      <c r="IJ982" s="1"/>
      <c r="IK982" s="1"/>
      <c r="IL982" s="1"/>
      <c r="IM982" s="1"/>
      <c r="IN982" s="1"/>
      <c r="IO982" s="1"/>
      <c r="IP982" s="1"/>
      <c r="IQ982" s="1"/>
      <c r="IR982" s="1"/>
      <c r="IS982" s="1"/>
      <c r="IT982" s="1"/>
      <c r="IU982" s="1"/>
      <c r="IV982" s="1"/>
      <c r="IW982" s="1"/>
      <c r="IX982" s="1"/>
      <c r="IY982" s="1"/>
      <c r="IZ982" s="1"/>
      <c r="JA982" s="1"/>
      <c r="JB982" s="1"/>
      <c r="JC982" s="1"/>
      <c r="JD982" s="1"/>
    </row>
    <row r="983" spans="1:264" s="347" customFormat="1" x14ac:dyDescent="0.2">
      <c r="B983" s="348"/>
      <c r="BH983" s="348"/>
      <c r="BI983" s="348"/>
      <c r="BJ983" s="348"/>
      <c r="BK983" s="348"/>
      <c r="BL983" s="348"/>
      <c r="BM983" s="348"/>
      <c r="BN983" s="348"/>
      <c r="BO983" s="348"/>
      <c r="BP983" s="348"/>
      <c r="BQ983" s="348"/>
      <c r="BR983" s="348"/>
      <c r="BT983" s="348"/>
      <c r="BU983" s="348"/>
      <c r="BV983" s="348"/>
      <c r="BX983" s="348"/>
      <c r="BY983" s="348"/>
      <c r="BZ983" s="348"/>
      <c r="CB983" s="348"/>
      <c r="CC983" s="348"/>
      <c r="CD983" s="348"/>
      <c r="CF983" s="348"/>
      <c r="CG983" s="348"/>
      <c r="CH983" s="348"/>
      <c r="CJ983" s="348"/>
      <c r="CK983" s="348"/>
      <c r="CL983" s="348"/>
      <c r="CN983" s="348"/>
      <c r="CO983" s="348"/>
      <c r="CP983" s="348"/>
      <c r="CR983" s="348"/>
      <c r="CS983" s="348"/>
      <c r="CT983" s="348"/>
      <c r="CV983" s="348"/>
      <c r="CW983" s="348"/>
      <c r="CX983" s="348"/>
      <c r="CZ983" s="348"/>
      <c r="DA983" s="348"/>
      <c r="DB983" s="348"/>
      <c r="DD983" s="348"/>
      <c r="DE983" s="348"/>
      <c r="DF983" s="348"/>
      <c r="DH983" s="348"/>
      <c r="DI983" s="348"/>
      <c r="DJ983" s="348"/>
      <c r="DL983" s="348"/>
      <c r="DM983" s="348"/>
      <c r="DN983" s="348"/>
      <c r="DP983" s="348"/>
      <c r="DQ983" s="348"/>
      <c r="DR983" s="348"/>
      <c r="DT983" s="1"/>
      <c r="DU983" s="1"/>
      <c r="DV983" s="1"/>
      <c r="DW983" s="1"/>
      <c r="DX983" s="1"/>
      <c r="DY983" s="1"/>
      <c r="DZ983" s="1"/>
      <c r="EA983" s="1"/>
      <c r="EB983" s="1"/>
      <c r="EC983" s="1"/>
      <c r="ED983" s="1"/>
      <c r="EE983" s="1"/>
      <c r="EF983" s="1"/>
      <c r="EG983" s="1"/>
      <c r="EH983" s="1"/>
      <c r="EI983" s="1"/>
      <c r="EJ983" s="1"/>
      <c r="EK983" s="1"/>
      <c r="EL983" s="1"/>
      <c r="EM983" s="1"/>
      <c r="EN983" s="1"/>
      <c r="EO983" s="1"/>
      <c r="EP983" s="1"/>
      <c r="EQ983" s="1"/>
      <c r="ER983" s="1"/>
      <c r="ES983" s="1"/>
      <c r="ET983" s="1"/>
      <c r="EU983" s="1"/>
      <c r="EV983" s="1"/>
      <c r="EW983" s="1"/>
      <c r="EX983" s="1"/>
      <c r="EY983" s="1"/>
      <c r="EZ983" s="1"/>
      <c r="FA983" s="1"/>
      <c r="FB983" s="1"/>
      <c r="FC983" s="1"/>
      <c r="FD983" s="1"/>
      <c r="FE983" s="1"/>
      <c r="FF983" s="1"/>
      <c r="FG983" s="1"/>
      <c r="FH983" s="1"/>
      <c r="FI983" s="1"/>
      <c r="FJ983" s="1"/>
      <c r="FK983" s="1"/>
      <c r="FL983" s="1"/>
      <c r="FM983" s="1"/>
      <c r="FN983" s="1"/>
      <c r="FO983" s="1"/>
      <c r="FP983" s="1"/>
      <c r="FQ983" s="1"/>
      <c r="FR983" s="1"/>
      <c r="FS983" s="1"/>
      <c r="FT983" s="1"/>
      <c r="FU983" s="1"/>
      <c r="FV983" s="1"/>
      <c r="FW983" s="1"/>
      <c r="FX983" s="1"/>
      <c r="FY983" s="1"/>
      <c r="FZ983" s="1"/>
      <c r="GA983" s="1"/>
      <c r="GB983" s="1"/>
      <c r="GC983" s="1"/>
      <c r="GD983" s="1"/>
      <c r="GE983" s="1"/>
      <c r="GF983" s="1"/>
      <c r="GG983" s="1"/>
      <c r="GH983" s="1"/>
      <c r="GI983" s="1"/>
      <c r="GJ983" s="1"/>
      <c r="GK983" s="1"/>
      <c r="GL983" s="1"/>
      <c r="GM983" s="1"/>
      <c r="GN983" s="1"/>
      <c r="GO983" s="1"/>
      <c r="GP983" s="1"/>
      <c r="GQ983" s="1"/>
      <c r="GR983" s="1"/>
      <c r="GS983" s="1"/>
      <c r="GT983" s="1"/>
      <c r="GU983" s="1"/>
      <c r="GV983" s="1"/>
      <c r="GW983" s="1"/>
      <c r="GX983" s="1"/>
      <c r="GY983" s="1"/>
      <c r="GZ983" s="1"/>
      <c r="HA983" s="1"/>
      <c r="HB983" s="1"/>
      <c r="HC983" s="1"/>
      <c r="HD983" s="1"/>
      <c r="HE983" s="1"/>
      <c r="HF983" s="1"/>
      <c r="HG983" s="1"/>
      <c r="HH983" s="1"/>
      <c r="HI983" s="1"/>
      <c r="HJ983" s="1"/>
      <c r="HK983" s="1"/>
      <c r="HL983" s="1"/>
      <c r="HM983" s="1"/>
      <c r="HN983" s="1"/>
      <c r="HO983" s="1"/>
      <c r="HP983" s="1"/>
      <c r="HQ983" s="1"/>
      <c r="HR983" s="1"/>
      <c r="HS983" s="1"/>
      <c r="HT983" s="1"/>
      <c r="HU983" s="1"/>
      <c r="HV983" s="1"/>
      <c r="HW983" s="1"/>
      <c r="HX983" s="1"/>
      <c r="HY983" s="1"/>
      <c r="HZ983" s="1"/>
      <c r="IA983" s="1"/>
      <c r="IB983" s="1"/>
      <c r="IC983" s="1"/>
      <c r="ID983" s="1"/>
      <c r="IE983" s="1"/>
      <c r="IF983" s="1"/>
      <c r="IG983" s="1"/>
      <c r="IH983" s="1"/>
      <c r="II983" s="1"/>
      <c r="IJ983" s="1"/>
      <c r="IK983" s="1"/>
      <c r="IL983" s="1"/>
      <c r="IM983" s="1"/>
      <c r="IN983" s="1"/>
      <c r="IO983" s="1"/>
      <c r="IP983" s="1"/>
      <c r="IQ983" s="1"/>
      <c r="IR983" s="1"/>
      <c r="IS983" s="1"/>
      <c r="IT983" s="1"/>
      <c r="IU983" s="1"/>
      <c r="IV983" s="1"/>
      <c r="IW983" s="1"/>
      <c r="IX983" s="1"/>
      <c r="IY983" s="1"/>
      <c r="IZ983" s="1"/>
      <c r="JA983" s="1"/>
      <c r="JB983" s="1"/>
      <c r="JC983" s="1"/>
      <c r="JD983" s="1"/>
    </row>
    <row r="984" spans="1:264" s="347" customFormat="1" x14ac:dyDescent="0.2">
      <c r="A984" s="411" t="s">
        <v>681</v>
      </c>
      <c r="B984" s="348"/>
      <c r="BH984" s="348"/>
      <c r="BI984" s="348"/>
      <c r="BJ984" s="348"/>
      <c r="BK984" s="348"/>
      <c r="BL984" s="348"/>
      <c r="BM984" s="348"/>
      <c r="BN984" s="348"/>
      <c r="BO984" s="348"/>
      <c r="BP984" s="348"/>
      <c r="BQ984" s="348"/>
      <c r="BR984" s="348"/>
      <c r="BT984" s="348"/>
      <c r="BU984" s="348"/>
      <c r="BV984" s="348"/>
      <c r="BX984" s="348"/>
      <c r="BY984" s="348"/>
      <c r="BZ984" s="348"/>
      <c r="CB984" s="348"/>
      <c r="CC984" s="348"/>
      <c r="CD984" s="348"/>
      <c r="CF984" s="348"/>
      <c r="CG984" s="348"/>
      <c r="CH984" s="348"/>
      <c r="CJ984" s="348"/>
      <c r="CK984" s="348"/>
      <c r="CL984" s="348"/>
      <c r="CN984" s="348"/>
      <c r="CO984" s="348"/>
      <c r="CP984" s="348"/>
      <c r="CR984" s="348"/>
      <c r="CS984" s="348"/>
      <c r="CT984" s="348"/>
      <c r="CV984" s="348"/>
      <c r="CW984" s="348"/>
      <c r="CX984" s="348"/>
      <c r="CZ984" s="348"/>
      <c r="DA984" s="348"/>
      <c r="DB984" s="348"/>
      <c r="DD984" s="348"/>
      <c r="DE984" s="348"/>
      <c r="DF984" s="348"/>
      <c r="DH984" s="348"/>
      <c r="DI984" s="348"/>
      <c r="DJ984" s="348"/>
      <c r="DL984" s="348"/>
      <c r="DM984" s="348"/>
      <c r="DN984" s="348"/>
      <c r="DP984" s="348"/>
      <c r="DQ984" s="348"/>
      <c r="DR984" s="348"/>
      <c r="DT984" s="1"/>
      <c r="DU984" s="1"/>
      <c r="DV984" s="1"/>
      <c r="DW984" s="1"/>
      <c r="DX984" s="1"/>
      <c r="DY984" s="1"/>
      <c r="DZ984" s="1"/>
      <c r="EA984" s="1"/>
      <c r="EB984" s="1"/>
      <c r="EC984" s="1"/>
      <c r="ED984" s="1"/>
      <c r="EE984" s="1"/>
      <c r="EF984" s="1"/>
      <c r="EG984" s="1"/>
      <c r="EH984" s="1"/>
      <c r="EI984" s="1"/>
      <c r="EJ984" s="1"/>
      <c r="EK984" s="1"/>
      <c r="EL984" s="1"/>
      <c r="EM984" s="1"/>
      <c r="EN984" s="1"/>
      <c r="EO984" s="1"/>
      <c r="EP984" s="1"/>
      <c r="EQ984" s="1"/>
      <c r="ER984" s="1"/>
      <c r="ES984" s="1"/>
      <c r="ET984" s="1"/>
      <c r="EU984" s="1"/>
      <c r="EV984" s="1"/>
      <c r="EW984" s="1"/>
      <c r="EX984" s="1"/>
      <c r="EY984" s="1"/>
      <c r="EZ984" s="1"/>
      <c r="FA984" s="1"/>
      <c r="FB984" s="1"/>
      <c r="FC984" s="1"/>
      <c r="FD984" s="1"/>
      <c r="FE984" s="1"/>
      <c r="FF984" s="1"/>
      <c r="FG984" s="1"/>
      <c r="FH984" s="1"/>
      <c r="FI984" s="1"/>
      <c r="FJ984" s="1"/>
      <c r="FK984" s="1"/>
      <c r="FL984" s="1"/>
      <c r="FM984" s="1"/>
      <c r="FN984" s="1"/>
      <c r="FO984" s="1"/>
      <c r="FP984" s="1"/>
      <c r="FQ984" s="1"/>
      <c r="FR984" s="1"/>
      <c r="FS984" s="1"/>
      <c r="FT984" s="1"/>
      <c r="FU984" s="1"/>
      <c r="FV984" s="1"/>
      <c r="FW984" s="1"/>
      <c r="FX984" s="1"/>
      <c r="FY984" s="1"/>
      <c r="FZ984" s="1"/>
      <c r="GA984" s="1"/>
      <c r="GB984" s="1"/>
      <c r="GC984" s="1"/>
      <c r="GD984" s="1"/>
      <c r="GE984" s="1"/>
      <c r="GF984" s="1"/>
      <c r="GG984" s="1"/>
      <c r="GH984" s="1"/>
      <c r="GI984" s="1"/>
      <c r="GJ984" s="1"/>
      <c r="GK984" s="1"/>
      <c r="GL984" s="1"/>
      <c r="GM984" s="1"/>
      <c r="GN984" s="1"/>
      <c r="GO984" s="1"/>
      <c r="GP984" s="1"/>
      <c r="GQ984" s="1"/>
      <c r="GR984" s="1"/>
      <c r="GS984" s="1"/>
      <c r="GT984" s="1"/>
      <c r="GU984" s="1"/>
      <c r="GV984" s="1"/>
      <c r="GW984" s="1"/>
      <c r="GX984" s="1"/>
      <c r="GY984" s="1"/>
      <c r="GZ984" s="1"/>
      <c r="HA984" s="1"/>
      <c r="HB984" s="1"/>
      <c r="HC984" s="1"/>
      <c r="HD984" s="1"/>
      <c r="HE984" s="1"/>
      <c r="HF984" s="1"/>
      <c r="HG984" s="1"/>
      <c r="HH984" s="1"/>
      <c r="HI984" s="1"/>
      <c r="HJ984" s="1"/>
      <c r="HK984" s="1"/>
      <c r="HL984" s="1"/>
      <c r="HM984" s="1"/>
      <c r="HN984" s="1"/>
      <c r="HO984" s="1"/>
      <c r="HP984" s="1"/>
      <c r="HQ984" s="1"/>
      <c r="HR984" s="1"/>
      <c r="HS984" s="1"/>
      <c r="HT984" s="1"/>
      <c r="HU984" s="1"/>
      <c r="HV984" s="1"/>
      <c r="HW984" s="1"/>
      <c r="HX984" s="1"/>
      <c r="HY984" s="1"/>
      <c r="HZ984" s="1"/>
      <c r="IA984" s="1"/>
      <c r="IB984" s="1"/>
      <c r="IC984" s="1"/>
      <c r="ID984" s="1"/>
      <c r="IE984" s="1"/>
      <c r="IF984" s="1"/>
      <c r="IG984" s="1"/>
      <c r="IH984" s="1"/>
      <c r="II984" s="1"/>
      <c r="IJ984" s="1"/>
      <c r="IK984" s="1"/>
      <c r="IL984" s="1"/>
      <c r="IM984" s="1"/>
      <c r="IN984" s="1"/>
      <c r="IO984" s="1"/>
      <c r="IP984" s="1"/>
      <c r="IQ984" s="1"/>
      <c r="IR984" s="1"/>
      <c r="IS984" s="1"/>
      <c r="IT984" s="1"/>
      <c r="IU984" s="1"/>
      <c r="IV984" s="1"/>
      <c r="IW984" s="1"/>
      <c r="IX984" s="1"/>
      <c r="IY984" s="1"/>
      <c r="IZ984" s="1"/>
      <c r="JA984" s="1"/>
      <c r="JB984" s="1"/>
      <c r="JC984" s="1"/>
      <c r="JD984" s="1"/>
    </row>
    <row r="985" spans="1:264" s="347" customFormat="1" x14ac:dyDescent="0.2">
      <c r="A985" s="347" t="s">
        <v>313</v>
      </c>
      <c r="B985" s="348"/>
      <c r="BH985" s="398">
        <v>531</v>
      </c>
      <c r="BI985" s="351">
        <f>BH987</f>
        <v>532</v>
      </c>
      <c r="BJ985" s="351">
        <f>+BH985</f>
        <v>531</v>
      </c>
      <c r="BK985" s="348"/>
      <c r="BL985" s="351">
        <f>BJ987</f>
        <v>537</v>
      </c>
      <c r="BM985" s="351">
        <f>BL987</f>
        <v>536</v>
      </c>
      <c r="BN985" s="351">
        <f>+BL985</f>
        <v>537</v>
      </c>
      <c r="BO985" s="348"/>
      <c r="BP985" s="351">
        <f>BN987</f>
        <v>537</v>
      </c>
      <c r="BQ985" s="351">
        <f>BP987</f>
        <v>556</v>
      </c>
      <c r="BR985" s="351">
        <f>+BP985</f>
        <v>537</v>
      </c>
      <c r="BT985" s="351">
        <f>BR987</f>
        <v>562</v>
      </c>
      <c r="BU985" s="351">
        <f>BT987</f>
        <v>554</v>
      </c>
      <c r="BV985" s="351">
        <f>+BT985</f>
        <v>562</v>
      </c>
      <c r="BX985" s="351">
        <f>BV987</f>
        <v>550</v>
      </c>
      <c r="BY985" s="351">
        <f>BX987</f>
        <v>551</v>
      </c>
      <c r="BZ985" s="351">
        <f>+BX985</f>
        <v>550</v>
      </c>
      <c r="CB985" s="351">
        <f>BZ987</f>
        <v>546</v>
      </c>
      <c r="CC985" s="351">
        <f>CB987</f>
        <v>554</v>
      </c>
      <c r="CD985" s="351">
        <f>+CB985</f>
        <v>546</v>
      </c>
      <c r="CF985" s="351">
        <f>CD987</f>
        <v>554</v>
      </c>
      <c r="CG985" s="351">
        <f>CF987</f>
        <v>553</v>
      </c>
      <c r="CH985" s="351">
        <f>+CF985</f>
        <v>554</v>
      </c>
      <c r="CJ985" s="351">
        <f>CH987</f>
        <v>55</v>
      </c>
      <c r="CK985" s="351">
        <f>CJ987</f>
        <v>51</v>
      </c>
      <c r="CL985" s="351">
        <f>+CJ985</f>
        <v>55</v>
      </c>
      <c r="CN985" s="351">
        <f>CL987</f>
        <v>5</v>
      </c>
      <c r="CO985" s="351">
        <f>CN987</f>
        <v>5</v>
      </c>
      <c r="CP985" s="351">
        <f>+CN985</f>
        <v>5</v>
      </c>
      <c r="CR985" s="351">
        <f>CP987</f>
        <v>5</v>
      </c>
      <c r="CS985" s="351">
        <f>CR987</f>
        <v>5</v>
      </c>
      <c r="CT985" s="351">
        <f>+CR985</f>
        <v>5</v>
      </c>
      <c r="CV985" s="351">
        <f>CT987</f>
        <v>5</v>
      </c>
      <c r="CW985" s="351">
        <f>CV987</f>
        <v>5</v>
      </c>
      <c r="CX985" s="351">
        <f>+CV985</f>
        <v>5</v>
      </c>
      <c r="CZ985" s="351">
        <f>CX987</f>
        <v>5</v>
      </c>
      <c r="DA985" s="351">
        <f>CZ987</f>
        <v>5</v>
      </c>
      <c r="DB985" s="351">
        <f>+CZ985</f>
        <v>5</v>
      </c>
      <c r="DD985" s="351">
        <f>DB987</f>
        <v>0</v>
      </c>
      <c r="DE985" s="351">
        <f>DD987</f>
        <v>0</v>
      </c>
      <c r="DF985" s="351">
        <f>+DD985</f>
        <v>0</v>
      </c>
      <c r="DH985" s="351">
        <f>DF987</f>
        <v>0</v>
      </c>
      <c r="DI985" s="351">
        <f>DH987</f>
        <v>0</v>
      </c>
      <c r="DJ985" s="351">
        <f>+DH985</f>
        <v>0</v>
      </c>
      <c r="DL985" s="351">
        <f>DJ987</f>
        <v>0</v>
      </c>
      <c r="DM985" s="351">
        <f>DL987</f>
        <v>0</v>
      </c>
      <c r="DN985" s="351">
        <f>+DL985</f>
        <v>0</v>
      </c>
      <c r="DP985" s="351">
        <f>DN987</f>
        <v>0</v>
      </c>
      <c r="DQ985" s="351">
        <f>DP987</f>
        <v>0</v>
      </c>
      <c r="DR985" s="351">
        <f>+DP985</f>
        <v>0</v>
      </c>
      <c r="DT985" s="1"/>
      <c r="DU985" s="1"/>
      <c r="DV985" s="1"/>
      <c r="DW985" s="1"/>
      <c r="DX985" s="1"/>
      <c r="DY985" s="1"/>
      <c r="DZ985" s="1"/>
      <c r="EA985" s="1"/>
      <c r="EB985" s="1"/>
      <c r="EC985" s="1"/>
      <c r="ED985" s="1"/>
      <c r="EE985" s="1"/>
      <c r="EF985" s="1"/>
      <c r="EG985" s="1"/>
      <c r="EH985" s="1"/>
      <c r="EI985" s="1"/>
      <c r="EJ985" s="1"/>
      <c r="EK985" s="1"/>
      <c r="EL985" s="1"/>
      <c r="EM985" s="1"/>
      <c r="EN985" s="1"/>
      <c r="EO985" s="1"/>
      <c r="EP985" s="1"/>
      <c r="EQ985" s="1"/>
      <c r="ER985" s="1"/>
      <c r="ES985" s="1"/>
      <c r="ET985" s="1"/>
      <c r="EU985" s="1"/>
      <c r="EV985" s="1"/>
      <c r="EW985" s="1"/>
      <c r="EX985" s="1"/>
      <c r="EY985" s="1"/>
      <c r="EZ985" s="1"/>
      <c r="FA985" s="1"/>
      <c r="FB985" s="1"/>
      <c r="FC985" s="1"/>
      <c r="FD985" s="1"/>
      <c r="FE985" s="1"/>
      <c r="FF985" s="1"/>
      <c r="FG985" s="1"/>
      <c r="FH985" s="1"/>
      <c r="FI985" s="1"/>
      <c r="FJ985" s="1"/>
      <c r="FK985" s="1"/>
      <c r="FL985" s="1"/>
      <c r="FM985" s="1"/>
      <c r="FN985" s="1"/>
      <c r="FO985" s="1"/>
      <c r="FP985" s="1"/>
      <c r="FQ985" s="1"/>
      <c r="FR985" s="1"/>
      <c r="FS985" s="1"/>
      <c r="FT985" s="1"/>
      <c r="FU985" s="1"/>
      <c r="FV985" s="1"/>
      <c r="FW985" s="1"/>
      <c r="FX985" s="1"/>
      <c r="FY985" s="1"/>
      <c r="FZ985" s="1"/>
      <c r="GA985" s="1"/>
      <c r="GB985" s="1"/>
      <c r="GC985" s="1"/>
      <c r="GD985" s="1"/>
      <c r="GE985" s="1"/>
      <c r="GF985" s="1"/>
      <c r="GG985" s="1"/>
      <c r="GH985" s="1"/>
      <c r="GI985" s="1"/>
      <c r="GJ985" s="1"/>
      <c r="GK985" s="1"/>
      <c r="GL985" s="1"/>
      <c r="GM985" s="1"/>
      <c r="GN985" s="1"/>
      <c r="GO985" s="1"/>
      <c r="GP985" s="1"/>
      <c r="GQ985" s="1"/>
      <c r="GR985" s="1"/>
      <c r="GS985" s="1"/>
      <c r="GT985" s="1"/>
      <c r="GU985" s="1"/>
      <c r="GV985" s="1"/>
      <c r="GW985" s="1"/>
      <c r="GX985" s="1"/>
      <c r="GY985" s="1"/>
      <c r="GZ985" s="1"/>
      <c r="HA985" s="1"/>
      <c r="HB985" s="1"/>
      <c r="HC985" s="1"/>
      <c r="HD985" s="1"/>
      <c r="HE985" s="1"/>
      <c r="HF985" s="1"/>
      <c r="HG985" s="1"/>
      <c r="HH985" s="1"/>
      <c r="HI985" s="1"/>
      <c r="HJ985" s="1"/>
      <c r="HK985" s="1"/>
      <c r="HL985" s="1"/>
      <c r="HM985" s="1"/>
      <c r="HN985" s="1"/>
      <c r="HO985" s="1"/>
      <c r="HP985" s="1"/>
      <c r="HQ985" s="1"/>
      <c r="HR985" s="1"/>
      <c r="HS985" s="1"/>
      <c r="HT985" s="1"/>
      <c r="HU985" s="1"/>
      <c r="HV985" s="1"/>
      <c r="HW985" s="1"/>
      <c r="HX985" s="1"/>
      <c r="HY985" s="1"/>
      <c r="HZ985" s="1"/>
      <c r="IA985" s="1"/>
      <c r="IB985" s="1"/>
      <c r="IC985" s="1"/>
      <c r="ID985" s="1"/>
      <c r="IE985" s="1"/>
      <c r="IF985" s="1"/>
      <c r="IG985" s="1"/>
      <c r="IH985" s="1"/>
      <c r="II985" s="1"/>
      <c r="IJ985" s="1"/>
      <c r="IK985" s="1"/>
      <c r="IL985" s="1"/>
      <c r="IM985" s="1"/>
      <c r="IN985" s="1"/>
      <c r="IO985" s="1"/>
      <c r="IP985" s="1"/>
      <c r="IQ985" s="1"/>
      <c r="IR985" s="1"/>
      <c r="IS985" s="1"/>
      <c r="IT985" s="1"/>
      <c r="IU985" s="1"/>
      <c r="IV985" s="1"/>
      <c r="IW985" s="1"/>
      <c r="IX985" s="1"/>
      <c r="IY985" s="1"/>
      <c r="IZ985" s="1"/>
      <c r="JA985" s="1"/>
      <c r="JB985" s="1"/>
      <c r="JC985" s="1"/>
      <c r="JD985" s="1"/>
    </row>
    <row r="986" spans="1:264" s="347" customFormat="1" x14ac:dyDescent="0.2">
      <c r="A986" s="463" t="s">
        <v>377</v>
      </c>
      <c r="B986" s="466"/>
      <c r="C986" s="463"/>
      <c r="D986" s="463"/>
      <c r="E986" s="463"/>
      <c r="F986" s="463"/>
      <c r="G986" s="463"/>
      <c r="H986" s="463"/>
      <c r="I986" s="463"/>
      <c r="J986" s="463"/>
      <c r="K986" s="463"/>
      <c r="L986" s="463"/>
      <c r="M986" s="463"/>
      <c r="N986" s="463"/>
      <c r="O986" s="463"/>
      <c r="P986" s="463"/>
      <c r="Q986" s="463"/>
      <c r="R986" s="463"/>
      <c r="S986" s="463"/>
      <c r="T986" s="463"/>
      <c r="U986" s="463"/>
      <c r="V986" s="463"/>
      <c r="W986" s="463"/>
      <c r="X986" s="463"/>
      <c r="Y986" s="463"/>
      <c r="Z986" s="463"/>
      <c r="AA986" s="463"/>
      <c r="AB986" s="463"/>
      <c r="AC986" s="463"/>
      <c r="AD986" s="463"/>
      <c r="AE986" s="463"/>
      <c r="AF986" s="463"/>
      <c r="AG986" s="463"/>
      <c r="AH986" s="463"/>
      <c r="AI986" s="463"/>
      <c r="AJ986" s="463"/>
      <c r="AK986" s="463"/>
      <c r="AL986" s="463"/>
      <c r="AM986" s="463"/>
      <c r="AN986" s="463"/>
      <c r="AO986" s="463"/>
      <c r="AP986" s="463"/>
      <c r="AQ986" s="463"/>
      <c r="AR986" s="463"/>
      <c r="AS986" s="463"/>
      <c r="AT986" s="463"/>
      <c r="AU986" s="463"/>
      <c r="AV986" s="463"/>
      <c r="AW986" s="463"/>
      <c r="AX986" s="463"/>
      <c r="AY986" s="463"/>
      <c r="AZ986" s="463"/>
      <c r="BA986" s="463"/>
      <c r="BB986" s="463"/>
      <c r="BC986" s="463"/>
      <c r="BD986" s="463"/>
      <c r="BE986" s="463"/>
      <c r="BF986" s="463"/>
      <c r="BG986" s="463"/>
      <c r="BH986" s="485">
        <f>+BH987-BH985</f>
        <v>1</v>
      </c>
      <c r="BI986" s="485">
        <f>+BI987-BI985</f>
        <v>5</v>
      </c>
      <c r="BJ986" s="485">
        <f>+BI986+BH986</f>
        <v>6</v>
      </c>
      <c r="BK986" s="466"/>
      <c r="BL986" s="485">
        <f>+BL987-BL985</f>
        <v>-1</v>
      </c>
      <c r="BM986" s="485">
        <f>+BM987-BM985</f>
        <v>1</v>
      </c>
      <c r="BN986" s="485">
        <f>+BM986+BL986</f>
        <v>0</v>
      </c>
      <c r="BO986" s="466"/>
      <c r="BP986" s="485">
        <f>+BP987-BP985</f>
        <v>19</v>
      </c>
      <c r="BQ986" s="485">
        <f>+BQ987-BQ985</f>
        <v>6</v>
      </c>
      <c r="BR986" s="485">
        <f>+BQ986+BP986</f>
        <v>25</v>
      </c>
      <c r="BS986" s="463"/>
      <c r="BT986" s="485">
        <f>+BT987-BT985</f>
        <v>-8</v>
      </c>
      <c r="BU986" s="485">
        <f>+BU987-BU985</f>
        <v>-4</v>
      </c>
      <c r="BV986" s="485">
        <f>+BU986+BT986</f>
        <v>-12</v>
      </c>
      <c r="BW986" s="463"/>
      <c r="BX986" s="485">
        <f>+BX987-BX985</f>
        <v>1</v>
      </c>
      <c r="BY986" s="485">
        <f>+BY987-BY985</f>
        <v>-5</v>
      </c>
      <c r="BZ986" s="485">
        <f>+BY986+BX986</f>
        <v>-4</v>
      </c>
      <c r="CA986" s="463"/>
      <c r="CB986" s="485">
        <f>+CB987-CB985</f>
        <v>8</v>
      </c>
      <c r="CC986" s="485">
        <f>+CC987-CC985</f>
        <v>0</v>
      </c>
      <c r="CD986" s="485">
        <f>+CC986+CB986</f>
        <v>8</v>
      </c>
      <c r="CE986" s="463"/>
      <c r="CF986" s="485">
        <f>+CF987-CF985</f>
        <v>-1</v>
      </c>
      <c r="CG986" s="485">
        <f>+CG987-CG985</f>
        <v>-498</v>
      </c>
      <c r="CH986" s="485">
        <f>+CG986+CF986</f>
        <v>-499</v>
      </c>
      <c r="CI986" s="463"/>
      <c r="CJ986" s="485">
        <f>+CJ987-CJ985</f>
        <v>-4</v>
      </c>
      <c r="CK986" s="485">
        <f>+CK987-CK985</f>
        <v>-46</v>
      </c>
      <c r="CL986" s="485">
        <f>+CK986+CJ986</f>
        <v>-50</v>
      </c>
      <c r="CM986" s="463"/>
      <c r="CN986" s="485">
        <f>+CN987-CN985</f>
        <v>0</v>
      </c>
      <c r="CO986" s="485">
        <f>+CO987-CO985</f>
        <v>0</v>
      </c>
      <c r="CP986" s="485">
        <f>+CO986+CN986</f>
        <v>0</v>
      </c>
      <c r="CQ986" s="463"/>
      <c r="CR986" s="485">
        <f>+CR987-CR985</f>
        <v>0</v>
      </c>
      <c r="CS986" s="485">
        <f>+CS987-CS985</f>
        <v>0</v>
      </c>
      <c r="CT986" s="485">
        <f>+CS986+CR986</f>
        <v>0</v>
      </c>
      <c r="CU986" s="463"/>
      <c r="CV986" s="485">
        <f>+CV987-CV985</f>
        <v>0</v>
      </c>
      <c r="CW986" s="485">
        <f>+CW987-CW985</f>
        <v>0</v>
      </c>
      <c r="CX986" s="485">
        <f>+CW986+CV986</f>
        <v>0</v>
      </c>
      <c r="CY986" s="463"/>
      <c r="CZ986" s="485">
        <f>+CZ987-CZ985</f>
        <v>0</v>
      </c>
      <c r="DA986" s="485">
        <f>+DA987-DA985</f>
        <v>-5</v>
      </c>
      <c r="DB986" s="485">
        <f>+DA986+CZ986</f>
        <v>-5</v>
      </c>
      <c r="DC986" s="463"/>
      <c r="DD986" s="485">
        <f>+DD987-DD985</f>
        <v>0</v>
      </c>
      <c r="DE986" s="485">
        <f>+DE987-DE985</f>
        <v>0</v>
      </c>
      <c r="DF986" s="485">
        <f>+DE986+DD986</f>
        <v>0</v>
      </c>
      <c r="DG986" s="463"/>
      <c r="DH986" s="485">
        <f>+DH987-DH985</f>
        <v>0</v>
      </c>
      <c r="DI986" s="464">
        <v>0</v>
      </c>
      <c r="DJ986" s="485">
        <f>+DI986+DH986</f>
        <v>0</v>
      </c>
      <c r="DK986" s="463"/>
      <c r="DL986" s="464">
        <v>0</v>
      </c>
      <c r="DM986" s="464">
        <v>0</v>
      </c>
      <c r="DN986" s="485">
        <f>+DM986+DL986</f>
        <v>0</v>
      </c>
      <c r="DO986" s="463"/>
      <c r="DP986" s="464">
        <v>0</v>
      </c>
      <c r="DQ986" s="464">
        <v>0</v>
      </c>
      <c r="DR986" s="485">
        <f>+DQ986+DP986</f>
        <v>0</v>
      </c>
      <c r="DS986" s="463"/>
      <c r="DT986" s="1"/>
      <c r="DU986" s="1"/>
      <c r="DV986" s="1"/>
      <c r="DW986" s="1"/>
      <c r="DX986" s="1"/>
      <c r="DY986" s="1"/>
      <c r="DZ986" s="1"/>
      <c r="EA986" s="1"/>
      <c r="EB986" s="1"/>
      <c r="EC986" s="1"/>
      <c r="ED986" s="1"/>
      <c r="EE986" s="1"/>
      <c r="EF986" s="1"/>
      <c r="EG986" s="1"/>
      <c r="EH986" s="1"/>
      <c r="EI986" s="1"/>
      <c r="EJ986" s="1"/>
      <c r="EK986" s="1"/>
      <c r="EL986" s="1"/>
      <c r="EM986" s="1"/>
      <c r="EN986" s="1"/>
      <c r="EO986" s="1"/>
      <c r="EP986" s="1"/>
      <c r="EQ986" s="1"/>
      <c r="ER986" s="1"/>
      <c r="ES986" s="1"/>
      <c r="ET986" s="1"/>
      <c r="EU986" s="1"/>
      <c r="EV986" s="1"/>
      <c r="EW986" s="1"/>
      <c r="EX986" s="1"/>
      <c r="EY986" s="1"/>
      <c r="EZ986" s="1"/>
      <c r="FA986" s="1"/>
      <c r="FB986" s="1"/>
      <c r="FC986" s="1"/>
      <c r="FD986" s="1"/>
      <c r="FE986" s="1"/>
      <c r="FF986" s="1"/>
      <c r="FG986" s="1"/>
      <c r="FH986" s="1"/>
      <c r="FI986" s="1"/>
      <c r="FJ986" s="1"/>
      <c r="FK986" s="1"/>
      <c r="FL986" s="1"/>
      <c r="FM986" s="1"/>
      <c r="FN986" s="1"/>
      <c r="FO986" s="1"/>
      <c r="FP986" s="1"/>
      <c r="FQ986" s="1"/>
      <c r="FR986" s="1"/>
      <c r="FS986" s="1"/>
      <c r="FT986" s="1"/>
      <c r="FU986" s="1"/>
      <c r="FV986" s="1"/>
      <c r="FW986" s="1"/>
      <c r="FX986" s="1"/>
      <c r="FY986" s="1"/>
      <c r="FZ986" s="1"/>
      <c r="GA986" s="1"/>
      <c r="GB986" s="1"/>
      <c r="GC986" s="1"/>
      <c r="GD986" s="1"/>
      <c r="GE986" s="1"/>
      <c r="GF986" s="1"/>
      <c r="GG986" s="1"/>
      <c r="GH986" s="1"/>
      <c r="GI986" s="1"/>
      <c r="GJ986" s="1"/>
      <c r="GK986" s="1"/>
      <c r="GL986" s="1"/>
      <c r="GM986" s="1"/>
      <c r="GN986" s="1"/>
      <c r="GO986" s="1"/>
      <c r="GP986" s="1"/>
      <c r="GQ986" s="1"/>
      <c r="GR986" s="1"/>
      <c r="GS986" s="1"/>
      <c r="GT986" s="1"/>
      <c r="GU986" s="1"/>
      <c r="GV986" s="1"/>
      <c r="GW986" s="1"/>
      <c r="GX986" s="1"/>
      <c r="GY986" s="1"/>
      <c r="GZ986" s="1"/>
      <c r="HA986" s="1"/>
      <c r="HB986" s="1"/>
      <c r="HC986" s="1"/>
      <c r="HD986" s="1"/>
      <c r="HE986" s="1"/>
      <c r="HF986" s="1"/>
      <c r="HG986" s="1"/>
      <c r="HH986" s="1"/>
      <c r="HI986" s="1"/>
      <c r="HJ986" s="1"/>
      <c r="HK986" s="1"/>
      <c r="HL986" s="1"/>
      <c r="HM986" s="1"/>
      <c r="HN986" s="1"/>
      <c r="HO986" s="1"/>
      <c r="HP986" s="1"/>
      <c r="HQ986" s="1"/>
      <c r="HR986" s="1"/>
      <c r="HS986" s="1"/>
      <c r="HT986" s="1"/>
      <c r="HU986" s="1"/>
      <c r="HV986" s="1"/>
      <c r="HW986" s="1"/>
      <c r="HX986" s="1"/>
      <c r="HY986" s="1"/>
      <c r="HZ986" s="1"/>
      <c r="IA986" s="1"/>
      <c r="IB986" s="1"/>
      <c r="IC986" s="1"/>
      <c r="ID986" s="1"/>
      <c r="IE986" s="1"/>
      <c r="IF986" s="1"/>
      <c r="IG986" s="1"/>
      <c r="IH986" s="1"/>
      <c r="II986" s="1"/>
      <c r="IJ986" s="1"/>
      <c r="IK986" s="1"/>
      <c r="IL986" s="1"/>
      <c r="IM986" s="1"/>
      <c r="IN986" s="1"/>
      <c r="IO986" s="1"/>
      <c r="IP986" s="1"/>
      <c r="IQ986" s="1"/>
      <c r="IR986" s="1"/>
      <c r="IS986" s="1"/>
      <c r="IT986" s="1"/>
      <c r="IU986" s="1"/>
      <c r="IV986" s="1"/>
      <c r="IW986" s="1"/>
      <c r="IX986" s="1"/>
      <c r="IY986" s="1"/>
      <c r="IZ986" s="1"/>
      <c r="JA986" s="1"/>
      <c r="JB986" s="1"/>
      <c r="JC986" s="1"/>
      <c r="JD986" s="1"/>
    </row>
    <row r="987" spans="1:264" s="347" customFormat="1" x14ac:dyDescent="0.2">
      <c r="A987" s="411" t="s">
        <v>319</v>
      </c>
      <c r="B987" s="423"/>
      <c r="C987" s="411"/>
      <c r="D987" s="411"/>
      <c r="E987" s="411"/>
      <c r="F987" s="411"/>
      <c r="G987" s="411"/>
      <c r="H987" s="411"/>
      <c r="I987" s="411"/>
      <c r="J987" s="411"/>
      <c r="K987" s="411"/>
      <c r="L987" s="411"/>
      <c r="M987" s="411"/>
      <c r="N987" s="411"/>
      <c r="O987" s="411"/>
      <c r="P987" s="411"/>
      <c r="Q987" s="411"/>
      <c r="R987" s="411"/>
      <c r="S987" s="411"/>
      <c r="T987" s="411"/>
      <c r="U987" s="411"/>
      <c r="V987" s="411"/>
      <c r="W987" s="411"/>
      <c r="X987" s="411"/>
      <c r="Y987" s="411"/>
      <c r="Z987" s="411"/>
      <c r="AA987" s="411"/>
      <c r="AB987" s="411"/>
      <c r="AC987" s="411"/>
      <c r="AD987" s="411"/>
      <c r="AE987" s="411"/>
      <c r="AF987" s="411"/>
      <c r="AG987" s="411"/>
      <c r="AH987" s="411"/>
      <c r="AI987" s="411"/>
      <c r="AJ987" s="411"/>
      <c r="AK987" s="411"/>
      <c r="AL987" s="411"/>
      <c r="AM987" s="411"/>
      <c r="AN987" s="411"/>
      <c r="AO987" s="411"/>
      <c r="AP987" s="411"/>
      <c r="AQ987" s="411"/>
      <c r="AR987" s="411"/>
      <c r="AS987" s="411"/>
      <c r="AT987" s="411"/>
      <c r="AU987" s="411"/>
      <c r="AV987" s="411"/>
      <c r="AW987" s="411"/>
      <c r="AX987" s="411"/>
      <c r="AY987" s="411"/>
      <c r="AZ987" s="411"/>
      <c r="BA987" s="411"/>
      <c r="BB987" s="411"/>
      <c r="BC987" s="411"/>
      <c r="BD987" s="411"/>
      <c r="BE987" s="411"/>
      <c r="BF987" s="411"/>
      <c r="BG987" s="411"/>
      <c r="BH987" s="397">
        <f>BH946</f>
        <v>532</v>
      </c>
      <c r="BI987" s="397">
        <f>BI946</f>
        <v>537</v>
      </c>
      <c r="BJ987" s="397">
        <f>BJ946</f>
        <v>537</v>
      </c>
      <c r="BK987" s="423"/>
      <c r="BL987" s="397">
        <f>BL946</f>
        <v>536</v>
      </c>
      <c r="BM987" s="397">
        <f>BM946</f>
        <v>537</v>
      </c>
      <c r="BN987" s="397">
        <f>BN946</f>
        <v>537</v>
      </c>
      <c r="BO987" s="348"/>
      <c r="BP987" s="397">
        <f>BP946</f>
        <v>556</v>
      </c>
      <c r="BQ987" s="397">
        <f>BQ946</f>
        <v>562</v>
      </c>
      <c r="BR987" s="397">
        <f>BR946</f>
        <v>562</v>
      </c>
      <c r="BT987" s="397">
        <f>BT946</f>
        <v>554</v>
      </c>
      <c r="BU987" s="397">
        <f>BU946</f>
        <v>550</v>
      </c>
      <c r="BV987" s="397">
        <f>BV946</f>
        <v>550</v>
      </c>
      <c r="BX987" s="397">
        <f>BX946</f>
        <v>551</v>
      </c>
      <c r="BY987" s="397">
        <f>BY946</f>
        <v>546</v>
      </c>
      <c r="BZ987" s="397">
        <f>BZ946</f>
        <v>546</v>
      </c>
      <c r="CB987" s="397">
        <f>CB946</f>
        <v>554</v>
      </c>
      <c r="CC987" s="397">
        <f>CC946</f>
        <v>554</v>
      </c>
      <c r="CD987" s="397">
        <f>CD946</f>
        <v>554</v>
      </c>
      <c r="CF987" s="397">
        <f>CF946</f>
        <v>553</v>
      </c>
      <c r="CG987" s="397">
        <f>CG946</f>
        <v>55</v>
      </c>
      <c r="CH987" s="397">
        <f>CH946</f>
        <v>55</v>
      </c>
      <c r="CJ987" s="397">
        <f>CJ946</f>
        <v>51</v>
      </c>
      <c r="CK987" s="397">
        <f>CK946</f>
        <v>5</v>
      </c>
      <c r="CL987" s="397">
        <f>CL946</f>
        <v>5</v>
      </c>
      <c r="CN987" s="397">
        <f>CN946</f>
        <v>5</v>
      </c>
      <c r="CO987" s="397">
        <f>CO946</f>
        <v>5</v>
      </c>
      <c r="CP987" s="397">
        <f>CP946</f>
        <v>5</v>
      </c>
      <c r="CR987" s="397">
        <f>CR946</f>
        <v>5</v>
      </c>
      <c r="CS987" s="397">
        <f>CS946</f>
        <v>5</v>
      </c>
      <c r="CT987" s="397">
        <f>CT946</f>
        <v>5</v>
      </c>
      <c r="CV987" s="397">
        <f>CV946</f>
        <v>5</v>
      </c>
      <c r="CW987" s="397">
        <f>CW946</f>
        <v>5</v>
      </c>
      <c r="CX987" s="397">
        <f>CX946</f>
        <v>5</v>
      </c>
      <c r="CZ987" s="397">
        <f>CZ946</f>
        <v>5</v>
      </c>
      <c r="DA987" s="397">
        <f>DA946</f>
        <v>0</v>
      </c>
      <c r="DB987" s="397">
        <f>DB946</f>
        <v>0</v>
      </c>
      <c r="DD987" s="397">
        <f>DD946</f>
        <v>0</v>
      </c>
      <c r="DE987" s="397">
        <f>DE946</f>
        <v>0</v>
      </c>
      <c r="DF987" s="397">
        <f>DF946</f>
        <v>0</v>
      </c>
      <c r="DH987" s="397">
        <f>DH946</f>
        <v>0</v>
      </c>
      <c r="DI987" s="397">
        <f>SUM(DI985:DI986)</f>
        <v>0</v>
      </c>
      <c r="DJ987" s="397">
        <f>DJ946</f>
        <v>0</v>
      </c>
      <c r="DL987" s="397">
        <f>SUM(DL985:DL986)</f>
        <v>0</v>
      </c>
      <c r="DM987" s="397">
        <f>SUM(DM985:DM986)</f>
        <v>0</v>
      </c>
      <c r="DN987" s="397">
        <f>DN946</f>
        <v>0</v>
      </c>
      <c r="DP987" s="397">
        <f>SUM(DP985:DP986)</f>
        <v>0</v>
      </c>
      <c r="DQ987" s="397">
        <f>SUM(DQ985:DQ986)</f>
        <v>0</v>
      </c>
      <c r="DR987" s="397">
        <f>DR946</f>
        <v>0</v>
      </c>
      <c r="DT987" s="1"/>
      <c r="DU987" s="1"/>
      <c r="DV987" s="1"/>
      <c r="DW987" s="1"/>
      <c r="DX987" s="1"/>
      <c r="DY987" s="1"/>
      <c r="DZ987" s="1"/>
      <c r="EA987" s="1"/>
      <c r="EB987" s="1"/>
      <c r="EC987" s="1"/>
      <c r="ED987" s="1"/>
      <c r="EE987" s="1"/>
      <c r="EF987" s="1"/>
      <c r="EG987" s="1"/>
      <c r="EH987" s="1"/>
      <c r="EI987" s="1"/>
      <c r="EJ987" s="1"/>
      <c r="EK987" s="1"/>
      <c r="EL987" s="1"/>
      <c r="EM987" s="1"/>
      <c r="EN987" s="1"/>
      <c r="EO987" s="1"/>
      <c r="EP987" s="1"/>
      <c r="EQ987" s="1"/>
      <c r="ER987" s="1"/>
      <c r="ES987" s="1"/>
      <c r="ET987" s="1"/>
      <c r="EU987" s="1"/>
      <c r="EV987" s="1"/>
      <c r="EW987" s="1"/>
      <c r="EX987" s="1"/>
      <c r="EY987" s="1"/>
      <c r="EZ987" s="1"/>
      <c r="FA987" s="1"/>
      <c r="FB987" s="1"/>
      <c r="FC987" s="1"/>
      <c r="FD987" s="1"/>
      <c r="FE987" s="1"/>
      <c r="FF987" s="1"/>
      <c r="FG987" s="1"/>
      <c r="FH987" s="1"/>
      <c r="FI987" s="1"/>
      <c r="FJ987" s="1"/>
      <c r="FK987" s="1"/>
      <c r="FL987" s="1"/>
      <c r="FM987" s="1"/>
      <c r="FN987" s="1"/>
      <c r="FO987" s="1"/>
      <c r="FP987" s="1"/>
      <c r="FQ987" s="1"/>
      <c r="FR987" s="1"/>
      <c r="FS987" s="1"/>
      <c r="FT987" s="1"/>
      <c r="FU987" s="1"/>
      <c r="FV987" s="1"/>
      <c r="FW987" s="1"/>
      <c r="FX987" s="1"/>
      <c r="FY987" s="1"/>
      <c r="FZ987" s="1"/>
      <c r="GA987" s="1"/>
      <c r="GB987" s="1"/>
      <c r="GC987" s="1"/>
      <c r="GD987" s="1"/>
      <c r="GE987" s="1"/>
      <c r="GF987" s="1"/>
      <c r="GG987" s="1"/>
      <c r="GH987" s="1"/>
      <c r="GI987" s="1"/>
      <c r="GJ987" s="1"/>
      <c r="GK987" s="1"/>
      <c r="GL987" s="1"/>
      <c r="GM987" s="1"/>
      <c r="GN987" s="1"/>
      <c r="GO987" s="1"/>
      <c r="GP987" s="1"/>
      <c r="GQ987" s="1"/>
      <c r="GR987" s="1"/>
      <c r="GS987" s="1"/>
      <c r="GT987" s="1"/>
      <c r="GU987" s="1"/>
      <c r="GV987" s="1"/>
      <c r="GW987" s="1"/>
      <c r="GX987" s="1"/>
      <c r="GY987" s="1"/>
      <c r="GZ987" s="1"/>
      <c r="HA987" s="1"/>
      <c r="HB987" s="1"/>
      <c r="HC987" s="1"/>
      <c r="HD987" s="1"/>
      <c r="HE987" s="1"/>
      <c r="HF987" s="1"/>
      <c r="HG987" s="1"/>
      <c r="HH987" s="1"/>
      <c r="HI987" s="1"/>
      <c r="HJ987" s="1"/>
      <c r="HK987" s="1"/>
      <c r="HL987" s="1"/>
      <c r="HM987" s="1"/>
      <c r="HN987" s="1"/>
      <c r="HO987" s="1"/>
      <c r="HP987" s="1"/>
      <c r="HQ987" s="1"/>
      <c r="HR987" s="1"/>
      <c r="HS987" s="1"/>
      <c r="HT987" s="1"/>
      <c r="HU987" s="1"/>
      <c r="HV987" s="1"/>
      <c r="HW987" s="1"/>
      <c r="HX987" s="1"/>
      <c r="HY987" s="1"/>
      <c r="HZ987" s="1"/>
      <c r="IA987" s="1"/>
      <c r="IB987" s="1"/>
      <c r="IC987" s="1"/>
      <c r="ID987" s="1"/>
      <c r="IE987" s="1"/>
      <c r="IF987" s="1"/>
      <c r="IG987" s="1"/>
      <c r="IH987" s="1"/>
      <c r="II987" s="1"/>
      <c r="IJ987" s="1"/>
      <c r="IK987" s="1"/>
      <c r="IL987" s="1"/>
      <c r="IM987" s="1"/>
      <c r="IN987" s="1"/>
      <c r="IO987" s="1"/>
      <c r="IP987" s="1"/>
      <c r="IQ987" s="1"/>
      <c r="IR987" s="1"/>
      <c r="IS987" s="1"/>
      <c r="IT987" s="1"/>
      <c r="IU987" s="1"/>
      <c r="IV987" s="1"/>
      <c r="IW987" s="1"/>
      <c r="IX987" s="1"/>
      <c r="IY987" s="1"/>
      <c r="IZ987" s="1"/>
      <c r="JA987" s="1"/>
      <c r="JB987" s="1"/>
      <c r="JC987" s="1"/>
      <c r="JD987" s="1"/>
    </row>
    <row r="988" spans="1:264" s="347" customFormat="1" x14ac:dyDescent="0.2">
      <c r="B988" s="348"/>
      <c r="BH988" s="348"/>
      <c r="BI988" s="348"/>
      <c r="BJ988" s="348"/>
      <c r="BK988" s="348"/>
      <c r="BL988" s="348"/>
      <c r="BM988" s="348"/>
      <c r="BN988" s="348"/>
      <c r="BO988" s="348"/>
      <c r="BP988" s="348"/>
      <c r="BT988" s="348"/>
      <c r="BX988" s="348"/>
      <c r="CB988" s="348"/>
      <c r="CF988" s="348"/>
      <c r="CJ988" s="348"/>
      <c r="CN988" s="348"/>
      <c r="CR988" s="348"/>
      <c r="CV988" s="348"/>
      <c r="CZ988" s="348"/>
      <c r="DD988" s="348"/>
      <c r="DH988" s="348"/>
      <c r="DL988" s="348"/>
      <c r="DP988" s="348"/>
      <c r="DT988" s="1"/>
      <c r="DU988" s="1"/>
      <c r="DV988" s="1"/>
      <c r="DW988" s="1"/>
      <c r="DX988" s="1"/>
      <c r="DY988" s="1"/>
      <c r="DZ988" s="1"/>
      <c r="EA988" s="1"/>
      <c r="EB988" s="1"/>
      <c r="EC988" s="1"/>
      <c r="ED988" s="1"/>
      <c r="EE988" s="1"/>
      <c r="EF988" s="1"/>
      <c r="EG988" s="1"/>
      <c r="EH988" s="1"/>
      <c r="EI988" s="1"/>
      <c r="EJ988" s="1"/>
      <c r="EK988" s="1"/>
      <c r="EL988" s="1"/>
      <c r="EM988" s="1"/>
      <c r="EN988" s="1"/>
      <c r="EO988" s="1"/>
      <c r="EP988" s="1"/>
      <c r="EQ988" s="1"/>
      <c r="ER988" s="1"/>
      <c r="ES988" s="1"/>
      <c r="ET988" s="1"/>
      <c r="EU988" s="1"/>
      <c r="EV988" s="1"/>
      <c r="EW988" s="1"/>
      <c r="EX988" s="1"/>
      <c r="EY988" s="1"/>
      <c r="EZ988" s="1"/>
      <c r="FA988" s="1"/>
      <c r="FB988" s="1"/>
      <c r="FC988" s="1"/>
      <c r="FD988" s="1"/>
      <c r="FE988" s="1"/>
      <c r="FF988" s="1"/>
      <c r="FG988" s="1"/>
      <c r="FH988" s="1"/>
      <c r="FI988" s="1"/>
      <c r="FJ988" s="1"/>
      <c r="FK988" s="1"/>
      <c r="FL988" s="1"/>
      <c r="FM988" s="1"/>
      <c r="FN988" s="1"/>
      <c r="FO988" s="1"/>
      <c r="FP988" s="1"/>
      <c r="FQ988" s="1"/>
      <c r="FR988" s="1"/>
      <c r="FS988" s="1"/>
      <c r="FT988" s="1"/>
      <c r="FU988" s="1"/>
      <c r="FV988" s="1"/>
      <c r="FW988" s="1"/>
      <c r="FX988" s="1"/>
      <c r="FY988" s="1"/>
      <c r="FZ988" s="1"/>
      <c r="GA988" s="1"/>
      <c r="GB988" s="1"/>
      <c r="GC988" s="1"/>
      <c r="GD988" s="1"/>
      <c r="GE988" s="1"/>
      <c r="GF988" s="1"/>
      <c r="GG988" s="1"/>
      <c r="GH988" s="1"/>
      <c r="GI988" s="1"/>
      <c r="GJ988" s="1"/>
      <c r="GK988" s="1"/>
      <c r="GL988" s="1"/>
      <c r="GM988" s="1"/>
      <c r="GN988" s="1"/>
      <c r="GO988" s="1"/>
      <c r="GP988" s="1"/>
      <c r="GQ988" s="1"/>
      <c r="GR988" s="1"/>
      <c r="GS988" s="1"/>
      <c r="GT988" s="1"/>
      <c r="GU988" s="1"/>
      <c r="GV988" s="1"/>
      <c r="GW988" s="1"/>
      <c r="GX988" s="1"/>
      <c r="GY988" s="1"/>
      <c r="GZ988" s="1"/>
      <c r="HA988" s="1"/>
      <c r="HB988" s="1"/>
      <c r="HC988" s="1"/>
      <c r="HD988" s="1"/>
      <c r="HE988" s="1"/>
      <c r="HF988" s="1"/>
      <c r="HG988" s="1"/>
      <c r="HH988" s="1"/>
      <c r="HI988" s="1"/>
      <c r="HJ988" s="1"/>
      <c r="HK988" s="1"/>
      <c r="HL988" s="1"/>
      <c r="HM988" s="1"/>
      <c r="HN988" s="1"/>
      <c r="HO988" s="1"/>
      <c r="HP988" s="1"/>
      <c r="HQ988" s="1"/>
      <c r="HR988" s="1"/>
      <c r="HS988" s="1"/>
      <c r="HT988" s="1"/>
      <c r="HU988" s="1"/>
      <c r="HV988" s="1"/>
      <c r="HW988" s="1"/>
      <c r="HX988" s="1"/>
      <c r="HY988" s="1"/>
      <c r="HZ988" s="1"/>
      <c r="IA988" s="1"/>
      <c r="IB988" s="1"/>
      <c r="IC988" s="1"/>
      <c r="ID988" s="1"/>
      <c r="IE988" s="1"/>
      <c r="IF988" s="1"/>
      <c r="IG988" s="1"/>
      <c r="IH988" s="1"/>
      <c r="II988" s="1"/>
      <c r="IJ988" s="1"/>
      <c r="IK988" s="1"/>
      <c r="IL988" s="1"/>
      <c r="IM988" s="1"/>
      <c r="IN988" s="1"/>
      <c r="IO988" s="1"/>
      <c r="IP988" s="1"/>
      <c r="IQ988" s="1"/>
      <c r="IR988" s="1"/>
      <c r="IS988" s="1"/>
      <c r="IT988" s="1"/>
      <c r="IU988" s="1"/>
      <c r="IV988" s="1"/>
      <c r="IW988" s="1"/>
      <c r="IX988" s="1"/>
      <c r="IY988" s="1"/>
      <c r="IZ988" s="1"/>
      <c r="JA988" s="1"/>
      <c r="JB988" s="1"/>
      <c r="JC988" s="1"/>
      <c r="JD988" s="1"/>
    </row>
    <row r="989" spans="1:264" s="347" customFormat="1" x14ac:dyDescent="0.2">
      <c r="B989" s="348"/>
      <c r="BH989" s="348"/>
      <c r="BI989" s="348"/>
      <c r="BJ989" s="348"/>
      <c r="BK989" s="348"/>
      <c r="BL989" s="348"/>
      <c r="BM989" s="348"/>
      <c r="BN989" s="348"/>
      <c r="BO989" s="348"/>
      <c r="BP989" s="348"/>
      <c r="BT989" s="348"/>
      <c r="BX989" s="348"/>
      <c r="CB989" s="348"/>
      <c r="CF989" s="348"/>
      <c r="CJ989" s="348"/>
      <c r="CN989" s="348"/>
      <c r="CR989" s="348"/>
      <c r="CV989" s="348"/>
      <c r="CZ989" s="348"/>
      <c r="DD989" s="348"/>
      <c r="DH989" s="348"/>
      <c r="DL989" s="348"/>
      <c r="DP989" s="348"/>
      <c r="DT989" s="1"/>
      <c r="DU989" s="1"/>
      <c r="DV989" s="1"/>
      <c r="DW989" s="1"/>
      <c r="DX989" s="1"/>
      <c r="DY989" s="1"/>
      <c r="DZ989" s="1"/>
      <c r="EA989" s="1"/>
      <c r="EB989" s="1"/>
      <c r="EC989" s="1"/>
      <c r="ED989" s="1"/>
      <c r="EE989" s="1"/>
      <c r="EF989" s="1"/>
      <c r="EG989" s="1"/>
      <c r="EH989" s="1"/>
      <c r="EI989" s="1"/>
      <c r="EJ989" s="1"/>
      <c r="EK989" s="1"/>
      <c r="EL989" s="1"/>
      <c r="EM989" s="1"/>
      <c r="EN989" s="1"/>
      <c r="EO989" s="1"/>
      <c r="EP989" s="1"/>
      <c r="EQ989" s="1"/>
      <c r="ER989" s="1"/>
      <c r="ES989" s="1"/>
      <c r="ET989" s="1"/>
      <c r="EU989" s="1"/>
      <c r="EV989" s="1"/>
      <c r="EW989" s="1"/>
      <c r="EX989" s="1"/>
      <c r="EY989" s="1"/>
      <c r="EZ989" s="1"/>
      <c r="FA989" s="1"/>
      <c r="FB989" s="1"/>
      <c r="FC989" s="1"/>
      <c r="FD989" s="1"/>
      <c r="FE989" s="1"/>
      <c r="FF989" s="1"/>
      <c r="FG989" s="1"/>
      <c r="FH989" s="1"/>
      <c r="FI989" s="1"/>
      <c r="FJ989" s="1"/>
      <c r="FK989" s="1"/>
      <c r="FL989" s="1"/>
      <c r="FM989" s="1"/>
      <c r="FN989" s="1"/>
      <c r="FO989" s="1"/>
      <c r="FP989" s="1"/>
      <c r="FQ989" s="1"/>
      <c r="FR989" s="1"/>
      <c r="FS989" s="1"/>
      <c r="FT989" s="1"/>
      <c r="FU989" s="1"/>
      <c r="FV989" s="1"/>
      <c r="FW989" s="1"/>
      <c r="FX989" s="1"/>
      <c r="FY989" s="1"/>
      <c r="FZ989" s="1"/>
      <c r="GA989" s="1"/>
      <c r="GB989" s="1"/>
      <c r="GC989" s="1"/>
      <c r="GD989" s="1"/>
      <c r="GE989" s="1"/>
      <c r="GF989" s="1"/>
      <c r="GG989" s="1"/>
      <c r="GH989" s="1"/>
      <c r="GI989" s="1"/>
      <c r="GJ989" s="1"/>
      <c r="GK989" s="1"/>
      <c r="GL989" s="1"/>
      <c r="GM989" s="1"/>
      <c r="GN989" s="1"/>
      <c r="GO989" s="1"/>
      <c r="GP989" s="1"/>
      <c r="GQ989" s="1"/>
      <c r="GR989" s="1"/>
      <c r="GS989" s="1"/>
      <c r="GT989" s="1"/>
      <c r="GU989" s="1"/>
      <c r="GV989" s="1"/>
      <c r="GW989" s="1"/>
      <c r="GX989" s="1"/>
      <c r="GY989" s="1"/>
      <c r="GZ989" s="1"/>
      <c r="HA989" s="1"/>
      <c r="HB989" s="1"/>
      <c r="HC989" s="1"/>
      <c r="HD989" s="1"/>
      <c r="HE989" s="1"/>
      <c r="HF989" s="1"/>
      <c r="HG989" s="1"/>
      <c r="HH989" s="1"/>
      <c r="HI989" s="1"/>
      <c r="HJ989" s="1"/>
      <c r="HK989" s="1"/>
      <c r="HL989" s="1"/>
      <c r="HM989" s="1"/>
      <c r="HN989" s="1"/>
      <c r="HO989" s="1"/>
      <c r="HP989" s="1"/>
      <c r="HQ989" s="1"/>
      <c r="HR989" s="1"/>
      <c r="HS989" s="1"/>
      <c r="HT989" s="1"/>
      <c r="HU989" s="1"/>
      <c r="HV989" s="1"/>
      <c r="HW989" s="1"/>
      <c r="HX989" s="1"/>
      <c r="HY989" s="1"/>
      <c r="HZ989" s="1"/>
      <c r="IA989" s="1"/>
      <c r="IB989" s="1"/>
      <c r="IC989" s="1"/>
      <c r="ID989" s="1"/>
      <c r="IE989" s="1"/>
      <c r="IF989" s="1"/>
      <c r="IG989" s="1"/>
      <c r="IH989" s="1"/>
      <c r="II989" s="1"/>
      <c r="IJ989" s="1"/>
      <c r="IK989" s="1"/>
      <c r="IL989" s="1"/>
      <c r="IM989" s="1"/>
      <c r="IN989" s="1"/>
      <c r="IO989" s="1"/>
      <c r="IP989" s="1"/>
      <c r="IQ989" s="1"/>
      <c r="IR989" s="1"/>
      <c r="IS989" s="1"/>
      <c r="IT989" s="1"/>
      <c r="IU989" s="1"/>
      <c r="IV989" s="1"/>
      <c r="IW989" s="1"/>
      <c r="IX989" s="1"/>
      <c r="IY989" s="1"/>
      <c r="IZ989" s="1"/>
      <c r="JA989" s="1"/>
      <c r="JB989" s="1"/>
      <c r="JC989" s="1"/>
      <c r="JD989" s="1"/>
    </row>
    <row r="990" spans="1:264" s="386" customFormat="1" x14ac:dyDescent="0.2">
      <c r="A990" s="383" t="s">
        <v>682</v>
      </c>
      <c r="B990" s="384"/>
      <c r="C990" s="385"/>
      <c r="D990" s="385"/>
      <c r="E990" s="385"/>
      <c r="F990" s="385"/>
      <c r="G990" s="385"/>
      <c r="H990" s="385"/>
      <c r="I990" s="385"/>
      <c r="J990" s="385"/>
      <c r="K990" s="385"/>
      <c r="L990" s="385"/>
      <c r="M990" s="385"/>
      <c r="N990" s="385"/>
      <c r="O990" s="385"/>
      <c r="P990" s="385"/>
      <c r="Q990" s="385"/>
      <c r="R990" s="385"/>
      <c r="S990" s="385"/>
      <c r="T990" s="385"/>
      <c r="U990" s="385"/>
      <c r="V990" s="385"/>
      <c r="W990" s="385"/>
      <c r="X990" s="385"/>
      <c r="Y990" s="385"/>
      <c r="Z990" s="385"/>
      <c r="AA990" s="385"/>
      <c r="AB990" s="385"/>
      <c r="AC990" s="385"/>
      <c r="AD990" s="385"/>
      <c r="AE990" s="385"/>
      <c r="AF990" s="385"/>
      <c r="AG990" s="385"/>
      <c r="AH990" s="385"/>
      <c r="AI990" s="385"/>
      <c r="AJ990" s="385"/>
      <c r="AK990" s="385"/>
      <c r="AL990" s="385"/>
      <c r="AM990" s="385"/>
      <c r="AN990" s="385"/>
      <c r="AO990" s="385"/>
      <c r="AP990" s="385"/>
      <c r="AQ990" s="385"/>
      <c r="AR990" s="385"/>
      <c r="AS990" s="385"/>
      <c r="AT990" s="385"/>
      <c r="AU990" s="385"/>
      <c r="AV990" s="385"/>
      <c r="AW990" s="385"/>
      <c r="AX990" s="385"/>
      <c r="AY990" s="385"/>
      <c r="AZ990" s="385"/>
      <c r="BA990" s="385"/>
      <c r="BB990" s="385"/>
      <c r="BC990" s="385"/>
      <c r="BD990" s="385"/>
      <c r="BE990" s="385"/>
      <c r="BF990" s="385"/>
      <c r="BG990" s="385"/>
      <c r="BH990" s="384"/>
      <c r="BI990" s="384"/>
      <c r="BJ990" s="384"/>
      <c r="BK990" s="384"/>
      <c r="BL990" s="384"/>
      <c r="BM990" s="384"/>
      <c r="BN990" s="384"/>
      <c r="BO990" s="384"/>
      <c r="BP990" s="384"/>
      <c r="BQ990" s="385"/>
      <c r="BR990" s="385"/>
      <c r="BS990" s="385"/>
      <c r="BT990" s="384"/>
      <c r="BU990" s="385"/>
      <c r="BV990" s="385"/>
      <c r="BW990" s="385"/>
      <c r="BX990" s="384"/>
      <c r="BY990" s="385"/>
      <c r="BZ990" s="385"/>
      <c r="CA990" s="385"/>
      <c r="CB990" s="384"/>
      <c r="CC990" s="385"/>
      <c r="CD990" s="385"/>
      <c r="CE990" s="385"/>
      <c r="CF990" s="384"/>
      <c r="CG990" s="385"/>
      <c r="CH990" s="385"/>
      <c r="CI990" s="385"/>
      <c r="CJ990" s="384"/>
      <c r="CK990" s="385"/>
      <c r="CL990" s="385"/>
      <c r="CM990" s="385"/>
      <c r="CN990" s="384"/>
      <c r="CO990" s="385"/>
      <c r="CP990" s="385"/>
      <c r="CQ990" s="385"/>
      <c r="CR990" s="384"/>
      <c r="CS990" s="385"/>
      <c r="CT990" s="385"/>
      <c r="CU990" s="385"/>
      <c r="CV990" s="384"/>
      <c r="CW990" s="385"/>
      <c r="CX990" s="385"/>
      <c r="CY990" s="385"/>
      <c r="CZ990" s="384"/>
      <c r="DA990" s="385"/>
      <c r="DB990" s="385"/>
      <c r="DC990" s="385"/>
      <c r="DD990" s="384"/>
      <c r="DE990" s="385"/>
      <c r="DF990" s="385"/>
      <c r="DG990" s="385"/>
      <c r="DH990" s="384"/>
      <c r="DI990" s="385"/>
      <c r="DJ990" s="385"/>
      <c r="DK990" s="385"/>
      <c r="DL990" s="384"/>
      <c r="DM990" s="385"/>
      <c r="DN990" s="385"/>
      <c r="DO990" s="385"/>
      <c r="DP990" s="384"/>
      <c r="DQ990" s="385"/>
      <c r="DR990" s="385"/>
      <c r="DS990" s="385"/>
      <c r="DT990" s="1"/>
      <c r="DU990" s="1"/>
      <c r="DV990" s="1"/>
      <c r="DW990" s="1"/>
      <c r="DX990" s="1"/>
      <c r="DY990" s="1"/>
      <c r="DZ990" s="1"/>
      <c r="EA990" s="1"/>
      <c r="EB990" s="1"/>
      <c r="EC990" s="1"/>
      <c r="ED990" s="1"/>
      <c r="EE990" s="1"/>
      <c r="EF990" s="1"/>
      <c r="EG990" s="1"/>
      <c r="EH990" s="1"/>
      <c r="EI990" s="1"/>
      <c r="EJ990" s="1"/>
      <c r="EK990" s="1"/>
      <c r="EL990" s="1"/>
      <c r="EM990" s="1"/>
      <c r="EN990" s="1"/>
      <c r="EO990" s="1"/>
      <c r="EP990" s="1"/>
      <c r="EQ990" s="1"/>
      <c r="ER990" s="1"/>
      <c r="ES990" s="1"/>
      <c r="ET990" s="1"/>
      <c r="EU990" s="1"/>
      <c r="EV990" s="1"/>
      <c r="EW990" s="1"/>
      <c r="EX990" s="1"/>
      <c r="EY990" s="1"/>
      <c r="EZ990" s="1"/>
      <c r="FA990" s="1"/>
      <c r="FB990" s="1"/>
      <c r="FC990" s="1"/>
      <c r="FD990" s="1"/>
      <c r="FE990" s="1"/>
      <c r="FF990" s="1"/>
      <c r="FG990" s="1"/>
      <c r="FH990" s="1"/>
      <c r="FI990" s="1"/>
      <c r="FJ990" s="1"/>
      <c r="FK990" s="1"/>
      <c r="FL990" s="1"/>
      <c r="FM990" s="1"/>
      <c r="FN990" s="1"/>
      <c r="FO990" s="1"/>
      <c r="FP990" s="1"/>
      <c r="FQ990" s="1"/>
      <c r="FR990" s="1"/>
      <c r="FS990" s="1"/>
      <c r="FT990" s="1"/>
      <c r="FU990" s="1"/>
      <c r="FV990" s="1"/>
      <c r="FW990" s="1"/>
      <c r="FX990" s="1"/>
      <c r="FY990" s="1"/>
      <c r="FZ990" s="1"/>
      <c r="GA990" s="1"/>
      <c r="GB990" s="1"/>
      <c r="GC990" s="1"/>
      <c r="GD990" s="1"/>
      <c r="GE990" s="1"/>
      <c r="GF990" s="1"/>
      <c r="GG990" s="1"/>
      <c r="GH990" s="1"/>
      <c r="GI990" s="1"/>
      <c r="GJ990" s="1"/>
      <c r="GK990" s="1"/>
      <c r="GL990" s="1"/>
      <c r="GM990" s="1"/>
      <c r="GN990" s="1"/>
      <c r="GO990" s="1"/>
      <c r="GP990" s="1"/>
      <c r="GQ990" s="1"/>
      <c r="GR990" s="1"/>
      <c r="GS990" s="1"/>
      <c r="GT990" s="1"/>
      <c r="GU990" s="1"/>
      <c r="GV990" s="1"/>
      <c r="GW990" s="1"/>
      <c r="GX990" s="1"/>
      <c r="GY990" s="1"/>
      <c r="GZ990" s="1"/>
      <c r="HA990" s="1"/>
      <c r="HB990" s="1"/>
      <c r="HC990" s="1"/>
      <c r="HD990" s="1"/>
      <c r="HE990" s="1"/>
      <c r="HF990" s="1"/>
      <c r="HG990" s="1"/>
      <c r="HH990" s="1"/>
      <c r="HI990" s="1"/>
      <c r="HJ990" s="1"/>
      <c r="HK990" s="1"/>
      <c r="HL990" s="1"/>
      <c r="HM990" s="1"/>
      <c r="HN990" s="1"/>
      <c r="HO990" s="1"/>
      <c r="HP990" s="1"/>
      <c r="HQ990" s="1"/>
      <c r="HR990" s="1"/>
      <c r="HS990" s="1"/>
      <c r="HT990" s="1"/>
      <c r="HU990" s="1"/>
      <c r="HV990" s="1"/>
      <c r="HW990" s="1"/>
      <c r="HX990" s="1"/>
      <c r="HY990" s="1"/>
      <c r="HZ990" s="1"/>
      <c r="IA990" s="1"/>
      <c r="IB990" s="1"/>
      <c r="IC990" s="1"/>
      <c r="ID990" s="1"/>
      <c r="IE990" s="1"/>
      <c r="IF990" s="1"/>
      <c r="IG990" s="1"/>
      <c r="IH990" s="1"/>
      <c r="II990" s="1"/>
      <c r="IJ990" s="1"/>
      <c r="IK990" s="1"/>
      <c r="IL990" s="1"/>
      <c r="IM990" s="1"/>
      <c r="IN990" s="1"/>
      <c r="IO990" s="1"/>
      <c r="IP990" s="1"/>
      <c r="IQ990" s="1"/>
      <c r="IR990" s="1"/>
      <c r="IS990" s="1"/>
      <c r="IT990" s="1"/>
      <c r="IU990" s="1"/>
      <c r="IV990" s="1"/>
      <c r="IW990" s="1"/>
      <c r="IX990" s="1"/>
      <c r="IY990" s="1"/>
      <c r="IZ990" s="1"/>
      <c r="JA990" s="1"/>
      <c r="JB990" s="1"/>
      <c r="JC990" s="1"/>
      <c r="JD990" s="1"/>
    </row>
    <row r="991" spans="1:264" s="347" customFormat="1" x14ac:dyDescent="0.2">
      <c r="B991" s="348"/>
      <c r="BH991" s="348"/>
      <c r="BI991" s="348"/>
      <c r="BJ991" s="348"/>
      <c r="BK991" s="348"/>
      <c r="BL991" s="348"/>
      <c r="BM991" s="348"/>
      <c r="BN991" s="348"/>
      <c r="BO991" s="348"/>
      <c r="BP991" s="348"/>
      <c r="BT991" s="348"/>
      <c r="BX991" s="348"/>
      <c r="CB991" s="348"/>
      <c r="CF991" s="348"/>
      <c r="CJ991" s="348"/>
      <c r="CN991" s="348"/>
      <c r="CR991" s="348"/>
      <c r="CV991" s="348"/>
      <c r="CZ991" s="348"/>
      <c r="DD991" s="348"/>
      <c r="DH991" s="348"/>
      <c r="DL991" s="348"/>
      <c r="DP991" s="348"/>
      <c r="DT991" s="1"/>
      <c r="DU991" s="1"/>
      <c r="DV991" s="1"/>
      <c r="DW991" s="1"/>
      <c r="DX991" s="1"/>
      <c r="DY991" s="1"/>
      <c r="DZ991" s="1"/>
      <c r="EA991" s="1"/>
      <c r="EB991" s="1"/>
      <c r="EC991" s="1"/>
      <c r="ED991" s="1"/>
      <c r="EE991" s="1"/>
      <c r="EF991" s="1"/>
      <c r="EG991" s="1"/>
      <c r="EH991" s="1"/>
      <c r="EI991" s="1"/>
      <c r="EJ991" s="1"/>
      <c r="EK991" s="1"/>
      <c r="EL991" s="1"/>
      <c r="EM991" s="1"/>
      <c r="EN991" s="1"/>
      <c r="EO991" s="1"/>
      <c r="EP991" s="1"/>
      <c r="EQ991" s="1"/>
      <c r="ER991" s="1"/>
      <c r="ES991" s="1"/>
      <c r="ET991" s="1"/>
      <c r="EU991" s="1"/>
      <c r="EV991" s="1"/>
      <c r="EW991" s="1"/>
      <c r="EX991" s="1"/>
      <c r="EY991" s="1"/>
      <c r="EZ991" s="1"/>
      <c r="FA991" s="1"/>
      <c r="FB991" s="1"/>
      <c r="FC991" s="1"/>
      <c r="FD991" s="1"/>
      <c r="FE991" s="1"/>
      <c r="FF991" s="1"/>
      <c r="FG991" s="1"/>
      <c r="FH991" s="1"/>
      <c r="FI991" s="1"/>
      <c r="FJ991" s="1"/>
      <c r="FK991" s="1"/>
      <c r="FL991" s="1"/>
      <c r="FM991" s="1"/>
      <c r="FN991" s="1"/>
      <c r="FO991" s="1"/>
      <c r="FP991" s="1"/>
      <c r="FQ991" s="1"/>
      <c r="FR991" s="1"/>
      <c r="FS991" s="1"/>
      <c r="FT991" s="1"/>
      <c r="FU991" s="1"/>
      <c r="FV991" s="1"/>
      <c r="FW991" s="1"/>
      <c r="FX991" s="1"/>
      <c r="FY991" s="1"/>
      <c r="FZ991" s="1"/>
      <c r="GA991" s="1"/>
      <c r="GB991" s="1"/>
      <c r="GC991" s="1"/>
      <c r="GD991" s="1"/>
      <c r="GE991" s="1"/>
      <c r="GF991" s="1"/>
      <c r="GG991" s="1"/>
      <c r="GH991" s="1"/>
      <c r="GI991" s="1"/>
      <c r="GJ991" s="1"/>
      <c r="GK991" s="1"/>
      <c r="GL991" s="1"/>
      <c r="GM991" s="1"/>
      <c r="GN991" s="1"/>
      <c r="GO991" s="1"/>
      <c r="GP991" s="1"/>
      <c r="GQ991" s="1"/>
      <c r="GR991" s="1"/>
      <c r="GS991" s="1"/>
      <c r="GT991" s="1"/>
      <c r="GU991" s="1"/>
      <c r="GV991" s="1"/>
      <c r="GW991" s="1"/>
      <c r="GX991" s="1"/>
      <c r="GY991" s="1"/>
      <c r="GZ991" s="1"/>
      <c r="HA991" s="1"/>
      <c r="HB991" s="1"/>
      <c r="HC991" s="1"/>
      <c r="HD991" s="1"/>
      <c r="HE991" s="1"/>
      <c r="HF991" s="1"/>
      <c r="HG991" s="1"/>
      <c r="HH991" s="1"/>
      <c r="HI991" s="1"/>
      <c r="HJ991" s="1"/>
      <c r="HK991" s="1"/>
      <c r="HL991" s="1"/>
      <c r="HM991" s="1"/>
      <c r="HN991" s="1"/>
      <c r="HO991" s="1"/>
      <c r="HP991" s="1"/>
      <c r="HQ991" s="1"/>
      <c r="HR991" s="1"/>
      <c r="HS991" s="1"/>
      <c r="HT991" s="1"/>
      <c r="HU991" s="1"/>
      <c r="HV991" s="1"/>
      <c r="HW991" s="1"/>
      <c r="HX991" s="1"/>
      <c r="HY991" s="1"/>
      <c r="HZ991" s="1"/>
      <c r="IA991" s="1"/>
      <c r="IB991" s="1"/>
      <c r="IC991" s="1"/>
      <c r="ID991" s="1"/>
      <c r="IE991" s="1"/>
      <c r="IF991" s="1"/>
      <c r="IG991" s="1"/>
      <c r="IH991" s="1"/>
      <c r="II991" s="1"/>
      <c r="IJ991" s="1"/>
      <c r="IK991" s="1"/>
      <c r="IL991" s="1"/>
      <c r="IM991" s="1"/>
      <c r="IN991" s="1"/>
      <c r="IO991" s="1"/>
      <c r="IP991" s="1"/>
      <c r="IQ991" s="1"/>
      <c r="IR991" s="1"/>
      <c r="IS991" s="1"/>
      <c r="IT991" s="1"/>
      <c r="IU991" s="1"/>
      <c r="IV991" s="1"/>
      <c r="IW991" s="1"/>
      <c r="IX991" s="1"/>
      <c r="IY991" s="1"/>
      <c r="IZ991" s="1"/>
      <c r="JA991" s="1"/>
      <c r="JB991" s="1"/>
      <c r="JC991" s="1"/>
      <c r="JD991" s="1"/>
    </row>
    <row r="992" spans="1:264" s="347" customFormat="1" x14ac:dyDescent="0.2">
      <c r="A992" s="411" t="s">
        <v>12</v>
      </c>
      <c r="B992" s="348"/>
      <c r="BH992" s="348"/>
      <c r="BI992" s="348"/>
      <c r="BJ992" s="348"/>
      <c r="BK992" s="348"/>
      <c r="BL992" s="348"/>
      <c r="BM992" s="348"/>
      <c r="BN992" s="348"/>
      <c r="BO992" s="348"/>
      <c r="BP992" s="348"/>
      <c r="BT992" s="348"/>
      <c r="BX992" s="348"/>
      <c r="CB992" s="348"/>
      <c r="CF992" s="348"/>
      <c r="CJ992" s="348"/>
      <c r="CN992" s="348"/>
      <c r="CR992" s="348"/>
      <c r="CV992" s="348"/>
      <c r="CZ992" s="348"/>
      <c r="DD992" s="348"/>
      <c r="DH992" s="348"/>
      <c r="DL992" s="348"/>
      <c r="DP992" s="348"/>
      <c r="DT992" s="1"/>
      <c r="DU992" s="1"/>
      <c r="DV992" s="1"/>
      <c r="DW992" s="1"/>
      <c r="DX992" s="1"/>
      <c r="DY992" s="1"/>
      <c r="DZ992" s="1"/>
      <c r="EA992" s="1"/>
      <c r="EB992" s="1"/>
      <c r="EC992" s="1"/>
      <c r="ED992" s="1"/>
      <c r="EE992" s="1"/>
      <c r="EF992" s="1"/>
      <c r="EG992" s="1"/>
      <c r="EH992" s="1"/>
      <c r="EI992" s="1"/>
      <c r="EJ992" s="1"/>
      <c r="EK992" s="1"/>
      <c r="EL992" s="1"/>
      <c r="EM992" s="1"/>
      <c r="EN992" s="1"/>
      <c r="EO992" s="1"/>
      <c r="EP992" s="1"/>
      <c r="EQ992" s="1"/>
      <c r="ER992" s="1"/>
      <c r="ES992" s="1"/>
      <c r="ET992" s="1"/>
      <c r="EU992" s="1"/>
      <c r="EV992" s="1"/>
      <c r="EW992" s="1"/>
      <c r="EX992" s="1"/>
      <c r="EY992" s="1"/>
      <c r="EZ992" s="1"/>
      <c r="FA992" s="1"/>
      <c r="FB992" s="1"/>
      <c r="FC992" s="1"/>
      <c r="FD992" s="1"/>
      <c r="FE992" s="1"/>
      <c r="FF992" s="1"/>
      <c r="FG992" s="1"/>
      <c r="FH992" s="1"/>
      <c r="FI992" s="1"/>
      <c r="FJ992" s="1"/>
      <c r="FK992" s="1"/>
      <c r="FL992" s="1"/>
      <c r="FM992" s="1"/>
      <c r="FN992" s="1"/>
      <c r="FO992" s="1"/>
      <c r="FP992" s="1"/>
      <c r="FQ992" s="1"/>
      <c r="FR992" s="1"/>
      <c r="FS992" s="1"/>
      <c r="FT992" s="1"/>
      <c r="FU992" s="1"/>
      <c r="FV992" s="1"/>
      <c r="FW992" s="1"/>
      <c r="FX992" s="1"/>
      <c r="FY992" s="1"/>
      <c r="FZ992" s="1"/>
      <c r="GA992" s="1"/>
      <c r="GB992" s="1"/>
      <c r="GC992" s="1"/>
      <c r="GD992" s="1"/>
      <c r="GE992" s="1"/>
      <c r="GF992" s="1"/>
      <c r="GG992" s="1"/>
      <c r="GH992" s="1"/>
      <c r="GI992" s="1"/>
      <c r="GJ992" s="1"/>
      <c r="GK992" s="1"/>
      <c r="GL992" s="1"/>
      <c r="GM992" s="1"/>
      <c r="GN992" s="1"/>
      <c r="GO992" s="1"/>
      <c r="GP992" s="1"/>
      <c r="GQ992" s="1"/>
      <c r="GR992" s="1"/>
      <c r="GS992" s="1"/>
      <c r="GT992" s="1"/>
      <c r="GU992" s="1"/>
      <c r="GV992" s="1"/>
      <c r="GW992" s="1"/>
      <c r="GX992" s="1"/>
      <c r="GY992" s="1"/>
      <c r="GZ992" s="1"/>
      <c r="HA992" s="1"/>
      <c r="HB992" s="1"/>
      <c r="HC992" s="1"/>
      <c r="HD992" s="1"/>
      <c r="HE992" s="1"/>
      <c r="HF992" s="1"/>
      <c r="HG992" s="1"/>
      <c r="HH992" s="1"/>
      <c r="HI992" s="1"/>
      <c r="HJ992" s="1"/>
      <c r="HK992" s="1"/>
      <c r="HL992" s="1"/>
      <c r="HM992" s="1"/>
      <c r="HN992" s="1"/>
      <c r="HO992" s="1"/>
      <c r="HP992" s="1"/>
      <c r="HQ992" s="1"/>
      <c r="HR992" s="1"/>
      <c r="HS992" s="1"/>
      <c r="HT992" s="1"/>
      <c r="HU992" s="1"/>
      <c r="HV992" s="1"/>
      <c r="HW992" s="1"/>
      <c r="HX992" s="1"/>
      <c r="HY992" s="1"/>
      <c r="HZ992" s="1"/>
      <c r="IA992" s="1"/>
      <c r="IB992" s="1"/>
      <c r="IC992" s="1"/>
      <c r="ID992" s="1"/>
      <c r="IE992" s="1"/>
      <c r="IF992" s="1"/>
      <c r="IG992" s="1"/>
      <c r="IH992" s="1"/>
      <c r="II992" s="1"/>
      <c r="IJ992" s="1"/>
      <c r="IK992" s="1"/>
      <c r="IL992" s="1"/>
      <c r="IM992" s="1"/>
      <c r="IN992" s="1"/>
      <c r="IO992" s="1"/>
      <c r="IP992" s="1"/>
      <c r="IQ992" s="1"/>
      <c r="IR992" s="1"/>
      <c r="IS992" s="1"/>
      <c r="IT992" s="1"/>
      <c r="IU992" s="1"/>
      <c r="IV992" s="1"/>
      <c r="IW992" s="1"/>
      <c r="IX992" s="1"/>
      <c r="IY992" s="1"/>
      <c r="IZ992" s="1"/>
      <c r="JA992" s="1"/>
      <c r="JB992" s="1"/>
      <c r="JC992" s="1"/>
      <c r="JD992" s="1"/>
    </row>
    <row r="993" spans="1:264" s="347" customFormat="1" x14ac:dyDescent="0.2">
      <c r="A993" s="347" t="s">
        <v>313</v>
      </c>
      <c r="B993" s="348"/>
      <c r="BE993" s="722"/>
      <c r="BH993" s="722">
        <f>BE999</f>
        <v>1592.2</v>
      </c>
      <c r="BI993" s="722">
        <f>BH999</f>
        <v>1609.1808410000001</v>
      </c>
      <c r="BJ993" s="722">
        <f>BH993</f>
        <v>1592.2</v>
      </c>
      <c r="BK993" s="722"/>
      <c r="BL993" s="722">
        <f>BI999</f>
        <v>1611.928836</v>
      </c>
      <c r="BM993" s="722">
        <f>BL999</f>
        <v>1611.928836</v>
      </c>
      <c r="BN993" s="722">
        <f>BL993</f>
        <v>1611.928836</v>
      </c>
      <c r="BO993" s="722"/>
      <c r="BP993" s="722">
        <f>BM999</f>
        <v>1621.3191939999999</v>
      </c>
      <c r="BQ993" s="722">
        <f>BP999</f>
        <v>1621.3191939999999</v>
      </c>
      <c r="BR993" s="722">
        <f>BP993</f>
        <v>1621.3191939999999</v>
      </c>
      <c r="BT993" s="722">
        <f>BQ999</f>
        <v>1627.592713</v>
      </c>
      <c r="BU993" s="722">
        <f>BT999</f>
        <v>1707.5447140000001</v>
      </c>
      <c r="BV993" s="722">
        <f>BT993</f>
        <v>1627.592713</v>
      </c>
      <c r="BX993" s="722">
        <f>BU999</f>
        <v>1715.1421769999999</v>
      </c>
      <c r="BY993" s="722">
        <f>BX999</f>
        <v>1723.1785090000001</v>
      </c>
      <c r="BZ993" s="722">
        <f>BX993</f>
        <v>1715.1421769999999</v>
      </c>
      <c r="CB993" s="722">
        <f>BY999</f>
        <v>1729.8681610000001</v>
      </c>
      <c r="CC993" s="722">
        <f>CB999</f>
        <v>1752.728198</v>
      </c>
      <c r="CD993" s="722">
        <f>CB993</f>
        <v>1729.8681610000001</v>
      </c>
      <c r="CF993" s="722">
        <f>CC999</f>
        <v>1759.84293</v>
      </c>
      <c r="CG993" s="722">
        <f>CF999</f>
        <v>1770.239507</v>
      </c>
      <c r="CH993" s="722">
        <f>CF993</f>
        <v>1759.84293</v>
      </c>
      <c r="CJ993" s="722">
        <f>CG999</f>
        <v>1770.239507</v>
      </c>
      <c r="CK993" s="722">
        <f>CJ999</f>
        <v>1770.239507</v>
      </c>
      <c r="CL993" s="722">
        <f>CJ993</f>
        <v>1770.239507</v>
      </c>
      <c r="CN993" s="722">
        <f>CK999</f>
        <v>1770.239507</v>
      </c>
      <c r="CO993" s="722">
        <f>CN999</f>
        <v>1774.0964100000001</v>
      </c>
      <c r="CP993" s="722">
        <f>CN993</f>
        <v>1770.239507</v>
      </c>
      <c r="CR993" s="722">
        <f>CO999</f>
        <v>1774.0964100000001</v>
      </c>
      <c r="CS993" s="722">
        <f>CR999</f>
        <v>1706.391603</v>
      </c>
      <c r="CT993" s="722">
        <f>CR993</f>
        <v>1774.0964100000001</v>
      </c>
      <c r="CV993" s="722">
        <f>CS999</f>
        <v>1701.5384059999999</v>
      </c>
      <c r="CW993" s="722">
        <f>CV999</f>
        <v>1688.4141689999999</v>
      </c>
      <c r="CX993" s="722">
        <f>CV993</f>
        <v>1701.5384059999999</v>
      </c>
      <c r="CZ993" s="722">
        <f>CW999</f>
        <v>1676.169322</v>
      </c>
      <c r="DA993" s="722">
        <f>CZ999</f>
        <v>1674.651934</v>
      </c>
      <c r="DB993" s="722">
        <f>CZ993</f>
        <v>1676.169322</v>
      </c>
      <c r="DD993" s="722">
        <f>DA999</f>
        <v>1673.5803579999999</v>
      </c>
      <c r="DE993" s="722">
        <f>DD999</f>
        <v>1673.462358</v>
      </c>
      <c r="DF993" s="722">
        <f>DD993</f>
        <v>1673.5803579999999</v>
      </c>
      <c r="DH993" s="722">
        <f>DE999</f>
        <v>1673.462358</v>
      </c>
      <c r="DI993" s="722">
        <f>DH999</f>
        <v>1673.462358</v>
      </c>
      <c r="DJ993" s="722">
        <f>DH993</f>
        <v>1673.462358</v>
      </c>
      <c r="DL993" s="722">
        <f>DI999</f>
        <v>1673.462358</v>
      </c>
      <c r="DM993" s="722">
        <f ca="1">DL999</f>
        <v>1673.462358</v>
      </c>
      <c r="DN993" s="722">
        <f>DL993</f>
        <v>1673.462358</v>
      </c>
      <c r="DP993" s="722">
        <f ca="1">DM999</f>
        <v>1673.462358</v>
      </c>
      <c r="DQ993" s="722">
        <f ca="1">DP999</f>
        <v>1673.462358</v>
      </c>
      <c r="DR993" s="722">
        <f ca="1">DP993</f>
        <v>1673.462358</v>
      </c>
      <c r="DT993" s="1"/>
      <c r="DU993" s="1"/>
      <c r="DV993" s="1"/>
      <c r="DW993" s="1"/>
      <c r="DX993" s="1"/>
      <c r="DY993" s="1"/>
      <c r="DZ993" s="1"/>
      <c r="EA993" s="1"/>
      <c r="EB993" s="1"/>
      <c r="EC993" s="1"/>
      <c r="ED993" s="1"/>
      <c r="EE993" s="1"/>
      <c r="EF993" s="1"/>
      <c r="EG993" s="1"/>
      <c r="EH993" s="1"/>
      <c r="EI993" s="1"/>
      <c r="EJ993" s="1"/>
      <c r="EK993" s="1"/>
      <c r="EL993" s="1"/>
      <c r="EM993" s="1"/>
      <c r="EN993" s="1"/>
      <c r="EO993" s="1"/>
      <c r="EP993" s="1"/>
      <c r="EQ993" s="1"/>
      <c r="ER993" s="1"/>
      <c r="ES993" s="1"/>
      <c r="ET993" s="1"/>
      <c r="EU993" s="1"/>
      <c r="EV993" s="1"/>
      <c r="EW993" s="1"/>
      <c r="EX993" s="1"/>
      <c r="EY993" s="1"/>
      <c r="EZ993" s="1"/>
      <c r="FA993" s="1"/>
      <c r="FB993" s="1"/>
      <c r="FC993" s="1"/>
      <c r="FD993" s="1"/>
      <c r="FE993" s="1"/>
      <c r="FF993" s="1"/>
      <c r="FG993" s="1"/>
      <c r="FH993" s="1"/>
      <c r="FI993" s="1"/>
      <c r="FJ993" s="1"/>
      <c r="FK993" s="1"/>
      <c r="FL993" s="1"/>
      <c r="FM993" s="1"/>
      <c r="FN993" s="1"/>
      <c r="FO993" s="1"/>
      <c r="FP993" s="1"/>
      <c r="FQ993" s="1"/>
      <c r="FR993" s="1"/>
      <c r="FS993" s="1"/>
      <c r="FT993" s="1"/>
      <c r="FU993" s="1"/>
      <c r="FV993" s="1"/>
      <c r="FW993" s="1"/>
      <c r="FX993" s="1"/>
      <c r="FY993" s="1"/>
      <c r="FZ993" s="1"/>
      <c r="GA993" s="1"/>
      <c r="GB993" s="1"/>
      <c r="GC993" s="1"/>
      <c r="GD993" s="1"/>
      <c r="GE993" s="1"/>
      <c r="GF993" s="1"/>
      <c r="GG993" s="1"/>
      <c r="GH993" s="1"/>
      <c r="GI993" s="1"/>
      <c r="GJ993" s="1"/>
      <c r="GK993" s="1"/>
      <c r="GL993" s="1"/>
      <c r="GM993" s="1"/>
      <c r="GN993" s="1"/>
      <c r="GO993" s="1"/>
      <c r="GP993" s="1"/>
      <c r="GQ993" s="1"/>
      <c r="GR993" s="1"/>
      <c r="GS993" s="1"/>
      <c r="GT993" s="1"/>
      <c r="GU993" s="1"/>
      <c r="GV993" s="1"/>
      <c r="GW993" s="1"/>
      <c r="GX993" s="1"/>
      <c r="GY993" s="1"/>
      <c r="GZ993" s="1"/>
      <c r="HA993" s="1"/>
      <c r="HB993" s="1"/>
      <c r="HC993" s="1"/>
      <c r="HD993" s="1"/>
      <c r="HE993" s="1"/>
      <c r="HF993" s="1"/>
      <c r="HG993" s="1"/>
      <c r="HH993" s="1"/>
      <c r="HI993" s="1"/>
      <c r="HJ993" s="1"/>
      <c r="HK993" s="1"/>
      <c r="HL993" s="1"/>
      <c r="HM993" s="1"/>
      <c r="HN993" s="1"/>
      <c r="HO993" s="1"/>
      <c r="HP993" s="1"/>
      <c r="HQ993" s="1"/>
      <c r="HR993" s="1"/>
      <c r="HS993" s="1"/>
      <c r="HT993" s="1"/>
      <c r="HU993" s="1"/>
      <c r="HV993" s="1"/>
      <c r="HW993" s="1"/>
      <c r="HX993" s="1"/>
      <c r="HY993" s="1"/>
      <c r="HZ993" s="1"/>
      <c r="IA993" s="1"/>
      <c r="IB993" s="1"/>
      <c r="IC993" s="1"/>
      <c r="ID993" s="1"/>
      <c r="IE993" s="1"/>
      <c r="IF993" s="1"/>
      <c r="IG993" s="1"/>
      <c r="IH993" s="1"/>
      <c r="II993" s="1"/>
      <c r="IJ993" s="1"/>
      <c r="IK993" s="1"/>
      <c r="IL993" s="1"/>
      <c r="IM993" s="1"/>
      <c r="IN993" s="1"/>
      <c r="IO993" s="1"/>
      <c r="IP993" s="1"/>
      <c r="IQ993" s="1"/>
      <c r="IR993" s="1"/>
      <c r="IS993" s="1"/>
      <c r="IT993" s="1"/>
      <c r="IU993" s="1"/>
      <c r="IV993" s="1"/>
      <c r="IW993" s="1"/>
      <c r="IX993" s="1"/>
      <c r="IY993" s="1"/>
      <c r="IZ993" s="1"/>
      <c r="JA993" s="1"/>
      <c r="JB993" s="1"/>
      <c r="JC993" s="1"/>
      <c r="JD993" s="1"/>
    </row>
    <row r="994" spans="1:264" s="347" customFormat="1" x14ac:dyDescent="0.2">
      <c r="A994" s="347" t="s">
        <v>666</v>
      </c>
      <c r="B994" s="348"/>
      <c r="BE994" s="723"/>
      <c r="BH994" s="723">
        <v>0</v>
      </c>
      <c r="BI994" s="723">
        <v>0</v>
      </c>
      <c r="BJ994" s="722">
        <f>SUM(BH994:BI994)</f>
        <v>0</v>
      </c>
      <c r="BK994" s="722"/>
      <c r="BL994" s="723">
        <v>0</v>
      </c>
      <c r="BM994" s="723">
        <v>0</v>
      </c>
      <c r="BN994" s="722">
        <f>SUM(BL994:BM994)</f>
        <v>0</v>
      </c>
      <c r="BO994" s="722"/>
      <c r="BP994" s="723">
        <v>0</v>
      </c>
      <c r="BQ994" s="723">
        <v>0</v>
      </c>
      <c r="BR994" s="722">
        <f>SUM(BP994:BQ994)</f>
        <v>0</v>
      </c>
      <c r="BT994" s="723">
        <v>71.161207000000005</v>
      </c>
      <c r="BU994" s="723">
        <v>0</v>
      </c>
      <c r="BV994" s="722">
        <f>SUM(BT994:BU994)</f>
        <v>71.161207000000005</v>
      </c>
      <c r="BX994" s="723">
        <v>0</v>
      </c>
      <c r="BY994" s="723">
        <v>0</v>
      </c>
      <c r="BZ994" s="722">
        <f>SUM(BX994:BY994)</f>
        <v>0</v>
      </c>
      <c r="CB994" s="723">
        <v>0</v>
      </c>
      <c r="CC994" s="723">
        <v>0</v>
      </c>
      <c r="CD994" s="722">
        <f>SUM(CB994:CC994)</f>
        <v>0</v>
      </c>
      <c r="CF994" s="723">
        <v>0</v>
      </c>
      <c r="CG994" s="723">
        <v>0</v>
      </c>
      <c r="CH994" s="722">
        <f>SUM(CF994:CG994)</f>
        <v>0</v>
      </c>
      <c r="CJ994" s="723">
        <v>0</v>
      </c>
      <c r="CK994" s="723">
        <v>0</v>
      </c>
      <c r="CL994" s="722">
        <f>SUM(CJ994:CK994)</f>
        <v>0</v>
      </c>
      <c r="CN994" s="723">
        <v>0</v>
      </c>
      <c r="CO994" s="723">
        <v>0</v>
      </c>
      <c r="CP994" s="722">
        <f>SUM(CN994:CO994)</f>
        <v>0</v>
      </c>
      <c r="CR994" s="723">
        <v>0</v>
      </c>
      <c r="CS994" s="723">
        <v>0</v>
      </c>
      <c r="CT994" s="722">
        <f>SUM(CR994:CS994)</f>
        <v>0</v>
      </c>
      <c r="CV994" s="723">
        <v>0</v>
      </c>
      <c r="CW994" s="723">
        <v>0</v>
      </c>
      <c r="CX994" s="722">
        <f>SUM(CV994:CW994)</f>
        <v>0</v>
      </c>
      <c r="CZ994" s="723">
        <v>0</v>
      </c>
      <c r="DA994" s="723">
        <v>0</v>
      </c>
      <c r="DB994" s="722">
        <f>SUM(CZ994:DA994)</f>
        <v>0</v>
      </c>
      <c r="DD994" s="723">
        <v>0</v>
      </c>
      <c r="DE994" s="723">
        <v>0</v>
      </c>
      <c r="DF994" s="722">
        <f>SUM(DD994:DE994)</f>
        <v>0</v>
      </c>
      <c r="DH994" s="723">
        <v>0</v>
      </c>
      <c r="DI994" s="722">
        <f>DH1095</f>
        <v>0</v>
      </c>
      <c r="DJ994" s="722">
        <f>SUM(DH994:DI994)</f>
        <v>0</v>
      </c>
      <c r="DL994" s="722">
        <f ca="1">DI1095</f>
        <v>0</v>
      </c>
      <c r="DM994" s="722">
        <f ca="1">DL1095</f>
        <v>0</v>
      </c>
      <c r="DN994" s="722">
        <f ca="1">SUM(DL994:DM994)</f>
        <v>0</v>
      </c>
      <c r="DP994" s="722">
        <f ca="1">DM1095</f>
        <v>0</v>
      </c>
      <c r="DQ994" s="722">
        <f ca="1">DP1095</f>
        <v>0</v>
      </c>
      <c r="DR994" s="722">
        <f ca="1">SUM(DP994:DQ994)</f>
        <v>0</v>
      </c>
      <c r="DT994" s="1"/>
      <c r="DU994" s="1"/>
      <c r="DV994" s="1"/>
      <c r="DW994" s="1"/>
      <c r="DX994" s="1"/>
      <c r="DY994" s="1"/>
      <c r="DZ994" s="1"/>
      <c r="EA994" s="1"/>
      <c r="EB994" s="1"/>
      <c r="EC994" s="1"/>
      <c r="ED994" s="1"/>
      <c r="EE994" s="1"/>
      <c r="EF994" s="1"/>
      <c r="EG994" s="1"/>
      <c r="EH994" s="1"/>
      <c r="EI994" s="1"/>
      <c r="EJ994" s="1"/>
      <c r="EK994" s="1"/>
      <c r="EL994" s="1"/>
      <c r="EM994" s="1"/>
      <c r="EN994" s="1"/>
      <c r="EO994" s="1"/>
      <c r="EP994" s="1"/>
      <c r="EQ994" s="1"/>
      <c r="ER994" s="1"/>
      <c r="ES994" s="1"/>
      <c r="ET994" s="1"/>
      <c r="EU994" s="1"/>
      <c r="EV994" s="1"/>
      <c r="EW994" s="1"/>
      <c r="EX994" s="1"/>
      <c r="EY994" s="1"/>
      <c r="EZ994" s="1"/>
      <c r="FA994" s="1"/>
      <c r="FB994" s="1"/>
      <c r="FC994" s="1"/>
      <c r="FD994" s="1"/>
      <c r="FE994" s="1"/>
      <c r="FF994" s="1"/>
      <c r="FG994" s="1"/>
      <c r="FH994" s="1"/>
      <c r="FI994" s="1"/>
      <c r="FJ994" s="1"/>
      <c r="FK994" s="1"/>
      <c r="FL994" s="1"/>
      <c r="FM994" s="1"/>
      <c r="FN994" s="1"/>
      <c r="FO994" s="1"/>
      <c r="FP994" s="1"/>
      <c r="FQ994" s="1"/>
      <c r="FR994" s="1"/>
      <c r="FS994" s="1"/>
      <c r="FT994" s="1"/>
      <c r="FU994" s="1"/>
      <c r="FV994" s="1"/>
      <c r="FW994" s="1"/>
      <c r="FX994" s="1"/>
      <c r="FY994" s="1"/>
      <c r="FZ994" s="1"/>
      <c r="GA994" s="1"/>
      <c r="GB994" s="1"/>
      <c r="GC994" s="1"/>
      <c r="GD994" s="1"/>
      <c r="GE994" s="1"/>
      <c r="GF994" s="1"/>
      <c r="GG994" s="1"/>
      <c r="GH994" s="1"/>
      <c r="GI994" s="1"/>
      <c r="GJ994" s="1"/>
      <c r="GK994" s="1"/>
      <c r="GL994" s="1"/>
      <c r="GM994" s="1"/>
      <c r="GN994" s="1"/>
      <c r="GO994" s="1"/>
      <c r="GP994" s="1"/>
      <c r="GQ994" s="1"/>
      <c r="GR994" s="1"/>
      <c r="GS994" s="1"/>
      <c r="GT994" s="1"/>
      <c r="GU994" s="1"/>
      <c r="GV994" s="1"/>
      <c r="GW994" s="1"/>
      <c r="GX994" s="1"/>
      <c r="GY994" s="1"/>
      <c r="GZ994" s="1"/>
      <c r="HA994" s="1"/>
      <c r="HB994" s="1"/>
      <c r="HC994" s="1"/>
      <c r="HD994" s="1"/>
      <c r="HE994" s="1"/>
      <c r="HF994" s="1"/>
      <c r="HG994" s="1"/>
      <c r="HH994" s="1"/>
      <c r="HI994" s="1"/>
      <c r="HJ994" s="1"/>
      <c r="HK994" s="1"/>
      <c r="HL994" s="1"/>
      <c r="HM994" s="1"/>
      <c r="HN994" s="1"/>
      <c r="HO994" s="1"/>
      <c r="HP994" s="1"/>
      <c r="HQ994" s="1"/>
      <c r="HR994" s="1"/>
      <c r="HS994" s="1"/>
      <c r="HT994" s="1"/>
      <c r="HU994" s="1"/>
      <c r="HV994" s="1"/>
      <c r="HW994" s="1"/>
      <c r="HX994" s="1"/>
      <c r="HY994" s="1"/>
      <c r="HZ994" s="1"/>
      <c r="IA994" s="1"/>
      <c r="IB994" s="1"/>
      <c r="IC994" s="1"/>
      <c r="ID994" s="1"/>
      <c r="IE994" s="1"/>
      <c r="IF994" s="1"/>
      <c r="IG994" s="1"/>
      <c r="IH994" s="1"/>
      <c r="II994" s="1"/>
      <c r="IJ994" s="1"/>
      <c r="IK994" s="1"/>
      <c r="IL994" s="1"/>
      <c r="IM994" s="1"/>
      <c r="IN994" s="1"/>
      <c r="IO994" s="1"/>
      <c r="IP994" s="1"/>
      <c r="IQ994" s="1"/>
      <c r="IR994" s="1"/>
      <c r="IS994" s="1"/>
      <c r="IT994" s="1"/>
      <c r="IU994" s="1"/>
      <c r="IV994" s="1"/>
      <c r="IW994" s="1"/>
      <c r="IX994" s="1"/>
      <c r="IY994" s="1"/>
      <c r="IZ994" s="1"/>
      <c r="JA994" s="1"/>
      <c r="JB994" s="1"/>
      <c r="JC994" s="1"/>
      <c r="JD994" s="1"/>
    </row>
    <row r="995" spans="1:264" s="347" customFormat="1" x14ac:dyDescent="0.2">
      <c r="A995" s="347" t="s">
        <v>667</v>
      </c>
      <c r="B995" s="348"/>
      <c r="BE995" s="723"/>
      <c r="BH995" s="723">
        <v>17.026060999999999</v>
      </c>
      <c r="BI995" s="723">
        <v>0</v>
      </c>
      <c r="BJ995" s="722">
        <f>SUM(BH995:BI995)</f>
        <v>17.026060999999999</v>
      </c>
      <c r="BK995" s="722"/>
      <c r="BL995" s="723">
        <v>0</v>
      </c>
      <c r="BM995" s="723">
        <v>9.3903580000000009</v>
      </c>
      <c r="BN995" s="722">
        <f>SUM(BL995:BM995)</f>
        <v>9.3903580000000009</v>
      </c>
      <c r="BO995" s="722"/>
      <c r="BP995" s="723">
        <v>0</v>
      </c>
      <c r="BQ995" s="723">
        <v>6.2735190000000003</v>
      </c>
      <c r="BR995" s="722">
        <f>SUM(BP995:BQ995)</f>
        <v>6.2735190000000003</v>
      </c>
      <c r="BT995" s="723">
        <v>8.790794</v>
      </c>
      <c r="BU995" s="723">
        <v>7.5974630000000003</v>
      </c>
      <c r="BV995" s="722">
        <f>SUM(BT995:BU995)</f>
        <v>16.388256999999999</v>
      </c>
      <c r="BX995" s="723">
        <v>8.0363319999999998</v>
      </c>
      <c r="BY995" s="723">
        <v>6.6896519999999997</v>
      </c>
      <c r="BZ995" s="722">
        <f>SUM(BX995:BY995)</f>
        <v>14.725984</v>
      </c>
      <c r="CB995" s="723">
        <v>20.772432999999999</v>
      </c>
      <c r="CC995" s="723">
        <v>7.1147320000000001</v>
      </c>
      <c r="CD995" s="722">
        <f>SUM(CB995:CC995)</f>
        <v>27.887165</v>
      </c>
      <c r="CF995" s="723">
        <v>10.396577000000001</v>
      </c>
      <c r="CG995" s="722">
        <f>CF1080</f>
        <v>8.0855580000000007</v>
      </c>
      <c r="CH995" s="722">
        <f>SUM(CF995:CG995)</f>
        <v>18.482135</v>
      </c>
      <c r="CJ995" s="722">
        <f>CG1080</f>
        <v>7.8102850000000004</v>
      </c>
      <c r="CK995" s="722">
        <f>CJ1080</f>
        <v>7.0803630000000002</v>
      </c>
      <c r="CL995" s="722">
        <f>SUM(CJ995:CK995)</f>
        <v>14.890648000000001</v>
      </c>
      <c r="CN995" s="722">
        <f>CK1080</f>
        <v>3.856903</v>
      </c>
      <c r="CO995" s="722">
        <f>CN1080</f>
        <v>4.8696339999999996</v>
      </c>
      <c r="CP995" s="722">
        <f>SUM(CN995:CO995)</f>
        <v>8.7265370000000004</v>
      </c>
      <c r="CR995" s="722">
        <f>CO1080</f>
        <v>5.6560301388118814</v>
      </c>
      <c r="CS995" s="722">
        <f>CR1080</f>
        <v>5.1065445495597244</v>
      </c>
      <c r="CT995" s="722">
        <f>SUM(CR995:CS995)</f>
        <v>10.762574688371606</v>
      </c>
      <c r="CV995" s="722">
        <f>CS1080</f>
        <v>6.1875727808399006</v>
      </c>
      <c r="CW995" s="722">
        <f>CV1080</f>
        <v>6.1176185562616823</v>
      </c>
      <c r="CX995" s="722">
        <f>SUM(CV995:CW995)</f>
        <v>12.305191337101583</v>
      </c>
      <c r="CZ995" s="722">
        <f>CW1080</f>
        <v>7.1909000989119685</v>
      </c>
      <c r="DA995" s="722">
        <f>CZ1080</f>
        <v>4.1044457718235341</v>
      </c>
      <c r="DB995" s="722">
        <f>SUM(CZ995:DA995)</f>
        <v>11.295345870735503</v>
      </c>
      <c r="DD995" s="722">
        <f>DA1080</f>
        <v>5.3568904593639575</v>
      </c>
      <c r="DE995" s="722">
        <f>DD1080</f>
        <v>4.5500033357795724</v>
      </c>
      <c r="DF995" s="722">
        <f>SUM(DD995:DE995)</f>
        <v>9.9068937951435299</v>
      </c>
      <c r="DH995" s="722">
        <f>DE1080</f>
        <v>3.8137603795966788</v>
      </c>
      <c r="DI995" s="722">
        <f>DH1080</f>
        <v>3.4699734187941176</v>
      </c>
      <c r="DJ995" s="722">
        <f>SUM(DH995:DI995)</f>
        <v>7.2837337983907968</v>
      </c>
      <c r="DL995" s="722">
        <f>DI1080</f>
        <v>3.9641178741216372</v>
      </c>
      <c r="DM995" s="722">
        <f>DL1080</f>
        <v>3.5371391570236428</v>
      </c>
      <c r="DN995" s="722">
        <f>SUM(DL995:DM995)</f>
        <v>7.50125703114528</v>
      </c>
      <c r="DP995" s="722">
        <f>DM1080</f>
        <v>3.9174599909936632</v>
      </c>
      <c r="DQ995" s="722">
        <f>DP1080</f>
        <v>3.3814066910339178</v>
      </c>
      <c r="DR995" s="722">
        <f>SUM(DP995:DQ995)</f>
        <v>7.2988666820275814</v>
      </c>
      <c r="DT995" s="1"/>
      <c r="DU995" s="1"/>
      <c r="DV995" s="1"/>
      <c r="DW995" s="1"/>
      <c r="DX995" s="1"/>
      <c r="DY995" s="1"/>
      <c r="DZ995" s="1"/>
      <c r="EA995" s="1"/>
      <c r="EB995" s="1"/>
      <c r="EC995" s="1"/>
      <c r="ED995" s="1"/>
      <c r="EE995" s="1"/>
      <c r="EF995" s="1"/>
      <c r="EG995" s="1"/>
      <c r="EH995" s="1"/>
      <c r="EI995" s="1"/>
      <c r="EJ995" s="1"/>
      <c r="EK995" s="1"/>
      <c r="EL995" s="1"/>
      <c r="EM995" s="1"/>
      <c r="EN995" s="1"/>
      <c r="EO995" s="1"/>
      <c r="EP995" s="1"/>
      <c r="EQ995" s="1"/>
      <c r="ER995" s="1"/>
      <c r="ES995" s="1"/>
      <c r="ET995" s="1"/>
      <c r="EU995" s="1"/>
      <c r="EV995" s="1"/>
      <c r="EW995" s="1"/>
      <c r="EX995" s="1"/>
      <c r="EY995" s="1"/>
      <c r="EZ995" s="1"/>
      <c r="FA995" s="1"/>
      <c r="FB995" s="1"/>
      <c r="FC995" s="1"/>
      <c r="FD995" s="1"/>
      <c r="FE995" s="1"/>
      <c r="FF995" s="1"/>
      <c r="FG995" s="1"/>
      <c r="FH995" s="1"/>
      <c r="FI995" s="1"/>
      <c r="FJ995" s="1"/>
      <c r="FK995" s="1"/>
      <c r="FL995" s="1"/>
      <c r="FM995" s="1"/>
      <c r="FN995" s="1"/>
      <c r="FO995" s="1"/>
      <c r="FP995" s="1"/>
      <c r="FQ995" s="1"/>
      <c r="FR995" s="1"/>
      <c r="FS995" s="1"/>
      <c r="FT995" s="1"/>
      <c r="FU995" s="1"/>
      <c r="FV995" s="1"/>
      <c r="FW995" s="1"/>
      <c r="FX995" s="1"/>
      <c r="FY995" s="1"/>
      <c r="FZ995" s="1"/>
      <c r="GA995" s="1"/>
      <c r="GB995" s="1"/>
      <c r="GC995" s="1"/>
      <c r="GD995" s="1"/>
      <c r="GE995" s="1"/>
      <c r="GF995" s="1"/>
      <c r="GG995" s="1"/>
      <c r="GH995" s="1"/>
      <c r="GI995" s="1"/>
      <c r="GJ995" s="1"/>
      <c r="GK995" s="1"/>
      <c r="GL995" s="1"/>
      <c r="GM995" s="1"/>
      <c r="GN995" s="1"/>
      <c r="GO995" s="1"/>
      <c r="GP995" s="1"/>
      <c r="GQ995" s="1"/>
      <c r="GR995" s="1"/>
      <c r="GS995" s="1"/>
      <c r="GT995" s="1"/>
      <c r="GU995" s="1"/>
      <c r="GV995" s="1"/>
      <c r="GW995" s="1"/>
      <c r="GX995" s="1"/>
      <c r="GY995" s="1"/>
      <c r="GZ995" s="1"/>
      <c r="HA995" s="1"/>
      <c r="HB995" s="1"/>
      <c r="HC995" s="1"/>
      <c r="HD995" s="1"/>
      <c r="HE995" s="1"/>
      <c r="HF995" s="1"/>
      <c r="HG995" s="1"/>
      <c r="HH995" s="1"/>
      <c r="HI995" s="1"/>
      <c r="HJ995" s="1"/>
      <c r="HK995" s="1"/>
      <c r="HL995" s="1"/>
      <c r="HM995" s="1"/>
      <c r="HN995" s="1"/>
      <c r="HO995" s="1"/>
      <c r="HP995" s="1"/>
      <c r="HQ995" s="1"/>
      <c r="HR995" s="1"/>
      <c r="HS995" s="1"/>
      <c r="HT995" s="1"/>
      <c r="HU995" s="1"/>
      <c r="HV995" s="1"/>
      <c r="HW995" s="1"/>
      <c r="HX995" s="1"/>
      <c r="HY995" s="1"/>
      <c r="HZ995" s="1"/>
      <c r="IA995" s="1"/>
      <c r="IB995" s="1"/>
      <c r="IC995" s="1"/>
      <c r="ID995" s="1"/>
      <c r="IE995" s="1"/>
      <c r="IF995" s="1"/>
      <c r="IG995" s="1"/>
      <c r="IH995" s="1"/>
      <c r="II995" s="1"/>
      <c r="IJ995" s="1"/>
      <c r="IK995" s="1"/>
      <c r="IL995" s="1"/>
      <c r="IM995" s="1"/>
      <c r="IN995" s="1"/>
      <c r="IO995" s="1"/>
      <c r="IP995" s="1"/>
      <c r="IQ995" s="1"/>
      <c r="IR995" s="1"/>
      <c r="IS995" s="1"/>
      <c r="IT995" s="1"/>
      <c r="IU995" s="1"/>
      <c r="IV995" s="1"/>
      <c r="IW995" s="1"/>
      <c r="IX995" s="1"/>
      <c r="IY995" s="1"/>
      <c r="IZ995" s="1"/>
      <c r="JA995" s="1"/>
      <c r="JB995" s="1"/>
      <c r="JC995" s="1"/>
      <c r="JD995" s="1"/>
    </row>
    <row r="996" spans="1:264" s="347" customFormat="1" x14ac:dyDescent="0.2">
      <c r="A996" s="347" t="s">
        <v>668</v>
      </c>
      <c r="B996" s="348"/>
      <c r="BE996" s="723"/>
      <c r="BH996" s="723">
        <v>0</v>
      </c>
      <c r="BI996" s="723">
        <v>0</v>
      </c>
      <c r="BJ996" s="722">
        <f>SUM(BH996:BI996)</f>
        <v>0</v>
      </c>
      <c r="BK996" s="722"/>
      <c r="BL996" s="723">
        <v>0</v>
      </c>
      <c r="BM996" s="723">
        <v>0</v>
      </c>
      <c r="BN996" s="722">
        <f>SUM(BL996:BM996)</f>
        <v>0</v>
      </c>
      <c r="BO996" s="722"/>
      <c r="BP996" s="723">
        <v>0</v>
      </c>
      <c r="BQ996" s="723">
        <v>0</v>
      </c>
      <c r="BR996" s="722">
        <f>SUM(BP996:BQ996)</f>
        <v>0</v>
      </c>
      <c r="BT996" s="723">
        <v>0</v>
      </c>
      <c r="BU996" s="723">
        <v>0</v>
      </c>
      <c r="BV996" s="722">
        <f>SUM(BT996:BU996)</f>
        <v>0</v>
      </c>
      <c r="BX996" s="723">
        <v>0</v>
      </c>
      <c r="BY996" s="723">
        <v>0</v>
      </c>
      <c r="BZ996" s="722">
        <f>SUM(BX996:BY996)</f>
        <v>0</v>
      </c>
      <c r="CB996" s="723">
        <v>0</v>
      </c>
      <c r="CC996" s="723">
        <v>0</v>
      </c>
      <c r="CD996" s="722">
        <f>SUM(CB996:CC996)</f>
        <v>0</v>
      </c>
      <c r="CF996" s="723">
        <v>0</v>
      </c>
      <c r="CG996" s="722">
        <f>-CG995</f>
        <v>-8.0855580000000007</v>
      </c>
      <c r="CH996" s="722">
        <f>SUM(CF996:CG996)</f>
        <v>-8.0855580000000007</v>
      </c>
      <c r="CJ996" s="722">
        <f>-CJ995</f>
        <v>-7.8102850000000004</v>
      </c>
      <c r="CK996" s="722">
        <f>-CK995</f>
        <v>-7.0803630000000002</v>
      </c>
      <c r="CL996" s="722">
        <f>SUM(CJ996:CK996)</f>
        <v>-14.890648000000001</v>
      </c>
      <c r="CN996" s="722">
        <f>-CN995</f>
        <v>-3.856903</v>
      </c>
      <c r="CO996" s="722">
        <f>-CO995</f>
        <v>-4.8696339999999996</v>
      </c>
      <c r="CP996" s="722">
        <f>SUM(CN996:CO996)</f>
        <v>-8.7265370000000004</v>
      </c>
      <c r="CR996" s="722">
        <f>-CR995</f>
        <v>-5.6560301388118814</v>
      </c>
      <c r="CS996" s="722">
        <f>-CS995</f>
        <v>-5.1065445495597244</v>
      </c>
      <c r="CT996" s="722">
        <f>SUM(CR996:CS996)</f>
        <v>-10.762574688371606</v>
      </c>
      <c r="CV996" s="722">
        <f>-CV995</f>
        <v>-6.1875727808399006</v>
      </c>
      <c r="CW996" s="722">
        <f>-CW995</f>
        <v>-6.1176185562616823</v>
      </c>
      <c r="CX996" s="722">
        <f>SUM(CV996:CW996)</f>
        <v>-12.305191337101583</v>
      </c>
      <c r="CZ996" s="722">
        <f>-CZ995</f>
        <v>-7.1909000989119685</v>
      </c>
      <c r="DA996" s="722">
        <f>-DA995</f>
        <v>-4.1044457718235341</v>
      </c>
      <c r="DB996" s="722">
        <f>SUM(CZ996:DA996)</f>
        <v>-11.295345870735503</v>
      </c>
      <c r="DD996" s="722">
        <f>-DD995</f>
        <v>-5.3568904593639575</v>
      </c>
      <c r="DE996" s="722">
        <f>-DE995</f>
        <v>-4.5500033357795724</v>
      </c>
      <c r="DF996" s="722">
        <f>SUM(DD996:DE996)</f>
        <v>-9.9068937951435299</v>
      </c>
      <c r="DH996" s="722">
        <f>-DH995</f>
        <v>-3.8137603795966788</v>
      </c>
      <c r="DI996" s="722">
        <f>DH1083</f>
        <v>-3.4699734187941176</v>
      </c>
      <c r="DJ996" s="722">
        <f>SUM(DH996:DI996)</f>
        <v>-7.2837337983907968</v>
      </c>
      <c r="DL996" s="722">
        <f>DI1083</f>
        <v>-3.9641178741216372</v>
      </c>
      <c r="DM996" s="722">
        <f>DL1083</f>
        <v>-3.5371391570236428</v>
      </c>
      <c r="DN996" s="722">
        <f>SUM(DL996:DM996)</f>
        <v>-7.50125703114528</v>
      </c>
      <c r="DP996" s="722">
        <f>DM1083</f>
        <v>-3.9174599909936632</v>
      </c>
      <c r="DQ996" s="722">
        <f>DP1083</f>
        <v>-3.3814066910339178</v>
      </c>
      <c r="DR996" s="722">
        <f>SUM(DP996:DQ996)</f>
        <v>-7.2988666820275814</v>
      </c>
      <c r="DT996" s="1"/>
      <c r="DU996" s="1"/>
      <c r="DV996" s="1"/>
      <c r="DW996" s="1"/>
      <c r="DX996" s="1"/>
      <c r="DY996" s="1"/>
      <c r="DZ996" s="1"/>
      <c r="EA996" s="1"/>
      <c r="EB996" s="1"/>
      <c r="EC996" s="1"/>
      <c r="ED996" s="1"/>
      <c r="EE996" s="1"/>
      <c r="EF996" s="1"/>
      <c r="EG996" s="1"/>
      <c r="EH996" s="1"/>
      <c r="EI996" s="1"/>
      <c r="EJ996" s="1"/>
      <c r="EK996" s="1"/>
      <c r="EL996" s="1"/>
      <c r="EM996" s="1"/>
      <c r="EN996" s="1"/>
      <c r="EO996" s="1"/>
      <c r="EP996" s="1"/>
      <c r="EQ996" s="1"/>
      <c r="ER996" s="1"/>
      <c r="ES996" s="1"/>
      <c r="ET996" s="1"/>
      <c r="EU996" s="1"/>
      <c r="EV996" s="1"/>
      <c r="EW996" s="1"/>
      <c r="EX996" s="1"/>
      <c r="EY996" s="1"/>
      <c r="EZ996" s="1"/>
      <c r="FA996" s="1"/>
      <c r="FB996" s="1"/>
      <c r="FC996" s="1"/>
      <c r="FD996" s="1"/>
      <c r="FE996" s="1"/>
      <c r="FF996" s="1"/>
      <c r="FG996" s="1"/>
      <c r="FH996" s="1"/>
      <c r="FI996" s="1"/>
      <c r="FJ996" s="1"/>
      <c r="FK996" s="1"/>
      <c r="FL996" s="1"/>
      <c r="FM996" s="1"/>
      <c r="FN996" s="1"/>
      <c r="FO996" s="1"/>
      <c r="FP996" s="1"/>
      <c r="FQ996" s="1"/>
      <c r="FR996" s="1"/>
      <c r="FS996" s="1"/>
      <c r="FT996" s="1"/>
      <c r="FU996" s="1"/>
      <c r="FV996" s="1"/>
      <c r="FW996" s="1"/>
      <c r="FX996" s="1"/>
      <c r="FY996" s="1"/>
      <c r="FZ996" s="1"/>
      <c r="GA996" s="1"/>
      <c r="GB996" s="1"/>
      <c r="GC996" s="1"/>
      <c r="GD996" s="1"/>
      <c r="GE996" s="1"/>
      <c r="GF996" s="1"/>
      <c r="GG996" s="1"/>
      <c r="GH996" s="1"/>
      <c r="GI996" s="1"/>
      <c r="GJ996" s="1"/>
      <c r="GK996" s="1"/>
      <c r="GL996" s="1"/>
      <c r="GM996" s="1"/>
      <c r="GN996" s="1"/>
      <c r="GO996" s="1"/>
      <c r="GP996" s="1"/>
      <c r="GQ996" s="1"/>
      <c r="GR996" s="1"/>
      <c r="GS996" s="1"/>
      <c r="GT996" s="1"/>
      <c r="GU996" s="1"/>
      <c r="GV996" s="1"/>
      <c r="GW996" s="1"/>
      <c r="GX996" s="1"/>
      <c r="GY996" s="1"/>
      <c r="GZ996" s="1"/>
      <c r="HA996" s="1"/>
      <c r="HB996" s="1"/>
      <c r="HC996" s="1"/>
      <c r="HD996" s="1"/>
      <c r="HE996" s="1"/>
      <c r="HF996" s="1"/>
      <c r="HG996" s="1"/>
      <c r="HH996" s="1"/>
      <c r="HI996" s="1"/>
      <c r="HJ996" s="1"/>
      <c r="HK996" s="1"/>
      <c r="HL996" s="1"/>
      <c r="HM996" s="1"/>
      <c r="HN996" s="1"/>
      <c r="HO996" s="1"/>
      <c r="HP996" s="1"/>
      <c r="HQ996" s="1"/>
      <c r="HR996" s="1"/>
      <c r="HS996" s="1"/>
      <c r="HT996" s="1"/>
      <c r="HU996" s="1"/>
      <c r="HV996" s="1"/>
      <c r="HW996" s="1"/>
      <c r="HX996" s="1"/>
      <c r="HY996" s="1"/>
      <c r="HZ996" s="1"/>
      <c r="IA996" s="1"/>
      <c r="IB996" s="1"/>
      <c r="IC996" s="1"/>
      <c r="ID996" s="1"/>
      <c r="IE996" s="1"/>
      <c r="IF996" s="1"/>
      <c r="IG996" s="1"/>
      <c r="IH996" s="1"/>
      <c r="II996" s="1"/>
      <c r="IJ996" s="1"/>
      <c r="IK996" s="1"/>
      <c r="IL996" s="1"/>
      <c r="IM996" s="1"/>
      <c r="IN996" s="1"/>
      <c r="IO996" s="1"/>
      <c r="IP996" s="1"/>
      <c r="IQ996" s="1"/>
      <c r="IR996" s="1"/>
      <c r="IS996" s="1"/>
      <c r="IT996" s="1"/>
      <c r="IU996" s="1"/>
      <c r="IV996" s="1"/>
      <c r="IW996" s="1"/>
      <c r="IX996" s="1"/>
      <c r="IY996" s="1"/>
      <c r="IZ996" s="1"/>
      <c r="JA996" s="1"/>
      <c r="JB996" s="1"/>
      <c r="JC996" s="1"/>
      <c r="JD996" s="1"/>
    </row>
    <row r="997" spans="1:264" s="347" customFormat="1" x14ac:dyDescent="0.2">
      <c r="A997" s="347" t="s">
        <v>669</v>
      </c>
      <c r="B997" s="348"/>
      <c r="BE997" s="723"/>
      <c r="BH997" s="723">
        <v>0</v>
      </c>
      <c r="BI997" s="723">
        <v>0</v>
      </c>
      <c r="BJ997" s="722">
        <f>SUM(BH997:BI997)</f>
        <v>0</v>
      </c>
      <c r="BK997" s="722"/>
      <c r="BL997" s="723">
        <v>0</v>
      </c>
      <c r="BM997" s="723">
        <v>0</v>
      </c>
      <c r="BN997" s="722">
        <f>SUM(BL997:BM997)</f>
        <v>0</v>
      </c>
      <c r="BO997" s="722"/>
      <c r="BP997" s="723">
        <v>0</v>
      </c>
      <c r="BQ997" s="723">
        <v>0</v>
      </c>
      <c r="BR997" s="722">
        <f>SUM(BP997:BQ997)</f>
        <v>0</v>
      </c>
      <c r="BT997" s="723">
        <v>0</v>
      </c>
      <c r="BU997" s="723">
        <v>0</v>
      </c>
      <c r="BV997" s="722">
        <f>SUM(BT997:BU997)</f>
        <v>0</v>
      </c>
      <c r="BX997" s="723">
        <v>0</v>
      </c>
      <c r="BY997" s="723">
        <v>0</v>
      </c>
      <c r="BZ997" s="722">
        <f>SUM(BX997:BY997)</f>
        <v>0</v>
      </c>
      <c r="CB997" s="723">
        <v>0</v>
      </c>
      <c r="CC997" s="723">
        <v>0</v>
      </c>
      <c r="CD997" s="722">
        <f>SUM(CB997:CC997)</f>
        <v>0</v>
      </c>
      <c r="CF997" s="723">
        <v>0</v>
      </c>
      <c r="CG997" s="723">
        <v>0</v>
      </c>
      <c r="CH997" s="722">
        <f>SUM(CF997:CG997)</f>
        <v>0</v>
      </c>
      <c r="CJ997" s="723">
        <v>0</v>
      </c>
      <c r="CK997" s="723">
        <v>0</v>
      </c>
      <c r="CL997" s="722">
        <f>SUM(CJ997:CK997)</f>
        <v>0</v>
      </c>
      <c r="CN997" s="723">
        <v>0</v>
      </c>
      <c r="CO997" s="723">
        <v>0</v>
      </c>
      <c r="CP997" s="722">
        <f>SUM(CN997:CO997)</f>
        <v>0</v>
      </c>
      <c r="CR997" s="723">
        <v>-67.704807000000002</v>
      </c>
      <c r="CS997" s="723">
        <v>-4.8531969999999998</v>
      </c>
      <c r="CT997" s="722">
        <f>SUM(CR997:CS997)</f>
        <v>-72.558003999999997</v>
      </c>
      <c r="CV997" s="723">
        <v>-13.124237000000001</v>
      </c>
      <c r="CW997" s="723">
        <v>-12.244847</v>
      </c>
      <c r="CX997" s="722">
        <f>SUM(CV997:CW997)</f>
        <v>-25.369084000000001</v>
      </c>
      <c r="CY997" s="410"/>
      <c r="CZ997" s="723">
        <v>-1.517388</v>
      </c>
      <c r="DA997" s="723">
        <v>-1.0715760000000001</v>
      </c>
      <c r="DB997" s="722">
        <f>SUM(CZ997:DA997)</f>
        <v>-2.5889639999999998</v>
      </c>
      <c r="DD997" s="723">
        <v>-0.11799999999999999</v>
      </c>
      <c r="DE997" s="723">
        <v>0</v>
      </c>
      <c r="DF997" s="722">
        <f>SUM(DD997:DE997)</f>
        <v>-0.11799999999999999</v>
      </c>
      <c r="DH997" s="723">
        <v>-0.11799999999999999</v>
      </c>
      <c r="DI997" s="722">
        <f>DH1104</f>
        <v>0</v>
      </c>
      <c r="DJ997" s="722">
        <f>SUM(DH997:DI997)</f>
        <v>-0.11799999999999999</v>
      </c>
      <c r="DL997" s="722">
        <f>DI1104</f>
        <v>0</v>
      </c>
      <c r="DM997" s="722">
        <f>DL1104</f>
        <v>0</v>
      </c>
      <c r="DN997" s="722">
        <f>SUM(DL997:DM997)</f>
        <v>0</v>
      </c>
      <c r="DP997" s="722">
        <f>DM1104</f>
        <v>0</v>
      </c>
      <c r="DQ997" s="722">
        <f>DP1104</f>
        <v>0</v>
      </c>
      <c r="DR997" s="722">
        <f>SUM(DP997:DQ997)</f>
        <v>0</v>
      </c>
      <c r="DT997" s="1"/>
      <c r="DU997" s="1"/>
      <c r="DV997" s="1"/>
      <c r="DW997" s="1"/>
      <c r="DX997" s="1"/>
      <c r="DY997" s="1"/>
      <c r="DZ997" s="1"/>
      <c r="EA997" s="1"/>
      <c r="EB997" s="1"/>
      <c r="EC997" s="1"/>
      <c r="ED997" s="1"/>
      <c r="EE997" s="1"/>
      <c r="EF997" s="1"/>
      <c r="EG997" s="1"/>
      <c r="EH997" s="1"/>
      <c r="EI997" s="1"/>
      <c r="EJ997" s="1"/>
      <c r="EK997" s="1"/>
      <c r="EL997" s="1"/>
      <c r="EM997" s="1"/>
      <c r="EN997" s="1"/>
      <c r="EO997" s="1"/>
      <c r="EP997" s="1"/>
      <c r="EQ997" s="1"/>
      <c r="ER997" s="1"/>
      <c r="ES997" s="1"/>
      <c r="ET997" s="1"/>
      <c r="EU997" s="1"/>
      <c r="EV997" s="1"/>
      <c r="EW997" s="1"/>
      <c r="EX997" s="1"/>
      <c r="EY997" s="1"/>
      <c r="EZ997" s="1"/>
      <c r="FA997" s="1"/>
      <c r="FB997" s="1"/>
      <c r="FC997" s="1"/>
      <c r="FD997" s="1"/>
      <c r="FE997" s="1"/>
      <c r="FF997" s="1"/>
      <c r="FG997" s="1"/>
      <c r="FH997" s="1"/>
      <c r="FI997" s="1"/>
      <c r="FJ997" s="1"/>
      <c r="FK997" s="1"/>
      <c r="FL997" s="1"/>
      <c r="FM997" s="1"/>
      <c r="FN997" s="1"/>
      <c r="FO997" s="1"/>
      <c r="FP997" s="1"/>
      <c r="FQ997" s="1"/>
      <c r="FR997" s="1"/>
      <c r="FS997" s="1"/>
      <c r="FT997" s="1"/>
      <c r="FU997" s="1"/>
      <c r="FV997" s="1"/>
      <c r="FW997" s="1"/>
      <c r="FX997" s="1"/>
      <c r="FY997" s="1"/>
      <c r="FZ997" s="1"/>
      <c r="GA997" s="1"/>
      <c r="GB997" s="1"/>
      <c r="GC997" s="1"/>
      <c r="GD997" s="1"/>
      <c r="GE997" s="1"/>
      <c r="GF997" s="1"/>
      <c r="GG997" s="1"/>
      <c r="GH997" s="1"/>
      <c r="GI997" s="1"/>
      <c r="GJ997" s="1"/>
      <c r="GK997" s="1"/>
      <c r="GL997" s="1"/>
      <c r="GM997" s="1"/>
      <c r="GN997" s="1"/>
      <c r="GO997" s="1"/>
      <c r="GP997" s="1"/>
      <c r="GQ997" s="1"/>
      <c r="GR997" s="1"/>
      <c r="GS997" s="1"/>
      <c r="GT997" s="1"/>
      <c r="GU997" s="1"/>
      <c r="GV997" s="1"/>
      <c r="GW997" s="1"/>
      <c r="GX997" s="1"/>
      <c r="GY997" s="1"/>
      <c r="GZ997" s="1"/>
      <c r="HA997" s="1"/>
      <c r="HB997" s="1"/>
      <c r="HC997" s="1"/>
      <c r="HD997" s="1"/>
      <c r="HE997" s="1"/>
      <c r="HF997" s="1"/>
      <c r="HG997" s="1"/>
      <c r="HH997" s="1"/>
      <c r="HI997" s="1"/>
      <c r="HJ997" s="1"/>
      <c r="HK997" s="1"/>
      <c r="HL997" s="1"/>
      <c r="HM997" s="1"/>
      <c r="HN997" s="1"/>
      <c r="HO997" s="1"/>
      <c r="HP997" s="1"/>
      <c r="HQ997" s="1"/>
      <c r="HR997" s="1"/>
      <c r="HS997" s="1"/>
      <c r="HT997" s="1"/>
      <c r="HU997" s="1"/>
      <c r="HV997" s="1"/>
      <c r="HW997" s="1"/>
      <c r="HX997" s="1"/>
      <c r="HY997" s="1"/>
      <c r="HZ997" s="1"/>
      <c r="IA997" s="1"/>
      <c r="IB997" s="1"/>
      <c r="IC997" s="1"/>
      <c r="ID997" s="1"/>
      <c r="IE997" s="1"/>
      <c r="IF997" s="1"/>
      <c r="IG997" s="1"/>
      <c r="IH997" s="1"/>
      <c r="II997" s="1"/>
      <c r="IJ997" s="1"/>
      <c r="IK997" s="1"/>
      <c r="IL997" s="1"/>
      <c r="IM997" s="1"/>
      <c r="IN997" s="1"/>
      <c r="IO997" s="1"/>
      <c r="IP997" s="1"/>
      <c r="IQ997" s="1"/>
      <c r="IR997" s="1"/>
      <c r="IS997" s="1"/>
      <c r="IT997" s="1"/>
      <c r="IU997" s="1"/>
      <c r="IV997" s="1"/>
      <c r="IW997" s="1"/>
      <c r="IX997" s="1"/>
      <c r="IY997" s="1"/>
      <c r="IZ997" s="1"/>
      <c r="JA997" s="1"/>
      <c r="JB997" s="1"/>
      <c r="JC997" s="1"/>
      <c r="JD997" s="1"/>
    </row>
    <row r="998" spans="1:264" s="347" customFormat="1" x14ac:dyDescent="0.2">
      <c r="A998" s="347" t="s">
        <v>671</v>
      </c>
      <c r="B998" s="348"/>
      <c r="BE998" s="722"/>
      <c r="BH998" s="722">
        <f>+BH999-SUM(BH993:BH997)</f>
        <v>-4.521999999997206E-2</v>
      </c>
      <c r="BI998" s="722">
        <f>+BI999-SUM(BI993:BI997)</f>
        <v>2.7479949999999462</v>
      </c>
      <c r="BJ998" s="722">
        <f>SUM(BH998:BI998)</f>
        <v>2.7027749999999742</v>
      </c>
      <c r="BK998" s="722"/>
      <c r="BL998" s="722">
        <f>+BL999-SUM(BL993:BL997)</f>
        <v>0</v>
      </c>
      <c r="BM998" s="722">
        <f>+BM999-SUM(BM993:BM997)</f>
        <v>0</v>
      </c>
      <c r="BN998" s="722">
        <f>SUM(BL998:BM998)</f>
        <v>0</v>
      </c>
      <c r="BO998" s="722"/>
      <c r="BP998" s="722">
        <f>+BP999-SUM(BP993:BP997)</f>
        <v>0</v>
      </c>
      <c r="BQ998" s="722">
        <f>+BQ999-SUM(BQ993:BQ997)</f>
        <v>0</v>
      </c>
      <c r="BR998" s="722">
        <f>SUM(BP998:BQ998)</f>
        <v>0</v>
      </c>
      <c r="BT998" s="722">
        <f>+BT999-SUM(BT993:BT997)</f>
        <v>0</v>
      </c>
      <c r="BU998" s="722">
        <f>+BU999-SUM(BU993:BU997)</f>
        <v>0</v>
      </c>
      <c r="BV998" s="722">
        <f>SUM(BT998:BU998)</f>
        <v>0</v>
      </c>
      <c r="BX998" s="722">
        <f>+BX999-SUM(BX993:BX997)</f>
        <v>0</v>
      </c>
      <c r="BY998" s="722">
        <f>+BY999-SUM(BY993:BY997)</f>
        <v>0</v>
      </c>
      <c r="BZ998" s="722">
        <f>SUM(BX998:BY998)</f>
        <v>0</v>
      </c>
      <c r="CB998" s="722">
        <f>+CB999-SUM(CB993:CB997)</f>
        <v>2.0876039999998284</v>
      </c>
      <c r="CC998" s="722">
        <f>+CC999-SUM(CC993:CC997)</f>
        <v>0</v>
      </c>
      <c r="CD998" s="722">
        <f>SUM(CB998:CC998)</f>
        <v>2.0876039999998284</v>
      </c>
      <c r="CF998" s="722">
        <f>+CF999-SUM(CF993:CF997)</f>
        <v>0</v>
      </c>
      <c r="CG998" s="722">
        <f>+CG999-SUM(CG993:CG997)</f>
        <v>0</v>
      </c>
      <c r="CH998" s="722">
        <f>SUM(CF998:CG998)</f>
        <v>0</v>
      </c>
      <c r="CJ998" s="722">
        <f>+CJ999-SUM(CJ993:CJ997)</f>
        <v>0</v>
      </c>
      <c r="CK998" s="722">
        <f>+CK999-SUM(CK993:CK997)</f>
        <v>0</v>
      </c>
      <c r="CL998" s="722">
        <f>SUM(CJ998:CK998)</f>
        <v>0</v>
      </c>
      <c r="CN998" s="722">
        <f>+CN999-SUM(CN993:CN997)</f>
        <v>3.8569030000001021</v>
      </c>
      <c r="CO998" s="722">
        <f>+CO999-SUM(CO993:CO997)</f>
        <v>0</v>
      </c>
      <c r="CP998" s="722">
        <f>SUM(CN998:CO998)</f>
        <v>3.8569030000001021</v>
      </c>
      <c r="CR998" s="722">
        <f>+CR999-SUM(CR993:CR997)</f>
        <v>0</v>
      </c>
      <c r="CS998" s="722">
        <f>+CS999-SUM(CS993:CS997)</f>
        <v>0</v>
      </c>
      <c r="CT998" s="722">
        <f>SUM(CR998:CS998)</f>
        <v>0</v>
      </c>
      <c r="CV998" s="722">
        <f>+CV999-SUM(CV993:CV997)</f>
        <v>0</v>
      </c>
      <c r="CW998" s="722">
        <f>+CW999-SUM(CW993:CW997)</f>
        <v>0</v>
      </c>
      <c r="CX998" s="722">
        <f>SUM(CV998:CW998)</f>
        <v>0</v>
      </c>
      <c r="CZ998" s="722">
        <f>+CZ999-SUM(CZ993:CZ997)</f>
        <v>0</v>
      </c>
      <c r="DA998" s="722">
        <f>+DA999-SUM(DA993:DA997)</f>
        <v>0</v>
      </c>
      <c r="DB998" s="722">
        <f>SUM(CZ998:DA998)</f>
        <v>0</v>
      </c>
      <c r="DD998" s="722">
        <f>+DD999-SUM(DD993:DD997)</f>
        <v>0</v>
      </c>
      <c r="DE998" s="722">
        <f>+DE999-SUM(DE993:DE997)</f>
        <v>0</v>
      </c>
      <c r="DF998" s="722">
        <f>SUM(DD998:DE998)</f>
        <v>0</v>
      </c>
      <c r="DH998" s="722">
        <f>+DH999-SUM(DH993:DH997)</f>
        <v>0.11799999999993815</v>
      </c>
      <c r="DI998" s="722">
        <f>DI1107</f>
        <v>0</v>
      </c>
      <c r="DJ998" s="722">
        <f>SUM(DH998:DI998)</f>
        <v>0.11799999999993815</v>
      </c>
      <c r="DL998" s="722">
        <f>DL1107</f>
        <v>0</v>
      </c>
      <c r="DM998" s="722">
        <f>DM1107</f>
        <v>0</v>
      </c>
      <c r="DN998" s="722">
        <f>SUM(DL998:DM998)</f>
        <v>0</v>
      </c>
      <c r="DP998" s="722">
        <f>DP1107</f>
        <v>0</v>
      </c>
      <c r="DQ998" s="722">
        <f>DQ1107</f>
        <v>0</v>
      </c>
      <c r="DR998" s="722">
        <f>SUM(DP998:DQ998)</f>
        <v>0</v>
      </c>
      <c r="DT998" s="1"/>
      <c r="DU998" s="1"/>
      <c r="DV998" s="1"/>
      <c r="DW998" s="1"/>
      <c r="DX998" s="1"/>
      <c r="DY998" s="1"/>
      <c r="DZ998" s="1"/>
      <c r="EA998" s="1"/>
      <c r="EB998" s="1"/>
      <c r="EC998" s="1"/>
      <c r="ED998" s="1"/>
      <c r="EE998" s="1"/>
      <c r="EF998" s="1"/>
      <c r="EG998" s="1"/>
      <c r="EH998" s="1"/>
      <c r="EI998" s="1"/>
      <c r="EJ998" s="1"/>
      <c r="EK998" s="1"/>
      <c r="EL998" s="1"/>
      <c r="EM998" s="1"/>
      <c r="EN998" s="1"/>
      <c r="EO998" s="1"/>
      <c r="EP998" s="1"/>
      <c r="EQ998" s="1"/>
      <c r="ER998" s="1"/>
      <c r="ES998" s="1"/>
      <c r="ET998" s="1"/>
      <c r="EU998" s="1"/>
      <c r="EV998" s="1"/>
      <c r="EW998" s="1"/>
      <c r="EX998" s="1"/>
      <c r="EY998" s="1"/>
      <c r="EZ998" s="1"/>
      <c r="FA998" s="1"/>
      <c r="FB998" s="1"/>
      <c r="FC998" s="1"/>
      <c r="FD998" s="1"/>
      <c r="FE998" s="1"/>
      <c r="FF998" s="1"/>
      <c r="FG998" s="1"/>
      <c r="FH998" s="1"/>
      <c r="FI998" s="1"/>
      <c r="FJ998" s="1"/>
      <c r="FK998" s="1"/>
      <c r="FL998" s="1"/>
      <c r="FM998" s="1"/>
      <c r="FN998" s="1"/>
      <c r="FO998" s="1"/>
      <c r="FP998" s="1"/>
      <c r="FQ998" s="1"/>
      <c r="FR998" s="1"/>
      <c r="FS998" s="1"/>
      <c r="FT998" s="1"/>
      <c r="FU998" s="1"/>
      <c r="FV998" s="1"/>
      <c r="FW998" s="1"/>
      <c r="FX998" s="1"/>
      <c r="FY998" s="1"/>
      <c r="FZ998" s="1"/>
      <c r="GA998" s="1"/>
      <c r="GB998" s="1"/>
      <c r="GC998" s="1"/>
      <c r="GD998" s="1"/>
      <c r="GE998" s="1"/>
      <c r="GF998" s="1"/>
      <c r="GG998" s="1"/>
      <c r="GH998" s="1"/>
      <c r="GI998" s="1"/>
      <c r="GJ998" s="1"/>
      <c r="GK998" s="1"/>
      <c r="GL998" s="1"/>
      <c r="GM998" s="1"/>
      <c r="GN998" s="1"/>
      <c r="GO998" s="1"/>
      <c r="GP998" s="1"/>
      <c r="GQ998" s="1"/>
      <c r="GR998" s="1"/>
      <c r="GS998" s="1"/>
      <c r="GT998" s="1"/>
      <c r="GU998" s="1"/>
      <c r="GV998" s="1"/>
      <c r="GW998" s="1"/>
      <c r="GX998" s="1"/>
      <c r="GY998" s="1"/>
      <c r="GZ998" s="1"/>
      <c r="HA998" s="1"/>
      <c r="HB998" s="1"/>
      <c r="HC998" s="1"/>
      <c r="HD998" s="1"/>
      <c r="HE998" s="1"/>
      <c r="HF998" s="1"/>
      <c r="HG998" s="1"/>
      <c r="HH998" s="1"/>
      <c r="HI998" s="1"/>
      <c r="HJ998" s="1"/>
      <c r="HK998" s="1"/>
      <c r="HL998" s="1"/>
      <c r="HM998" s="1"/>
      <c r="HN998" s="1"/>
      <c r="HO998" s="1"/>
      <c r="HP998" s="1"/>
      <c r="HQ998" s="1"/>
      <c r="HR998" s="1"/>
      <c r="HS998" s="1"/>
      <c r="HT998" s="1"/>
      <c r="HU998" s="1"/>
      <c r="HV998" s="1"/>
      <c r="HW998" s="1"/>
      <c r="HX998" s="1"/>
      <c r="HY998" s="1"/>
      <c r="HZ998" s="1"/>
      <c r="IA998" s="1"/>
      <c r="IB998" s="1"/>
      <c r="IC998" s="1"/>
      <c r="ID998" s="1"/>
      <c r="IE998" s="1"/>
      <c r="IF998" s="1"/>
      <c r="IG998" s="1"/>
      <c r="IH998" s="1"/>
      <c r="II998" s="1"/>
      <c r="IJ998" s="1"/>
      <c r="IK998" s="1"/>
      <c r="IL998" s="1"/>
      <c r="IM998" s="1"/>
      <c r="IN998" s="1"/>
      <c r="IO998" s="1"/>
      <c r="IP998" s="1"/>
      <c r="IQ998" s="1"/>
      <c r="IR998" s="1"/>
      <c r="IS998" s="1"/>
      <c r="IT998" s="1"/>
      <c r="IU998" s="1"/>
      <c r="IV998" s="1"/>
      <c r="IW998" s="1"/>
      <c r="IX998" s="1"/>
      <c r="IY998" s="1"/>
      <c r="IZ998" s="1"/>
      <c r="JA998" s="1"/>
      <c r="JB998" s="1"/>
      <c r="JC998" s="1"/>
      <c r="JD998" s="1"/>
    </row>
    <row r="999" spans="1:264" s="347" customFormat="1" x14ac:dyDescent="0.2">
      <c r="A999" s="411" t="s">
        <v>683</v>
      </c>
      <c r="B999" s="348"/>
      <c r="BE999" s="724">
        <v>1592.2</v>
      </c>
      <c r="BH999" s="724">
        <v>1609.1808410000001</v>
      </c>
      <c r="BI999" s="724">
        <v>1611.928836</v>
      </c>
      <c r="BJ999" s="725">
        <f>SUM(BJ993:BJ998)</f>
        <v>1611.928836</v>
      </c>
      <c r="BK999" s="722"/>
      <c r="BL999" s="724">
        <v>1611.928836</v>
      </c>
      <c r="BM999" s="724">
        <v>1621.3191939999999</v>
      </c>
      <c r="BN999" s="725">
        <f>SUM(BN993:BN998)</f>
        <v>1621.3191940000002</v>
      </c>
      <c r="BO999" s="393">
        <f>BN999/BJ999-1</f>
        <v>5.8255412957946007E-3</v>
      </c>
      <c r="BP999" s="724">
        <v>1621.3191939999999</v>
      </c>
      <c r="BQ999" s="724">
        <v>1627.592713</v>
      </c>
      <c r="BR999" s="725">
        <f>SUM(BR993:BR998)</f>
        <v>1627.592713</v>
      </c>
      <c r="BS999" s="393">
        <f>BR999/BN999-1</f>
        <v>3.8693916800689454E-3</v>
      </c>
      <c r="BT999" s="724">
        <v>1707.5447140000001</v>
      </c>
      <c r="BU999" s="724">
        <v>1715.1421769999999</v>
      </c>
      <c r="BV999" s="725">
        <f>SUM(BV993:BV998)</f>
        <v>1715.1421770000002</v>
      </c>
      <c r="BW999" s="393">
        <f>BV999/BR999-1</f>
        <v>5.3790769214386414E-2</v>
      </c>
      <c r="BX999" s="724">
        <v>1723.1785090000001</v>
      </c>
      <c r="BY999" s="724">
        <v>1729.8681610000001</v>
      </c>
      <c r="BZ999" s="725">
        <f>SUM(BZ993:BZ998)</f>
        <v>1729.8681609999999</v>
      </c>
      <c r="CA999" s="393">
        <f>BZ999/BV999-1</f>
        <v>8.5858678058732263E-3</v>
      </c>
      <c r="CB999" s="724">
        <v>1752.728198</v>
      </c>
      <c r="CC999" s="724">
        <v>1759.84293</v>
      </c>
      <c r="CD999" s="725">
        <f>SUM(CD993:CD998)</f>
        <v>1759.84293</v>
      </c>
      <c r="CF999" s="724">
        <v>1770.239507</v>
      </c>
      <c r="CG999" s="724">
        <v>1770.239507</v>
      </c>
      <c r="CH999" s="725">
        <f>SUM(CH993:CH998)</f>
        <v>1770.239507</v>
      </c>
      <c r="CJ999" s="724">
        <v>1770.239507</v>
      </c>
      <c r="CK999" s="724">
        <v>1770.239507</v>
      </c>
      <c r="CL999" s="725">
        <f>SUM(CL993:CL998)</f>
        <v>1770.239507</v>
      </c>
      <c r="CN999" s="724">
        <v>1774.0964100000001</v>
      </c>
      <c r="CO999" s="724">
        <v>1774.0964100000001</v>
      </c>
      <c r="CP999" s="725">
        <f>SUM(CP993:CP998)</f>
        <v>1774.0964100000001</v>
      </c>
      <c r="CR999" s="724">
        <v>1706.391603</v>
      </c>
      <c r="CS999" s="724">
        <v>1701.5384059999999</v>
      </c>
      <c r="CT999" s="725">
        <f>SUM(CT993:CT998)</f>
        <v>1701.5384060000001</v>
      </c>
      <c r="CV999" s="724">
        <v>1688.4141689999999</v>
      </c>
      <c r="CW999" s="724">
        <v>1676.169322</v>
      </c>
      <c r="CX999" s="725">
        <f>SUM(CX993:CX998)</f>
        <v>1676.169322</v>
      </c>
      <c r="CZ999" s="724">
        <v>1674.651934</v>
      </c>
      <c r="DA999" s="724">
        <v>1673.5803579999999</v>
      </c>
      <c r="DB999" s="725">
        <f>SUM(DB993:DB998)</f>
        <v>1673.5803579999999</v>
      </c>
      <c r="DD999" s="724">
        <v>1673.462358</v>
      </c>
      <c r="DE999" s="724">
        <v>1673.462358</v>
      </c>
      <c r="DF999" s="725">
        <f>SUM(DF993:DF998)</f>
        <v>1673.462358</v>
      </c>
      <c r="DH999" s="724">
        <v>1673.462358</v>
      </c>
      <c r="DI999" s="725">
        <f>SUM(DI993:DI998)</f>
        <v>1673.462358</v>
      </c>
      <c r="DJ999" s="725">
        <f>SUM(DJ993:DJ998)</f>
        <v>1673.462358</v>
      </c>
      <c r="DL999" s="725">
        <f ca="1">SUM(DL993:DL998)</f>
        <v>1673.462358</v>
      </c>
      <c r="DM999" s="725">
        <f ca="1">SUM(DM993:DM998)</f>
        <v>1673.462358</v>
      </c>
      <c r="DN999" s="725">
        <f ca="1">SUM(DN993:DN998)</f>
        <v>1673.462358</v>
      </c>
      <c r="DP999" s="725">
        <f ca="1">SUM(DP993:DP998)</f>
        <v>1673.462358</v>
      </c>
      <c r="DQ999" s="725">
        <f ca="1">SUM(DQ993:DQ998)</f>
        <v>1673.462358</v>
      </c>
      <c r="DR999" s="725">
        <f ca="1">SUM(DR993:DR998)</f>
        <v>1673.462358</v>
      </c>
      <c r="DT999" s="1"/>
      <c r="DU999" s="1"/>
      <c r="DV999" s="1"/>
      <c r="DW999" s="1"/>
      <c r="DX999" s="1"/>
      <c r="DY999" s="1"/>
      <c r="DZ999" s="1"/>
      <c r="EA999" s="1"/>
      <c r="EB999" s="1"/>
      <c r="EC999" s="1"/>
      <c r="ED999" s="1"/>
      <c r="EE999" s="1"/>
      <c r="EF999" s="1"/>
      <c r="EG999" s="1"/>
      <c r="EH999" s="1"/>
      <c r="EI999" s="1"/>
      <c r="EJ999" s="1"/>
      <c r="EK999" s="1"/>
      <c r="EL999" s="1"/>
      <c r="EM999" s="1"/>
      <c r="EN999" s="1"/>
      <c r="EO999" s="1"/>
      <c r="EP999" s="1"/>
      <c r="EQ999" s="1"/>
      <c r="ER999" s="1"/>
      <c r="ES999" s="1"/>
      <c r="ET999" s="1"/>
      <c r="EU999" s="1"/>
      <c r="EV999" s="1"/>
      <c r="EW999" s="1"/>
      <c r="EX999" s="1"/>
      <c r="EY999" s="1"/>
      <c r="EZ999" s="1"/>
      <c r="FA999" s="1"/>
      <c r="FB999" s="1"/>
      <c r="FC999" s="1"/>
      <c r="FD999" s="1"/>
      <c r="FE999" s="1"/>
      <c r="FF999" s="1"/>
      <c r="FG999" s="1"/>
      <c r="FH999" s="1"/>
      <c r="FI999" s="1"/>
      <c r="FJ999" s="1"/>
      <c r="FK999" s="1"/>
      <c r="FL999" s="1"/>
      <c r="FM999" s="1"/>
      <c r="FN999" s="1"/>
      <c r="FO999" s="1"/>
      <c r="FP999" s="1"/>
      <c r="FQ999" s="1"/>
      <c r="FR999" s="1"/>
      <c r="FS999" s="1"/>
      <c r="FT999" s="1"/>
      <c r="FU999" s="1"/>
      <c r="FV999" s="1"/>
      <c r="FW999" s="1"/>
      <c r="FX999" s="1"/>
      <c r="FY999" s="1"/>
      <c r="FZ999" s="1"/>
      <c r="GA999" s="1"/>
      <c r="GB999" s="1"/>
      <c r="GC999" s="1"/>
      <c r="GD999" s="1"/>
      <c r="GE999" s="1"/>
      <c r="GF999" s="1"/>
      <c r="GG999" s="1"/>
      <c r="GH999" s="1"/>
      <c r="GI999" s="1"/>
      <c r="GJ999" s="1"/>
      <c r="GK999" s="1"/>
      <c r="GL999" s="1"/>
      <c r="GM999" s="1"/>
      <c r="GN999" s="1"/>
      <c r="GO999" s="1"/>
      <c r="GP999" s="1"/>
      <c r="GQ999" s="1"/>
      <c r="GR999" s="1"/>
      <c r="GS999" s="1"/>
      <c r="GT999" s="1"/>
      <c r="GU999" s="1"/>
      <c r="GV999" s="1"/>
      <c r="GW999" s="1"/>
      <c r="GX999" s="1"/>
      <c r="GY999" s="1"/>
      <c r="GZ999" s="1"/>
      <c r="HA999" s="1"/>
      <c r="HB999" s="1"/>
      <c r="HC999" s="1"/>
      <c r="HD999" s="1"/>
      <c r="HE999" s="1"/>
      <c r="HF999" s="1"/>
      <c r="HG999" s="1"/>
      <c r="HH999" s="1"/>
      <c r="HI999" s="1"/>
      <c r="HJ999" s="1"/>
      <c r="HK999" s="1"/>
      <c r="HL999" s="1"/>
      <c r="HM999" s="1"/>
      <c r="HN999" s="1"/>
      <c r="HO999" s="1"/>
      <c r="HP999" s="1"/>
      <c r="HQ999" s="1"/>
      <c r="HR999" s="1"/>
      <c r="HS999" s="1"/>
      <c r="HT999" s="1"/>
      <c r="HU999" s="1"/>
      <c r="HV999" s="1"/>
      <c r="HW999" s="1"/>
      <c r="HX999" s="1"/>
      <c r="HY999" s="1"/>
      <c r="HZ999" s="1"/>
      <c r="IA999" s="1"/>
      <c r="IB999" s="1"/>
      <c r="IC999" s="1"/>
      <c r="ID999" s="1"/>
      <c r="IE999" s="1"/>
      <c r="IF999" s="1"/>
      <c r="IG999" s="1"/>
      <c r="IH999" s="1"/>
      <c r="II999" s="1"/>
      <c r="IJ999" s="1"/>
      <c r="IK999" s="1"/>
      <c r="IL999" s="1"/>
      <c r="IM999" s="1"/>
      <c r="IN999" s="1"/>
      <c r="IO999" s="1"/>
      <c r="IP999" s="1"/>
      <c r="IQ999" s="1"/>
      <c r="IR999" s="1"/>
      <c r="IS999" s="1"/>
      <c r="IT999" s="1"/>
      <c r="IU999" s="1"/>
      <c r="IV999" s="1"/>
      <c r="IW999" s="1"/>
      <c r="IX999" s="1"/>
      <c r="IY999" s="1"/>
      <c r="IZ999" s="1"/>
      <c r="JA999" s="1"/>
      <c r="JB999" s="1"/>
      <c r="JC999" s="1"/>
      <c r="JD999" s="1"/>
    </row>
    <row r="1000" spans="1:264" s="347" customFormat="1" x14ac:dyDescent="0.2">
      <c r="A1000" s="347" t="s">
        <v>684</v>
      </c>
      <c r="B1000" s="348"/>
      <c r="BE1000" s="723"/>
      <c r="BH1000" s="723">
        <v>-6.3166700000000002</v>
      </c>
      <c r="BI1000" s="723">
        <v>-6.0760059999999996</v>
      </c>
      <c r="BJ1000" s="722">
        <f>BI1000</f>
        <v>-6.0760059999999996</v>
      </c>
      <c r="BK1000" s="722"/>
      <c r="BL1000" s="723">
        <v>-5.6292350000000004</v>
      </c>
      <c r="BM1000" s="723">
        <v>-5.5160349999999996</v>
      </c>
      <c r="BN1000" s="722">
        <f>BM1000</f>
        <v>-5.5160349999999996</v>
      </c>
      <c r="BO1000" s="722"/>
      <c r="BP1000" s="723">
        <v>-4.8985580000000004</v>
      </c>
      <c r="BQ1000" s="723">
        <v>-4.6542770000000004</v>
      </c>
      <c r="BR1000" s="722">
        <f>BQ1000</f>
        <v>-4.6542770000000004</v>
      </c>
      <c r="BT1000" s="723">
        <v>-4.5786980000000002</v>
      </c>
      <c r="BU1000" s="723">
        <v>-4.0804349999999996</v>
      </c>
      <c r="BV1000" s="722">
        <f>BU1000</f>
        <v>-4.0804349999999996</v>
      </c>
      <c r="BX1000" s="723">
        <v>-3.4217759999999999</v>
      </c>
      <c r="BY1000" s="723">
        <v>-3.8547630000000002</v>
      </c>
      <c r="BZ1000" s="722">
        <f>BY1000</f>
        <v>-3.8547630000000002</v>
      </c>
      <c r="CB1000" s="723">
        <v>-2.84198</v>
      </c>
      <c r="CC1000" s="723">
        <v>-3.2253099999999999</v>
      </c>
      <c r="CD1000" s="722">
        <f>CC1000</f>
        <v>-3.2253099999999999</v>
      </c>
      <c r="CF1000" s="723">
        <v>-2.1710219999999998</v>
      </c>
      <c r="CG1000" s="723">
        <v>-3.5035409999999998</v>
      </c>
      <c r="CH1000" s="722">
        <f>CG1000</f>
        <v>-3.5035409999999998</v>
      </c>
      <c r="CJ1000" s="723">
        <v>-2.1404540000000001</v>
      </c>
      <c r="CK1000" s="723">
        <v>-2.09544</v>
      </c>
      <c r="CL1000" s="722">
        <f>CK1000</f>
        <v>-2.09544</v>
      </c>
      <c r="CN1000" s="723">
        <v>-1.7510779999999999</v>
      </c>
      <c r="CO1000" s="723">
        <v>-1.665028</v>
      </c>
      <c r="CP1000" s="722">
        <f>CO1000</f>
        <v>-1.665028</v>
      </c>
      <c r="CR1000" s="723">
        <v>-1.5103200000000001</v>
      </c>
      <c r="CS1000" s="723">
        <v>-1.6004149999999999</v>
      </c>
      <c r="CT1000" s="722">
        <f>CS1000</f>
        <v>-1.6004149999999999</v>
      </c>
      <c r="CV1000" s="723">
        <v>-1.421454</v>
      </c>
      <c r="CW1000" s="723">
        <v>-1.649931</v>
      </c>
      <c r="CX1000" s="722">
        <f>CW1000</f>
        <v>-1.649931</v>
      </c>
      <c r="CZ1000" s="723">
        <v>-1.4311860000000001</v>
      </c>
      <c r="DA1000" s="723">
        <v>-1.5103279999999999</v>
      </c>
      <c r="DB1000" s="722">
        <f>DA1000</f>
        <v>-1.5103279999999999</v>
      </c>
      <c r="DD1000" s="723">
        <v>-1.463595</v>
      </c>
      <c r="DE1000" s="723">
        <v>-1.620212</v>
      </c>
      <c r="DF1000" s="722">
        <f>DE1000</f>
        <v>-1.620212</v>
      </c>
      <c r="DH1000" s="723">
        <v>-1.3386359999999999</v>
      </c>
      <c r="DI1000" s="722">
        <f>-DI1003</f>
        <v>-1.3386359999999999</v>
      </c>
      <c r="DJ1000" s="722">
        <f>DI1000</f>
        <v>-1.3386359999999999</v>
      </c>
      <c r="DL1000" s="722">
        <f ca="1">-DL1003</f>
        <v>-1.3386359999999999</v>
      </c>
      <c r="DM1000" s="722">
        <f ca="1">-DM1003</f>
        <v>-1.3386359999999999</v>
      </c>
      <c r="DN1000" s="722">
        <f ca="1">DM1000</f>
        <v>-1.3386359999999999</v>
      </c>
      <c r="DP1000" s="722">
        <f ca="1">-DP1003</f>
        <v>-1.3386359999999999</v>
      </c>
      <c r="DQ1000" s="722">
        <f ca="1">-DQ1003</f>
        <v>-1.3386359999999999</v>
      </c>
      <c r="DR1000" s="722">
        <f ca="1">DQ1000</f>
        <v>-1.3386359999999999</v>
      </c>
      <c r="DT1000" s="1"/>
      <c r="DU1000" s="1"/>
      <c r="DV1000" s="1"/>
      <c r="DW1000" s="1"/>
      <c r="DX1000" s="1"/>
      <c r="DY1000" s="1"/>
      <c r="DZ1000" s="1"/>
      <c r="EA1000" s="1"/>
      <c r="EB1000" s="1"/>
      <c r="EC1000" s="1"/>
      <c r="ED1000" s="1"/>
      <c r="EE1000" s="1"/>
      <c r="EF1000" s="1"/>
      <c r="EG1000" s="1"/>
      <c r="EH1000" s="1"/>
      <c r="EI1000" s="1"/>
      <c r="EJ1000" s="1"/>
      <c r="EK1000" s="1"/>
      <c r="EL1000" s="1"/>
      <c r="EM1000" s="1"/>
      <c r="EN1000" s="1"/>
      <c r="EO1000" s="1"/>
      <c r="EP1000" s="1"/>
      <c r="EQ1000" s="1"/>
      <c r="ER1000" s="1"/>
      <c r="ES1000" s="1"/>
      <c r="ET1000" s="1"/>
      <c r="EU1000" s="1"/>
      <c r="EV1000" s="1"/>
      <c r="EW1000" s="1"/>
      <c r="EX1000" s="1"/>
      <c r="EY1000" s="1"/>
      <c r="EZ1000" s="1"/>
      <c r="FA1000" s="1"/>
      <c r="FB1000" s="1"/>
      <c r="FC1000" s="1"/>
      <c r="FD1000" s="1"/>
      <c r="FE1000" s="1"/>
      <c r="FF1000" s="1"/>
      <c r="FG1000" s="1"/>
      <c r="FH1000" s="1"/>
      <c r="FI1000" s="1"/>
      <c r="FJ1000" s="1"/>
      <c r="FK1000" s="1"/>
      <c r="FL1000" s="1"/>
      <c r="FM1000" s="1"/>
      <c r="FN1000" s="1"/>
      <c r="FO1000" s="1"/>
      <c r="FP1000" s="1"/>
      <c r="FQ1000" s="1"/>
      <c r="FR1000" s="1"/>
      <c r="FS1000" s="1"/>
      <c r="FT1000" s="1"/>
      <c r="FU1000" s="1"/>
      <c r="FV1000" s="1"/>
      <c r="FW1000" s="1"/>
      <c r="FX1000" s="1"/>
      <c r="FY1000" s="1"/>
      <c r="FZ1000" s="1"/>
      <c r="GA1000" s="1"/>
      <c r="GB1000" s="1"/>
      <c r="GC1000" s="1"/>
      <c r="GD1000" s="1"/>
      <c r="GE1000" s="1"/>
      <c r="GF1000" s="1"/>
      <c r="GG1000" s="1"/>
      <c r="GH1000" s="1"/>
      <c r="GI1000" s="1"/>
      <c r="GJ1000" s="1"/>
      <c r="GK1000" s="1"/>
      <c r="GL1000" s="1"/>
      <c r="GM1000" s="1"/>
      <c r="GN1000" s="1"/>
      <c r="GO1000" s="1"/>
      <c r="GP1000" s="1"/>
      <c r="GQ1000" s="1"/>
      <c r="GR1000" s="1"/>
      <c r="GS1000" s="1"/>
      <c r="GT1000" s="1"/>
      <c r="GU1000" s="1"/>
      <c r="GV1000" s="1"/>
      <c r="GW1000" s="1"/>
      <c r="GX1000" s="1"/>
      <c r="GY1000" s="1"/>
      <c r="GZ1000" s="1"/>
      <c r="HA1000" s="1"/>
      <c r="HB1000" s="1"/>
      <c r="HC1000" s="1"/>
      <c r="HD1000" s="1"/>
      <c r="HE1000" s="1"/>
      <c r="HF1000" s="1"/>
      <c r="HG1000" s="1"/>
      <c r="HH1000" s="1"/>
      <c r="HI1000" s="1"/>
      <c r="HJ1000" s="1"/>
      <c r="HK1000" s="1"/>
      <c r="HL1000" s="1"/>
      <c r="HM1000" s="1"/>
      <c r="HN1000" s="1"/>
      <c r="HO1000" s="1"/>
      <c r="HP1000" s="1"/>
      <c r="HQ1000" s="1"/>
      <c r="HR1000" s="1"/>
      <c r="HS1000" s="1"/>
      <c r="HT1000" s="1"/>
      <c r="HU1000" s="1"/>
      <c r="HV1000" s="1"/>
      <c r="HW1000" s="1"/>
      <c r="HX1000" s="1"/>
      <c r="HY1000" s="1"/>
      <c r="HZ1000" s="1"/>
      <c r="IA1000" s="1"/>
      <c r="IB1000" s="1"/>
      <c r="IC1000" s="1"/>
      <c r="ID1000" s="1"/>
      <c r="IE1000" s="1"/>
      <c r="IF1000" s="1"/>
      <c r="IG1000" s="1"/>
      <c r="IH1000" s="1"/>
      <c r="II1000" s="1"/>
      <c r="IJ1000" s="1"/>
      <c r="IK1000" s="1"/>
      <c r="IL1000" s="1"/>
      <c r="IM1000" s="1"/>
      <c r="IN1000" s="1"/>
      <c r="IO1000" s="1"/>
      <c r="IP1000" s="1"/>
      <c r="IQ1000" s="1"/>
      <c r="IR1000" s="1"/>
      <c r="IS1000" s="1"/>
      <c r="IT1000" s="1"/>
      <c r="IU1000" s="1"/>
      <c r="IV1000" s="1"/>
      <c r="IW1000" s="1"/>
      <c r="IX1000" s="1"/>
      <c r="IY1000" s="1"/>
      <c r="IZ1000" s="1"/>
      <c r="JA1000" s="1"/>
      <c r="JB1000" s="1"/>
      <c r="JC1000" s="1"/>
      <c r="JD1000" s="1"/>
    </row>
    <row r="1001" spans="1:264" s="411" customFormat="1" x14ac:dyDescent="0.2">
      <c r="A1001" s="411" t="s">
        <v>319</v>
      </c>
      <c r="B1001" s="423"/>
      <c r="BE1001" s="725"/>
      <c r="BH1001" s="725">
        <f>SUM(BH999:BH1000)</f>
        <v>1602.8641710000002</v>
      </c>
      <c r="BI1001" s="725">
        <f>SUM(BI999:BI1000)</f>
        <v>1605.85283</v>
      </c>
      <c r="BJ1001" s="725">
        <f>SUM(BJ999:BJ1000)</f>
        <v>1605.85283</v>
      </c>
      <c r="BK1001" s="423"/>
      <c r="BL1001" s="725">
        <f>SUM(BL999:BL1000)</f>
        <v>1606.2996009999999</v>
      </c>
      <c r="BM1001" s="725">
        <f>SUM(BM999:BM1000)</f>
        <v>1615.8031589999998</v>
      </c>
      <c r="BN1001" s="725">
        <f>SUM(BN999:BN1000)</f>
        <v>1615.8031590000001</v>
      </c>
      <c r="BO1001" s="423"/>
      <c r="BP1001" s="725">
        <f>SUM(BP999:BP1000)</f>
        <v>1616.4206359999998</v>
      </c>
      <c r="BQ1001" s="725">
        <f>SUM(BQ999:BQ1000)</f>
        <v>1622.9384359999999</v>
      </c>
      <c r="BR1001" s="725">
        <f>SUM(BR999:BR1000)</f>
        <v>1622.9384359999999</v>
      </c>
      <c r="BT1001" s="725">
        <f>SUM(BT999:BT1000)</f>
        <v>1702.9660160000001</v>
      </c>
      <c r="BU1001" s="725">
        <f>SUM(BU999:BU1000)</f>
        <v>1711.0617419999999</v>
      </c>
      <c r="BV1001" s="725">
        <f>SUM(BV999:BV1000)</f>
        <v>1711.0617420000001</v>
      </c>
      <c r="BX1001" s="725">
        <f>SUM(BX999:BX1000)</f>
        <v>1719.7567330000002</v>
      </c>
      <c r="BY1001" s="726">
        <f>SUM(BY999:BY1000)</f>
        <v>1726.0133980000001</v>
      </c>
      <c r="BZ1001" s="725">
        <f>SUM(BZ999:BZ1000)</f>
        <v>1726.0133979999998</v>
      </c>
      <c r="CB1001" s="725">
        <f>SUM(CB999:CB1000)</f>
        <v>1749.8862180000001</v>
      </c>
      <c r="CC1001" s="726">
        <f>SUM(CC999:CC1000)</f>
        <v>1756.61762</v>
      </c>
      <c r="CD1001" s="725">
        <f>SUM(CD999:CD1000)</f>
        <v>1756.61762</v>
      </c>
      <c r="CF1001" s="725">
        <f>SUM(CF999:CF1000)</f>
        <v>1768.068485</v>
      </c>
      <c r="CG1001" s="726">
        <f>SUM(CG999:CG1000)</f>
        <v>1766.735966</v>
      </c>
      <c r="CH1001" s="725">
        <f>SUM(CH999:CH1000)</f>
        <v>1766.735966</v>
      </c>
      <c r="CJ1001" s="725">
        <f>SUM(CJ999:CJ1000)</f>
        <v>1768.0990529999999</v>
      </c>
      <c r="CK1001" s="726">
        <f>SUM(CK999:CK1000)</f>
        <v>1768.1440669999999</v>
      </c>
      <c r="CL1001" s="725">
        <f>SUM(CL999:CL1000)</f>
        <v>1768.1440669999999</v>
      </c>
      <c r="CN1001" s="725">
        <f>SUM(CN999:CN1000)</f>
        <v>1772.3453320000001</v>
      </c>
      <c r="CO1001" s="726">
        <f>SUM(CO999:CO1000)</f>
        <v>1772.4313820000002</v>
      </c>
      <c r="CP1001" s="725">
        <f>SUM(CP999:CP1000)</f>
        <v>1772.4313820000002</v>
      </c>
      <c r="CR1001" s="725">
        <f>SUM(CR999:CR1000)</f>
        <v>1704.8812829999999</v>
      </c>
      <c r="CS1001" s="726">
        <f>SUM(CS999:CS1000)</f>
        <v>1699.9379909999998</v>
      </c>
      <c r="CT1001" s="725">
        <f>SUM(CT999:CT1000)</f>
        <v>1699.937991</v>
      </c>
      <c r="CV1001" s="397">
        <f>SUM(CV999:CV1000)</f>
        <v>1686.9927149999999</v>
      </c>
      <c r="CW1001" s="726">
        <f>SUM(CW999:CW1000)</f>
        <v>1674.519391</v>
      </c>
      <c r="CX1001" s="725">
        <f>SUM(CX999:CX1000)</f>
        <v>1674.519391</v>
      </c>
      <c r="CZ1001" s="725">
        <f>SUM(CZ999:CZ1000)</f>
        <v>1673.220748</v>
      </c>
      <c r="DA1001" s="726">
        <f>SUM(DA999:DA1000)</f>
        <v>1672.0700299999999</v>
      </c>
      <c r="DB1001" s="725">
        <f>SUM(DB999:DB1000)</f>
        <v>1672.0700299999999</v>
      </c>
      <c r="DD1001" s="725">
        <f>SUM(DD999:DD1000)</f>
        <v>1671.9987630000001</v>
      </c>
      <c r="DE1001" s="726">
        <f>SUM(DE999:DE1000)</f>
        <v>1671.842146</v>
      </c>
      <c r="DF1001" s="725">
        <f>SUM(DF999:DF1000)</f>
        <v>1671.842146</v>
      </c>
      <c r="DH1001" s="725">
        <f>SUM(DH999:DH1000)</f>
        <v>1672.123722</v>
      </c>
      <c r="DI1001" s="725">
        <f>SUM(DI999:DI1000)</f>
        <v>1672.123722</v>
      </c>
      <c r="DJ1001" s="725">
        <f>SUM(DJ999:DJ1000)</f>
        <v>1672.123722</v>
      </c>
      <c r="DL1001" s="725">
        <f ca="1">SUM(DL999:DL1000)</f>
        <v>1672.123722</v>
      </c>
      <c r="DM1001" s="725">
        <f ca="1">SUM(DM999:DM1000)</f>
        <v>1672.123722</v>
      </c>
      <c r="DN1001" s="725">
        <f ca="1">SUM(DN999:DN1000)</f>
        <v>1672.123722</v>
      </c>
      <c r="DP1001" s="725">
        <f ca="1">SUM(DP999:DP1000)</f>
        <v>1672.123722</v>
      </c>
      <c r="DQ1001" s="725">
        <f ca="1">SUM(DQ999:DQ1000)</f>
        <v>1672.123722</v>
      </c>
      <c r="DR1001" s="725">
        <f ca="1">SUM(DR999:DR1000)</f>
        <v>1672.123722</v>
      </c>
      <c r="DT1001" s="1"/>
      <c r="DU1001" s="1"/>
      <c r="DV1001" s="1"/>
      <c r="DW1001" s="1"/>
      <c r="DX1001" s="1"/>
      <c r="DY1001" s="1"/>
      <c r="DZ1001" s="1"/>
      <c r="EA1001" s="1"/>
      <c r="EB1001" s="1"/>
      <c r="EC1001" s="1"/>
      <c r="ED1001" s="1"/>
      <c r="EE1001" s="1"/>
      <c r="EF1001" s="1"/>
      <c r="EG1001" s="1"/>
      <c r="EH1001" s="1"/>
      <c r="EI1001" s="1"/>
      <c r="EJ1001" s="1"/>
      <c r="EK1001" s="1"/>
      <c r="EL1001" s="1"/>
      <c r="EM1001" s="1"/>
      <c r="EN1001" s="1"/>
      <c r="EO1001" s="1"/>
      <c r="EP1001" s="1"/>
      <c r="EQ1001" s="1"/>
      <c r="ER1001" s="1"/>
      <c r="ES1001" s="1"/>
      <c r="ET1001" s="1"/>
      <c r="EU1001" s="1"/>
      <c r="EV1001" s="1"/>
      <c r="EW1001" s="1"/>
      <c r="EX1001" s="1"/>
      <c r="EY1001" s="1"/>
      <c r="EZ1001" s="1"/>
      <c r="FA1001" s="1"/>
      <c r="FB1001" s="1"/>
      <c r="FC1001" s="1"/>
      <c r="FD1001" s="1"/>
      <c r="FE1001" s="1"/>
      <c r="FF1001" s="1"/>
      <c r="FG1001" s="1"/>
      <c r="FH1001" s="1"/>
      <c r="FI1001" s="1"/>
      <c r="FJ1001" s="1"/>
      <c r="FK1001" s="1"/>
      <c r="FL1001" s="1"/>
      <c r="FM1001" s="1"/>
      <c r="FN1001" s="1"/>
      <c r="FO1001" s="1"/>
      <c r="FP1001" s="1"/>
      <c r="FQ1001" s="1"/>
      <c r="FR1001" s="1"/>
      <c r="FS1001" s="1"/>
      <c r="FT1001" s="1"/>
      <c r="FU1001" s="1"/>
      <c r="FV1001" s="1"/>
      <c r="FW1001" s="1"/>
      <c r="FX1001" s="1"/>
      <c r="FY1001" s="1"/>
      <c r="FZ1001" s="1"/>
      <c r="GA1001" s="1"/>
      <c r="GB1001" s="1"/>
      <c r="GC1001" s="1"/>
      <c r="GD1001" s="1"/>
      <c r="GE1001" s="1"/>
      <c r="GF1001" s="1"/>
      <c r="GG1001" s="1"/>
      <c r="GH1001" s="1"/>
      <c r="GI1001" s="1"/>
      <c r="GJ1001" s="1"/>
      <c r="GK1001" s="1"/>
      <c r="GL1001" s="1"/>
      <c r="GM1001" s="1"/>
      <c r="GN1001" s="1"/>
      <c r="GO1001" s="1"/>
      <c r="GP1001" s="1"/>
      <c r="GQ1001" s="1"/>
      <c r="GR1001" s="1"/>
      <c r="GS1001" s="1"/>
      <c r="GT1001" s="1"/>
      <c r="GU1001" s="1"/>
      <c r="GV1001" s="1"/>
      <c r="GW1001" s="1"/>
      <c r="GX1001" s="1"/>
      <c r="GY1001" s="1"/>
      <c r="GZ1001" s="1"/>
      <c r="HA1001" s="1"/>
      <c r="HB1001" s="1"/>
      <c r="HC1001" s="1"/>
      <c r="HD1001" s="1"/>
      <c r="HE1001" s="1"/>
      <c r="HF1001" s="1"/>
      <c r="HG1001" s="1"/>
      <c r="HH1001" s="1"/>
      <c r="HI1001" s="1"/>
      <c r="HJ1001" s="1"/>
      <c r="HK1001" s="1"/>
      <c r="HL1001" s="1"/>
      <c r="HM1001" s="1"/>
      <c r="HN1001" s="1"/>
      <c r="HO1001" s="1"/>
      <c r="HP1001" s="1"/>
      <c r="HQ1001" s="1"/>
      <c r="HR1001" s="1"/>
      <c r="HS1001" s="1"/>
      <c r="HT1001" s="1"/>
      <c r="HU1001" s="1"/>
      <c r="HV1001" s="1"/>
      <c r="HW1001" s="1"/>
      <c r="HX1001" s="1"/>
      <c r="HY1001" s="1"/>
      <c r="HZ1001" s="1"/>
      <c r="IA1001" s="1"/>
      <c r="IB1001" s="1"/>
      <c r="IC1001" s="1"/>
      <c r="ID1001" s="1"/>
      <c r="IE1001" s="1"/>
      <c r="IF1001" s="1"/>
      <c r="IG1001" s="1"/>
      <c r="IH1001" s="1"/>
      <c r="II1001" s="1"/>
      <c r="IJ1001" s="1"/>
      <c r="IK1001" s="1"/>
      <c r="IL1001" s="1"/>
      <c r="IM1001" s="1"/>
      <c r="IN1001" s="1"/>
      <c r="IO1001" s="1"/>
      <c r="IP1001" s="1"/>
      <c r="IQ1001" s="1"/>
      <c r="IR1001" s="1"/>
      <c r="IS1001" s="1"/>
      <c r="IT1001" s="1"/>
      <c r="IU1001" s="1"/>
      <c r="IV1001" s="1"/>
      <c r="IW1001" s="1"/>
      <c r="IX1001" s="1"/>
      <c r="IY1001" s="1"/>
      <c r="IZ1001" s="1"/>
      <c r="JA1001" s="1"/>
      <c r="JB1001" s="1"/>
      <c r="JC1001" s="1"/>
      <c r="JD1001" s="1"/>
    </row>
    <row r="1002" spans="1:264" s="347" customFormat="1" x14ac:dyDescent="0.2">
      <c r="B1002" s="348"/>
      <c r="BE1002" s="348"/>
      <c r="BH1002" s="348"/>
      <c r="BI1002" s="348"/>
      <c r="BJ1002" s="348"/>
      <c r="BK1002" s="348"/>
      <c r="BL1002" s="348"/>
      <c r="BM1002" s="348"/>
      <c r="BN1002" s="348"/>
      <c r="BO1002" s="348"/>
      <c r="BP1002" s="348"/>
      <c r="BQ1002" s="348"/>
      <c r="BR1002" s="348"/>
      <c r="BT1002" s="348"/>
      <c r="BU1002" s="348"/>
      <c r="BV1002" s="348"/>
      <c r="BX1002" s="348"/>
      <c r="BY1002" s="348"/>
      <c r="BZ1002" s="348"/>
      <c r="CB1002" s="348"/>
      <c r="CC1002" s="348"/>
      <c r="CD1002" s="348"/>
      <c r="CF1002" s="348"/>
      <c r="CG1002" s="348"/>
      <c r="CH1002" s="348"/>
      <c r="CJ1002" s="348"/>
      <c r="CK1002" s="348"/>
      <c r="CL1002" s="348"/>
      <c r="CN1002" s="348"/>
      <c r="CO1002" s="348"/>
      <c r="CP1002" s="348"/>
      <c r="CR1002" s="348"/>
      <c r="CS1002" s="348"/>
      <c r="CT1002" s="348"/>
      <c r="CV1002" s="348"/>
      <c r="CW1002" s="348"/>
      <c r="CX1002" s="348"/>
      <c r="CZ1002" s="348"/>
      <c r="DA1002" s="348"/>
      <c r="DB1002" s="348"/>
      <c r="DD1002" s="348"/>
      <c r="DE1002" s="348"/>
      <c r="DF1002" s="348"/>
      <c r="DH1002" s="348"/>
      <c r="DI1002" s="348"/>
      <c r="DL1002" s="348"/>
      <c r="DM1002" s="348"/>
      <c r="DP1002" s="348"/>
      <c r="DQ1002" s="348"/>
      <c r="DT1002" s="1"/>
      <c r="DU1002" s="1"/>
      <c r="DV1002" s="1"/>
      <c r="DW1002" s="1"/>
      <c r="DX1002" s="1"/>
      <c r="DY1002" s="1"/>
      <c r="DZ1002" s="1"/>
      <c r="EA1002" s="1"/>
      <c r="EB1002" s="1"/>
      <c r="EC1002" s="1"/>
      <c r="ED1002" s="1"/>
      <c r="EE1002" s="1"/>
      <c r="EF1002" s="1"/>
      <c r="EG1002" s="1"/>
      <c r="EH1002" s="1"/>
      <c r="EI1002" s="1"/>
      <c r="EJ1002" s="1"/>
      <c r="EK1002" s="1"/>
      <c r="EL1002" s="1"/>
      <c r="EM1002" s="1"/>
      <c r="EN1002" s="1"/>
      <c r="EO1002" s="1"/>
      <c r="EP1002" s="1"/>
      <c r="EQ1002" s="1"/>
      <c r="ER1002" s="1"/>
      <c r="ES1002" s="1"/>
      <c r="ET1002" s="1"/>
      <c r="EU1002" s="1"/>
      <c r="EV1002" s="1"/>
      <c r="EW1002" s="1"/>
      <c r="EX1002" s="1"/>
      <c r="EY1002" s="1"/>
      <c r="EZ1002" s="1"/>
      <c r="FA1002" s="1"/>
      <c r="FB1002" s="1"/>
      <c r="FC1002" s="1"/>
      <c r="FD1002" s="1"/>
      <c r="FE1002" s="1"/>
      <c r="FF1002" s="1"/>
      <c r="FG1002" s="1"/>
      <c r="FH1002" s="1"/>
      <c r="FI1002" s="1"/>
      <c r="FJ1002" s="1"/>
      <c r="FK1002" s="1"/>
      <c r="FL1002" s="1"/>
      <c r="FM1002" s="1"/>
      <c r="FN1002" s="1"/>
      <c r="FO1002" s="1"/>
      <c r="FP1002" s="1"/>
      <c r="FQ1002" s="1"/>
      <c r="FR1002" s="1"/>
      <c r="FS1002" s="1"/>
      <c r="FT1002" s="1"/>
      <c r="FU1002" s="1"/>
      <c r="FV1002" s="1"/>
      <c r="FW1002" s="1"/>
      <c r="FX1002" s="1"/>
      <c r="FY1002" s="1"/>
      <c r="FZ1002" s="1"/>
      <c r="GA1002" s="1"/>
      <c r="GB1002" s="1"/>
      <c r="GC1002" s="1"/>
      <c r="GD1002" s="1"/>
      <c r="GE1002" s="1"/>
      <c r="GF1002" s="1"/>
      <c r="GG1002" s="1"/>
      <c r="GH1002" s="1"/>
      <c r="GI1002" s="1"/>
      <c r="GJ1002" s="1"/>
      <c r="GK1002" s="1"/>
      <c r="GL1002" s="1"/>
      <c r="GM1002" s="1"/>
      <c r="GN1002" s="1"/>
      <c r="GO1002" s="1"/>
      <c r="GP1002" s="1"/>
      <c r="GQ1002" s="1"/>
      <c r="GR1002" s="1"/>
      <c r="GS1002" s="1"/>
      <c r="GT1002" s="1"/>
      <c r="GU1002" s="1"/>
      <c r="GV1002" s="1"/>
      <c r="GW1002" s="1"/>
      <c r="GX1002" s="1"/>
      <c r="GY1002" s="1"/>
      <c r="GZ1002" s="1"/>
      <c r="HA1002" s="1"/>
      <c r="HB1002" s="1"/>
      <c r="HC1002" s="1"/>
      <c r="HD1002" s="1"/>
      <c r="HE1002" s="1"/>
      <c r="HF1002" s="1"/>
      <c r="HG1002" s="1"/>
      <c r="HH1002" s="1"/>
      <c r="HI1002" s="1"/>
      <c r="HJ1002" s="1"/>
      <c r="HK1002" s="1"/>
      <c r="HL1002" s="1"/>
      <c r="HM1002" s="1"/>
      <c r="HN1002" s="1"/>
      <c r="HO1002" s="1"/>
      <c r="HP1002" s="1"/>
      <c r="HQ1002" s="1"/>
      <c r="HR1002" s="1"/>
      <c r="HS1002" s="1"/>
      <c r="HT1002" s="1"/>
      <c r="HU1002" s="1"/>
      <c r="HV1002" s="1"/>
      <c r="HW1002" s="1"/>
      <c r="HX1002" s="1"/>
      <c r="HY1002" s="1"/>
      <c r="HZ1002" s="1"/>
      <c r="IA1002" s="1"/>
      <c r="IB1002" s="1"/>
      <c r="IC1002" s="1"/>
      <c r="ID1002" s="1"/>
      <c r="IE1002" s="1"/>
      <c r="IF1002" s="1"/>
      <c r="IG1002" s="1"/>
      <c r="IH1002" s="1"/>
      <c r="II1002" s="1"/>
      <c r="IJ1002" s="1"/>
      <c r="IK1002" s="1"/>
      <c r="IL1002" s="1"/>
      <c r="IM1002" s="1"/>
      <c r="IN1002" s="1"/>
      <c r="IO1002" s="1"/>
      <c r="IP1002" s="1"/>
      <c r="IQ1002" s="1"/>
      <c r="IR1002" s="1"/>
      <c r="IS1002" s="1"/>
      <c r="IT1002" s="1"/>
      <c r="IU1002" s="1"/>
      <c r="IV1002" s="1"/>
      <c r="IW1002" s="1"/>
      <c r="IX1002" s="1"/>
      <c r="IY1002" s="1"/>
      <c r="IZ1002" s="1"/>
      <c r="JA1002" s="1"/>
      <c r="JB1002" s="1"/>
      <c r="JC1002" s="1"/>
      <c r="JD1002" s="1"/>
    </row>
    <row r="1003" spans="1:264" s="347" customFormat="1" x14ac:dyDescent="0.2">
      <c r="A1003" s="347" t="s">
        <v>685</v>
      </c>
      <c r="B1003" s="348"/>
      <c r="BE1003" s="722"/>
      <c r="BH1003" s="722">
        <f>-BH1000</f>
        <v>6.3166700000000002</v>
      </c>
      <c r="BI1003" s="722">
        <f>-BI1000</f>
        <v>6.0760059999999996</v>
      </c>
      <c r="BJ1003" s="722"/>
      <c r="BK1003" s="722"/>
      <c r="BL1003" s="722">
        <f>-BL1000</f>
        <v>5.6292350000000004</v>
      </c>
      <c r="BM1003" s="722">
        <f>-BM1000</f>
        <v>5.5160349999999996</v>
      </c>
      <c r="BN1003" s="722"/>
      <c r="BO1003" s="348"/>
      <c r="BP1003" s="722">
        <f>-BP1000</f>
        <v>4.8985580000000004</v>
      </c>
      <c r="BQ1003" s="722">
        <f>-BQ1000</f>
        <v>4.6542770000000004</v>
      </c>
      <c r="BR1003" s="722"/>
      <c r="BT1003" s="722">
        <f>-BT1000</f>
        <v>4.5786980000000002</v>
      </c>
      <c r="BU1003" s="722">
        <f>-BU1000</f>
        <v>4.0804349999999996</v>
      </c>
      <c r="BV1003" s="722"/>
      <c r="BX1003" s="722">
        <f>-BX1000</f>
        <v>3.4217759999999999</v>
      </c>
      <c r="BY1003" s="722">
        <f>-BY1000</f>
        <v>3.8547630000000002</v>
      </c>
      <c r="BZ1003" s="722"/>
      <c r="CB1003" s="722">
        <f>-CB1000</f>
        <v>2.84198</v>
      </c>
      <c r="CC1003" s="722">
        <f>-CC1000</f>
        <v>3.2253099999999999</v>
      </c>
      <c r="CD1003" s="722"/>
      <c r="CF1003" s="722">
        <f>-CF1000</f>
        <v>2.1710219999999998</v>
      </c>
      <c r="CG1003" s="722">
        <f>-CG1000</f>
        <v>3.5035409999999998</v>
      </c>
      <c r="CH1003" s="722"/>
      <c r="CJ1003" s="722">
        <f>-CJ1000</f>
        <v>2.1404540000000001</v>
      </c>
      <c r="CK1003" s="722">
        <f>-CK1000</f>
        <v>2.09544</v>
      </c>
      <c r="CL1003" s="722"/>
      <c r="CN1003" s="722">
        <f>-CN1000</f>
        <v>1.7510779999999999</v>
      </c>
      <c r="CO1003" s="722">
        <f>-CO1000</f>
        <v>1.665028</v>
      </c>
      <c r="CP1003" s="722"/>
      <c r="CR1003" s="722">
        <f>-CR1000</f>
        <v>1.5103200000000001</v>
      </c>
      <c r="CS1003" s="722">
        <f>-CS1000</f>
        <v>1.6004149999999999</v>
      </c>
      <c r="CT1003" s="722"/>
      <c r="CV1003" s="722">
        <f>-CV1000</f>
        <v>1.421454</v>
      </c>
      <c r="CW1003" s="722">
        <f>-CW1000</f>
        <v>1.649931</v>
      </c>
      <c r="CX1003" s="722"/>
      <c r="CZ1003" s="722">
        <f>-CZ1000</f>
        <v>1.4311860000000001</v>
      </c>
      <c r="DA1003" s="722">
        <f>-DA1000</f>
        <v>1.5103279999999999</v>
      </c>
      <c r="DB1003" s="722"/>
      <c r="DD1003" s="722">
        <f>-DD1000</f>
        <v>1.463595</v>
      </c>
      <c r="DE1003" s="722">
        <f>-DE1000</f>
        <v>1.620212</v>
      </c>
      <c r="DF1003" s="722"/>
      <c r="DH1003" s="722">
        <f>-DH1000</f>
        <v>1.3386359999999999</v>
      </c>
      <c r="DI1003" s="722">
        <f>+DI999*DI1004</f>
        <v>1.3386359999999999</v>
      </c>
      <c r="DL1003" s="722">
        <f ca="1">+DL999*DL1004</f>
        <v>1.3386359999999999</v>
      </c>
      <c r="DM1003" s="722">
        <f ca="1">+DM999*DM1004</f>
        <v>1.3386359999999999</v>
      </c>
      <c r="DP1003" s="722">
        <f ca="1">+DP999*DP1004</f>
        <v>1.3386359999999999</v>
      </c>
      <c r="DQ1003" s="722">
        <f ca="1">+DQ999*DQ1004</f>
        <v>1.3386359999999999</v>
      </c>
      <c r="DT1003" s="1"/>
      <c r="DU1003" s="1"/>
      <c r="DV1003" s="1"/>
      <c r="DW1003" s="1"/>
      <c r="DX1003" s="1"/>
      <c r="DY1003" s="1"/>
      <c r="DZ1003" s="1"/>
      <c r="EA1003" s="1"/>
      <c r="EB1003" s="1"/>
      <c r="EC1003" s="1"/>
      <c r="ED1003" s="1"/>
      <c r="EE1003" s="1"/>
      <c r="EF1003" s="1"/>
      <c r="EG1003" s="1"/>
      <c r="EH1003" s="1"/>
      <c r="EI1003" s="1"/>
      <c r="EJ1003" s="1"/>
      <c r="EK1003" s="1"/>
      <c r="EL1003" s="1"/>
      <c r="EM1003" s="1"/>
      <c r="EN1003" s="1"/>
      <c r="EO1003" s="1"/>
      <c r="EP1003" s="1"/>
      <c r="EQ1003" s="1"/>
      <c r="ER1003" s="1"/>
      <c r="ES1003" s="1"/>
      <c r="ET1003" s="1"/>
      <c r="EU1003" s="1"/>
      <c r="EV1003" s="1"/>
      <c r="EW1003" s="1"/>
      <c r="EX1003" s="1"/>
      <c r="EY1003" s="1"/>
      <c r="EZ1003" s="1"/>
      <c r="FA1003" s="1"/>
      <c r="FB1003" s="1"/>
      <c r="FC1003" s="1"/>
      <c r="FD1003" s="1"/>
      <c r="FE1003" s="1"/>
      <c r="FF1003" s="1"/>
      <c r="FG1003" s="1"/>
      <c r="FH1003" s="1"/>
      <c r="FI1003" s="1"/>
      <c r="FJ1003" s="1"/>
      <c r="FK1003" s="1"/>
      <c r="FL1003" s="1"/>
      <c r="FM1003" s="1"/>
      <c r="FN1003" s="1"/>
      <c r="FO1003" s="1"/>
      <c r="FP1003" s="1"/>
      <c r="FQ1003" s="1"/>
      <c r="FR1003" s="1"/>
      <c r="FS1003" s="1"/>
      <c r="FT1003" s="1"/>
      <c r="FU1003" s="1"/>
      <c r="FV1003" s="1"/>
      <c r="FW1003" s="1"/>
      <c r="FX1003" s="1"/>
      <c r="FY1003" s="1"/>
      <c r="FZ1003" s="1"/>
      <c r="GA1003" s="1"/>
      <c r="GB1003" s="1"/>
      <c r="GC1003" s="1"/>
      <c r="GD1003" s="1"/>
      <c r="GE1003" s="1"/>
      <c r="GF1003" s="1"/>
      <c r="GG1003" s="1"/>
      <c r="GH1003" s="1"/>
      <c r="GI1003" s="1"/>
      <c r="GJ1003" s="1"/>
      <c r="GK1003" s="1"/>
      <c r="GL1003" s="1"/>
      <c r="GM1003" s="1"/>
      <c r="GN1003" s="1"/>
      <c r="GO1003" s="1"/>
      <c r="GP1003" s="1"/>
      <c r="GQ1003" s="1"/>
      <c r="GR1003" s="1"/>
      <c r="GS1003" s="1"/>
      <c r="GT1003" s="1"/>
      <c r="GU1003" s="1"/>
      <c r="GV1003" s="1"/>
      <c r="GW1003" s="1"/>
      <c r="GX1003" s="1"/>
      <c r="GY1003" s="1"/>
      <c r="GZ1003" s="1"/>
      <c r="HA1003" s="1"/>
      <c r="HB1003" s="1"/>
      <c r="HC1003" s="1"/>
      <c r="HD1003" s="1"/>
      <c r="HE1003" s="1"/>
      <c r="HF1003" s="1"/>
      <c r="HG1003" s="1"/>
      <c r="HH1003" s="1"/>
      <c r="HI1003" s="1"/>
      <c r="HJ1003" s="1"/>
      <c r="HK1003" s="1"/>
      <c r="HL1003" s="1"/>
      <c r="HM1003" s="1"/>
      <c r="HN1003" s="1"/>
      <c r="HO1003" s="1"/>
      <c r="HP1003" s="1"/>
      <c r="HQ1003" s="1"/>
      <c r="HR1003" s="1"/>
      <c r="HS1003" s="1"/>
      <c r="HT1003" s="1"/>
      <c r="HU1003" s="1"/>
      <c r="HV1003" s="1"/>
      <c r="HW1003" s="1"/>
      <c r="HX1003" s="1"/>
      <c r="HY1003" s="1"/>
      <c r="HZ1003" s="1"/>
      <c r="IA1003" s="1"/>
      <c r="IB1003" s="1"/>
      <c r="IC1003" s="1"/>
      <c r="ID1003" s="1"/>
      <c r="IE1003" s="1"/>
      <c r="IF1003" s="1"/>
      <c r="IG1003" s="1"/>
      <c r="IH1003" s="1"/>
      <c r="II1003" s="1"/>
      <c r="IJ1003" s="1"/>
      <c r="IK1003" s="1"/>
      <c r="IL1003" s="1"/>
      <c r="IM1003" s="1"/>
      <c r="IN1003" s="1"/>
      <c r="IO1003" s="1"/>
      <c r="IP1003" s="1"/>
      <c r="IQ1003" s="1"/>
      <c r="IR1003" s="1"/>
      <c r="IS1003" s="1"/>
      <c r="IT1003" s="1"/>
      <c r="IU1003" s="1"/>
      <c r="IV1003" s="1"/>
      <c r="IW1003" s="1"/>
      <c r="IX1003" s="1"/>
      <c r="IY1003" s="1"/>
      <c r="IZ1003" s="1"/>
      <c r="JA1003" s="1"/>
      <c r="JB1003" s="1"/>
      <c r="JC1003" s="1"/>
      <c r="JD1003" s="1"/>
    </row>
    <row r="1004" spans="1:264" s="347" customFormat="1" x14ac:dyDescent="0.2">
      <c r="A1004" s="463" t="s">
        <v>686</v>
      </c>
      <c r="B1004" s="466"/>
      <c r="C1004" s="463"/>
      <c r="D1004" s="463"/>
      <c r="E1004" s="463"/>
      <c r="F1004" s="463"/>
      <c r="G1004" s="463"/>
      <c r="H1004" s="463"/>
      <c r="I1004" s="463"/>
      <c r="J1004" s="463"/>
      <c r="K1004" s="463"/>
      <c r="L1004" s="463"/>
      <c r="M1004" s="463"/>
      <c r="N1004" s="463"/>
      <c r="O1004" s="463"/>
      <c r="P1004" s="463"/>
      <c r="Q1004" s="463"/>
      <c r="R1004" s="463"/>
      <c r="S1004" s="463"/>
      <c r="T1004" s="463"/>
      <c r="U1004" s="463"/>
      <c r="V1004" s="463"/>
      <c r="W1004" s="463"/>
      <c r="X1004" s="463"/>
      <c r="Y1004" s="463"/>
      <c r="Z1004" s="463"/>
      <c r="AA1004" s="463"/>
      <c r="AB1004" s="463"/>
      <c r="AC1004" s="463"/>
      <c r="AD1004" s="463"/>
      <c r="AE1004" s="463"/>
      <c r="AF1004" s="463"/>
      <c r="AG1004" s="463"/>
      <c r="AH1004" s="463"/>
      <c r="AI1004" s="463"/>
      <c r="AJ1004" s="463"/>
      <c r="AK1004" s="463"/>
      <c r="AL1004" s="463"/>
      <c r="AM1004" s="463"/>
      <c r="AN1004" s="463"/>
      <c r="AO1004" s="463"/>
      <c r="AP1004" s="463"/>
      <c r="AQ1004" s="463"/>
      <c r="AR1004" s="463"/>
      <c r="AS1004" s="463"/>
      <c r="AT1004" s="463"/>
      <c r="AU1004" s="463"/>
      <c r="AV1004" s="463"/>
      <c r="AW1004" s="463"/>
      <c r="AX1004" s="463"/>
      <c r="AY1004" s="463"/>
      <c r="AZ1004" s="463"/>
      <c r="BA1004" s="463"/>
      <c r="BB1004" s="463"/>
      <c r="BC1004" s="463"/>
      <c r="BD1004" s="463"/>
      <c r="BE1004" s="487"/>
      <c r="BF1004" s="463"/>
      <c r="BG1004" s="463"/>
      <c r="BH1004" s="487">
        <f>BH1003/BH999</f>
        <v>3.9253947344256258E-3</v>
      </c>
      <c r="BI1004" s="487">
        <f>BI1003/BI999</f>
        <v>3.7694008968023694E-3</v>
      </c>
      <c r="BJ1004" s="487"/>
      <c r="BK1004" s="727"/>
      <c r="BL1004" s="487">
        <f>BL1003/BL999</f>
        <v>3.4922354351380313E-3</v>
      </c>
      <c r="BM1004" s="487">
        <f>BM1003/BM999</f>
        <v>3.4021894148993834E-3</v>
      </c>
      <c r="BN1004" s="487"/>
      <c r="BO1004" s="466"/>
      <c r="BP1004" s="487">
        <f>BP1003/BP999</f>
        <v>3.0213409044487021E-3</v>
      </c>
      <c r="BQ1004" s="487">
        <f>BQ1003/BQ999</f>
        <v>2.8596079122406347E-3</v>
      </c>
      <c r="BR1004" s="487"/>
      <c r="BS1004" s="463"/>
      <c r="BT1004" s="487">
        <f>BT1003/BT999</f>
        <v>2.6814513040037437E-3</v>
      </c>
      <c r="BU1004" s="487">
        <f>BU1003/BU999</f>
        <v>2.3790651613134458E-3</v>
      </c>
      <c r="BV1004" s="487"/>
      <c r="BW1004" s="463"/>
      <c r="BX1004" s="487">
        <f>BX1003/BX999</f>
        <v>1.9857350716297726E-3</v>
      </c>
      <c r="BY1004" s="487">
        <f>BY1003/BY999</f>
        <v>2.2283565227142186E-3</v>
      </c>
      <c r="BZ1004" s="487"/>
      <c r="CA1004" s="463"/>
      <c r="CB1004" s="487">
        <f>CB1003/CB999</f>
        <v>1.6214607622807241E-3</v>
      </c>
      <c r="CC1004" s="487">
        <f>CC1003/CC999</f>
        <v>1.8327260603876732E-3</v>
      </c>
      <c r="CD1004" s="487"/>
      <c r="CE1004" s="463"/>
      <c r="CF1004" s="487">
        <f>CF1003/CF999</f>
        <v>1.2264001517394672E-3</v>
      </c>
      <c r="CG1004" s="487">
        <f>CG1003/CG999</f>
        <v>1.9791338890280453E-3</v>
      </c>
      <c r="CH1004" s="487"/>
      <c r="CI1004" s="463"/>
      <c r="CJ1004" s="487">
        <f>CJ1003/CJ999</f>
        <v>1.2091324318184477E-3</v>
      </c>
      <c r="CK1004" s="487">
        <f>CK1003/CK999</f>
        <v>1.1837042342090268E-3</v>
      </c>
      <c r="CL1004" s="487"/>
      <c r="CM1004" s="463"/>
      <c r="CN1004" s="487">
        <f>CN1003/CN999</f>
        <v>9.8702527671537294E-4</v>
      </c>
      <c r="CO1004" s="487">
        <f>CO1003/CO999</f>
        <v>9.3852171201902143E-4</v>
      </c>
      <c r="CP1004" s="487"/>
      <c r="CQ1004" s="463"/>
      <c r="CR1004" s="487">
        <f>CR1003/CR999</f>
        <v>8.8509577598993845E-4</v>
      </c>
      <c r="CS1004" s="487">
        <f>CS1003/CS999</f>
        <v>9.4056942491370366E-4</v>
      </c>
      <c r="CT1004" s="487"/>
      <c r="CU1004" s="463"/>
      <c r="CV1004" s="487">
        <f>CV1003/CV999</f>
        <v>8.4188703583427471E-4</v>
      </c>
      <c r="CW1004" s="487">
        <f>CW1003/CW999</f>
        <v>9.84346258068551E-4</v>
      </c>
      <c r="CX1004" s="487"/>
      <c r="CY1004" s="463"/>
      <c r="CZ1004" s="487">
        <f>CZ1003/CZ999</f>
        <v>8.5461699290641973E-4</v>
      </c>
      <c r="DA1004" s="487">
        <f>DA1003/DA999</f>
        <v>9.0245323015436584E-4</v>
      </c>
      <c r="DB1004" s="487"/>
      <c r="DC1004" s="463"/>
      <c r="DD1004" s="487">
        <f>DD1003/DD999</f>
        <v>8.7459092999808002E-4</v>
      </c>
      <c r="DE1004" s="487">
        <f>DE1003/DE999</f>
        <v>9.6817953045347195E-4</v>
      </c>
      <c r="DF1004" s="487"/>
      <c r="DG1004" s="463"/>
      <c r="DH1004" s="487">
        <f>DH1003/DH999</f>
        <v>7.9991999437611482E-4</v>
      </c>
      <c r="DI1004" s="728">
        <f>DH1004</f>
        <v>7.9991999437611482E-4</v>
      </c>
      <c r="DJ1004" s="463"/>
      <c r="DK1004" s="463"/>
      <c r="DL1004" s="728">
        <f>DI1004</f>
        <v>7.9991999437611482E-4</v>
      </c>
      <c r="DM1004" s="728">
        <f>DL1004</f>
        <v>7.9991999437611482E-4</v>
      </c>
      <c r="DN1004" s="463"/>
      <c r="DO1004" s="463"/>
      <c r="DP1004" s="728">
        <f>DM1004</f>
        <v>7.9991999437611482E-4</v>
      </c>
      <c r="DQ1004" s="728">
        <f>DP1004</f>
        <v>7.9991999437611482E-4</v>
      </c>
      <c r="DR1004" s="463"/>
      <c r="DS1004" s="463"/>
      <c r="DT1004" s="1"/>
      <c r="DU1004" s="1"/>
      <c r="DV1004" s="1"/>
      <c r="DW1004" s="1"/>
      <c r="DX1004" s="1"/>
      <c r="DY1004" s="1"/>
      <c r="DZ1004" s="1"/>
      <c r="EA1004" s="1"/>
      <c r="EB1004" s="1"/>
      <c r="EC1004" s="1"/>
      <c r="ED1004" s="1"/>
      <c r="EE1004" s="1"/>
      <c r="EF1004" s="1"/>
      <c r="EG1004" s="1"/>
      <c r="EH1004" s="1"/>
      <c r="EI1004" s="1"/>
      <c r="EJ1004" s="1"/>
      <c r="EK1004" s="1"/>
      <c r="EL1004" s="1"/>
      <c r="EM1004" s="1"/>
      <c r="EN1004" s="1"/>
      <c r="EO1004" s="1"/>
      <c r="EP1004" s="1"/>
      <c r="EQ1004" s="1"/>
      <c r="ER1004" s="1"/>
      <c r="ES1004" s="1"/>
      <c r="ET1004" s="1"/>
      <c r="EU1004" s="1"/>
      <c r="EV1004" s="1"/>
      <c r="EW1004" s="1"/>
      <c r="EX1004" s="1"/>
      <c r="EY1004" s="1"/>
      <c r="EZ1004" s="1"/>
      <c r="FA1004" s="1"/>
      <c r="FB1004" s="1"/>
      <c r="FC1004" s="1"/>
      <c r="FD1004" s="1"/>
      <c r="FE1004" s="1"/>
      <c r="FF1004" s="1"/>
      <c r="FG1004" s="1"/>
      <c r="FH1004" s="1"/>
      <c r="FI1004" s="1"/>
      <c r="FJ1004" s="1"/>
      <c r="FK1004" s="1"/>
      <c r="FL1004" s="1"/>
      <c r="FM1004" s="1"/>
      <c r="FN1004" s="1"/>
      <c r="FO1004" s="1"/>
      <c r="FP1004" s="1"/>
      <c r="FQ1004" s="1"/>
      <c r="FR1004" s="1"/>
      <c r="FS1004" s="1"/>
      <c r="FT1004" s="1"/>
      <c r="FU1004" s="1"/>
      <c r="FV1004" s="1"/>
      <c r="FW1004" s="1"/>
      <c r="FX1004" s="1"/>
      <c r="FY1004" s="1"/>
      <c r="FZ1004" s="1"/>
      <c r="GA1004" s="1"/>
      <c r="GB1004" s="1"/>
      <c r="GC1004" s="1"/>
      <c r="GD1004" s="1"/>
      <c r="GE1004" s="1"/>
      <c r="GF1004" s="1"/>
      <c r="GG1004" s="1"/>
      <c r="GH1004" s="1"/>
      <c r="GI1004" s="1"/>
      <c r="GJ1004" s="1"/>
      <c r="GK1004" s="1"/>
      <c r="GL1004" s="1"/>
      <c r="GM1004" s="1"/>
      <c r="GN1004" s="1"/>
      <c r="GO1004" s="1"/>
      <c r="GP1004" s="1"/>
      <c r="GQ1004" s="1"/>
      <c r="GR1004" s="1"/>
      <c r="GS1004" s="1"/>
      <c r="GT1004" s="1"/>
      <c r="GU1004" s="1"/>
      <c r="GV1004" s="1"/>
      <c r="GW1004" s="1"/>
      <c r="GX1004" s="1"/>
      <c r="GY1004" s="1"/>
      <c r="GZ1004" s="1"/>
      <c r="HA1004" s="1"/>
      <c r="HB1004" s="1"/>
      <c r="HC1004" s="1"/>
      <c r="HD1004" s="1"/>
      <c r="HE1004" s="1"/>
      <c r="HF1004" s="1"/>
      <c r="HG1004" s="1"/>
      <c r="HH1004" s="1"/>
      <c r="HI1004" s="1"/>
      <c r="HJ1004" s="1"/>
      <c r="HK1004" s="1"/>
      <c r="HL1004" s="1"/>
      <c r="HM1004" s="1"/>
      <c r="HN1004" s="1"/>
      <c r="HO1004" s="1"/>
      <c r="HP1004" s="1"/>
      <c r="HQ1004" s="1"/>
      <c r="HR1004" s="1"/>
      <c r="HS1004" s="1"/>
      <c r="HT1004" s="1"/>
      <c r="HU1004" s="1"/>
      <c r="HV1004" s="1"/>
      <c r="HW1004" s="1"/>
      <c r="HX1004" s="1"/>
      <c r="HY1004" s="1"/>
      <c r="HZ1004" s="1"/>
      <c r="IA1004" s="1"/>
      <c r="IB1004" s="1"/>
      <c r="IC1004" s="1"/>
      <c r="ID1004" s="1"/>
      <c r="IE1004" s="1"/>
      <c r="IF1004" s="1"/>
      <c r="IG1004" s="1"/>
      <c r="IH1004" s="1"/>
      <c r="II1004" s="1"/>
      <c r="IJ1004" s="1"/>
      <c r="IK1004" s="1"/>
      <c r="IL1004" s="1"/>
      <c r="IM1004" s="1"/>
      <c r="IN1004" s="1"/>
      <c r="IO1004" s="1"/>
      <c r="IP1004" s="1"/>
      <c r="IQ1004" s="1"/>
      <c r="IR1004" s="1"/>
      <c r="IS1004" s="1"/>
      <c r="IT1004" s="1"/>
      <c r="IU1004" s="1"/>
      <c r="IV1004" s="1"/>
      <c r="IW1004" s="1"/>
      <c r="IX1004" s="1"/>
      <c r="IY1004" s="1"/>
      <c r="IZ1004" s="1"/>
      <c r="JA1004" s="1"/>
      <c r="JB1004" s="1"/>
      <c r="JC1004" s="1"/>
      <c r="JD1004" s="1"/>
    </row>
    <row r="1005" spans="1:264" s="347" customFormat="1" x14ac:dyDescent="0.2">
      <c r="B1005" s="348"/>
      <c r="BH1005" s="348"/>
      <c r="BI1005" s="348"/>
      <c r="BJ1005" s="348"/>
      <c r="BK1005" s="348"/>
      <c r="BL1005" s="348"/>
      <c r="BM1005" s="348"/>
      <c r="BN1005" s="348"/>
      <c r="BO1005" s="348"/>
      <c r="BP1005" s="348"/>
      <c r="BQ1005" s="348"/>
      <c r="BR1005" s="348"/>
      <c r="BT1005" s="348"/>
      <c r="BU1005" s="348"/>
      <c r="BV1005" s="348"/>
      <c r="BX1005" s="348"/>
      <c r="BY1005" s="348"/>
      <c r="BZ1005" s="348"/>
      <c r="CB1005" s="348"/>
      <c r="CC1005" s="348"/>
      <c r="CD1005" s="348"/>
      <c r="CF1005" s="348"/>
      <c r="CG1005" s="348"/>
      <c r="CH1005" s="348"/>
      <c r="CJ1005" s="348"/>
      <c r="CK1005" s="348"/>
      <c r="CL1005" s="348"/>
      <c r="CN1005" s="348"/>
      <c r="CO1005" s="348"/>
      <c r="CP1005" s="348"/>
      <c r="CR1005" s="348"/>
      <c r="CS1005" s="348"/>
      <c r="CT1005" s="348"/>
      <c r="CV1005" s="348"/>
      <c r="CW1005" s="348"/>
      <c r="CX1005" s="348"/>
      <c r="CZ1005" s="348"/>
      <c r="DA1005" s="348"/>
      <c r="DB1005" s="348"/>
      <c r="DD1005" s="348"/>
      <c r="DE1005" s="348"/>
      <c r="DF1005" s="348"/>
      <c r="DH1005" s="348"/>
      <c r="DL1005" s="348"/>
      <c r="DP1005" s="348"/>
      <c r="DT1005" s="1"/>
      <c r="DU1005" s="1"/>
      <c r="DV1005" s="1"/>
      <c r="DW1005" s="1"/>
      <c r="DX1005" s="1"/>
      <c r="DY1005" s="1"/>
      <c r="DZ1005" s="1"/>
      <c r="EA1005" s="1"/>
      <c r="EB1005" s="1"/>
      <c r="EC1005" s="1"/>
      <c r="ED1005" s="1"/>
      <c r="EE1005" s="1"/>
      <c r="EF1005" s="1"/>
      <c r="EG1005" s="1"/>
      <c r="EH1005" s="1"/>
      <c r="EI1005" s="1"/>
      <c r="EJ1005" s="1"/>
      <c r="EK1005" s="1"/>
      <c r="EL1005" s="1"/>
      <c r="EM1005" s="1"/>
      <c r="EN1005" s="1"/>
      <c r="EO1005" s="1"/>
      <c r="EP1005" s="1"/>
      <c r="EQ1005" s="1"/>
      <c r="ER1005" s="1"/>
      <c r="ES1005" s="1"/>
      <c r="ET1005" s="1"/>
      <c r="EU1005" s="1"/>
      <c r="EV1005" s="1"/>
      <c r="EW1005" s="1"/>
      <c r="EX1005" s="1"/>
      <c r="EY1005" s="1"/>
      <c r="EZ1005" s="1"/>
      <c r="FA1005" s="1"/>
      <c r="FB1005" s="1"/>
      <c r="FC1005" s="1"/>
      <c r="FD1005" s="1"/>
      <c r="FE1005" s="1"/>
      <c r="FF1005" s="1"/>
      <c r="FG1005" s="1"/>
      <c r="FH1005" s="1"/>
      <c r="FI1005" s="1"/>
      <c r="FJ1005" s="1"/>
      <c r="FK1005" s="1"/>
      <c r="FL1005" s="1"/>
      <c r="FM1005" s="1"/>
      <c r="FN1005" s="1"/>
      <c r="FO1005" s="1"/>
      <c r="FP1005" s="1"/>
      <c r="FQ1005" s="1"/>
      <c r="FR1005" s="1"/>
      <c r="FS1005" s="1"/>
      <c r="FT1005" s="1"/>
      <c r="FU1005" s="1"/>
      <c r="FV1005" s="1"/>
      <c r="FW1005" s="1"/>
      <c r="FX1005" s="1"/>
      <c r="FY1005" s="1"/>
      <c r="FZ1005" s="1"/>
      <c r="GA1005" s="1"/>
      <c r="GB1005" s="1"/>
      <c r="GC1005" s="1"/>
      <c r="GD1005" s="1"/>
      <c r="GE1005" s="1"/>
      <c r="GF1005" s="1"/>
      <c r="GG1005" s="1"/>
      <c r="GH1005" s="1"/>
      <c r="GI1005" s="1"/>
      <c r="GJ1005" s="1"/>
      <c r="GK1005" s="1"/>
      <c r="GL1005" s="1"/>
      <c r="GM1005" s="1"/>
      <c r="GN1005" s="1"/>
      <c r="GO1005" s="1"/>
      <c r="GP1005" s="1"/>
      <c r="GQ1005" s="1"/>
      <c r="GR1005" s="1"/>
      <c r="GS1005" s="1"/>
      <c r="GT1005" s="1"/>
      <c r="GU1005" s="1"/>
      <c r="GV1005" s="1"/>
      <c r="GW1005" s="1"/>
      <c r="GX1005" s="1"/>
      <c r="GY1005" s="1"/>
      <c r="GZ1005" s="1"/>
      <c r="HA1005" s="1"/>
      <c r="HB1005" s="1"/>
      <c r="HC1005" s="1"/>
      <c r="HD1005" s="1"/>
      <c r="HE1005" s="1"/>
      <c r="HF1005" s="1"/>
      <c r="HG1005" s="1"/>
      <c r="HH1005" s="1"/>
      <c r="HI1005" s="1"/>
      <c r="HJ1005" s="1"/>
      <c r="HK1005" s="1"/>
      <c r="HL1005" s="1"/>
      <c r="HM1005" s="1"/>
      <c r="HN1005" s="1"/>
      <c r="HO1005" s="1"/>
      <c r="HP1005" s="1"/>
      <c r="HQ1005" s="1"/>
      <c r="HR1005" s="1"/>
      <c r="HS1005" s="1"/>
      <c r="HT1005" s="1"/>
      <c r="HU1005" s="1"/>
      <c r="HV1005" s="1"/>
      <c r="HW1005" s="1"/>
      <c r="HX1005" s="1"/>
      <c r="HY1005" s="1"/>
      <c r="HZ1005" s="1"/>
      <c r="IA1005" s="1"/>
      <c r="IB1005" s="1"/>
      <c r="IC1005" s="1"/>
      <c r="ID1005" s="1"/>
      <c r="IE1005" s="1"/>
      <c r="IF1005" s="1"/>
      <c r="IG1005" s="1"/>
      <c r="IH1005" s="1"/>
      <c r="II1005" s="1"/>
      <c r="IJ1005" s="1"/>
      <c r="IK1005" s="1"/>
      <c r="IL1005" s="1"/>
      <c r="IM1005" s="1"/>
      <c r="IN1005" s="1"/>
      <c r="IO1005" s="1"/>
      <c r="IP1005" s="1"/>
      <c r="IQ1005" s="1"/>
      <c r="IR1005" s="1"/>
      <c r="IS1005" s="1"/>
      <c r="IT1005" s="1"/>
      <c r="IU1005" s="1"/>
      <c r="IV1005" s="1"/>
      <c r="IW1005" s="1"/>
      <c r="IX1005" s="1"/>
      <c r="IY1005" s="1"/>
      <c r="IZ1005" s="1"/>
      <c r="JA1005" s="1"/>
      <c r="JB1005" s="1"/>
      <c r="JC1005" s="1"/>
      <c r="JD1005" s="1"/>
    </row>
    <row r="1006" spans="1:264" s="347" customFormat="1" x14ac:dyDescent="0.2">
      <c r="A1006" s="347" t="s">
        <v>665</v>
      </c>
      <c r="B1006" s="348"/>
      <c r="BH1006" s="348"/>
      <c r="BI1006" s="348"/>
      <c r="BJ1006" s="348"/>
      <c r="BK1006" s="348"/>
      <c r="BL1006" s="348"/>
      <c r="BM1006" s="348"/>
      <c r="BN1006" s="348"/>
      <c r="BO1006" s="348"/>
      <c r="BP1006" s="348"/>
      <c r="BQ1006" s="348"/>
      <c r="BR1006" s="348"/>
      <c r="BT1006" s="348"/>
      <c r="BU1006" s="348"/>
      <c r="BV1006" s="348"/>
      <c r="BX1006" s="348"/>
      <c r="BY1006" s="348"/>
      <c r="BZ1006" s="348"/>
      <c r="CB1006" s="351">
        <f>CB947</f>
        <v>66091</v>
      </c>
      <c r="CC1006" s="351">
        <f>CC947</f>
        <v>67860</v>
      </c>
      <c r="CD1006" s="351">
        <f>CD947</f>
        <v>67860</v>
      </c>
      <c r="CF1006" s="351">
        <f>CF947</f>
        <v>68578</v>
      </c>
      <c r="CG1006" s="351">
        <f>CG947</f>
        <v>69649</v>
      </c>
      <c r="CH1006" s="351">
        <f>CH947</f>
        <v>69649</v>
      </c>
      <c r="CJ1006" s="351">
        <f>CJ947</f>
        <v>71153</v>
      </c>
      <c r="CK1006" s="351">
        <f>CK947</f>
        <v>71938</v>
      </c>
      <c r="CL1006" s="351">
        <f>CL947</f>
        <v>71938</v>
      </c>
      <c r="CN1006" s="351">
        <f>CN947</f>
        <v>74920</v>
      </c>
      <c r="CO1006" s="351">
        <f>CO947</f>
        <v>78718</v>
      </c>
      <c r="CP1006" s="351">
        <f>CP947</f>
        <v>78718</v>
      </c>
      <c r="CR1006" s="351">
        <f>CR947</f>
        <v>74663</v>
      </c>
      <c r="CS1006" s="351">
        <f>CS947</f>
        <v>72838</v>
      </c>
      <c r="CT1006" s="351">
        <f>CT947</f>
        <v>72838</v>
      </c>
      <c r="CV1006" s="351">
        <f>CV947</f>
        <v>72321</v>
      </c>
      <c r="CW1006" s="351">
        <f>CW947</f>
        <v>71633</v>
      </c>
      <c r="CX1006" s="351">
        <f>CX947</f>
        <v>71633</v>
      </c>
      <c r="CZ1006" s="351">
        <f>CZ947</f>
        <v>72839</v>
      </c>
      <c r="DA1006" s="351">
        <f>DA947</f>
        <v>73088</v>
      </c>
      <c r="DB1006" s="351">
        <f>DB947</f>
        <v>73088</v>
      </c>
      <c r="DD1006" s="351">
        <f>DD947</f>
        <v>75264</v>
      </c>
      <c r="DE1006" s="351">
        <f>DE947</f>
        <v>78776</v>
      </c>
      <c r="DF1006" s="351">
        <f>DF947</f>
        <v>78776</v>
      </c>
      <c r="DH1006" s="351">
        <f>DH947</f>
        <v>77232</v>
      </c>
      <c r="DI1006" s="351">
        <f>DI947</f>
        <v>78924.016849578707</v>
      </c>
      <c r="DJ1006" s="351">
        <f>DJ947</f>
        <v>78924.016849578707</v>
      </c>
      <c r="DL1006" s="351">
        <f ca="1">DL947</f>
        <v>80170.057431028938</v>
      </c>
      <c r="DM1006" s="351">
        <f ca="1">DM947</f>
        <v>81696.111297174299</v>
      </c>
      <c r="DN1006" s="351">
        <f ca="1">DN947</f>
        <v>81696.111297174299</v>
      </c>
      <c r="DP1006" s="351">
        <f ca="1">DP947</f>
        <v>82816.391055714426</v>
      </c>
      <c r="DQ1006" s="351">
        <f ca="1">DQ947</f>
        <v>84425.659927121276</v>
      </c>
      <c r="DR1006" s="351">
        <f ca="1">DR947</f>
        <v>84425.659927121276</v>
      </c>
      <c r="DT1006" s="1"/>
      <c r="DU1006" s="1"/>
      <c r="DV1006" s="1"/>
      <c r="DW1006" s="1"/>
      <c r="DX1006" s="1"/>
      <c r="DY1006" s="1"/>
      <c r="DZ1006" s="1"/>
      <c r="EA1006" s="1"/>
      <c r="EB1006" s="1"/>
      <c r="EC1006" s="1"/>
      <c r="ED1006" s="1"/>
      <c r="EE1006" s="1"/>
      <c r="EF1006" s="1"/>
      <c r="EG1006" s="1"/>
      <c r="EH1006" s="1"/>
      <c r="EI1006" s="1"/>
      <c r="EJ1006" s="1"/>
      <c r="EK1006" s="1"/>
      <c r="EL1006" s="1"/>
      <c r="EM1006" s="1"/>
      <c r="EN1006" s="1"/>
      <c r="EO1006" s="1"/>
      <c r="EP1006" s="1"/>
      <c r="EQ1006" s="1"/>
      <c r="ER1006" s="1"/>
      <c r="ES1006" s="1"/>
      <c r="ET1006" s="1"/>
      <c r="EU1006" s="1"/>
      <c r="EV1006" s="1"/>
      <c r="EW1006" s="1"/>
      <c r="EX1006" s="1"/>
      <c r="EY1006" s="1"/>
      <c r="EZ1006" s="1"/>
      <c r="FA1006" s="1"/>
      <c r="FB1006" s="1"/>
      <c r="FC1006" s="1"/>
      <c r="FD1006" s="1"/>
      <c r="FE1006" s="1"/>
      <c r="FF1006" s="1"/>
      <c r="FG1006" s="1"/>
      <c r="FH1006" s="1"/>
      <c r="FI1006" s="1"/>
      <c r="FJ1006" s="1"/>
      <c r="FK1006" s="1"/>
      <c r="FL1006" s="1"/>
      <c r="FM1006" s="1"/>
      <c r="FN1006" s="1"/>
      <c r="FO1006" s="1"/>
      <c r="FP1006" s="1"/>
      <c r="FQ1006" s="1"/>
      <c r="FR1006" s="1"/>
      <c r="FS1006" s="1"/>
      <c r="FT1006" s="1"/>
      <c r="FU1006" s="1"/>
      <c r="FV1006" s="1"/>
      <c r="FW1006" s="1"/>
      <c r="FX1006" s="1"/>
      <c r="FY1006" s="1"/>
      <c r="FZ1006" s="1"/>
      <c r="GA1006" s="1"/>
      <c r="GB1006" s="1"/>
      <c r="GC1006" s="1"/>
      <c r="GD1006" s="1"/>
      <c r="GE1006" s="1"/>
      <c r="GF1006" s="1"/>
      <c r="GG1006" s="1"/>
      <c r="GH1006" s="1"/>
      <c r="GI1006" s="1"/>
      <c r="GJ1006" s="1"/>
      <c r="GK1006" s="1"/>
      <c r="GL1006" s="1"/>
      <c r="GM1006" s="1"/>
      <c r="GN1006" s="1"/>
      <c r="GO1006" s="1"/>
      <c r="GP1006" s="1"/>
      <c r="GQ1006" s="1"/>
      <c r="GR1006" s="1"/>
      <c r="GS1006" s="1"/>
      <c r="GT1006" s="1"/>
      <c r="GU1006" s="1"/>
      <c r="GV1006" s="1"/>
      <c r="GW1006" s="1"/>
      <c r="GX1006" s="1"/>
      <c r="GY1006" s="1"/>
      <c r="GZ1006" s="1"/>
      <c r="HA1006" s="1"/>
      <c r="HB1006" s="1"/>
      <c r="HC1006" s="1"/>
      <c r="HD1006" s="1"/>
      <c r="HE1006" s="1"/>
      <c r="HF1006" s="1"/>
      <c r="HG1006" s="1"/>
      <c r="HH1006" s="1"/>
      <c r="HI1006" s="1"/>
      <c r="HJ1006" s="1"/>
      <c r="HK1006" s="1"/>
      <c r="HL1006" s="1"/>
      <c r="HM1006" s="1"/>
      <c r="HN1006" s="1"/>
      <c r="HO1006" s="1"/>
      <c r="HP1006" s="1"/>
      <c r="HQ1006" s="1"/>
      <c r="HR1006" s="1"/>
      <c r="HS1006" s="1"/>
      <c r="HT1006" s="1"/>
      <c r="HU1006" s="1"/>
      <c r="HV1006" s="1"/>
      <c r="HW1006" s="1"/>
      <c r="HX1006" s="1"/>
      <c r="HY1006" s="1"/>
      <c r="HZ1006" s="1"/>
      <c r="IA1006" s="1"/>
      <c r="IB1006" s="1"/>
      <c r="IC1006" s="1"/>
      <c r="ID1006" s="1"/>
      <c r="IE1006" s="1"/>
      <c r="IF1006" s="1"/>
      <c r="IG1006" s="1"/>
      <c r="IH1006" s="1"/>
      <c r="II1006" s="1"/>
      <c r="IJ1006" s="1"/>
      <c r="IK1006" s="1"/>
      <c r="IL1006" s="1"/>
      <c r="IM1006" s="1"/>
      <c r="IN1006" s="1"/>
      <c r="IO1006" s="1"/>
      <c r="IP1006" s="1"/>
      <c r="IQ1006" s="1"/>
      <c r="IR1006" s="1"/>
      <c r="IS1006" s="1"/>
      <c r="IT1006" s="1"/>
      <c r="IU1006" s="1"/>
      <c r="IV1006" s="1"/>
      <c r="IW1006" s="1"/>
      <c r="IX1006" s="1"/>
      <c r="IY1006" s="1"/>
      <c r="IZ1006" s="1"/>
      <c r="JA1006" s="1"/>
      <c r="JB1006" s="1"/>
      <c r="JC1006" s="1"/>
      <c r="JD1006" s="1"/>
    </row>
    <row r="1007" spans="1:264" s="347" customFormat="1" x14ac:dyDescent="0.2">
      <c r="A1007" s="347" t="s">
        <v>687</v>
      </c>
      <c r="B1007" s="348"/>
      <c r="BH1007" s="348"/>
      <c r="BI1007" s="348"/>
      <c r="BJ1007" s="348"/>
      <c r="BK1007" s="348"/>
      <c r="BL1007" s="348"/>
      <c r="BM1007" s="348"/>
      <c r="BN1007" s="348"/>
      <c r="BO1007" s="348"/>
      <c r="BP1007" s="348"/>
      <c r="BQ1007" s="348"/>
      <c r="BR1007" s="348"/>
      <c r="BT1007" s="348"/>
      <c r="BU1007" s="348"/>
      <c r="BV1007" s="348"/>
      <c r="BX1007" s="348"/>
      <c r="BY1007" s="348"/>
      <c r="BZ1007" s="348"/>
      <c r="CB1007" s="604">
        <v>510</v>
      </c>
      <c r="CC1007" s="604">
        <v>509</v>
      </c>
      <c r="CD1007" s="348">
        <f>CC1007</f>
        <v>509</v>
      </c>
      <c r="CF1007" s="604">
        <v>510</v>
      </c>
      <c r="CG1007" s="351">
        <f>+CG1019-CG1025</f>
        <v>12</v>
      </c>
      <c r="CH1007" s="348">
        <f>CG1007</f>
        <v>12</v>
      </c>
      <c r="CJ1007" s="604">
        <v>51</v>
      </c>
      <c r="CK1007" s="351">
        <f>+CK1019-CK1025</f>
        <v>5</v>
      </c>
      <c r="CL1007" s="348">
        <f>CK1007</f>
        <v>5</v>
      </c>
      <c r="CN1007" s="604">
        <v>5</v>
      </c>
      <c r="CO1007" s="351">
        <f>+CO1019-CO1025</f>
        <v>5</v>
      </c>
      <c r="CP1007" s="348">
        <f>CO1007</f>
        <v>5</v>
      </c>
      <c r="CR1007" s="604">
        <v>5</v>
      </c>
      <c r="CS1007" s="351">
        <f>+CS1019-CS1025</f>
        <v>5</v>
      </c>
      <c r="CT1007" s="348">
        <f>CS1007</f>
        <v>5</v>
      </c>
      <c r="CV1007" s="604">
        <v>5</v>
      </c>
      <c r="CW1007" s="351">
        <f>+CW1019-CW1025</f>
        <v>5</v>
      </c>
      <c r="CX1007" s="348">
        <f>CW1007</f>
        <v>5</v>
      </c>
      <c r="CZ1007" s="604">
        <v>5</v>
      </c>
      <c r="DA1007" s="604">
        <v>0</v>
      </c>
      <c r="DB1007" s="348">
        <f>DA1007</f>
        <v>0</v>
      </c>
      <c r="DD1007" s="604">
        <v>0</v>
      </c>
      <c r="DE1007" s="604">
        <v>0</v>
      </c>
      <c r="DF1007" s="348">
        <f>DE1007</f>
        <v>0</v>
      </c>
      <c r="DH1007" s="604">
        <v>0</v>
      </c>
      <c r="DI1007" s="610">
        <f>DH1007</f>
        <v>0</v>
      </c>
      <c r="DJ1007" s="348">
        <f>DI1007</f>
        <v>0</v>
      </c>
      <c r="DL1007" s="610">
        <f>DI1007</f>
        <v>0</v>
      </c>
      <c r="DM1007" s="610">
        <f>DL1007</f>
        <v>0</v>
      </c>
      <c r="DN1007" s="348">
        <f>DM1007</f>
        <v>0</v>
      </c>
      <c r="DP1007" s="610">
        <f>DM1007</f>
        <v>0</v>
      </c>
      <c r="DQ1007" s="610">
        <f>DP1007</f>
        <v>0</v>
      </c>
      <c r="DR1007" s="348">
        <f>DQ1007</f>
        <v>0</v>
      </c>
      <c r="DT1007" s="1"/>
      <c r="DU1007" s="1"/>
      <c r="DV1007" s="1"/>
      <c r="DW1007" s="1"/>
      <c r="DX1007" s="1"/>
      <c r="DY1007" s="1"/>
      <c r="DZ1007" s="1"/>
      <c r="EA1007" s="1"/>
      <c r="EB1007" s="1"/>
      <c r="EC1007" s="1"/>
      <c r="ED1007" s="1"/>
      <c r="EE1007" s="1"/>
      <c r="EF1007" s="1"/>
      <c r="EG1007" s="1"/>
      <c r="EH1007" s="1"/>
      <c r="EI1007" s="1"/>
      <c r="EJ1007" s="1"/>
      <c r="EK1007" s="1"/>
      <c r="EL1007" s="1"/>
      <c r="EM1007" s="1"/>
      <c r="EN1007" s="1"/>
      <c r="EO1007" s="1"/>
      <c r="EP1007" s="1"/>
      <c r="EQ1007" s="1"/>
      <c r="ER1007" s="1"/>
      <c r="ES1007" s="1"/>
      <c r="ET1007" s="1"/>
      <c r="EU1007" s="1"/>
      <c r="EV1007" s="1"/>
      <c r="EW1007" s="1"/>
      <c r="EX1007" s="1"/>
      <c r="EY1007" s="1"/>
      <c r="EZ1007" s="1"/>
      <c r="FA1007" s="1"/>
      <c r="FB1007" s="1"/>
      <c r="FC1007" s="1"/>
      <c r="FD1007" s="1"/>
      <c r="FE1007" s="1"/>
      <c r="FF1007" s="1"/>
      <c r="FG1007" s="1"/>
      <c r="FH1007" s="1"/>
      <c r="FI1007" s="1"/>
      <c r="FJ1007" s="1"/>
      <c r="FK1007" s="1"/>
      <c r="FL1007" s="1"/>
      <c r="FM1007" s="1"/>
      <c r="FN1007" s="1"/>
      <c r="FO1007" s="1"/>
      <c r="FP1007" s="1"/>
      <c r="FQ1007" s="1"/>
      <c r="FR1007" s="1"/>
      <c r="FS1007" s="1"/>
      <c r="FT1007" s="1"/>
      <c r="FU1007" s="1"/>
      <c r="FV1007" s="1"/>
      <c r="FW1007" s="1"/>
      <c r="FX1007" s="1"/>
      <c r="FY1007" s="1"/>
      <c r="FZ1007" s="1"/>
      <c r="GA1007" s="1"/>
      <c r="GB1007" s="1"/>
      <c r="GC1007" s="1"/>
      <c r="GD1007" s="1"/>
      <c r="GE1007" s="1"/>
      <c r="GF1007" s="1"/>
      <c r="GG1007" s="1"/>
      <c r="GH1007" s="1"/>
      <c r="GI1007" s="1"/>
      <c r="GJ1007" s="1"/>
      <c r="GK1007" s="1"/>
      <c r="GL1007" s="1"/>
      <c r="GM1007" s="1"/>
      <c r="GN1007" s="1"/>
      <c r="GO1007" s="1"/>
      <c r="GP1007" s="1"/>
      <c r="GQ1007" s="1"/>
      <c r="GR1007" s="1"/>
      <c r="GS1007" s="1"/>
      <c r="GT1007" s="1"/>
      <c r="GU1007" s="1"/>
      <c r="GV1007" s="1"/>
      <c r="GW1007" s="1"/>
      <c r="GX1007" s="1"/>
      <c r="GY1007" s="1"/>
      <c r="GZ1007" s="1"/>
      <c r="HA1007" s="1"/>
      <c r="HB1007" s="1"/>
      <c r="HC1007" s="1"/>
      <c r="HD1007" s="1"/>
      <c r="HE1007" s="1"/>
      <c r="HF1007" s="1"/>
      <c r="HG1007" s="1"/>
      <c r="HH1007" s="1"/>
      <c r="HI1007" s="1"/>
      <c r="HJ1007" s="1"/>
      <c r="HK1007" s="1"/>
      <c r="HL1007" s="1"/>
      <c r="HM1007" s="1"/>
      <c r="HN1007" s="1"/>
      <c r="HO1007" s="1"/>
      <c r="HP1007" s="1"/>
      <c r="HQ1007" s="1"/>
      <c r="HR1007" s="1"/>
      <c r="HS1007" s="1"/>
      <c r="HT1007" s="1"/>
      <c r="HU1007" s="1"/>
      <c r="HV1007" s="1"/>
      <c r="HW1007" s="1"/>
      <c r="HX1007" s="1"/>
      <c r="HY1007" s="1"/>
      <c r="HZ1007" s="1"/>
      <c r="IA1007" s="1"/>
      <c r="IB1007" s="1"/>
      <c r="IC1007" s="1"/>
      <c r="ID1007" s="1"/>
      <c r="IE1007" s="1"/>
      <c r="IF1007" s="1"/>
      <c r="IG1007" s="1"/>
      <c r="IH1007" s="1"/>
      <c r="II1007" s="1"/>
      <c r="IJ1007" s="1"/>
      <c r="IK1007" s="1"/>
      <c r="IL1007" s="1"/>
      <c r="IM1007" s="1"/>
      <c r="IN1007" s="1"/>
      <c r="IO1007" s="1"/>
      <c r="IP1007" s="1"/>
      <c r="IQ1007" s="1"/>
      <c r="IR1007" s="1"/>
      <c r="IS1007" s="1"/>
      <c r="IT1007" s="1"/>
      <c r="IU1007" s="1"/>
      <c r="IV1007" s="1"/>
      <c r="IW1007" s="1"/>
      <c r="IX1007" s="1"/>
      <c r="IY1007" s="1"/>
      <c r="IZ1007" s="1"/>
      <c r="JA1007" s="1"/>
      <c r="JB1007" s="1"/>
      <c r="JC1007" s="1"/>
      <c r="JD1007" s="1"/>
    </row>
    <row r="1008" spans="1:264" s="347" customFormat="1" x14ac:dyDescent="0.2">
      <c r="A1008" s="347" t="s">
        <v>662</v>
      </c>
      <c r="B1008" s="348"/>
      <c r="BH1008" s="351">
        <f>BH944</f>
        <v>41877</v>
      </c>
      <c r="BI1008" s="351">
        <f>BI944</f>
        <v>44061</v>
      </c>
      <c r="BJ1008" s="351">
        <f>BJ944</f>
        <v>44061</v>
      </c>
      <c r="BK1008" s="348"/>
      <c r="BL1008" s="351">
        <f>BL944</f>
        <v>45562</v>
      </c>
      <c r="BM1008" s="351">
        <f>BM944</f>
        <v>47872</v>
      </c>
      <c r="BN1008" s="351">
        <f>BN944</f>
        <v>47872</v>
      </c>
      <c r="BO1008" s="348"/>
      <c r="BP1008" s="351">
        <f>BP944</f>
        <v>49536</v>
      </c>
      <c r="BQ1008" s="351">
        <f>BQ944</f>
        <v>51492</v>
      </c>
      <c r="BR1008" s="351">
        <f>BR944</f>
        <v>51492</v>
      </c>
      <c r="BT1008" s="351">
        <f>BT944</f>
        <v>58171</v>
      </c>
      <c r="BU1008" s="351">
        <f>BU944</f>
        <v>60014</v>
      </c>
      <c r="BV1008" s="351">
        <f>BV944</f>
        <v>60014</v>
      </c>
      <c r="BX1008" s="351">
        <f>BX944</f>
        <v>61205</v>
      </c>
      <c r="BY1008" s="351">
        <f>BY944</f>
        <v>63114</v>
      </c>
      <c r="BZ1008" s="351">
        <f>BZ944</f>
        <v>63114</v>
      </c>
      <c r="CB1008" s="351">
        <f>+CB1006-CB1007</f>
        <v>65581</v>
      </c>
      <c r="CC1008" s="351">
        <f>+CC1006-CC1007</f>
        <v>67351</v>
      </c>
      <c r="CD1008" s="351">
        <f>+CD1006-CD1007</f>
        <v>67351</v>
      </c>
      <c r="CF1008" s="351">
        <f>+CF1006-CF1007</f>
        <v>68068</v>
      </c>
      <c r="CG1008" s="351">
        <f>+CG1006-CG1007</f>
        <v>69637</v>
      </c>
      <c r="CH1008" s="351">
        <f>+CH1006-CH1007</f>
        <v>69637</v>
      </c>
      <c r="CJ1008" s="351">
        <f>+CJ1006-CJ1007</f>
        <v>71102</v>
      </c>
      <c r="CK1008" s="351">
        <f>+CK1006-CK1007</f>
        <v>71933</v>
      </c>
      <c r="CL1008" s="351">
        <f>+CL1006-CL1007</f>
        <v>71933</v>
      </c>
      <c r="CN1008" s="351">
        <f>+CN1006-CN1007</f>
        <v>74915</v>
      </c>
      <c r="CO1008" s="351">
        <f>+CO1006-CO1007</f>
        <v>78713</v>
      </c>
      <c r="CP1008" s="351">
        <f>+CP1006-CP1007</f>
        <v>78713</v>
      </c>
      <c r="CR1008" s="351">
        <f>+CR1006-CR1007</f>
        <v>74658</v>
      </c>
      <c r="CS1008" s="351">
        <f>+CS1006-CS1007</f>
        <v>72833</v>
      </c>
      <c r="CT1008" s="351">
        <f>+CT1006-CT1007</f>
        <v>72833</v>
      </c>
      <c r="CV1008" s="351">
        <f>+CV1006-CV1007</f>
        <v>72316</v>
      </c>
      <c r="CW1008" s="351">
        <f>+CW1006-CW1007</f>
        <v>71628</v>
      </c>
      <c r="CX1008" s="351">
        <f>+CX1006-CX1007</f>
        <v>71628</v>
      </c>
      <c r="CZ1008" s="351">
        <f>+CZ1006-CZ1007</f>
        <v>72834</v>
      </c>
      <c r="DA1008" s="351">
        <f>+DA1006-DA1007</f>
        <v>73088</v>
      </c>
      <c r="DB1008" s="351">
        <f>+DB1006-DB1007</f>
        <v>73088</v>
      </c>
      <c r="DD1008" s="351">
        <f>+DD1006-DD1007</f>
        <v>75264</v>
      </c>
      <c r="DE1008" s="351">
        <f>+DE1006-DE1007</f>
        <v>78776</v>
      </c>
      <c r="DF1008" s="351">
        <f>+DF1006-DF1007</f>
        <v>78776</v>
      </c>
      <c r="DH1008" s="351">
        <f>+DH1006-DH1007</f>
        <v>77232</v>
      </c>
      <c r="DI1008" s="351">
        <f>+DI1006-DI1007</f>
        <v>78924.016849578707</v>
      </c>
      <c r="DJ1008" s="351">
        <f>+DJ1006-DJ1007</f>
        <v>78924.016849578707</v>
      </c>
      <c r="DL1008" s="351">
        <f ca="1">+DL1006-DL1007</f>
        <v>80170.057431028938</v>
      </c>
      <c r="DM1008" s="351">
        <f ca="1">+DM1006-DM1007</f>
        <v>81696.111297174299</v>
      </c>
      <c r="DN1008" s="351">
        <f ca="1">+DN1006-DN1007</f>
        <v>81696.111297174299</v>
      </c>
      <c r="DP1008" s="351">
        <f ca="1">+DP1006-DP1007</f>
        <v>82816.391055714426</v>
      </c>
      <c r="DQ1008" s="351">
        <f ca="1">+DQ1006-DQ1007</f>
        <v>84425.659927121276</v>
      </c>
      <c r="DR1008" s="351">
        <f ca="1">+DR1006-DR1007</f>
        <v>84425.659927121276</v>
      </c>
      <c r="DT1008" s="1"/>
      <c r="DU1008" s="1"/>
      <c r="DV1008" s="1"/>
      <c r="DW1008" s="1"/>
      <c r="DX1008" s="1"/>
      <c r="DY1008" s="1"/>
      <c r="DZ1008" s="1"/>
      <c r="EA1008" s="1"/>
      <c r="EB1008" s="1"/>
      <c r="EC1008" s="1"/>
      <c r="ED1008" s="1"/>
      <c r="EE1008" s="1"/>
      <c r="EF1008" s="1"/>
      <c r="EG1008" s="1"/>
      <c r="EH1008" s="1"/>
      <c r="EI1008" s="1"/>
      <c r="EJ1008" s="1"/>
      <c r="EK1008" s="1"/>
      <c r="EL1008" s="1"/>
      <c r="EM1008" s="1"/>
      <c r="EN1008" s="1"/>
      <c r="EO1008" s="1"/>
      <c r="EP1008" s="1"/>
      <c r="EQ1008" s="1"/>
      <c r="ER1008" s="1"/>
      <c r="ES1008" s="1"/>
      <c r="ET1008" s="1"/>
      <c r="EU1008" s="1"/>
      <c r="EV1008" s="1"/>
      <c r="EW1008" s="1"/>
      <c r="EX1008" s="1"/>
      <c r="EY1008" s="1"/>
      <c r="EZ1008" s="1"/>
      <c r="FA1008" s="1"/>
      <c r="FB1008" s="1"/>
      <c r="FC1008" s="1"/>
      <c r="FD1008" s="1"/>
      <c r="FE1008" s="1"/>
      <c r="FF1008" s="1"/>
      <c r="FG1008" s="1"/>
      <c r="FH1008" s="1"/>
      <c r="FI1008" s="1"/>
      <c r="FJ1008" s="1"/>
      <c r="FK1008" s="1"/>
      <c r="FL1008" s="1"/>
      <c r="FM1008" s="1"/>
      <c r="FN1008" s="1"/>
      <c r="FO1008" s="1"/>
      <c r="FP1008" s="1"/>
      <c r="FQ1008" s="1"/>
      <c r="FR1008" s="1"/>
      <c r="FS1008" s="1"/>
      <c r="FT1008" s="1"/>
      <c r="FU1008" s="1"/>
      <c r="FV1008" s="1"/>
      <c r="FW1008" s="1"/>
      <c r="FX1008" s="1"/>
      <c r="FY1008" s="1"/>
      <c r="FZ1008" s="1"/>
      <c r="GA1008" s="1"/>
      <c r="GB1008" s="1"/>
      <c r="GC1008" s="1"/>
      <c r="GD1008" s="1"/>
      <c r="GE1008" s="1"/>
      <c r="GF1008" s="1"/>
      <c r="GG1008" s="1"/>
      <c r="GH1008" s="1"/>
      <c r="GI1008" s="1"/>
      <c r="GJ1008" s="1"/>
      <c r="GK1008" s="1"/>
      <c r="GL1008" s="1"/>
      <c r="GM1008" s="1"/>
      <c r="GN1008" s="1"/>
      <c r="GO1008" s="1"/>
      <c r="GP1008" s="1"/>
      <c r="GQ1008" s="1"/>
      <c r="GR1008" s="1"/>
      <c r="GS1008" s="1"/>
      <c r="GT1008" s="1"/>
      <c r="GU1008" s="1"/>
      <c r="GV1008" s="1"/>
      <c r="GW1008" s="1"/>
      <c r="GX1008" s="1"/>
      <c r="GY1008" s="1"/>
      <c r="GZ1008" s="1"/>
      <c r="HA1008" s="1"/>
      <c r="HB1008" s="1"/>
      <c r="HC1008" s="1"/>
      <c r="HD1008" s="1"/>
      <c r="HE1008" s="1"/>
      <c r="HF1008" s="1"/>
      <c r="HG1008" s="1"/>
      <c r="HH1008" s="1"/>
      <c r="HI1008" s="1"/>
      <c r="HJ1008" s="1"/>
      <c r="HK1008" s="1"/>
      <c r="HL1008" s="1"/>
      <c r="HM1008" s="1"/>
      <c r="HN1008" s="1"/>
      <c r="HO1008" s="1"/>
      <c r="HP1008" s="1"/>
      <c r="HQ1008" s="1"/>
      <c r="HR1008" s="1"/>
      <c r="HS1008" s="1"/>
      <c r="HT1008" s="1"/>
      <c r="HU1008" s="1"/>
      <c r="HV1008" s="1"/>
      <c r="HW1008" s="1"/>
      <c r="HX1008" s="1"/>
      <c r="HY1008" s="1"/>
      <c r="HZ1008" s="1"/>
      <c r="IA1008" s="1"/>
      <c r="IB1008" s="1"/>
      <c r="IC1008" s="1"/>
      <c r="ID1008" s="1"/>
      <c r="IE1008" s="1"/>
      <c r="IF1008" s="1"/>
      <c r="IG1008" s="1"/>
      <c r="IH1008" s="1"/>
      <c r="II1008" s="1"/>
      <c r="IJ1008" s="1"/>
      <c r="IK1008" s="1"/>
      <c r="IL1008" s="1"/>
      <c r="IM1008" s="1"/>
      <c r="IN1008" s="1"/>
      <c r="IO1008" s="1"/>
      <c r="IP1008" s="1"/>
      <c r="IQ1008" s="1"/>
      <c r="IR1008" s="1"/>
      <c r="IS1008" s="1"/>
      <c r="IT1008" s="1"/>
      <c r="IU1008" s="1"/>
      <c r="IV1008" s="1"/>
      <c r="IW1008" s="1"/>
      <c r="IX1008" s="1"/>
      <c r="IY1008" s="1"/>
      <c r="IZ1008" s="1"/>
      <c r="JA1008" s="1"/>
      <c r="JB1008" s="1"/>
      <c r="JC1008" s="1"/>
      <c r="JD1008" s="1"/>
    </row>
    <row r="1009" spans="1:264" s="347" customFormat="1" x14ac:dyDescent="0.2">
      <c r="A1009" s="347" t="s">
        <v>350</v>
      </c>
      <c r="B1009" s="348"/>
      <c r="BH1009" s="351">
        <f>BH385</f>
        <v>10366</v>
      </c>
      <c r="BI1009" s="351">
        <f>BI385</f>
        <v>10423</v>
      </c>
      <c r="BJ1009" s="351">
        <f>BJ385</f>
        <v>10423</v>
      </c>
      <c r="BK1009" s="348"/>
      <c r="BL1009" s="351">
        <f>BL385</f>
        <v>9942</v>
      </c>
      <c r="BM1009" s="351">
        <f>BM385</f>
        <v>9792</v>
      </c>
      <c r="BN1009" s="351">
        <f>BN385</f>
        <v>9792</v>
      </c>
      <c r="BO1009" s="348"/>
      <c r="BP1009" s="351">
        <f>BP385</f>
        <v>9881</v>
      </c>
      <c r="BQ1009" s="351">
        <f>BQ385</f>
        <v>9970</v>
      </c>
      <c r="BR1009" s="351">
        <f>BR385</f>
        <v>9970</v>
      </c>
      <c r="BT1009" s="351">
        <f>BT385</f>
        <v>10018</v>
      </c>
      <c r="BU1009" s="351">
        <f>BU385</f>
        <v>10384</v>
      </c>
      <c r="BV1009" s="351">
        <f>BV385</f>
        <v>10384</v>
      </c>
      <c r="BX1009" s="351">
        <f>BX385</f>
        <v>8567</v>
      </c>
      <c r="BY1009" s="351">
        <f>BY385</f>
        <v>8588</v>
      </c>
      <c r="BZ1009" s="351">
        <f>BZ385</f>
        <v>8588</v>
      </c>
      <c r="CB1009" s="351">
        <f>CB385</f>
        <v>9140</v>
      </c>
      <c r="CC1009" s="351">
        <f>CC385</f>
        <v>9090</v>
      </c>
      <c r="CD1009" s="351">
        <f>CD385</f>
        <v>9090</v>
      </c>
      <c r="CF1009" s="351">
        <f>CF385</f>
        <v>8161</v>
      </c>
      <c r="CG1009" s="351">
        <f>CG1018-CG1026</f>
        <v>8241</v>
      </c>
      <c r="CH1009" s="351">
        <f>CH385</f>
        <v>7965</v>
      </c>
      <c r="CJ1009" s="351">
        <f>CJ385</f>
        <v>7729</v>
      </c>
      <c r="CK1009" s="351">
        <f>CK1018-CK1026</f>
        <v>7586</v>
      </c>
      <c r="CL1009" s="351">
        <f>CL385</f>
        <v>6891</v>
      </c>
      <c r="CN1009" s="351">
        <f>CN385</f>
        <v>6880</v>
      </c>
      <c r="CO1009" s="351">
        <f>CO1018-CO1026</f>
        <v>6882</v>
      </c>
      <c r="CP1009" s="351">
        <f>CP385</f>
        <v>6942</v>
      </c>
      <c r="CR1009" s="351">
        <f>CR385</f>
        <v>7073</v>
      </c>
      <c r="CS1009" s="351">
        <f>CS1018-CS1026</f>
        <v>6899</v>
      </c>
      <c r="CT1009" s="351">
        <f>CT385</f>
        <v>6899</v>
      </c>
      <c r="CV1009" s="351">
        <f>CV385</f>
        <v>7136</v>
      </c>
      <c r="CW1009" s="351">
        <f>CW1018-CW1026</f>
        <v>7393</v>
      </c>
      <c r="CX1009" s="351">
        <f>CX385</f>
        <v>7393</v>
      </c>
      <c r="CZ1009" s="351">
        <f>CZ385</f>
        <v>7510</v>
      </c>
      <c r="DA1009" s="351">
        <f>DA1018-DA1026</f>
        <v>7600</v>
      </c>
      <c r="DB1009" s="351">
        <f>DB385</f>
        <v>7600</v>
      </c>
      <c r="DD1009" s="351">
        <f>DD385</f>
        <v>7783</v>
      </c>
      <c r="DE1009" s="351">
        <f>DE1018-DE1026</f>
        <v>8082</v>
      </c>
      <c r="DF1009" s="351">
        <f>DF385</f>
        <v>8082</v>
      </c>
      <c r="DH1009" s="351">
        <f>DH385</f>
        <v>8296</v>
      </c>
      <c r="DI1009" s="351">
        <f>DI385</f>
        <v>8498.554894737299</v>
      </c>
      <c r="DJ1009" s="351">
        <f>DJ385</f>
        <v>8498.554894737299</v>
      </c>
      <c r="DL1009" s="351">
        <f>DL385</f>
        <v>8675.4263979548159</v>
      </c>
      <c r="DM1009" s="351">
        <f>DM385</f>
        <v>8838.0358728931587</v>
      </c>
      <c r="DN1009" s="351">
        <f>DN385</f>
        <v>8838.0358728931587</v>
      </c>
      <c r="DP1009" s="351">
        <f>DP385</f>
        <v>8940.6107961401376</v>
      </c>
      <c r="DQ1009" s="351">
        <f>DQ385</f>
        <v>9036.8393534051011</v>
      </c>
      <c r="DR1009" s="351">
        <f>DR385</f>
        <v>9036.8393534051011</v>
      </c>
      <c r="DT1009" s="1"/>
      <c r="DU1009" s="1"/>
      <c r="DV1009" s="1"/>
      <c r="DW1009" s="1"/>
      <c r="DX1009" s="1"/>
      <c r="DY1009" s="1"/>
      <c r="DZ1009" s="1"/>
      <c r="EA1009" s="1"/>
      <c r="EB1009" s="1"/>
      <c r="EC1009" s="1"/>
      <c r="ED1009" s="1"/>
      <c r="EE1009" s="1"/>
      <c r="EF1009" s="1"/>
      <c r="EG1009" s="1"/>
      <c r="EH1009" s="1"/>
      <c r="EI1009" s="1"/>
      <c r="EJ1009" s="1"/>
      <c r="EK1009" s="1"/>
      <c r="EL1009" s="1"/>
      <c r="EM1009" s="1"/>
      <c r="EN1009" s="1"/>
      <c r="EO1009" s="1"/>
      <c r="EP1009" s="1"/>
      <c r="EQ1009" s="1"/>
      <c r="ER1009" s="1"/>
      <c r="ES1009" s="1"/>
      <c r="ET1009" s="1"/>
      <c r="EU1009" s="1"/>
      <c r="EV1009" s="1"/>
      <c r="EW1009" s="1"/>
      <c r="EX1009" s="1"/>
      <c r="EY1009" s="1"/>
      <c r="EZ1009" s="1"/>
      <c r="FA1009" s="1"/>
      <c r="FB1009" s="1"/>
      <c r="FC1009" s="1"/>
      <c r="FD1009" s="1"/>
      <c r="FE1009" s="1"/>
      <c r="FF1009" s="1"/>
      <c r="FG1009" s="1"/>
      <c r="FH1009" s="1"/>
      <c r="FI1009" s="1"/>
      <c r="FJ1009" s="1"/>
      <c r="FK1009" s="1"/>
      <c r="FL1009" s="1"/>
      <c r="FM1009" s="1"/>
      <c r="FN1009" s="1"/>
      <c r="FO1009" s="1"/>
      <c r="FP1009" s="1"/>
      <c r="FQ1009" s="1"/>
      <c r="FR1009" s="1"/>
      <c r="FS1009" s="1"/>
      <c r="FT1009" s="1"/>
      <c r="FU1009" s="1"/>
      <c r="FV1009" s="1"/>
      <c r="FW1009" s="1"/>
      <c r="FX1009" s="1"/>
      <c r="FY1009" s="1"/>
      <c r="FZ1009" s="1"/>
      <c r="GA1009" s="1"/>
      <c r="GB1009" s="1"/>
      <c r="GC1009" s="1"/>
      <c r="GD1009" s="1"/>
      <c r="GE1009" s="1"/>
      <c r="GF1009" s="1"/>
      <c r="GG1009" s="1"/>
      <c r="GH1009" s="1"/>
      <c r="GI1009" s="1"/>
      <c r="GJ1009" s="1"/>
      <c r="GK1009" s="1"/>
      <c r="GL1009" s="1"/>
      <c r="GM1009" s="1"/>
      <c r="GN1009" s="1"/>
      <c r="GO1009" s="1"/>
      <c r="GP1009" s="1"/>
      <c r="GQ1009" s="1"/>
      <c r="GR1009" s="1"/>
      <c r="GS1009" s="1"/>
      <c r="GT1009" s="1"/>
      <c r="GU1009" s="1"/>
      <c r="GV1009" s="1"/>
      <c r="GW1009" s="1"/>
      <c r="GX1009" s="1"/>
      <c r="GY1009" s="1"/>
      <c r="GZ1009" s="1"/>
      <c r="HA1009" s="1"/>
      <c r="HB1009" s="1"/>
      <c r="HC1009" s="1"/>
      <c r="HD1009" s="1"/>
      <c r="HE1009" s="1"/>
      <c r="HF1009" s="1"/>
      <c r="HG1009" s="1"/>
      <c r="HH1009" s="1"/>
      <c r="HI1009" s="1"/>
      <c r="HJ1009" s="1"/>
      <c r="HK1009" s="1"/>
      <c r="HL1009" s="1"/>
      <c r="HM1009" s="1"/>
      <c r="HN1009" s="1"/>
      <c r="HO1009" s="1"/>
      <c r="HP1009" s="1"/>
      <c r="HQ1009" s="1"/>
      <c r="HR1009" s="1"/>
      <c r="HS1009" s="1"/>
      <c r="HT1009" s="1"/>
      <c r="HU1009" s="1"/>
      <c r="HV1009" s="1"/>
      <c r="HW1009" s="1"/>
      <c r="HX1009" s="1"/>
      <c r="HY1009" s="1"/>
      <c r="HZ1009" s="1"/>
      <c r="IA1009" s="1"/>
      <c r="IB1009" s="1"/>
      <c r="IC1009" s="1"/>
      <c r="ID1009" s="1"/>
      <c r="IE1009" s="1"/>
      <c r="IF1009" s="1"/>
      <c r="IG1009" s="1"/>
      <c r="IH1009" s="1"/>
      <c r="II1009" s="1"/>
      <c r="IJ1009" s="1"/>
      <c r="IK1009" s="1"/>
      <c r="IL1009" s="1"/>
      <c r="IM1009" s="1"/>
      <c r="IN1009" s="1"/>
      <c r="IO1009" s="1"/>
      <c r="IP1009" s="1"/>
      <c r="IQ1009" s="1"/>
      <c r="IR1009" s="1"/>
      <c r="IS1009" s="1"/>
      <c r="IT1009" s="1"/>
      <c r="IU1009" s="1"/>
      <c r="IV1009" s="1"/>
      <c r="IW1009" s="1"/>
      <c r="IX1009" s="1"/>
      <c r="IY1009" s="1"/>
      <c r="IZ1009" s="1"/>
      <c r="JA1009" s="1"/>
      <c r="JB1009" s="1"/>
      <c r="JC1009" s="1"/>
      <c r="JD1009" s="1"/>
    </row>
    <row r="1010" spans="1:264" s="347" customFormat="1" x14ac:dyDescent="0.2">
      <c r="A1010" s="347" t="s">
        <v>361</v>
      </c>
      <c r="B1010" s="348"/>
      <c r="BH1010" s="351">
        <f>BH1008-BH1009</f>
        <v>31511</v>
      </c>
      <c r="BI1010" s="351">
        <f>BI1008-BI1009</f>
        <v>33638</v>
      </c>
      <c r="BJ1010" s="351">
        <f>BJ1008-BJ1009</f>
        <v>33638</v>
      </c>
      <c r="BK1010" s="348"/>
      <c r="BL1010" s="351">
        <f>BL1008-BL1009</f>
        <v>35620</v>
      </c>
      <c r="BM1010" s="351">
        <f>BM1008-BM1009</f>
        <v>38080</v>
      </c>
      <c r="BN1010" s="351">
        <f>BN1008-BN1009</f>
        <v>38080</v>
      </c>
      <c r="BO1010" s="348"/>
      <c r="BP1010" s="351">
        <f>BP1008-BP1009</f>
        <v>39655</v>
      </c>
      <c r="BQ1010" s="351">
        <f>BQ1008-BQ1009</f>
        <v>41522</v>
      </c>
      <c r="BR1010" s="351">
        <f>BR1008-BR1009</f>
        <v>41522</v>
      </c>
      <c r="BT1010" s="351">
        <f>BT1008-BT1009</f>
        <v>48153</v>
      </c>
      <c r="BU1010" s="351">
        <f>BU1008-BU1009</f>
        <v>49630</v>
      </c>
      <c r="BV1010" s="351">
        <f>BV1008-BV1009</f>
        <v>49630</v>
      </c>
      <c r="BX1010" s="351">
        <f>BX1008-BX1009</f>
        <v>52638</v>
      </c>
      <c r="BY1010" s="351">
        <f>BY1008-BY1009</f>
        <v>54526</v>
      </c>
      <c r="BZ1010" s="351">
        <f>BZ1008-BZ1009</f>
        <v>54526</v>
      </c>
      <c r="CB1010" s="351">
        <f>CB1008-CB1009</f>
        <v>56441</v>
      </c>
      <c r="CC1010" s="351">
        <f>CC1008-CC1009</f>
        <v>58261</v>
      </c>
      <c r="CD1010" s="351">
        <f>CD1008-CD1009</f>
        <v>58261</v>
      </c>
      <c r="CF1010" s="351">
        <f>CF1008-CF1009</f>
        <v>59907</v>
      </c>
      <c r="CG1010" s="351">
        <f>CG1008-CG1009</f>
        <v>61396</v>
      </c>
      <c r="CH1010" s="351">
        <f>CH1008-CH1009</f>
        <v>61672</v>
      </c>
      <c r="CJ1010" s="351">
        <f>CJ1008-CJ1009</f>
        <v>63373</v>
      </c>
      <c r="CK1010" s="351">
        <f>CK1008-CK1009</f>
        <v>64347</v>
      </c>
      <c r="CL1010" s="351">
        <f>CL1008-CL1009</f>
        <v>65042</v>
      </c>
      <c r="CN1010" s="351">
        <f>CN1008-CN1009</f>
        <v>68035</v>
      </c>
      <c r="CO1010" s="351">
        <f>CO1008-CO1009</f>
        <v>71831</v>
      </c>
      <c r="CP1010" s="351">
        <f>CP1008-CP1009</f>
        <v>71771</v>
      </c>
      <c r="CR1010" s="351">
        <f>CR1008-CR1009</f>
        <v>67585</v>
      </c>
      <c r="CS1010" s="351">
        <f>CS1008-CS1009</f>
        <v>65934</v>
      </c>
      <c r="CT1010" s="351">
        <f>CT1008-CT1009</f>
        <v>65934</v>
      </c>
      <c r="CV1010" s="351">
        <f>CV1008-CV1009</f>
        <v>65180</v>
      </c>
      <c r="CW1010" s="351">
        <f>CW1008-CW1009</f>
        <v>64235</v>
      </c>
      <c r="CX1010" s="351">
        <f>CX1008-CX1009</f>
        <v>64235</v>
      </c>
      <c r="CZ1010" s="351">
        <f>CZ1008-CZ1009</f>
        <v>65324</v>
      </c>
      <c r="DA1010" s="351">
        <f>DA1008-DA1009</f>
        <v>65488</v>
      </c>
      <c r="DB1010" s="351">
        <f>DB1008-DB1009</f>
        <v>65488</v>
      </c>
      <c r="DD1010" s="351">
        <f>DD1008-DD1009</f>
        <v>67481</v>
      </c>
      <c r="DE1010" s="351">
        <f>DE1008-DE1009</f>
        <v>70694</v>
      </c>
      <c r="DF1010" s="351">
        <f>DF1008-DF1009</f>
        <v>70694</v>
      </c>
      <c r="DH1010" s="351">
        <f>DH1008-DH1009</f>
        <v>68936</v>
      </c>
      <c r="DI1010" s="351">
        <f>DI1008-DI1009</f>
        <v>70425.461954841405</v>
      </c>
      <c r="DJ1010" s="351">
        <f>DJ1008-DJ1009</f>
        <v>70425.461954841405</v>
      </c>
      <c r="DL1010" s="351">
        <f ca="1">DL1008-DL1009</f>
        <v>71494.631033074125</v>
      </c>
      <c r="DM1010" s="351">
        <f ca="1">DM1008-DM1009</f>
        <v>72858.075424281138</v>
      </c>
      <c r="DN1010" s="351">
        <f ca="1">DN1008-DN1009</f>
        <v>72858.075424281138</v>
      </c>
      <c r="DP1010" s="351">
        <f ca="1">DP1008-DP1009</f>
        <v>73875.780259574283</v>
      </c>
      <c r="DQ1010" s="351">
        <f ca="1">DQ1008-DQ1009</f>
        <v>75388.820573716177</v>
      </c>
      <c r="DR1010" s="351">
        <f ca="1">DR1008-DR1009</f>
        <v>75388.820573716177</v>
      </c>
      <c r="DT1010" s="1"/>
      <c r="DU1010" s="1"/>
      <c r="DV1010" s="1"/>
      <c r="DW1010" s="1"/>
      <c r="DX1010" s="1"/>
      <c r="DY1010" s="1"/>
      <c r="DZ1010" s="1"/>
      <c r="EA1010" s="1"/>
      <c r="EB1010" s="1"/>
      <c r="EC1010" s="1"/>
      <c r="ED1010" s="1"/>
      <c r="EE1010" s="1"/>
      <c r="EF1010" s="1"/>
      <c r="EG1010" s="1"/>
      <c r="EH1010" s="1"/>
      <c r="EI1010" s="1"/>
      <c r="EJ1010" s="1"/>
      <c r="EK1010" s="1"/>
      <c r="EL1010" s="1"/>
      <c r="EM1010" s="1"/>
      <c r="EN1010" s="1"/>
      <c r="EO1010" s="1"/>
      <c r="EP1010" s="1"/>
      <c r="EQ1010" s="1"/>
      <c r="ER1010" s="1"/>
      <c r="ES1010" s="1"/>
      <c r="ET1010" s="1"/>
      <c r="EU1010" s="1"/>
      <c r="EV1010" s="1"/>
      <c r="EW1010" s="1"/>
      <c r="EX1010" s="1"/>
      <c r="EY1010" s="1"/>
      <c r="EZ1010" s="1"/>
      <c r="FA1010" s="1"/>
      <c r="FB1010" s="1"/>
      <c r="FC1010" s="1"/>
      <c r="FD1010" s="1"/>
      <c r="FE1010" s="1"/>
      <c r="FF1010" s="1"/>
      <c r="FG1010" s="1"/>
      <c r="FH1010" s="1"/>
      <c r="FI1010" s="1"/>
      <c r="FJ1010" s="1"/>
      <c r="FK1010" s="1"/>
      <c r="FL1010" s="1"/>
      <c r="FM1010" s="1"/>
      <c r="FN1010" s="1"/>
      <c r="FO1010" s="1"/>
      <c r="FP1010" s="1"/>
      <c r="FQ1010" s="1"/>
      <c r="FR1010" s="1"/>
      <c r="FS1010" s="1"/>
      <c r="FT1010" s="1"/>
      <c r="FU1010" s="1"/>
      <c r="FV1010" s="1"/>
      <c r="FW1010" s="1"/>
      <c r="FX1010" s="1"/>
      <c r="FY1010" s="1"/>
      <c r="FZ1010" s="1"/>
      <c r="GA1010" s="1"/>
      <c r="GB1010" s="1"/>
      <c r="GC1010" s="1"/>
      <c r="GD1010" s="1"/>
      <c r="GE1010" s="1"/>
      <c r="GF1010" s="1"/>
      <c r="GG1010" s="1"/>
      <c r="GH1010" s="1"/>
      <c r="GI1010" s="1"/>
      <c r="GJ1010" s="1"/>
      <c r="GK1010" s="1"/>
      <c r="GL1010" s="1"/>
      <c r="GM1010" s="1"/>
      <c r="GN1010" s="1"/>
      <c r="GO1010" s="1"/>
      <c r="GP1010" s="1"/>
      <c r="GQ1010" s="1"/>
      <c r="GR1010" s="1"/>
      <c r="GS1010" s="1"/>
      <c r="GT1010" s="1"/>
      <c r="GU1010" s="1"/>
      <c r="GV1010" s="1"/>
      <c r="GW1010" s="1"/>
      <c r="GX1010" s="1"/>
      <c r="GY1010" s="1"/>
      <c r="GZ1010" s="1"/>
      <c r="HA1010" s="1"/>
      <c r="HB1010" s="1"/>
      <c r="HC1010" s="1"/>
      <c r="HD1010" s="1"/>
      <c r="HE1010" s="1"/>
      <c r="HF1010" s="1"/>
      <c r="HG1010" s="1"/>
      <c r="HH1010" s="1"/>
      <c r="HI1010" s="1"/>
      <c r="HJ1010" s="1"/>
      <c r="HK1010" s="1"/>
      <c r="HL1010" s="1"/>
      <c r="HM1010" s="1"/>
      <c r="HN1010" s="1"/>
      <c r="HO1010" s="1"/>
      <c r="HP1010" s="1"/>
      <c r="HQ1010" s="1"/>
      <c r="HR1010" s="1"/>
      <c r="HS1010" s="1"/>
      <c r="HT1010" s="1"/>
      <c r="HU1010" s="1"/>
      <c r="HV1010" s="1"/>
      <c r="HW1010" s="1"/>
      <c r="HX1010" s="1"/>
      <c r="HY1010" s="1"/>
      <c r="HZ1010" s="1"/>
      <c r="IA1010" s="1"/>
      <c r="IB1010" s="1"/>
      <c r="IC1010" s="1"/>
      <c r="ID1010" s="1"/>
      <c r="IE1010" s="1"/>
      <c r="IF1010" s="1"/>
      <c r="IG1010" s="1"/>
      <c r="IH1010" s="1"/>
      <c r="II1010" s="1"/>
      <c r="IJ1010" s="1"/>
      <c r="IK1010" s="1"/>
      <c r="IL1010" s="1"/>
      <c r="IM1010" s="1"/>
      <c r="IN1010" s="1"/>
      <c r="IO1010" s="1"/>
      <c r="IP1010" s="1"/>
      <c r="IQ1010" s="1"/>
      <c r="IR1010" s="1"/>
      <c r="IS1010" s="1"/>
      <c r="IT1010" s="1"/>
      <c r="IU1010" s="1"/>
      <c r="IV1010" s="1"/>
      <c r="IW1010" s="1"/>
      <c r="IX1010" s="1"/>
      <c r="IY1010" s="1"/>
      <c r="IZ1010" s="1"/>
      <c r="JA1010" s="1"/>
      <c r="JB1010" s="1"/>
      <c r="JC1010" s="1"/>
      <c r="JD1010" s="1"/>
    </row>
    <row r="1011" spans="1:264" s="347" customFormat="1" x14ac:dyDescent="0.2">
      <c r="B1011" s="348"/>
      <c r="BH1011" s="348"/>
      <c r="BI1011" s="348"/>
      <c r="BJ1011" s="348"/>
      <c r="BK1011" s="348"/>
      <c r="BL1011" s="348"/>
      <c r="BM1011" s="348"/>
      <c r="BN1011" s="348"/>
      <c r="BO1011" s="348"/>
      <c r="BP1011" s="348"/>
      <c r="BQ1011" s="348"/>
      <c r="BR1011" s="348"/>
      <c r="BT1011" s="348"/>
      <c r="BU1011" s="348"/>
      <c r="BV1011" s="348"/>
      <c r="BX1011" s="348"/>
      <c r="BY1011" s="348"/>
      <c r="BZ1011" s="348"/>
      <c r="CB1011" s="348"/>
      <c r="CC1011" s="348"/>
      <c r="CD1011" s="348"/>
      <c r="CF1011" s="348"/>
      <c r="CG1011" s="348"/>
      <c r="CH1011" s="348"/>
      <c r="CJ1011" s="348"/>
      <c r="CK1011" s="348"/>
      <c r="CL1011" s="348"/>
      <c r="CN1011" s="348"/>
      <c r="CO1011" s="348"/>
      <c r="CP1011" s="348"/>
      <c r="CR1011" s="348"/>
      <c r="CS1011" s="348"/>
      <c r="CT1011" s="348"/>
      <c r="CV1011" s="348"/>
      <c r="CW1011" s="348"/>
      <c r="CX1011" s="348"/>
      <c r="CZ1011" s="348"/>
      <c r="DA1011" s="348"/>
      <c r="DB1011" s="348"/>
      <c r="DD1011" s="348"/>
      <c r="DE1011" s="348"/>
      <c r="DF1011" s="348"/>
      <c r="DH1011" s="348"/>
      <c r="DI1011" s="348"/>
      <c r="DJ1011" s="348"/>
      <c r="DL1011" s="348"/>
      <c r="DM1011" s="348"/>
      <c r="DN1011" s="348"/>
      <c r="DP1011" s="348"/>
      <c r="DQ1011" s="348"/>
      <c r="DR1011" s="348"/>
      <c r="DT1011" s="1"/>
      <c r="DU1011" s="1"/>
      <c r="DV1011" s="1"/>
      <c r="DW1011" s="1"/>
      <c r="DX1011" s="1"/>
      <c r="DY1011" s="1"/>
      <c r="DZ1011" s="1"/>
      <c r="EA1011" s="1"/>
      <c r="EB1011" s="1"/>
      <c r="EC1011" s="1"/>
      <c r="ED1011" s="1"/>
      <c r="EE1011" s="1"/>
      <c r="EF1011" s="1"/>
      <c r="EG1011" s="1"/>
      <c r="EH1011" s="1"/>
      <c r="EI1011" s="1"/>
      <c r="EJ1011" s="1"/>
      <c r="EK1011" s="1"/>
      <c r="EL1011" s="1"/>
      <c r="EM1011" s="1"/>
      <c r="EN1011" s="1"/>
      <c r="EO1011" s="1"/>
      <c r="EP1011" s="1"/>
      <c r="EQ1011" s="1"/>
      <c r="ER1011" s="1"/>
      <c r="ES1011" s="1"/>
      <c r="ET1011" s="1"/>
      <c r="EU1011" s="1"/>
      <c r="EV1011" s="1"/>
      <c r="EW1011" s="1"/>
      <c r="EX1011" s="1"/>
      <c r="EY1011" s="1"/>
      <c r="EZ1011" s="1"/>
      <c r="FA1011" s="1"/>
      <c r="FB1011" s="1"/>
      <c r="FC1011" s="1"/>
      <c r="FD1011" s="1"/>
      <c r="FE1011" s="1"/>
      <c r="FF1011" s="1"/>
      <c r="FG1011" s="1"/>
      <c r="FH1011" s="1"/>
      <c r="FI1011" s="1"/>
      <c r="FJ1011" s="1"/>
      <c r="FK1011" s="1"/>
      <c r="FL1011" s="1"/>
      <c r="FM1011" s="1"/>
      <c r="FN1011" s="1"/>
      <c r="FO1011" s="1"/>
      <c r="FP1011" s="1"/>
      <c r="FQ1011" s="1"/>
      <c r="FR1011" s="1"/>
      <c r="FS1011" s="1"/>
      <c r="FT1011" s="1"/>
      <c r="FU1011" s="1"/>
      <c r="FV1011" s="1"/>
      <c r="FW1011" s="1"/>
      <c r="FX1011" s="1"/>
      <c r="FY1011" s="1"/>
      <c r="FZ1011" s="1"/>
      <c r="GA1011" s="1"/>
      <c r="GB1011" s="1"/>
      <c r="GC1011" s="1"/>
      <c r="GD1011" s="1"/>
      <c r="GE1011" s="1"/>
      <c r="GF1011" s="1"/>
      <c r="GG1011" s="1"/>
      <c r="GH1011" s="1"/>
      <c r="GI1011" s="1"/>
      <c r="GJ1011" s="1"/>
      <c r="GK1011" s="1"/>
      <c r="GL1011" s="1"/>
      <c r="GM1011" s="1"/>
      <c r="GN1011" s="1"/>
      <c r="GO1011" s="1"/>
      <c r="GP1011" s="1"/>
      <c r="GQ1011" s="1"/>
      <c r="GR1011" s="1"/>
      <c r="GS1011" s="1"/>
      <c r="GT1011" s="1"/>
      <c r="GU1011" s="1"/>
      <c r="GV1011" s="1"/>
      <c r="GW1011" s="1"/>
      <c r="GX1011" s="1"/>
      <c r="GY1011" s="1"/>
      <c r="GZ1011" s="1"/>
      <c r="HA1011" s="1"/>
      <c r="HB1011" s="1"/>
      <c r="HC1011" s="1"/>
      <c r="HD1011" s="1"/>
      <c r="HE1011" s="1"/>
      <c r="HF1011" s="1"/>
      <c r="HG1011" s="1"/>
      <c r="HH1011" s="1"/>
      <c r="HI1011" s="1"/>
      <c r="HJ1011" s="1"/>
      <c r="HK1011" s="1"/>
      <c r="HL1011" s="1"/>
      <c r="HM1011" s="1"/>
      <c r="HN1011" s="1"/>
      <c r="HO1011" s="1"/>
      <c r="HP1011" s="1"/>
      <c r="HQ1011" s="1"/>
      <c r="HR1011" s="1"/>
      <c r="HS1011" s="1"/>
      <c r="HT1011" s="1"/>
      <c r="HU1011" s="1"/>
      <c r="HV1011" s="1"/>
      <c r="HW1011" s="1"/>
      <c r="HX1011" s="1"/>
      <c r="HY1011" s="1"/>
      <c r="HZ1011" s="1"/>
      <c r="IA1011" s="1"/>
      <c r="IB1011" s="1"/>
      <c r="IC1011" s="1"/>
      <c r="ID1011" s="1"/>
      <c r="IE1011" s="1"/>
      <c r="IF1011" s="1"/>
      <c r="IG1011" s="1"/>
      <c r="IH1011" s="1"/>
      <c r="II1011" s="1"/>
      <c r="IJ1011" s="1"/>
      <c r="IK1011" s="1"/>
      <c r="IL1011" s="1"/>
      <c r="IM1011" s="1"/>
      <c r="IN1011" s="1"/>
      <c r="IO1011" s="1"/>
      <c r="IP1011" s="1"/>
      <c r="IQ1011" s="1"/>
      <c r="IR1011" s="1"/>
      <c r="IS1011" s="1"/>
      <c r="IT1011" s="1"/>
      <c r="IU1011" s="1"/>
      <c r="IV1011" s="1"/>
      <c r="IW1011" s="1"/>
      <c r="IX1011" s="1"/>
      <c r="IY1011" s="1"/>
      <c r="IZ1011" s="1"/>
      <c r="JA1011" s="1"/>
      <c r="JB1011" s="1"/>
      <c r="JC1011" s="1"/>
      <c r="JD1011" s="1"/>
    </row>
    <row r="1012" spans="1:264" s="347" customFormat="1" x14ac:dyDescent="0.2">
      <c r="A1012" s="411" t="s">
        <v>688</v>
      </c>
      <c r="B1012" s="348"/>
      <c r="BH1012" s="726">
        <f>BH1008/BH999</f>
        <v>26.023799770059529</v>
      </c>
      <c r="BI1012" s="726">
        <f>BI1008/BI999</f>
        <v>27.334333263332724</v>
      </c>
      <c r="BJ1012" s="726">
        <f>BJ1008/BJ999</f>
        <v>27.334333263332724</v>
      </c>
      <c r="BK1012" s="348"/>
      <c r="BL1012" s="726">
        <f>BL1008/BL999</f>
        <v>28.265515810897746</v>
      </c>
      <c r="BM1012" s="726">
        <f>BM1008/BM999</f>
        <v>29.526573284988817</v>
      </c>
      <c r="BN1012" s="726">
        <f>BN1008/BN999</f>
        <v>29.526573284988814</v>
      </c>
      <c r="BO1012" s="348"/>
      <c r="BP1012" s="726">
        <f>BP1008/BP999</f>
        <v>30.552898024841369</v>
      </c>
      <c r="BQ1012" s="726">
        <f>BQ1008/BQ999</f>
        <v>31.636907433118989</v>
      </c>
      <c r="BR1012" s="726">
        <f>BR1008/BR999</f>
        <v>31.636907433118989</v>
      </c>
      <c r="BT1012" s="726">
        <f>BT1008/BT999</f>
        <v>34.067043470698827</v>
      </c>
      <c r="BU1012" s="726">
        <f>BU1008/BU999</f>
        <v>34.990685206617712</v>
      </c>
      <c r="BV1012" s="726">
        <f>BV1008/BV999</f>
        <v>34.990685206617712</v>
      </c>
      <c r="BX1012" s="726">
        <f>BX1008/BX999</f>
        <v>35.518664886041705</v>
      </c>
      <c r="BY1012" s="726">
        <f>BY1008/BY999</f>
        <v>36.484861345453709</v>
      </c>
      <c r="BZ1012" s="726">
        <f>BZ1008/BZ999</f>
        <v>36.484861345453716</v>
      </c>
      <c r="CB1012" s="726">
        <f>CB1008/CB999</f>
        <v>37.416525890798731</v>
      </c>
      <c r="CC1012" s="726">
        <f>CC1008/CC999</f>
        <v>38.271029108262518</v>
      </c>
      <c r="CD1012" s="726">
        <f>CD1008/CD999</f>
        <v>38.271029108262518</v>
      </c>
      <c r="CF1012" s="726">
        <f>CF1008/CF999</f>
        <v>38.45129415022145</v>
      </c>
      <c r="CG1012" s="726">
        <f>CG1008/CG999</f>
        <v>39.337614895971249</v>
      </c>
      <c r="CH1012" s="726">
        <f>CH1008/CH999</f>
        <v>39.337614895971249</v>
      </c>
      <c r="CJ1012" s="726">
        <f>CJ1008/CJ999</f>
        <v>40.165186529192063</v>
      </c>
      <c r="CK1012" s="726">
        <f>CK1008/CK999</f>
        <v>40.634614534111172</v>
      </c>
      <c r="CL1012" s="726">
        <f>CL1008/CL999</f>
        <v>40.634614534111172</v>
      </c>
      <c r="CN1012" s="726">
        <f>CN1008/CN999</f>
        <v>42.227130147904418</v>
      </c>
      <c r="CO1012" s="726">
        <f>CO1008/CO999</f>
        <v>44.367938267796845</v>
      </c>
      <c r="CP1012" s="726">
        <f>CP1008/CP999</f>
        <v>44.367938267796845</v>
      </c>
      <c r="CR1012" s="726">
        <f>CR1008/CR999</f>
        <v>43.751973385677751</v>
      </c>
      <c r="CS1012" s="726">
        <f>CS1008/CS999</f>
        <v>42.804205737099302</v>
      </c>
      <c r="CT1012" s="726">
        <f>CT1008/CT999</f>
        <v>42.804205737099295</v>
      </c>
      <c r="CV1012" s="726">
        <f>CV1008/CV999</f>
        <v>42.830723247738867</v>
      </c>
      <c r="CW1012" s="726">
        <f>CW1008/CW999</f>
        <v>42.73315294574995</v>
      </c>
      <c r="CX1012" s="726">
        <f>CX1008/CX999</f>
        <v>42.73315294574995</v>
      </c>
      <c r="CZ1012" s="726">
        <f>CZ1008/CZ999</f>
        <v>43.49202274291823</v>
      </c>
      <c r="DA1012" s="726">
        <f>DA1008/DA999</f>
        <v>43.671640653899217</v>
      </c>
      <c r="DB1012" s="726">
        <f>DB1008/DB999</f>
        <v>43.671640653899217</v>
      </c>
      <c r="DD1012" s="726">
        <f>DD1008/DD999</f>
        <v>44.975018195180702</v>
      </c>
      <c r="DE1012" s="726">
        <f>DE1008/DE999</f>
        <v>47.073661157307015</v>
      </c>
      <c r="DF1012" s="726">
        <f>DF1008/DF999</f>
        <v>47.073661157307015</v>
      </c>
      <c r="DH1012" s="726">
        <f>DH1008/DH999</f>
        <v>46.15102313523326</v>
      </c>
      <c r="DI1012" s="726">
        <f>DI1008/DI999</f>
        <v>47.162110621898258</v>
      </c>
      <c r="DJ1012" s="726">
        <f>DJ1008/DJ999</f>
        <v>47.162110621898258</v>
      </c>
      <c r="DL1012" s="726">
        <f ca="1">DL1008/DL999</f>
        <v>47.906698975196754</v>
      </c>
      <c r="DM1012" s="726">
        <f ca="1">DM1008/DM999</f>
        <v>48.818613042967712</v>
      </c>
      <c r="DN1012" s="726">
        <f ca="1">DN1008/DN999</f>
        <v>48.818613042967712</v>
      </c>
      <c r="DP1012" s="726">
        <f ca="1">DP1008/DP999</f>
        <v>49.488051320551079</v>
      </c>
      <c r="DQ1012" s="726">
        <f ca="1">DQ1008/DQ999</f>
        <v>50.449691636936883</v>
      </c>
      <c r="DR1012" s="726">
        <f ca="1">DR1008/DR999</f>
        <v>50.449691636936883</v>
      </c>
      <c r="DT1012" s="1"/>
      <c r="DU1012" s="1"/>
      <c r="DV1012" s="1"/>
      <c r="DW1012" s="1"/>
      <c r="DX1012" s="1"/>
      <c r="DY1012" s="1"/>
      <c r="DZ1012" s="1"/>
      <c r="EA1012" s="1"/>
      <c r="EB1012" s="1"/>
      <c r="EC1012" s="1"/>
      <c r="ED1012" s="1"/>
      <c r="EE1012" s="1"/>
      <c r="EF1012" s="1"/>
      <c r="EG1012" s="1"/>
      <c r="EH1012" s="1"/>
      <c r="EI1012" s="1"/>
      <c r="EJ1012" s="1"/>
      <c r="EK1012" s="1"/>
      <c r="EL1012" s="1"/>
      <c r="EM1012" s="1"/>
      <c r="EN1012" s="1"/>
      <c r="EO1012" s="1"/>
      <c r="EP1012" s="1"/>
      <c r="EQ1012" s="1"/>
      <c r="ER1012" s="1"/>
      <c r="ES1012" s="1"/>
      <c r="ET1012" s="1"/>
      <c r="EU1012" s="1"/>
      <c r="EV1012" s="1"/>
      <c r="EW1012" s="1"/>
      <c r="EX1012" s="1"/>
      <c r="EY1012" s="1"/>
      <c r="EZ1012" s="1"/>
      <c r="FA1012" s="1"/>
      <c r="FB1012" s="1"/>
      <c r="FC1012" s="1"/>
      <c r="FD1012" s="1"/>
      <c r="FE1012" s="1"/>
      <c r="FF1012" s="1"/>
      <c r="FG1012" s="1"/>
      <c r="FH1012" s="1"/>
      <c r="FI1012" s="1"/>
      <c r="FJ1012" s="1"/>
      <c r="FK1012" s="1"/>
      <c r="FL1012" s="1"/>
      <c r="FM1012" s="1"/>
      <c r="FN1012" s="1"/>
      <c r="FO1012" s="1"/>
      <c r="FP1012" s="1"/>
      <c r="FQ1012" s="1"/>
      <c r="FR1012" s="1"/>
      <c r="FS1012" s="1"/>
      <c r="FT1012" s="1"/>
      <c r="FU1012" s="1"/>
      <c r="FV1012" s="1"/>
      <c r="FW1012" s="1"/>
      <c r="FX1012" s="1"/>
      <c r="FY1012" s="1"/>
      <c r="FZ1012" s="1"/>
      <c r="GA1012" s="1"/>
      <c r="GB1012" s="1"/>
      <c r="GC1012" s="1"/>
      <c r="GD1012" s="1"/>
      <c r="GE1012" s="1"/>
      <c r="GF1012" s="1"/>
      <c r="GG1012" s="1"/>
      <c r="GH1012" s="1"/>
      <c r="GI1012" s="1"/>
      <c r="GJ1012" s="1"/>
      <c r="GK1012" s="1"/>
      <c r="GL1012" s="1"/>
      <c r="GM1012" s="1"/>
      <c r="GN1012" s="1"/>
      <c r="GO1012" s="1"/>
      <c r="GP1012" s="1"/>
      <c r="GQ1012" s="1"/>
      <c r="GR1012" s="1"/>
      <c r="GS1012" s="1"/>
      <c r="GT1012" s="1"/>
      <c r="GU1012" s="1"/>
      <c r="GV1012" s="1"/>
      <c r="GW1012" s="1"/>
      <c r="GX1012" s="1"/>
      <c r="GY1012" s="1"/>
      <c r="GZ1012" s="1"/>
      <c r="HA1012" s="1"/>
      <c r="HB1012" s="1"/>
      <c r="HC1012" s="1"/>
      <c r="HD1012" s="1"/>
      <c r="HE1012" s="1"/>
      <c r="HF1012" s="1"/>
      <c r="HG1012" s="1"/>
      <c r="HH1012" s="1"/>
      <c r="HI1012" s="1"/>
      <c r="HJ1012" s="1"/>
      <c r="HK1012" s="1"/>
      <c r="HL1012" s="1"/>
      <c r="HM1012" s="1"/>
      <c r="HN1012" s="1"/>
      <c r="HO1012" s="1"/>
      <c r="HP1012" s="1"/>
      <c r="HQ1012" s="1"/>
      <c r="HR1012" s="1"/>
      <c r="HS1012" s="1"/>
      <c r="HT1012" s="1"/>
      <c r="HU1012" s="1"/>
      <c r="HV1012" s="1"/>
      <c r="HW1012" s="1"/>
      <c r="HX1012" s="1"/>
      <c r="HY1012" s="1"/>
      <c r="HZ1012" s="1"/>
      <c r="IA1012" s="1"/>
      <c r="IB1012" s="1"/>
      <c r="IC1012" s="1"/>
      <c r="ID1012" s="1"/>
      <c r="IE1012" s="1"/>
      <c r="IF1012" s="1"/>
      <c r="IG1012" s="1"/>
      <c r="IH1012" s="1"/>
      <c r="II1012" s="1"/>
      <c r="IJ1012" s="1"/>
      <c r="IK1012" s="1"/>
      <c r="IL1012" s="1"/>
      <c r="IM1012" s="1"/>
      <c r="IN1012" s="1"/>
      <c r="IO1012" s="1"/>
      <c r="IP1012" s="1"/>
      <c r="IQ1012" s="1"/>
      <c r="IR1012" s="1"/>
      <c r="IS1012" s="1"/>
      <c r="IT1012" s="1"/>
      <c r="IU1012" s="1"/>
      <c r="IV1012" s="1"/>
      <c r="IW1012" s="1"/>
      <c r="IX1012" s="1"/>
      <c r="IY1012" s="1"/>
      <c r="IZ1012" s="1"/>
      <c r="JA1012" s="1"/>
      <c r="JB1012" s="1"/>
      <c r="JC1012" s="1"/>
      <c r="JD1012" s="1"/>
    </row>
    <row r="1013" spans="1:264" s="347" customFormat="1" x14ac:dyDescent="0.2">
      <c r="A1013" s="411" t="s">
        <v>689</v>
      </c>
      <c r="B1013" s="348"/>
      <c r="BH1013" s="729">
        <f>BH1010/BH999</f>
        <v>19.582012908143987</v>
      </c>
      <c r="BI1013" s="729">
        <f>BI1010/BI999</f>
        <v>20.868166912053429</v>
      </c>
      <c r="BJ1013" s="729">
        <f>BJ1010/BJ999</f>
        <v>20.868166912053429</v>
      </c>
      <c r="BK1013" s="348"/>
      <c r="BL1013" s="729">
        <f>BL1010/BL999</f>
        <v>22.097749729690921</v>
      </c>
      <c r="BM1013" s="729">
        <f>BM1010/BM999</f>
        <v>23.487046931241107</v>
      </c>
      <c r="BN1013" s="729">
        <f>BN1010/BN999</f>
        <v>23.487046931241103</v>
      </c>
      <c r="BO1013" s="348"/>
      <c r="BP1013" s="729">
        <f>BP1010/BP999</f>
        <v>24.458478100272217</v>
      </c>
      <c r="BQ1013" s="729">
        <f>BQ1010/BQ999</f>
        <v>25.511296326380148</v>
      </c>
      <c r="BR1013" s="729">
        <f>BR1010/BR999</f>
        <v>25.511296326380148</v>
      </c>
      <c r="BT1013" s="729">
        <f>BT1010/BT999</f>
        <v>28.20014000523561</v>
      </c>
      <c r="BU1013" s="729">
        <f>BU1010/BU999</f>
        <v>28.936376625527995</v>
      </c>
      <c r="BV1013" s="729">
        <f>BV1010/BV999</f>
        <v>28.936376625527991</v>
      </c>
      <c r="BX1013" s="729">
        <f>BX1010/BX999</f>
        <v>30.547038350975626</v>
      </c>
      <c r="BY1013" s="729">
        <f>BY1010/BY999</f>
        <v>31.52032116047484</v>
      </c>
      <c r="BZ1013" s="729">
        <f>BZ1010/BZ999</f>
        <v>31.520321160474843</v>
      </c>
      <c r="CB1013" s="729">
        <f>CB1010/CB999</f>
        <v>32.201798353220767</v>
      </c>
      <c r="CC1013" s="729">
        <f>CC1010/CC999</f>
        <v>33.105795413230432</v>
      </c>
      <c r="CD1013" s="729">
        <f>CD1010/CD999</f>
        <v>33.105795413230432</v>
      </c>
      <c r="CF1013" s="729">
        <f>CF1010/CF999</f>
        <v>33.841183502634372</v>
      </c>
      <c r="CG1013" s="729">
        <f>CG1010/CG999</f>
        <v>34.682312623361874</v>
      </c>
      <c r="CH1013" s="729">
        <f>CH1010/CH999</f>
        <v>34.838223729688799</v>
      </c>
      <c r="CJ1013" s="729">
        <f>CJ1010/CJ999</f>
        <v>35.799110656725389</v>
      </c>
      <c r="CK1013" s="729">
        <f>CK1010/CK999</f>
        <v>36.349318691371856</v>
      </c>
      <c r="CL1013" s="729">
        <f>CL1010/CL999</f>
        <v>36.741920933753065</v>
      </c>
      <c r="CN1013" s="729">
        <f>CN1010/CN999</f>
        <v>38.349099641095599</v>
      </c>
      <c r="CO1013" s="729">
        <f>CO1010/CO999</f>
        <v>40.488780426538369</v>
      </c>
      <c r="CP1013" s="729">
        <f>CP1010/CP999</f>
        <v>40.454960393048758</v>
      </c>
      <c r="CR1013" s="729">
        <f>CR1010/CR999</f>
        <v>39.606969397399219</v>
      </c>
      <c r="CS1013" s="729">
        <f>CS1010/CS999</f>
        <v>38.749639601141041</v>
      </c>
      <c r="CT1013" s="729">
        <f>CT1010/CT999</f>
        <v>38.749639601141034</v>
      </c>
      <c r="CV1013" s="729">
        <f>CV1010/CV999</f>
        <v>38.604272101438404</v>
      </c>
      <c r="CW1013" s="729">
        <f>CW1010/CW999</f>
        <v>38.322500690655168</v>
      </c>
      <c r="CX1013" s="729">
        <f>CX1010/CX999</f>
        <v>38.322500690655168</v>
      </c>
      <c r="CZ1013" s="729">
        <f>CZ1010/CZ999</f>
        <v>39.007508768684822</v>
      </c>
      <c r="DA1013" s="729">
        <f>DA1010/DA999</f>
        <v>39.130478370492447</v>
      </c>
      <c r="DB1013" s="729">
        <f>DB1010/DB999</f>
        <v>39.130478370492447</v>
      </c>
      <c r="DD1013" s="729">
        <f>DD1010/DD999</f>
        <v>40.324181585206588</v>
      </c>
      <c r="DE1013" s="729">
        <f>DE1010/DE999</f>
        <v>42.244153065078983</v>
      </c>
      <c r="DF1013" s="729">
        <f>DF1010/DF999</f>
        <v>42.244153065078983</v>
      </c>
      <c r="DH1013" s="729">
        <f>DH1010/DH999</f>
        <v>41.193636457044228</v>
      </c>
      <c r="DI1013" s="729">
        <f>DI1010/DI999</f>
        <v>42.083684534744343</v>
      </c>
      <c r="DJ1013" s="729">
        <f>DJ1010/DJ999</f>
        <v>42.083684534744343</v>
      </c>
      <c r="DL1013" s="729">
        <f ca="1">DL1010/DL999</f>
        <v>42.722580936041659</v>
      </c>
      <c r="DM1013" s="729">
        <f ca="1">DM1010/DM999</f>
        <v>43.537325519144503</v>
      </c>
      <c r="DN1013" s="729">
        <f ca="1">DN1010/DN999</f>
        <v>43.537325519144503</v>
      </c>
      <c r="DP1013" s="729">
        <f ca="1">DP1010/DP999</f>
        <v>44.145468768036842</v>
      </c>
      <c r="DQ1013" s="729">
        <f ca="1">DQ1010/DQ999</f>
        <v>45.049606412309977</v>
      </c>
      <c r="DR1013" s="729">
        <f ca="1">DR1010/DR999</f>
        <v>45.049606412309977</v>
      </c>
      <c r="DT1013" s="1"/>
      <c r="DU1013" s="1"/>
      <c r="DV1013" s="1"/>
      <c r="DW1013" s="1"/>
      <c r="DX1013" s="1"/>
      <c r="DY1013" s="1"/>
      <c r="DZ1013" s="1"/>
      <c r="EA1013" s="1"/>
      <c r="EB1013" s="1"/>
      <c r="EC1013" s="1"/>
      <c r="ED1013" s="1"/>
      <c r="EE1013" s="1"/>
      <c r="EF1013" s="1"/>
      <c r="EG1013" s="1"/>
      <c r="EH1013" s="1"/>
      <c r="EI1013" s="1"/>
      <c r="EJ1013" s="1"/>
      <c r="EK1013" s="1"/>
      <c r="EL1013" s="1"/>
      <c r="EM1013" s="1"/>
      <c r="EN1013" s="1"/>
      <c r="EO1013" s="1"/>
      <c r="EP1013" s="1"/>
      <c r="EQ1013" s="1"/>
      <c r="ER1013" s="1"/>
      <c r="ES1013" s="1"/>
      <c r="ET1013" s="1"/>
      <c r="EU1013" s="1"/>
      <c r="EV1013" s="1"/>
      <c r="EW1013" s="1"/>
      <c r="EX1013" s="1"/>
      <c r="EY1013" s="1"/>
      <c r="EZ1013" s="1"/>
      <c r="FA1013" s="1"/>
      <c r="FB1013" s="1"/>
      <c r="FC1013" s="1"/>
      <c r="FD1013" s="1"/>
      <c r="FE1013" s="1"/>
      <c r="FF1013" s="1"/>
      <c r="FG1013" s="1"/>
      <c r="FH1013" s="1"/>
      <c r="FI1013" s="1"/>
      <c r="FJ1013" s="1"/>
      <c r="FK1013" s="1"/>
      <c r="FL1013" s="1"/>
      <c r="FM1013" s="1"/>
      <c r="FN1013" s="1"/>
      <c r="FO1013" s="1"/>
      <c r="FP1013" s="1"/>
      <c r="FQ1013" s="1"/>
      <c r="FR1013" s="1"/>
      <c r="FS1013" s="1"/>
      <c r="FT1013" s="1"/>
      <c r="FU1013" s="1"/>
      <c r="FV1013" s="1"/>
      <c r="FW1013" s="1"/>
      <c r="FX1013" s="1"/>
      <c r="FY1013" s="1"/>
      <c r="FZ1013" s="1"/>
      <c r="GA1013" s="1"/>
      <c r="GB1013" s="1"/>
      <c r="GC1013" s="1"/>
      <c r="GD1013" s="1"/>
      <c r="GE1013" s="1"/>
      <c r="GF1013" s="1"/>
      <c r="GG1013" s="1"/>
      <c r="GH1013" s="1"/>
      <c r="GI1013" s="1"/>
      <c r="GJ1013" s="1"/>
      <c r="GK1013" s="1"/>
      <c r="GL1013" s="1"/>
      <c r="GM1013" s="1"/>
      <c r="GN1013" s="1"/>
      <c r="GO1013" s="1"/>
      <c r="GP1013" s="1"/>
      <c r="GQ1013" s="1"/>
      <c r="GR1013" s="1"/>
      <c r="GS1013" s="1"/>
      <c r="GT1013" s="1"/>
      <c r="GU1013" s="1"/>
      <c r="GV1013" s="1"/>
      <c r="GW1013" s="1"/>
      <c r="GX1013" s="1"/>
      <c r="GY1013" s="1"/>
      <c r="GZ1013" s="1"/>
      <c r="HA1013" s="1"/>
      <c r="HB1013" s="1"/>
      <c r="HC1013" s="1"/>
      <c r="HD1013" s="1"/>
      <c r="HE1013" s="1"/>
      <c r="HF1013" s="1"/>
      <c r="HG1013" s="1"/>
      <c r="HH1013" s="1"/>
      <c r="HI1013" s="1"/>
      <c r="HJ1013" s="1"/>
      <c r="HK1013" s="1"/>
      <c r="HL1013" s="1"/>
      <c r="HM1013" s="1"/>
      <c r="HN1013" s="1"/>
      <c r="HO1013" s="1"/>
      <c r="HP1013" s="1"/>
      <c r="HQ1013" s="1"/>
      <c r="HR1013" s="1"/>
      <c r="HS1013" s="1"/>
      <c r="HT1013" s="1"/>
      <c r="HU1013" s="1"/>
      <c r="HV1013" s="1"/>
      <c r="HW1013" s="1"/>
      <c r="HX1013" s="1"/>
      <c r="HY1013" s="1"/>
      <c r="HZ1013" s="1"/>
      <c r="IA1013" s="1"/>
      <c r="IB1013" s="1"/>
      <c r="IC1013" s="1"/>
      <c r="ID1013" s="1"/>
      <c r="IE1013" s="1"/>
      <c r="IF1013" s="1"/>
      <c r="IG1013" s="1"/>
      <c r="IH1013" s="1"/>
      <c r="II1013" s="1"/>
      <c r="IJ1013" s="1"/>
      <c r="IK1013" s="1"/>
      <c r="IL1013" s="1"/>
      <c r="IM1013" s="1"/>
      <c r="IN1013" s="1"/>
      <c r="IO1013" s="1"/>
      <c r="IP1013" s="1"/>
      <c r="IQ1013" s="1"/>
      <c r="IR1013" s="1"/>
      <c r="IS1013" s="1"/>
      <c r="IT1013" s="1"/>
      <c r="IU1013" s="1"/>
      <c r="IV1013" s="1"/>
      <c r="IW1013" s="1"/>
      <c r="IX1013" s="1"/>
      <c r="IY1013" s="1"/>
      <c r="IZ1013" s="1"/>
      <c r="JA1013" s="1"/>
      <c r="JB1013" s="1"/>
      <c r="JC1013" s="1"/>
      <c r="JD1013" s="1"/>
    </row>
    <row r="1014" spans="1:264" s="429" customFormat="1" x14ac:dyDescent="0.2">
      <c r="A1014" s="429" t="s">
        <v>690</v>
      </c>
      <c r="B1014" s="408"/>
      <c r="BH1014" s="408"/>
      <c r="BI1014" s="408"/>
      <c r="BJ1014" s="408"/>
      <c r="BK1014" s="408"/>
      <c r="BL1014" s="730">
        <v>22.1</v>
      </c>
      <c r="BM1014" s="730">
        <v>23.49</v>
      </c>
      <c r="BN1014" s="731">
        <f>BM1014</f>
        <v>23.49</v>
      </c>
      <c r="BO1014" s="408"/>
      <c r="BP1014" s="730">
        <v>24.46</v>
      </c>
      <c r="BQ1014" s="730">
        <v>25.5</v>
      </c>
      <c r="BR1014" s="731">
        <f>BQ1014</f>
        <v>25.5</v>
      </c>
      <c r="BT1014" s="730">
        <v>28.2</v>
      </c>
      <c r="BU1014" s="730">
        <v>28.94</v>
      </c>
      <c r="BV1014" s="731">
        <f>BU1014</f>
        <v>28.94</v>
      </c>
      <c r="BX1014" s="730">
        <v>30.55</v>
      </c>
      <c r="BY1014" s="730">
        <v>31.52</v>
      </c>
      <c r="BZ1014" s="731">
        <f>BY1014</f>
        <v>31.52</v>
      </c>
      <c r="CB1014" s="730">
        <v>32.200000000000003</v>
      </c>
      <c r="CC1014" s="730">
        <v>33.11</v>
      </c>
      <c r="CD1014" s="731">
        <f>CC1014</f>
        <v>33.11</v>
      </c>
      <c r="CF1014" s="730">
        <v>33.840000000000003</v>
      </c>
      <c r="CG1014" s="730"/>
      <c r="CH1014" s="731"/>
      <c r="CJ1014" s="730"/>
      <c r="CK1014" s="730"/>
      <c r="CL1014" s="731"/>
      <c r="CN1014" s="408"/>
      <c r="CO1014" s="730"/>
      <c r="CP1014" s="731"/>
      <c r="CR1014" s="408"/>
      <c r="CS1014" s="730"/>
      <c r="CT1014" s="731"/>
      <c r="CV1014" s="408"/>
      <c r="CW1014" s="730"/>
      <c r="CX1014" s="731"/>
      <c r="CZ1014" s="408"/>
      <c r="DA1014" s="730"/>
      <c r="DB1014" s="731"/>
      <c r="DD1014" s="408"/>
      <c r="DE1014" s="730"/>
      <c r="DF1014" s="731"/>
      <c r="DH1014" s="408"/>
      <c r="DL1014" s="408"/>
      <c r="DP1014" s="408"/>
      <c r="DT1014" s="457"/>
      <c r="DU1014" s="457"/>
      <c r="DV1014" s="457"/>
      <c r="DW1014" s="457"/>
      <c r="DX1014" s="457"/>
      <c r="DY1014" s="457"/>
      <c r="DZ1014" s="457"/>
      <c r="EA1014" s="457"/>
      <c r="EB1014" s="457"/>
      <c r="EC1014" s="457"/>
      <c r="ED1014" s="457"/>
      <c r="EE1014" s="457"/>
      <c r="EF1014" s="457"/>
      <c r="EG1014" s="457"/>
      <c r="EH1014" s="457"/>
      <c r="EI1014" s="457"/>
      <c r="EJ1014" s="457"/>
      <c r="EK1014" s="457"/>
      <c r="EL1014" s="457"/>
      <c r="EM1014" s="457"/>
      <c r="EN1014" s="457"/>
      <c r="EO1014" s="457"/>
      <c r="EP1014" s="457"/>
      <c r="EQ1014" s="457"/>
      <c r="ER1014" s="457"/>
      <c r="ES1014" s="457"/>
      <c r="ET1014" s="457"/>
      <c r="EU1014" s="457"/>
      <c r="EV1014" s="457"/>
      <c r="EW1014" s="457"/>
      <c r="EX1014" s="457"/>
      <c r="EY1014" s="457"/>
      <c r="EZ1014" s="457"/>
      <c r="FA1014" s="457"/>
      <c r="FB1014" s="457"/>
      <c r="FC1014" s="457"/>
      <c r="FD1014" s="457"/>
      <c r="FE1014" s="457"/>
      <c r="FF1014" s="457"/>
      <c r="FG1014" s="457"/>
      <c r="FH1014" s="457"/>
      <c r="FI1014" s="457"/>
      <c r="FJ1014" s="457"/>
      <c r="FK1014" s="457"/>
      <c r="FL1014" s="457"/>
      <c r="FM1014" s="457"/>
      <c r="FN1014" s="457"/>
      <c r="FO1014" s="457"/>
      <c r="FP1014" s="457"/>
      <c r="FQ1014" s="457"/>
      <c r="FR1014" s="457"/>
      <c r="FS1014" s="457"/>
      <c r="FT1014" s="457"/>
      <c r="FU1014" s="457"/>
      <c r="FV1014" s="457"/>
      <c r="FW1014" s="457"/>
      <c r="FX1014" s="457"/>
      <c r="FY1014" s="457"/>
      <c r="FZ1014" s="457"/>
      <c r="GA1014" s="457"/>
      <c r="GB1014" s="457"/>
      <c r="GC1014" s="457"/>
      <c r="GD1014" s="457"/>
      <c r="GE1014" s="457"/>
      <c r="GF1014" s="457"/>
      <c r="GG1014" s="457"/>
      <c r="GH1014" s="457"/>
      <c r="GI1014" s="457"/>
      <c r="GJ1014" s="457"/>
      <c r="GK1014" s="457"/>
      <c r="GL1014" s="457"/>
      <c r="GM1014" s="457"/>
      <c r="GN1014" s="457"/>
      <c r="GO1014" s="457"/>
      <c r="GP1014" s="457"/>
      <c r="GQ1014" s="457"/>
      <c r="GR1014" s="457"/>
      <c r="GS1014" s="457"/>
      <c r="GT1014" s="457"/>
      <c r="GU1014" s="457"/>
      <c r="GV1014" s="457"/>
      <c r="GW1014" s="457"/>
      <c r="GX1014" s="457"/>
      <c r="GY1014" s="457"/>
      <c r="GZ1014" s="457"/>
      <c r="HA1014" s="457"/>
      <c r="HB1014" s="457"/>
      <c r="HC1014" s="457"/>
      <c r="HD1014" s="457"/>
      <c r="HE1014" s="457"/>
      <c r="HF1014" s="457"/>
      <c r="HG1014" s="457"/>
      <c r="HH1014" s="457"/>
      <c r="HI1014" s="457"/>
      <c r="HJ1014" s="457"/>
      <c r="HK1014" s="457"/>
      <c r="HL1014" s="457"/>
      <c r="HM1014" s="457"/>
      <c r="HN1014" s="457"/>
      <c r="HO1014" s="457"/>
      <c r="HP1014" s="457"/>
      <c r="HQ1014" s="457"/>
      <c r="HR1014" s="457"/>
      <c r="HS1014" s="457"/>
      <c r="HT1014" s="457"/>
      <c r="HU1014" s="457"/>
      <c r="HV1014" s="457"/>
      <c r="HW1014" s="457"/>
      <c r="HX1014" s="457"/>
      <c r="HY1014" s="457"/>
      <c r="HZ1014" s="457"/>
      <c r="IA1014" s="457"/>
      <c r="IB1014" s="457"/>
      <c r="IC1014" s="457"/>
      <c r="ID1014" s="457"/>
      <c r="IE1014" s="457"/>
      <c r="IF1014" s="457"/>
      <c r="IG1014" s="457"/>
      <c r="IH1014" s="457"/>
      <c r="II1014" s="457"/>
      <c r="IJ1014" s="457"/>
      <c r="IK1014" s="457"/>
      <c r="IL1014" s="457"/>
      <c r="IM1014" s="457"/>
      <c r="IN1014" s="457"/>
      <c r="IO1014" s="457"/>
      <c r="IP1014" s="457"/>
      <c r="IQ1014" s="457"/>
      <c r="IR1014" s="457"/>
      <c r="IS1014" s="457"/>
      <c r="IT1014" s="457"/>
      <c r="IU1014" s="457"/>
      <c r="IV1014" s="457"/>
      <c r="IW1014" s="457"/>
      <c r="IX1014" s="457"/>
      <c r="IY1014" s="457"/>
      <c r="IZ1014" s="457"/>
      <c r="JA1014" s="457"/>
      <c r="JB1014" s="457"/>
      <c r="JC1014" s="457"/>
      <c r="JD1014" s="457"/>
    </row>
    <row r="1015" spans="1:264" s="347" customFormat="1" x14ac:dyDescent="0.2">
      <c r="B1015" s="348"/>
      <c r="BH1015" s="348"/>
      <c r="BI1015" s="348"/>
      <c r="BJ1015" s="348"/>
      <c r="BK1015" s="348"/>
      <c r="BL1015" s="732"/>
      <c r="BM1015" s="732"/>
      <c r="BN1015" s="733"/>
      <c r="BO1015" s="348"/>
      <c r="BP1015" s="732"/>
      <c r="BQ1015" s="732"/>
      <c r="BR1015" s="733"/>
      <c r="BT1015" s="732"/>
      <c r="BU1015" s="732"/>
      <c r="BV1015" s="733"/>
      <c r="BX1015" s="732"/>
      <c r="BY1015" s="732"/>
      <c r="BZ1015" s="733"/>
      <c r="CB1015" s="732"/>
      <c r="CC1015" s="732"/>
      <c r="CD1015" s="733"/>
      <c r="CF1015" s="732"/>
      <c r="CG1015" s="732"/>
      <c r="CH1015" s="733"/>
      <c r="CJ1015" s="732"/>
      <c r="CK1015" s="732"/>
      <c r="CL1015" s="733"/>
      <c r="CN1015" s="348"/>
      <c r="CO1015" s="732"/>
      <c r="CP1015" s="733"/>
      <c r="CR1015" s="348"/>
      <c r="CS1015" s="732"/>
      <c r="CT1015" s="733"/>
      <c r="CV1015" s="348"/>
      <c r="CW1015" s="732"/>
      <c r="CX1015" s="733"/>
      <c r="CZ1015" s="348"/>
      <c r="DA1015" s="732"/>
      <c r="DB1015" s="733"/>
      <c r="DD1015" s="348"/>
      <c r="DE1015" s="732"/>
      <c r="DF1015" s="733"/>
      <c r="DH1015" s="348"/>
      <c r="DL1015" s="348"/>
      <c r="DP1015" s="348"/>
      <c r="DT1015" s="1"/>
      <c r="DU1015" s="1"/>
      <c r="DV1015" s="1"/>
      <c r="DW1015" s="1"/>
      <c r="DX1015" s="1"/>
      <c r="DY1015" s="1"/>
      <c r="DZ1015" s="1"/>
      <c r="EA1015" s="1"/>
      <c r="EB1015" s="1"/>
      <c r="EC1015" s="1"/>
      <c r="ED1015" s="1"/>
      <c r="EE1015" s="1"/>
      <c r="EF1015" s="1"/>
      <c r="EG1015" s="1"/>
      <c r="EH1015" s="1"/>
      <c r="EI1015" s="1"/>
      <c r="EJ1015" s="1"/>
      <c r="EK1015" s="1"/>
      <c r="EL1015" s="1"/>
      <c r="EM1015" s="1"/>
      <c r="EN1015" s="1"/>
      <c r="EO1015" s="1"/>
      <c r="EP1015" s="1"/>
      <c r="EQ1015" s="1"/>
      <c r="ER1015" s="1"/>
      <c r="ES1015" s="1"/>
      <c r="ET1015" s="1"/>
      <c r="EU1015" s="1"/>
      <c r="EV1015" s="1"/>
      <c r="EW1015" s="1"/>
      <c r="EX1015" s="1"/>
      <c r="EY1015" s="1"/>
      <c r="EZ1015" s="1"/>
      <c r="FA1015" s="1"/>
      <c r="FB1015" s="1"/>
      <c r="FC1015" s="1"/>
      <c r="FD1015" s="1"/>
      <c r="FE1015" s="1"/>
      <c r="FF1015" s="1"/>
      <c r="FG1015" s="1"/>
      <c r="FH1015" s="1"/>
      <c r="FI1015" s="1"/>
      <c r="FJ1015" s="1"/>
      <c r="FK1015" s="1"/>
      <c r="FL1015" s="1"/>
      <c r="FM1015" s="1"/>
      <c r="FN1015" s="1"/>
      <c r="FO1015" s="1"/>
      <c r="FP1015" s="1"/>
      <c r="FQ1015" s="1"/>
      <c r="FR1015" s="1"/>
      <c r="FS1015" s="1"/>
      <c r="FT1015" s="1"/>
      <c r="FU1015" s="1"/>
      <c r="FV1015" s="1"/>
      <c r="FW1015" s="1"/>
      <c r="FX1015" s="1"/>
      <c r="FY1015" s="1"/>
      <c r="FZ1015" s="1"/>
      <c r="GA1015" s="1"/>
      <c r="GB1015" s="1"/>
      <c r="GC1015" s="1"/>
      <c r="GD1015" s="1"/>
      <c r="GE1015" s="1"/>
      <c r="GF1015" s="1"/>
      <c r="GG1015" s="1"/>
      <c r="GH1015" s="1"/>
      <c r="GI1015" s="1"/>
      <c r="GJ1015" s="1"/>
      <c r="GK1015" s="1"/>
      <c r="GL1015" s="1"/>
      <c r="GM1015" s="1"/>
      <c r="GN1015" s="1"/>
      <c r="GO1015" s="1"/>
      <c r="GP1015" s="1"/>
      <c r="GQ1015" s="1"/>
      <c r="GR1015" s="1"/>
      <c r="GS1015" s="1"/>
      <c r="GT1015" s="1"/>
      <c r="GU1015" s="1"/>
      <c r="GV1015" s="1"/>
      <c r="GW1015" s="1"/>
      <c r="GX1015" s="1"/>
      <c r="GY1015" s="1"/>
      <c r="GZ1015" s="1"/>
      <c r="HA1015" s="1"/>
      <c r="HB1015" s="1"/>
      <c r="HC1015" s="1"/>
      <c r="HD1015" s="1"/>
      <c r="HE1015" s="1"/>
      <c r="HF1015" s="1"/>
      <c r="HG1015" s="1"/>
      <c r="HH1015" s="1"/>
      <c r="HI1015" s="1"/>
      <c r="HJ1015" s="1"/>
      <c r="HK1015" s="1"/>
      <c r="HL1015" s="1"/>
      <c r="HM1015" s="1"/>
      <c r="HN1015" s="1"/>
      <c r="HO1015" s="1"/>
      <c r="HP1015" s="1"/>
      <c r="HQ1015" s="1"/>
      <c r="HR1015" s="1"/>
      <c r="HS1015" s="1"/>
      <c r="HT1015" s="1"/>
      <c r="HU1015" s="1"/>
      <c r="HV1015" s="1"/>
      <c r="HW1015" s="1"/>
      <c r="HX1015" s="1"/>
      <c r="HY1015" s="1"/>
      <c r="HZ1015" s="1"/>
      <c r="IA1015" s="1"/>
      <c r="IB1015" s="1"/>
      <c r="IC1015" s="1"/>
      <c r="ID1015" s="1"/>
      <c r="IE1015" s="1"/>
      <c r="IF1015" s="1"/>
      <c r="IG1015" s="1"/>
      <c r="IH1015" s="1"/>
      <c r="II1015" s="1"/>
      <c r="IJ1015" s="1"/>
      <c r="IK1015" s="1"/>
      <c r="IL1015" s="1"/>
      <c r="IM1015" s="1"/>
      <c r="IN1015" s="1"/>
      <c r="IO1015" s="1"/>
      <c r="IP1015" s="1"/>
      <c r="IQ1015" s="1"/>
      <c r="IR1015" s="1"/>
      <c r="IS1015" s="1"/>
      <c r="IT1015" s="1"/>
      <c r="IU1015" s="1"/>
      <c r="IV1015" s="1"/>
      <c r="IW1015" s="1"/>
      <c r="IX1015" s="1"/>
      <c r="IY1015" s="1"/>
      <c r="IZ1015" s="1"/>
      <c r="JA1015" s="1"/>
      <c r="JB1015" s="1"/>
      <c r="JC1015" s="1"/>
      <c r="JD1015" s="1"/>
    </row>
    <row r="1016" spans="1:264" s="347" customFormat="1" x14ac:dyDescent="0.2">
      <c r="A1016" s="411" t="s">
        <v>691</v>
      </c>
      <c r="B1016" s="348"/>
      <c r="BH1016" s="348"/>
      <c r="BI1016" s="348"/>
      <c r="BJ1016" s="348"/>
      <c r="BK1016" s="348"/>
      <c r="BL1016" s="732"/>
      <c r="BM1016" s="732"/>
      <c r="BN1016" s="733"/>
      <c r="BO1016" s="348"/>
      <c r="BP1016" s="732"/>
      <c r="BQ1016" s="732"/>
      <c r="BR1016" s="733"/>
      <c r="BT1016" s="732"/>
      <c r="BU1016" s="732"/>
      <c r="BV1016" s="733"/>
      <c r="BX1016" s="732"/>
      <c r="BY1016" s="732"/>
      <c r="BZ1016" s="733"/>
      <c r="CB1016" s="732"/>
      <c r="CC1016" s="732"/>
      <c r="CD1016" s="733"/>
      <c r="CF1016" s="732"/>
      <c r="CG1016" s="732"/>
      <c r="CH1016" s="733"/>
      <c r="CJ1016" s="732"/>
      <c r="CK1016" s="732"/>
      <c r="CL1016" s="733"/>
      <c r="CN1016" s="348"/>
      <c r="CO1016" s="732"/>
      <c r="CP1016" s="733"/>
      <c r="CR1016" s="348"/>
      <c r="CS1016" s="732"/>
      <c r="CT1016" s="733"/>
      <c r="CV1016" s="348"/>
      <c r="CW1016" s="732"/>
      <c r="CX1016" s="733"/>
      <c r="CZ1016" s="348"/>
      <c r="DA1016" s="732"/>
      <c r="DB1016" s="733"/>
      <c r="DD1016" s="348"/>
      <c r="DE1016" s="732"/>
      <c r="DF1016" s="733"/>
      <c r="DH1016" s="348"/>
      <c r="DL1016" s="348"/>
      <c r="DP1016" s="348"/>
      <c r="DT1016" s="1"/>
      <c r="DU1016" s="1"/>
      <c r="DV1016" s="1"/>
      <c r="DW1016" s="1"/>
      <c r="DX1016" s="1"/>
      <c r="DY1016" s="1"/>
      <c r="DZ1016" s="1"/>
      <c r="EA1016" s="1"/>
      <c r="EB1016" s="1"/>
      <c r="EC1016" s="1"/>
      <c r="ED1016" s="1"/>
      <c r="EE1016" s="1"/>
      <c r="EF1016" s="1"/>
      <c r="EG1016" s="1"/>
      <c r="EH1016" s="1"/>
      <c r="EI1016" s="1"/>
      <c r="EJ1016" s="1"/>
      <c r="EK1016" s="1"/>
      <c r="EL1016" s="1"/>
      <c r="EM1016" s="1"/>
      <c r="EN1016" s="1"/>
      <c r="EO1016" s="1"/>
      <c r="EP1016" s="1"/>
      <c r="EQ1016" s="1"/>
      <c r="ER1016" s="1"/>
      <c r="ES1016" s="1"/>
      <c r="ET1016" s="1"/>
      <c r="EU1016" s="1"/>
      <c r="EV1016" s="1"/>
      <c r="EW1016" s="1"/>
      <c r="EX1016" s="1"/>
      <c r="EY1016" s="1"/>
      <c r="EZ1016" s="1"/>
      <c r="FA1016" s="1"/>
      <c r="FB1016" s="1"/>
      <c r="FC1016" s="1"/>
      <c r="FD1016" s="1"/>
      <c r="FE1016" s="1"/>
      <c r="FF1016" s="1"/>
      <c r="FG1016" s="1"/>
      <c r="FH1016" s="1"/>
      <c r="FI1016" s="1"/>
      <c r="FJ1016" s="1"/>
      <c r="FK1016" s="1"/>
      <c r="FL1016" s="1"/>
      <c r="FM1016" s="1"/>
      <c r="FN1016" s="1"/>
      <c r="FO1016" s="1"/>
      <c r="FP1016" s="1"/>
      <c r="FQ1016" s="1"/>
      <c r="FR1016" s="1"/>
      <c r="FS1016" s="1"/>
      <c r="FT1016" s="1"/>
      <c r="FU1016" s="1"/>
      <c r="FV1016" s="1"/>
      <c r="FW1016" s="1"/>
      <c r="FX1016" s="1"/>
      <c r="FY1016" s="1"/>
      <c r="FZ1016" s="1"/>
      <c r="GA1016" s="1"/>
      <c r="GB1016" s="1"/>
      <c r="GC1016" s="1"/>
      <c r="GD1016" s="1"/>
      <c r="GE1016" s="1"/>
      <c r="GF1016" s="1"/>
      <c r="GG1016" s="1"/>
      <c r="GH1016" s="1"/>
      <c r="GI1016" s="1"/>
      <c r="GJ1016" s="1"/>
      <c r="GK1016" s="1"/>
      <c r="GL1016" s="1"/>
      <c r="GM1016" s="1"/>
      <c r="GN1016" s="1"/>
      <c r="GO1016" s="1"/>
      <c r="GP1016" s="1"/>
      <c r="GQ1016" s="1"/>
      <c r="GR1016" s="1"/>
      <c r="GS1016" s="1"/>
      <c r="GT1016" s="1"/>
      <c r="GU1016" s="1"/>
      <c r="GV1016" s="1"/>
      <c r="GW1016" s="1"/>
      <c r="GX1016" s="1"/>
      <c r="GY1016" s="1"/>
      <c r="GZ1016" s="1"/>
      <c r="HA1016" s="1"/>
      <c r="HB1016" s="1"/>
      <c r="HC1016" s="1"/>
      <c r="HD1016" s="1"/>
      <c r="HE1016" s="1"/>
      <c r="HF1016" s="1"/>
      <c r="HG1016" s="1"/>
      <c r="HH1016" s="1"/>
      <c r="HI1016" s="1"/>
      <c r="HJ1016" s="1"/>
      <c r="HK1016" s="1"/>
      <c r="HL1016" s="1"/>
      <c r="HM1016" s="1"/>
      <c r="HN1016" s="1"/>
      <c r="HO1016" s="1"/>
      <c r="HP1016" s="1"/>
      <c r="HQ1016" s="1"/>
      <c r="HR1016" s="1"/>
      <c r="HS1016" s="1"/>
      <c r="HT1016" s="1"/>
      <c r="HU1016" s="1"/>
      <c r="HV1016" s="1"/>
      <c r="HW1016" s="1"/>
      <c r="HX1016" s="1"/>
      <c r="HY1016" s="1"/>
      <c r="HZ1016" s="1"/>
      <c r="IA1016" s="1"/>
      <c r="IB1016" s="1"/>
      <c r="IC1016" s="1"/>
      <c r="ID1016" s="1"/>
      <c r="IE1016" s="1"/>
      <c r="IF1016" s="1"/>
      <c r="IG1016" s="1"/>
      <c r="IH1016" s="1"/>
      <c r="II1016" s="1"/>
      <c r="IJ1016" s="1"/>
      <c r="IK1016" s="1"/>
      <c r="IL1016" s="1"/>
      <c r="IM1016" s="1"/>
      <c r="IN1016" s="1"/>
      <c r="IO1016" s="1"/>
      <c r="IP1016" s="1"/>
      <c r="IQ1016" s="1"/>
      <c r="IR1016" s="1"/>
      <c r="IS1016" s="1"/>
      <c r="IT1016" s="1"/>
      <c r="IU1016" s="1"/>
      <c r="IV1016" s="1"/>
      <c r="IW1016" s="1"/>
      <c r="IX1016" s="1"/>
      <c r="IY1016" s="1"/>
      <c r="IZ1016" s="1"/>
      <c r="JA1016" s="1"/>
      <c r="JB1016" s="1"/>
      <c r="JC1016" s="1"/>
      <c r="JD1016" s="1"/>
    </row>
    <row r="1017" spans="1:264" s="347" customFormat="1" x14ac:dyDescent="0.2">
      <c r="A1017" s="347" t="s">
        <v>359</v>
      </c>
      <c r="B1017" s="348"/>
      <c r="BH1017" s="348"/>
      <c r="BI1017" s="348"/>
      <c r="BJ1017" s="348"/>
      <c r="BK1017" s="348"/>
      <c r="BL1017" s="732"/>
      <c r="BM1017" s="732"/>
      <c r="BN1017" s="733"/>
      <c r="BO1017" s="348"/>
      <c r="BP1017" s="732"/>
      <c r="BQ1017" s="732"/>
      <c r="BR1017" s="733"/>
      <c r="BT1017" s="732"/>
      <c r="BU1017" s="732"/>
      <c r="BV1017" s="733"/>
      <c r="BX1017" s="732"/>
      <c r="BY1017" s="732"/>
      <c r="BZ1017" s="733"/>
      <c r="CB1017" s="351">
        <f>CB1006</f>
        <v>66091</v>
      </c>
      <c r="CC1017" s="351">
        <f>CC1006</f>
        <v>67860</v>
      </c>
      <c r="CD1017" s="351">
        <f>CC1017</f>
        <v>67860</v>
      </c>
      <c r="CF1017" s="351">
        <f>CF1006</f>
        <v>68578</v>
      </c>
      <c r="CG1017" s="351">
        <f>CG1006</f>
        <v>69649</v>
      </c>
      <c r="CH1017" s="351">
        <f>CG1017</f>
        <v>69649</v>
      </c>
      <c r="CJ1017" s="351">
        <f>CJ1006</f>
        <v>71153</v>
      </c>
      <c r="CK1017" s="351">
        <f>CK1006</f>
        <v>71938</v>
      </c>
      <c r="CL1017" s="351">
        <f>CK1017</f>
        <v>71938</v>
      </c>
      <c r="CN1017" s="351">
        <f>CN1006</f>
        <v>74920</v>
      </c>
      <c r="CO1017" s="351">
        <f>CO1006</f>
        <v>78718</v>
      </c>
      <c r="CP1017" s="351">
        <f>CO1017</f>
        <v>78718</v>
      </c>
      <c r="CR1017" s="351">
        <f>CR1006</f>
        <v>74663</v>
      </c>
      <c r="CS1017" s="351">
        <f>CS1006</f>
        <v>72838</v>
      </c>
      <c r="CT1017" s="351">
        <f>CS1017</f>
        <v>72838</v>
      </c>
      <c r="CV1017" s="351">
        <f>CV1006</f>
        <v>72321</v>
      </c>
      <c r="CW1017" s="351">
        <f>CW1006</f>
        <v>71633</v>
      </c>
      <c r="CX1017" s="351">
        <f>CW1017</f>
        <v>71633</v>
      </c>
      <c r="CZ1017" s="351">
        <f>CZ1006</f>
        <v>72839</v>
      </c>
      <c r="DA1017" s="351">
        <f>DA1006</f>
        <v>73088</v>
      </c>
      <c r="DB1017" s="351">
        <f>DA1017</f>
        <v>73088</v>
      </c>
      <c r="DD1017" s="351">
        <f>DD1006</f>
        <v>75264</v>
      </c>
      <c r="DE1017" s="351">
        <f>DE1006</f>
        <v>78776</v>
      </c>
      <c r="DF1017" s="351">
        <f>DE1017</f>
        <v>78776</v>
      </c>
      <c r="DH1017" s="351">
        <f>DH1006</f>
        <v>77232</v>
      </c>
      <c r="DI1017" s="351">
        <f>DI1006</f>
        <v>78924.016849578707</v>
      </c>
      <c r="DJ1017" s="351">
        <f>DI1017</f>
        <v>78924.016849578707</v>
      </c>
      <c r="DL1017" s="351">
        <f ca="1">DL1006</f>
        <v>80170.057431028938</v>
      </c>
      <c r="DM1017" s="351">
        <f ca="1">DM1006</f>
        <v>81696.111297174299</v>
      </c>
      <c r="DN1017" s="351">
        <f ca="1">DM1017</f>
        <v>81696.111297174299</v>
      </c>
      <c r="DP1017" s="351">
        <f ca="1">DP1006</f>
        <v>82816.391055714426</v>
      </c>
      <c r="DQ1017" s="351">
        <f ca="1">DQ1006</f>
        <v>84425.659927121276</v>
      </c>
      <c r="DR1017" s="351">
        <f ca="1">DQ1017</f>
        <v>84425.659927121276</v>
      </c>
      <c r="DT1017" s="1"/>
      <c r="DU1017" s="1"/>
      <c r="DV1017" s="1"/>
      <c r="DW1017" s="1"/>
      <c r="DX1017" s="1"/>
      <c r="DY1017" s="1"/>
      <c r="DZ1017" s="1"/>
      <c r="EA1017" s="1"/>
      <c r="EB1017" s="1"/>
      <c r="EC1017" s="1"/>
      <c r="ED1017" s="1"/>
      <c r="EE1017" s="1"/>
      <c r="EF1017" s="1"/>
      <c r="EG1017" s="1"/>
      <c r="EH1017" s="1"/>
      <c r="EI1017" s="1"/>
      <c r="EJ1017" s="1"/>
      <c r="EK1017" s="1"/>
      <c r="EL1017" s="1"/>
      <c r="EM1017" s="1"/>
      <c r="EN1017" s="1"/>
      <c r="EO1017" s="1"/>
      <c r="EP1017" s="1"/>
      <c r="EQ1017" s="1"/>
      <c r="ER1017" s="1"/>
      <c r="ES1017" s="1"/>
      <c r="ET1017" s="1"/>
      <c r="EU1017" s="1"/>
      <c r="EV1017" s="1"/>
      <c r="EW1017" s="1"/>
      <c r="EX1017" s="1"/>
      <c r="EY1017" s="1"/>
      <c r="EZ1017" s="1"/>
      <c r="FA1017" s="1"/>
      <c r="FB1017" s="1"/>
      <c r="FC1017" s="1"/>
      <c r="FD1017" s="1"/>
      <c r="FE1017" s="1"/>
      <c r="FF1017" s="1"/>
      <c r="FG1017" s="1"/>
      <c r="FH1017" s="1"/>
      <c r="FI1017" s="1"/>
      <c r="FJ1017" s="1"/>
      <c r="FK1017" s="1"/>
      <c r="FL1017" s="1"/>
      <c r="FM1017" s="1"/>
      <c r="FN1017" s="1"/>
      <c r="FO1017" s="1"/>
      <c r="FP1017" s="1"/>
      <c r="FQ1017" s="1"/>
      <c r="FR1017" s="1"/>
      <c r="FS1017" s="1"/>
      <c r="FT1017" s="1"/>
      <c r="FU1017" s="1"/>
      <c r="FV1017" s="1"/>
      <c r="FW1017" s="1"/>
      <c r="FX1017" s="1"/>
      <c r="FY1017" s="1"/>
      <c r="FZ1017" s="1"/>
      <c r="GA1017" s="1"/>
      <c r="GB1017" s="1"/>
      <c r="GC1017" s="1"/>
      <c r="GD1017" s="1"/>
      <c r="GE1017" s="1"/>
      <c r="GF1017" s="1"/>
      <c r="GG1017" s="1"/>
      <c r="GH1017" s="1"/>
      <c r="GI1017" s="1"/>
      <c r="GJ1017" s="1"/>
      <c r="GK1017" s="1"/>
      <c r="GL1017" s="1"/>
      <c r="GM1017" s="1"/>
      <c r="GN1017" s="1"/>
      <c r="GO1017" s="1"/>
      <c r="GP1017" s="1"/>
      <c r="GQ1017" s="1"/>
      <c r="GR1017" s="1"/>
      <c r="GS1017" s="1"/>
      <c r="GT1017" s="1"/>
      <c r="GU1017" s="1"/>
      <c r="GV1017" s="1"/>
      <c r="GW1017" s="1"/>
      <c r="GX1017" s="1"/>
      <c r="GY1017" s="1"/>
      <c r="GZ1017" s="1"/>
      <c r="HA1017" s="1"/>
      <c r="HB1017" s="1"/>
      <c r="HC1017" s="1"/>
      <c r="HD1017" s="1"/>
      <c r="HE1017" s="1"/>
      <c r="HF1017" s="1"/>
      <c r="HG1017" s="1"/>
      <c r="HH1017" s="1"/>
      <c r="HI1017" s="1"/>
      <c r="HJ1017" s="1"/>
      <c r="HK1017" s="1"/>
      <c r="HL1017" s="1"/>
      <c r="HM1017" s="1"/>
      <c r="HN1017" s="1"/>
      <c r="HO1017" s="1"/>
      <c r="HP1017" s="1"/>
      <c r="HQ1017" s="1"/>
      <c r="HR1017" s="1"/>
      <c r="HS1017" s="1"/>
      <c r="HT1017" s="1"/>
      <c r="HU1017" s="1"/>
      <c r="HV1017" s="1"/>
      <c r="HW1017" s="1"/>
      <c r="HX1017" s="1"/>
      <c r="HY1017" s="1"/>
      <c r="HZ1017" s="1"/>
      <c r="IA1017" s="1"/>
      <c r="IB1017" s="1"/>
      <c r="IC1017" s="1"/>
      <c r="ID1017" s="1"/>
      <c r="IE1017" s="1"/>
      <c r="IF1017" s="1"/>
      <c r="IG1017" s="1"/>
      <c r="IH1017" s="1"/>
      <c r="II1017" s="1"/>
      <c r="IJ1017" s="1"/>
      <c r="IK1017" s="1"/>
      <c r="IL1017" s="1"/>
      <c r="IM1017" s="1"/>
      <c r="IN1017" s="1"/>
      <c r="IO1017" s="1"/>
      <c r="IP1017" s="1"/>
      <c r="IQ1017" s="1"/>
      <c r="IR1017" s="1"/>
      <c r="IS1017" s="1"/>
      <c r="IT1017" s="1"/>
      <c r="IU1017" s="1"/>
      <c r="IV1017" s="1"/>
      <c r="IW1017" s="1"/>
      <c r="IX1017" s="1"/>
      <c r="IY1017" s="1"/>
      <c r="IZ1017" s="1"/>
      <c r="JA1017" s="1"/>
      <c r="JB1017" s="1"/>
      <c r="JC1017" s="1"/>
      <c r="JD1017" s="1"/>
    </row>
    <row r="1018" spans="1:264" s="347" customFormat="1" x14ac:dyDescent="0.2">
      <c r="A1018" s="347" t="s">
        <v>350</v>
      </c>
      <c r="B1018" s="348"/>
      <c r="BH1018" s="348"/>
      <c r="BI1018" s="348"/>
      <c r="BJ1018" s="348"/>
      <c r="BK1018" s="348"/>
      <c r="BL1018" s="732"/>
      <c r="BM1018" s="732"/>
      <c r="BN1018" s="733"/>
      <c r="BO1018" s="348"/>
      <c r="BP1018" s="732"/>
      <c r="BQ1018" s="732"/>
      <c r="BR1018" s="733"/>
      <c r="BT1018" s="732"/>
      <c r="BU1018" s="732"/>
      <c r="BV1018" s="733"/>
      <c r="BX1018" s="732"/>
      <c r="BY1018" s="732"/>
      <c r="BZ1018" s="733"/>
      <c r="CB1018" s="399">
        <v>10613</v>
      </c>
      <c r="CC1018" s="399">
        <v>10462</v>
      </c>
      <c r="CD1018" s="351">
        <f>CC1018</f>
        <v>10462</v>
      </c>
      <c r="CF1018" s="399">
        <v>9934</v>
      </c>
      <c r="CG1018" s="399">
        <v>10014</v>
      </c>
      <c r="CH1018" s="351">
        <f>CG1018</f>
        <v>10014</v>
      </c>
      <c r="CJ1018" s="399">
        <v>7739</v>
      </c>
      <c r="CK1018" s="399">
        <v>7596</v>
      </c>
      <c r="CL1018" s="351">
        <f>CK1018</f>
        <v>7596</v>
      </c>
      <c r="CN1018" s="399">
        <v>7640</v>
      </c>
      <c r="CO1018" s="399">
        <v>7642</v>
      </c>
      <c r="CP1018" s="351">
        <f>CO1018</f>
        <v>7642</v>
      </c>
      <c r="CR1018" s="399">
        <v>7108</v>
      </c>
      <c r="CS1018" s="399">
        <v>6934</v>
      </c>
      <c r="CT1018" s="351">
        <f>CS1018</f>
        <v>6934</v>
      </c>
      <c r="CV1018" s="399">
        <v>7136</v>
      </c>
      <c r="CW1018" s="399">
        <v>7393</v>
      </c>
      <c r="CX1018" s="351">
        <f>CW1018</f>
        <v>7393</v>
      </c>
      <c r="CZ1018" s="399">
        <v>7510</v>
      </c>
      <c r="DA1018" s="399">
        <v>7600</v>
      </c>
      <c r="DB1018" s="351">
        <f>DA1018</f>
        <v>7600</v>
      </c>
      <c r="DD1018" s="399">
        <v>7783</v>
      </c>
      <c r="DE1018" s="399">
        <v>8082</v>
      </c>
      <c r="DF1018" s="351">
        <f>DE1018</f>
        <v>8082</v>
      </c>
      <c r="DH1018" s="399">
        <v>8296</v>
      </c>
      <c r="DI1018" s="351">
        <f>+DI1009+DI1026</f>
        <v>8498.554894737299</v>
      </c>
      <c r="DJ1018" s="351">
        <f>DI1018</f>
        <v>8498.554894737299</v>
      </c>
      <c r="DL1018" s="351">
        <f>+DL1009+DL1026</f>
        <v>8675.4263979548159</v>
      </c>
      <c r="DM1018" s="351">
        <f>+DM1009+DM1026</f>
        <v>8838.0358728931587</v>
      </c>
      <c r="DN1018" s="351">
        <f>DM1018</f>
        <v>8838.0358728931587</v>
      </c>
      <c r="DP1018" s="351">
        <f>+DP1009+DP1026</f>
        <v>8940.6107961401376</v>
      </c>
      <c r="DQ1018" s="351">
        <f>+DQ1009+DQ1026</f>
        <v>9036.8393534051011</v>
      </c>
      <c r="DR1018" s="351">
        <f>DQ1018</f>
        <v>9036.8393534051011</v>
      </c>
      <c r="DT1018" s="1"/>
      <c r="DU1018" s="1"/>
      <c r="DV1018" s="1"/>
      <c r="DW1018" s="1"/>
      <c r="DX1018" s="1"/>
      <c r="DY1018" s="1"/>
      <c r="DZ1018" s="1"/>
      <c r="EA1018" s="1"/>
      <c r="EB1018" s="1"/>
      <c r="EC1018" s="1"/>
      <c r="ED1018" s="1"/>
      <c r="EE1018" s="1"/>
      <c r="EF1018" s="1"/>
      <c r="EG1018" s="1"/>
      <c r="EH1018" s="1"/>
      <c r="EI1018" s="1"/>
      <c r="EJ1018" s="1"/>
      <c r="EK1018" s="1"/>
      <c r="EL1018" s="1"/>
      <c r="EM1018" s="1"/>
      <c r="EN1018" s="1"/>
      <c r="EO1018" s="1"/>
      <c r="EP1018" s="1"/>
      <c r="EQ1018" s="1"/>
      <c r="ER1018" s="1"/>
      <c r="ES1018" s="1"/>
      <c r="ET1018" s="1"/>
      <c r="EU1018" s="1"/>
      <c r="EV1018" s="1"/>
      <c r="EW1018" s="1"/>
      <c r="EX1018" s="1"/>
      <c r="EY1018" s="1"/>
      <c r="EZ1018" s="1"/>
      <c r="FA1018" s="1"/>
      <c r="FB1018" s="1"/>
      <c r="FC1018" s="1"/>
      <c r="FD1018" s="1"/>
      <c r="FE1018" s="1"/>
      <c r="FF1018" s="1"/>
      <c r="FG1018" s="1"/>
      <c r="FH1018" s="1"/>
      <c r="FI1018" s="1"/>
      <c r="FJ1018" s="1"/>
      <c r="FK1018" s="1"/>
      <c r="FL1018" s="1"/>
      <c r="FM1018" s="1"/>
      <c r="FN1018" s="1"/>
      <c r="FO1018" s="1"/>
      <c r="FP1018" s="1"/>
      <c r="FQ1018" s="1"/>
      <c r="FR1018" s="1"/>
      <c r="FS1018" s="1"/>
      <c r="FT1018" s="1"/>
      <c r="FU1018" s="1"/>
      <c r="FV1018" s="1"/>
      <c r="FW1018" s="1"/>
      <c r="FX1018" s="1"/>
      <c r="FY1018" s="1"/>
      <c r="FZ1018" s="1"/>
      <c r="GA1018" s="1"/>
      <c r="GB1018" s="1"/>
      <c r="GC1018" s="1"/>
      <c r="GD1018" s="1"/>
      <c r="GE1018" s="1"/>
      <c r="GF1018" s="1"/>
      <c r="GG1018" s="1"/>
      <c r="GH1018" s="1"/>
      <c r="GI1018" s="1"/>
      <c r="GJ1018" s="1"/>
      <c r="GK1018" s="1"/>
      <c r="GL1018" s="1"/>
      <c r="GM1018" s="1"/>
      <c r="GN1018" s="1"/>
      <c r="GO1018" s="1"/>
      <c r="GP1018" s="1"/>
      <c r="GQ1018" s="1"/>
      <c r="GR1018" s="1"/>
      <c r="GS1018" s="1"/>
      <c r="GT1018" s="1"/>
      <c r="GU1018" s="1"/>
      <c r="GV1018" s="1"/>
      <c r="GW1018" s="1"/>
      <c r="GX1018" s="1"/>
      <c r="GY1018" s="1"/>
      <c r="GZ1018" s="1"/>
      <c r="HA1018" s="1"/>
      <c r="HB1018" s="1"/>
      <c r="HC1018" s="1"/>
      <c r="HD1018" s="1"/>
      <c r="HE1018" s="1"/>
      <c r="HF1018" s="1"/>
      <c r="HG1018" s="1"/>
      <c r="HH1018" s="1"/>
      <c r="HI1018" s="1"/>
      <c r="HJ1018" s="1"/>
      <c r="HK1018" s="1"/>
      <c r="HL1018" s="1"/>
      <c r="HM1018" s="1"/>
      <c r="HN1018" s="1"/>
      <c r="HO1018" s="1"/>
      <c r="HP1018" s="1"/>
      <c r="HQ1018" s="1"/>
      <c r="HR1018" s="1"/>
      <c r="HS1018" s="1"/>
      <c r="HT1018" s="1"/>
      <c r="HU1018" s="1"/>
      <c r="HV1018" s="1"/>
      <c r="HW1018" s="1"/>
      <c r="HX1018" s="1"/>
      <c r="HY1018" s="1"/>
      <c r="HZ1018" s="1"/>
      <c r="IA1018" s="1"/>
      <c r="IB1018" s="1"/>
      <c r="IC1018" s="1"/>
      <c r="ID1018" s="1"/>
      <c r="IE1018" s="1"/>
      <c r="IF1018" s="1"/>
      <c r="IG1018" s="1"/>
      <c r="IH1018" s="1"/>
      <c r="II1018" s="1"/>
      <c r="IJ1018" s="1"/>
      <c r="IK1018" s="1"/>
      <c r="IL1018" s="1"/>
      <c r="IM1018" s="1"/>
      <c r="IN1018" s="1"/>
      <c r="IO1018" s="1"/>
      <c r="IP1018" s="1"/>
      <c r="IQ1018" s="1"/>
      <c r="IR1018" s="1"/>
      <c r="IS1018" s="1"/>
      <c r="IT1018" s="1"/>
      <c r="IU1018" s="1"/>
      <c r="IV1018" s="1"/>
      <c r="IW1018" s="1"/>
      <c r="IX1018" s="1"/>
      <c r="IY1018" s="1"/>
      <c r="IZ1018" s="1"/>
      <c r="JA1018" s="1"/>
      <c r="JB1018" s="1"/>
      <c r="JC1018" s="1"/>
      <c r="JD1018" s="1"/>
    </row>
    <row r="1019" spans="1:264" s="347" customFormat="1" x14ac:dyDescent="0.2">
      <c r="A1019" s="347" t="s">
        <v>687</v>
      </c>
      <c r="B1019" s="348"/>
      <c r="BH1019" s="348"/>
      <c r="BI1019" s="348"/>
      <c r="BJ1019" s="348"/>
      <c r="BK1019" s="348"/>
      <c r="BL1019" s="732"/>
      <c r="BM1019" s="732"/>
      <c r="BN1019" s="733"/>
      <c r="BO1019" s="348"/>
      <c r="BP1019" s="732"/>
      <c r="BQ1019" s="732"/>
      <c r="BR1019" s="733"/>
      <c r="BT1019" s="732"/>
      <c r="BU1019" s="732"/>
      <c r="BV1019" s="733"/>
      <c r="BX1019" s="732"/>
      <c r="BY1019" s="732"/>
      <c r="BZ1019" s="733"/>
      <c r="CB1019" s="399">
        <v>554</v>
      </c>
      <c r="CC1019" s="399">
        <v>553</v>
      </c>
      <c r="CD1019" s="351">
        <f>CC1019</f>
        <v>553</v>
      </c>
      <c r="CF1019" s="399">
        <v>553</v>
      </c>
      <c r="CG1019" s="399">
        <v>55</v>
      </c>
      <c r="CH1019" s="351">
        <f>CG1019</f>
        <v>55</v>
      </c>
      <c r="CJ1019" s="399">
        <v>51</v>
      </c>
      <c r="CK1019" s="399">
        <v>5</v>
      </c>
      <c r="CL1019" s="351">
        <f>CK1019</f>
        <v>5</v>
      </c>
      <c r="CN1019" s="399">
        <v>5</v>
      </c>
      <c r="CO1019" s="399">
        <v>5</v>
      </c>
      <c r="CP1019" s="351">
        <f>CO1019</f>
        <v>5</v>
      </c>
      <c r="CR1019" s="399">
        <v>5</v>
      </c>
      <c r="CS1019" s="399">
        <v>5</v>
      </c>
      <c r="CT1019" s="351">
        <f>CS1019</f>
        <v>5</v>
      </c>
      <c r="CV1019" s="399">
        <v>5</v>
      </c>
      <c r="CW1019" s="399">
        <v>5</v>
      </c>
      <c r="CX1019" s="351">
        <f>CW1019</f>
        <v>5</v>
      </c>
      <c r="CZ1019" s="399">
        <v>5</v>
      </c>
      <c r="DA1019" s="399">
        <v>0</v>
      </c>
      <c r="DB1019" s="351">
        <f>DA1019</f>
        <v>0</v>
      </c>
      <c r="DD1019" s="399">
        <v>0</v>
      </c>
      <c r="DE1019" s="399">
        <v>0</v>
      </c>
      <c r="DF1019" s="351">
        <f>DE1019</f>
        <v>0</v>
      </c>
      <c r="DH1019" s="399">
        <v>0</v>
      </c>
      <c r="DI1019" s="351">
        <f>DI946</f>
        <v>0</v>
      </c>
      <c r="DJ1019" s="351">
        <f>DI1019</f>
        <v>0</v>
      </c>
      <c r="DL1019" s="351">
        <f>DL946</f>
        <v>0</v>
      </c>
      <c r="DM1019" s="351">
        <f>DM946</f>
        <v>0</v>
      </c>
      <c r="DN1019" s="351">
        <f>DM1019</f>
        <v>0</v>
      </c>
      <c r="DP1019" s="351">
        <f>DP946</f>
        <v>0</v>
      </c>
      <c r="DQ1019" s="351">
        <f>DQ946</f>
        <v>0</v>
      </c>
      <c r="DR1019" s="351">
        <f>DQ1019</f>
        <v>0</v>
      </c>
      <c r="DT1019" s="1"/>
      <c r="DU1019" s="1"/>
      <c r="DV1019" s="1"/>
      <c r="DW1019" s="1"/>
      <c r="DX1019" s="1"/>
      <c r="DY1019" s="1"/>
      <c r="DZ1019" s="1"/>
      <c r="EA1019" s="1"/>
      <c r="EB1019" s="1"/>
      <c r="EC1019" s="1"/>
      <c r="ED1019" s="1"/>
      <c r="EE1019" s="1"/>
      <c r="EF1019" s="1"/>
      <c r="EG1019" s="1"/>
      <c r="EH1019" s="1"/>
      <c r="EI1019" s="1"/>
      <c r="EJ1019" s="1"/>
      <c r="EK1019" s="1"/>
      <c r="EL1019" s="1"/>
      <c r="EM1019" s="1"/>
      <c r="EN1019" s="1"/>
      <c r="EO1019" s="1"/>
      <c r="EP1019" s="1"/>
      <c r="EQ1019" s="1"/>
      <c r="ER1019" s="1"/>
      <c r="ES1019" s="1"/>
      <c r="ET1019" s="1"/>
      <c r="EU1019" s="1"/>
      <c r="EV1019" s="1"/>
      <c r="EW1019" s="1"/>
      <c r="EX1019" s="1"/>
      <c r="EY1019" s="1"/>
      <c r="EZ1019" s="1"/>
      <c r="FA1019" s="1"/>
      <c r="FB1019" s="1"/>
      <c r="FC1019" s="1"/>
      <c r="FD1019" s="1"/>
      <c r="FE1019" s="1"/>
      <c r="FF1019" s="1"/>
      <c r="FG1019" s="1"/>
      <c r="FH1019" s="1"/>
      <c r="FI1019" s="1"/>
      <c r="FJ1019" s="1"/>
      <c r="FK1019" s="1"/>
      <c r="FL1019" s="1"/>
      <c r="FM1019" s="1"/>
      <c r="FN1019" s="1"/>
      <c r="FO1019" s="1"/>
      <c r="FP1019" s="1"/>
      <c r="FQ1019" s="1"/>
      <c r="FR1019" s="1"/>
      <c r="FS1019" s="1"/>
      <c r="FT1019" s="1"/>
      <c r="FU1019" s="1"/>
      <c r="FV1019" s="1"/>
      <c r="FW1019" s="1"/>
      <c r="FX1019" s="1"/>
      <c r="FY1019" s="1"/>
      <c r="FZ1019" s="1"/>
      <c r="GA1019" s="1"/>
      <c r="GB1019" s="1"/>
      <c r="GC1019" s="1"/>
      <c r="GD1019" s="1"/>
      <c r="GE1019" s="1"/>
      <c r="GF1019" s="1"/>
      <c r="GG1019" s="1"/>
      <c r="GH1019" s="1"/>
      <c r="GI1019" s="1"/>
      <c r="GJ1019" s="1"/>
      <c r="GK1019" s="1"/>
      <c r="GL1019" s="1"/>
      <c r="GM1019" s="1"/>
      <c r="GN1019" s="1"/>
      <c r="GO1019" s="1"/>
      <c r="GP1019" s="1"/>
      <c r="GQ1019" s="1"/>
      <c r="GR1019" s="1"/>
      <c r="GS1019" s="1"/>
      <c r="GT1019" s="1"/>
      <c r="GU1019" s="1"/>
      <c r="GV1019" s="1"/>
      <c r="GW1019" s="1"/>
      <c r="GX1019" s="1"/>
      <c r="GY1019" s="1"/>
      <c r="GZ1019" s="1"/>
      <c r="HA1019" s="1"/>
      <c r="HB1019" s="1"/>
      <c r="HC1019" s="1"/>
      <c r="HD1019" s="1"/>
      <c r="HE1019" s="1"/>
      <c r="HF1019" s="1"/>
      <c r="HG1019" s="1"/>
      <c r="HH1019" s="1"/>
      <c r="HI1019" s="1"/>
      <c r="HJ1019" s="1"/>
      <c r="HK1019" s="1"/>
      <c r="HL1019" s="1"/>
      <c r="HM1019" s="1"/>
      <c r="HN1019" s="1"/>
      <c r="HO1019" s="1"/>
      <c r="HP1019" s="1"/>
      <c r="HQ1019" s="1"/>
      <c r="HR1019" s="1"/>
      <c r="HS1019" s="1"/>
      <c r="HT1019" s="1"/>
      <c r="HU1019" s="1"/>
      <c r="HV1019" s="1"/>
      <c r="HW1019" s="1"/>
      <c r="HX1019" s="1"/>
      <c r="HY1019" s="1"/>
      <c r="HZ1019" s="1"/>
      <c r="IA1019" s="1"/>
      <c r="IB1019" s="1"/>
      <c r="IC1019" s="1"/>
      <c r="ID1019" s="1"/>
      <c r="IE1019" s="1"/>
      <c r="IF1019" s="1"/>
      <c r="IG1019" s="1"/>
      <c r="IH1019" s="1"/>
      <c r="II1019" s="1"/>
      <c r="IJ1019" s="1"/>
      <c r="IK1019" s="1"/>
      <c r="IL1019" s="1"/>
      <c r="IM1019" s="1"/>
      <c r="IN1019" s="1"/>
      <c r="IO1019" s="1"/>
      <c r="IP1019" s="1"/>
      <c r="IQ1019" s="1"/>
      <c r="IR1019" s="1"/>
      <c r="IS1019" s="1"/>
      <c r="IT1019" s="1"/>
      <c r="IU1019" s="1"/>
      <c r="IV1019" s="1"/>
      <c r="IW1019" s="1"/>
      <c r="IX1019" s="1"/>
      <c r="IY1019" s="1"/>
      <c r="IZ1019" s="1"/>
      <c r="JA1019" s="1"/>
      <c r="JB1019" s="1"/>
      <c r="JC1019" s="1"/>
      <c r="JD1019" s="1"/>
    </row>
    <row r="1020" spans="1:264" s="411" customFormat="1" x14ac:dyDescent="0.2">
      <c r="A1020" s="411" t="s">
        <v>692</v>
      </c>
      <c r="B1020" s="423"/>
      <c r="BH1020" s="423"/>
      <c r="BI1020" s="423"/>
      <c r="BJ1020" s="423"/>
      <c r="BK1020" s="423"/>
      <c r="BL1020" s="734"/>
      <c r="BM1020" s="734"/>
      <c r="BN1020" s="729"/>
      <c r="BO1020" s="423"/>
      <c r="BP1020" s="734"/>
      <c r="BQ1020" s="734"/>
      <c r="BR1020" s="729"/>
      <c r="BT1020" s="734"/>
      <c r="BU1020" s="734"/>
      <c r="BV1020" s="729"/>
      <c r="BX1020" s="734"/>
      <c r="BY1020" s="734"/>
      <c r="BZ1020" s="729"/>
      <c r="CB1020" s="397">
        <f>+CB1017-CB1018-CB1019</f>
        <v>54924</v>
      </c>
      <c r="CC1020" s="397">
        <f>+CC1017-CC1018-CC1019</f>
        <v>56845</v>
      </c>
      <c r="CD1020" s="397">
        <f>CC1020</f>
        <v>56845</v>
      </c>
      <c r="CF1020" s="397">
        <f>+CF1017-CF1018-CF1019</f>
        <v>58091</v>
      </c>
      <c r="CG1020" s="397">
        <f>+CG1017-CG1018-CG1019</f>
        <v>59580</v>
      </c>
      <c r="CH1020" s="397">
        <f>CG1020</f>
        <v>59580</v>
      </c>
      <c r="CJ1020" s="397">
        <f>+CJ1017-CJ1018-CJ1019</f>
        <v>63363</v>
      </c>
      <c r="CK1020" s="397">
        <f>+CK1017-CK1018-CK1019</f>
        <v>64337</v>
      </c>
      <c r="CL1020" s="397">
        <f>CK1020</f>
        <v>64337</v>
      </c>
      <c r="CN1020" s="397">
        <f>+CN1017-CN1018-CN1019</f>
        <v>67275</v>
      </c>
      <c r="CO1020" s="397">
        <f>+CO1017-CO1018-CO1019</f>
        <v>71071</v>
      </c>
      <c r="CP1020" s="397">
        <f>CO1020</f>
        <v>71071</v>
      </c>
      <c r="CR1020" s="397">
        <f>+CR1017-CR1018-CR1019</f>
        <v>67550</v>
      </c>
      <c r="CS1020" s="397">
        <f>+CS1017-CS1018-CS1019</f>
        <v>65899</v>
      </c>
      <c r="CT1020" s="397">
        <f>CS1020</f>
        <v>65899</v>
      </c>
      <c r="CV1020" s="397">
        <f>+CV1017-CV1018-CV1019</f>
        <v>65180</v>
      </c>
      <c r="CW1020" s="397">
        <f>+CW1017-CW1018-CW1019</f>
        <v>64235</v>
      </c>
      <c r="CX1020" s="397">
        <f>CW1020</f>
        <v>64235</v>
      </c>
      <c r="CZ1020" s="397">
        <f>+CZ1017-CZ1018-CZ1019</f>
        <v>65324</v>
      </c>
      <c r="DA1020" s="397">
        <f>+DA1017-DA1018-DA1019</f>
        <v>65488</v>
      </c>
      <c r="DB1020" s="397">
        <f>DA1020</f>
        <v>65488</v>
      </c>
      <c r="DD1020" s="397">
        <f>+DD1017-DD1018-DD1019</f>
        <v>67481</v>
      </c>
      <c r="DE1020" s="397">
        <f>+DE1017-DE1018-DE1019</f>
        <v>70694</v>
      </c>
      <c r="DF1020" s="397">
        <f>DE1020</f>
        <v>70694</v>
      </c>
      <c r="DH1020" s="397">
        <f>+DH1017-DH1018-DH1019</f>
        <v>68936</v>
      </c>
      <c r="DI1020" s="397">
        <f>+DI1017-DI1018-DI1019</f>
        <v>70425.461954841405</v>
      </c>
      <c r="DJ1020" s="397">
        <f>DI1020</f>
        <v>70425.461954841405</v>
      </c>
      <c r="DL1020" s="397">
        <f ca="1">+DL1017-DL1018-DL1019</f>
        <v>71494.631033074125</v>
      </c>
      <c r="DM1020" s="397">
        <f ca="1">+DM1017-DM1018-DM1019</f>
        <v>72858.075424281138</v>
      </c>
      <c r="DN1020" s="397">
        <f ca="1">DM1020</f>
        <v>72858.075424281138</v>
      </c>
      <c r="DP1020" s="397">
        <f ca="1">+DP1017-DP1018-DP1019</f>
        <v>73875.780259574283</v>
      </c>
      <c r="DQ1020" s="397">
        <f ca="1">+DQ1017-DQ1018-DQ1019</f>
        <v>75388.820573716177</v>
      </c>
      <c r="DR1020" s="397">
        <f ca="1">DQ1020</f>
        <v>75388.820573716177</v>
      </c>
      <c r="DT1020" s="451"/>
      <c r="DU1020" s="451"/>
      <c r="DV1020" s="451"/>
      <c r="DW1020" s="451"/>
      <c r="DX1020" s="451"/>
      <c r="DY1020" s="451"/>
      <c r="DZ1020" s="451"/>
      <c r="EA1020" s="451"/>
      <c r="EB1020" s="451"/>
      <c r="EC1020" s="451"/>
      <c r="ED1020" s="451"/>
      <c r="EE1020" s="451"/>
      <c r="EF1020" s="451"/>
      <c r="EG1020" s="451"/>
      <c r="EH1020" s="451"/>
      <c r="EI1020" s="451"/>
      <c r="EJ1020" s="451"/>
      <c r="EK1020" s="451"/>
      <c r="EL1020" s="451"/>
      <c r="EM1020" s="451"/>
      <c r="EN1020" s="451"/>
      <c r="EO1020" s="451"/>
      <c r="EP1020" s="451"/>
      <c r="EQ1020" s="451"/>
      <c r="ER1020" s="451"/>
      <c r="ES1020" s="451"/>
      <c r="ET1020" s="451"/>
      <c r="EU1020" s="451"/>
      <c r="EV1020" s="451"/>
      <c r="EW1020" s="451"/>
      <c r="EX1020" s="451"/>
      <c r="EY1020" s="451"/>
      <c r="EZ1020" s="451"/>
      <c r="FA1020" s="451"/>
      <c r="FB1020" s="451"/>
      <c r="FC1020" s="451"/>
      <c r="FD1020" s="451"/>
      <c r="FE1020" s="451"/>
      <c r="FF1020" s="451"/>
      <c r="FG1020" s="451"/>
      <c r="FH1020" s="451"/>
      <c r="FI1020" s="451"/>
      <c r="FJ1020" s="451"/>
      <c r="FK1020" s="451"/>
      <c r="FL1020" s="451"/>
      <c r="FM1020" s="451"/>
      <c r="FN1020" s="451"/>
      <c r="FO1020" s="451"/>
      <c r="FP1020" s="451"/>
      <c r="FQ1020" s="451"/>
      <c r="FR1020" s="451"/>
      <c r="FS1020" s="451"/>
      <c r="FT1020" s="451"/>
      <c r="FU1020" s="451"/>
      <c r="FV1020" s="451"/>
      <c r="FW1020" s="451"/>
      <c r="FX1020" s="451"/>
      <c r="FY1020" s="451"/>
      <c r="FZ1020" s="451"/>
      <c r="GA1020" s="451"/>
      <c r="GB1020" s="451"/>
      <c r="GC1020" s="451"/>
      <c r="GD1020" s="451"/>
      <c r="GE1020" s="451"/>
      <c r="GF1020" s="451"/>
      <c r="GG1020" s="451"/>
      <c r="GH1020" s="451"/>
      <c r="GI1020" s="451"/>
      <c r="GJ1020" s="451"/>
      <c r="GK1020" s="451"/>
      <c r="GL1020" s="451"/>
      <c r="GM1020" s="451"/>
      <c r="GN1020" s="451"/>
      <c r="GO1020" s="451"/>
      <c r="GP1020" s="451"/>
      <c r="GQ1020" s="451"/>
      <c r="GR1020" s="451"/>
      <c r="GS1020" s="451"/>
      <c r="GT1020" s="451"/>
      <c r="GU1020" s="451"/>
      <c r="GV1020" s="451"/>
      <c r="GW1020" s="451"/>
      <c r="GX1020" s="451"/>
      <c r="GY1020" s="451"/>
      <c r="GZ1020" s="451"/>
      <c r="HA1020" s="451"/>
      <c r="HB1020" s="451"/>
      <c r="HC1020" s="451"/>
      <c r="HD1020" s="451"/>
      <c r="HE1020" s="451"/>
      <c r="HF1020" s="451"/>
      <c r="HG1020" s="451"/>
      <c r="HH1020" s="451"/>
      <c r="HI1020" s="451"/>
      <c r="HJ1020" s="451"/>
      <c r="HK1020" s="451"/>
      <c r="HL1020" s="451"/>
      <c r="HM1020" s="451"/>
      <c r="HN1020" s="451"/>
      <c r="HO1020" s="451"/>
      <c r="HP1020" s="451"/>
      <c r="HQ1020" s="451"/>
      <c r="HR1020" s="451"/>
      <c r="HS1020" s="451"/>
      <c r="HT1020" s="451"/>
      <c r="HU1020" s="451"/>
      <c r="HV1020" s="451"/>
      <c r="HW1020" s="451"/>
      <c r="HX1020" s="451"/>
      <c r="HY1020" s="451"/>
      <c r="HZ1020" s="451"/>
      <c r="IA1020" s="451"/>
      <c r="IB1020" s="451"/>
      <c r="IC1020" s="451"/>
      <c r="ID1020" s="451"/>
      <c r="IE1020" s="451"/>
      <c r="IF1020" s="451"/>
      <c r="IG1020" s="451"/>
      <c r="IH1020" s="451"/>
      <c r="II1020" s="451"/>
      <c r="IJ1020" s="451"/>
      <c r="IK1020" s="451"/>
      <c r="IL1020" s="451"/>
      <c r="IM1020" s="451"/>
      <c r="IN1020" s="451"/>
      <c r="IO1020" s="451"/>
      <c r="IP1020" s="451"/>
      <c r="IQ1020" s="451"/>
      <c r="IR1020" s="451"/>
      <c r="IS1020" s="451"/>
      <c r="IT1020" s="451"/>
      <c r="IU1020" s="451"/>
      <c r="IV1020" s="451"/>
      <c r="IW1020" s="451"/>
      <c r="IX1020" s="451"/>
      <c r="IY1020" s="451"/>
      <c r="IZ1020" s="451"/>
      <c r="JA1020" s="451"/>
      <c r="JB1020" s="451"/>
      <c r="JC1020" s="451"/>
      <c r="JD1020" s="451"/>
    </row>
    <row r="1021" spans="1:264" s="411" customFormat="1" x14ac:dyDescent="0.2">
      <c r="A1021" s="411" t="s">
        <v>689</v>
      </c>
      <c r="B1021" s="423"/>
      <c r="BH1021" s="423"/>
      <c r="BI1021" s="423"/>
      <c r="BJ1021" s="423"/>
      <c r="BK1021" s="423"/>
      <c r="BL1021" s="734"/>
      <c r="BM1021" s="734"/>
      <c r="BN1021" s="729"/>
      <c r="BO1021" s="423"/>
      <c r="BP1021" s="734"/>
      <c r="BQ1021" s="734"/>
      <c r="BR1021" s="729"/>
      <c r="BT1021" s="734"/>
      <c r="BU1021" s="734"/>
      <c r="BV1021" s="729"/>
      <c r="BX1021" s="734"/>
      <c r="BY1021" s="734"/>
      <c r="BZ1021" s="729"/>
      <c r="CB1021" s="729">
        <f>CB1020/CB999</f>
        <v>31.336290511371118</v>
      </c>
      <c r="CC1021" s="729">
        <f>CC1020/CC999</f>
        <v>32.301178151166027</v>
      </c>
      <c r="CD1021" s="729">
        <f>CD1020/CD999</f>
        <v>32.301178151166027</v>
      </c>
      <c r="CF1021" s="729">
        <f>CF1020/CF999</f>
        <v>32.81533361462823</v>
      </c>
      <c r="CG1021" s="729">
        <f>CG1020/CG999</f>
        <v>33.656462735355731</v>
      </c>
      <c r="CH1021" s="729">
        <f>CH1020/CH999</f>
        <v>33.656462735355731</v>
      </c>
      <c r="CJ1021" s="729">
        <f>CJ1020/CJ999</f>
        <v>35.7934617035976</v>
      </c>
      <c r="CK1021" s="729">
        <f>CK1020/CK999</f>
        <v>36.343669738244067</v>
      </c>
      <c r="CL1021" s="729">
        <f>CL1020/CL999</f>
        <v>36.343669738244067</v>
      </c>
      <c r="CN1021" s="729">
        <f>CN1020/CN999</f>
        <v>37.920712550227186</v>
      </c>
      <c r="CO1021" s="729">
        <f>CO1020/CO999</f>
        <v>40.060393335669957</v>
      </c>
      <c r="CP1021" s="729">
        <f>CP1020/CP999</f>
        <v>40.060393335669957</v>
      </c>
      <c r="CR1021" s="729">
        <f>CR1020/CR999</f>
        <v>39.586458279119881</v>
      </c>
      <c r="CS1021" s="729">
        <f>CS1020/CS999</f>
        <v>38.72906998021648</v>
      </c>
      <c r="CT1021" s="729">
        <f>CT1020/CT999</f>
        <v>38.72906998021648</v>
      </c>
      <c r="CV1021" s="729">
        <f>CV1020/CV999</f>
        <v>38.604272101438404</v>
      </c>
      <c r="CW1021" s="729">
        <f>CW1020/CW999</f>
        <v>38.322500690655168</v>
      </c>
      <c r="CX1021" s="729">
        <f>CX1020/CX999</f>
        <v>38.322500690655168</v>
      </c>
      <c r="CZ1021" s="729">
        <f>CZ1020/CZ999</f>
        <v>39.007508768684822</v>
      </c>
      <c r="DA1021" s="729">
        <f>DA1020/DA999</f>
        <v>39.130478370492447</v>
      </c>
      <c r="DB1021" s="729">
        <f>DB1020/DB999</f>
        <v>39.130478370492447</v>
      </c>
      <c r="DD1021" s="729">
        <f>DD1020/DD999</f>
        <v>40.324181585206588</v>
      </c>
      <c r="DE1021" s="729">
        <f>DE1020/DE999</f>
        <v>42.244153065078983</v>
      </c>
      <c r="DF1021" s="729">
        <f>DF1020/DF999</f>
        <v>42.244153065078983</v>
      </c>
      <c r="DH1021" s="729">
        <f>DH1020/DH999</f>
        <v>41.193636457044228</v>
      </c>
      <c r="DI1021" s="729">
        <f>DI1020/DI999</f>
        <v>42.083684534744343</v>
      </c>
      <c r="DJ1021" s="729">
        <f>DJ1020/DJ999</f>
        <v>42.083684534744343</v>
      </c>
      <c r="DL1021" s="729">
        <f ca="1">DL1020/DL999</f>
        <v>42.722580936041659</v>
      </c>
      <c r="DM1021" s="729">
        <f ca="1">DM1020/DM999</f>
        <v>43.537325519144503</v>
      </c>
      <c r="DN1021" s="729">
        <f ca="1">DN1020/DN999</f>
        <v>43.537325519144503</v>
      </c>
      <c r="DP1021" s="729">
        <f ca="1">DP1020/DP999</f>
        <v>44.145468768036842</v>
      </c>
      <c r="DQ1021" s="729">
        <f ca="1">DQ1020/DQ999</f>
        <v>45.049606412309977</v>
      </c>
      <c r="DR1021" s="729">
        <f ca="1">DR1020/DR999</f>
        <v>45.049606412309977</v>
      </c>
      <c r="DT1021" s="451"/>
      <c r="DU1021" s="451"/>
      <c r="DV1021" s="451"/>
      <c r="DW1021" s="451"/>
      <c r="DX1021" s="451"/>
      <c r="DY1021" s="451"/>
      <c r="DZ1021" s="451"/>
      <c r="EA1021" s="451"/>
      <c r="EB1021" s="451"/>
      <c r="EC1021" s="451"/>
      <c r="ED1021" s="451"/>
      <c r="EE1021" s="451"/>
      <c r="EF1021" s="451"/>
      <c r="EG1021" s="451"/>
      <c r="EH1021" s="451"/>
      <c r="EI1021" s="451"/>
      <c r="EJ1021" s="451"/>
      <c r="EK1021" s="451"/>
      <c r="EL1021" s="451"/>
      <c r="EM1021" s="451"/>
      <c r="EN1021" s="451"/>
      <c r="EO1021" s="451"/>
      <c r="EP1021" s="451"/>
      <c r="EQ1021" s="451"/>
      <c r="ER1021" s="451"/>
      <c r="ES1021" s="451"/>
      <c r="ET1021" s="451"/>
      <c r="EU1021" s="451"/>
      <c r="EV1021" s="451"/>
      <c r="EW1021" s="451"/>
      <c r="EX1021" s="451"/>
      <c r="EY1021" s="451"/>
      <c r="EZ1021" s="451"/>
      <c r="FA1021" s="451"/>
      <c r="FB1021" s="451"/>
      <c r="FC1021" s="451"/>
      <c r="FD1021" s="451"/>
      <c r="FE1021" s="451"/>
      <c r="FF1021" s="451"/>
      <c r="FG1021" s="451"/>
      <c r="FH1021" s="451"/>
      <c r="FI1021" s="451"/>
      <c r="FJ1021" s="451"/>
      <c r="FK1021" s="451"/>
      <c r="FL1021" s="451"/>
      <c r="FM1021" s="451"/>
      <c r="FN1021" s="451"/>
      <c r="FO1021" s="451"/>
      <c r="FP1021" s="451"/>
      <c r="FQ1021" s="451"/>
      <c r="FR1021" s="451"/>
      <c r="FS1021" s="451"/>
      <c r="FT1021" s="451"/>
      <c r="FU1021" s="451"/>
      <c r="FV1021" s="451"/>
      <c r="FW1021" s="451"/>
      <c r="FX1021" s="451"/>
      <c r="FY1021" s="451"/>
      <c r="FZ1021" s="451"/>
      <c r="GA1021" s="451"/>
      <c r="GB1021" s="451"/>
      <c r="GC1021" s="451"/>
      <c r="GD1021" s="451"/>
      <c r="GE1021" s="451"/>
      <c r="GF1021" s="451"/>
      <c r="GG1021" s="451"/>
      <c r="GH1021" s="451"/>
      <c r="GI1021" s="451"/>
      <c r="GJ1021" s="451"/>
      <c r="GK1021" s="451"/>
      <c r="GL1021" s="451"/>
      <c r="GM1021" s="451"/>
      <c r="GN1021" s="451"/>
      <c r="GO1021" s="451"/>
      <c r="GP1021" s="451"/>
      <c r="GQ1021" s="451"/>
      <c r="GR1021" s="451"/>
      <c r="GS1021" s="451"/>
      <c r="GT1021" s="451"/>
      <c r="GU1021" s="451"/>
      <c r="GV1021" s="451"/>
      <c r="GW1021" s="451"/>
      <c r="GX1021" s="451"/>
      <c r="GY1021" s="451"/>
      <c r="GZ1021" s="451"/>
      <c r="HA1021" s="451"/>
      <c r="HB1021" s="451"/>
      <c r="HC1021" s="451"/>
      <c r="HD1021" s="451"/>
      <c r="HE1021" s="451"/>
      <c r="HF1021" s="451"/>
      <c r="HG1021" s="451"/>
      <c r="HH1021" s="451"/>
      <c r="HI1021" s="451"/>
      <c r="HJ1021" s="451"/>
      <c r="HK1021" s="451"/>
      <c r="HL1021" s="451"/>
      <c r="HM1021" s="451"/>
      <c r="HN1021" s="451"/>
      <c r="HO1021" s="451"/>
      <c r="HP1021" s="451"/>
      <c r="HQ1021" s="451"/>
      <c r="HR1021" s="451"/>
      <c r="HS1021" s="451"/>
      <c r="HT1021" s="451"/>
      <c r="HU1021" s="451"/>
      <c r="HV1021" s="451"/>
      <c r="HW1021" s="451"/>
      <c r="HX1021" s="451"/>
      <c r="HY1021" s="451"/>
      <c r="HZ1021" s="451"/>
      <c r="IA1021" s="451"/>
      <c r="IB1021" s="451"/>
      <c r="IC1021" s="451"/>
      <c r="ID1021" s="451"/>
      <c r="IE1021" s="451"/>
      <c r="IF1021" s="451"/>
      <c r="IG1021" s="451"/>
      <c r="IH1021" s="451"/>
      <c r="II1021" s="451"/>
      <c r="IJ1021" s="451"/>
      <c r="IK1021" s="451"/>
      <c r="IL1021" s="451"/>
      <c r="IM1021" s="451"/>
      <c r="IN1021" s="451"/>
      <c r="IO1021" s="451"/>
      <c r="IP1021" s="451"/>
      <c r="IQ1021" s="451"/>
      <c r="IR1021" s="451"/>
      <c r="IS1021" s="451"/>
      <c r="IT1021" s="451"/>
      <c r="IU1021" s="451"/>
      <c r="IV1021" s="451"/>
      <c r="IW1021" s="451"/>
      <c r="IX1021" s="451"/>
      <c r="IY1021" s="451"/>
      <c r="IZ1021" s="451"/>
      <c r="JA1021" s="451"/>
      <c r="JB1021" s="451"/>
      <c r="JC1021" s="451"/>
      <c r="JD1021" s="451"/>
    </row>
    <row r="1022" spans="1:264" s="347" customFormat="1" x14ac:dyDescent="0.2">
      <c r="A1022" s="429" t="s">
        <v>690</v>
      </c>
      <c r="B1022" s="408"/>
      <c r="C1022" s="429"/>
      <c r="D1022" s="429"/>
      <c r="E1022" s="429"/>
      <c r="F1022" s="429"/>
      <c r="G1022" s="429"/>
      <c r="H1022" s="429"/>
      <c r="I1022" s="429"/>
      <c r="J1022" s="429"/>
      <c r="K1022" s="429"/>
      <c r="L1022" s="429"/>
      <c r="M1022" s="429"/>
      <c r="N1022" s="429"/>
      <c r="O1022" s="429"/>
      <c r="P1022" s="429"/>
      <c r="Q1022" s="429"/>
      <c r="R1022" s="429"/>
      <c r="S1022" s="429"/>
      <c r="T1022" s="429"/>
      <c r="U1022" s="429"/>
      <c r="V1022" s="429"/>
      <c r="W1022" s="429"/>
      <c r="X1022" s="429"/>
      <c r="Y1022" s="429"/>
      <c r="Z1022" s="429"/>
      <c r="AA1022" s="429"/>
      <c r="AB1022" s="429"/>
      <c r="AC1022" s="429"/>
      <c r="AD1022" s="429"/>
      <c r="AE1022" s="429"/>
      <c r="AF1022" s="429"/>
      <c r="AG1022" s="429"/>
      <c r="AH1022" s="429"/>
      <c r="AI1022" s="429"/>
      <c r="AJ1022" s="429"/>
      <c r="AK1022" s="429"/>
      <c r="AL1022" s="429"/>
      <c r="AM1022" s="429"/>
      <c r="AN1022" s="429"/>
      <c r="AO1022" s="429"/>
      <c r="AP1022" s="429"/>
      <c r="AQ1022" s="429"/>
      <c r="AR1022" s="429"/>
      <c r="AS1022" s="429"/>
      <c r="AT1022" s="429"/>
      <c r="AU1022" s="429"/>
      <c r="AV1022" s="429"/>
      <c r="AW1022" s="429"/>
      <c r="AX1022" s="429"/>
      <c r="AY1022" s="429"/>
      <c r="AZ1022" s="429"/>
      <c r="BA1022" s="429"/>
      <c r="BB1022" s="429"/>
      <c r="BC1022" s="429"/>
      <c r="BD1022" s="429"/>
      <c r="BE1022" s="429"/>
      <c r="BF1022" s="429"/>
      <c r="BG1022" s="429"/>
      <c r="BH1022" s="408"/>
      <c r="BI1022" s="408"/>
      <c r="BJ1022" s="408"/>
      <c r="BK1022" s="408"/>
      <c r="BL1022" s="730"/>
      <c r="BM1022" s="730"/>
      <c r="BN1022" s="731"/>
      <c r="BO1022" s="408"/>
      <c r="BP1022" s="730"/>
      <c r="BQ1022" s="730"/>
      <c r="BR1022" s="731"/>
      <c r="BT1022" s="732"/>
      <c r="BU1022" s="732"/>
      <c r="BV1022" s="733"/>
      <c r="BX1022" s="732"/>
      <c r="BY1022" s="732"/>
      <c r="BZ1022" s="733"/>
      <c r="CB1022" s="730">
        <v>31.34</v>
      </c>
      <c r="CC1022" s="730">
        <v>32.299999999999997</v>
      </c>
      <c r="CD1022" s="731">
        <f>CC1022</f>
        <v>32.299999999999997</v>
      </c>
      <c r="CF1022" s="730">
        <v>32.82</v>
      </c>
      <c r="CG1022" s="730">
        <v>33.659999999999997</v>
      </c>
      <c r="CH1022" s="731">
        <f>CG1022</f>
        <v>33.659999999999997</v>
      </c>
      <c r="CJ1022" s="730">
        <v>35.79</v>
      </c>
      <c r="CK1022" s="730">
        <v>36.340000000000003</v>
      </c>
      <c r="CL1022" s="731">
        <f>CK1022</f>
        <v>36.340000000000003</v>
      </c>
      <c r="CN1022" s="730">
        <v>37.92</v>
      </c>
      <c r="CO1022" s="730">
        <v>40.06</v>
      </c>
      <c r="CP1022" s="731">
        <f>CO1022</f>
        <v>40.06</v>
      </c>
      <c r="CR1022" s="730">
        <v>37.92</v>
      </c>
      <c r="CS1022" s="730">
        <v>38.729999999999997</v>
      </c>
      <c r="CT1022" s="731">
        <f>CS1022</f>
        <v>38.729999999999997</v>
      </c>
      <c r="CV1022" s="730">
        <v>38.6</v>
      </c>
      <c r="CW1022" s="730">
        <v>38.32</v>
      </c>
      <c r="CX1022" s="731">
        <f>CW1022</f>
        <v>38.32</v>
      </c>
      <c r="CZ1022" s="730">
        <v>39.01</v>
      </c>
      <c r="DA1022" s="730">
        <v>39.130000000000003</v>
      </c>
      <c r="DB1022" s="731">
        <f>DA1022</f>
        <v>39.130000000000003</v>
      </c>
      <c r="DD1022" s="730">
        <v>40.32</v>
      </c>
      <c r="DE1022" s="730">
        <v>42.24</v>
      </c>
      <c r="DF1022" s="731">
        <f>DE1022</f>
        <v>42.24</v>
      </c>
      <c r="DH1022" s="730">
        <v>41.19</v>
      </c>
      <c r="DI1022" s="730"/>
      <c r="DJ1022" s="731"/>
      <c r="DL1022" s="730"/>
      <c r="DM1022" s="730"/>
      <c r="DN1022" s="731"/>
      <c r="DP1022" s="730"/>
      <c r="DQ1022" s="730"/>
      <c r="DR1022" s="731"/>
      <c r="DT1022" s="1"/>
      <c r="DU1022" s="1"/>
      <c r="DV1022" s="1"/>
      <c r="DW1022" s="1"/>
      <c r="DX1022" s="1"/>
      <c r="DY1022" s="1"/>
      <c r="DZ1022" s="1"/>
      <c r="EA1022" s="1"/>
      <c r="EB1022" s="1"/>
      <c r="EC1022" s="1"/>
      <c r="ED1022" s="1"/>
      <c r="EE1022" s="1"/>
      <c r="EF1022" s="1"/>
      <c r="EG1022" s="1"/>
      <c r="EH1022" s="1"/>
      <c r="EI1022" s="1"/>
      <c r="EJ1022" s="1"/>
      <c r="EK1022" s="1"/>
      <c r="EL1022" s="1"/>
      <c r="EM1022" s="1"/>
      <c r="EN1022" s="1"/>
      <c r="EO1022" s="1"/>
      <c r="EP1022" s="1"/>
      <c r="EQ1022" s="1"/>
      <c r="ER1022" s="1"/>
      <c r="ES1022" s="1"/>
      <c r="ET1022" s="1"/>
      <c r="EU1022" s="1"/>
      <c r="EV1022" s="1"/>
      <c r="EW1022" s="1"/>
      <c r="EX1022" s="1"/>
      <c r="EY1022" s="1"/>
      <c r="EZ1022" s="1"/>
      <c r="FA1022" s="1"/>
      <c r="FB1022" s="1"/>
      <c r="FC1022" s="1"/>
      <c r="FD1022" s="1"/>
      <c r="FE1022" s="1"/>
      <c r="FF1022" s="1"/>
      <c r="FG1022" s="1"/>
      <c r="FH1022" s="1"/>
      <c r="FI1022" s="1"/>
      <c r="FJ1022" s="1"/>
      <c r="FK1022" s="1"/>
      <c r="FL1022" s="1"/>
      <c r="FM1022" s="1"/>
      <c r="FN1022" s="1"/>
      <c r="FO1022" s="1"/>
      <c r="FP1022" s="1"/>
      <c r="FQ1022" s="1"/>
      <c r="FR1022" s="1"/>
      <c r="FS1022" s="1"/>
      <c r="FT1022" s="1"/>
      <c r="FU1022" s="1"/>
      <c r="FV1022" s="1"/>
      <c r="FW1022" s="1"/>
      <c r="FX1022" s="1"/>
      <c r="FY1022" s="1"/>
      <c r="FZ1022" s="1"/>
      <c r="GA1022" s="1"/>
      <c r="GB1022" s="1"/>
      <c r="GC1022" s="1"/>
      <c r="GD1022" s="1"/>
      <c r="GE1022" s="1"/>
      <c r="GF1022" s="1"/>
      <c r="GG1022" s="1"/>
      <c r="GH1022" s="1"/>
      <c r="GI1022" s="1"/>
      <c r="GJ1022" s="1"/>
      <c r="GK1022" s="1"/>
      <c r="GL1022" s="1"/>
      <c r="GM1022" s="1"/>
      <c r="GN1022" s="1"/>
      <c r="GO1022" s="1"/>
      <c r="GP1022" s="1"/>
      <c r="GQ1022" s="1"/>
      <c r="GR1022" s="1"/>
      <c r="GS1022" s="1"/>
      <c r="GT1022" s="1"/>
      <c r="GU1022" s="1"/>
      <c r="GV1022" s="1"/>
      <c r="GW1022" s="1"/>
      <c r="GX1022" s="1"/>
      <c r="GY1022" s="1"/>
      <c r="GZ1022" s="1"/>
      <c r="HA1022" s="1"/>
      <c r="HB1022" s="1"/>
      <c r="HC1022" s="1"/>
      <c r="HD1022" s="1"/>
      <c r="HE1022" s="1"/>
      <c r="HF1022" s="1"/>
      <c r="HG1022" s="1"/>
      <c r="HH1022" s="1"/>
      <c r="HI1022" s="1"/>
      <c r="HJ1022" s="1"/>
      <c r="HK1022" s="1"/>
      <c r="HL1022" s="1"/>
      <c r="HM1022" s="1"/>
      <c r="HN1022" s="1"/>
      <c r="HO1022" s="1"/>
      <c r="HP1022" s="1"/>
      <c r="HQ1022" s="1"/>
      <c r="HR1022" s="1"/>
      <c r="HS1022" s="1"/>
      <c r="HT1022" s="1"/>
      <c r="HU1022" s="1"/>
      <c r="HV1022" s="1"/>
      <c r="HW1022" s="1"/>
      <c r="HX1022" s="1"/>
      <c r="HY1022" s="1"/>
      <c r="HZ1022" s="1"/>
      <c r="IA1022" s="1"/>
      <c r="IB1022" s="1"/>
      <c r="IC1022" s="1"/>
      <c r="ID1022" s="1"/>
      <c r="IE1022" s="1"/>
      <c r="IF1022" s="1"/>
      <c r="IG1022" s="1"/>
      <c r="IH1022" s="1"/>
      <c r="II1022" s="1"/>
      <c r="IJ1022" s="1"/>
      <c r="IK1022" s="1"/>
      <c r="IL1022" s="1"/>
      <c r="IM1022" s="1"/>
      <c r="IN1022" s="1"/>
      <c r="IO1022" s="1"/>
      <c r="IP1022" s="1"/>
      <c r="IQ1022" s="1"/>
      <c r="IR1022" s="1"/>
      <c r="IS1022" s="1"/>
      <c r="IT1022" s="1"/>
      <c r="IU1022" s="1"/>
      <c r="IV1022" s="1"/>
      <c r="IW1022" s="1"/>
      <c r="IX1022" s="1"/>
      <c r="IY1022" s="1"/>
      <c r="IZ1022" s="1"/>
      <c r="JA1022" s="1"/>
      <c r="JB1022" s="1"/>
      <c r="JC1022" s="1"/>
      <c r="JD1022" s="1"/>
    </row>
    <row r="1023" spans="1:264" s="347" customFormat="1" x14ac:dyDescent="0.2">
      <c r="B1023" s="348"/>
      <c r="BH1023" s="348"/>
      <c r="BI1023" s="348"/>
      <c r="BJ1023" s="348"/>
      <c r="BK1023" s="348"/>
      <c r="BL1023" s="732"/>
      <c r="BM1023" s="732"/>
      <c r="BN1023" s="733"/>
      <c r="BO1023" s="348"/>
      <c r="BP1023" s="732"/>
      <c r="BQ1023" s="732"/>
      <c r="BR1023" s="733"/>
      <c r="BT1023" s="732"/>
      <c r="BU1023" s="732"/>
      <c r="BV1023" s="733"/>
      <c r="BX1023" s="732"/>
      <c r="BY1023" s="732"/>
      <c r="BZ1023" s="733"/>
      <c r="CB1023" s="732"/>
      <c r="CC1023" s="732"/>
      <c r="CD1023" s="733"/>
      <c r="CF1023" s="732"/>
      <c r="CG1023" s="732"/>
      <c r="CH1023" s="733"/>
      <c r="CJ1023" s="732"/>
      <c r="CK1023" s="732"/>
      <c r="CL1023" s="733"/>
      <c r="CN1023" s="732"/>
      <c r="CO1023" s="732"/>
      <c r="CP1023" s="733"/>
      <c r="CR1023" s="732"/>
      <c r="CS1023" s="732"/>
      <c r="CT1023" s="733"/>
      <c r="CV1023" s="732"/>
      <c r="CW1023" s="732"/>
      <c r="CX1023" s="733"/>
      <c r="CZ1023" s="732"/>
      <c r="DA1023" s="732"/>
      <c r="DB1023" s="733"/>
      <c r="DD1023" s="732"/>
      <c r="DE1023" s="732"/>
      <c r="DF1023" s="733"/>
      <c r="DH1023" s="732"/>
      <c r="DI1023" s="732"/>
      <c r="DJ1023" s="733"/>
      <c r="DL1023" s="732"/>
      <c r="DM1023" s="732"/>
      <c r="DN1023" s="733"/>
      <c r="DP1023" s="732"/>
      <c r="DQ1023" s="732"/>
      <c r="DR1023" s="733"/>
      <c r="DT1023" s="1"/>
      <c r="DU1023" s="1"/>
      <c r="DV1023" s="1"/>
      <c r="DW1023" s="1"/>
      <c r="DX1023" s="1"/>
      <c r="DY1023" s="1"/>
      <c r="DZ1023" s="1"/>
      <c r="EA1023" s="1"/>
      <c r="EB1023" s="1"/>
      <c r="EC1023" s="1"/>
      <c r="ED1023" s="1"/>
      <c r="EE1023" s="1"/>
      <c r="EF1023" s="1"/>
      <c r="EG1023" s="1"/>
      <c r="EH1023" s="1"/>
      <c r="EI1023" s="1"/>
      <c r="EJ1023" s="1"/>
      <c r="EK1023" s="1"/>
      <c r="EL1023" s="1"/>
      <c r="EM1023" s="1"/>
      <c r="EN1023" s="1"/>
      <c r="EO1023" s="1"/>
      <c r="EP1023" s="1"/>
      <c r="EQ1023" s="1"/>
      <c r="ER1023" s="1"/>
      <c r="ES1023" s="1"/>
      <c r="ET1023" s="1"/>
      <c r="EU1023" s="1"/>
      <c r="EV1023" s="1"/>
      <c r="EW1023" s="1"/>
      <c r="EX1023" s="1"/>
      <c r="EY1023" s="1"/>
      <c r="EZ1023" s="1"/>
      <c r="FA1023" s="1"/>
      <c r="FB1023" s="1"/>
      <c r="FC1023" s="1"/>
      <c r="FD1023" s="1"/>
      <c r="FE1023" s="1"/>
      <c r="FF1023" s="1"/>
      <c r="FG1023" s="1"/>
      <c r="FH1023" s="1"/>
      <c r="FI1023" s="1"/>
      <c r="FJ1023" s="1"/>
      <c r="FK1023" s="1"/>
      <c r="FL1023" s="1"/>
      <c r="FM1023" s="1"/>
      <c r="FN1023" s="1"/>
      <c r="FO1023" s="1"/>
      <c r="FP1023" s="1"/>
      <c r="FQ1023" s="1"/>
      <c r="FR1023" s="1"/>
      <c r="FS1023" s="1"/>
      <c r="FT1023" s="1"/>
      <c r="FU1023" s="1"/>
      <c r="FV1023" s="1"/>
      <c r="FW1023" s="1"/>
      <c r="FX1023" s="1"/>
      <c r="FY1023" s="1"/>
      <c r="FZ1023" s="1"/>
      <c r="GA1023" s="1"/>
      <c r="GB1023" s="1"/>
      <c r="GC1023" s="1"/>
      <c r="GD1023" s="1"/>
      <c r="GE1023" s="1"/>
      <c r="GF1023" s="1"/>
      <c r="GG1023" s="1"/>
      <c r="GH1023" s="1"/>
      <c r="GI1023" s="1"/>
      <c r="GJ1023" s="1"/>
      <c r="GK1023" s="1"/>
      <c r="GL1023" s="1"/>
      <c r="GM1023" s="1"/>
      <c r="GN1023" s="1"/>
      <c r="GO1023" s="1"/>
      <c r="GP1023" s="1"/>
      <c r="GQ1023" s="1"/>
      <c r="GR1023" s="1"/>
      <c r="GS1023" s="1"/>
      <c r="GT1023" s="1"/>
      <c r="GU1023" s="1"/>
      <c r="GV1023" s="1"/>
      <c r="GW1023" s="1"/>
      <c r="GX1023" s="1"/>
      <c r="GY1023" s="1"/>
      <c r="GZ1023" s="1"/>
      <c r="HA1023" s="1"/>
      <c r="HB1023" s="1"/>
      <c r="HC1023" s="1"/>
      <c r="HD1023" s="1"/>
      <c r="HE1023" s="1"/>
      <c r="HF1023" s="1"/>
      <c r="HG1023" s="1"/>
      <c r="HH1023" s="1"/>
      <c r="HI1023" s="1"/>
      <c r="HJ1023" s="1"/>
      <c r="HK1023" s="1"/>
      <c r="HL1023" s="1"/>
      <c r="HM1023" s="1"/>
      <c r="HN1023" s="1"/>
      <c r="HO1023" s="1"/>
      <c r="HP1023" s="1"/>
      <c r="HQ1023" s="1"/>
      <c r="HR1023" s="1"/>
      <c r="HS1023" s="1"/>
      <c r="HT1023" s="1"/>
      <c r="HU1023" s="1"/>
      <c r="HV1023" s="1"/>
      <c r="HW1023" s="1"/>
      <c r="HX1023" s="1"/>
      <c r="HY1023" s="1"/>
      <c r="HZ1023" s="1"/>
      <c r="IA1023" s="1"/>
      <c r="IB1023" s="1"/>
      <c r="IC1023" s="1"/>
      <c r="ID1023" s="1"/>
      <c r="IE1023" s="1"/>
      <c r="IF1023" s="1"/>
      <c r="IG1023" s="1"/>
      <c r="IH1023" s="1"/>
      <c r="II1023" s="1"/>
      <c r="IJ1023" s="1"/>
      <c r="IK1023" s="1"/>
      <c r="IL1023" s="1"/>
      <c r="IM1023" s="1"/>
      <c r="IN1023" s="1"/>
      <c r="IO1023" s="1"/>
      <c r="IP1023" s="1"/>
      <c r="IQ1023" s="1"/>
      <c r="IR1023" s="1"/>
      <c r="IS1023" s="1"/>
      <c r="IT1023" s="1"/>
      <c r="IU1023" s="1"/>
      <c r="IV1023" s="1"/>
      <c r="IW1023" s="1"/>
      <c r="IX1023" s="1"/>
      <c r="IY1023" s="1"/>
      <c r="IZ1023" s="1"/>
      <c r="JA1023" s="1"/>
      <c r="JB1023" s="1"/>
      <c r="JC1023" s="1"/>
      <c r="JD1023" s="1"/>
    </row>
    <row r="1024" spans="1:264" s="347" customFormat="1" x14ac:dyDescent="0.2">
      <c r="A1024" s="424" t="s">
        <v>693</v>
      </c>
      <c r="B1024" s="348"/>
      <c r="BH1024" s="348"/>
      <c r="BI1024" s="348"/>
      <c r="BJ1024" s="348"/>
      <c r="BK1024" s="348"/>
      <c r="BL1024" s="732"/>
      <c r="BM1024" s="732"/>
      <c r="BN1024" s="733"/>
      <c r="BO1024" s="348"/>
      <c r="BP1024" s="732"/>
      <c r="BQ1024" s="732"/>
      <c r="BR1024" s="733"/>
      <c r="BT1024" s="732"/>
      <c r="BU1024" s="732"/>
      <c r="BV1024" s="733"/>
      <c r="BX1024" s="732"/>
      <c r="BY1024" s="732"/>
      <c r="BZ1024" s="733"/>
      <c r="CB1024" s="732"/>
      <c r="CC1024" s="732"/>
      <c r="CD1024" s="733"/>
      <c r="CF1024" s="732"/>
      <c r="CG1024" s="732"/>
      <c r="CH1024" s="733"/>
      <c r="CJ1024" s="732"/>
      <c r="CK1024" s="732"/>
      <c r="CL1024" s="733"/>
      <c r="CN1024" s="732"/>
      <c r="CO1024" s="732"/>
      <c r="CP1024" s="733"/>
      <c r="CR1024" s="732"/>
      <c r="CS1024" s="732"/>
      <c r="CT1024" s="733"/>
      <c r="CV1024" s="732"/>
      <c r="CW1024" s="732"/>
      <c r="CX1024" s="733"/>
      <c r="CZ1024" s="732"/>
      <c r="DA1024" s="732"/>
      <c r="DB1024" s="733"/>
      <c r="DD1024" s="732"/>
      <c r="DE1024" s="732"/>
      <c r="DF1024" s="733"/>
      <c r="DH1024" s="732"/>
      <c r="DI1024" s="732"/>
      <c r="DJ1024" s="733"/>
      <c r="DL1024" s="732"/>
      <c r="DM1024" s="732"/>
      <c r="DN1024" s="733"/>
      <c r="DP1024" s="732"/>
      <c r="DQ1024" s="732"/>
      <c r="DR1024" s="733"/>
      <c r="DT1024" s="1"/>
      <c r="DU1024" s="1"/>
      <c r="DV1024" s="1"/>
      <c r="DW1024" s="1"/>
      <c r="DX1024" s="1"/>
      <c r="DY1024" s="1"/>
      <c r="DZ1024" s="1"/>
      <c r="EA1024" s="1"/>
      <c r="EB1024" s="1"/>
      <c r="EC1024" s="1"/>
      <c r="ED1024" s="1"/>
      <c r="EE1024" s="1"/>
      <c r="EF1024" s="1"/>
      <c r="EG1024" s="1"/>
      <c r="EH1024" s="1"/>
      <c r="EI1024" s="1"/>
      <c r="EJ1024" s="1"/>
      <c r="EK1024" s="1"/>
      <c r="EL1024" s="1"/>
      <c r="EM1024" s="1"/>
      <c r="EN1024" s="1"/>
      <c r="EO1024" s="1"/>
      <c r="EP1024" s="1"/>
      <c r="EQ1024" s="1"/>
      <c r="ER1024" s="1"/>
      <c r="ES1024" s="1"/>
      <c r="ET1024" s="1"/>
      <c r="EU1024" s="1"/>
      <c r="EV1024" s="1"/>
      <c r="EW1024" s="1"/>
      <c r="EX1024" s="1"/>
      <c r="EY1024" s="1"/>
      <c r="EZ1024" s="1"/>
      <c r="FA1024" s="1"/>
      <c r="FB1024" s="1"/>
      <c r="FC1024" s="1"/>
      <c r="FD1024" s="1"/>
      <c r="FE1024" s="1"/>
      <c r="FF1024" s="1"/>
      <c r="FG1024" s="1"/>
      <c r="FH1024" s="1"/>
      <c r="FI1024" s="1"/>
      <c r="FJ1024" s="1"/>
      <c r="FK1024" s="1"/>
      <c r="FL1024" s="1"/>
      <c r="FM1024" s="1"/>
      <c r="FN1024" s="1"/>
      <c r="FO1024" s="1"/>
      <c r="FP1024" s="1"/>
      <c r="FQ1024" s="1"/>
      <c r="FR1024" s="1"/>
      <c r="FS1024" s="1"/>
      <c r="FT1024" s="1"/>
      <c r="FU1024" s="1"/>
      <c r="FV1024" s="1"/>
      <c r="FW1024" s="1"/>
      <c r="FX1024" s="1"/>
      <c r="FY1024" s="1"/>
      <c r="FZ1024" s="1"/>
      <c r="GA1024" s="1"/>
      <c r="GB1024" s="1"/>
      <c r="GC1024" s="1"/>
      <c r="GD1024" s="1"/>
      <c r="GE1024" s="1"/>
      <c r="GF1024" s="1"/>
      <c r="GG1024" s="1"/>
      <c r="GH1024" s="1"/>
      <c r="GI1024" s="1"/>
      <c r="GJ1024" s="1"/>
      <c r="GK1024" s="1"/>
      <c r="GL1024" s="1"/>
      <c r="GM1024" s="1"/>
      <c r="GN1024" s="1"/>
      <c r="GO1024" s="1"/>
      <c r="GP1024" s="1"/>
      <c r="GQ1024" s="1"/>
      <c r="GR1024" s="1"/>
      <c r="GS1024" s="1"/>
      <c r="GT1024" s="1"/>
      <c r="GU1024" s="1"/>
      <c r="GV1024" s="1"/>
      <c r="GW1024" s="1"/>
      <c r="GX1024" s="1"/>
      <c r="GY1024" s="1"/>
      <c r="GZ1024" s="1"/>
      <c r="HA1024" s="1"/>
      <c r="HB1024" s="1"/>
      <c r="HC1024" s="1"/>
      <c r="HD1024" s="1"/>
      <c r="HE1024" s="1"/>
      <c r="HF1024" s="1"/>
      <c r="HG1024" s="1"/>
      <c r="HH1024" s="1"/>
      <c r="HI1024" s="1"/>
      <c r="HJ1024" s="1"/>
      <c r="HK1024" s="1"/>
      <c r="HL1024" s="1"/>
      <c r="HM1024" s="1"/>
      <c r="HN1024" s="1"/>
      <c r="HO1024" s="1"/>
      <c r="HP1024" s="1"/>
      <c r="HQ1024" s="1"/>
      <c r="HR1024" s="1"/>
      <c r="HS1024" s="1"/>
      <c r="HT1024" s="1"/>
      <c r="HU1024" s="1"/>
      <c r="HV1024" s="1"/>
      <c r="HW1024" s="1"/>
      <c r="HX1024" s="1"/>
      <c r="HY1024" s="1"/>
      <c r="HZ1024" s="1"/>
      <c r="IA1024" s="1"/>
      <c r="IB1024" s="1"/>
      <c r="IC1024" s="1"/>
      <c r="ID1024" s="1"/>
      <c r="IE1024" s="1"/>
      <c r="IF1024" s="1"/>
      <c r="IG1024" s="1"/>
      <c r="IH1024" s="1"/>
      <c r="II1024" s="1"/>
      <c r="IJ1024" s="1"/>
      <c r="IK1024" s="1"/>
      <c r="IL1024" s="1"/>
      <c r="IM1024" s="1"/>
      <c r="IN1024" s="1"/>
      <c r="IO1024" s="1"/>
      <c r="IP1024" s="1"/>
      <c r="IQ1024" s="1"/>
      <c r="IR1024" s="1"/>
      <c r="IS1024" s="1"/>
      <c r="IT1024" s="1"/>
      <c r="IU1024" s="1"/>
      <c r="IV1024" s="1"/>
      <c r="IW1024" s="1"/>
      <c r="IX1024" s="1"/>
      <c r="IY1024" s="1"/>
      <c r="IZ1024" s="1"/>
      <c r="JA1024" s="1"/>
      <c r="JB1024" s="1"/>
      <c r="JC1024" s="1"/>
      <c r="JD1024" s="1"/>
    </row>
    <row r="1025" spans="1:264" s="347" customFormat="1" x14ac:dyDescent="0.2">
      <c r="A1025" s="429" t="str">
        <f>+A1007</f>
        <v>Non Controlling Interests</v>
      </c>
      <c r="B1025" s="348"/>
      <c r="BH1025" s="348"/>
      <c r="BI1025" s="348"/>
      <c r="BJ1025" s="348"/>
      <c r="BK1025" s="348"/>
      <c r="BL1025" s="732"/>
      <c r="BM1025" s="732"/>
      <c r="BN1025" s="733"/>
      <c r="BO1025" s="348"/>
      <c r="BP1025" s="732"/>
      <c r="BQ1025" s="732"/>
      <c r="BR1025" s="733"/>
      <c r="BT1025" s="732"/>
      <c r="BU1025" s="732"/>
      <c r="BV1025" s="733"/>
      <c r="BX1025" s="732"/>
      <c r="BY1025" s="732"/>
      <c r="BZ1025" s="733"/>
      <c r="CB1025" s="456">
        <f>+CB1019-CB1007</f>
        <v>44</v>
      </c>
      <c r="CC1025" s="456">
        <f>+CC1019-CC1007</f>
        <v>44</v>
      </c>
      <c r="CD1025" s="456">
        <f>+CD1019-CD1007</f>
        <v>44</v>
      </c>
      <c r="CF1025" s="456">
        <f>+CF1019-CF1007</f>
        <v>43</v>
      </c>
      <c r="CG1025" s="555">
        <f>CF1025</f>
        <v>43</v>
      </c>
      <c r="CH1025" s="733"/>
      <c r="CJ1025" s="456">
        <f>+CJ1019-CJ1007</f>
        <v>0</v>
      </c>
      <c r="CK1025" s="555">
        <f>CJ1025</f>
        <v>0</v>
      </c>
      <c r="CL1025" s="733"/>
      <c r="CN1025" s="456">
        <f>+CN1019-CN1007</f>
        <v>0</v>
      </c>
      <c r="CO1025" s="555">
        <f>CN1025</f>
        <v>0</v>
      </c>
      <c r="CP1025" s="733"/>
      <c r="CR1025" s="456">
        <f>+CR1019-CR1007</f>
        <v>0</v>
      </c>
      <c r="CS1025" s="555">
        <f>CR1025</f>
        <v>0</v>
      </c>
      <c r="CT1025" s="733"/>
      <c r="CV1025" s="456">
        <f>+CV1019-CV1007</f>
        <v>0</v>
      </c>
      <c r="CW1025" s="555">
        <f>CV1025</f>
        <v>0</v>
      </c>
      <c r="CX1025" s="733"/>
      <c r="CZ1025" s="456">
        <f>+CZ1019-CZ1007</f>
        <v>0</v>
      </c>
      <c r="DA1025" s="555">
        <f>CZ1025</f>
        <v>0</v>
      </c>
      <c r="DB1025" s="733"/>
      <c r="DD1025" s="456">
        <f>+DD1019-DD1007</f>
        <v>0</v>
      </c>
      <c r="DE1025" s="555">
        <f>DD1025</f>
        <v>0</v>
      </c>
      <c r="DF1025" s="733"/>
      <c r="DH1025" s="456">
        <f>+DH1019-DH1007</f>
        <v>0</v>
      </c>
      <c r="DI1025" s="555">
        <f>DH1025</f>
        <v>0</v>
      </c>
      <c r="DJ1025" s="733"/>
      <c r="DL1025" s="555">
        <f>DI1025</f>
        <v>0</v>
      </c>
      <c r="DM1025" s="555">
        <f>DL1025</f>
        <v>0</v>
      </c>
      <c r="DN1025" s="733"/>
      <c r="DP1025" s="555">
        <f>DM1025</f>
        <v>0</v>
      </c>
      <c r="DQ1025" s="555">
        <f>DP1025</f>
        <v>0</v>
      </c>
      <c r="DR1025" s="733"/>
      <c r="DT1025" s="1"/>
      <c r="DU1025" s="1"/>
      <c r="DV1025" s="1"/>
      <c r="DW1025" s="1"/>
      <c r="DX1025" s="1"/>
      <c r="DY1025" s="1"/>
      <c r="DZ1025" s="1"/>
      <c r="EA1025" s="1"/>
      <c r="EB1025" s="1"/>
      <c r="EC1025" s="1"/>
      <c r="ED1025" s="1"/>
      <c r="EE1025" s="1"/>
      <c r="EF1025" s="1"/>
      <c r="EG1025" s="1"/>
      <c r="EH1025" s="1"/>
      <c r="EI1025" s="1"/>
      <c r="EJ1025" s="1"/>
      <c r="EK1025" s="1"/>
      <c r="EL1025" s="1"/>
      <c r="EM1025" s="1"/>
      <c r="EN1025" s="1"/>
      <c r="EO1025" s="1"/>
      <c r="EP1025" s="1"/>
      <c r="EQ1025" s="1"/>
      <c r="ER1025" s="1"/>
      <c r="ES1025" s="1"/>
      <c r="ET1025" s="1"/>
      <c r="EU1025" s="1"/>
      <c r="EV1025" s="1"/>
      <c r="EW1025" s="1"/>
      <c r="EX1025" s="1"/>
      <c r="EY1025" s="1"/>
      <c r="EZ1025" s="1"/>
      <c r="FA1025" s="1"/>
      <c r="FB1025" s="1"/>
      <c r="FC1025" s="1"/>
      <c r="FD1025" s="1"/>
      <c r="FE1025" s="1"/>
      <c r="FF1025" s="1"/>
      <c r="FG1025" s="1"/>
      <c r="FH1025" s="1"/>
      <c r="FI1025" s="1"/>
      <c r="FJ1025" s="1"/>
      <c r="FK1025" s="1"/>
      <c r="FL1025" s="1"/>
      <c r="FM1025" s="1"/>
      <c r="FN1025" s="1"/>
      <c r="FO1025" s="1"/>
      <c r="FP1025" s="1"/>
      <c r="FQ1025" s="1"/>
      <c r="FR1025" s="1"/>
      <c r="FS1025" s="1"/>
      <c r="FT1025" s="1"/>
      <c r="FU1025" s="1"/>
      <c r="FV1025" s="1"/>
      <c r="FW1025" s="1"/>
      <c r="FX1025" s="1"/>
      <c r="FY1025" s="1"/>
      <c r="FZ1025" s="1"/>
      <c r="GA1025" s="1"/>
      <c r="GB1025" s="1"/>
      <c r="GC1025" s="1"/>
      <c r="GD1025" s="1"/>
      <c r="GE1025" s="1"/>
      <c r="GF1025" s="1"/>
      <c r="GG1025" s="1"/>
      <c r="GH1025" s="1"/>
      <c r="GI1025" s="1"/>
      <c r="GJ1025" s="1"/>
      <c r="GK1025" s="1"/>
      <c r="GL1025" s="1"/>
      <c r="GM1025" s="1"/>
      <c r="GN1025" s="1"/>
      <c r="GO1025" s="1"/>
      <c r="GP1025" s="1"/>
      <c r="GQ1025" s="1"/>
      <c r="GR1025" s="1"/>
      <c r="GS1025" s="1"/>
      <c r="GT1025" s="1"/>
      <c r="GU1025" s="1"/>
      <c r="GV1025" s="1"/>
      <c r="GW1025" s="1"/>
      <c r="GX1025" s="1"/>
      <c r="GY1025" s="1"/>
      <c r="GZ1025" s="1"/>
      <c r="HA1025" s="1"/>
      <c r="HB1025" s="1"/>
      <c r="HC1025" s="1"/>
      <c r="HD1025" s="1"/>
      <c r="HE1025" s="1"/>
      <c r="HF1025" s="1"/>
      <c r="HG1025" s="1"/>
      <c r="HH1025" s="1"/>
      <c r="HI1025" s="1"/>
      <c r="HJ1025" s="1"/>
      <c r="HK1025" s="1"/>
      <c r="HL1025" s="1"/>
      <c r="HM1025" s="1"/>
      <c r="HN1025" s="1"/>
      <c r="HO1025" s="1"/>
      <c r="HP1025" s="1"/>
      <c r="HQ1025" s="1"/>
      <c r="HR1025" s="1"/>
      <c r="HS1025" s="1"/>
      <c r="HT1025" s="1"/>
      <c r="HU1025" s="1"/>
      <c r="HV1025" s="1"/>
      <c r="HW1025" s="1"/>
      <c r="HX1025" s="1"/>
      <c r="HY1025" s="1"/>
      <c r="HZ1025" s="1"/>
      <c r="IA1025" s="1"/>
      <c r="IB1025" s="1"/>
      <c r="IC1025" s="1"/>
      <c r="ID1025" s="1"/>
      <c r="IE1025" s="1"/>
      <c r="IF1025" s="1"/>
      <c r="IG1025" s="1"/>
      <c r="IH1025" s="1"/>
      <c r="II1025" s="1"/>
      <c r="IJ1025" s="1"/>
      <c r="IK1025" s="1"/>
      <c r="IL1025" s="1"/>
      <c r="IM1025" s="1"/>
      <c r="IN1025" s="1"/>
      <c r="IO1025" s="1"/>
      <c r="IP1025" s="1"/>
      <c r="IQ1025" s="1"/>
      <c r="IR1025" s="1"/>
      <c r="IS1025" s="1"/>
      <c r="IT1025" s="1"/>
      <c r="IU1025" s="1"/>
      <c r="IV1025" s="1"/>
      <c r="IW1025" s="1"/>
      <c r="IX1025" s="1"/>
      <c r="IY1025" s="1"/>
      <c r="IZ1025" s="1"/>
      <c r="JA1025" s="1"/>
      <c r="JB1025" s="1"/>
      <c r="JC1025" s="1"/>
      <c r="JD1025" s="1"/>
    </row>
    <row r="1026" spans="1:264" s="347" customFormat="1" x14ac:dyDescent="0.2">
      <c r="A1026" s="429" t="str">
        <f>A1009</f>
        <v>Intangible Assets</v>
      </c>
      <c r="B1026" s="348"/>
      <c r="BH1026" s="348"/>
      <c r="BI1026" s="348"/>
      <c r="BJ1026" s="348"/>
      <c r="BK1026" s="348"/>
      <c r="BL1026" s="732"/>
      <c r="BM1026" s="732"/>
      <c r="BN1026" s="733"/>
      <c r="BO1026" s="348"/>
      <c r="BP1026" s="732"/>
      <c r="BQ1026" s="732"/>
      <c r="BR1026" s="733"/>
      <c r="BT1026" s="732"/>
      <c r="BU1026" s="732"/>
      <c r="BV1026" s="733"/>
      <c r="BX1026" s="732"/>
      <c r="BY1026" s="732"/>
      <c r="BZ1026" s="733"/>
      <c r="CB1026" s="456">
        <f>+CB1018-CB1009</f>
        <v>1473</v>
      </c>
      <c r="CC1026" s="456">
        <f>+CC1018-CC1009</f>
        <v>1372</v>
      </c>
      <c r="CD1026" s="456">
        <f>+CD1018-CD1009</f>
        <v>1372</v>
      </c>
      <c r="CF1026" s="456">
        <f>+CF1018-CF1009</f>
        <v>1773</v>
      </c>
      <c r="CG1026" s="555">
        <f>CF1026</f>
        <v>1773</v>
      </c>
      <c r="CH1026" s="733"/>
      <c r="CJ1026" s="456">
        <f>+CJ1018-CJ1009</f>
        <v>10</v>
      </c>
      <c r="CK1026" s="555">
        <f>CJ1026</f>
        <v>10</v>
      </c>
      <c r="CL1026" s="733"/>
      <c r="CN1026" s="456">
        <f>+CN1018-CN1009</f>
        <v>760</v>
      </c>
      <c r="CO1026" s="555">
        <f>CN1026</f>
        <v>760</v>
      </c>
      <c r="CP1026" s="733"/>
      <c r="CR1026" s="456">
        <f>+CR1018-CR1009</f>
        <v>35</v>
      </c>
      <c r="CS1026" s="555">
        <f>CR1026</f>
        <v>35</v>
      </c>
      <c r="CT1026" s="733"/>
      <c r="CV1026" s="456">
        <f>+CV1018-CV1009</f>
        <v>0</v>
      </c>
      <c r="CW1026" s="555">
        <f>CV1026</f>
        <v>0</v>
      </c>
      <c r="CX1026" s="733"/>
      <c r="CZ1026" s="456">
        <f>+CZ1018-CZ1009</f>
        <v>0</v>
      </c>
      <c r="DA1026" s="555">
        <f>CZ1026</f>
        <v>0</v>
      </c>
      <c r="DB1026" s="733"/>
      <c r="DD1026" s="456">
        <f>+DD1018-DD1009</f>
        <v>0</v>
      </c>
      <c r="DE1026" s="555">
        <f>DD1026</f>
        <v>0</v>
      </c>
      <c r="DF1026" s="733"/>
      <c r="DH1026" s="456">
        <f>+DH1018-DH1009</f>
        <v>0</v>
      </c>
      <c r="DI1026" s="555">
        <f>DH1026</f>
        <v>0</v>
      </c>
      <c r="DJ1026" s="733"/>
      <c r="DL1026" s="555">
        <f>DI1026</f>
        <v>0</v>
      </c>
      <c r="DM1026" s="555">
        <f>DL1026</f>
        <v>0</v>
      </c>
      <c r="DN1026" s="733"/>
      <c r="DP1026" s="555">
        <f>DM1026</f>
        <v>0</v>
      </c>
      <c r="DQ1026" s="555">
        <f>DP1026</f>
        <v>0</v>
      </c>
      <c r="DR1026" s="733"/>
      <c r="DT1026" s="1"/>
      <c r="DU1026" s="1"/>
      <c r="DV1026" s="1"/>
      <c r="DW1026" s="1"/>
      <c r="DX1026" s="1"/>
      <c r="DY1026" s="1"/>
      <c r="DZ1026" s="1"/>
      <c r="EA1026" s="1"/>
      <c r="EB1026" s="1"/>
      <c r="EC1026" s="1"/>
      <c r="ED1026" s="1"/>
      <c r="EE1026" s="1"/>
      <c r="EF1026" s="1"/>
      <c r="EG1026" s="1"/>
      <c r="EH1026" s="1"/>
      <c r="EI1026" s="1"/>
      <c r="EJ1026" s="1"/>
      <c r="EK1026" s="1"/>
      <c r="EL1026" s="1"/>
      <c r="EM1026" s="1"/>
      <c r="EN1026" s="1"/>
      <c r="EO1026" s="1"/>
      <c r="EP1026" s="1"/>
      <c r="EQ1026" s="1"/>
      <c r="ER1026" s="1"/>
      <c r="ES1026" s="1"/>
      <c r="ET1026" s="1"/>
      <c r="EU1026" s="1"/>
      <c r="EV1026" s="1"/>
      <c r="EW1026" s="1"/>
      <c r="EX1026" s="1"/>
      <c r="EY1026" s="1"/>
      <c r="EZ1026" s="1"/>
      <c r="FA1026" s="1"/>
      <c r="FB1026" s="1"/>
      <c r="FC1026" s="1"/>
      <c r="FD1026" s="1"/>
      <c r="FE1026" s="1"/>
      <c r="FF1026" s="1"/>
      <c r="FG1026" s="1"/>
      <c r="FH1026" s="1"/>
      <c r="FI1026" s="1"/>
      <c r="FJ1026" s="1"/>
      <c r="FK1026" s="1"/>
      <c r="FL1026" s="1"/>
      <c r="FM1026" s="1"/>
      <c r="FN1026" s="1"/>
      <c r="FO1026" s="1"/>
      <c r="FP1026" s="1"/>
      <c r="FQ1026" s="1"/>
      <c r="FR1026" s="1"/>
      <c r="FS1026" s="1"/>
      <c r="FT1026" s="1"/>
      <c r="FU1026" s="1"/>
      <c r="FV1026" s="1"/>
      <c r="FW1026" s="1"/>
      <c r="FX1026" s="1"/>
      <c r="FY1026" s="1"/>
      <c r="FZ1026" s="1"/>
      <c r="GA1026" s="1"/>
      <c r="GB1026" s="1"/>
      <c r="GC1026" s="1"/>
      <c r="GD1026" s="1"/>
      <c r="GE1026" s="1"/>
      <c r="GF1026" s="1"/>
      <c r="GG1026" s="1"/>
      <c r="GH1026" s="1"/>
      <c r="GI1026" s="1"/>
      <c r="GJ1026" s="1"/>
      <c r="GK1026" s="1"/>
      <c r="GL1026" s="1"/>
      <c r="GM1026" s="1"/>
      <c r="GN1026" s="1"/>
      <c r="GO1026" s="1"/>
      <c r="GP1026" s="1"/>
      <c r="GQ1026" s="1"/>
      <c r="GR1026" s="1"/>
      <c r="GS1026" s="1"/>
      <c r="GT1026" s="1"/>
      <c r="GU1026" s="1"/>
      <c r="GV1026" s="1"/>
      <c r="GW1026" s="1"/>
      <c r="GX1026" s="1"/>
      <c r="GY1026" s="1"/>
      <c r="GZ1026" s="1"/>
      <c r="HA1026" s="1"/>
      <c r="HB1026" s="1"/>
      <c r="HC1026" s="1"/>
      <c r="HD1026" s="1"/>
      <c r="HE1026" s="1"/>
      <c r="HF1026" s="1"/>
      <c r="HG1026" s="1"/>
      <c r="HH1026" s="1"/>
      <c r="HI1026" s="1"/>
      <c r="HJ1026" s="1"/>
      <c r="HK1026" s="1"/>
      <c r="HL1026" s="1"/>
      <c r="HM1026" s="1"/>
      <c r="HN1026" s="1"/>
      <c r="HO1026" s="1"/>
      <c r="HP1026" s="1"/>
      <c r="HQ1026" s="1"/>
      <c r="HR1026" s="1"/>
      <c r="HS1026" s="1"/>
      <c r="HT1026" s="1"/>
      <c r="HU1026" s="1"/>
      <c r="HV1026" s="1"/>
      <c r="HW1026" s="1"/>
      <c r="HX1026" s="1"/>
      <c r="HY1026" s="1"/>
      <c r="HZ1026" s="1"/>
      <c r="IA1026" s="1"/>
      <c r="IB1026" s="1"/>
      <c r="IC1026" s="1"/>
      <c r="ID1026" s="1"/>
      <c r="IE1026" s="1"/>
      <c r="IF1026" s="1"/>
      <c r="IG1026" s="1"/>
      <c r="IH1026" s="1"/>
      <c r="II1026" s="1"/>
      <c r="IJ1026" s="1"/>
      <c r="IK1026" s="1"/>
      <c r="IL1026" s="1"/>
      <c r="IM1026" s="1"/>
      <c r="IN1026" s="1"/>
      <c r="IO1026" s="1"/>
      <c r="IP1026" s="1"/>
      <c r="IQ1026" s="1"/>
      <c r="IR1026" s="1"/>
      <c r="IS1026" s="1"/>
      <c r="IT1026" s="1"/>
      <c r="IU1026" s="1"/>
      <c r="IV1026" s="1"/>
      <c r="IW1026" s="1"/>
      <c r="IX1026" s="1"/>
      <c r="IY1026" s="1"/>
      <c r="IZ1026" s="1"/>
      <c r="JA1026" s="1"/>
      <c r="JB1026" s="1"/>
      <c r="JC1026" s="1"/>
      <c r="JD1026" s="1"/>
    </row>
    <row r="1027" spans="1:264" s="347" customFormat="1" x14ac:dyDescent="0.2">
      <c r="B1027" s="348"/>
      <c r="BH1027" s="348"/>
      <c r="BI1027" s="348"/>
      <c r="BJ1027" s="348"/>
      <c r="BK1027" s="348"/>
      <c r="BL1027" s="348"/>
      <c r="BM1027" s="348"/>
      <c r="BN1027" s="348"/>
      <c r="BO1027" s="348"/>
      <c r="BP1027" s="348"/>
      <c r="BT1027" s="348"/>
      <c r="BX1027" s="348"/>
      <c r="CB1027" s="348"/>
      <c r="CF1027" s="348"/>
      <c r="CG1027" s="553"/>
      <c r="CJ1027" s="348"/>
      <c r="CN1027" s="348"/>
      <c r="CR1027" s="348"/>
      <c r="CV1027" s="348"/>
      <c r="CZ1027" s="348"/>
      <c r="DD1027" s="348"/>
      <c r="DH1027" s="348"/>
      <c r="DL1027" s="348"/>
      <c r="DP1027" s="348"/>
      <c r="DT1027" s="1"/>
      <c r="DU1027" s="1"/>
      <c r="DV1027" s="1"/>
      <c r="DW1027" s="1"/>
      <c r="DX1027" s="1"/>
      <c r="DY1027" s="1"/>
      <c r="DZ1027" s="1"/>
      <c r="EA1027" s="1"/>
      <c r="EB1027" s="1"/>
      <c r="EC1027" s="1"/>
      <c r="ED1027" s="1"/>
      <c r="EE1027" s="1"/>
      <c r="EF1027" s="1"/>
      <c r="EG1027" s="1"/>
      <c r="EH1027" s="1"/>
      <c r="EI1027" s="1"/>
      <c r="EJ1027" s="1"/>
      <c r="EK1027" s="1"/>
      <c r="EL1027" s="1"/>
      <c r="EM1027" s="1"/>
      <c r="EN1027" s="1"/>
      <c r="EO1027" s="1"/>
      <c r="EP1027" s="1"/>
      <c r="EQ1027" s="1"/>
      <c r="ER1027" s="1"/>
      <c r="ES1027" s="1"/>
      <c r="ET1027" s="1"/>
      <c r="EU1027" s="1"/>
      <c r="EV1027" s="1"/>
      <c r="EW1027" s="1"/>
      <c r="EX1027" s="1"/>
      <c r="EY1027" s="1"/>
      <c r="EZ1027" s="1"/>
      <c r="FA1027" s="1"/>
      <c r="FB1027" s="1"/>
      <c r="FC1027" s="1"/>
      <c r="FD1027" s="1"/>
      <c r="FE1027" s="1"/>
      <c r="FF1027" s="1"/>
      <c r="FG1027" s="1"/>
      <c r="FH1027" s="1"/>
      <c r="FI1027" s="1"/>
      <c r="FJ1027" s="1"/>
      <c r="FK1027" s="1"/>
      <c r="FL1027" s="1"/>
      <c r="FM1027" s="1"/>
      <c r="FN1027" s="1"/>
      <c r="FO1027" s="1"/>
      <c r="FP1027" s="1"/>
      <c r="FQ1027" s="1"/>
      <c r="FR1027" s="1"/>
      <c r="FS1027" s="1"/>
      <c r="FT1027" s="1"/>
      <c r="FU1027" s="1"/>
      <c r="FV1027" s="1"/>
      <c r="FW1027" s="1"/>
      <c r="FX1027" s="1"/>
      <c r="FY1027" s="1"/>
      <c r="FZ1027" s="1"/>
      <c r="GA1027" s="1"/>
      <c r="GB1027" s="1"/>
      <c r="GC1027" s="1"/>
      <c r="GD1027" s="1"/>
      <c r="GE1027" s="1"/>
      <c r="GF1027" s="1"/>
      <c r="GG1027" s="1"/>
      <c r="GH1027" s="1"/>
      <c r="GI1027" s="1"/>
      <c r="GJ1027" s="1"/>
      <c r="GK1027" s="1"/>
      <c r="GL1027" s="1"/>
      <c r="GM1027" s="1"/>
      <c r="GN1027" s="1"/>
      <c r="GO1027" s="1"/>
      <c r="GP1027" s="1"/>
      <c r="GQ1027" s="1"/>
      <c r="GR1027" s="1"/>
      <c r="GS1027" s="1"/>
      <c r="GT1027" s="1"/>
      <c r="GU1027" s="1"/>
      <c r="GV1027" s="1"/>
      <c r="GW1027" s="1"/>
      <c r="GX1027" s="1"/>
      <c r="GY1027" s="1"/>
      <c r="GZ1027" s="1"/>
      <c r="HA1027" s="1"/>
      <c r="HB1027" s="1"/>
      <c r="HC1027" s="1"/>
      <c r="HD1027" s="1"/>
      <c r="HE1027" s="1"/>
      <c r="HF1027" s="1"/>
      <c r="HG1027" s="1"/>
      <c r="HH1027" s="1"/>
      <c r="HI1027" s="1"/>
      <c r="HJ1027" s="1"/>
      <c r="HK1027" s="1"/>
      <c r="HL1027" s="1"/>
      <c r="HM1027" s="1"/>
      <c r="HN1027" s="1"/>
      <c r="HO1027" s="1"/>
      <c r="HP1027" s="1"/>
      <c r="HQ1027" s="1"/>
      <c r="HR1027" s="1"/>
      <c r="HS1027" s="1"/>
      <c r="HT1027" s="1"/>
      <c r="HU1027" s="1"/>
      <c r="HV1027" s="1"/>
      <c r="HW1027" s="1"/>
      <c r="HX1027" s="1"/>
      <c r="HY1027" s="1"/>
      <c r="HZ1027" s="1"/>
      <c r="IA1027" s="1"/>
      <c r="IB1027" s="1"/>
      <c r="IC1027" s="1"/>
      <c r="ID1027" s="1"/>
      <c r="IE1027" s="1"/>
      <c r="IF1027" s="1"/>
      <c r="IG1027" s="1"/>
      <c r="IH1027" s="1"/>
      <c r="II1027" s="1"/>
      <c r="IJ1027" s="1"/>
      <c r="IK1027" s="1"/>
      <c r="IL1027" s="1"/>
      <c r="IM1027" s="1"/>
      <c r="IN1027" s="1"/>
      <c r="IO1027" s="1"/>
      <c r="IP1027" s="1"/>
      <c r="IQ1027" s="1"/>
      <c r="IR1027" s="1"/>
      <c r="IS1027" s="1"/>
      <c r="IT1027" s="1"/>
      <c r="IU1027" s="1"/>
      <c r="IV1027" s="1"/>
      <c r="IW1027" s="1"/>
      <c r="IX1027" s="1"/>
      <c r="IY1027" s="1"/>
      <c r="IZ1027" s="1"/>
      <c r="JA1027" s="1"/>
      <c r="JB1027" s="1"/>
      <c r="JC1027" s="1"/>
      <c r="JD1027" s="1"/>
    </row>
    <row r="1028" spans="1:264" s="386" customFormat="1" x14ac:dyDescent="0.2">
      <c r="A1028" s="383" t="s">
        <v>694</v>
      </c>
      <c r="B1028" s="384"/>
      <c r="C1028" s="385"/>
      <c r="D1028" s="385"/>
      <c r="E1028" s="385"/>
      <c r="F1028" s="385"/>
      <c r="G1028" s="385"/>
      <c r="H1028" s="385"/>
      <c r="I1028" s="385"/>
      <c r="J1028" s="385"/>
      <c r="K1028" s="385"/>
      <c r="L1028" s="385"/>
      <c r="M1028" s="385"/>
      <c r="N1028" s="385"/>
      <c r="O1028" s="385"/>
      <c r="P1028" s="385"/>
      <c r="Q1028" s="385"/>
      <c r="R1028" s="385"/>
      <c r="S1028" s="385"/>
      <c r="T1028" s="385"/>
      <c r="U1028" s="385"/>
      <c r="V1028" s="385"/>
      <c r="W1028" s="385"/>
      <c r="X1028" s="385"/>
      <c r="Y1028" s="385"/>
      <c r="Z1028" s="385"/>
      <c r="AA1028" s="385"/>
      <c r="AB1028" s="385"/>
      <c r="AC1028" s="385"/>
      <c r="AD1028" s="385"/>
      <c r="AE1028" s="385"/>
      <c r="AF1028" s="385"/>
      <c r="AG1028" s="385"/>
      <c r="AH1028" s="385"/>
      <c r="AI1028" s="385"/>
      <c r="AJ1028" s="385"/>
      <c r="AK1028" s="385"/>
      <c r="AL1028" s="385"/>
      <c r="AM1028" s="385"/>
      <c r="AN1028" s="385"/>
      <c r="AO1028" s="385"/>
      <c r="AP1028" s="385"/>
      <c r="AQ1028" s="385"/>
      <c r="AR1028" s="385"/>
      <c r="AS1028" s="385"/>
      <c r="AT1028" s="385"/>
      <c r="AU1028" s="385"/>
      <c r="AV1028" s="385"/>
      <c r="AW1028" s="385"/>
      <c r="AX1028" s="385"/>
      <c r="AY1028" s="385"/>
      <c r="AZ1028" s="385"/>
      <c r="BA1028" s="385"/>
      <c r="BB1028" s="385"/>
      <c r="BC1028" s="385"/>
      <c r="BD1028" s="385"/>
      <c r="BE1028" s="385"/>
      <c r="BF1028" s="385"/>
      <c r="BG1028" s="385"/>
      <c r="BH1028" s="384"/>
      <c r="BI1028" s="384"/>
      <c r="BJ1028" s="384"/>
      <c r="BK1028" s="384"/>
      <c r="BL1028" s="384"/>
      <c r="BM1028" s="384"/>
      <c r="BN1028" s="384"/>
      <c r="BO1028" s="384"/>
      <c r="BP1028" s="384"/>
      <c r="BQ1028" s="385"/>
      <c r="BR1028" s="385"/>
      <c r="BS1028" s="385"/>
      <c r="BT1028" s="384"/>
      <c r="BU1028" s="385"/>
      <c r="BV1028" s="385"/>
      <c r="BW1028" s="385"/>
      <c r="BX1028" s="384"/>
      <c r="BY1028" s="385"/>
      <c r="BZ1028" s="385"/>
      <c r="CA1028" s="385"/>
      <c r="CB1028" s="384"/>
      <c r="CC1028" s="385"/>
      <c r="CD1028" s="385"/>
      <c r="CE1028" s="385"/>
      <c r="CF1028" s="384"/>
      <c r="CG1028" s="385"/>
      <c r="CH1028" s="385"/>
      <c r="CI1028" s="385"/>
      <c r="CJ1028" s="384"/>
      <c r="CK1028" s="385"/>
      <c r="CL1028" s="385"/>
      <c r="CM1028" s="385"/>
      <c r="CN1028" s="384"/>
      <c r="CO1028" s="385"/>
      <c r="CP1028" s="385"/>
      <c r="CQ1028" s="385"/>
      <c r="CR1028" s="384"/>
      <c r="CS1028" s="385"/>
      <c r="CT1028" s="385"/>
      <c r="CU1028" s="385"/>
      <c r="CV1028" s="384"/>
      <c r="CW1028" s="385"/>
      <c r="CX1028" s="385"/>
      <c r="CY1028" s="385"/>
      <c r="CZ1028" s="384"/>
      <c r="DA1028" s="385"/>
      <c r="DB1028" s="385"/>
      <c r="DC1028" s="385"/>
      <c r="DD1028" s="384"/>
      <c r="DE1028" s="385"/>
      <c r="DF1028" s="385"/>
      <c r="DG1028" s="385"/>
      <c r="DH1028" s="384"/>
      <c r="DI1028" s="385"/>
      <c r="DJ1028" s="385"/>
      <c r="DK1028" s="385"/>
      <c r="DL1028" s="384"/>
      <c r="DM1028" s="385"/>
      <c r="DN1028" s="385"/>
      <c r="DO1028" s="385"/>
      <c r="DP1028" s="384"/>
      <c r="DQ1028" s="385"/>
      <c r="DR1028" s="385"/>
      <c r="DS1028" s="385"/>
      <c r="DT1028" s="1"/>
      <c r="DU1028" s="1"/>
      <c r="DV1028" s="1"/>
      <c r="DW1028" s="1"/>
      <c r="DX1028" s="1"/>
      <c r="DY1028" s="1"/>
      <c r="DZ1028" s="1"/>
      <c r="EA1028" s="1"/>
      <c r="EB1028" s="1"/>
      <c r="EC1028" s="1"/>
      <c r="ED1028" s="1"/>
      <c r="EE1028" s="1"/>
      <c r="EF1028" s="1"/>
      <c r="EG1028" s="1"/>
      <c r="EH1028" s="1"/>
      <c r="EI1028" s="1"/>
      <c r="EJ1028" s="1"/>
      <c r="EK1028" s="1"/>
      <c r="EL1028" s="1"/>
      <c r="EM1028" s="1"/>
      <c r="EN1028" s="1"/>
      <c r="EO1028" s="1"/>
      <c r="EP1028" s="1"/>
      <c r="EQ1028" s="1"/>
      <c r="ER1028" s="1"/>
      <c r="ES1028" s="1"/>
      <c r="ET1028" s="1"/>
      <c r="EU1028" s="1"/>
      <c r="EV1028" s="1"/>
      <c r="EW1028" s="1"/>
      <c r="EX1028" s="1"/>
      <c r="EY1028" s="1"/>
      <c r="EZ1028" s="1"/>
      <c r="FA1028" s="1"/>
      <c r="FB1028" s="1"/>
      <c r="FC1028" s="1"/>
      <c r="FD1028" s="1"/>
      <c r="FE1028" s="1"/>
      <c r="FF1028" s="1"/>
      <c r="FG1028" s="1"/>
      <c r="FH1028" s="1"/>
      <c r="FI1028" s="1"/>
      <c r="FJ1028" s="1"/>
      <c r="FK1028" s="1"/>
      <c r="FL1028" s="1"/>
      <c r="FM1028" s="1"/>
      <c r="FN1028" s="1"/>
      <c r="FO1028" s="1"/>
      <c r="FP1028" s="1"/>
      <c r="FQ1028" s="1"/>
      <c r="FR1028" s="1"/>
      <c r="FS1028" s="1"/>
      <c r="FT1028" s="1"/>
      <c r="FU1028" s="1"/>
      <c r="FV1028" s="1"/>
      <c r="FW1028" s="1"/>
      <c r="FX1028" s="1"/>
      <c r="FY1028" s="1"/>
      <c r="FZ1028" s="1"/>
      <c r="GA1028" s="1"/>
      <c r="GB1028" s="1"/>
      <c r="GC1028" s="1"/>
      <c r="GD1028" s="1"/>
      <c r="GE1028" s="1"/>
      <c r="GF1028" s="1"/>
      <c r="GG1028" s="1"/>
      <c r="GH1028" s="1"/>
      <c r="GI1028" s="1"/>
      <c r="GJ1028" s="1"/>
      <c r="GK1028" s="1"/>
      <c r="GL1028" s="1"/>
      <c r="GM1028" s="1"/>
      <c r="GN1028" s="1"/>
      <c r="GO1028" s="1"/>
      <c r="GP1028" s="1"/>
      <c r="GQ1028" s="1"/>
      <c r="GR1028" s="1"/>
      <c r="GS1028" s="1"/>
      <c r="GT1028" s="1"/>
      <c r="GU1028" s="1"/>
      <c r="GV1028" s="1"/>
      <c r="GW1028" s="1"/>
      <c r="GX1028" s="1"/>
      <c r="GY1028" s="1"/>
      <c r="GZ1028" s="1"/>
      <c r="HA1028" s="1"/>
      <c r="HB1028" s="1"/>
      <c r="HC1028" s="1"/>
      <c r="HD1028" s="1"/>
      <c r="HE1028" s="1"/>
      <c r="HF1028" s="1"/>
      <c r="HG1028" s="1"/>
      <c r="HH1028" s="1"/>
      <c r="HI1028" s="1"/>
      <c r="HJ1028" s="1"/>
      <c r="HK1028" s="1"/>
      <c r="HL1028" s="1"/>
      <c r="HM1028" s="1"/>
      <c r="HN1028" s="1"/>
      <c r="HO1028" s="1"/>
      <c r="HP1028" s="1"/>
      <c r="HQ1028" s="1"/>
      <c r="HR1028" s="1"/>
      <c r="HS1028" s="1"/>
      <c r="HT1028" s="1"/>
      <c r="HU1028" s="1"/>
      <c r="HV1028" s="1"/>
      <c r="HW1028" s="1"/>
      <c r="HX1028" s="1"/>
      <c r="HY1028" s="1"/>
      <c r="HZ1028" s="1"/>
      <c r="IA1028" s="1"/>
      <c r="IB1028" s="1"/>
      <c r="IC1028" s="1"/>
      <c r="ID1028" s="1"/>
      <c r="IE1028" s="1"/>
      <c r="IF1028" s="1"/>
      <c r="IG1028" s="1"/>
      <c r="IH1028" s="1"/>
      <c r="II1028" s="1"/>
      <c r="IJ1028" s="1"/>
      <c r="IK1028" s="1"/>
      <c r="IL1028" s="1"/>
      <c r="IM1028" s="1"/>
      <c r="IN1028" s="1"/>
      <c r="IO1028" s="1"/>
      <c r="IP1028" s="1"/>
      <c r="IQ1028" s="1"/>
      <c r="IR1028" s="1"/>
      <c r="IS1028" s="1"/>
      <c r="IT1028" s="1"/>
      <c r="IU1028" s="1"/>
      <c r="IV1028" s="1"/>
      <c r="IW1028" s="1"/>
      <c r="IX1028" s="1"/>
      <c r="IY1028" s="1"/>
      <c r="IZ1028" s="1"/>
      <c r="JA1028" s="1"/>
      <c r="JB1028" s="1"/>
      <c r="JC1028" s="1"/>
      <c r="JD1028" s="1"/>
    </row>
    <row r="1029" spans="1:264" s="347" customFormat="1" x14ac:dyDescent="0.2">
      <c r="B1029" s="348"/>
      <c r="BH1029" s="348"/>
      <c r="BI1029" s="348"/>
      <c r="BJ1029" s="348"/>
      <c r="BK1029" s="348"/>
      <c r="BL1029" s="348"/>
      <c r="BM1029" s="489">
        <f>(BM1035-BM1078)/((BN1310+BP1310)/2)</f>
        <v>8.1939965152332817E-3</v>
      </c>
      <c r="BN1029" s="348"/>
      <c r="BO1029" s="348"/>
      <c r="BP1029" s="348"/>
      <c r="BT1029" s="348"/>
      <c r="BX1029" s="348"/>
      <c r="CB1029" s="348"/>
      <c r="CF1029" s="348"/>
      <c r="CJ1029" s="348"/>
      <c r="CL1029" s="400"/>
      <c r="CN1029" s="348"/>
      <c r="CR1029" s="348"/>
      <c r="CV1029" s="1"/>
      <c r="CW1029" s="1"/>
      <c r="CX1029" s="1"/>
      <c r="CY1029" s="1"/>
      <c r="CZ1029" s="1"/>
      <c r="DA1029" s="1"/>
      <c r="DB1029" s="1"/>
      <c r="DC1029" s="1"/>
      <c r="DD1029" s="1"/>
      <c r="DE1029" s="1"/>
      <c r="DF1029" s="1"/>
      <c r="DG1029" s="1"/>
      <c r="DH1029" s="1"/>
      <c r="DI1029" s="1"/>
      <c r="DJ1029" s="1"/>
      <c r="DK1029" s="1"/>
      <c r="DL1029" s="1"/>
      <c r="DM1029" s="1"/>
      <c r="DN1029" s="1"/>
      <c r="DO1029" s="1"/>
      <c r="DP1029" s="1"/>
      <c r="DQ1029" s="1"/>
      <c r="DR1029" s="1"/>
      <c r="DS1029" s="1"/>
      <c r="DT1029" s="1"/>
      <c r="DU1029" s="1"/>
      <c r="DV1029" s="1"/>
      <c r="DW1029" s="1"/>
      <c r="DX1029" s="1"/>
      <c r="DY1029" s="1"/>
      <c r="DZ1029" s="1"/>
      <c r="EA1029" s="1"/>
      <c r="EB1029" s="1"/>
      <c r="EC1029" s="1"/>
      <c r="ED1029" s="1"/>
      <c r="EE1029" s="1"/>
      <c r="EF1029" s="1"/>
      <c r="EG1029" s="1"/>
      <c r="EH1029" s="1"/>
      <c r="EI1029" s="1"/>
      <c r="EJ1029" s="1"/>
      <c r="EK1029" s="1"/>
      <c r="EL1029" s="1"/>
      <c r="EM1029" s="1"/>
      <c r="EN1029" s="1"/>
      <c r="EO1029" s="1"/>
      <c r="EP1029" s="1"/>
      <c r="EQ1029" s="1"/>
      <c r="ER1029" s="1"/>
      <c r="ES1029" s="1"/>
      <c r="ET1029" s="1"/>
      <c r="EU1029" s="1"/>
      <c r="EV1029" s="1"/>
      <c r="EW1029" s="1"/>
      <c r="EX1029" s="1"/>
      <c r="EY1029" s="1"/>
      <c r="EZ1029" s="1"/>
      <c r="FA1029" s="1"/>
      <c r="FB1029" s="1"/>
      <c r="FC1029" s="1"/>
      <c r="FD1029" s="1"/>
      <c r="FE1029" s="1"/>
      <c r="FF1029" s="1"/>
      <c r="FG1029" s="1"/>
      <c r="FH1029" s="1"/>
      <c r="FI1029" s="1"/>
      <c r="FJ1029" s="1"/>
      <c r="FK1029" s="1"/>
      <c r="FL1029" s="1"/>
      <c r="FM1029" s="1"/>
      <c r="FN1029" s="1"/>
      <c r="FO1029" s="1"/>
      <c r="FP1029" s="1"/>
      <c r="FQ1029" s="1"/>
      <c r="FR1029" s="1"/>
      <c r="FS1029" s="1"/>
      <c r="FT1029" s="1"/>
      <c r="FU1029" s="1"/>
      <c r="FV1029" s="1"/>
      <c r="FW1029" s="1"/>
      <c r="FX1029" s="1"/>
      <c r="FY1029" s="1"/>
      <c r="FZ1029" s="1"/>
      <c r="GA1029" s="1"/>
      <c r="GB1029" s="1"/>
      <c r="GC1029" s="1"/>
      <c r="GD1029" s="1"/>
      <c r="GE1029" s="1"/>
      <c r="GF1029" s="1"/>
      <c r="GG1029" s="1"/>
      <c r="GH1029" s="1"/>
      <c r="GI1029" s="1"/>
      <c r="GJ1029" s="1"/>
      <c r="GK1029" s="1"/>
      <c r="GL1029" s="1"/>
      <c r="GM1029" s="1"/>
      <c r="GN1029" s="1"/>
      <c r="GO1029" s="1"/>
      <c r="GP1029" s="1"/>
      <c r="GQ1029" s="1"/>
      <c r="GR1029" s="1"/>
      <c r="GS1029" s="1"/>
      <c r="GT1029" s="1"/>
      <c r="GU1029" s="1"/>
      <c r="GV1029" s="1"/>
      <c r="GW1029" s="1"/>
      <c r="GX1029" s="1"/>
      <c r="GY1029" s="1"/>
      <c r="GZ1029" s="1"/>
      <c r="HA1029" s="1"/>
      <c r="HB1029" s="1"/>
      <c r="HC1029" s="1"/>
      <c r="HD1029" s="1"/>
      <c r="HE1029" s="1"/>
      <c r="HF1029" s="1"/>
      <c r="HG1029" s="1"/>
      <c r="HH1029" s="1"/>
      <c r="HI1029" s="1"/>
      <c r="HJ1029" s="1"/>
      <c r="HK1029" s="1"/>
      <c r="HL1029" s="1"/>
      <c r="HM1029" s="1"/>
      <c r="HN1029" s="1"/>
      <c r="HO1029" s="1"/>
      <c r="HP1029" s="1"/>
      <c r="HQ1029" s="1"/>
      <c r="HR1029" s="1"/>
      <c r="HS1029" s="1"/>
      <c r="HT1029" s="1"/>
      <c r="HU1029" s="1"/>
      <c r="HV1029" s="1"/>
      <c r="HW1029" s="1"/>
      <c r="HX1029" s="1"/>
      <c r="HY1029" s="1"/>
      <c r="HZ1029" s="1"/>
      <c r="IA1029" s="1"/>
      <c r="IB1029" s="1"/>
      <c r="IC1029" s="1"/>
      <c r="ID1029" s="1"/>
      <c r="IE1029" s="1"/>
      <c r="IF1029" s="1"/>
      <c r="IG1029" s="1"/>
      <c r="IH1029" s="1"/>
      <c r="II1029" s="1"/>
      <c r="IJ1029" s="1"/>
      <c r="IK1029" s="1"/>
      <c r="IL1029" s="1"/>
      <c r="IM1029" s="1"/>
      <c r="IN1029" s="1"/>
      <c r="IO1029" s="1"/>
      <c r="IP1029" s="1"/>
      <c r="IQ1029" s="1"/>
      <c r="IR1029" s="1"/>
      <c r="IS1029" s="1"/>
      <c r="IT1029" s="1"/>
      <c r="IU1029" s="1"/>
      <c r="IV1029" s="1"/>
      <c r="IW1029" s="1"/>
      <c r="IX1029" s="1"/>
      <c r="IY1029" s="1"/>
      <c r="IZ1029" s="1"/>
      <c r="JA1029" s="1"/>
      <c r="JB1029" s="1"/>
      <c r="JC1029" s="1"/>
      <c r="JD1029" s="1"/>
    </row>
    <row r="1030" spans="1:264" s="347" customFormat="1" x14ac:dyDescent="0.2">
      <c r="A1030" s="411" t="s">
        <v>695</v>
      </c>
      <c r="B1030" s="348"/>
      <c r="BH1030" s="348"/>
      <c r="BI1030" s="348"/>
      <c r="BJ1030" s="348"/>
      <c r="BK1030" s="348"/>
      <c r="BL1030" s="348"/>
      <c r="BM1030" s="348"/>
      <c r="BN1030" s="348"/>
      <c r="BO1030" s="348"/>
      <c r="BP1030" s="348"/>
      <c r="BT1030" s="348"/>
      <c r="BX1030" s="348"/>
      <c r="CB1030" s="348"/>
      <c r="CC1030" s="348"/>
      <c r="CF1030" s="348"/>
      <c r="CJ1030" s="348"/>
      <c r="CN1030" s="348"/>
      <c r="CR1030" s="348"/>
      <c r="CV1030" s="348"/>
      <c r="CZ1030" s="348"/>
      <c r="DD1030" s="348"/>
      <c r="DH1030" s="348"/>
      <c r="DL1030" s="348"/>
      <c r="DP1030" s="348"/>
      <c r="DT1030" s="1"/>
      <c r="DU1030" s="1"/>
      <c r="DV1030" s="1"/>
      <c r="DW1030" s="1"/>
      <c r="DX1030" s="1"/>
      <c r="DY1030" s="1"/>
      <c r="DZ1030" s="1"/>
      <c r="EA1030" s="1"/>
      <c r="EB1030" s="1"/>
      <c r="EC1030" s="1"/>
      <c r="ED1030" s="1"/>
      <c r="EE1030" s="1"/>
      <c r="EF1030" s="1"/>
      <c r="EG1030" s="1"/>
      <c r="EH1030" s="1"/>
      <c r="EI1030" s="1"/>
      <c r="EJ1030" s="1"/>
      <c r="EK1030" s="1"/>
      <c r="EL1030" s="1"/>
      <c r="EM1030" s="1"/>
      <c r="EN1030" s="1"/>
      <c r="EO1030" s="1"/>
      <c r="EP1030" s="1"/>
      <c r="EQ1030" s="1"/>
      <c r="ER1030" s="1"/>
      <c r="ES1030" s="1"/>
      <c r="ET1030" s="1"/>
      <c r="EU1030" s="1"/>
      <c r="EV1030" s="1"/>
      <c r="EW1030" s="1"/>
      <c r="EX1030" s="1"/>
      <c r="EY1030" s="1"/>
      <c r="EZ1030" s="1"/>
      <c r="FA1030" s="1"/>
      <c r="FB1030" s="1"/>
      <c r="FC1030" s="1"/>
      <c r="FD1030" s="1"/>
      <c r="FE1030" s="1"/>
      <c r="FF1030" s="1"/>
      <c r="FG1030" s="1"/>
      <c r="FH1030" s="1"/>
      <c r="FI1030" s="1"/>
      <c r="FJ1030" s="1"/>
      <c r="FK1030" s="1"/>
      <c r="FL1030" s="1"/>
      <c r="FM1030" s="1"/>
      <c r="FN1030" s="1"/>
      <c r="FO1030" s="1"/>
      <c r="FP1030" s="1"/>
      <c r="FQ1030" s="1"/>
      <c r="FR1030" s="1"/>
      <c r="FS1030" s="1"/>
      <c r="FT1030" s="1"/>
      <c r="FU1030" s="1"/>
      <c r="FV1030" s="1"/>
      <c r="FW1030" s="1"/>
      <c r="FX1030" s="1"/>
      <c r="FY1030" s="1"/>
      <c r="FZ1030" s="1"/>
      <c r="GA1030" s="1"/>
      <c r="GB1030" s="1"/>
      <c r="GC1030" s="1"/>
      <c r="GD1030" s="1"/>
      <c r="GE1030" s="1"/>
      <c r="GF1030" s="1"/>
      <c r="GG1030" s="1"/>
      <c r="GH1030" s="1"/>
      <c r="GI1030" s="1"/>
      <c r="GJ1030" s="1"/>
      <c r="GK1030" s="1"/>
      <c r="GL1030" s="1"/>
      <c r="GM1030" s="1"/>
      <c r="GN1030" s="1"/>
      <c r="GO1030" s="1"/>
      <c r="GP1030" s="1"/>
      <c r="GQ1030" s="1"/>
      <c r="GR1030" s="1"/>
      <c r="GS1030" s="1"/>
      <c r="GT1030" s="1"/>
      <c r="GU1030" s="1"/>
      <c r="GV1030" s="1"/>
      <c r="GW1030" s="1"/>
      <c r="GX1030" s="1"/>
      <c r="GY1030" s="1"/>
      <c r="GZ1030" s="1"/>
      <c r="HA1030" s="1"/>
      <c r="HB1030" s="1"/>
      <c r="HC1030" s="1"/>
      <c r="HD1030" s="1"/>
      <c r="HE1030" s="1"/>
      <c r="HF1030" s="1"/>
      <c r="HG1030" s="1"/>
      <c r="HH1030" s="1"/>
      <c r="HI1030" s="1"/>
      <c r="HJ1030" s="1"/>
      <c r="HK1030" s="1"/>
      <c r="HL1030" s="1"/>
      <c r="HM1030" s="1"/>
      <c r="HN1030" s="1"/>
      <c r="HO1030" s="1"/>
      <c r="HP1030" s="1"/>
      <c r="HQ1030" s="1"/>
      <c r="HR1030" s="1"/>
      <c r="HS1030" s="1"/>
      <c r="HT1030" s="1"/>
      <c r="HU1030" s="1"/>
      <c r="HV1030" s="1"/>
      <c r="HW1030" s="1"/>
      <c r="HX1030" s="1"/>
      <c r="HY1030" s="1"/>
      <c r="HZ1030" s="1"/>
      <c r="IA1030" s="1"/>
      <c r="IB1030" s="1"/>
      <c r="IC1030" s="1"/>
      <c r="ID1030" s="1"/>
      <c r="IE1030" s="1"/>
      <c r="IF1030" s="1"/>
      <c r="IG1030" s="1"/>
      <c r="IH1030" s="1"/>
      <c r="II1030" s="1"/>
      <c r="IJ1030" s="1"/>
      <c r="IK1030" s="1"/>
      <c r="IL1030" s="1"/>
      <c r="IM1030" s="1"/>
      <c r="IN1030" s="1"/>
      <c r="IO1030" s="1"/>
      <c r="IP1030" s="1"/>
      <c r="IQ1030" s="1"/>
      <c r="IR1030" s="1"/>
      <c r="IS1030" s="1"/>
      <c r="IT1030" s="1"/>
      <c r="IU1030" s="1"/>
      <c r="IV1030" s="1"/>
      <c r="IW1030" s="1"/>
      <c r="IX1030" s="1"/>
      <c r="IY1030" s="1"/>
      <c r="IZ1030" s="1"/>
      <c r="JA1030" s="1"/>
      <c r="JB1030" s="1"/>
      <c r="JC1030" s="1"/>
      <c r="JD1030" s="1"/>
    </row>
    <row r="1031" spans="1:264" s="347" customFormat="1" x14ac:dyDescent="0.2">
      <c r="A1031" s="347" t="s">
        <v>696</v>
      </c>
      <c r="B1031" s="348"/>
      <c r="BD1031" s="520">
        <v>137</v>
      </c>
      <c r="BE1031" s="520">
        <v>197</v>
      </c>
      <c r="BF1031" s="351">
        <f>+BE1031+BD1031</f>
        <v>334</v>
      </c>
      <c r="BH1031" s="520">
        <v>164</v>
      </c>
      <c r="BI1031" s="520">
        <v>200</v>
      </c>
      <c r="BJ1031" s="351">
        <f>+BI1031+BH1031</f>
        <v>364</v>
      </c>
      <c r="BK1031" s="348"/>
      <c r="BL1031" s="398">
        <v>183</v>
      </c>
      <c r="BM1031" s="520">
        <v>218</v>
      </c>
      <c r="BN1031" s="351">
        <f>+BM1031+BL1031</f>
        <v>401</v>
      </c>
      <c r="BO1031" s="348"/>
      <c r="BP1031" s="398">
        <v>198</v>
      </c>
      <c r="BQ1031" s="520">
        <v>222</v>
      </c>
      <c r="BR1031" s="351">
        <f>+BQ1031+BP1031</f>
        <v>420</v>
      </c>
      <c r="BT1031" s="398">
        <v>198</v>
      </c>
      <c r="BU1031" s="520">
        <v>222</v>
      </c>
      <c r="BV1031" s="351">
        <f>+BU1031+BT1031</f>
        <v>420</v>
      </c>
      <c r="BX1031" s="398">
        <v>199</v>
      </c>
      <c r="BY1031" s="520">
        <v>230</v>
      </c>
      <c r="BZ1031" s="351">
        <f>+BY1031+BX1031</f>
        <v>429</v>
      </c>
      <c r="CB1031" s="398">
        <v>200</v>
      </c>
      <c r="CC1031" s="520">
        <v>231</v>
      </c>
      <c r="CD1031" s="351">
        <f>+CC1031+CB1031</f>
        <v>431</v>
      </c>
      <c r="CF1031" s="398">
        <v>200</v>
      </c>
      <c r="CG1031" s="520">
        <v>231</v>
      </c>
      <c r="CH1031" s="351">
        <f>+CG1031+CF1031</f>
        <v>431</v>
      </c>
      <c r="CI1031" s="393">
        <f>+CH1031/CD1031-1</f>
        <v>0</v>
      </c>
      <c r="CJ1031" s="398">
        <v>200</v>
      </c>
      <c r="CK1031" s="520">
        <v>98</v>
      </c>
      <c r="CL1031" s="351">
        <f>+CK1031+CJ1031</f>
        <v>298</v>
      </c>
      <c r="CM1031" s="393">
        <f>+CL1031/CH1031-1</f>
        <v>-0.308584686774942</v>
      </c>
      <c r="CN1031" s="398">
        <v>150</v>
      </c>
      <c r="CO1031" s="520">
        <v>200</v>
      </c>
      <c r="CP1031" s="351">
        <f>+CO1031+CN1031</f>
        <v>350</v>
      </c>
      <c r="CQ1031" s="393">
        <f>+CP1031/CL1031-1</f>
        <v>0.17449664429530198</v>
      </c>
      <c r="CR1031" s="398">
        <v>175</v>
      </c>
      <c r="CS1031" s="520">
        <v>210</v>
      </c>
      <c r="CT1031" s="351">
        <f>+CS1031+CR1031</f>
        <v>385</v>
      </c>
      <c r="CU1031" s="393">
        <f>+CT1031/CP1031-1</f>
        <v>0.10000000000000009</v>
      </c>
      <c r="CV1031" s="398">
        <v>210</v>
      </c>
      <c r="CW1031" s="520">
        <v>240</v>
      </c>
      <c r="CX1031" s="351">
        <f>+CW1031+CV1031</f>
        <v>450</v>
      </c>
      <c r="CY1031" s="393">
        <f>+CX1031/CT1031-1</f>
        <v>0.16883116883116878</v>
      </c>
      <c r="CZ1031" s="398">
        <v>215</v>
      </c>
      <c r="DA1031" s="520">
        <v>250</v>
      </c>
      <c r="DB1031" s="351">
        <f>+DA1031+CZ1031</f>
        <v>465</v>
      </c>
      <c r="DC1031" s="393">
        <f>+DB1031/CX1031-1</f>
        <v>3.3333333333333437E-2</v>
      </c>
      <c r="DD1031" s="398">
        <v>225</v>
      </c>
      <c r="DE1031" s="520">
        <v>260</v>
      </c>
      <c r="DF1031" s="351">
        <f>+DE1031+DD1031</f>
        <v>485</v>
      </c>
      <c r="DG1031" s="393">
        <f>+DF1031/DB1031-1</f>
        <v>4.3010752688172005E-2</v>
      </c>
      <c r="DH1031" s="398">
        <v>235</v>
      </c>
      <c r="DI1031" s="351">
        <f>ROUND(DI1035*100/DI1034,0)</f>
        <v>280</v>
      </c>
      <c r="DJ1031" s="351">
        <f>+DI1031+DH1031</f>
        <v>515</v>
      </c>
      <c r="DK1031" s="393">
        <f>+DJ1031/DF1031-1</f>
        <v>6.1855670103092786E-2</v>
      </c>
      <c r="DL1031" s="351">
        <f ca="1">ROUND(DL1035*100/DL1034,0)</f>
        <v>260</v>
      </c>
      <c r="DM1031" s="351">
        <f ca="1">ROUND(DM1035*100/DM1034,0)</f>
        <v>300</v>
      </c>
      <c r="DN1031" s="351">
        <f ca="1">+DM1031+DL1031</f>
        <v>560</v>
      </c>
      <c r="DO1031" s="393">
        <f ca="1">+DN1031/DJ1031-1</f>
        <v>8.737864077669899E-2</v>
      </c>
      <c r="DP1031" s="351">
        <f ca="1">ROUND(DP1035*100/DP1034,0)</f>
        <v>270</v>
      </c>
      <c r="DQ1031" s="351">
        <f ca="1">ROUND(DQ1035*100/DQ1034,0)</f>
        <v>315</v>
      </c>
      <c r="DR1031" s="351">
        <f ca="1">+DQ1031+DP1031</f>
        <v>585</v>
      </c>
      <c r="DS1031" s="393">
        <f ca="1">+DR1031/DN1031-1</f>
        <v>4.4642857142857206E-2</v>
      </c>
      <c r="DT1031" s="1"/>
      <c r="DU1031" s="1"/>
      <c r="DV1031" s="1"/>
      <c r="DW1031" s="1"/>
      <c r="DX1031" s="1"/>
      <c r="DY1031" s="1"/>
      <c r="DZ1031" s="1"/>
      <c r="EA1031" s="1"/>
      <c r="EB1031" s="1"/>
      <c r="EC1031" s="1"/>
      <c r="ED1031" s="1"/>
      <c r="EE1031" s="1"/>
      <c r="EF1031" s="1"/>
      <c r="EG1031" s="1"/>
      <c r="EH1031" s="1"/>
      <c r="EI1031" s="1"/>
      <c r="EJ1031" s="1"/>
      <c r="EK1031" s="1"/>
      <c r="EL1031" s="1"/>
      <c r="EM1031" s="1"/>
      <c r="EN1031" s="1"/>
      <c r="EO1031" s="1"/>
      <c r="EP1031" s="1"/>
      <c r="EQ1031" s="1"/>
      <c r="ER1031" s="1"/>
      <c r="ES1031" s="1"/>
      <c r="ET1031" s="1"/>
      <c r="EU1031" s="1"/>
      <c r="EV1031" s="1"/>
      <c r="EW1031" s="1"/>
      <c r="EX1031" s="1"/>
      <c r="EY1031" s="1"/>
      <c r="EZ1031" s="1"/>
      <c r="FA1031" s="1"/>
      <c r="FB1031" s="1"/>
      <c r="FC1031" s="1"/>
      <c r="FD1031" s="1"/>
      <c r="FE1031" s="1"/>
      <c r="FF1031" s="1"/>
      <c r="FG1031" s="1"/>
      <c r="FH1031" s="1"/>
      <c r="FI1031" s="1"/>
      <c r="FJ1031" s="1"/>
      <c r="FK1031" s="1"/>
      <c r="FL1031" s="1"/>
      <c r="FM1031" s="1"/>
      <c r="FN1031" s="1"/>
      <c r="FO1031" s="1"/>
      <c r="FP1031" s="1"/>
      <c r="FQ1031" s="1"/>
      <c r="FR1031" s="1"/>
      <c r="FS1031" s="1"/>
      <c r="FT1031" s="1"/>
      <c r="FU1031" s="1"/>
      <c r="FV1031" s="1"/>
      <c r="FW1031" s="1"/>
      <c r="FX1031" s="1"/>
      <c r="FY1031" s="1"/>
      <c r="FZ1031" s="1"/>
      <c r="GA1031" s="1"/>
      <c r="GB1031" s="1"/>
      <c r="GC1031" s="1"/>
      <c r="GD1031" s="1"/>
      <c r="GE1031" s="1"/>
      <c r="GF1031" s="1"/>
      <c r="GG1031" s="1"/>
      <c r="GH1031" s="1"/>
      <c r="GI1031" s="1"/>
      <c r="GJ1031" s="1"/>
      <c r="GK1031" s="1"/>
      <c r="GL1031" s="1"/>
      <c r="GM1031" s="1"/>
      <c r="GN1031" s="1"/>
      <c r="GO1031" s="1"/>
      <c r="GP1031" s="1"/>
      <c r="GQ1031" s="1"/>
      <c r="GR1031" s="1"/>
      <c r="GS1031" s="1"/>
      <c r="GT1031" s="1"/>
      <c r="GU1031" s="1"/>
      <c r="GV1031" s="1"/>
      <c r="GW1031" s="1"/>
      <c r="GX1031" s="1"/>
      <c r="GY1031" s="1"/>
      <c r="GZ1031" s="1"/>
      <c r="HA1031" s="1"/>
      <c r="HB1031" s="1"/>
      <c r="HC1031" s="1"/>
      <c r="HD1031" s="1"/>
      <c r="HE1031" s="1"/>
      <c r="HF1031" s="1"/>
      <c r="HG1031" s="1"/>
      <c r="HH1031" s="1"/>
      <c r="HI1031" s="1"/>
      <c r="HJ1031" s="1"/>
      <c r="HK1031" s="1"/>
      <c r="HL1031" s="1"/>
      <c r="HM1031" s="1"/>
      <c r="HN1031" s="1"/>
      <c r="HO1031" s="1"/>
      <c r="HP1031" s="1"/>
      <c r="HQ1031" s="1"/>
      <c r="HR1031" s="1"/>
      <c r="HS1031" s="1"/>
      <c r="HT1031" s="1"/>
      <c r="HU1031" s="1"/>
      <c r="HV1031" s="1"/>
      <c r="HW1031" s="1"/>
      <c r="HX1031" s="1"/>
      <c r="HY1031" s="1"/>
      <c r="HZ1031" s="1"/>
      <c r="IA1031" s="1"/>
      <c r="IB1031" s="1"/>
      <c r="IC1031" s="1"/>
      <c r="ID1031" s="1"/>
      <c r="IE1031" s="1"/>
      <c r="IF1031" s="1"/>
      <c r="IG1031" s="1"/>
      <c r="IH1031" s="1"/>
      <c r="II1031" s="1"/>
      <c r="IJ1031" s="1"/>
      <c r="IK1031" s="1"/>
      <c r="IL1031" s="1"/>
      <c r="IM1031" s="1"/>
      <c r="IN1031" s="1"/>
      <c r="IO1031" s="1"/>
      <c r="IP1031" s="1"/>
      <c r="IQ1031" s="1"/>
      <c r="IR1031" s="1"/>
      <c r="IS1031" s="1"/>
      <c r="IT1031" s="1"/>
      <c r="IU1031" s="1"/>
      <c r="IV1031" s="1"/>
      <c r="IW1031" s="1"/>
      <c r="IX1031" s="1"/>
      <c r="IY1031" s="1"/>
      <c r="IZ1031" s="1"/>
      <c r="JA1031" s="1"/>
      <c r="JB1031" s="1"/>
      <c r="JC1031" s="1"/>
      <c r="JD1031" s="1"/>
    </row>
    <row r="1032" spans="1:264" s="347" customFormat="1" x14ac:dyDescent="0.2">
      <c r="A1032" s="347" t="s">
        <v>697</v>
      </c>
      <c r="B1032" s="348"/>
      <c r="BD1032" s="520">
        <v>0</v>
      </c>
      <c r="BE1032" s="520">
        <v>0</v>
      </c>
      <c r="BF1032" s="351">
        <f>+BE1032+BD1032</f>
        <v>0</v>
      </c>
      <c r="BH1032" s="520">
        <v>0</v>
      </c>
      <c r="BI1032" s="520">
        <v>0</v>
      </c>
      <c r="BJ1032" s="351">
        <f>+BI1032+BH1032</f>
        <v>0</v>
      </c>
      <c r="BK1032" s="348"/>
      <c r="BL1032" s="398">
        <v>0</v>
      </c>
      <c r="BM1032" s="520">
        <v>0</v>
      </c>
      <c r="BN1032" s="351">
        <f>+BM1032+BL1032</f>
        <v>0</v>
      </c>
      <c r="BO1032" s="348"/>
      <c r="BP1032" s="398">
        <v>0</v>
      </c>
      <c r="BQ1032" s="520">
        <v>0</v>
      </c>
      <c r="BR1032" s="351">
        <f>+BQ1032+BP1032</f>
        <v>0</v>
      </c>
      <c r="BT1032" s="398">
        <v>0</v>
      </c>
      <c r="BU1032" s="520">
        <v>0</v>
      </c>
      <c r="BV1032" s="351">
        <f>+BU1032+BT1032</f>
        <v>0</v>
      </c>
      <c r="BX1032" s="398">
        <v>0</v>
      </c>
      <c r="BY1032" s="398">
        <v>0</v>
      </c>
      <c r="BZ1032" s="351">
        <f>+BY1032+BX1032</f>
        <v>0</v>
      </c>
      <c r="CB1032" s="398">
        <v>0</v>
      </c>
      <c r="CC1032" s="398">
        <v>0</v>
      </c>
      <c r="CD1032" s="351">
        <f>+CC1032+CB1032</f>
        <v>0</v>
      </c>
      <c r="CF1032" s="398">
        <v>0</v>
      </c>
      <c r="CG1032" s="398">
        <v>0</v>
      </c>
      <c r="CH1032" s="351">
        <f>+CG1032+CF1032</f>
        <v>0</v>
      </c>
      <c r="CJ1032" s="398">
        <v>0</v>
      </c>
      <c r="CK1032" s="398">
        <v>0</v>
      </c>
      <c r="CL1032" s="351">
        <f>+CK1032+CJ1032</f>
        <v>0</v>
      </c>
      <c r="CN1032" s="398">
        <v>0</v>
      </c>
      <c r="CO1032" s="398">
        <v>0</v>
      </c>
      <c r="CP1032" s="351">
        <f>+CO1032+CN1032</f>
        <v>0</v>
      </c>
      <c r="CR1032" s="398">
        <v>0</v>
      </c>
      <c r="CS1032" s="398">
        <v>0</v>
      </c>
      <c r="CT1032" s="351">
        <f>+CS1032+CR1032</f>
        <v>0</v>
      </c>
      <c r="CV1032" s="398">
        <v>0</v>
      </c>
      <c r="CW1032" s="398">
        <v>0</v>
      </c>
      <c r="CX1032" s="351">
        <f>+CW1032+CV1032</f>
        <v>0</v>
      </c>
      <c r="CZ1032" s="398">
        <v>0</v>
      </c>
      <c r="DA1032" s="398">
        <v>0</v>
      </c>
      <c r="DB1032" s="351">
        <f>+DA1032+CZ1032</f>
        <v>0</v>
      </c>
      <c r="DD1032" s="398">
        <v>0</v>
      </c>
      <c r="DE1032" s="398">
        <v>0</v>
      </c>
      <c r="DF1032" s="351">
        <f>+DE1032+DD1032</f>
        <v>0</v>
      </c>
      <c r="DH1032" s="398">
        <v>0</v>
      </c>
      <c r="DI1032" s="351">
        <f>+DI1036*100/DI1035</f>
        <v>0</v>
      </c>
      <c r="DJ1032" s="351">
        <f>+DI1032+DH1032</f>
        <v>0</v>
      </c>
      <c r="DL1032" s="351">
        <f>+DL1036*100/DL1035</f>
        <v>0</v>
      </c>
      <c r="DM1032" s="351">
        <f>+DM1036*100/DM1035</f>
        <v>0</v>
      </c>
      <c r="DN1032" s="351">
        <f>+DM1032+DL1032</f>
        <v>0</v>
      </c>
      <c r="DP1032" s="351">
        <f>+DP1036*100/DP1035</f>
        <v>0</v>
      </c>
      <c r="DQ1032" s="351">
        <f>+DQ1036*100/DQ1035</f>
        <v>0</v>
      </c>
      <c r="DR1032" s="351">
        <f>+DQ1032+DP1032</f>
        <v>0</v>
      </c>
      <c r="DT1032" s="1"/>
      <c r="DU1032" s="1"/>
      <c r="DV1032" s="1"/>
      <c r="DW1032" s="1"/>
      <c r="DX1032" s="1"/>
      <c r="DY1032" s="1"/>
      <c r="DZ1032" s="1"/>
      <c r="EA1032" s="1"/>
      <c r="EB1032" s="1"/>
      <c r="EC1032" s="1"/>
      <c r="ED1032" s="1"/>
      <c r="EE1032" s="1"/>
      <c r="EF1032" s="1"/>
      <c r="EG1032" s="1"/>
      <c r="EH1032" s="1"/>
      <c r="EI1032" s="1"/>
      <c r="EJ1032" s="1"/>
      <c r="EK1032" s="1"/>
      <c r="EL1032" s="1"/>
      <c r="EM1032" s="1"/>
      <c r="EN1032" s="1"/>
      <c r="EO1032" s="1"/>
      <c r="EP1032" s="1"/>
      <c r="EQ1032" s="1"/>
      <c r="ER1032" s="1"/>
      <c r="ES1032" s="1"/>
      <c r="ET1032" s="1"/>
      <c r="EU1032" s="1"/>
      <c r="EV1032" s="1"/>
      <c r="EW1032" s="1"/>
      <c r="EX1032" s="1"/>
      <c r="EY1032" s="1"/>
      <c r="EZ1032" s="1"/>
      <c r="FA1032" s="1"/>
      <c r="FB1032" s="1"/>
      <c r="FC1032" s="1"/>
      <c r="FD1032" s="1"/>
      <c r="FE1032" s="1"/>
      <c r="FF1032" s="1"/>
      <c r="FG1032" s="1"/>
      <c r="FH1032" s="1"/>
      <c r="FI1032" s="1"/>
      <c r="FJ1032" s="1"/>
      <c r="FK1032" s="1"/>
      <c r="FL1032" s="1"/>
      <c r="FM1032" s="1"/>
      <c r="FN1032" s="1"/>
      <c r="FO1032" s="1"/>
      <c r="FP1032" s="1"/>
      <c r="FQ1032" s="1"/>
      <c r="FR1032" s="1"/>
      <c r="FS1032" s="1"/>
      <c r="FT1032" s="1"/>
      <c r="FU1032" s="1"/>
      <c r="FV1032" s="1"/>
      <c r="FW1032" s="1"/>
      <c r="FX1032" s="1"/>
      <c r="FY1032" s="1"/>
      <c r="FZ1032" s="1"/>
      <c r="GA1032" s="1"/>
      <c r="GB1032" s="1"/>
      <c r="GC1032" s="1"/>
      <c r="GD1032" s="1"/>
      <c r="GE1032" s="1"/>
      <c r="GF1032" s="1"/>
      <c r="GG1032" s="1"/>
      <c r="GH1032" s="1"/>
      <c r="GI1032" s="1"/>
      <c r="GJ1032" s="1"/>
      <c r="GK1032" s="1"/>
      <c r="GL1032" s="1"/>
      <c r="GM1032" s="1"/>
      <c r="GN1032" s="1"/>
      <c r="GO1032" s="1"/>
      <c r="GP1032" s="1"/>
      <c r="GQ1032" s="1"/>
      <c r="GR1032" s="1"/>
      <c r="GS1032" s="1"/>
      <c r="GT1032" s="1"/>
      <c r="GU1032" s="1"/>
      <c r="GV1032" s="1"/>
      <c r="GW1032" s="1"/>
      <c r="GX1032" s="1"/>
      <c r="GY1032" s="1"/>
      <c r="GZ1032" s="1"/>
      <c r="HA1032" s="1"/>
      <c r="HB1032" s="1"/>
      <c r="HC1032" s="1"/>
      <c r="HD1032" s="1"/>
      <c r="HE1032" s="1"/>
      <c r="HF1032" s="1"/>
      <c r="HG1032" s="1"/>
      <c r="HH1032" s="1"/>
      <c r="HI1032" s="1"/>
      <c r="HJ1032" s="1"/>
      <c r="HK1032" s="1"/>
      <c r="HL1032" s="1"/>
      <c r="HM1032" s="1"/>
      <c r="HN1032" s="1"/>
      <c r="HO1032" s="1"/>
      <c r="HP1032" s="1"/>
      <c r="HQ1032" s="1"/>
      <c r="HR1032" s="1"/>
      <c r="HS1032" s="1"/>
      <c r="HT1032" s="1"/>
      <c r="HU1032" s="1"/>
      <c r="HV1032" s="1"/>
      <c r="HW1032" s="1"/>
      <c r="HX1032" s="1"/>
      <c r="HY1032" s="1"/>
      <c r="HZ1032" s="1"/>
      <c r="IA1032" s="1"/>
      <c r="IB1032" s="1"/>
      <c r="IC1032" s="1"/>
      <c r="ID1032" s="1"/>
      <c r="IE1032" s="1"/>
      <c r="IF1032" s="1"/>
      <c r="IG1032" s="1"/>
      <c r="IH1032" s="1"/>
      <c r="II1032" s="1"/>
      <c r="IJ1032" s="1"/>
      <c r="IK1032" s="1"/>
      <c r="IL1032" s="1"/>
      <c r="IM1032" s="1"/>
      <c r="IN1032" s="1"/>
      <c r="IO1032" s="1"/>
      <c r="IP1032" s="1"/>
      <c r="IQ1032" s="1"/>
      <c r="IR1032" s="1"/>
      <c r="IS1032" s="1"/>
      <c r="IT1032" s="1"/>
      <c r="IU1032" s="1"/>
      <c r="IV1032" s="1"/>
      <c r="IW1032" s="1"/>
      <c r="IX1032" s="1"/>
      <c r="IY1032" s="1"/>
      <c r="IZ1032" s="1"/>
      <c r="JA1032" s="1"/>
      <c r="JB1032" s="1"/>
      <c r="JC1032" s="1"/>
      <c r="JD1032" s="1"/>
    </row>
    <row r="1033" spans="1:264" s="411" customFormat="1" x14ac:dyDescent="0.2">
      <c r="A1033" s="411" t="s">
        <v>698</v>
      </c>
      <c r="B1033" s="423"/>
      <c r="BD1033" s="423">
        <f>SUM(BD1031:BD1032)</f>
        <v>137</v>
      </c>
      <c r="BE1033" s="423">
        <f>SUM(BE1031:BE1032)</f>
        <v>197</v>
      </c>
      <c r="BF1033" s="423">
        <f>SUM(BF1031:BF1032)</f>
        <v>334</v>
      </c>
      <c r="BG1033" s="428"/>
      <c r="BH1033" s="423">
        <f>SUM(BH1031:BH1032)</f>
        <v>164</v>
      </c>
      <c r="BI1033" s="423">
        <f>SUM(BI1031:BI1032)</f>
        <v>200</v>
      </c>
      <c r="BJ1033" s="423">
        <f>SUM(BJ1031:BJ1032)</f>
        <v>364</v>
      </c>
      <c r="BK1033" s="428">
        <f>+BJ1033/BF1033-1</f>
        <v>8.9820359281437057E-2</v>
      </c>
      <c r="BL1033" s="397">
        <f>SUM(BL1031:BL1032)</f>
        <v>183</v>
      </c>
      <c r="BM1033" s="423">
        <f>SUM(BM1031:BM1032)</f>
        <v>218</v>
      </c>
      <c r="BN1033" s="423">
        <f>SUM(BN1031:BN1032)</f>
        <v>401</v>
      </c>
      <c r="BO1033" s="428">
        <f>+BN1033/BJ1033-1</f>
        <v>0.10164835164835173</v>
      </c>
      <c r="BP1033" s="397">
        <f>SUM(BP1031:BP1032)</f>
        <v>198</v>
      </c>
      <c r="BQ1033" s="423">
        <f>SUM(BQ1031:BQ1032)</f>
        <v>222</v>
      </c>
      <c r="BR1033" s="423">
        <f>SUM(BR1031:BR1032)</f>
        <v>420</v>
      </c>
      <c r="BS1033" s="428">
        <f>+BR1033/BN1033-1</f>
        <v>4.7381546134663388E-2</v>
      </c>
      <c r="BT1033" s="397">
        <f>SUM(BT1031:BT1032)</f>
        <v>198</v>
      </c>
      <c r="BU1033" s="423">
        <f>SUM(BU1031:BU1032)</f>
        <v>222</v>
      </c>
      <c r="BV1033" s="423">
        <f>SUM(BV1031:BV1032)</f>
        <v>420</v>
      </c>
      <c r="BW1033" s="428">
        <f>+BV1033/BR1033-1</f>
        <v>0</v>
      </c>
      <c r="BX1033" s="397">
        <f>SUM(BX1031:BX1032)</f>
        <v>199</v>
      </c>
      <c r="BY1033" s="423">
        <f>SUM(BY1031:BY1032)</f>
        <v>230</v>
      </c>
      <c r="BZ1033" s="423">
        <f>SUM(BZ1031:BZ1032)</f>
        <v>429</v>
      </c>
      <c r="CA1033" s="428">
        <f>+BZ1033/BV1033-1</f>
        <v>2.1428571428571352E-2</v>
      </c>
      <c r="CB1033" s="397">
        <f>SUM(CB1031:CB1032)</f>
        <v>200</v>
      </c>
      <c r="CC1033" s="423">
        <f>SUM(CC1031:CC1032)</f>
        <v>231</v>
      </c>
      <c r="CD1033" s="423">
        <f>SUM(CD1031:CD1032)</f>
        <v>431</v>
      </c>
      <c r="CE1033" s="428">
        <f>+CD1033/BZ1033-1</f>
        <v>4.6620046620047262E-3</v>
      </c>
      <c r="CF1033" s="397">
        <f>SUM(CF1031:CF1032)</f>
        <v>200</v>
      </c>
      <c r="CG1033" s="423">
        <f>SUM(CG1031:CG1032)</f>
        <v>231</v>
      </c>
      <c r="CH1033" s="423">
        <f>SUM(CH1031:CH1032)</f>
        <v>431</v>
      </c>
      <c r="CI1033" s="428">
        <f>+CH1033/CD1033-1</f>
        <v>0</v>
      </c>
      <c r="CJ1033" s="397">
        <f>SUM(CJ1031:CJ1032)</f>
        <v>200</v>
      </c>
      <c r="CK1033" s="423">
        <f>SUM(CK1031:CK1032)</f>
        <v>98</v>
      </c>
      <c r="CL1033" s="423">
        <f>SUM(CL1031:CL1032)</f>
        <v>298</v>
      </c>
      <c r="CM1033" s="428">
        <f>+CL1033/CH1033-1</f>
        <v>-0.308584686774942</v>
      </c>
      <c r="CN1033" s="397">
        <f>SUM(CN1031:CN1032)</f>
        <v>150</v>
      </c>
      <c r="CO1033" s="423">
        <f>SUM(CO1031:CO1032)</f>
        <v>200</v>
      </c>
      <c r="CP1033" s="423">
        <f>SUM(CP1031:CP1032)</f>
        <v>350</v>
      </c>
      <c r="CQ1033" s="428">
        <f>+CP1033/CL1033-1</f>
        <v>0.17449664429530198</v>
      </c>
      <c r="CR1033" s="397">
        <f>SUM(CR1031:CR1032)</f>
        <v>175</v>
      </c>
      <c r="CS1033" s="423">
        <f>SUM(CS1031:CS1032)</f>
        <v>210</v>
      </c>
      <c r="CT1033" s="423">
        <f>SUM(CT1031:CT1032)</f>
        <v>385</v>
      </c>
      <c r="CU1033" s="428">
        <f>+CT1033/CP1033-1</f>
        <v>0.10000000000000009</v>
      </c>
      <c r="CV1033" s="397">
        <f>SUM(CV1031:CV1032)</f>
        <v>210</v>
      </c>
      <c r="CW1033" s="423">
        <f>SUM(CW1031:CW1032)</f>
        <v>240</v>
      </c>
      <c r="CX1033" s="423">
        <f>SUM(CX1031:CX1032)</f>
        <v>450</v>
      </c>
      <c r="CY1033" s="428">
        <f>+CX1033/CT1033-1</f>
        <v>0.16883116883116878</v>
      </c>
      <c r="CZ1033" s="397">
        <f>SUM(CZ1031:CZ1032)</f>
        <v>215</v>
      </c>
      <c r="DA1033" s="423">
        <f>SUM(DA1031:DA1032)</f>
        <v>250</v>
      </c>
      <c r="DB1033" s="423">
        <f>SUM(DB1031:DB1032)</f>
        <v>465</v>
      </c>
      <c r="DC1033" s="428">
        <f>+DB1033/CX1033-1</f>
        <v>3.3333333333333437E-2</v>
      </c>
      <c r="DD1033" s="397">
        <f>SUM(DD1031:DD1032)</f>
        <v>225</v>
      </c>
      <c r="DE1033" s="423">
        <f>SUM(DE1031:DE1032)</f>
        <v>260</v>
      </c>
      <c r="DF1033" s="423">
        <f>SUM(DF1031:DF1032)</f>
        <v>485</v>
      </c>
      <c r="DG1033" s="428">
        <f>+DF1033/DB1033-1</f>
        <v>4.3010752688172005E-2</v>
      </c>
      <c r="DH1033" s="397">
        <f>SUM(DH1031:DH1032)</f>
        <v>235</v>
      </c>
      <c r="DI1033" s="397">
        <f>SUM(DI1031:DI1032)</f>
        <v>280</v>
      </c>
      <c r="DJ1033" s="397">
        <f>SUM(DJ1031:DJ1032)</f>
        <v>515</v>
      </c>
      <c r="DK1033" s="428">
        <f>+DJ1033/DF1033-1</f>
        <v>6.1855670103092786E-2</v>
      </c>
      <c r="DL1033" s="397">
        <f ca="1">SUM(DL1031:DL1032)</f>
        <v>260</v>
      </c>
      <c r="DM1033" s="397">
        <f ca="1">SUM(DM1031:DM1032)</f>
        <v>300</v>
      </c>
      <c r="DN1033" s="397">
        <f ca="1">SUM(DN1031:DN1032)</f>
        <v>560</v>
      </c>
      <c r="DO1033" s="428">
        <f ca="1">+DN1033/DJ1033-1</f>
        <v>8.737864077669899E-2</v>
      </c>
      <c r="DP1033" s="397">
        <f ca="1">SUM(DP1031:DP1032)</f>
        <v>270</v>
      </c>
      <c r="DQ1033" s="397">
        <f ca="1">SUM(DQ1031:DQ1032)</f>
        <v>315</v>
      </c>
      <c r="DR1033" s="397">
        <f ca="1">SUM(DR1031:DR1032)</f>
        <v>585</v>
      </c>
      <c r="DS1033" s="428">
        <f ca="1">+DR1033/DN1033-1</f>
        <v>4.4642857142857206E-2</v>
      </c>
      <c r="DT1033" s="1"/>
      <c r="DU1033" s="1"/>
      <c r="DV1033" s="1"/>
      <c r="DW1033" s="1"/>
      <c r="DX1033" s="1"/>
      <c r="DY1033" s="1"/>
      <c r="DZ1033" s="1"/>
      <c r="EA1033" s="1"/>
      <c r="EB1033" s="1"/>
      <c r="EC1033" s="1"/>
      <c r="ED1033" s="1"/>
      <c r="EE1033" s="1"/>
      <c r="EF1033" s="1"/>
      <c r="EG1033" s="1"/>
      <c r="EH1033" s="1"/>
      <c r="EI1033" s="1"/>
      <c r="EJ1033" s="1"/>
      <c r="EK1033" s="1"/>
      <c r="EL1033" s="1"/>
      <c r="EM1033" s="1"/>
      <c r="EN1033" s="1"/>
      <c r="EO1033" s="1"/>
      <c r="EP1033" s="1"/>
      <c r="EQ1033" s="1"/>
      <c r="ER1033" s="1"/>
      <c r="ES1033" s="1"/>
      <c r="ET1033" s="1"/>
      <c r="EU1033" s="1"/>
      <c r="EV1033" s="1"/>
      <c r="EW1033" s="1"/>
      <c r="EX1033" s="1"/>
      <c r="EY1033" s="1"/>
      <c r="EZ1033" s="1"/>
      <c r="FA1033" s="1"/>
      <c r="FB1033" s="1"/>
      <c r="FC1033" s="1"/>
      <c r="FD1033" s="1"/>
      <c r="FE1033" s="1"/>
      <c r="FF1033" s="1"/>
      <c r="FG1033" s="1"/>
      <c r="FH1033" s="1"/>
      <c r="FI1033" s="1"/>
      <c r="FJ1033" s="1"/>
      <c r="FK1033" s="1"/>
      <c r="FL1033" s="1"/>
      <c r="FM1033" s="1"/>
      <c r="FN1033" s="1"/>
      <c r="FO1033" s="1"/>
      <c r="FP1033" s="1"/>
      <c r="FQ1033" s="1"/>
      <c r="FR1033" s="1"/>
      <c r="FS1033" s="1"/>
      <c r="FT1033" s="1"/>
      <c r="FU1033" s="1"/>
      <c r="FV1033" s="1"/>
      <c r="FW1033" s="1"/>
      <c r="FX1033" s="1"/>
      <c r="FY1033" s="1"/>
      <c r="FZ1033" s="1"/>
      <c r="GA1033" s="1"/>
      <c r="GB1033" s="1"/>
      <c r="GC1033" s="1"/>
      <c r="GD1033" s="1"/>
      <c r="GE1033" s="1"/>
      <c r="GF1033" s="1"/>
      <c r="GG1033" s="1"/>
      <c r="GH1033" s="1"/>
      <c r="GI1033" s="1"/>
      <c r="GJ1033" s="1"/>
      <c r="GK1033" s="1"/>
      <c r="GL1033" s="1"/>
      <c r="GM1033" s="1"/>
      <c r="GN1033" s="1"/>
      <c r="GO1033" s="1"/>
      <c r="GP1033" s="1"/>
      <c r="GQ1033" s="1"/>
      <c r="GR1033" s="1"/>
      <c r="GS1033" s="1"/>
      <c r="GT1033" s="1"/>
      <c r="GU1033" s="1"/>
      <c r="GV1033" s="1"/>
      <c r="GW1033" s="1"/>
      <c r="GX1033" s="1"/>
      <c r="GY1033" s="1"/>
      <c r="GZ1033" s="1"/>
      <c r="HA1033" s="1"/>
      <c r="HB1033" s="1"/>
      <c r="HC1033" s="1"/>
      <c r="HD1033" s="1"/>
      <c r="HE1033" s="1"/>
      <c r="HF1033" s="1"/>
      <c r="HG1033" s="1"/>
      <c r="HH1033" s="1"/>
      <c r="HI1033" s="1"/>
      <c r="HJ1033" s="1"/>
      <c r="HK1033" s="1"/>
      <c r="HL1033" s="1"/>
      <c r="HM1033" s="1"/>
      <c r="HN1033" s="1"/>
      <c r="HO1033" s="1"/>
      <c r="HP1033" s="1"/>
      <c r="HQ1033" s="1"/>
      <c r="HR1033" s="1"/>
      <c r="HS1033" s="1"/>
      <c r="HT1033" s="1"/>
      <c r="HU1033" s="1"/>
      <c r="HV1033" s="1"/>
      <c r="HW1033" s="1"/>
      <c r="HX1033" s="1"/>
      <c r="HY1033" s="1"/>
      <c r="HZ1033" s="1"/>
      <c r="IA1033" s="1"/>
      <c r="IB1033" s="1"/>
      <c r="IC1033" s="1"/>
      <c r="ID1033" s="1"/>
      <c r="IE1033" s="1"/>
      <c r="IF1033" s="1"/>
      <c r="IG1033" s="1"/>
      <c r="IH1033" s="1"/>
      <c r="II1033" s="1"/>
      <c r="IJ1033" s="1"/>
      <c r="IK1033" s="1"/>
      <c r="IL1033" s="1"/>
      <c r="IM1033" s="1"/>
      <c r="IN1033" s="1"/>
      <c r="IO1033" s="1"/>
      <c r="IP1033" s="1"/>
      <c r="IQ1033" s="1"/>
      <c r="IR1033" s="1"/>
      <c r="IS1033" s="1"/>
      <c r="IT1033" s="1"/>
      <c r="IU1033" s="1"/>
      <c r="IV1033" s="1"/>
      <c r="IW1033" s="1"/>
      <c r="IX1033" s="1"/>
      <c r="IY1033" s="1"/>
      <c r="IZ1033" s="1"/>
      <c r="JA1033" s="1"/>
      <c r="JB1033" s="1"/>
      <c r="JC1033" s="1"/>
      <c r="JD1033" s="1"/>
    </row>
    <row r="1034" spans="1:264" s="347" customFormat="1" x14ac:dyDescent="0.2">
      <c r="A1034" s="347" t="s">
        <v>699</v>
      </c>
      <c r="B1034" s="348"/>
      <c r="BD1034" s="722">
        <f>+BD999</f>
        <v>0</v>
      </c>
      <c r="BE1034" s="722">
        <f>+BE999</f>
        <v>1592.2</v>
      </c>
      <c r="BF1034" s="351"/>
      <c r="BH1034" s="722">
        <f>+BH999</f>
        <v>1609.1808410000001</v>
      </c>
      <c r="BI1034" s="722">
        <f>+BI999</f>
        <v>1611.928836</v>
      </c>
      <c r="BJ1034" s="722">
        <f>BI1034</f>
        <v>1611.928836</v>
      </c>
      <c r="BK1034" s="348"/>
      <c r="BL1034" s="722">
        <f>+BL999</f>
        <v>1611.928836</v>
      </c>
      <c r="BM1034" s="722">
        <f>+BM999</f>
        <v>1621.3191939999999</v>
      </c>
      <c r="BN1034" s="351">
        <f>BM1034</f>
        <v>1621.3191939999999</v>
      </c>
      <c r="BO1034" s="348"/>
      <c r="BP1034" s="722">
        <f>+BP999</f>
        <v>1621.3191939999999</v>
      </c>
      <c r="BQ1034" s="722">
        <f>+BQ999</f>
        <v>1627.592713</v>
      </c>
      <c r="BR1034" s="351">
        <f>BQ1034</f>
        <v>1627.592713</v>
      </c>
      <c r="BT1034" s="722">
        <f>+BT999</f>
        <v>1707.5447140000001</v>
      </c>
      <c r="BU1034" s="722">
        <f>+BU999</f>
        <v>1715.1421769999999</v>
      </c>
      <c r="BV1034" s="351">
        <f>BU1034</f>
        <v>1715.1421769999999</v>
      </c>
      <c r="BX1034" s="722">
        <f>+BX999</f>
        <v>1723.1785090000001</v>
      </c>
      <c r="BY1034" s="722">
        <f>+BY999</f>
        <v>1729.8681610000001</v>
      </c>
      <c r="BZ1034" s="351">
        <f>BY1034</f>
        <v>1729.8681610000001</v>
      </c>
      <c r="CB1034" s="722">
        <f>+CB999</f>
        <v>1752.728198</v>
      </c>
      <c r="CC1034" s="722">
        <f>+CC999</f>
        <v>1759.84293</v>
      </c>
      <c r="CD1034" s="351">
        <f>CC1034</f>
        <v>1759.84293</v>
      </c>
      <c r="CF1034" s="722">
        <f>+CF999</f>
        <v>1770.239507</v>
      </c>
      <c r="CG1034" s="722">
        <f>+CG999</f>
        <v>1770.239507</v>
      </c>
      <c r="CH1034" s="351">
        <f>CG1034</f>
        <v>1770.239507</v>
      </c>
      <c r="CJ1034" s="722">
        <f>+CJ999</f>
        <v>1770.239507</v>
      </c>
      <c r="CK1034" s="722">
        <f>+CK999</f>
        <v>1770.239507</v>
      </c>
      <c r="CL1034" s="351">
        <f>CK1034</f>
        <v>1770.239507</v>
      </c>
      <c r="CN1034" s="722">
        <f>+CN999</f>
        <v>1774.0964100000001</v>
      </c>
      <c r="CO1034" s="722">
        <f>+CO999</f>
        <v>1774.0964100000001</v>
      </c>
      <c r="CP1034" s="351">
        <f>CO1034</f>
        <v>1774.0964100000001</v>
      </c>
      <c r="CR1034" s="722">
        <f>+CR999</f>
        <v>1706.391603</v>
      </c>
      <c r="CS1034" s="722">
        <f>+CS999</f>
        <v>1701.5384059999999</v>
      </c>
      <c r="CT1034" s="351">
        <f>CS1034</f>
        <v>1701.5384059999999</v>
      </c>
      <c r="CV1034" s="722">
        <f>+CV999</f>
        <v>1688.4141689999999</v>
      </c>
      <c r="CW1034" s="722">
        <f>+CW999</f>
        <v>1676.169322</v>
      </c>
      <c r="CX1034" s="351">
        <f>CW1034</f>
        <v>1676.169322</v>
      </c>
      <c r="CZ1034" s="722">
        <f>+CZ999</f>
        <v>1674.651934</v>
      </c>
      <c r="DA1034" s="722">
        <f>+DA999</f>
        <v>1673.5803579999999</v>
      </c>
      <c r="DB1034" s="351">
        <f>DA1034</f>
        <v>1673.5803579999999</v>
      </c>
      <c r="DD1034" s="722">
        <f>+DD999</f>
        <v>1673.462358</v>
      </c>
      <c r="DE1034" s="722">
        <f>+DE999</f>
        <v>1673.462358</v>
      </c>
      <c r="DF1034" s="351">
        <f>DE1034</f>
        <v>1673.462358</v>
      </c>
      <c r="DH1034" s="722">
        <f>+DH999</f>
        <v>1673.462358</v>
      </c>
      <c r="DI1034" s="722">
        <f>+DI999</f>
        <v>1673.462358</v>
      </c>
      <c r="DJ1034" s="351">
        <f>DI1034</f>
        <v>1673.462358</v>
      </c>
      <c r="DL1034" s="722">
        <f ca="1">+DL999</f>
        <v>1673.462358</v>
      </c>
      <c r="DM1034" s="722">
        <f ca="1">+DM999</f>
        <v>1673.462358</v>
      </c>
      <c r="DN1034" s="351">
        <f ca="1">DM1034</f>
        <v>1673.462358</v>
      </c>
      <c r="DP1034" s="722">
        <f ca="1">+DP999</f>
        <v>1673.462358</v>
      </c>
      <c r="DQ1034" s="722">
        <f ca="1">+DQ999</f>
        <v>1673.462358</v>
      </c>
      <c r="DR1034" s="351">
        <f ca="1">DQ1034</f>
        <v>1673.462358</v>
      </c>
      <c r="DT1034" s="1"/>
      <c r="DU1034" s="1"/>
      <c r="DV1034" s="1"/>
      <c r="DW1034" s="1"/>
      <c r="DX1034" s="1"/>
      <c r="DY1034" s="1"/>
      <c r="DZ1034" s="1"/>
      <c r="EA1034" s="1"/>
      <c r="EB1034" s="1"/>
      <c r="EC1034" s="1"/>
      <c r="ED1034" s="1"/>
      <c r="EE1034" s="1"/>
      <c r="EF1034" s="1"/>
      <c r="EG1034" s="1"/>
      <c r="EH1034" s="1"/>
      <c r="EI1034" s="1"/>
      <c r="EJ1034" s="1"/>
      <c r="EK1034" s="1"/>
      <c r="EL1034" s="1"/>
      <c r="EM1034" s="1"/>
      <c r="EN1034" s="1"/>
      <c r="EO1034" s="1"/>
      <c r="EP1034" s="1"/>
      <c r="EQ1034" s="1"/>
      <c r="ER1034" s="1"/>
      <c r="ES1034" s="1"/>
      <c r="ET1034" s="1"/>
      <c r="EU1034" s="1"/>
      <c r="EV1034" s="1"/>
      <c r="EW1034" s="1"/>
      <c r="EX1034" s="1"/>
      <c r="EY1034" s="1"/>
      <c r="EZ1034" s="1"/>
      <c r="FA1034" s="1"/>
      <c r="FB1034" s="1"/>
      <c r="FC1034" s="1"/>
      <c r="FD1034" s="1"/>
      <c r="FE1034" s="1"/>
      <c r="FF1034" s="1"/>
      <c r="FG1034" s="1"/>
      <c r="FH1034" s="1"/>
      <c r="FI1034" s="1"/>
      <c r="FJ1034" s="1"/>
      <c r="FK1034" s="1"/>
      <c r="FL1034" s="1"/>
      <c r="FM1034" s="1"/>
      <c r="FN1034" s="1"/>
      <c r="FO1034" s="1"/>
      <c r="FP1034" s="1"/>
      <c r="FQ1034" s="1"/>
      <c r="FR1034" s="1"/>
      <c r="FS1034" s="1"/>
      <c r="FT1034" s="1"/>
      <c r="FU1034" s="1"/>
      <c r="FV1034" s="1"/>
      <c r="FW1034" s="1"/>
      <c r="FX1034" s="1"/>
      <c r="FY1034" s="1"/>
      <c r="FZ1034" s="1"/>
      <c r="GA1034" s="1"/>
      <c r="GB1034" s="1"/>
      <c r="GC1034" s="1"/>
      <c r="GD1034" s="1"/>
      <c r="GE1034" s="1"/>
      <c r="GF1034" s="1"/>
      <c r="GG1034" s="1"/>
      <c r="GH1034" s="1"/>
      <c r="GI1034" s="1"/>
      <c r="GJ1034" s="1"/>
      <c r="GK1034" s="1"/>
      <c r="GL1034" s="1"/>
      <c r="GM1034" s="1"/>
      <c r="GN1034" s="1"/>
      <c r="GO1034" s="1"/>
      <c r="GP1034" s="1"/>
      <c r="GQ1034" s="1"/>
      <c r="GR1034" s="1"/>
      <c r="GS1034" s="1"/>
      <c r="GT1034" s="1"/>
      <c r="GU1034" s="1"/>
      <c r="GV1034" s="1"/>
      <c r="GW1034" s="1"/>
      <c r="GX1034" s="1"/>
      <c r="GY1034" s="1"/>
      <c r="GZ1034" s="1"/>
      <c r="HA1034" s="1"/>
      <c r="HB1034" s="1"/>
      <c r="HC1034" s="1"/>
      <c r="HD1034" s="1"/>
      <c r="HE1034" s="1"/>
      <c r="HF1034" s="1"/>
      <c r="HG1034" s="1"/>
      <c r="HH1034" s="1"/>
      <c r="HI1034" s="1"/>
      <c r="HJ1034" s="1"/>
      <c r="HK1034" s="1"/>
      <c r="HL1034" s="1"/>
      <c r="HM1034" s="1"/>
      <c r="HN1034" s="1"/>
      <c r="HO1034" s="1"/>
      <c r="HP1034" s="1"/>
      <c r="HQ1034" s="1"/>
      <c r="HR1034" s="1"/>
      <c r="HS1034" s="1"/>
      <c r="HT1034" s="1"/>
      <c r="HU1034" s="1"/>
      <c r="HV1034" s="1"/>
      <c r="HW1034" s="1"/>
      <c r="HX1034" s="1"/>
      <c r="HY1034" s="1"/>
      <c r="HZ1034" s="1"/>
      <c r="IA1034" s="1"/>
      <c r="IB1034" s="1"/>
      <c r="IC1034" s="1"/>
      <c r="ID1034" s="1"/>
      <c r="IE1034" s="1"/>
      <c r="IF1034" s="1"/>
      <c r="IG1034" s="1"/>
      <c r="IH1034" s="1"/>
      <c r="II1034" s="1"/>
      <c r="IJ1034" s="1"/>
      <c r="IK1034" s="1"/>
      <c r="IL1034" s="1"/>
      <c r="IM1034" s="1"/>
      <c r="IN1034" s="1"/>
      <c r="IO1034" s="1"/>
      <c r="IP1034" s="1"/>
      <c r="IQ1034" s="1"/>
      <c r="IR1034" s="1"/>
      <c r="IS1034" s="1"/>
      <c r="IT1034" s="1"/>
      <c r="IU1034" s="1"/>
      <c r="IV1034" s="1"/>
      <c r="IW1034" s="1"/>
      <c r="IX1034" s="1"/>
      <c r="IY1034" s="1"/>
      <c r="IZ1034" s="1"/>
      <c r="JA1034" s="1"/>
      <c r="JB1034" s="1"/>
      <c r="JC1034" s="1"/>
      <c r="JD1034" s="1"/>
    </row>
    <row r="1035" spans="1:264" s="347" customFormat="1" x14ac:dyDescent="0.2">
      <c r="A1035" s="347" t="s">
        <v>700</v>
      </c>
      <c r="B1035" s="348"/>
      <c r="BD1035" s="351">
        <f>+BD1031*BD1034/100</f>
        <v>0</v>
      </c>
      <c r="BE1035" s="351">
        <f>+BE1031*BE1034/100</f>
        <v>3136.634</v>
      </c>
      <c r="BF1035" s="351">
        <f>+BE1035+BD1035</f>
        <v>3136.634</v>
      </c>
      <c r="BH1035" s="351">
        <f>+BH1031*BH1034/100</f>
        <v>2639.0565792399998</v>
      </c>
      <c r="BI1035" s="351">
        <f>+BI1031*BI1034/100</f>
        <v>3223.8576720000001</v>
      </c>
      <c r="BJ1035" s="351">
        <f>+BI1035+BH1035</f>
        <v>5862.9142512399994</v>
      </c>
      <c r="BK1035" s="348"/>
      <c r="BL1035" s="351">
        <f>+BL1031*BL1034/100</f>
        <v>2949.8297698799997</v>
      </c>
      <c r="BM1035" s="351">
        <f>+BM1031*BM1034/100</f>
        <v>3534.4758429199996</v>
      </c>
      <c r="BN1035" s="351">
        <f>+BM1035+BL1035</f>
        <v>6484.3056127999989</v>
      </c>
      <c r="BO1035" s="348"/>
      <c r="BP1035" s="351">
        <f>+BP1031*BP1034/100</f>
        <v>3210.2120041200001</v>
      </c>
      <c r="BQ1035" s="351">
        <f>+BQ1031*BQ1034/100</f>
        <v>3613.2558228600001</v>
      </c>
      <c r="BR1035" s="351">
        <f>+BQ1035+BP1035</f>
        <v>6823.4678269800006</v>
      </c>
      <c r="BT1035" s="351">
        <f>+BT1031*BT1034/100</f>
        <v>3380.9385337200006</v>
      </c>
      <c r="BU1035" s="351">
        <f>+BU1031*BU1034/100</f>
        <v>3807.6156329400001</v>
      </c>
      <c r="BV1035" s="351">
        <f>+BU1035+BT1035</f>
        <v>7188.5541666600002</v>
      </c>
      <c r="BX1035" s="351">
        <f>+BX1031*BX1034/100</f>
        <v>3429.1252329099998</v>
      </c>
      <c r="BY1035" s="351">
        <f>+BY1031*BY1034/100</f>
        <v>3978.6967703</v>
      </c>
      <c r="BZ1035" s="351">
        <f>+BY1035+BX1035</f>
        <v>7407.8220032099998</v>
      </c>
      <c r="CB1035" s="351">
        <f>+CB1031*CB1034/100</f>
        <v>3505.456396</v>
      </c>
      <c r="CC1035" s="351">
        <f>+CC1031*CC1034/100</f>
        <v>4065.2371683000001</v>
      </c>
      <c r="CD1035" s="351">
        <f>+CC1035+CB1035</f>
        <v>7570.6935642999997</v>
      </c>
      <c r="CF1035" s="351">
        <f>+CF1031*CF1034/100</f>
        <v>3540.4790139999996</v>
      </c>
      <c r="CG1035" s="351">
        <f>+CG1031*CG1034/100</f>
        <v>4089.2532611700003</v>
      </c>
      <c r="CH1035" s="351">
        <f>+CG1035+CF1035</f>
        <v>7629.7322751699994</v>
      </c>
      <c r="CJ1035" s="351">
        <f>+CJ1031*CJ1034/100</f>
        <v>3540.4790139999996</v>
      </c>
      <c r="CK1035" s="351">
        <f>+CK1031*CK1034/100</f>
        <v>1734.8347168600001</v>
      </c>
      <c r="CL1035" s="351">
        <f>+CK1035+CJ1035</f>
        <v>5275.3137308599999</v>
      </c>
      <c r="CN1035" s="351">
        <f>+CN1031*CN1034/100</f>
        <v>2661.1446150000002</v>
      </c>
      <c r="CO1035" s="351">
        <f>+CO1031*CO1034/100</f>
        <v>3548.1928200000002</v>
      </c>
      <c r="CP1035" s="351">
        <f>+CO1035+CN1035</f>
        <v>6209.3374350000004</v>
      </c>
      <c r="CR1035" s="351">
        <f>+CR1031*CR1034/100</f>
        <v>2986.1853052500001</v>
      </c>
      <c r="CS1035" s="351">
        <f>+CS1031*CS1034/100</f>
        <v>3573.2306526000002</v>
      </c>
      <c r="CT1035" s="351">
        <f>+CS1035+CR1035</f>
        <v>6559.4159578500003</v>
      </c>
      <c r="CV1035" s="351">
        <f>+CV1031*CV1034/100</f>
        <v>3545.6697549</v>
      </c>
      <c r="CW1035" s="351">
        <f>+CW1031*CW1034/100</f>
        <v>4022.8063727999997</v>
      </c>
      <c r="CX1035" s="351">
        <f>+CW1035+CV1035</f>
        <v>7568.4761276999998</v>
      </c>
      <c r="CZ1035" s="351">
        <f>+CZ1031*CZ1034/100</f>
        <v>3600.5016581</v>
      </c>
      <c r="DA1035" s="351">
        <f>+DA1031*DA1034/100</f>
        <v>4183.9508949999999</v>
      </c>
      <c r="DB1035" s="351">
        <f>+DA1035+CZ1035</f>
        <v>7784.4525530999999</v>
      </c>
      <c r="DD1035" s="351">
        <f>+DD1031*DD1034/100</f>
        <v>3765.2903055000002</v>
      </c>
      <c r="DE1035" s="351">
        <f>+DE1031*DE1034/100</f>
        <v>4351.0021308000005</v>
      </c>
      <c r="DF1035" s="351">
        <f>+DE1035+DD1035</f>
        <v>8116.2924363000002</v>
      </c>
      <c r="DH1035" s="351">
        <f>+DH1031*DH1034/100</f>
        <v>3932.6365412999999</v>
      </c>
      <c r="DI1035" s="351">
        <f>+DI1039*DI1038</f>
        <v>4679.7116212110777</v>
      </c>
      <c r="DJ1035" s="351">
        <f>+DI1035+DH1035</f>
        <v>8612.348162511078</v>
      </c>
      <c r="DL1035" s="351">
        <f>+DL1039*DL1038</f>
        <v>4349.502116753406</v>
      </c>
      <c r="DM1035" s="351">
        <f>+DM1039*DM1038</f>
        <v>5017.7248093955541</v>
      </c>
      <c r="DN1035" s="351">
        <f>+DM1035+DL1035</f>
        <v>9367.22692614896</v>
      </c>
      <c r="DP1035" s="351">
        <f>+DP1039*DP1038</f>
        <v>4511.4333574327238</v>
      </c>
      <c r="DQ1035" s="351">
        <f>+DQ1039*DQ1038</f>
        <v>5276.0453212597176</v>
      </c>
      <c r="DR1035" s="351">
        <f>+DQ1035+DP1035</f>
        <v>9787.4786786924415</v>
      </c>
      <c r="DT1035" s="1"/>
      <c r="DU1035" s="1"/>
      <c r="DV1035" s="1"/>
      <c r="DW1035" s="1"/>
      <c r="DX1035" s="1"/>
      <c r="DY1035" s="1"/>
      <c r="DZ1035" s="1"/>
      <c r="EA1035" s="1"/>
      <c r="EB1035" s="1"/>
      <c r="EC1035" s="1"/>
      <c r="ED1035" s="1"/>
      <c r="EE1035" s="1"/>
      <c r="EF1035" s="1"/>
      <c r="EG1035" s="1"/>
      <c r="EH1035" s="1"/>
      <c r="EI1035" s="1"/>
      <c r="EJ1035" s="1"/>
      <c r="EK1035" s="1"/>
      <c r="EL1035" s="1"/>
      <c r="EM1035" s="1"/>
      <c r="EN1035" s="1"/>
      <c r="EO1035" s="1"/>
      <c r="EP1035" s="1"/>
      <c r="EQ1035" s="1"/>
      <c r="ER1035" s="1"/>
      <c r="ES1035" s="1"/>
      <c r="ET1035" s="1"/>
      <c r="EU1035" s="1"/>
      <c r="EV1035" s="1"/>
      <c r="EW1035" s="1"/>
      <c r="EX1035" s="1"/>
      <c r="EY1035" s="1"/>
      <c r="EZ1035" s="1"/>
      <c r="FA1035" s="1"/>
      <c r="FB1035" s="1"/>
      <c r="FC1035" s="1"/>
      <c r="FD1035" s="1"/>
      <c r="FE1035" s="1"/>
      <c r="FF1035" s="1"/>
      <c r="FG1035" s="1"/>
      <c r="FH1035" s="1"/>
      <c r="FI1035" s="1"/>
      <c r="FJ1035" s="1"/>
      <c r="FK1035" s="1"/>
      <c r="FL1035" s="1"/>
      <c r="FM1035" s="1"/>
      <c r="FN1035" s="1"/>
      <c r="FO1035" s="1"/>
      <c r="FP1035" s="1"/>
      <c r="FQ1035" s="1"/>
      <c r="FR1035" s="1"/>
      <c r="FS1035" s="1"/>
      <c r="FT1035" s="1"/>
      <c r="FU1035" s="1"/>
      <c r="FV1035" s="1"/>
      <c r="FW1035" s="1"/>
      <c r="FX1035" s="1"/>
      <c r="FY1035" s="1"/>
      <c r="FZ1035" s="1"/>
      <c r="GA1035" s="1"/>
      <c r="GB1035" s="1"/>
      <c r="GC1035" s="1"/>
      <c r="GD1035" s="1"/>
      <c r="GE1035" s="1"/>
      <c r="GF1035" s="1"/>
      <c r="GG1035" s="1"/>
      <c r="GH1035" s="1"/>
      <c r="GI1035" s="1"/>
      <c r="GJ1035" s="1"/>
      <c r="GK1035" s="1"/>
      <c r="GL1035" s="1"/>
      <c r="GM1035" s="1"/>
      <c r="GN1035" s="1"/>
      <c r="GO1035" s="1"/>
      <c r="GP1035" s="1"/>
      <c r="GQ1035" s="1"/>
      <c r="GR1035" s="1"/>
      <c r="GS1035" s="1"/>
      <c r="GT1035" s="1"/>
      <c r="GU1035" s="1"/>
      <c r="GV1035" s="1"/>
      <c r="GW1035" s="1"/>
      <c r="GX1035" s="1"/>
      <c r="GY1035" s="1"/>
      <c r="GZ1035" s="1"/>
      <c r="HA1035" s="1"/>
      <c r="HB1035" s="1"/>
      <c r="HC1035" s="1"/>
      <c r="HD1035" s="1"/>
      <c r="HE1035" s="1"/>
      <c r="HF1035" s="1"/>
      <c r="HG1035" s="1"/>
      <c r="HH1035" s="1"/>
      <c r="HI1035" s="1"/>
      <c r="HJ1035" s="1"/>
      <c r="HK1035" s="1"/>
      <c r="HL1035" s="1"/>
      <c r="HM1035" s="1"/>
      <c r="HN1035" s="1"/>
      <c r="HO1035" s="1"/>
      <c r="HP1035" s="1"/>
      <c r="HQ1035" s="1"/>
      <c r="HR1035" s="1"/>
      <c r="HS1035" s="1"/>
      <c r="HT1035" s="1"/>
      <c r="HU1035" s="1"/>
      <c r="HV1035" s="1"/>
      <c r="HW1035" s="1"/>
      <c r="HX1035" s="1"/>
      <c r="HY1035" s="1"/>
      <c r="HZ1035" s="1"/>
      <c r="IA1035" s="1"/>
      <c r="IB1035" s="1"/>
      <c r="IC1035" s="1"/>
      <c r="ID1035" s="1"/>
      <c r="IE1035" s="1"/>
      <c r="IF1035" s="1"/>
      <c r="IG1035" s="1"/>
      <c r="IH1035" s="1"/>
      <c r="II1035" s="1"/>
      <c r="IJ1035" s="1"/>
      <c r="IK1035" s="1"/>
      <c r="IL1035" s="1"/>
      <c r="IM1035" s="1"/>
      <c r="IN1035" s="1"/>
      <c r="IO1035" s="1"/>
      <c r="IP1035" s="1"/>
      <c r="IQ1035" s="1"/>
      <c r="IR1035" s="1"/>
      <c r="IS1035" s="1"/>
      <c r="IT1035" s="1"/>
      <c r="IU1035" s="1"/>
      <c r="IV1035" s="1"/>
      <c r="IW1035" s="1"/>
      <c r="IX1035" s="1"/>
      <c r="IY1035" s="1"/>
      <c r="IZ1035" s="1"/>
      <c r="JA1035" s="1"/>
      <c r="JB1035" s="1"/>
      <c r="JC1035" s="1"/>
      <c r="JD1035" s="1"/>
    </row>
    <row r="1036" spans="1:264" s="347" customFormat="1" x14ac:dyDescent="0.2">
      <c r="A1036" s="347" t="s">
        <v>701</v>
      </c>
      <c r="B1036" s="348"/>
      <c r="BD1036" s="351">
        <f>+BD1032*BD1034/100</f>
        <v>0</v>
      </c>
      <c r="BE1036" s="351">
        <f>+BE1032*BE1034/100</f>
        <v>0</v>
      </c>
      <c r="BF1036" s="351">
        <f>+BE1036+BD1036</f>
        <v>0</v>
      </c>
      <c r="BH1036" s="351">
        <f>+BH1032*BH1034/100</f>
        <v>0</v>
      </c>
      <c r="BI1036" s="351">
        <f>+BI1032*BI1034/100</f>
        <v>0</v>
      </c>
      <c r="BJ1036" s="351">
        <f>+BI1036+BH1036</f>
        <v>0</v>
      </c>
      <c r="BK1036" s="348"/>
      <c r="BL1036" s="351">
        <f>+BL1032*BL1034/100</f>
        <v>0</v>
      </c>
      <c r="BM1036" s="351">
        <f>+BM1032*BM1034/100</f>
        <v>0</v>
      </c>
      <c r="BN1036" s="351">
        <f>+BM1036+BL1036</f>
        <v>0</v>
      </c>
      <c r="BO1036" s="348"/>
      <c r="BP1036" s="351">
        <f>+BP1032*BP1034/100</f>
        <v>0</v>
      </c>
      <c r="BQ1036" s="351">
        <f>+BQ1032*BQ1034/100</f>
        <v>0</v>
      </c>
      <c r="BR1036" s="351">
        <f>+BQ1036+BP1036</f>
        <v>0</v>
      </c>
      <c r="BT1036" s="351">
        <f>+BT1032*BT1034/100</f>
        <v>0</v>
      </c>
      <c r="BU1036" s="351">
        <f>+BU1032*BU1034/100</f>
        <v>0</v>
      </c>
      <c r="BV1036" s="351">
        <f>+BU1036+BT1036</f>
        <v>0</v>
      </c>
      <c r="BX1036" s="351">
        <f>+BX1032*BX1034/100</f>
        <v>0</v>
      </c>
      <c r="BY1036" s="351">
        <f>+BY1032*BY1034/100</f>
        <v>0</v>
      </c>
      <c r="BZ1036" s="351">
        <f>+BY1036+BX1036</f>
        <v>0</v>
      </c>
      <c r="CB1036" s="351">
        <f>+CB1032*CB1034/100</f>
        <v>0</v>
      </c>
      <c r="CC1036" s="351">
        <f>+CC1032*CC1034/100</f>
        <v>0</v>
      </c>
      <c r="CD1036" s="351">
        <f>+CC1036+CB1036</f>
        <v>0</v>
      </c>
      <c r="CF1036" s="351">
        <f>+CF1032*CF1034/100</f>
        <v>0</v>
      </c>
      <c r="CG1036" s="351">
        <f>+CG1032*CG1034/100</f>
        <v>0</v>
      </c>
      <c r="CH1036" s="351">
        <f>+CG1036+CF1036</f>
        <v>0</v>
      </c>
      <c r="CJ1036" s="351">
        <f>+CJ1032*CJ1034/100</f>
        <v>0</v>
      </c>
      <c r="CK1036" s="351">
        <f>+CK1032*CK1034/100</f>
        <v>0</v>
      </c>
      <c r="CL1036" s="351">
        <f>+CK1036+CJ1036</f>
        <v>0</v>
      </c>
      <c r="CN1036" s="351">
        <f>+CN1032*CN1034/100</f>
        <v>0</v>
      </c>
      <c r="CO1036" s="351">
        <f>+CO1032*CO1034/100</f>
        <v>0</v>
      </c>
      <c r="CP1036" s="351">
        <f>+CO1036+CN1036</f>
        <v>0</v>
      </c>
      <c r="CR1036" s="351">
        <f>+CR1032*CR1034/100</f>
        <v>0</v>
      </c>
      <c r="CS1036" s="351">
        <f>+CS1032*CS1034/100</f>
        <v>0</v>
      </c>
      <c r="CT1036" s="351">
        <f>+CS1036+CR1036</f>
        <v>0</v>
      </c>
      <c r="CV1036" s="351">
        <f>+CV1032*CV1034/100</f>
        <v>0</v>
      </c>
      <c r="CW1036" s="351">
        <f>+CW1032*CW1034/100</f>
        <v>0</v>
      </c>
      <c r="CX1036" s="351">
        <f>+CW1036+CV1036</f>
        <v>0</v>
      </c>
      <c r="CZ1036" s="351">
        <f>+CZ1032*CZ1034/100</f>
        <v>0</v>
      </c>
      <c r="DA1036" s="351">
        <f>+DA1032*DA1034/100</f>
        <v>0</v>
      </c>
      <c r="DB1036" s="351">
        <f>+DA1036+CZ1036</f>
        <v>0</v>
      </c>
      <c r="DD1036" s="351">
        <f>+DD1032*DD1034/100</f>
        <v>0</v>
      </c>
      <c r="DE1036" s="351">
        <f>+DE1032*DE1034/100</f>
        <v>0</v>
      </c>
      <c r="DF1036" s="351">
        <f>+DE1036+DD1036</f>
        <v>0</v>
      </c>
      <c r="DH1036" s="351">
        <f>+DH1032*DH1034/100</f>
        <v>0</v>
      </c>
      <c r="DI1036" s="351">
        <f>+DI1038*DI1040</f>
        <v>0</v>
      </c>
      <c r="DJ1036" s="351">
        <f>+DI1036+DH1036</f>
        <v>0</v>
      </c>
      <c r="DL1036" s="351">
        <f>+DL1038*DL1040</f>
        <v>0</v>
      </c>
      <c r="DM1036" s="351">
        <f>+DM1038*DM1040</f>
        <v>0</v>
      </c>
      <c r="DN1036" s="351">
        <f>+DM1036+DL1036</f>
        <v>0</v>
      </c>
      <c r="DP1036" s="351">
        <f>+DP1038*DP1040</f>
        <v>0</v>
      </c>
      <c r="DQ1036" s="351">
        <f>+DQ1038*DQ1040</f>
        <v>0</v>
      </c>
      <c r="DR1036" s="351">
        <f>+DQ1036+DP1036</f>
        <v>0</v>
      </c>
      <c r="DT1036" s="1"/>
      <c r="DU1036" s="1"/>
      <c r="DV1036" s="1"/>
      <c r="DW1036" s="1"/>
      <c r="DX1036" s="1"/>
      <c r="DY1036" s="1"/>
      <c r="DZ1036" s="1"/>
      <c r="EA1036" s="1"/>
      <c r="EB1036" s="1"/>
      <c r="EC1036" s="1"/>
      <c r="ED1036" s="1"/>
      <c r="EE1036" s="1"/>
      <c r="EF1036" s="1"/>
      <c r="EG1036" s="1"/>
      <c r="EH1036" s="1"/>
      <c r="EI1036" s="1"/>
      <c r="EJ1036" s="1"/>
      <c r="EK1036" s="1"/>
      <c r="EL1036" s="1"/>
      <c r="EM1036" s="1"/>
      <c r="EN1036" s="1"/>
      <c r="EO1036" s="1"/>
      <c r="EP1036" s="1"/>
      <c r="EQ1036" s="1"/>
      <c r="ER1036" s="1"/>
      <c r="ES1036" s="1"/>
      <c r="ET1036" s="1"/>
      <c r="EU1036" s="1"/>
      <c r="EV1036" s="1"/>
      <c r="EW1036" s="1"/>
      <c r="EX1036" s="1"/>
      <c r="EY1036" s="1"/>
      <c r="EZ1036" s="1"/>
      <c r="FA1036" s="1"/>
      <c r="FB1036" s="1"/>
      <c r="FC1036" s="1"/>
      <c r="FD1036" s="1"/>
      <c r="FE1036" s="1"/>
      <c r="FF1036" s="1"/>
      <c r="FG1036" s="1"/>
      <c r="FH1036" s="1"/>
      <c r="FI1036" s="1"/>
      <c r="FJ1036" s="1"/>
      <c r="FK1036" s="1"/>
      <c r="FL1036" s="1"/>
      <c r="FM1036" s="1"/>
      <c r="FN1036" s="1"/>
      <c r="FO1036" s="1"/>
      <c r="FP1036" s="1"/>
      <c r="FQ1036" s="1"/>
      <c r="FR1036" s="1"/>
      <c r="FS1036" s="1"/>
      <c r="FT1036" s="1"/>
      <c r="FU1036" s="1"/>
      <c r="FV1036" s="1"/>
      <c r="FW1036" s="1"/>
      <c r="FX1036" s="1"/>
      <c r="FY1036" s="1"/>
      <c r="FZ1036" s="1"/>
      <c r="GA1036" s="1"/>
      <c r="GB1036" s="1"/>
      <c r="GC1036" s="1"/>
      <c r="GD1036" s="1"/>
      <c r="GE1036" s="1"/>
      <c r="GF1036" s="1"/>
      <c r="GG1036" s="1"/>
      <c r="GH1036" s="1"/>
      <c r="GI1036" s="1"/>
      <c r="GJ1036" s="1"/>
      <c r="GK1036" s="1"/>
      <c r="GL1036" s="1"/>
      <c r="GM1036" s="1"/>
      <c r="GN1036" s="1"/>
      <c r="GO1036" s="1"/>
      <c r="GP1036" s="1"/>
      <c r="GQ1036" s="1"/>
      <c r="GR1036" s="1"/>
      <c r="GS1036" s="1"/>
      <c r="GT1036" s="1"/>
      <c r="GU1036" s="1"/>
      <c r="GV1036" s="1"/>
      <c r="GW1036" s="1"/>
      <c r="GX1036" s="1"/>
      <c r="GY1036" s="1"/>
      <c r="GZ1036" s="1"/>
      <c r="HA1036" s="1"/>
      <c r="HB1036" s="1"/>
      <c r="HC1036" s="1"/>
      <c r="HD1036" s="1"/>
      <c r="HE1036" s="1"/>
      <c r="HF1036" s="1"/>
      <c r="HG1036" s="1"/>
      <c r="HH1036" s="1"/>
      <c r="HI1036" s="1"/>
      <c r="HJ1036" s="1"/>
      <c r="HK1036" s="1"/>
      <c r="HL1036" s="1"/>
      <c r="HM1036" s="1"/>
      <c r="HN1036" s="1"/>
      <c r="HO1036" s="1"/>
      <c r="HP1036" s="1"/>
      <c r="HQ1036" s="1"/>
      <c r="HR1036" s="1"/>
      <c r="HS1036" s="1"/>
      <c r="HT1036" s="1"/>
      <c r="HU1036" s="1"/>
      <c r="HV1036" s="1"/>
      <c r="HW1036" s="1"/>
      <c r="HX1036" s="1"/>
      <c r="HY1036" s="1"/>
      <c r="HZ1036" s="1"/>
      <c r="IA1036" s="1"/>
      <c r="IB1036" s="1"/>
      <c r="IC1036" s="1"/>
      <c r="ID1036" s="1"/>
      <c r="IE1036" s="1"/>
      <c r="IF1036" s="1"/>
      <c r="IG1036" s="1"/>
      <c r="IH1036" s="1"/>
      <c r="II1036" s="1"/>
      <c r="IJ1036" s="1"/>
      <c r="IK1036" s="1"/>
      <c r="IL1036" s="1"/>
      <c r="IM1036" s="1"/>
      <c r="IN1036" s="1"/>
      <c r="IO1036" s="1"/>
      <c r="IP1036" s="1"/>
      <c r="IQ1036" s="1"/>
      <c r="IR1036" s="1"/>
      <c r="IS1036" s="1"/>
      <c r="IT1036" s="1"/>
      <c r="IU1036" s="1"/>
      <c r="IV1036" s="1"/>
      <c r="IW1036" s="1"/>
      <c r="IX1036" s="1"/>
      <c r="IY1036" s="1"/>
      <c r="IZ1036" s="1"/>
      <c r="JA1036" s="1"/>
      <c r="JB1036" s="1"/>
      <c r="JC1036" s="1"/>
      <c r="JD1036" s="1"/>
    </row>
    <row r="1037" spans="1:264" s="411" customFormat="1" x14ac:dyDescent="0.2">
      <c r="A1037" s="411" t="s">
        <v>702</v>
      </c>
      <c r="B1037" s="423"/>
      <c r="BD1037" s="397">
        <f>SUM(BD1035:BD1036)</f>
        <v>0</v>
      </c>
      <c r="BE1037" s="397">
        <f>SUM(BE1035:BE1036)</f>
        <v>3136.634</v>
      </c>
      <c r="BF1037" s="397">
        <f>SUM(BF1035:BF1036)</f>
        <v>3136.634</v>
      </c>
      <c r="BH1037" s="397">
        <f>SUM(BH1035:BH1036)</f>
        <v>2639.0565792399998</v>
      </c>
      <c r="BI1037" s="397">
        <f>SUM(BI1035:BI1036)</f>
        <v>3223.8576720000001</v>
      </c>
      <c r="BJ1037" s="397">
        <f>SUM(BJ1035:BJ1036)</f>
        <v>5862.9142512399994</v>
      </c>
      <c r="BK1037" s="423"/>
      <c r="BL1037" s="397">
        <f>SUM(BL1035:BL1036)</f>
        <v>2949.8297698799997</v>
      </c>
      <c r="BM1037" s="397">
        <f>SUM(BM1035:BM1036)</f>
        <v>3534.4758429199996</v>
      </c>
      <c r="BN1037" s="397">
        <f>SUM(BN1035:BN1036)</f>
        <v>6484.3056127999989</v>
      </c>
      <c r="BO1037" s="423"/>
      <c r="BP1037" s="397">
        <f>SUM(BP1035:BP1036)</f>
        <v>3210.2120041200001</v>
      </c>
      <c r="BQ1037" s="397">
        <f>SUM(BQ1035:BQ1036)</f>
        <v>3613.2558228600001</v>
      </c>
      <c r="BR1037" s="397">
        <f>SUM(BR1035:BR1036)</f>
        <v>6823.4678269800006</v>
      </c>
      <c r="BT1037" s="397">
        <f>SUM(BT1035:BT1036)</f>
        <v>3380.9385337200006</v>
      </c>
      <c r="BU1037" s="397">
        <f>SUM(BU1035:BU1036)</f>
        <v>3807.6156329400001</v>
      </c>
      <c r="BV1037" s="397">
        <f>SUM(BV1035:BV1036)</f>
        <v>7188.5541666600002</v>
      </c>
      <c r="BX1037" s="397">
        <f>SUM(BX1035:BX1036)</f>
        <v>3429.1252329099998</v>
      </c>
      <c r="BY1037" s="397">
        <f>SUM(BY1035:BY1036)</f>
        <v>3978.6967703</v>
      </c>
      <c r="BZ1037" s="397">
        <f>SUM(BZ1035:BZ1036)</f>
        <v>7407.8220032099998</v>
      </c>
      <c r="CB1037" s="397">
        <f>SUM(CB1035:CB1036)</f>
        <v>3505.456396</v>
      </c>
      <c r="CC1037" s="397">
        <f>SUM(CC1035:CC1036)</f>
        <v>4065.2371683000001</v>
      </c>
      <c r="CD1037" s="397">
        <f>SUM(CD1035:CD1036)</f>
        <v>7570.6935642999997</v>
      </c>
      <c r="CF1037" s="397">
        <f>SUM(CF1035:CF1036)</f>
        <v>3540.4790139999996</v>
      </c>
      <c r="CG1037" s="397">
        <f>SUM(CG1035:CG1036)</f>
        <v>4089.2532611700003</v>
      </c>
      <c r="CH1037" s="397">
        <f>SUM(CH1035:CH1036)</f>
        <v>7629.7322751699994</v>
      </c>
      <c r="CJ1037" s="397">
        <f>SUM(CJ1035:CJ1036)</f>
        <v>3540.4790139999996</v>
      </c>
      <c r="CK1037" s="397">
        <f>SUM(CK1035:CK1036)</f>
        <v>1734.8347168600001</v>
      </c>
      <c r="CL1037" s="397">
        <f>SUM(CL1035:CL1036)</f>
        <v>5275.3137308599999</v>
      </c>
      <c r="CN1037" s="397">
        <f>SUM(CN1035:CN1036)</f>
        <v>2661.1446150000002</v>
      </c>
      <c r="CO1037" s="397">
        <f>SUM(CO1035:CO1036)</f>
        <v>3548.1928200000002</v>
      </c>
      <c r="CP1037" s="397">
        <f>SUM(CP1035:CP1036)</f>
        <v>6209.3374350000004</v>
      </c>
      <c r="CR1037" s="397">
        <f>SUM(CR1035:CR1036)</f>
        <v>2986.1853052500001</v>
      </c>
      <c r="CS1037" s="397">
        <f>SUM(CS1035:CS1036)</f>
        <v>3573.2306526000002</v>
      </c>
      <c r="CT1037" s="397">
        <f>SUM(CT1035:CT1036)</f>
        <v>6559.4159578500003</v>
      </c>
      <c r="CV1037" s="397">
        <f>SUM(CV1035:CV1036)</f>
        <v>3545.6697549</v>
      </c>
      <c r="CW1037" s="397">
        <f>SUM(CW1035:CW1036)</f>
        <v>4022.8063727999997</v>
      </c>
      <c r="CX1037" s="397">
        <f>SUM(CX1035:CX1036)</f>
        <v>7568.4761276999998</v>
      </c>
      <c r="CZ1037" s="397">
        <f>SUM(CZ1035:CZ1036)</f>
        <v>3600.5016581</v>
      </c>
      <c r="DA1037" s="397">
        <f>SUM(DA1035:DA1036)</f>
        <v>4183.9508949999999</v>
      </c>
      <c r="DB1037" s="397">
        <f>SUM(DB1035:DB1036)</f>
        <v>7784.4525530999999</v>
      </c>
      <c r="DD1037" s="397">
        <f>SUM(DD1035:DD1036)</f>
        <v>3765.2903055000002</v>
      </c>
      <c r="DE1037" s="397">
        <f>SUM(DE1035:DE1036)</f>
        <v>4351.0021308000005</v>
      </c>
      <c r="DF1037" s="397">
        <f>SUM(DF1035:DF1036)</f>
        <v>8116.2924363000002</v>
      </c>
      <c r="DH1037" s="397">
        <f>SUM(DH1035:DH1036)</f>
        <v>3932.6365412999999</v>
      </c>
      <c r="DI1037" s="397">
        <f>SUM(DI1035:DI1036)</f>
        <v>4679.7116212110777</v>
      </c>
      <c r="DJ1037" s="397">
        <f>SUM(DJ1035:DJ1036)</f>
        <v>8612.348162511078</v>
      </c>
      <c r="DL1037" s="397">
        <f>SUM(DL1035:DL1036)</f>
        <v>4349.502116753406</v>
      </c>
      <c r="DM1037" s="397">
        <f>SUM(DM1035:DM1036)</f>
        <v>5017.7248093955541</v>
      </c>
      <c r="DN1037" s="397">
        <f>SUM(DN1035:DN1036)</f>
        <v>9367.22692614896</v>
      </c>
      <c r="DP1037" s="397">
        <f>SUM(DP1035:DP1036)</f>
        <v>4511.4333574327238</v>
      </c>
      <c r="DQ1037" s="397">
        <f>SUM(DQ1035:DQ1036)</f>
        <v>5276.0453212597176</v>
      </c>
      <c r="DR1037" s="397">
        <f>SUM(DR1035:DR1036)</f>
        <v>9787.4786786924415</v>
      </c>
      <c r="DT1037" s="1"/>
      <c r="DU1037" s="1"/>
      <c r="DV1037" s="1"/>
      <c r="DW1037" s="1"/>
      <c r="DX1037" s="1"/>
      <c r="DY1037" s="1"/>
      <c r="DZ1037" s="1"/>
      <c r="EA1037" s="1"/>
      <c r="EB1037" s="1"/>
      <c r="EC1037" s="1"/>
      <c r="ED1037" s="1"/>
      <c r="EE1037" s="1"/>
      <c r="EF1037" s="1"/>
      <c r="EG1037" s="1"/>
      <c r="EH1037" s="1"/>
      <c r="EI1037" s="1"/>
      <c r="EJ1037" s="1"/>
      <c r="EK1037" s="1"/>
      <c r="EL1037" s="1"/>
      <c r="EM1037" s="1"/>
      <c r="EN1037" s="1"/>
      <c r="EO1037" s="1"/>
      <c r="EP1037" s="1"/>
      <c r="EQ1037" s="1"/>
      <c r="ER1037" s="1"/>
      <c r="ES1037" s="1"/>
      <c r="ET1037" s="1"/>
      <c r="EU1037" s="1"/>
      <c r="EV1037" s="1"/>
      <c r="EW1037" s="1"/>
      <c r="EX1037" s="1"/>
      <c r="EY1037" s="1"/>
      <c r="EZ1037" s="1"/>
      <c r="FA1037" s="1"/>
      <c r="FB1037" s="1"/>
      <c r="FC1037" s="1"/>
      <c r="FD1037" s="1"/>
      <c r="FE1037" s="1"/>
      <c r="FF1037" s="1"/>
      <c r="FG1037" s="1"/>
      <c r="FH1037" s="1"/>
      <c r="FI1037" s="1"/>
      <c r="FJ1037" s="1"/>
      <c r="FK1037" s="1"/>
      <c r="FL1037" s="1"/>
      <c r="FM1037" s="1"/>
      <c r="FN1037" s="1"/>
      <c r="FO1037" s="1"/>
      <c r="FP1037" s="1"/>
      <c r="FQ1037" s="1"/>
      <c r="FR1037" s="1"/>
      <c r="FS1037" s="1"/>
      <c r="FT1037" s="1"/>
      <c r="FU1037" s="1"/>
      <c r="FV1037" s="1"/>
      <c r="FW1037" s="1"/>
      <c r="FX1037" s="1"/>
      <c r="FY1037" s="1"/>
      <c r="FZ1037" s="1"/>
      <c r="GA1037" s="1"/>
      <c r="GB1037" s="1"/>
      <c r="GC1037" s="1"/>
      <c r="GD1037" s="1"/>
      <c r="GE1037" s="1"/>
      <c r="GF1037" s="1"/>
      <c r="GG1037" s="1"/>
      <c r="GH1037" s="1"/>
      <c r="GI1037" s="1"/>
      <c r="GJ1037" s="1"/>
      <c r="GK1037" s="1"/>
      <c r="GL1037" s="1"/>
      <c r="GM1037" s="1"/>
      <c r="GN1037" s="1"/>
      <c r="GO1037" s="1"/>
      <c r="GP1037" s="1"/>
      <c r="GQ1037" s="1"/>
      <c r="GR1037" s="1"/>
      <c r="GS1037" s="1"/>
      <c r="GT1037" s="1"/>
      <c r="GU1037" s="1"/>
      <c r="GV1037" s="1"/>
      <c r="GW1037" s="1"/>
      <c r="GX1037" s="1"/>
      <c r="GY1037" s="1"/>
      <c r="GZ1037" s="1"/>
      <c r="HA1037" s="1"/>
      <c r="HB1037" s="1"/>
      <c r="HC1037" s="1"/>
      <c r="HD1037" s="1"/>
      <c r="HE1037" s="1"/>
      <c r="HF1037" s="1"/>
      <c r="HG1037" s="1"/>
      <c r="HH1037" s="1"/>
      <c r="HI1037" s="1"/>
      <c r="HJ1037" s="1"/>
      <c r="HK1037" s="1"/>
      <c r="HL1037" s="1"/>
      <c r="HM1037" s="1"/>
      <c r="HN1037" s="1"/>
      <c r="HO1037" s="1"/>
      <c r="HP1037" s="1"/>
      <c r="HQ1037" s="1"/>
      <c r="HR1037" s="1"/>
      <c r="HS1037" s="1"/>
      <c r="HT1037" s="1"/>
      <c r="HU1037" s="1"/>
      <c r="HV1037" s="1"/>
      <c r="HW1037" s="1"/>
      <c r="HX1037" s="1"/>
      <c r="HY1037" s="1"/>
      <c r="HZ1037" s="1"/>
      <c r="IA1037" s="1"/>
      <c r="IB1037" s="1"/>
      <c r="IC1037" s="1"/>
      <c r="ID1037" s="1"/>
      <c r="IE1037" s="1"/>
      <c r="IF1037" s="1"/>
      <c r="IG1037" s="1"/>
      <c r="IH1037" s="1"/>
      <c r="II1037" s="1"/>
      <c r="IJ1037" s="1"/>
      <c r="IK1037" s="1"/>
      <c r="IL1037" s="1"/>
      <c r="IM1037" s="1"/>
      <c r="IN1037" s="1"/>
      <c r="IO1037" s="1"/>
      <c r="IP1037" s="1"/>
      <c r="IQ1037" s="1"/>
      <c r="IR1037" s="1"/>
      <c r="IS1037" s="1"/>
      <c r="IT1037" s="1"/>
      <c r="IU1037" s="1"/>
      <c r="IV1037" s="1"/>
      <c r="IW1037" s="1"/>
      <c r="IX1037" s="1"/>
      <c r="IY1037" s="1"/>
      <c r="IZ1037" s="1"/>
      <c r="JA1037" s="1"/>
      <c r="JB1037" s="1"/>
      <c r="JC1037" s="1"/>
      <c r="JD1037" s="1"/>
    </row>
    <row r="1038" spans="1:264" s="411" customFormat="1" x14ac:dyDescent="0.2">
      <c r="A1038" s="411" t="s">
        <v>703</v>
      </c>
      <c r="B1038" s="423"/>
      <c r="BD1038" s="397">
        <f>BD36+BD43</f>
        <v>0</v>
      </c>
      <c r="BE1038" s="397">
        <f>BE36+BE43</f>
        <v>0</v>
      </c>
      <c r="BF1038" s="397">
        <f>BF36+BF43</f>
        <v>0</v>
      </c>
      <c r="BH1038" s="397">
        <f>BH36+BH43</f>
        <v>3730</v>
      </c>
      <c r="BI1038" s="397">
        <f>BI36+BI43</f>
        <v>3990</v>
      </c>
      <c r="BJ1038" s="397">
        <f>BJ36+BJ43</f>
        <v>7720</v>
      </c>
      <c r="BK1038" s="423"/>
      <c r="BL1038" s="397">
        <f>BL36+BL43</f>
        <v>4245</v>
      </c>
      <c r="BM1038" s="397">
        <f>BM36+BM43</f>
        <v>4390</v>
      </c>
      <c r="BN1038" s="397">
        <f>BN36+BN43</f>
        <v>8635</v>
      </c>
      <c r="BO1038" s="423"/>
      <c r="BP1038" s="397">
        <f>BP36+BP43</f>
        <v>4595</v>
      </c>
      <c r="BQ1038" s="397">
        <f>BQ36+BQ43</f>
        <v>4490</v>
      </c>
      <c r="BR1038" s="397">
        <f>BR36+BR43</f>
        <v>9085</v>
      </c>
      <c r="BT1038" s="397">
        <f>BT38+BT43</f>
        <v>4776</v>
      </c>
      <c r="BU1038" s="397">
        <f>BU38+BU43</f>
        <v>4619</v>
      </c>
      <c r="BV1038" s="397">
        <f>BV38+BV43</f>
        <v>9395</v>
      </c>
      <c r="BX1038" s="397">
        <f>BX38+BX43</f>
        <v>4907</v>
      </c>
      <c r="BY1038" s="397">
        <f>BY38+BY43</f>
        <v>4974</v>
      </c>
      <c r="BZ1038" s="397">
        <f>BZ38+BZ43</f>
        <v>9881</v>
      </c>
      <c r="CB1038" s="397">
        <f>CB38+CB43</f>
        <v>4871</v>
      </c>
      <c r="CC1038" s="397">
        <f>CC38+CC43</f>
        <v>4541</v>
      </c>
      <c r="CD1038" s="397">
        <f>CD38+CD43</f>
        <v>9412</v>
      </c>
      <c r="CF1038" s="397">
        <f>CF38+CF43</f>
        <v>4811</v>
      </c>
      <c r="CG1038" s="397">
        <f>CG38+CG43</f>
        <v>3895</v>
      </c>
      <c r="CH1038" s="397">
        <f>CH38+CH43</f>
        <v>8706</v>
      </c>
      <c r="CJ1038" s="397">
        <f>CJ38+CJ43</f>
        <v>4472</v>
      </c>
      <c r="CK1038" s="397">
        <f>CK38+CK43</f>
        <v>2935</v>
      </c>
      <c r="CL1038" s="397">
        <f>CL38+CL43</f>
        <v>7407</v>
      </c>
      <c r="CN1038" s="397">
        <f>CN38+CN43</f>
        <v>3967</v>
      </c>
      <c r="CO1038" s="397">
        <f>CO38+CO43</f>
        <v>4834</v>
      </c>
      <c r="CP1038" s="397">
        <f>CP38+CP43</f>
        <v>8801</v>
      </c>
      <c r="CR1038" s="397">
        <f>CR38+CR43</f>
        <v>4846</v>
      </c>
      <c r="CS1038" s="397">
        <f>CS38+CS43</f>
        <v>4862</v>
      </c>
      <c r="CT1038" s="397">
        <f>CT38+CT43</f>
        <v>9708</v>
      </c>
      <c r="CV1038" s="397">
        <f>CV38+CV43</f>
        <v>5190</v>
      </c>
      <c r="CW1038" s="397">
        <f>CW38+CW43</f>
        <v>4900</v>
      </c>
      <c r="CX1038" s="397">
        <f>CX38+CX43</f>
        <v>10090</v>
      </c>
      <c r="CZ1038" s="397">
        <f>CZ38+CZ43</f>
        <v>5025</v>
      </c>
      <c r="DA1038" s="397">
        <f>DA38+DA43</f>
        <v>4822</v>
      </c>
      <c r="DB1038" s="397">
        <f>DB38+DB43</f>
        <v>9847</v>
      </c>
      <c r="DD1038" s="397">
        <f>DD38+DD43</f>
        <v>5133</v>
      </c>
      <c r="DE1038" s="397">
        <f>DE38+DE43</f>
        <v>5120</v>
      </c>
      <c r="DF1038" s="397">
        <f>DF38+DF43</f>
        <v>10253</v>
      </c>
      <c r="DH1038" s="397">
        <f>DH38+DH43</f>
        <v>5445</v>
      </c>
      <c r="DI1038" s="397">
        <f>DI36+DI43</f>
        <v>5624.6533908786996</v>
      </c>
      <c r="DJ1038" s="397">
        <f>DJ36+DJ43</f>
        <v>11069.653390878699</v>
      </c>
      <c r="DL1038" s="397">
        <f>DL36+DL43</f>
        <v>5925.752202661316</v>
      </c>
      <c r="DM1038" s="397">
        <f>DM36+DM43</f>
        <v>5875.5559828987753</v>
      </c>
      <c r="DN1038" s="397">
        <f>DN36+DN43</f>
        <v>11801.308185560092</v>
      </c>
      <c r="DP1038" s="397">
        <f>DP36+DP43</f>
        <v>6138.004567935679</v>
      </c>
      <c r="DQ1038" s="397">
        <f>DQ36+DQ43</f>
        <v>6120.7022288395801</v>
      </c>
      <c r="DR1038" s="397">
        <f>DR36+DR43</f>
        <v>12258.706796775259</v>
      </c>
      <c r="DT1038" s="1"/>
      <c r="DU1038" s="1"/>
      <c r="DV1038" s="1"/>
      <c r="DW1038" s="1"/>
      <c r="DX1038" s="1"/>
      <c r="DY1038" s="1"/>
      <c r="DZ1038" s="1"/>
      <c r="EA1038" s="1"/>
      <c r="EB1038" s="1"/>
      <c r="EC1038" s="1"/>
      <c r="ED1038" s="1"/>
      <c r="EE1038" s="1"/>
      <c r="EF1038" s="1"/>
      <c r="EG1038" s="1"/>
      <c r="EH1038" s="1"/>
      <c r="EI1038" s="1"/>
      <c r="EJ1038" s="1"/>
      <c r="EK1038" s="1"/>
      <c r="EL1038" s="1"/>
      <c r="EM1038" s="1"/>
      <c r="EN1038" s="1"/>
      <c r="EO1038" s="1"/>
      <c r="EP1038" s="1"/>
      <c r="EQ1038" s="1"/>
      <c r="ER1038" s="1"/>
      <c r="ES1038" s="1"/>
      <c r="ET1038" s="1"/>
      <c r="EU1038" s="1"/>
      <c r="EV1038" s="1"/>
      <c r="EW1038" s="1"/>
      <c r="EX1038" s="1"/>
      <c r="EY1038" s="1"/>
      <c r="EZ1038" s="1"/>
      <c r="FA1038" s="1"/>
      <c r="FB1038" s="1"/>
      <c r="FC1038" s="1"/>
      <c r="FD1038" s="1"/>
      <c r="FE1038" s="1"/>
      <c r="FF1038" s="1"/>
      <c r="FG1038" s="1"/>
      <c r="FH1038" s="1"/>
      <c r="FI1038" s="1"/>
      <c r="FJ1038" s="1"/>
      <c r="FK1038" s="1"/>
      <c r="FL1038" s="1"/>
      <c r="FM1038" s="1"/>
      <c r="FN1038" s="1"/>
      <c r="FO1038" s="1"/>
      <c r="FP1038" s="1"/>
      <c r="FQ1038" s="1"/>
      <c r="FR1038" s="1"/>
      <c r="FS1038" s="1"/>
      <c r="FT1038" s="1"/>
      <c r="FU1038" s="1"/>
      <c r="FV1038" s="1"/>
      <c r="FW1038" s="1"/>
      <c r="FX1038" s="1"/>
      <c r="FY1038" s="1"/>
      <c r="FZ1038" s="1"/>
      <c r="GA1038" s="1"/>
      <c r="GB1038" s="1"/>
      <c r="GC1038" s="1"/>
      <c r="GD1038" s="1"/>
      <c r="GE1038" s="1"/>
      <c r="GF1038" s="1"/>
      <c r="GG1038" s="1"/>
      <c r="GH1038" s="1"/>
      <c r="GI1038" s="1"/>
      <c r="GJ1038" s="1"/>
      <c r="GK1038" s="1"/>
      <c r="GL1038" s="1"/>
      <c r="GM1038" s="1"/>
      <c r="GN1038" s="1"/>
      <c r="GO1038" s="1"/>
      <c r="GP1038" s="1"/>
      <c r="GQ1038" s="1"/>
      <c r="GR1038" s="1"/>
      <c r="GS1038" s="1"/>
      <c r="GT1038" s="1"/>
      <c r="GU1038" s="1"/>
      <c r="GV1038" s="1"/>
      <c r="GW1038" s="1"/>
      <c r="GX1038" s="1"/>
      <c r="GY1038" s="1"/>
      <c r="GZ1038" s="1"/>
      <c r="HA1038" s="1"/>
      <c r="HB1038" s="1"/>
      <c r="HC1038" s="1"/>
      <c r="HD1038" s="1"/>
      <c r="HE1038" s="1"/>
      <c r="HF1038" s="1"/>
      <c r="HG1038" s="1"/>
      <c r="HH1038" s="1"/>
      <c r="HI1038" s="1"/>
      <c r="HJ1038" s="1"/>
      <c r="HK1038" s="1"/>
      <c r="HL1038" s="1"/>
      <c r="HM1038" s="1"/>
      <c r="HN1038" s="1"/>
      <c r="HO1038" s="1"/>
      <c r="HP1038" s="1"/>
      <c r="HQ1038" s="1"/>
      <c r="HR1038" s="1"/>
      <c r="HS1038" s="1"/>
      <c r="HT1038" s="1"/>
      <c r="HU1038" s="1"/>
      <c r="HV1038" s="1"/>
      <c r="HW1038" s="1"/>
      <c r="HX1038" s="1"/>
      <c r="HY1038" s="1"/>
      <c r="HZ1038" s="1"/>
      <c r="IA1038" s="1"/>
      <c r="IB1038" s="1"/>
      <c r="IC1038" s="1"/>
      <c r="ID1038" s="1"/>
      <c r="IE1038" s="1"/>
      <c r="IF1038" s="1"/>
      <c r="IG1038" s="1"/>
      <c r="IH1038" s="1"/>
      <c r="II1038" s="1"/>
      <c r="IJ1038" s="1"/>
      <c r="IK1038" s="1"/>
      <c r="IL1038" s="1"/>
      <c r="IM1038" s="1"/>
      <c r="IN1038" s="1"/>
      <c r="IO1038" s="1"/>
      <c r="IP1038" s="1"/>
      <c r="IQ1038" s="1"/>
      <c r="IR1038" s="1"/>
      <c r="IS1038" s="1"/>
      <c r="IT1038" s="1"/>
      <c r="IU1038" s="1"/>
      <c r="IV1038" s="1"/>
      <c r="IW1038" s="1"/>
      <c r="IX1038" s="1"/>
      <c r="IY1038" s="1"/>
      <c r="IZ1038" s="1"/>
      <c r="JA1038" s="1"/>
      <c r="JB1038" s="1"/>
      <c r="JC1038" s="1"/>
      <c r="JD1038" s="1"/>
    </row>
    <row r="1039" spans="1:264" s="411" customFormat="1" x14ac:dyDescent="0.2">
      <c r="A1039" s="521" t="s">
        <v>704</v>
      </c>
      <c r="B1039" s="522"/>
      <c r="C1039" s="521"/>
      <c r="D1039" s="521"/>
      <c r="E1039" s="521"/>
      <c r="F1039" s="521"/>
      <c r="G1039" s="521"/>
      <c r="H1039" s="521"/>
      <c r="I1039" s="521"/>
      <c r="J1039" s="521"/>
      <c r="K1039" s="521"/>
      <c r="L1039" s="521"/>
      <c r="M1039" s="521"/>
      <c r="N1039" s="521"/>
      <c r="O1039" s="521"/>
      <c r="P1039" s="521"/>
      <c r="Q1039" s="521"/>
      <c r="R1039" s="521"/>
      <c r="S1039" s="521"/>
      <c r="T1039" s="521"/>
      <c r="U1039" s="521"/>
      <c r="V1039" s="521"/>
      <c r="W1039" s="521"/>
      <c r="X1039" s="521"/>
      <c r="Y1039" s="521"/>
      <c r="Z1039" s="521"/>
      <c r="AA1039" s="521"/>
      <c r="AB1039" s="521"/>
      <c r="AC1039" s="521"/>
      <c r="AD1039" s="521"/>
      <c r="AE1039" s="521"/>
      <c r="AF1039" s="521"/>
      <c r="AG1039" s="521"/>
      <c r="AH1039" s="521"/>
      <c r="AI1039" s="521"/>
      <c r="AJ1039" s="521"/>
      <c r="AK1039" s="521"/>
      <c r="AL1039" s="521"/>
      <c r="AM1039" s="521"/>
      <c r="AN1039" s="521"/>
      <c r="AO1039" s="521"/>
      <c r="AP1039" s="521"/>
      <c r="AQ1039" s="521"/>
      <c r="AR1039" s="521"/>
      <c r="AS1039" s="521"/>
      <c r="AT1039" s="521"/>
      <c r="AU1039" s="521"/>
      <c r="AV1039" s="521"/>
      <c r="AW1039" s="521"/>
      <c r="AX1039" s="521"/>
      <c r="AY1039" s="521"/>
      <c r="AZ1039" s="521"/>
      <c r="BA1039" s="521"/>
      <c r="BB1039" s="521"/>
      <c r="BC1039" s="521"/>
      <c r="BD1039" s="735"/>
      <c r="BE1039" s="735"/>
      <c r="BF1039" s="735"/>
      <c r="BG1039" s="521"/>
      <c r="BH1039" s="735">
        <f>+BH1035/BH1038</f>
        <v>0.70752187110991949</v>
      </c>
      <c r="BI1039" s="735">
        <f>+BI1035/BI1038</f>
        <v>0.80798437894736841</v>
      </c>
      <c r="BJ1039" s="735">
        <f>+BJ1035/BJ1038</f>
        <v>0.75944485119689109</v>
      </c>
      <c r="BK1039" s="522"/>
      <c r="BL1039" s="735">
        <f>+BL1035/BL1038</f>
        <v>0.6948951165795052</v>
      </c>
      <c r="BM1039" s="735">
        <f>+BM1035/BM1038</f>
        <v>0.80511978198633249</v>
      </c>
      <c r="BN1039" s="735">
        <f>+BN1035/BN1038</f>
        <v>0.75093290246670519</v>
      </c>
      <c r="BO1039" s="522"/>
      <c r="BP1039" s="735">
        <f>+BP1035/BP1038</f>
        <v>0.69863155693579981</v>
      </c>
      <c r="BQ1039" s="735">
        <f>+BQ1035/BQ1038</f>
        <v>0.80473403627171491</v>
      </c>
      <c r="BR1039" s="735">
        <f>+BR1035/BR1038</f>
        <v>0.75106965624435895</v>
      </c>
      <c r="BS1039" s="521"/>
      <c r="BT1039" s="735">
        <f>+BT1035/BT1038</f>
        <v>0.70790170304020117</v>
      </c>
      <c r="BU1039" s="735">
        <f>+BU1035/BU1038</f>
        <v>0.82433765597315434</v>
      </c>
      <c r="BV1039" s="735">
        <f>+BV1035/BV1038</f>
        <v>0.76514679794145823</v>
      </c>
      <c r="BW1039" s="521"/>
      <c r="BX1039" s="735">
        <f>+BX1035/BX1038</f>
        <v>0.69882315730792743</v>
      </c>
      <c r="BY1039" s="735">
        <f>+BY1035/BY1038</f>
        <v>0.79989882796542022</v>
      </c>
      <c r="BZ1039" s="735">
        <f>+BZ1035/BZ1038</f>
        <v>0.74970367404210103</v>
      </c>
      <c r="CA1039" s="521"/>
      <c r="CB1039" s="735">
        <f>+CB1035/CB1038</f>
        <v>0.71965846766577701</v>
      </c>
      <c r="CC1039" s="735">
        <f>+CC1035/CC1038</f>
        <v>0.89522950193789919</v>
      </c>
      <c r="CD1039" s="735">
        <f>+CD1035/CD1038</f>
        <v>0.80436608205482363</v>
      </c>
      <c r="CE1039" s="521"/>
      <c r="CF1039" s="735">
        <f>+CF1035/CF1038</f>
        <v>0.73591332654333808</v>
      </c>
      <c r="CG1039" s="735">
        <f>+CG1035/CG1038</f>
        <v>1.0498724675661104</v>
      </c>
      <c r="CH1039" s="735">
        <f>+CH1035/CH1038</f>
        <v>0.87637632381920505</v>
      </c>
      <c r="CI1039" s="521"/>
      <c r="CJ1039" s="735">
        <f>+CJ1035/CJ1038</f>
        <v>0.79169924284436488</v>
      </c>
      <c r="CK1039" s="735">
        <f>+CK1035/CK1038</f>
        <v>0.59108508240545143</v>
      </c>
      <c r="CL1039" s="735">
        <f>+CL1035/CL1038</f>
        <v>0.71220652502497639</v>
      </c>
      <c r="CM1039" s="521"/>
      <c r="CN1039" s="735">
        <f>+CN1035/CN1038</f>
        <v>0.67082042223342575</v>
      </c>
      <c r="CO1039" s="735">
        <f>+CO1035/CO1038</f>
        <v>0.73400761688043037</v>
      </c>
      <c r="CP1039" s="735">
        <f>+CP1035/CP1038</f>
        <v>0.70552635325531199</v>
      </c>
      <c r="CQ1039" s="521"/>
      <c r="CR1039" s="735">
        <f>+CR1035/CR1038</f>
        <v>0.61621653017952949</v>
      </c>
      <c r="CS1039" s="735">
        <f>+CS1035/CS1038</f>
        <v>0.73493020415466892</v>
      </c>
      <c r="CT1039" s="735">
        <f>+CT1035/CT1038</f>
        <v>0.67567119466934489</v>
      </c>
      <c r="CU1039" s="521"/>
      <c r="CV1039" s="735">
        <f>+CV1035/CV1038</f>
        <v>0.68317336317919075</v>
      </c>
      <c r="CW1039" s="735">
        <f>+CW1035/CW1038</f>
        <v>0.82098089240816319</v>
      </c>
      <c r="CX1039" s="735">
        <f>+CX1035/CX1038</f>
        <v>0.75009674209117938</v>
      </c>
      <c r="CY1039" s="521"/>
      <c r="CZ1039" s="735">
        <f>+CZ1035/CZ1038</f>
        <v>0.71651774290547265</v>
      </c>
      <c r="DA1039" s="735">
        <f>+DA1035/DA1038</f>
        <v>0.86767957175445876</v>
      </c>
      <c r="DB1039" s="735">
        <f>+DB1035/DB1038</f>
        <v>0.79054052534782171</v>
      </c>
      <c r="DC1039" s="521"/>
      <c r="DD1039" s="735">
        <f>+DD1035/DD1038</f>
        <v>0.73354574430157804</v>
      </c>
      <c r="DE1039" s="735">
        <f>+DE1035/DE1038</f>
        <v>0.84980510367187512</v>
      </c>
      <c r="DF1039" s="735">
        <f>+DF1035/DF1038</f>
        <v>0.79160172011118701</v>
      </c>
      <c r="DG1039" s="521"/>
      <c r="DH1039" s="735">
        <f>+DH1035/DH1038</f>
        <v>0.72224729867768589</v>
      </c>
      <c r="DI1039" s="736">
        <v>0.83199999999999996</v>
      </c>
      <c r="DJ1039" s="735">
        <f>+DJ1035/DJ1038</f>
        <v>0.77801425739378438</v>
      </c>
      <c r="DK1039" s="521"/>
      <c r="DL1039" s="736">
        <v>0.73399999999999999</v>
      </c>
      <c r="DM1039" s="736">
        <v>0.85399999999999998</v>
      </c>
      <c r="DN1039" s="735">
        <f>+DN1035/DN1038</f>
        <v>0.79374479327728786</v>
      </c>
      <c r="DO1039" s="521"/>
      <c r="DP1039" s="736">
        <v>0.73499999999999999</v>
      </c>
      <c r="DQ1039" s="736">
        <v>0.86199999999999999</v>
      </c>
      <c r="DR1039" s="735">
        <f>+DR1035/DR1038</f>
        <v>0.79841037402632942</v>
      </c>
      <c r="DS1039" s="521"/>
      <c r="DT1039" s="451"/>
      <c r="DU1039" s="451"/>
      <c r="DV1039" s="451"/>
      <c r="DW1039" s="451"/>
      <c r="DX1039" s="451"/>
      <c r="DY1039" s="451"/>
      <c r="DZ1039" s="451"/>
      <c r="EA1039" s="451"/>
      <c r="EB1039" s="451"/>
      <c r="EC1039" s="451"/>
      <c r="ED1039" s="451"/>
      <c r="EE1039" s="451"/>
      <c r="EF1039" s="451"/>
      <c r="EG1039" s="451"/>
      <c r="EH1039" s="451"/>
      <c r="EI1039" s="451"/>
      <c r="EJ1039" s="451"/>
      <c r="EK1039" s="451"/>
      <c r="EL1039" s="451"/>
      <c r="EM1039" s="451"/>
      <c r="EN1039" s="451"/>
      <c r="EO1039" s="451"/>
      <c r="EP1039" s="451"/>
      <c r="EQ1039" s="451"/>
      <c r="ER1039" s="451"/>
      <c r="ES1039" s="451"/>
      <c r="ET1039" s="451"/>
      <c r="EU1039" s="451"/>
      <c r="EV1039" s="451"/>
      <c r="EW1039" s="451"/>
      <c r="EX1039" s="451"/>
      <c r="EY1039" s="451"/>
      <c r="EZ1039" s="451"/>
      <c r="FA1039" s="451"/>
      <c r="FB1039" s="451"/>
      <c r="FC1039" s="451"/>
      <c r="FD1039" s="451"/>
      <c r="FE1039" s="451"/>
      <c r="FF1039" s="451"/>
      <c r="FG1039" s="451"/>
      <c r="FH1039" s="451"/>
      <c r="FI1039" s="451"/>
      <c r="FJ1039" s="451"/>
      <c r="FK1039" s="451"/>
      <c r="FL1039" s="451"/>
      <c r="FM1039" s="451"/>
      <c r="FN1039" s="451"/>
      <c r="FO1039" s="451"/>
      <c r="FP1039" s="451"/>
      <c r="FQ1039" s="451"/>
      <c r="FR1039" s="451"/>
      <c r="FS1039" s="451"/>
      <c r="FT1039" s="451"/>
      <c r="FU1039" s="451"/>
      <c r="FV1039" s="451"/>
      <c r="FW1039" s="451"/>
      <c r="FX1039" s="451"/>
      <c r="FY1039" s="451"/>
      <c r="FZ1039" s="451"/>
      <c r="GA1039" s="451"/>
      <c r="GB1039" s="451"/>
      <c r="GC1039" s="451"/>
      <c r="GD1039" s="451"/>
      <c r="GE1039" s="451"/>
      <c r="GF1039" s="451"/>
      <c r="GG1039" s="451"/>
      <c r="GH1039" s="451"/>
      <c r="GI1039" s="451"/>
      <c r="GJ1039" s="451"/>
      <c r="GK1039" s="451"/>
      <c r="GL1039" s="451"/>
      <c r="GM1039" s="451"/>
      <c r="GN1039" s="451"/>
      <c r="GO1039" s="451"/>
      <c r="GP1039" s="451"/>
      <c r="GQ1039" s="451"/>
      <c r="GR1039" s="451"/>
      <c r="GS1039" s="451"/>
      <c r="GT1039" s="451"/>
      <c r="GU1039" s="451"/>
      <c r="GV1039" s="451"/>
      <c r="GW1039" s="451"/>
      <c r="GX1039" s="451"/>
      <c r="GY1039" s="451"/>
      <c r="GZ1039" s="451"/>
      <c r="HA1039" s="451"/>
      <c r="HB1039" s="451"/>
      <c r="HC1039" s="451"/>
      <c r="HD1039" s="451"/>
      <c r="HE1039" s="451"/>
      <c r="HF1039" s="451"/>
      <c r="HG1039" s="451"/>
      <c r="HH1039" s="451"/>
      <c r="HI1039" s="451"/>
      <c r="HJ1039" s="451"/>
      <c r="HK1039" s="451"/>
      <c r="HL1039" s="451"/>
      <c r="HM1039" s="451"/>
      <c r="HN1039" s="451"/>
      <c r="HO1039" s="451"/>
      <c r="HP1039" s="451"/>
      <c r="HQ1039" s="451"/>
      <c r="HR1039" s="451"/>
      <c r="HS1039" s="451"/>
      <c r="HT1039" s="451"/>
      <c r="HU1039" s="451"/>
      <c r="HV1039" s="451"/>
      <c r="HW1039" s="451"/>
      <c r="HX1039" s="451"/>
      <c r="HY1039" s="451"/>
      <c r="HZ1039" s="451"/>
      <c r="IA1039" s="451"/>
      <c r="IB1039" s="451"/>
      <c r="IC1039" s="451"/>
      <c r="ID1039" s="451"/>
      <c r="IE1039" s="451"/>
      <c r="IF1039" s="451"/>
      <c r="IG1039" s="451"/>
      <c r="IH1039" s="451"/>
      <c r="II1039" s="451"/>
      <c r="IJ1039" s="451"/>
      <c r="IK1039" s="451"/>
      <c r="IL1039" s="451"/>
      <c r="IM1039" s="451"/>
      <c r="IN1039" s="451"/>
      <c r="IO1039" s="451"/>
      <c r="IP1039" s="451"/>
      <c r="IQ1039" s="451"/>
      <c r="IR1039" s="451"/>
      <c r="IS1039" s="451"/>
      <c r="IT1039" s="451"/>
      <c r="IU1039" s="451"/>
      <c r="IV1039" s="451"/>
      <c r="IW1039" s="451"/>
      <c r="IX1039" s="451"/>
      <c r="IY1039" s="451"/>
      <c r="IZ1039" s="451"/>
      <c r="JA1039" s="451"/>
      <c r="JB1039" s="451"/>
      <c r="JC1039" s="451"/>
      <c r="JD1039" s="451"/>
    </row>
    <row r="1040" spans="1:264" s="411" customFormat="1" x14ac:dyDescent="0.2">
      <c r="A1040" s="463" t="s">
        <v>705</v>
      </c>
      <c r="B1040" s="522"/>
      <c r="C1040" s="521"/>
      <c r="D1040" s="521"/>
      <c r="E1040" s="521"/>
      <c r="F1040" s="521"/>
      <c r="G1040" s="521"/>
      <c r="H1040" s="521"/>
      <c r="I1040" s="521"/>
      <c r="J1040" s="521"/>
      <c r="K1040" s="521"/>
      <c r="L1040" s="521"/>
      <c r="M1040" s="521"/>
      <c r="N1040" s="521"/>
      <c r="O1040" s="521"/>
      <c r="P1040" s="521"/>
      <c r="Q1040" s="521"/>
      <c r="R1040" s="521"/>
      <c r="S1040" s="521"/>
      <c r="T1040" s="521"/>
      <c r="U1040" s="521"/>
      <c r="V1040" s="521"/>
      <c r="W1040" s="521"/>
      <c r="X1040" s="521"/>
      <c r="Y1040" s="521"/>
      <c r="Z1040" s="521"/>
      <c r="AA1040" s="521"/>
      <c r="AB1040" s="521"/>
      <c r="AC1040" s="521"/>
      <c r="AD1040" s="521"/>
      <c r="AE1040" s="521"/>
      <c r="AF1040" s="521"/>
      <c r="AG1040" s="521"/>
      <c r="AH1040" s="521"/>
      <c r="AI1040" s="521"/>
      <c r="AJ1040" s="521"/>
      <c r="AK1040" s="521"/>
      <c r="AL1040" s="521"/>
      <c r="AM1040" s="521"/>
      <c r="AN1040" s="521"/>
      <c r="AO1040" s="521"/>
      <c r="AP1040" s="521"/>
      <c r="AQ1040" s="521"/>
      <c r="AR1040" s="521"/>
      <c r="AS1040" s="521"/>
      <c r="AT1040" s="521"/>
      <c r="AU1040" s="521"/>
      <c r="AV1040" s="521"/>
      <c r="AW1040" s="521"/>
      <c r="AX1040" s="521"/>
      <c r="AY1040" s="521"/>
      <c r="AZ1040" s="521"/>
      <c r="BA1040" s="521"/>
      <c r="BB1040" s="521"/>
      <c r="BC1040" s="521"/>
      <c r="BD1040" s="467"/>
      <c r="BE1040" s="467"/>
      <c r="BF1040" s="467"/>
      <c r="BG1040" s="521"/>
      <c r="BH1040" s="467">
        <f>+BH1036/BH1038</f>
        <v>0</v>
      </c>
      <c r="BI1040" s="467">
        <f>+BI1036/BI1038</f>
        <v>0</v>
      </c>
      <c r="BJ1040" s="467">
        <f>+BJ1036/BJ1038</f>
        <v>0</v>
      </c>
      <c r="BK1040" s="522"/>
      <c r="BL1040" s="467">
        <f>+BL1036/BL1038</f>
        <v>0</v>
      </c>
      <c r="BM1040" s="467">
        <f>+BM1036/BM1038</f>
        <v>0</v>
      </c>
      <c r="BN1040" s="467">
        <f>+BN1036/BN1038</f>
        <v>0</v>
      </c>
      <c r="BO1040" s="522"/>
      <c r="BP1040" s="467">
        <f>+BP1036/BP1038</f>
        <v>0</v>
      </c>
      <c r="BQ1040" s="467">
        <f>+BQ1036/BQ1038</f>
        <v>0</v>
      </c>
      <c r="BR1040" s="467">
        <f>+BR1036/BR1038</f>
        <v>0</v>
      </c>
      <c r="BS1040" s="521"/>
      <c r="BT1040" s="467">
        <f>+BT1036/BT1038</f>
        <v>0</v>
      </c>
      <c r="BU1040" s="467">
        <f>+BU1036/BU1038</f>
        <v>0</v>
      </c>
      <c r="BV1040" s="467">
        <f>+BV1036/BV1038</f>
        <v>0</v>
      </c>
      <c r="BW1040" s="521"/>
      <c r="BX1040" s="467">
        <f>+BX1036/BX1038</f>
        <v>0</v>
      </c>
      <c r="BY1040" s="467">
        <f>+BY1036/BY1038</f>
        <v>0</v>
      </c>
      <c r="BZ1040" s="467">
        <f>+BZ1036/BZ1038</f>
        <v>0</v>
      </c>
      <c r="CA1040" s="521"/>
      <c r="CB1040" s="467">
        <f>+CB1036/CB1038</f>
        <v>0</v>
      </c>
      <c r="CC1040" s="467">
        <f>+CC1036/CC1038</f>
        <v>0</v>
      </c>
      <c r="CD1040" s="467">
        <f>+CD1036/CD1038</f>
        <v>0</v>
      </c>
      <c r="CE1040" s="521"/>
      <c r="CF1040" s="467">
        <f>+CF1036/CF1038</f>
        <v>0</v>
      </c>
      <c r="CG1040" s="467">
        <f>+CG1036/CG1038</f>
        <v>0</v>
      </c>
      <c r="CH1040" s="467">
        <f>+CH1036/CH1038</f>
        <v>0</v>
      </c>
      <c r="CI1040" s="521"/>
      <c r="CJ1040" s="467">
        <f>+CJ1036/CJ1038</f>
        <v>0</v>
      </c>
      <c r="CK1040" s="467">
        <f>+CK1036/CK1038</f>
        <v>0</v>
      </c>
      <c r="CL1040" s="467">
        <f>+CL1036/CL1038</f>
        <v>0</v>
      </c>
      <c r="CM1040" s="521"/>
      <c r="CN1040" s="467">
        <f>+CN1036/CN1038</f>
        <v>0</v>
      </c>
      <c r="CO1040" s="467">
        <f>+CO1036/CO1038</f>
        <v>0</v>
      </c>
      <c r="CP1040" s="467">
        <f>+CP1036/CP1038</f>
        <v>0</v>
      </c>
      <c r="CQ1040" s="521"/>
      <c r="CR1040" s="467">
        <f>+CR1036/CR1038</f>
        <v>0</v>
      </c>
      <c r="CS1040" s="467">
        <f>+CS1036/CS1038</f>
        <v>0</v>
      </c>
      <c r="CT1040" s="467">
        <f>+CT1036/CT1038</f>
        <v>0</v>
      </c>
      <c r="CU1040" s="521"/>
      <c r="CV1040" s="467">
        <f>+CV1036/CV1038</f>
        <v>0</v>
      </c>
      <c r="CW1040" s="467">
        <f>+CW1036/CW1038</f>
        <v>0</v>
      </c>
      <c r="CX1040" s="467">
        <f>+CX1036/CX1038</f>
        <v>0</v>
      </c>
      <c r="CY1040" s="521"/>
      <c r="CZ1040" s="467">
        <f>+CZ1036/CZ1038</f>
        <v>0</v>
      </c>
      <c r="DA1040" s="467">
        <f>+DA1036/DA1038</f>
        <v>0</v>
      </c>
      <c r="DB1040" s="467">
        <f>+DB1036/DB1038</f>
        <v>0</v>
      </c>
      <c r="DC1040" s="521"/>
      <c r="DD1040" s="467">
        <f>+DD1036/DD1038</f>
        <v>0</v>
      </c>
      <c r="DE1040" s="467">
        <f>+DE1036/DE1038</f>
        <v>0</v>
      </c>
      <c r="DF1040" s="467">
        <f>+DF1036/DF1038</f>
        <v>0</v>
      </c>
      <c r="DG1040" s="521"/>
      <c r="DH1040" s="467">
        <f>+DH1036/DH1038</f>
        <v>0</v>
      </c>
      <c r="DI1040" s="737">
        <v>0</v>
      </c>
      <c r="DJ1040" s="467">
        <f>+DJ1036/DJ1038</f>
        <v>0</v>
      </c>
      <c r="DK1040" s="521"/>
      <c r="DL1040" s="737">
        <v>0</v>
      </c>
      <c r="DM1040" s="737">
        <v>0</v>
      </c>
      <c r="DN1040" s="467">
        <f>+DN1036/DN1038</f>
        <v>0</v>
      </c>
      <c r="DO1040" s="521"/>
      <c r="DP1040" s="737">
        <v>0</v>
      </c>
      <c r="DQ1040" s="737">
        <v>0</v>
      </c>
      <c r="DR1040" s="467">
        <f>+DR1036/DR1038</f>
        <v>0</v>
      </c>
      <c r="DS1040" s="521"/>
      <c r="DT1040" s="1"/>
      <c r="DU1040" s="1"/>
      <c r="DV1040" s="1"/>
      <c r="DW1040" s="1"/>
      <c r="DX1040" s="1"/>
      <c r="DY1040" s="1"/>
      <c r="DZ1040" s="1"/>
      <c r="EA1040" s="1"/>
      <c r="EB1040" s="1"/>
      <c r="EC1040" s="1"/>
      <c r="ED1040" s="1"/>
      <c r="EE1040" s="1"/>
      <c r="EF1040" s="1"/>
      <c r="EG1040" s="1"/>
      <c r="EH1040" s="1"/>
      <c r="EI1040" s="1"/>
      <c r="EJ1040" s="1"/>
      <c r="EK1040" s="1"/>
      <c r="EL1040" s="1"/>
      <c r="EM1040" s="1"/>
      <c r="EN1040" s="1"/>
      <c r="EO1040" s="1"/>
      <c r="EP1040" s="1"/>
      <c r="EQ1040" s="1"/>
      <c r="ER1040" s="1"/>
      <c r="ES1040" s="1"/>
      <c r="ET1040" s="1"/>
      <c r="EU1040" s="1"/>
      <c r="EV1040" s="1"/>
      <c r="EW1040" s="1"/>
      <c r="EX1040" s="1"/>
      <c r="EY1040" s="1"/>
      <c r="EZ1040" s="1"/>
      <c r="FA1040" s="1"/>
      <c r="FB1040" s="1"/>
      <c r="FC1040" s="1"/>
      <c r="FD1040" s="1"/>
      <c r="FE1040" s="1"/>
      <c r="FF1040" s="1"/>
      <c r="FG1040" s="1"/>
      <c r="FH1040" s="1"/>
      <c r="FI1040" s="1"/>
      <c r="FJ1040" s="1"/>
      <c r="FK1040" s="1"/>
      <c r="FL1040" s="1"/>
      <c r="FM1040" s="1"/>
      <c r="FN1040" s="1"/>
      <c r="FO1040" s="1"/>
      <c r="FP1040" s="1"/>
      <c r="FQ1040" s="1"/>
      <c r="FR1040" s="1"/>
      <c r="FS1040" s="1"/>
      <c r="FT1040" s="1"/>
      <c r="FU1040" s="1"/>
      <c r="FV1040" s="1"/>
      <c r="FW1040" s="1"/>
      <c r="FX1040" s="1"/>
      <c r="FY1040" s="1"/>
      <c r="FZ1040" s="1"/>
      <c r="GA1040" s="1"/>
      <c r="GB1040" s="1"/>
      <c r="GC1040" s="1"/>
      <c r="GD1040" s="1"/>
      <c r="GE1040" s="1"/>
      <c r="GF1040" s="1"/>
      <c r="GG1040" s="1"/>
      <c r="GH1040" s="1"/>
      <c r="GI1040" s="1"/>
      <c r="GJ1040" s="1"/>
      <c r="GK1040" s="1"/>
      <c r="GL1040" s="1"/>
      <c r="GM1040" s="1"/>
      <c r="GN1040" s="1"/>
      <c r="GO1040" s="1"/>
      <c r="GP1040" s="1"/>
      <c r="GQ1040" s="1"/>
      <c r="GR1040" s="1"/>
      <c r="GS1040" s="1"/>
      <c r="GT1040" s="1"/>
      <c r="GU1040" s="1"/>
      <c r="GV1040" s="1"/>
      <c r="GW1040" s="1"/>
      <c r="GX1040" s="1"/>
      <c r="GY1040" s="1"/>
      <c r="GZ1040" s="1"/>
      <c r="HA1040" s="1"/>
      <c r="HB1040" s="1"/>
      <c r="HC1040" s="1"/>
      <c r="HD1040" s="1"/>
      <c r="HE1040" s="1"/>
      <c r="HF1040" s="1"/>
      <c r="HG1040" s="1"/>
      <c r="HH1040" s="1"/>
      <c r="HI1040" s="1"/>
      <c r="HJ1040" s="1"/>
      <c r="HK1040" s="1"/>
      <c r="HL1040" s="1"/>
      <c r="HM1040" s="1"/>
      <c r="HN1040" s="1"/>
      <c r="HO1040" s="1"/>
      <c r="HP1040" s="1"/>
      <c r="HQ1040" s="1"/>
      <c r="HR1040" s="1"/>
      <c r="HS1040" s="1"/>
      <c r="HT1040" s="1"/>
      <c r="HU1040" s="1"/>
      <c r="HV1040" s="1"/>
      <c r="HW1040" s="1"/>
      <c r="HX1040" s="1"/>
      <c r="HY1040" s="1"/>
      <c r="HZ1040" s="1"/>
      <c r="IA1040" s="1"/>
      <c r="IB1040" s="1"/>
      <c r="IC1040" s="1"/>
      <c r="ID1040" s="1"/>
      <c r="IE1040" s="1"/>
      <c r="IF1040" s="1"/>
      <c r="IG1040" s="1"/>
      <c r="IH1040" s="1"/>
      <c r="II1040" s="1"/>
      <c r="IJ1040" s="1"/>
      <c r="IK1040" s="1"/>
      <c r="IL1040" s="1"/>
      <c r="IM1040" s="1"/>
      <c r="IN1040" s="1"/>
      <c r="IO1040" s="1"/>
      <c r="IP1040" s="1"/>
      <c r="IQ1040" s="1"/>
      <c r="IR1040" s="1"/>
      <c r="IS1040" s="1"/>
      <c r="IT1040" s="1"/>
      <c r="IU1040" s="1"/>
      <c r="IV1040" s="1"/>
      <c r="IW1040" s="1"/>
      <c r="IX1040" s="1"/>
      <c r="IY1040" s="1"/>
      <c r="IZ1040" s="1"/>
      <c r="JA1040" s="1"/>
      <c r="JB1040" s="1"/>
      <c r="JC1040" s="1"/>
      <c r="JD1040" s="1"/>
    </row>
    <row r="1041" spans="1:264" s="411" customFormat="1" x14ac:dyDescent="0.2">
      <c r="A1041" s="411" t="s">
        <v>706</v>
      </c>
      <c r="B1041" s="423"/>
      <c r="BD1041" s="621"/>
      <c r="BE1041" s="621"/>
      <c r="BF1041" s="621"/>
      <c r="BH1041" s="621">
        <f>+BH1037/BH1038</f>
        <v>0.70752187110991949</v>
      </c>
      <c r="BI1041" s="621">
        <f>+BI1037/BI1038</f>
        <v>0.80798437894736841</v>
      </c>
      <c r="BJ1041" s="621">
        <f>+BJ1037/BJ1038</f>
        <v>0.75944485119689109</v>
      </c>
      <c r="BK1041" s="423"/>
      <c r="BL1041" s="621">
        <f>+BL1037/BL1038</f>
        <v>0.6948951165795052</v>
      </c>
      <c r="BM1041" s="621">
        <f>+BM1037/BM1038</f>
        <v>0.80511978198633249</v>
      </c>
      <c r="BN1041" s="621">
        <f>+BN1037/BN1038</f>
        <v>0.75093290246670519</v>
      </c>
      <c r="BO1041" s="423"/>
      <c r="BP1041" s="621">
        <f>+BP1037/BP1038</f>
        <v>0.69863155693579981</v>
      </c>
      <c r="BQ1041" s="621">
        <f>+BQ1037/BQ1038</f>
        <v>0.80473403627171491</v>
      </c>
      <c r="BR1041" s="621">
        <f>+BR1037/BR1038</f>
        <v>0.75106965624435895</v>
      </c>
      <c r="BT1041" s="621">
        <f>+BT1037/BT1038</f>
        <v>0.70790170304020117</v>
      </c>
      <c r="BU1041" s="621">
        <f>+BU1037/BU1038</f>
        <v>0.82433765597315434</v>
      </c>
      <c r="BV1041" s="621">
        <f>+BV1037/BV1038</f>
        <v>0.76514679794145823</v>
      </c>
      <c r="BX1041" s="621">
        <f>+BX1037/BX1038</f>
        <v>0.69882315730792743</v>
      </c>
      <c r="BY1041" s="621">
        <f>+BY1037/BY1038</f>
        <v>0.79989882796542022</v>
      </c>
      <c r="BZ1041" s="621">
        <f>+BZ1037/BZ1038</f>
        <v>0.74970367404210103</v>
      </c>
      <c r="CB1041" s="621">
        <f>+CB1037/CB1038</f>
        <v>0.71965846766577701</v>
      </c>
      <c r="CC1041" s="621">
        <f>+CC1037/CC1038</f>
        <v>0.89522950193789919</v>
      </c>
      <c r="CD1041" s="621">
        <f>+CD1037/CD1038</f>
        <v>0.80436608205482363</v>
      </c>
      <c r="CF1041" s="621">
        <f>+CF1037/CF1038</f>
        <v>0.73591332654333808</v>
      </c>
      <c r="CG1041" s="621">
        <f>+CG1037/CG1038</f>
        <v>1.0498724675661104</v>
      </c>
      <c r="CH1041" s="621">
        <f>+CH1037/CH1038</f>
        <v>0.87637632381920505</v>
      </c>
      <c r="CJ1041" s="621">
        <f>+CJ1037/CJ1038</f>
        <v>0.79169924284436488</v>
      </c>
      <c r="CK1041" s="621">
        <f>+CK1037/CK1038</f>
        <v>0.59108508240545143</v>
      </c>
      <c r="CL1041" s="621">
        <f>+CL1037/CL1038</f>
        <v>0.71220652502497639</v>
      </c>
      <c r="CN1041" s="621">
        <f>+CN1037/CN1038</f>
        <v>0.67082042223342575</v>
      </c>
      <c r="CO1041" s="621">
        <f>+CO1037/CO1038</f>
        <v>0.73400761688043037</v>
      </c>
      <c r="CP1041" s="621">
        <f>+CP1037/CP1038</f>
        <v>0.70552635325531199</v>
      </c>
      <c r="CR1041" s="621">
        <f>+CR1037/CR1038</f>
        <v>0.61621653017952949</v>
      </c>
      <c r="CS1041" s="621">
        <f>+CS1037/CS1038</f>
        <v>0.73493020415466892</v>
      </c>
      <c r="CT1041" s="621">
        <f>+CT1037/CT1038</f>
        <v>0.67567119466934489</v>
      </c>
      <c r="CV1041" s="621">
        <f>+CV1037/CV1038</f>
        <v>0.68317336317919075</v>
      </c>
      <c r="CW1041" s="621">
        <f>+CW1037/CW1038</f>
        <v>0.82098089240816319</v>
      </c>
      <c r="CX1041" s="621">
        <f>+CX1037/CX1038</f>
        <v>0.75009674209117938</v>
      </c>
      <c r="CZ1041" s="621">
        <f>+CZ1037/CZ1038</f>
        <v>0.71651774290547265</v>
      </c>
      <c r="DA1041" s="621">
        <f>+DA1037/DA1038</f>
        <v>0.86767957175445876</v>
      </c>
      <c r="DB1041" s="621">
        <f>+DB1037/DB1038</f>
        <v>0.79054052534782171</v>
      </c>
      <c r="DD1041" s="621">
        <f>+DD1037/DD1038</f>
        <v>0.73354574430157804</v>
      </c>
      <c r="DE1041" s="621">
        <f>+DE1037/DE1038</f>
        <v>0.84980510367187512</v>
      </c>
      <c r="DF1041" s="621">
        <f>+DF1037/DF1038</f>
        <v>0.79160172011118701</v>
      </c>
      <c r="DH1041" s="621">
        <f>+DH1037/DH1038</f>
        <v>0.72224729867768589</v>
      </c>
      <c r="DI1041" s="621">
        <f>+DI1037/DI1038</f>
        <v>0.83199999999999996</v>
      </c>
      <c r="DJ1041" s="621">
        <f>+DJ1037/DJ1038</f>
        <v>0.77801425739378438</v>
      </c>
      <c r="DL1041" s="621">
        <f>+DL1037/DL1038</f>
        <v>0.73399999999999999</v>
      </c>
      <c r="DM1041" s="621">
        <f>+DM1037/DM1038</f>
        <v>0.85399999999999998</v>
      </c>
      <c r="DN1041" s="621">
        <f>+DN1037/DN1038</f>
        <v>0.79374479327728786</v>
      </c>
      <c r="DP1041" s="621">
        <f>+DP1037/DP1038</f>
        <v>0.73499999999999999</v>
      </c>
      <c r="DQ1041" s="621">
        <f>+DQ1037/DQ1038</f>
        <v>0.86199999999999988</v>
      </c>
      <c r="DR1041" s="621">
        <f>+DR1037/DR1038</f>
        <v>0.79841037402632942</v>
      </c>
      <c r="DT1041" s="1"/>
      <c r="DU1041" s="1"/>
      <c r="DV1041" s="1"/>
      <c r="DW1041" s="1"/>
      <c r="DX1041" s="1"/>
      <c r="DY1041" s="1"/>
      <c r="DZ1041" s="1"/>
      <c r="EA1041" s="1"/>
      <c r="EB1041" s="1"/>
      <c r="EC1041" s="1"/>
      <c r="ED1041" s="1"/>
      <c r="EE1041" s="1"/>
      <c r="EF1041" s="1"/>
      <c r="EG1041" s="1"/>
      <c r="EH1041" s="1"/>
      <c r="EI1041" s="1"/>
      <c r="EJ1041" s="1"/>
      <c r="EK1041" s="1"/>
      <c r="EL1041" s="1"/>
      <c r="EM1041" s="1"/>
      <c r="EN1041" s="1"/>
      <c r="EO1041" s="1"/>
      <c r="EP1041" s="1"/>
      <c r="EQ1041" s="1"/>
      <c r="ER1041" s="1"/>
      <c r="ES1041" s="1"/>
      <c r="ET1041" s="1"/>
      <c r="EU1041" s="1"/>
      <c r="EV1041" s="1"/>
      <c r="EW1041" s="1"/>
      <c r="EX1041" s="1"/>
      <c r="EY1041" s="1"/>
      <c r="EZ1041" s="1"/>
      <c r="FA1041" s="1"/>
      <c r="FB1041" s="1"/>
      <c r="FC1041" s="1"/>
      <c r="FD1041" s="1"/>
      <c r="FE1041" s="1"/>
      <c r="FF1041" s="1"/>
      <c r="FG1041" s="1"/>
      <c r="FH1041" s="1"/>
      <c r="FI1041" s="1"/>
      <c r="FJ1041" s="1"/>
      <c r="FK1041" s="1"/>
      <c r="FL1041" s="1"/>
      <c r="FM1041" s="1"/>
      <c r="FN1041" s="1"/>
      <c r="FO1041" s="1"/>
      <c r="FP1041" s="1"/>
      <c r="FQ1041" s="1"/>
      <c r="FR1041" s="1"/>
      <c r="FS1041" s="1"/>
      <c r="FT1041" s="1"/>
      <c r="FU1041" s="1"/>
      <c r="FV1041" s="1"/>
      <c r="FW1041" s="1"/>
      <c r="FX1041" s="1"/>
      <c r="FY1041" s="1"/>
      <c r="FZ1041" s="1"/>
      <c r="GA1041" s="1"/>
      <c r="GB1041" s="1"/>
      <c r="GC1041" s="1"/>
      <c r="GD1041" s="1"/>
      <c r="GE1041" s="1"/>
      <c r="GF1041" s="1"/>
      <c r="GG1041" s="1"/>
      <c r="GH1041" s="1"/>
      <c r="GI1041" s="1"/>
      <c r="GJ1041" s="1"/>
      <c r="GK1041" s="1"/>
      <c r="GL1041" s="1"/>
      <c r="GM1041" s="1"/>
      <c r="GN1041" s="1"/>
      <c r="GO1041" s="1"/>
      <c r="GP1041" s="1"/>
      <c r="GQ1041" s="1"/>
      <c r="GR1041" s="1"/>
      <c r="GS1041" s="1"/>
      <c r="GT1041" s="1"/>
      <c r="GU1041" s="1"/>
      <c r="GV1041" s="1"/>
      <c r="GW1041" s="1"/>
      <c r="GX1041" s="1"/>
      <c r="GY1041" s="1"/>
      <c r="GZ1041" s="1"/>
      <c r="HA1041" s="1"/>
      <c r="HB1041" s="1"/>
      <c r="HC1041" s="1"/>
      <c r="HD1041" s="1"/>
      <c r="HE1041" s="1"/>
      <c r="HF1041" s="1"/>
      <c r="HG1041" s="1"/>
      <c r="HH1041" s="1"/>
      <c r="HI1041" s="1"/>
      <c r="HJ1041" s="1"/>
      <c r="HK1041" s="1"/>
      <c r="HL1041" s="1"/>
      <c r="HM1041" s="1"/>
      <c r="HN1041" s="1"/>
      <c r="HO1041" s="1"/>
      <c r="HP1041" s="1"/>
      <c r="HQ1041" s="1"/>
      <c r="HR1041" s="1"/>
      <c r="HS1041" s="1"/>
      <c r="HT1041" s="1"/>
      <c r="HU1041" s="1"/>
      <c r="HV1041" s="1"/>
      <c r="HW1041" s="1"/>
      <c r="HX1041" s="1"/>
      <c r="HY1041" s="1"/>
      <c r="HZ1041" s="1"/>
      <c r="IA1041" s="1"/>
      <c r="IB1041" s="1"/>
      <c r="IC1041" s="1"/>
      <c r="ID1041" s="1"/>
      <c r="IE1041" s="1"/>
      <c r="IF1041" s="1"/>
      <c r="IG1041" s="1"/>
      <c r="IH1041" s="1"/>
      <c r="II1041" s="1"/>
      <c r="IJ1041" s="1"/>
      <c r="IK1041" s="1"/>
      <c r="IL1041" s="1"/>
      <c r="IM1041" s="1"/>
      <c r="IN1041" s="1"/>
      <c r="IO1041" s="1"/>
      <c r="IP1041" s="1"/>
      <c r="IQ1041" s="1"/>
      <c r="IR1041" s="1"/>
      <c r="IS1041" s="1"/>
      <c r="IT1041" s="1"/>
      <c r="IU1041" s="1"/>
      <c r="IV1041" s="1"/>
      <c r="IW1041" s="1"/>
      <c r="IX1041" s="1"/>
      <c r="IY1041" s="1"/>
      <c r="IZ1041" s="1"/>
      <c r="JA1041" s="1"/>
      <c r="JB1041" s="1"/>
      <c r="JC1041" s="1"/>
      <c r="JD1041" s="1"/>
    </row>
    <row r="1042" spans="1:264" s="411" customFormat="1" x14ac:dyDescent="0.2">
      <c r="A1042" s="411" t="s">
        <v>707</v>
      </c>
      <c r="B1042" s="423"/>
      <c r="BD1042" s="738"/>
      <c r="BE1042" s="738"/>
      <c r="BF1042" s="738"/>
      <c r="BH1042" s="621">
        <f>(BH1037-BH1078-BH1082)/BH1038</f>
        <v>0.70752187110991949</v>
      </c>
      <c r="BI1042" s="621">
        <f>(BI1037-BI1078-BI1082)/BI1038</f>
        <v>0.80798437894736841</v>
      </c>
      <c r="BJ1042" s="621">
        <f>(BJ1037-BJ1078-BJ1082)/BJ1038</f>
        <v>0.58874925713367865</v>
      </c>
      <c r="BK1042" s="453"/>
      <c r="BL1042" s="621">
        <f>(BL1037-BL1078-BL1082)/BL1038</f>
        <v>0.52835585986073019</v>
      </c>
      <c r="BM1042" s="621">
        <f>(BM1037-BM1078-BM1082)/BM1038</f>
        <v>0.80511978198633249</v>
      </c>
      <c r="BN1042" s="621">
        <f>(BN1037-BN1078-BN1082)/BN1038</f>
        <v>0.58748412652401194</v>
      </c>
      <c r="BO1042" s="453"/>
      <c r="BP1042" s="621">
        <f>(BP1037-BP1078-BP1082)/BP1038</f>
        <v>0.57403496413057675</v>
      </c>
      <c r="BQ1042" s="621">
        <f>(BQ1037-BQ1078-BQ1082)/BQ1038</f>
        <v>0.65838395798663707</v>
      </c>
      <c r="BR1042" s="621">
        <f>(BR1037-BR1078-BR1082)/BR1038</f>
        <v>0.61572202878811233</v>
      </c>
      <c r="BS1042" s="453"/>
      <c r="BT1042" s="621">
        <f>(BT1037-BT1078-BT1082)/BT1038</f>
        <v>0.59231718428391977</v>
      </c>
      <c r="BU1042" s="621">
        <f>(BU1037-BU1078-BU1082)/BU1038</f>
        <v>0.6974161536133362</v>
      </c>
      <c r="BV1042" s="621">
        <f>(BV1037-BV1078-BV1082)/BV1038</f>
        <v>0.64398851364342746</v>
      </c>
      <c r="BW1042" s="453"/>
      <c r="BX1042" s="621">
        <f>(BX1037-BX1078-BX1082)/BX1038</f>
        <v>0.58538400040554306</v>
      </c>
      <c r="BY1042" s="621">
        <f>(BY1037-BY1078-BY1082)/BY1038</f>
        <v>0.48363498576799357</v>
      </c>
      <c r="BZ1042" s="621">
        <f>(BZ1037-BZ1078-BZ1082)/BZ1038</f>
        <v>0.53416452881287313</v>
      </c>
      <c r="CA1042" s="453"/>
      <c r="CB1042" s="621">
        <f>(CB1037-CB1078-CB1082)/CB1038</f>
        <v>0.60955612766167111</v>
      </c>
      <c r="CC1042" s="621">
        <f>(CC1037-CC1078-CC1082)/CC1038</f>
        <v>0.73021739006826691</v>
      </c>
      <c r="CD1042" s="621">
        <f>(CD1037-CD1078-CD1082)/CD1038</f>
        <v>0.66777146899065021</v>
      </c>
      <c r="CE1042" s="453"/>
      <c r="CF1042" s="621">
        <f>(CF1037-CF1078-CF1082)/CF1038</f>
        <v>0.73591332654333808</v>
      </c>
      <c r="CG1042" s="621">
        <f>(CG1037-CG1078-CG1082)/CG1038</f>
        <v>1.0498724675661104</v>
      </c>
      <c r="CH1042" s="621">
        <f>(CH1037-CH1078-CH1082)/CH1038</f>
        <v>0.73786148290144726</v>
      </c>
      <c r="CI1042" s="453"/>
      <c r="CJ1042" s="621">
        <f>(CJ1037-CJ1078-CJ1082)/CJ1038</f>
        <v>0.79169924284436488</v>
      </c>
      <c r="CK1042" s="621">
        <f>(CK1037-CK1078-CK1082)/CK1038</f>
        <v>0.50102935409540039</v>
      </c>
      <c r="CL1042" s="621">
        <f>(CL1037-CL1078-CL1082)/CL1038</f>
        <v>0.60638773254488987</v>
      </c>
      <c r="CM1042" s="453"/>
      <c r="CN1042" s="621">
        <f>(CN1037-CN1078-CN1082)/CN1038</f>
        <v>0.67082042223342575</v>
      </c>
      <c r="CO1042" s="621">
        <f>(CO1037-CO1078-CO1082)/CO1038</f>
        <v>0.73400761688043037</v>
      </c>
      <c r="CP1042" s="621">
        <f>(CP1037-CP1078-CP1082)/CP1038</f>
        <v>0.5934487095193729</v>
      </c>
      <c r="CQ1042" s="453"/>
      <c r="CR1042" s="621">
        <f>(CR1037-CR1078-CR1082)/CR1038</f>
        <v>0.61621653017952949</v>
      </c>
      <c r="CS1042" s="621">
        <f>(CS1037-CS1078-CS1082)/CS1038</f>
        <v>0.73493020415466892</v>
      </c>
      <c r="CT1042" s="621">
        <f>(CT1037-CT1078-CT1082)/CT1038</f>
        <v>0.5626803049275263</v>
      </c>
      <c r="CU1042" s="453"/>
      <c r="CV1042" s="621">
        <f>(CV1037-CV1078-CV1082)/CV1038</f>
        <v>0.68317336317919075</v>
      </c>
      <c r="CW1042" s="621">
        <f>(CW1037-CW1078-CW1082)/CW1038</f>
        <v>0.82098089240816319</v>
      </c>
      <c r="CX1042" s="621">
        <f>(CX1037-CX1078-CX1082)/CX1038</f>
        <v>0.61900927739115963</v>
      </c>
      <c r="CY1042" s="453"/>
      <c r="CZ1042" s="621">
        <f>(CZ1037-CZ1078-CZ1082)/CZ1038</f>
        <v>0.71651774290547265</v>
      </c>
      <c r="DA1042" s="621">
        <f>(DA1037-DA1078-DA1082)/DA1038</f>
        <v>0.86767957175445876</v>
      </c>
      <c r="DB1042" s="621">
        <f>(DB1037-DB1078-DB1082)/DB1038</f>
        <v>0.66471540094445003</v>
      </c>
      <c r="DC1042" s="453"/>
      <c r="DD1042" s="621">
        <f>(DD1037-DD1078-DD1082)/DD1038</f>
        <v>0.73354574430157804</v>
      </c>
      <c r="DE1042" s="621">
        <f>(DE1037-DE1078-DE1082)/DE1038</f>
        <v>0.84980510367187512</v>
      </c>
      <c r="DF1042" s="621">
        <f>(DF1037-DF1078-DF1082)/DF1038</f>
        <v>0.66237125098020089</v>
      </c>
      <c r="DG1042" s="453"/>
      <c r="DH1042" s="621">
        <f>(DH1037-DH1078-DH1082)/DH1038</f>
        <v>0.72224729867768589</v>
      </c>
      <c r="DI1042" s="621">
        <f>(DI1037-DI1078-DI1082)/DI1038</f>
        <v>0.83199999999999996</v>
      </c>
      <c r="DJ1042" s="621">
        <f>(DJ1037-DJ1078-DJ1082)/DJ1038</f>
        <v>0.66131211878471674</v>
      </c>
      <c r="DK1042" s="453"/>
      <c r="DL1042" s="621">
        <f>(DL1037-DL1078-DL1082)/DL1038</f>
        <v>0.73399999999999999</v>
      </c>
      <c r="DM1042" s="621">
        <f>(DM1037-DM1078-DM1082)/DM1038</f>
        <v>0.85399999999999998</v>
      </c>
      <c r="DN1042" s="621">
        <f>(DN1037-DN1078-DN1082)/DN1038</f>
        <v>0.67468307428569463</v>
      </c>
      <c r="DO1042" s="453"/>
      <c r="DP1042" s="621">
        <f>(DP1037-DP1078-DP1082)/DP1038</f>
        <v>0.73499999999999999</v>
      </c>
      <c r="DQ1042" s="621">
        <f>(DQ1037-DQ1078-DQ1082)/DQ1038</f>
        <v>0.86199999999999988</v>
      </c>
      <c r="DR1042" s="621">
        <f>(DR1037-DR1078-DR1082)/DR1038</f>
        <v>0.67864881792237997</v>
      </c>
      <c r="DS1042" s="453"/>
      <c r="DT1042" s="1"/>
      <c r="DU1042" s="1"/>
      <c r="DV1042" s="1"/>
      <c r="DW1042" s="1"/>
      <c r="DX1042" s="1"/>
      <c r="DY1042" s="1"/>
      <c r="DZ1042" s="1"/>
      <c r="EA1042" s="1"/>
      <c r="EB1042" s="1"/>
      <c r="EC1042" s="1"/>
      <c r="ED1042" s="1"/>
      <c r="EE1042" s="1"/>
      <c r="EF1042" s="1"/>
      <c r="EG1042" s="1"/>
      <c r="EH1042" s="1"/>
      <c r="EI1042" s="1"/>
      <c r="EJ1042" s="1"/>
      <c r="EK1042" s="1"/>
      <c r="EL1042" s="1"/>
      <c r="EM1042" s="1"/>
      <c r="EN1042" s="1"/>
      <c r="EO1042" s="1"/>
      <c r="EP1042" s="1"/>
      <c r="EQ1042" s="1"/>
      <c r="ER1042" s="1"/>
      <c r="ES1042" s="1"/>
      <c r="ET1042" s="1"/>
      <c r="EU1042" s="1"/>
      <c r="EV1042" s="1"/>
      <c r="EW1042" s="1"/>
      <c r="EX1042" s="1"/>
      <c r="EY1042" s="1"/>
      <c r="EZ1042" s="1"/>
      <c r="FA1042" s="1"/>
      <c r="FB1042" s="1"/>
      <c r="FC1042" s="1"/>
      <c r="FD1042" s="1"/>
      <c r="FE1042" s="1"/>
      <c r="FF1042" s="1"/>
      <c r="FG1042" s="1"/>
      <c r="FH1042" s="1"/>
      <c r="FI1042" s="1"/>
      <c r="FJ1042" s="1"/>
      <c r="FK1042" s="1"/>
      <c r="FL1042" s="1"/>
      <c r="FM1042" s="1"/>
      <c r="FN1042" s="1"/>
      <c r="FO1042" s="1"/>
      <c r="FP1042" s="1"/>
      <c r="FQ1042" s="1"/>
      <c r="FR1042" s="1"/>
      <c r="FS1042" s="1"/>
      <c r="FT1042" s="1"/>
      <c r="FU1042" s="1"/>
      <c r="FV1042" s="1"/>
      <c r="FW1042" s="1"/>
      <c r="FX1042" s="1"/>
      <c r="FY1042" s="1"/>
      <c r="FZ1042" s="1"/>
      <c r="GA1042" s="1"/>
      <c r="GB1042" s="1"/>
      <c r="GC1042" s="1"/>
      <c r="GD1042" s="1"/>
      <c r="GE1042" s="1"/>
      <c r="GF1042" s="1"/>
      <c r="GG1042" s="1"/>
      <c r="GH1042" s="1"/>
      <c r="GI1042" s="1"/>
      <c r="GJ1042" s="1"/>
      <c r="GK1042" s="1"/>
      <c r="GL1042" s="1"/>
      <c r="GM1042" s="1"/>
      <c r="GN1042" s="1"/>
      <c r="GO1042" s="1"/>
      <c r="GP1042" s="1"/>
      <c r="GQ1042" s="1"/>
      <c r="GR1042" s="1"/>
      <c r="GS1042" s="1"/>
      <c r="GT1042" s="1"/>
      <c r="GU1042" s="1"/>
      <c r="GV1042" s="1"/>
      <c r="GW1042" s="1"/>
      <c r="GX1042" s="1"/>
      <c r="GY1042" s="1"/>
      <c r="GZ1042" s="1"/>
      <c r="HA1042" s="1"/>
      <c r="HB1042" s="1"/>
      <c r="HC1042" s="1"/>
      <c r="HD1042" s="1"/>
      <c r="HE1042" s="1"/>
      <c r="HF1042" s="1"/>
      <c r="HG1042" s="1"/>
      <c r="HH1042" s="1"/>
      <c r="HI1042" s="1"/>
      <c r="HJ1042" s="1"/>
      <c r="HK1042" s="1"/>
      <c r="HL1042" s="1"/>
      <c r="HM1042" s="1"/>
      <c r="HN1042" s="1"/>
      <c r="HO1042" s="1"/>
      <c r="HP1042" s="1"/>
      <c r="HQ1042" s="1"/>
      <c r="HR1042" s="1"/>
      <c r="HS1042" s="1"/>
      <c r="HT1042" s="1"/>
      <c r="HU1042" s="1"/>
      <c r="HV1042" s="1"/>
      <c r="HW1042" s="1"/>
      <c r="HX1042" s="1"/>
      <c r="HY1042" s="1"/>
      <c r="HZ1042" s="1"/>
      <c r="IA1042" s="1"/>
      <c r="IB1042" s="1"/>
      <c r="IC1042" s="1"/>
      <c r="ID1042" s="1"/>
      <c r="IE1042" s="1"/>
      <c r="IF1042" s="1"/>
      <c r="IG1042" s="1"/>
      <c r="IH1042" s="1"/>
      <c r="II1042" s="1"/>
      <c r="IJ1042" s="1"/>
      <c r="IK1042" s="1"/>
      <c r="IL1042" s="1"/>
      <c r="IM1042" s="1"/>
      <c r="IN1042" s="1"/>
      <c r="IO1042" s="1"/>
      <c r="IP1042" s="1"/>
      <c r="IQ1042" s="1"/>
      <c r="IR1042" s="1"/>
      <c r="IS1042" s="1"/>
      <c r="IT1042" s="1"/>
      <c r="IU1042" s="1"/>
      <c r="IV1042" s="1"/>
      <c r="IW1042" s="1"/>
      <c r="IX1042" s="1"/>
      <c r="IY1042" s="1"/>
      <c r="IZ1042" s="1"/>
      <c r="JA1042" s="1"/>
      <c r="JB1042" s="1"/>
      <c r="JC1042" s="1"/>
      <c r="JD1042" s="1"/>
    </row>
    <row r="1043" spans="1:264" s="411" customFormat="1" x14ac:dyDescent="0.2">
      <c r="A1043" s="411" t="s">
        <v>708</v>
      </c>
      <c r="B1043" s="423"/>
      <c r="BD1043" s="397"/>
      <c r="BE1043" s="397"/>
      <c r="BF1043" s="397"/>
      <c r="BH1043" s="738"/>
      <c r="BI1043" s="738"/>
      <c r="BJ1043" s="738"/>
      <c r="BL1043" s="738"/>
      <c r="BM1043" s="738"/>
      <c r="BN1043" s="738"/>
      <c r="BP1043" s="738"/>
      <c r="BQ1043" s="738"/>
      <c r="BR1043" s="738"/>
      <c r="BT1043" s="738"/>
      <c r="BU1043" s="738"/>
      <c r="BV1043" s="738"/>
      <c r="BX1043" s="397">
        <f>SUM(BX75:BX76,BX84:BX88)</f>
        <v>4</v>
      </c>
      <c r="BY1043" s="397">
        <f>SUM(BY75:BY76,BY84:BY88)</f>
        <v>-35</v>
      </c>
      <c r="BZ1043" s="397">
        <f>SUM(BZ75:BZ76,BZ84:BZ88)</f>
        <v>-31</v>
      </c>
      <c r="CA1043" s="738"/>
      <c r="CB1043" s="397">
        <f>SUM(CB75:CB76,CB84:CB88)</f>
        <v>-554</v>
      </c>
      <c r="CC1043" s="397">
        <f>SUM(CC75:CC76,CC84:CC88)</f>
        <v>-571</v>
      </c>
      <c r="CD1043" s="397">
        <f>SUM(CD75:CD76,CD84:CD88)</f>
        <v>-1125</v>
      </c>
      <c r="CF1043" s="397">
        <f>SUM(CF75:CF76,CF84:CF88)</f>
        <v>-91</v>
      </c>
      <c r="CG1043" s="397">
        <f>SUM(CG75:CG76,CG84:CG88)</f>
        <v>-599</v>
      </c>
      <c r="CH1043" s="397">
        <f>SUM(CH75:CH76,CH84:CH88)</f>
        <v>-690</v>
      </c>
      <c r="CJ1043" s="397">
        <f>SUM(CJ75:CJ76,CJ84:CJ88)</f>
        <v>0</v>
      </c>
      <c r="CK1043" s="397">
        <f>SUM(CK75:CK76,CK84:CK88)</f>
        <v>-461</v>
      </c>
      <c r="CL1043" s="397">
        <f>SUM(CL75:CL76,CL84:CL88)</f>
        <v>-461</v>
      </c>
      <c r="CN1043" s="397">
        <f>SUM(CN75:CN76,CN84:CN88)</f>
        <v>-242</v>
      </c>
      <c r="CO1043" s="397">
        <f>SUM(CO75:CO76,CO84:CO88)</f>
        <v>-333</v>
      </c>
      <c r="CP1043" s="397">
        <f>SUM(CP75:CP76,CP84:CP88)</f>
        <v>-575</v>
      </c>
      <c r="CR1043" s="397">
        <f>SUM(CR75:CR76,CR84:CR88)</f>
        <v>-93</v>
      </c>
      <c r="CS1043" s="397">
        <f>SUM(CS75:CS76,CS84:CS88)</f>
        <v>-31</v>
      </c>
      <c r="CT1043" s="397">
        <f>SUM(CT75:CT76,CT84:CT88)</f>
        <v>-124</v>
      </c>
      <c r="CV1043" s="397">
        <f>SUM(CV75:CV76,CV84:CV88)</f>
        <v>-137</v>
      </c>
      <c r="CW1043" s="397">
        <f>SUM(CW75:CW76,CW84:CW88)</f>
        <v>-212</v>
      </c>
      <c r="CX1043" s="397">
        <f>SUM(CX75:CX76,CX84:CX88)</f>
        <v>-212</v>
      </c>
      <c r="CZ1043" s="397">
        <f>SUM(CZ75:CZ76,CZ84:CZ88)</f>
        <v>0</v>
      </c>
      <c r="DA1043" s="397">
        <f>SUM(DA75:DA76,DA84:DA88)</f>
        <v>-89</v>
      </c>
      <c r="DB1043" s="397">
        <f>SUM(DB75:DB76,DB84:DB88)</f>
        <v>-89</v>
      </c>
      <c r="DD1043" s="397">
        <f>SUM(DD75:DD76,DD84:DD88)</f>
        <v>0</v>
      </c>
      <c r="DE1043" s="397">
        <f>SUM(DE75:DE76,DE84:DE88)</f>
        <v>-130</v>
      </c>
      <c r="DF1043" s="397">
        <f>SUM(DF75:DF76,DF84:DF88)</f>
        <v>-130</v>
      </c>
      <c r="DH1043" s="397">
        <f>SUM(DH75:DH76,DH84:DH88)</f>
        <v>-170</v>
      </c>
      <c r="DI1043" s="397">
        <f>SUM(DI75:DI76,DI84:DI88)</f>
        <v>-50</v>
      </c>
      <c r="DJ1043" s="397">
        <f>SUM(DJ75:DJ76,DJ84:DJ88)</f>
        <v>-220</v>
      </c>
      <c r="DL1043" s="397">
        <f>SUM(DL75:DL76,DL84:DL88)</f>
        <v>0</v>
      </c>
      <c r="DM1043" s="397">
        <f>SUM(DM75:DM76,DM84:DM88)</f>
        <v>-50</v>
      </c>
      <c r="DN1043" s="397">
        <f>SUM(DN75:DN76,DN84:DN88)</f>
        <v>-50</v>
      </c>
      <c r="DP1043" s="397">
        <f>SUM(DP75:DP76,DP84:DP88)</f>
        <v>0</v>
      </c>
      <c r="DQ1043" s="397">
        <f>SUM(DQ75:DQ76,DQ84:DQ88)</f>
        <v>-50</v>
      </c>
      <c r="DR1043" s="397">
        <f>SUM(DR75:DR76,DR84:DR88)</f>
        <v>-50</v>
      </c>
      <c r="DT1043" s="1"/>
      <c r="DU1043" s="1"/>
      <c r="DV1043" s="1"/>
      <c r="DW1043" s="1"/>
      <c r="DX1043" s="1"/>
      <c r="DY1043" s="1"/>
      <c r="DZ1043" s="1"/>
      <c r="EA1043" s="1"/>
      <c r="EB1043" s="1"/>
      <c r="EC1043" s="1"/>
      <c r="ED1043" s="1"/>
      <c r="EE1043" s="1"/>
      <c r="EF1043" s="1"/>
      <c r="EG1043" s="1"/>
      <c r="EH1043" s="1"/>
      <c r="EI1043" s="1"/>
      <c r="EJ1043" s="1"/>
      <c r="EK1043" s="1"/>
      <c r="EL1043" s="1"/>
      <c r="EM1043" s="1"/>
      <c r="EN1043" s="1"/>
      <c r="EO1043" s="1"/>
      <c r="EP1043" s="1"/>
      <c r="EQ1043" s="1"/>
      <c r="ER1043" s="1"/>
      <c r="ES1043" s="1"/>
      <c r="ET1043" s="1"/>
      <c r="EU1043" s="1"/>
      <c r="EV1043" s="1"/>
      <c r="EW1043" s="1"/>
      <c r="EX1043" s="1"/>
      <c r="EY1043" s="1"/>
      <c r="EZ1043" s="1"/>
      <c r="FA1043" s="1"/>
      <c r="FB1043" s="1"/>
      <c r="FC1043" s="1"/>
      <c r="FD1043" s="1"/>
      <c r="FE1043" s="1"/>
      <c r="FF1043" s="1"/>
      <c r="FG1043" s="1"/>
      <c r="FH1043" s="1"/>
      <c r="FI1043" s="1"/>
      <c r="FJ1043" s="1"/>
      <c r="FK1043" s="1"/>
      <c r="FL1043" s="1"/>
      <c r="FM1043" s="1"/>
      <c r="FN1043" s="1"/>
      <c r="FO1043" s="1"/>
      <c r="FP1043" s="1"/>
      <c r="FQ1043" s="1"/>
      <c r="FR1043" s="1"/>
      <c r="FS1043" s="1"/>
      <c r="FT1043" s="1"/>
      <c r="FU1043" s="1"/>
      <c r="FV1043" s="1"/>
      <c r="FW1043" s="1"/>
      <c r="FX1043" s="1"/>
      <c r="FY1043" s="1"/>
      <c r="FZ1043" s="1"/>
      <c r="GA1043" s="1"/>
      <c r="GB1043" s="1"/>
      <c r="GC1043" s="1"/>
      <c r="GD1043" s="1"/>
      <c r="GE1043" s="1"/>
      <c r="GF1043" s="1"/>
      <c r="GG1043" s="1"/>
      <c r="GH1043" s="1"/>
      <c r="GI1043" s="1"/>
      <c r="GJ1043" s="1"/>
      <c r="GK1043" s="1"/>
      <c r="GL1043" s="1"/>
      <c r="GM1043" s="1"/>
      <c r="GN1043" s="1"/>
      <c r="GO1043" s="1"/>
      <c r="GP1043" s="1"/>
      <c r="GQ1043" s="1"/>
      <c r="GR1043" s="1"/>
      <c r="GS1043" s="1"/>
      <c r="GT1043" s="1"/>
      <c r="GU1043" s="1"/>
      <c r="GV1043" s="1"/>
      <c r="GW1043" s="1"/>
      <c r="GX1043" s="1"/>
      <c r="GY1043" s="1"/>
      <c r="GZ1043" s="1"/>
      <c r="HA1043" s="1"/>
      <c r="HB1043" s="1"/>
      <c r="HC1043" s="1"/>
      <c r="HD1043" s="1"/>
      <c r="HE1043" s="1"/>
      <c r="HF1043" s="1"/>
      <c r="HG1043" s="1"/>
      <c r="HH1043" s="1"/>
      <c r="HI1043" s="1"/>
      <c r="HJ1043" s="1"/>
      <c r="HK1043" s="1"/>
      <c r="HL1043" s="1"/>
      <c r="HM1043" s="1"/>
      <c r="HN1043" s="1"/>
      <c r="HO1043" s="1"/>
      <c r="HP1043" s="1"/>
      <c r="HQ1043" s="1"/>
      <c r="HR1043" s="1"/>
      <c r="HS1043" s="1"/>
      <c r="HT1043" s="1"/>
      <c r="HU1043" s="1"/>
      <c r="HV1043" s="1"/>
      <c r="HW1043" s="1"/>
      <c r="HX1043" s="1"/>
      <c r="HY1043" s="1"/>
      <c r="HZ1043" s="1"/>
      <c r="IA1043" s="1"/>
      <c r="IB1043" s="1"/>
      <c r="IC1043" s="1"/>
      <c r="ID1043" s="1"/>
      <c r="IE1043" s="1"/>
      <c r="IF1043" s="1"/>
      <c r="IG1043" s="1"/>
      <c r="IH1043" s="1"/>
      <c r="II1043" s="1"/>
      <c r="IJ1043" s="1"/>
      <c r="IK1043" s="1"/>
      <c r="IL1043" s="1"/>
      <c r="IM1043" s="1"/>
      <c r="IN1043" s="1"/>
      <c r="IO1043" s="1"/>
      <c r="IP1043" s="1"/>
      <c r="IQ1043" s="1"/>
      <c r="IR1043" s="1"/>
      <c r="IS1043" s="1"/>
      <c r="IT1043" s="1"/>
      <c r="IU1043" s="1"/>
      <c r="IV1043" s="1"/>
      <c r="IW1043" s="1"/>
      <c r="IX1043" s="1"/>
      <c r="IY1043" s="1"/>
      <c r="IZ1043" s="1"/>
      <c r="JA1043" s="1"/>
      <c r="JB1043" s="1"/>
      <c r="JC1043" s="1"/>
      <c r="JD1043" s="1"/>
    </row>
    <row r="1044" spans="1:264" s="411" customFormat="1" x14ac:dyDescent="0.2">
      <c r="A1044" s="411" t="s">
        <v>709</v>
      </c>
      <c r="B1044" s="423"/>
      <c r="BD1044" s="397"/>
      <c r="BE1044" s="397"/>
      <c r="BF1044" s="397"/>
      <c r="BH1044" s="738"/>
      <c r="BI1044" s="738"/>
      <c r="BJ1044" s="738"/>
      <c r="BL1044" s="738"/>
      <c r="BM1044" s="738"/>
      <c r="BN1044" s="738"/>
      <c r="BP1044" s="738"/>
      <c r="BQ1044" s="738"/>
      <c r="BR1044" s="738"/>
      <c r="BT1044" s="738"/>
      <c r="BU1044" s="738"/>
      <c r="BV1044" s="738"/>
      <c r="BX1044" s="397">
        <f>BX1038-BX1043</f>
        <v>4903</v>
      </c>
      <c r="BY1044" s="397">
        <f>BY1038-BY1043</f>
        <v>5009</v>
      </c>
      <c r="BZ1044" s="397">
        <f>BZ1038-BZ1043</f>
        <v>9912</v>
      </c>
      <c r="CB1044" s="397">
        <f>CB1038-CB1043</f>
        <v>5425</v>
      </c>
      <c r="CC1044" s="397">
        <f>CC1038-CC1043</f>
        <v>5112</v>
      </c>
      <c r="CD1044" s="397">
        <f>CD1038-CD1043</f>
        <v>10537</v>
      </c>
      <c r="CF1044" s="397">
        <f>CF1038-CF1043</f>
        <v>4902</v>
      </c>
      <c r="CG1044" s="397">
        <f>CG1038-CG1043</f>
        <v>4494</v>
      </c>
      <c r="CH1044" s="397">
        <f>CH1038-CH1043</f>
        <v>9396</v>
      </c>
      <c r="CJ1044" s="397">
        <f>CJ1038-CJ1043</f>
        <v>4472</v>
      </c>
      <c r="CK1044" s="397">
        <f>CK1038-CK1043</f>
        <v>3396</v>
      </c>
      <c r="CL1044" s="397">
        <f>CL1038-CL1043</f>
        <v>7868</v>
      </c>
      <c r="CN1044" s="397">
        <f>CN1038-CN1043</f>
        <v>4209</v>
      </c>
      <c r="CO1044" s="397">
        <f>CO1038-CO1043</f>
        <v>5167</v>
      </c>
      <c r="CP1044" s="397">
        <f>CP1038-CP1043</f>
        <v>9376</v>
      </c>
      <c r="CR1044" s="397">
        <f>CR1038-CR1043</f>
        <v>4939</v>
      </c>
      <c r="CS1044" s="397">
        <f>CS1038-CS1043</f>
        <v>4893</v>
      </c>
      <c r="CT1044" s="397">
        <f>CT1038-CT1043</f>
        <v>9832</v>
      </c>
      <c r="CV1044" s="397">
        <f>CV1038-CV1043</f>
        <v>5327</v>
      </c>
      <c r="CW1044" s="397">
        <f>CW1038-CW1043</f>
        <v>5112</v>
      </c>
      <c r="CX1044" s="397">
        <f>CX1038-CX1043</f>
        <v>10302</v>
      </c>
      <c r="CZ1044" s="397">
        <f>CZ1038-CZ1043</f>
        <v>5025</v>
      </c>
      <c r="DA1044" s="397">
        <f>DA1038-DA1043</f>
        <v>4911</v>
      </c>
      <c r="DB1044" s="397">
        <f>DB1038-DB1043</f>
        <v>9936</v>
      </c>
      <c r="DD1044" s="397">
        <f>DD1038-DD1043</f>
        <v>5133</v>
      </c>
      <c r="DE1044" s="397">
        <f>DE1038-DE1043</f>
        <v>5250</v>
      </c>
      <c r="DF1044" s="397">
        <f>DF1038-DF1043</f>
        <v>10383</v>
      </c>
      <c r="DH1044" s="397">
        <f>DH1038-DH1043</f>
        <v>5615</v>
      </c>
      <c r="DI1044" s="397">
        <f>DI1038-DI1043</f>
        <v>5674.6533908786996</v>
      </c>
      <c r="DJ1044" s="397">
        <f>DJ1038-DJ1043</f>
        <v>11289.653390878699</v>
      </c>
      <c r="DL1044" s="397">
        <f>DL1038-DL1043</f>
        <v>5925.752202661316</v>
      </c>
      <c r="DM1044" s="397">
        <f>DM1038-DM1043</f>
        <v>5925.5559828987753</v>
      </c>
      <c r="DN1044" s="397">
        <f>DN1038-DN1043</f>
        <v>11851.308185560092</v>
      </c>
      <c r="DP1044" s="397">
        <f>DP1038-DP1043</f>
        <v>6138.004567935679</v>
      </c>
      <c r="DQ1044" s="397">
        <f>DQ1038-DQ1043</f>
        <v>6170.7022288395801</v>
      </c>
      <c r="DR1044" s="397">
        <f>DR1038-DR1043</f>
        <v>12308.706796775259</v>
      </c>
      <c r="DT1044" s="1"/>
      <c r="DU1044" s="1"/>
      <c r="DV1044" s="1"/>
      <c r="DW1044" s="1"/>
      <c r="DX1044" s="1"/>
      <c r="DY1044" s="1"/>
      <c r="DZ1044" s="1"/>
      <c r="EA1044" s="1"/>
      <c r="EB1044" s="1"/>
      <c r="EC1044" s="1"/>
      <c r="ED1044" s="1"/>
      <c r="EE1044" s="1"/>
      <c r="EF1044" s="1"/>
      <c r="EG1044" s="1"/>
      <c r="EH1044" s="1"/>
      <c r="EI1044" s="1"/>
      <c r="EJ1044" s="1"/>
      <c r="EK1044" s="1"/>
      <c r="EL1044" s="1"/>
      <c r="EM1044" s="1"/>
      <c r="EN1044" s="1"/>
      <c r="EO1044" s="1"/>
      <c r="EP1044" s="1"/>
      <c r="EQ1044" s="1"/>
      <c r="ER1044" s="1"/>
      <c r="ES1044" s="1"/>
      <c r="ET1044" s="1"/>
      <c r="EU1044" s="1"/>
      <c r="EV1044" s="1"/>
      <c r="EW1044" s="1"/>
      <c r="EX1044" s="1"/>
      <c r="EY1044" s="1"/>
      <c r="EZ1044" s="1"/>
      <c r="FA1044" s="1"/>
      <c r="FB1044" s="1"/>
      <c r="FC1044" s="1"/>
      <c r="FD1044" s="1"/>
      <c r="FE1044" s="1"/>
      <c r="FF1044" s="1"/>
      <c r="FG1044" s="1"/>
      <c r="FH1044" s="1"/>
      <c r="FI1044" s="1"/>
      <c r="FJ1044" s="1"/>
      <c r="FK1044" s="1"/>
      <c r="FL1044" s="1"/>
      <c r="FM1044" s="1"/>
      <c r="FN1044" s="1"/>
      <c r="FO1044" s="1"/>
      <c r="FP1044" s="1"/>
      <c r="FQ1044" s="1"/>
      <c r="FR1044" s="1"/>
      <c r="FS1044" s="1"/>
      <c r="FT1044" s="1"/>
      <c r="FU1044" s="1"/>
      <c r="FV1044" s="1"/>
      <c r="FW1044" s="1"/>
      <c r="FX1044" s="1"/>
      <c r="FY1044" s="1"/>
      <c r="FZ1044" s="1"/>
      <c r="GA1044" s="1"/>
      <c r="GB1044" s="1"/>
      <c r="GC1044" s="1"/>
      <c r="GD1044" s="1"/>
      <c r="GE1044" s="1"/>
      <c r="GF1044" s="1"/>
      <c r="GG1044" s="1"/>
      <c r="GH1044" s="1"/>
      <c r="GI1044" s="1"/>
      <c r="GJ1044" s="1"/>
      <c r="GK1044" s="1"/>
      <c r="GL1044" s="1"/>
      <c r="GM1044" s="1"/>
      <c r="GN1044" s="1"/>
      <c r="GO1044" s="1"/>
      <c r="GP1044" s="1"/>
      <c r="GQ1044" s="1"/>
      <c r="GR1044" s="1"/>
      <c r="GS1044" s="1"/>
      <c r="GT1044" s="1"/>
      <c r="GU1044" s="1"/>
      <c r="GV1044" s="1"/>
      <c r="GW1044" s="1"/>
      <c r="GX1044" s="1"/>
      <c r="GY1044" s="1"/>
      <c r="GZ1044" s="1"/>
      <c r="HA1044" s="1"/>
      <c r="HB1044" s="1"/>
      <c r="HC1044" s="1"/>
      <c r="HD1044" s="1"/>
      <c r="HE1044" s="1"/>
      <c r="HF1044" s="1"/>
      <c r="HG1044" s="1"/>
      <c r="HH1044" s="1"/>
      <c r="HI1044" s="1"/>
      <c r="HJ1044" s="1"/>
      <c r="HK1044" s="1"/>
      <c r="HL1044" s="1"/>
      <c r="HM1044" s="1"/>
      <c r="HN1044" s="1"/>
      <c r="HO1044" s="1"/>
      <c r="HP1044" s="1"/>
      <c r="HQ1044" s="1"/>
      <c r="HR1044" s="1"/>
      <c r="HS1044" s="1"/>
      <c r="HT1044" s="1"/>
      <c r="HU1044" s="1"/>
      <c r="HV1044" s="1"/>
      <c r="HW1044" s="1"/>
      <c r="HX1044" s="1"/>
      <c r="HY1044" s="1"/>
      <c r="HZ1044" s="1"/>
      <c r="IA1044" s="1"/>
      <c r="IB1044" s="1"/>
      <c r="IC1044" s="1"/>
      <c r="ID1044" s="1"/>
      <c r="IE1044" s="1"/>
      <c r="IF1044" s="1"/>
      <c r="IG1044" s="1"/>
      <c r="IH1044" s="1"/>
      <c r="II1044" s="1"/>
      <c r="IJ1044" s="1"/>
      <c r="IK1044" s="1"/>
      <c r="IL1044" s="1"/>
      <c r="IM1044" s="1"/>
      <c r="IN1044" s="1"/>
      <c r="IO1044" s="1"/>
      <c r="IP1044" s="1"/>
      <c r="IQ1044" s="1"/>
      <c r="IR1044" s="1"/>
      <c r="IS1044" s="1"/>
      <c r="IT1044" s="1"/>
      <c r="IU1044" s="1"/>
      <c r="IV1044" s="1"/>
      <c r="IW1044" s="1"/>
      <c r="IX1044" s="1"/>
      <c r="IY1044" s="1"/>
      <c r="IZ1044" s="1"/>
      <c r="JA1044" s="1"/>
      <c r="JB1044" s="1"/>
      <c r="JC1044" s="1"/>
      <c r="JD1044" s="1"/>
    </row>
    <row r="1045" spans="1:264" s="411" customFormat="1" x14ac:dyDescent="0.2">
      <c r="A1045" s="411" t="s">
        <v>710</v>
      </c>
      <c r="B1045" s="423"/>
      <c r="BD1045" s="397"/>
      <c r="BE1045" s="397"/>
      <c r="BF1045" s="397"/>
      <c r="BH1045" s="738"/>
      <c r="BI1045" s="738"/>
      <c r="BJ1045" s="738"/>
      <c r="BL1045" s="738"/>
      <c r="BM1045" s="738"/>
      <c r="BN1045" s="738"/>
      <c r="BP1045" s="738"/>
      <c r="BQ1045" s="738"/>
      <c r="BR1045" s="738"/>
      <c r="BT1045" s="738"/>
      <c r="BU1045" s="738"/>
      <c r="BV1045" s="738"/>
      <c r="BX1045" s="738">
        <f>BX1037/BX1044</f>
        <v>0.69939327613909852</v>
      </c>
      <c r="BY1045" s="738">
        <f>BY1037/BY1044</f>
        <v>0.79430959678578561</v>
      </c>
      <c r="BZ1045" s="738">
        <f>BZ1037/BZ1044</f>
        <v>0.7473589591616222</v>
      </c>
      <c r="CB1045" s="738">
        <f>CB1037/CB1044</f>
        <v>0.64616707760368663</v>
      </c>
      <c r="CC1045" s="738">
        <f>CC1037/CC1044</f>
        <v>0.79523418785211275</v>
      </c>
      <c r="CD1045" s="738">
        <f>CD1037/CD1044</f>
        <v>0.71848662468444524</v>
      </c>
      <c r="CF1045" s="738">
        <f>CF1037/CF1044</f>
        <v>0.72225194084047317</v>
      </c>
      <c r="CG1045" s="738">
        <f>CG1037/CG1044</f>
        <v>0.90993619518691593</v>
      </c>
      <c r="CH1045" s="738">
        <f>CH1037/CH1044</f>
        <v>0.81201918637398884</v>
      </c>
      <c r="CJ1045" s="738">
        <f>CJ1037/CJ1044</f>
        <v>0.79169924284436488</v>
      </c>
      <c r="CK1045" s="738">
        <f>CK1037/CK1044</f>
        <v>0.51084650084216732</v>
      </c>
      <c r="CL1045" s="738">
        <f>CL1037/CL1044</f>
        <v>0.67047708831469244</v>
      </c>
      <c r="CN1045" s="738">
        <f>CN1037/CN1044</f>
        <v>0.63225103706343555</v>
      </c>
      <c r="CO1045" s="738">
        <f>CO1037/CO1044</f>
        <v>0.68670269401974071</v>
      </c>
      <c r="CP1045" s="738">
        <f>CP1037/CP1044</f>
        <v>0.66225868547354949</v>
      </c>
      <c r="CR1045" s="738">
        <f>CR1037/CR1044</f>
        <v>0.60461334384490784</v>
      </c>
      <c r="CS1045" s="738">
        <f>CS1037/CS1044</f>
        <v>0.73027399399141635</v>
      </c>
      <c r="CT1045" s="738">
        <f>CT1037/CT1044</f>
        <v>0.66714971092860054</v>
      </c>
      <c r="CV1045" s="738">
        <f>CV1037/CV1044</f>
        <v>0.66560348318002627</v>
      </c>
      <c r="CW1045" s="738">
        <f>CW1037/CW1044</f>
        <v>0.78693395399061028</v>
      </c>
      <c r="CX1045" s="738">
        <f>CX1037/CX1044</f>
        <v>0.73466085495049505</v>
      </c>
      <c r="CZ1045" s="738">
        <f>CZ1037/CZ1044</f>
        <v>0.71651774290547265</v>
      </c>
      <c r="DA1045" s="738">
        <f>DA1037/DA1044</f>
        <v>0.85195497760130323</v>
      </c>
      <c r="DB1045" s="738">
        <f>DB1037/DB1044</f>
        <v>0.78345939544082122</v>
      </c>
      <c r="DD1045" s="738">
        <f>DD1037/DD1044</f>
        <v>0.73354574430157804</v>
      </c>
      <c r="DE1045" s="738">
        <f>DE1037/DE1044</f>
        <v>0.82876231062857153</v>
      </c>
      <c r="DF1045" s="738">
        <f>DF1037/DF1044</f>
        <v>0.78169049757295583</v>
      </c>
      <c r="DH1045" s="738">
        <f>DH1037/DH1044</f>
        <v>0.70038050601959034</v>
      </c>
      <c r="DI1045" s="738">
        <f>DI1037/DI1044</f>
        <v>0.82466915578194311</v>
      </c>
      <c r="DJ1045" s="738">
        <f>DJ1037/DJ1044</f>
        <v>0.7628531952512636</v>
      </c>
      <c r="DL1045" s="738">
        <f>DL1037/DL1044</f>
        <v>0.73399999999999999</v>
      </c>
      <c r="DM1045" s="738">
        <f>DM1037/DM1044</f>
        <v>0.84679392513998131</v>
      </c>
      <c r="DN1045" s="738">
        <f>DN1037/DN1044</f>
        <v>0.7903960288166505</v>
      </c>
      <c r="DP1045" s="738">
        <f>DP1037/DP1044</f>
        <v>0.73499999999999999</v>
      </c>
      <c r="DQ1045" s="738">
        <f>DQ1037/DQ1044</f>
        <v>0.8550153816532311</v>
      </c>
      <c r="DR1045" s="738">
        <f>DR1037/DR1044</f>
        <v>0.79516709921603212</v>
      </c>
      <c r="DT1045" s="1"/>
      <c r="DU1045" s="1"/>
      <c r="DV1045" s="1"/>
      <c r="DW1045" s="1"/>
      <c r="DX1045" s="1"/>
      <c r="DY1045" s="1"/>
      <c r="DZ1045" s="1"/>
      <c r="EA1045" s="1"/>
      <c r="EB1045" s="1"/>
      <c r="EC1045" s="1"/>
      <c r="ED1045" s="1"/>
      <c r="EE1045" s="1"/>
      <c r="EF1045" s="1"/>
      <c r="EG1045" s="1"/>
      <c r="EH1045" s="1"/>
      <c r="EI1045" s="1"/>
      <c r="EJ1045" s="1"/>
      <c r="EK1045" s="1"/>
      <c r="EL1045" s="1"/>
      <c r="EM1045" s="1"/>
      <c r="EN1045" s="1"/>
      <c r="EO1045" s="1"/>
      <c r="EP1045" s="1"/>
      <c r="EQ1045" s="1"/>
      <c r="ER1045" s="1"/>
      <c r="ES1045" s="1"/>
      <c r="ET1045" s="1"/>
      <c r="EU1045" s="1"/>
      <c r="EV1045" s="1"/>
      <c r="EW1045" s="1"/>
      <c r="EX1045" s="1"/>
      <c r="EY1045" s="1"/>
      <c r="EZ1045" s="1"/>
      <c r="FA1045" s="1"/>
      <c r="FB1045" s="1"/>
      <c r="FC1045" s="1"/>
      <c r="FD1045" s="1"/>
      <c r="FE1045" s="1"/>
      <c r="FF1045" s="1"/>
      <c r="FG1045" s="1"/>
      <c r="FH1045" s="1"/>
      <c r="FI1045" s="1"/>
      <c r="FJ1045" s="1"/>
      <c r="FK1045" s="1"/>
      <c r="FL1045" s="1"/>
      <c r="FM1045" s="1"/>
      <c r="FN1045" s="1"/>
      <c r="FO1045" s="1"/>
      <c r="FP1045" s="1"/>
      <c r="FQ1045" s="1"/>
      <c r="FR1045" s="1"/>
      <c r="FS1045" s="1"/>
      <c r="FT1045" s="1"/>
      <c r="FU1045" s="1"/>
      <c r="FV1045" s="1"/>
      <c r="FW1045" s="1"/>
      <c r="FX1045" s="1"/>
      <c r="FY1045" s="1"/>
      <c r="FZ1045" s="1"/>
      <c r="GA1045" s="1"/>
      <c r="GB1045" s="1"/>
      <c r="GC1045" s="1"/>
      <c r="GD1045" s="1"/>
      <c r="GE1045" s="1"/>
      <c r="GF1045" s="1"/>
      <c r="GG1045" s="1"/>
      <c r="GH1045" s="1"/>
      <c r="GI1045" s="1"/>
      <c r="GJ1045" s="1"/>
      <c r="GK1045" s="1"/>
      <c r="GL1045" s="1"/>
      <c r="GM1045" s="1"/>
      <c r="GN1045" s="1"/>
      <c r="GO1045" s="1"/>
      <c r="GP1045" s="1"/>
      <c r="GQ1045" s="1"/>
      <c r="GR1045" s="1"/>
      <c r="GS1045" s="1"/>
      <c r="GT1045" s="1"/>
      <c r="GU1045" s="1"/>
      <c r="GV1045" s="1"/>
      <c r="GW1045" s="1"/>
      <c r="GX1045" s="1"/>
      <c r="GY1045" s="1"/>
      <c r="GZ1045" s="1"/>
      <c r="HA1045" s="1"/>
      <c r="HB1045" s="1"/>
      <c r="HC1045" s="1"/>
      <c r="HD1045" s="1"/>
      <c r="HE1045" s="1"/>
      <c r="HF1045" s="1"/>
      <c r="HG1045" s="1"/>
      <c r="HH1045" s="1"/>
      <c r="HI1045" s="1"/>
      <c r="HJ1045" s="1"/>
      <c r="HK1045" s="1"/>
      <c r="HL1045" s="1"/>
      <c r="HM1045" s="1"/>
      <c r="HN1045" s="1"/>
      <c r="HO1045" s="1"/>
      <c r="HP1045" s="1"/>
      <c r="HQ1045" s="1"/>
      <c r="HR1045" s="1"/>
      <c r="HS1045" s="1"/>
      <c r="HT1045" s="1"/>
      <c r="HU1045" s="1"/>
      <c r="HV1045" s="1"/>
      <c r="HW1045" s="1"/>
      <c r="HX1045" s="1"/>
      <c r="HY1045" s="1"/>
      <c r="HZ1045" s="1"/>
      <c r="IA1045" s="1"/>
      <c r="IB1045" s="1"/>
      <c r="IC1045" s="1"/>
      <c r="ID1045" s="1"/>
      <c r="IE1045" s="1"/>
      <c r="IF1045" s="1"/>
      <c r="IG1045" s="1"/>
      <c r="IH1045" s="1"/>
      <c r="II1045" s="1"/>
      <c r="IJ1045" s="1"/>
      <c r="IK1045" s="1"/>
      <c r="IL1045" s="1"/>
      <c r="IM1045" s="1"/>
      <c r="IN1045" s="1"/>
      <c r="IO1045" s="1"/>
      <c r="IP1045" s="1"/>
      <c r="IQ1045" s="1"/>
      <c r="IR1045" s="1"/>
      <c r="IS1045" s="1"/>
      <c r="IT1045" s="1"/>
      <c r="IU1045" s="1"/>
      <c r="IV1045" s="1"/>
      <c r="IW1045" s="1"/>
      <c r="IX1045" s="1"/>
      <c r="IY1045" s="1"/>
      <c r="IZ1045" s="1"/>
      <c r="JA1045" s="1"/>
      <c r="JB1045" s="1"/>
      <c r="JC1045" s="1"/>
      <c r="JD1045" s="1"/>
    </row>
    <row r="1046" spans="1:264" s="411" customFormat="1" x14ac:dyDescent="0.2">
      <c r="A1046" s="347" t="s">
        <v>696</v>
      </c>
      <c r="B1046" s="423"/>
      <c r="BD1046" s="351">
        <f>BD1031</f>
        <v>137</v>
      </c>
      <c r="BE1046" s="351">
        <f>BE1031</f>
        <v>197</v>
      </c>
      <c r="BF1046" s="351">
        <f>BF1031</f>
        <v>334</v>
      </c>
      <c r="BH1046" s="351">
        <f>BH1031</f>
        <v>164</v>
      </c>
      <c r="BI1046" s="351">
        <f>BI1031</f>
        <v>200</v>
      </c>
      <c r="BJ1046" s="351">
        <f>BJ1031</f>
        <v>364</v>
      </c>
      <c r="BK1046" s="423"/>
      <c r="BL1046" s="351">
        <f>BL1031</f>
        <v>183</v>
      </c>
      <c r="BM1046" s="351">
        <f>BM1031</f>
        <v>218</v>
      </c>
      <c r="BN1046" s="351">
        <f>BN1031</f>
        <v>401</v>
      </c>
      <c r="BO1046" s="423"/>
      <c r="BP1046" s="351">
        <f>BP1031</f>
        <v>198</v>
      </c>
      <c r="BQ1046" s="351">
        <f>BQ1031</f>
        <v>222</v>
      </c>
      <c r="BR1046" s="351">
        <f>BR1031</f>
        <v>420</v>
      </c>
      <c r="BT1046" s="351">
        <f>BT1031</f>
        <v>198</v>
      </c>
      <c r="BU1046" s="351">
        <f>BU1031</f>
        <v>222</v>
      </c>
      <c r="BV1046" s="351">
        <f>BV1031</f>
        <v>420</v>
      </c>
      <c r="BX1046" s="351">
        <f>BX1031</f>
        <v>199</v>
      </c>
      <c r="BY1046" s="351">
        <f>BY1031</f>
        <v>230</v>
      </c>
      <c r="BZ1046" s="351">
        <f>BZ1031</f>
        <v>429</v>
      </c>
      <c r="CB1046" s="351">
        <f>CB1031</f>
        <v>200</v>
      </c>
      <c r="CC1046" s="351">
        <f>CC1031</f>
        <v>231</v>
      </c>
      <c r="CD1046" s="351">
        <f>CD1031</f>
        <v>431</v>
      </c>
      <c r="CF1046" s="351">
        <f>CF1031</f>
        <v>200</v>
      </c>
      <c r="CG1046" s="351">
        <f>CG1031</f>
        <v>231</v>
      </c>
      <c r="CH1046" s="351">
        <f>CH1031</f>
        <v>431</v>
      </c>
      <c r="CJ1046" s="351">
        <f>CJ1031</f>
        <v>200</v>
      </c>
      <c r="CK1046" s="351">
        <f>CK1031</f>
        <v>98</v>
      </c>
      <c r="CL1046" s="351">
        <f>CL1031</f>
        <v>298</v>
      </c>
      <c r="CN1046" s="351">
        <f>CN1031</f>
        <v>150</v>
      </c>
      <c r="CO1046" s="351">
        <f>CO1031</f>
        <v>200</v>
      </c>
      <c r="CP1046" s="351">
        <f>CP1031</f>
        <v>350</v>
      </c>
      <c r="CR1046" s="351">
        <f>CR1031</f>
        <v>175</v>
      </c>
      <c r="CS1046" s="351">
        <f>CS1031</f>
        <v>210</v>
      </c>
      <c r="CT1046" s="351">
        <f>CT1031</f>
        <v>385</v>
      </c>
      <c r="CV1046" s="351">
        <f>CV1031</f>
        <v>210</v>
      </c>
      <c r="CW1046" s="351">
        <f>CW1031</f>
        <v>240</v>
      </c>
      <c r="CX1046" s="351">
        <f>CX1031</f>
        <v>450</v>
      </c>
      <c r="CZ1046" s="351">
        <f>CZ1031</f>
        <v>215</v>
      </c>
      <c r="DA1046" s="351">
        <f>DA1031</f>
        <v>250</v>
      </c>
      <c r="DB1046" s="351">
        <f>DB1031</f>
        <v>465</v>
      </c>
      <c r="DD1046" s="351">
        <f>DD1031</f>
        <v>225</v>
      </c>
      <c r="DE1046" s="351">
        <f>DE1031</f>
        <v>260</v>
      </c>
      <c r="DF1046" s="351">
        <f>DF1031</f>
        <v>485</v>
      </c>
      <c r="DH1046" s="351">
        <f>DH1031</f>
        <v>235</v>
      </c>
      <c r="DI1046" s="351">
        <f>DI1031</f>
        <v>280</v>
      </c>
      <c r="DJ1046" s="351">
        <f>DJ1031</f>
        <v>515</v>
      </c>
      <c r="DL1046" s="351">
        <f ca="1">DL1031</f>
        <v>260</v>
      </c>
      <c r="DM1046" s="351">
        <f ca="1">DM1031</f>
        <v>300</v>
      </c>
      <c r="DN1046" s="351">
        <f ca="1">DN1031</f>
        <v>560</v>
      </c>
      <c r="DP1046" s="351">
        <f ca="1">DP1031</f>
        <v>270</v>
      </c>
      <c r="DQ1046" s="351">
        <f ca="1">DQ1031</f>
        <v>315</v>
      </c>
      <c r="DR1046" s="351">
        <f ca="1">DR1031</f>
        <v>585</v>
      </c>
      <c r="DT1046" s="1"/>
      <c r="DU1046" s="1"/>
      <c r="DV1046" s="1"/>
      <c r="DW1046" s="1"/>
      <c r="DX1046" s="1"/>
      <c r="DY1046" s="1"/>
      <c r="DZ1046" s="1"/>
      <c r="EA1046" s="1"/>
      <c r="EB1046" s="1"/>
      <c r="EC1046" s="1"/>
      <c r="ED1046" s="1"/>
      <c r="EE1046" s="1"/>
      <c r="EF1046" s="1"/>
      <c r="EG1046" s="1"/>
      <c r="EH1046" s="1"/>
      <c r="EI1046" s="1"/>
      <c r="EJ1046" s="1"/>
      <c r="EK1046" s="1"/>
      <c r="EL1046" s="1"/>
      <c r="EM1046" s="1"/>
      <c r="EN1046" s="1"/>
      <c r="EO1046" s="1"/>
      <c r="EP1046" s="1"/>
      <c r="EQ1046" s="1"/>
      <c r="ER1046" s="1"/>
      <c r="ES1046" s="1"/>
      <c r="ET1046" s="1"/>
      <c r="EU1046" s="1"/>
      <c r="EV1046" s="1"/>
      <c r="EW1046" s="1"/>
      <c r="EX1046" s="1"/>
      <c r="EY1046" s="1"/>
      <c r="EZ1046" s="1"/>
      <c r="FA1046" s="1"/>
      <c r="FB1046" s="1"/>
      <c r="FC1046" s="1"/>
      <c r="FD1046" s="1"/>
      <c r="FE1046" s="1"/>
      <c r="FF1046" s="1"/>
      <c r="FG1046" s="1"/>
      <c r="FH1046" s="1"/>
      <c r="FI1046" s="1"/>
      <c r="FJ1046" s="1"/>
      <c r="FK1046" s="1"/>
      <c r="FL1046" s="1"/>
      <c r="FM1046" s="1"/>
      <c r="FN1046" s="1"/>
      <c r="FO1046" s="1"/>
      <c r="FP1046" s="1"/>
      <c r="FQ1046" s="1"/>
      <c r="FR1046" s="1"/>
      <c r="FS1046" s="1"/>
      <c r="FT1046" s="1"/>
      <c r="FU1046" s="1"/>
      <c r="FV1046" s="1"/>
      <c r="FW1046" s="1"/>
      <c r="FX1046" s="1"/>
      <c r="FY1046" s="1"/>
      <c r="FZ1046" s="1"/>
      <c r="GA1046" s="1"/>
      <c r="GB1046" s="1"/>
      <c r="GC1046" s="1"/>
      <c r="GD1046" s="1"/>
      <c r="GE1046" s="1"/>
      <c r="GF1046" s="1"/>
      <c r="GG1046" s="1"/>
      <c r="GH1046" s="1"/>
      <c r="GI1046" s="1"/>
      <c r="GJ1046" s="1"/>
      <c r="GK1046" s="1"/>
      <c r="GL1046" s="1"/>
      <c r="GM1046" s="1"/>
      <c r="GN1046" s="1"/>
      <c r="GO1046" s="1"/>
      <c r="GP1046" s="1"/>
      <c r="GQ1046" s="1"/>
      <c r="GR1046" s="1"/>
      <c r="GS1046" s="1"/>
      <c r="GT1046" s="1"/>
      <c r="GU1046" s="1"/>
      <c r="GV1046" s="1"/>
      <c r="GW1046" s="1"/>
      <c r="GX1046" s="1"/>
      <c r="GY1046" s="1"/>
      <c r="GZ1046" s="1"/>
      <c r="HA1046" s="1"/>
      <c r="HB1046" s="1"/>
      <c r="HC1046" s="1"/>
      <c r="HD1046" s="1"/>
      <c r="HE1046" s="1"/>
      <c r="HF1046" s="1"/>
      <c r="HG1046" s="1"/>
      <c r="HH1046" s="1"/>
      <c r="HI1046" s="1"/>
      <c r="HJ1046" s="1"/>
      <c r="HK1046" s="1"/>
      <c r="HL1046" s="1"/>
      <c r="HM1046" s="1"/>
      <c r="HN1046" s="1"/>
      <c r="HO1046" s="1"/>
      <c r="HP1046" s="1"/>
      <c r="HQ1046" s="1"/>
      <c r="HR1046" s="1"/>
      <c r="HS1046" s="1"/>
      <c r="HT1046" s="1"/>
      <c r="HU1046" s="1"/>
      <c r="HV1046" s="1"/>
      <c r="HW1046" s="1"/>
      <c r="HX1046" s="1"/>
      <c r="HY1046" s="1"/>
      <c r="HZ1046" s="1"/>
      <c r="IA1046" s="1"/>
      <c r="IB1046" s="1"/>
      <c r="IC1046" s="1"/>
      <c r="ID1046" s="1"/>
      <c r="IE1046" s="1"/>
      <c r="IF1046" s="1"/>
      <c r="IG1046" s="1"/>
      <c r="IH1046" s="1"/>
      <c r="II1046" s="1"/>
      <c r="IJ1046" s="1"/>
      <c r="IK1046" s="1"/>
      <c r="IL1046" s="1"/>
      <c r="IM1046" s="1"/>
      <c r="IN1046" s="1"/>
      <c r="IO1046" s="1"/>
      <c r="IP1046" s="1"/>
      <c r="IQ1046" s="1"/>
      <c r="IR1046" s="1"/>
      <c r="IS1046" s="1"/>
      <c r="IT1046" s="1"/>
      <c r="IU1046" s="1"/>
      <c r="IV1046" s="1"/>
      <c r="IW1046" s="1"/>
      <c r="IX1046" s="1"/>
      <c r="IY1046" s="1"/>
      <c r="IZ1046" s="1"/>
      <c r="JA1046" s="1"/>
      <c r="JB1046" s="1"/>
      <c r="JC1046" s="1"/>
      <c r="JD1046" s="1"/>
    </row>
    <row r="1047" spans="1:264" s="411" customFormat="1" x14ac:dyDescent="0.2">
      <c r="A1047" s="463" t="s">
        <v>711</v>
      </c>
      <c r="B1047" s="522"/>
      <c r="C1047" s="521"/>
      <c r="D1047" s="521"/>
      <c r="E1047" s="521"/>
      <c r="F1047" s="521"/>
      <c r="G1047" s="521"/>
      <c r="H1047" s="521"/>
      <c r="I1047" s="521"/>
      <c r="J1047" s="521"/>
      <c r="K1047" s="521"/>
      <c r="L1047" s="521"/>
      <c r="M1047" s="521"/>
      <c r="N1047" s="521"/>
      <c r="O1047" s="521"/>
      <c r="P1047" s="521"/>
      <c r="Q1047" s="521"/>
      <c r="R1047" s="521"/>
      <c r="S1047" s="521"/>
      <c r="T1047" s="521"/>
      <c r="U1047" s="521"/>
      <c r="V1047" s="521"/>
      <c r="W1047" s="521"/>
      <c r="X1047" s="521"/>
      <c r="Y1047" s="521"/>
      <c r="Z1047" s="521"/>
      <c r="AA1047" s="521"/>
      <c r="AB1047" s="521"/>
      <c r="AC1047" s="521"/>
      <c r="AD1047" s="521"/>
      <c r="AE1047" s="521"/>
      <c r="AF1047" s="521"/>
      <c r="AG1047" s="521"/>
      <c r="AH1047" s="521"/>
      <c r="AI1047" s="521"/>
      <c r="AJ1047" s="521"/>
      <c r="AK1047" s="521"/>
      <c r="AL1047" s="521"/>
      <c r="AM1047" s="521"/>
      <c r="AN1047" s="521"/>
      <c r="AO1047" s="521"/>
      <c r="AP1047" s="521"/>
      <c r="AQ1047" s="521"/>
      <c r="AR1047" s="521"/>
      <c r="AS1047" s="521"/>
      <c r="AT1047" s="521"/>
      <c r="AU1047" s="521"/>
      <c r="AV1047" s="521"/>
      <c r="AW1047" s="521"/>
      <c r="AX1047" s="521"/>
      <c r="AY1047" s="521"/>
      <c r="AZ1047" s="521"/>
      <c r="BA1047" s="521"/>
      <c r="BB1047" s="521"/>
      <c r="BC1047" s="521"/>
      <c r="BD1047" s="739">
        <v>1</v>
      </c>
      <c r="BE1047" s="739">
        <v>1</v>
      </c>
      <c r="BF1047" s="740">
        <f>+(BD1046/BF1046)*BD1047+(BE1046/BF1046)*BE1047</f>
        <v>1</v>
      </c>
      <c r="BG1047" s="521"/>
      <c r="BH1047" s="739">
        <v>1</v>
      </c>
      <c r="BI1047" s="739">
        <v>1</v>
      </c>
      <c r="BJ1047" s="740">
        <f>+(BH1046/BJ1046)*BH1047+(BI1046/BJ1046)*BI1047</f>
        <v>1</v>
      </c>
      <c r="BK1047" s="522"/>
      <c r="BL1047" s="739">
        <v>1</v>
      </c>
      <c r="BM1047" s="739">
        <v>1</v>
      </c>
      <c r="BN1047" s="740">
        <f>+(BL1046/BN1046)*BL1047+(BM1046/BN1046)*BM1047</f>
        <v>1</v>
      </c>
      <c r="BO1047" s="522"/>
      <c r="BP1047" s="739">
        <v>1</v>
      </c>
      <c r="BQ1047" s="739">
        <v>1</v>
      </c>
      <c r="BR1047" s="740">
        <f>+(BP1046/BR1046)*BP1047+(BQ1046/BR1046)*BQ1047</f>
        <v>1</v>
      </c>
      <c r="BS1047" s="521"/>
      <c r="BT1047" s="739">
        <v>1</v>
      </c>
      <c r="BU1047" s="739">
        <v>1</v>
      </c>
      <c r="BV1047" s="740">
        <f>+(BT1046/BV1046)*BT1047+(BU1046/BV1046)*BU1047</f>
        <v>1</v>
      </c>
      <c r="BW1047" s="521"/>
      <c r="BX1047" s="739">
        <v>1</v>
      </c>
      <c r="BY1047" s="739">
        <v>1</v>
      </c>
      <c r="BZ1047" s="740">
        <f>+(BX1046/BZ1046)*BX1047+(BY1046/BZ1046)*BY1047</f>
        <v>1</v>
      </c>
      <c r="CA1047" s="521"/>
      <c r="CB1047" s="739">
        <v>1</v>
      </c>
      <c r="CC1047" s="739">
        <v>1</v>
      </c>
      <c r="CD1047" s="740">
        <f>+(CB1046/CD1046)*CB1047+(CC1046/CD1046)*CC1047</f>
        <v>1</v>
      </c>
      <c r="CE1047" s="521"/>
      <c r="CF1047" s="739">
        <v>1</v>
      </c>
      <c r="CG1047" s="739">
        <v>1</v>
      </c>
      <c r="CH1047" s="740">
        <f>+(CF1046/CH1046)*CF1047+(CG1046/CH1046)*CG1047</f>
        <v>1</v>
      </c>
      <c r="CI1047" s="521"/>
      <c r="CJ1047" s="739">
        <v>1</v>
      </c>
      <c r="CK1047" s="739">
        <v>1</v>
      </c>
      <c r="CL1047" s="740">
        <f>+(CJ1046/CL1046)*CJ1047+(CK1046/CL1046)*CK1047</f>
        <v>1</v>
      </c>
      <c r="CM1047" s="521"/>
      <c r="CN1047" s="739">
        <v>1</v>
      </c>
      <c r="CO1047" s="739">
        <v>1</v>
      </c>
      <c r="CP1047" s="740">
        <f>+(CN1046/CP1046)*CN1047+(CO1046/CP1046)*CO1047</f>
        <v>1</v>
      </c>
      <c r="CQ1047" s="521"/>
      <c r="CR1047" s="739">
        <v>1</v>
      </c>
      <c r="CS1047" s="739">
        <v>1</v>
      </c>
      <c r="CT1047" s="740">
        <f>+(CR1046/CT1046)*CR1047+(CS1046/CT1046)*CS1047</f>
        <v>1</v>
      </c>
      <c r="CU1047" s="521"/>
      <c r="CV1047" s="739">
        <v>1</v>
      </c>
      <c r="CW1047" s="739">
        <v>1</v>
      </c>
      <c r="CX1047" s="740">
        <f>+(CV1046/CX1046)*CV1047+(CW1046/CX1046)*CW1047</f>
        <v>1</v>
      </c>
      <c r="CY1047" s="521"/>
      <c r="CZ1047" s="739">
        <v>1</v>
      </c>
      <c r="DA1047" s="739">
        <v>1</v>
      </c>
      <c r="DB1047" s="740">
        <f>+(CZ1046/DB1046)*CZ1047+(DA1046/DB1046)*DA1047</f>
        <v>1</v>
      </c>
      <c r="DC1047" s="521"/>
      <c r="DD1047" s="739">
        <v>1</v>
      </c>
      <c r="DE1047" s="739">
        <v>1</v>
      </c>
      <c r="DF1047" s="740">
        <f>+(DD1046/DF1046)*DD1047+(DE1046/DF1046)*DE1047</f>
        <v>1</v>
      </c>
      <c r="DG1047" s="521"/>
      <c r="DH1047" s="739">
        <v>1</v>
      </c>
      <c r="DI1047" s="739">
        <v>1</v>
      </c>
      <c r="DJ1047" s="740">
        <f>+(DH1046/DJ1046)*DH1047+(DI1046/DJ1046)*DI1047</f>
        <v>1</v>
      </c>
      <c r="DK1047" s="521"/>
      <c r="DL1047" s="739">
        <v>1</v>
      </c>
      <c r="DM1047" s="739">
        <v>1</v>
      </c>
      <c r="DN1047" s="740">
        <f ca="1">+(DL1046/DN1046)*DL1047+(DM1046/DN1046)*DM1047</f>
        <v>1</v>
      </c>
      <c r="DO1047" s="521"/>
      <c r="DP1047" s="739">
        <v>1</v>
      </c>
      <c r="DQ1047" s="739">
        <v>1</v>
      </c>
      <c r="DR1047" s="740">
        <f ca="1">+(DP1046/DR1046)*DP1047+(DQ1046/DR1046)*DQ1047</f>
        <v>1</v>
      </c>
      <c r="DS1047" s="521"/>
      <c r="DT1047" s="1"/>
      <c r="DU1047" s="1"/>
      <c r="DV1047" s="1"/>
      <c r="DW1047" s="1"/>
      <c r="DX1047" s="1"/>
      <c r="DY1047" s="1"/>
      <c r="DZ1047" s="1"/>
      <c r="EA1047" s="1"/>
      <c r="EB1047" s="1"/>
      <c r="EC1047" s="1"/>
      <c r="ED1047" s="1"/>
      <c r="EE1047" s="1"/>
      <c r="EF1047" s="1"/>
      <c r="EG1047" s="1"/>
      <c r="EH1047" s="1"/>
      <c r="EI1047" s="1"/>
      <c r="EJ1047" s="1"/>
      <c r="EK1047" s="1"/>
      <c r="EL1047" s="1"/>
      <c r="EM1047" s="1"/>
      <c r="EN1047" s="1"/>
      <c r="EO1047" s="1"/>
      <c r="EP1047" s="1"/>
      <c r="EQ1047" s="1"/>
      <c r="ER1047" s="1"/>
      <c r="ES1047" s="1"/>
      <c r="ET1047" s="1"/>
      <c r="EU1047" s="1"/>
      <c r="EV1047" s="1"/>
      <c r="EW1047" s="1"/>
      <c r="EX1047" s="1"/>
      <c r="EY1047" s="1"/>
      <c r="EZ1047" s="1"/>
      <c r="FA1047" s="1"/>
      <c r="FB1047" s="1"/>
      <c r="FC1047" s="1"/>
      <c r="FD1047" s="1"/>
      <c r="FE1047" s="1"/>
      <c r="FF1047" s="1"/>
      <c r="FG1047" s="1"/>
      <c r="FH1047" s="1"/>
      <c r="FI1047" s="1"/>
      <c r="FJ1047" s="1"/>
      <c r="FK1047" s="1"/>
      <c r="FL1047" s="1"/>
      <c r="FM1047" s="1"/>
      <c r="FN1047" s="1"/>
      <c r="FO1047" s="1"/>
      <c r="FP1047" s="1"/>
      <c r="FQ1047" s="1"/>
      <c r="FR1047" s="1"/>
      <c r="FS1047" s="1"/>
      <c r="FT1047" s="1"/>
      <c r="FU1047" s="1"/>
      <c r="FV1047" s="1"/>
      <c r="FW1047" s="1"/>
      <c r="FX1047" s="1"/>
      <c r="FY1047" s="1"/>
      <c r="FZ1047" s="1"/>
      <c r="GA1047" s="1"/>
      <c r="GB1047" s="1"/>
      <c r="GC1047" s="1"/>
      <c r="GD1047" s="1"/>
      <c r="GE1047" s="1"/>
      <c r="GF1047" s="1"/>
      <c r="GG1047" s="1"/>
      <c r="GH1047" s="1"/>
      <c r="GI1047" s="1"/>
      <c r="GJ1047" s="1"/>
      <c r="GK1047" s="1"/>
      <c r="GL1047" s="1"/>
      <c r="GM1047" s="1"/>
      <c r="GN1047" s="1"/>
      <c r="GO1047" s="1"/>
      <c r="GP1047" s="1"/>
      <c r="GQ1047" s="1"/>
      <c r="GR1047" s="1"/>
      <c r="GS1047" s="1"/>
      <c r="GT1047" s="1"/>
      <c r="GU1047" s="1"/>
      <c r="GV1047" s="1"/>
      <c r="GW1047" s="1"/>
      <c r="GX1047" s="1"/>
      <c r="GY1047" s="1"/>
      <c r="GZ1047" s="1"/>
      <c r="HA1047" s="1"/>
      <c r="HB1047" s="1"/>
      <c r="HC1047" s="1"/>
      <c r="HD1047" s="1"/>
      <c r="HE1047" s="1"/>
      <c r="HF1047" s="1"/>
      <c r="HG1047" s="1"/>
      <c r="HH1047" s="1"/>
      <c r="HI1047" s="1"/>
      <c r="HJ1047" s="1"/>
      <c r="HK1047" s="1"/>
      <c r="HL1047" s="1"/>
      <c r="HM1047" s="1"/>
      <c r="HN1047" s="1"/>
      <c r="HO1047" s="1"/>
      <c r="HP1047" s="1"/>
      <c r="HQ1047" s="1"/>
      <c r="HR1047" s="1"/>
      <c r="HS1047" s="1"/>
      <c r="HT1047" s="1"/>
      <c r="HU1047" s="1"/>
      <c r="HV1047" s="1"/>
      <c r="HW1047" s="1"/>
      <c r="HX1047" s="1"/>
      <c r="HY1047" s="1"/>
      <c r="HZ1047" s="1"/>
      <c r="IA1047" s="1"/>
      <c r="IB1047" s="1"/>
      <c r="IC1047" s="1"/>
      <c r="ID1047" s="1"/>
      <c r="IE1047" s="1"/>
      <c r="IF1047" s="1"/>
      <c r="IG1047" s="1"/>
      <c r="IH1047" s="1"/>
      <c r="II1047" s="1"/>
      <c r="IJ1047" s="1"/>
      <c r="IK1047" s="1"/>
      <c r="IL1047" s="1"/>
      <c r="IM1047" s="1"/>
      <c r="IN1047" s="1"/>
      <c r="IO1047" s="1"/>
      <c r="IP1047" s="1"/>
      <c r="IQ1047" s="1"/>
      <c r="IR1047" s="1"/>
      <c r="IS1047" s="1"/>
      <c r="IT1047" s="1"/>
      <c r="IU1047" s="1"/>
      <c r="IV1047" s="1"/>
      <c r="IW1047" s="1"/>
      <c r="IX1047" s="1"/>
      <c r="IY1047" s="1"/>
      <c r="IZ1047" s="1"/>
      <c r="JA1047" s="1"/>
      <c r="JB1047" s="1"/>
      <c r="JC1047" s="1"/>
      <c r="JD1047" s="1"/>
    </row>
    <row r="1048" spans="1:264" s="347" customFormat="1" x14ac:dyDescent="0.2">
      <c r="A1048" s="463" t="s">
        <v>712</v>
      </c>
      <c r="B1048" s="466"/>
      <c r="C1048" s="463"/>
      <c r="D1048" s="463"/>
      <c r="E1048" s="463"/>
      <c r="F1048" s="463"/>
      <c r="G1048" s="463"/>
      <c r="H1048" s="463"/>
      <c r="I1048" s="463"/>
      <c r="J1048" s="463"/>
      <c r="K1048" s="463"/>
      <c r="L1048" s="463"/>
      <c r="M1048" s="463"/>
      <c r="N1048" s="463"/>
      <c r="O1048" s="463"/>
      <c r="P1048" s="463"/>
      <c r="Q1048" s="463"/>
      <c r="R1048" s="463"/>
      <c r="S1048" s="463"/>
      <c r="T1048" s="463"/>
      <c r="U1048" s="463"/>
      <c r="V1048" s="463"/>
      <c r="W1048" s="463"/>
      <c r="X1048" s="463"/>
      <c r="Y1048" s="463"/>
      <c r="Z1048" s="463"/>
      <c r="AA1048" s="463"/>
      <c r="AB1048" s="463"/>
      <c r="AC1048" s="463"/>
      <c r="AD1048" s="463"/>
      <c r="AE1048" s="463"/>
      <c r="AF1048" s="463"/>
      <c r="AG1048" s="463"/>
      <c r="AH1048" s="463"/>
      <c r="AI1048" s="463"/>
      <c r="AJ1048" s="463"/>
      <c r="AK1048" s="463"/>
      <c r="AL1048" s="463"/>
      <c r="AM1048" s="463"/>
      <c r="AN1048" s="463"/>
      <c r="AO1048" s="463"/>
      <c r="AP1048" s="463"/>
      <c r="AQ1048" s="463"/>
      <c r="AR1048" s="463"/>
      <c r="AS1048" s="463"/>
      <c r="AT1048" s="463"/>
      <c r="AU1048" s="463"/>
      <c r="AV1048" s="463"/>
      <c r="AW1048" s="463"/>
      <c r="AX1048" s="463"/>
      <c r="AY1048" s="463"/>
      <c r="AZ1048" s="463"/>
      <c r="BA1048" s="463"/>
      <c r="BB1048" s="463"/>
      <c r="BC1048" s="463"/>
      <c r="BD1048" s="739">
        <v>0.3</v>
      </c>
      <c r="BE1048" s="739">
        <v>0.3</v>
      </c>
      <c r="BF1048" s="739"/>
      <c r="BG1048" s="463"/>
      <c r="BH1048" s="739">
        <v>0.3</v>
      </c>
      <c r="BI1048" s="739">
        <v>0.3</v>
      </c>
      <c r="BJ1048" s="739"/>
      <c r="BK1048" s="466"/>
      <c r="BL1048" s="739">
        <v>0.3</v>
      </c>
      <c r="BM1048" s="739">
        <v>0.3</v>
      </c>
      <c r="BN1048" s="739"/>
      <c r="BO1048" s="466"/>
      <c r="BP1048" s="739">
        <v>0.3</v>
      </c>
      <c r="BQ1048" s="739">
        <v>0.3</v>
      </c>
      <c r="BR1048" s="739"/>
      <c r="BS1048" s="463"/>
      <c r="BT1048" s="739">
        <v>0.3</v>
      </c>
      <c r="BU1048" s="739">
        <v>0.3</v>
      </c>
      <c r="BV1048" s="739"/>
      <c r="BW1048" s="463"/>
      <c r="BX1048" s="739">
        <v>0.3</v>
      </c>
      <c r="BY1048" s="739">
        <v>0.3</v>
      </c>
      <c r="BZ1048" s="739"/>
      <c r="CA1048" s="463"/>
      <c r="CB1048" s="739">
        <v>0.3</v>
      </c>
      <c r="CC1048" s="739">
        <v>0.3</v>
      </c>
      <c r="CD1048" s="739"/>
      <c r="CE1048" s="463"/>
      <c r="CF1048" s="739">
        <v>0.3</v>
      </c>
      <c r="CG1048" s="739">
        <v>0.3</v>
      </c>
      <c r="CH1048" s="739"/>
      <c r="CI1048" s="463"/>
      <c r="CJ1048" s="739">
        <v>0.3</v>
      </c>
      <c r="CK1048" s="739">
        <v>0.3</v>
      </c>
      <c r="CL1048" s="739"/>
      <c r="CM1048" s="463"/>
      <c r="CN1048" s="739">
        <v>0.3</v>
      </c>
      <c r="CO1048" s="739">
        <v>0.3</v>
      </c>
      <c r="CP1048" s="739"/>
      <c r="CQ1048" s="463"/>
      <c r="CR1048" s="739">
        <v>0.3</v>
      </c>
      <c r="CS1048" s="739">
        <v>0.3</v>
      </c>
      <c r="CT1048" s="739"/>
      <c r="CU1048" s="463"/>
      <c r="CV1048" s="739">
        <v>0.3</v>
      </c>
      <c r="CW1048" s="739">
        <v>0.3</v>
      </c>
      <c r="CX1048" s="739"/>
      <c r="CY1048" s="463"/>
      <c r="CZ1048" s="739">
        <v>0.3</v>
      </c>
      <c r="DA1048" s="739">
        <v>0.3</v>
      </c>
      <c r="DB1048" s="739"/>
      <c r="DC1048" s="463"/>
      <c r="DD1048" s="739">
        <v>0.3</v>
      </c>
      <c r="DE1048" s="739">
        <v>0.3</v>
      </c>
      <c r="DF1048" s="739"/>
      <c r="DG1048" s="463"/>
      <c r="DH1048" s="739">
        <v>0.3</v>
      </c>
      <c r="DI1048" s="739">
        <v>0.3</v>
      </c>
      <c r="DJ1048" s="739"/>
      <c r="DK1048" s="463"/>
      <c r="DL1048" s="739">
        <v>0.3</v>
      </c>
      <c r="DM1048" s="739">
        <v>0.3</v>
      </c>
      <c r="DN1048" s="739"/>
      <c r="DO1048" s="463"/>
      <c r="DP1048" s="739">
        <v>0.3</v>
      </c>
      <c r="DQ1048" s="739">
        <v>0.3</v>
      </c>
      <c r="DR1048" s="739"/>
      <c r="DS1048" s="463"/>
      <c r="DT1048" s="1"/>
      <c r="DU1048" s="1"/>
      <c r="DV1048" s="1"/>
      <c r="DW1048" s="1"/>
      <c r="DX1048" s="1"/>
      <c r="DY1048" s="1"/>
      <c r="DZ1048" s="1"/>
      <c r="EA1048" s="1"/>
      <c r="EB1048" s="1"/>
      <c r="EC1048" s="1"/>
      <c r="ED1048" s="1"/>
      <c r="EE1048" s="1"/>
      <c r="EF1048" s="1"/>
      <c r="EG1048" s="1"/>
      <c r="EH1048" s="1"/>
      <c r="EI1048" s="1"/>
      <c r="EJ1048" s="1"/>
      <c r="EK1048" s="1"/>
      <c r="EL1048" s="1"/>
      <c r="EM1048" s="1"/>
      <c r="EN1048" s="1"/>
      <c r="EO1048" s="1"/>
      <c r="EP1048" s="1"/>
      <c r="EQ1048" s="1"/>
      <c r="ER1048" s="1"/>
      <c r="ES1048" s="1"/>
      <c r="ET1048" s="1"/>
      <c r="EU1048" s="1"/>
      <c r="EV1048" s="1"/>
      <c r="EW1048" s="1"/>
      <c r="EX1048" s="1"/>
      <c r="EY1048" s="1"/>
      <c r="EZ1048" s="1"/>
      <c r="FA1048" s="1"/>
      <c r="FB1048" s="1"/>
      <c r="FC1048" s="1"/>
      <c r="FD1048" s="1"/>
      <c r="FE1048" s="1"/>
      <c r="FF1048" s="1"/>
      <c r="FG1048" s="1"/>
      <c r="FH1048" s="1"/>
      <c r="FI1048" s="1"/>
      <c r="FJ1048" s="1"/>
      <c r="FK1048" s="1"/>
      <c r="FL1048" s="1"/>
      <c r="FM1048" s="1"/>
      <c r="FN1048" s="1"/>
      <c r="FO1048" s="1"/>
      <c r="FP1048" s="1"/>
      <c r="FQ1048" s="1"/>
      <c r="FR1048" s="1"/>
      <c r="FS1048" s="1"/>
      <c r="FT1048" s="1"/>
      <c r="FU1048" s="1"/>
      <c r="FV1048" s="1"/>
      <c r="FW1048" s="1"/>
      <c r="FX1048" s="1"/>
      <c r="FY1048" s="1"/>
      <c r="FZ1048" s="1"/>
      <c r="GA1048" s="1"/>
      <c r="GB1048" s="1"/>
      <c r="GC1048" s="1"/>
      <c r="GD1048" s="1"/>
      <c r="GE1048" s="1"/>
      <c r="GF1048" s="1"/>
      <c r="GG1048" s="1"/>
      <c r="GH1048" s="1"/>
      <c r="GI1048" s="1"/>
      <c r="GJ1048" s="1"/>
      <c r="GK1048" s="1"/>
      <c r="GL1048" s="1"/>
      <c r="GM1048" s="1"/>
      <c r="GN1048" s="1"/>
      <c r="GO1048" s="1"/>
      <c r="GP1048" s="1"/>
      <c r="GQ1048" s="1"/>
      <c r="GR1048" s="1"/>
      <c r="GS1048" s="1"/>
      <c r="GT1048" s="1"/>
      <c r="GU1048" s="1"/>
      <c r="GV1048" s="1"/>
      <c r="GW1048" s="1"/>
      <c r="GX1048" s="1"/>
      <c r="GY1048" s="1"/>
      <c r="GZ1048" s="1"/>
      <c r="HA1048" s="1"/>
      <c r="HB1048" s="1"/>
      <c r="HC1048" s="1"/>
      <c r="HD1048" s="1"/>
      <c r="HE1048" s="1"/>
      <c r="HF1048" s="1"/>
      <c r="HG1048" s="1"/>
      <c r="HH1048" s="1"/>
      <c r="HI1048" s="1"/>
      <c r="HJ1048" s="1"/>
      <c r="HK1048" s="1"/>
      <c r="HL1048" s="1"/>
      <c r="HM1048" s="1"/>
      <c r="HN1048" s="1"/>
      <c r="HO1048" s="1"/>
      <c r="HP1048" s="1"/>
      <c r="HQ1048" s="1"/>
      <c r="HR1048" s="1"/>
      <c r="HS1048" s="1"/>
      <c r="HT1048" s="1"/>
      <c r="HU1048" s="1"/>
      <c r="HV1048" s="1"/>
      <c r="HW1048" s="1"/>
      <c r="HX1048" s="1"/>
      <c r="HY1048" s="1"/>
      <c r="HZ1048" s="1"/>
      <c r="IA1048" s="1"/>
      <c r="IB1048" s="1"/>
      <c r="IC1048" s="1"/>
      <c r="ID1048" s="1"/>
      <c r="IE1048" s="1"/>
      <c r="IF1048" s="1"/>
      <c r="IG1048" s="1"/>
      <c r="IH1048" s="1"/>
      <c r="II1048" s="1"/>
      <c r="IJ1048" s="1"/>
      <c r="IK1048" s="1"/>
      <c r="IL1048" s="1"/>
      <c r="IM1048" s="1"/>
      <c r="IN1048" s="1"/>
      <c r="IO1048" s="1"/>
      <c r="IP1048" s="1"/>
      <c r="IQ1048" s="1"/>
      <c r="IR1048" s="1"/>
      <c r="IS1048" s="1"/>
      <c r="IT1048" s="1"/>
      <c r="IU1048" s="1"/>
      <c r="IV1048" s="1"/>
      <c r="IW1048" s="1"/>
      <c r="IX1048" s="1"/>
      <c r="IY1048" s="1"/>
      <c r="IZ1048" s="1"/>
      <c r="JA1048" s="1"/>
      <c r="JB1048" s="1"/>
      <c r="JC1048" s="1"/>
      <c r="JD1048" s="1"/>
    </row>
    <row r="1049" spans="1:264" s="347" customFormat="1" x14ac:dyDescent="0.2">
      <c r="A1049" s="347" t="s">
        <v>713</v>
      </c>
      <c r="B1049" s="348"/>
      <c r="BD1049" s="351">
        <f>(BD1046*BD1047)/(1-BD1048)+((1-BD1047)*BD1046)</f>
        <v>195.71428571428572</v>
      </c>
      <c r="BE1049" s="351">
        <f>(BE1046*BE1047)/(1-BE1048)+((1-BE1047)*BE1046)</f>
        <v>281.42857142857144</v>
      </c>
      <c r="BF1049" s="351">
        <f>SUM(BD1049:BE1049)</f>
        <v>477.14285714285717</v>
      </c>
      <c r="BG1049" s="411"/>
      <c r="BH1049" s="351">
        <f>(BH1046*BH1047)/(1-BH1048)+((1-BH1047)*BH1046)</f>
        <v>234.28571428571431</v>
      </c>
      <c r="BI1049" s="351">
        <f>(BI1046*BI1047)/(1-BI1048)+((1-BI1047)*BI1046)</f>
        <v>285.71428571428572</v>
      </c>
      <c r="BJ1049" s="351">
        <f>SUM(BH1049:BI1049)</f>
        <v>520</v>
      </c>
      <c r="BK1049" s="423"/>
      <c r="BL1049" s="351">
        <f>(BL1046*BL1047)/(1-BL1048)+((1-BL1047)*BL1046)</f>
        <v>261.42857142857144</v>
      </c>
      <c r="BM1049" s="351">
        <f>(BM1046*BM1047)/(1-BM1048)+((1-BM1047)*BM1046)</f>
        <v>311.42857142857144</v>
      </c>
      <c r="BN1049" s="351">
        <f>SUM(BL1049:BM1049)</f>
        <v>572.85714285714289</v>
      </c>
      <c r="BO1049" s="423"/>
      <c r="BP1049" s="351">
        <f>(BP1046*BP1047)/(1-BP1048)+((1-BP1047)*BP1046)</f>
        <v>282.85714285714289</v>
      </c>
      <c r="BQ1049" s="351">
        <f>(BQ1046*BQ1047)/(1-BQ1048)+((1-BQ1047)*BQ1046)</f>
        <v>317.14285714285717</v>
      </c>
      <c r="BR1049" s="351">
        <f>SUM(BP1049:BQ1049)</f>
        <v>600</v>
      </c>
      <c r="BT1049" s="351">
        <f>(BT1046*BT1047)/(1-BT1048)+((1-BT1047)*BT1046)</f>
        <v>282.85714285714289</v>
      </c>
      <c r="BU1049" s="351">
        <f>(BU1046*BU1047)/(1-BU1048)+((1-BU1047)*BU1046)</f>
        <v>317.14285714285717</v>
      </c>
      <c r="BV1049" s="351">
        <f>SUM(BT1049:BU1049)</f>
        <v>600</v>
      </c>
      <c r="BX1049" s="351">
        <f>(BX1046*BX1047)/(1-BX1048)+((1-BX1047)*BX1046)</f>
        <v>284.28571428571428</v>
      </c>
      <c r="BY1049" s="351">
        <f>(BY1046*BY1047)/(1-BY1048)+((1-BY1047)*BY1046)</f>
        <v>328.57142857142861</v>
      </c>
      <c r="BZ1049" s="351">
        <f>SUM(BX1049:BY1049)</f>
        <v>612.85714285714289</v>
      </c>
      <c r="CB1049" s="351">
        <f>(CB1046*CB1047)/(1-CB1048)+((1-CB1047)*CB1046)</f>
        <v>285.71428571428572</v>
      </c>
      <c r="CC1049" s="351">
        <f>(CC1046*CC1047)/(1-CC1048)+((1-CC1047)*CC1046)</f>
        <v>330</v>
      </c>
      <c r="CD1049" s="351">
        <f>SUM(CB1049:CC1049)</f>
        <v>615.71428571428578</v>
      </c>
      <c r="CF1049" s="351">
        <f>(CF1046*CF1047)/(1-CF1048)+((1-CF1047)*CF1046)</f>
        <v>285.71428571428572</v>
      </c>
      <c r="CG1049" s="351">
        <f>(CG1046*CG1047)/(1-CG1048)+((1-CG1047)*CG1046)</f>
        <v>330</v>
      </c>
      <c r="CH1049" s="351">
        <f>SUM(CF1049:CG1049)</f>
        <v>615.71428571428578</v>
      </c>
      <c r="CJ1049" s="351">
        <f>(CJ1046*CJ1047)/(1-CJ1048)+((1-CJ1047)*CJ1046)</f>
        <v>285.71428571428572</v>
      </c>
      <c r="CK1049" s="351">
        <f>(CK1046*CK1047)/(1-CK1048)+((1-CK1047)*CK1046)</f>
        <v>140</v>
      </c>
      <c r="CL1049" s="351">
        <f>SUM(CJ1049:CK1049)</f>
        <v>425.71428571428572</v>
      </c>
      <c r="CN1049" s="351">
        <f>(CN1046*CN1047)/(1-CN1048)+((1-CN1047)*CN1046)</f>
        <v>214.28571428571431</v>
      </c>
      <c r="CO1049" s="351">
        <f>(CO1046*CO1047)/(1-CO1048)+((1-CO1047)*CO1046)</f>
        <v>285.71428571428572</v>
      </c>
      <c r="CP1049" s="351">
        <f>SUM(CN1049:CO1049)</f>
        <v>500</v>
      </c>
      <c r="CR1049" s="351">
        <f>(CR1046*CR1047)/(1-CR1048)+((1-CR1047)*CR1046)</f>
        <v>250.00000000000003</v>
      </c>
      <c r="CS1049" s="351">
        <f>(CS1046*CS1047)/(1-CS1048)+((1-CS1047)*CS1046)</f>
        <v>300</v>
      </c>
      <c r="CT1049" s="351">
        <f>SUM(CR1049:CS1049)</f>
        <v>550</v>
      </c>
      <c r="CV1049" s="351">
        <f>(CV1046*CV1047)/(1-CV1048)+((1-CV1047)*CV1046)</f>
        <v>300</v>
      </c>
      <c r="CW1049" s="351">
        <f>(CW1046*CW1047)/(1-CW1048)+((1-CW1047)*CW1046)</f>
        <v>342.85714285714289</v>
      </c>
      <c r="CX1049" s="351">
        <f>SUM(CV1049:CW1049)</f>
        <v>642.85714285714289</v>
      </c>
      <c r="CZ1049" s="351">
        <f>(CZ1046*CZ1047)/(1-CZ1048)+((1-CZ1047)*CZ1046)</f>
        <v>307.14285714285717</v>
      </c>
      <c r="DA1049" s="351">
        <f>(DA1046*DA1047)/(1-DA1048)+((1-DA1047)*DA1046)</f>
        <v>357.14285714285717</v>
      </c>
      <c r="DB1049" s="351">
        <f>SUM(CZ1049:DA1049)</f>
        <v>664.28571428571433</v>
      </c>
      <c r="DD1049" s="351">
        <f>(DD1046*DD1047)/(1-DD1048)+((1-DD1047)*DD1046)</f>
        <v>321.42857142857144</v>
      </c>
      <c r="DE1049" s="351">
        <f>(DE1046*DE1047)/(1-DE1048)+((1-DE1047)*DE1046)</f>
        <v>371.42857142857144</v>
      </c>
      <c r="DF1049" s="351">
        <f>SUM(DD1049:DE1049)</f>
        <v>692.85714285714289</v>
      </c>
      <c r="DH1049" s="351">
        <f>(DH1046*DH1047)/(1-DH1048)+((1-DH1047)*DH1046)</f>
        <v>335.71428571428572</v>
      </c>
      <c r="DI1049" s="351">
        <f>(DI1046*DI1047)/(1-DI1048)+((1-DI1047)*DI1046)</f>
        <v>400</v>
      </c>
      <c r="DJ1049" s="351">
        <f>SUM(DH1049:DI1049)</f>
        <v>735.71428571428578</v>
      </c>
      <c r="DL1049" s="351">
        <f ca="1">(DL1046*DL1047)/(1-DL1048)+((1-DL1047)*DL1046)</f>
        <v>371.42857142857144</v>
      </c>
      <c r="DM1049" s="351">
        <f ca="1">(DM1046*DM1047)/(1-DM1048)+((1-DM1047)*DM1046)</f>
        <v>428.57142857142861</v>
      </c>
      <c r="DN1049" s="351">
        <f ca="1">SUM(DL1049:DM1049)</f>
        <v>800</v>
      </c>
      <c r="DP1049" s="351">
        <f ca="1">(DP1046*DP1047)/(1-DP1048)+((1-DP1047)*DP1046)</f>
        <v>385.71428571428572</v>
      </c>
      <c r="DQ1049" s="351">
        <f ca="1">(DQ1046*DQ1047)/(1-DQ1048)+((1-DQ1047)*DQ1046)</f>
        <v>450.00000000000006</v>
      </c>
      <c r="DR1049" s="351">
        <f ca="1">SUM(DP1049:DQ1049)</f>
        <v>835.71428571428578</v>
      </c>
      <c r="DT1049" s="1"/>
      <c r="DU1049" s="1"/>
      <c r="DV1049" s="1"/>
      <c r="DW1049" s="1"/>
      <c r="DX1049" s="1"/>
      <c r="DY1049" s="1"/>
      <c r="DZ1049" s="1"/>
      <c r="EA1049" s="1"/>
      <c r="EB1049" s="1"/>
      <c r="EC1049" s="1"/>
      <c r="ED1049" s="1"/>
      <c r="EE1049" s="1"/>
      <c r="EF1049" s="1"/>
      <c r="EG1049" s="1"/>
      <c r="EH1049" s="1"/>
      <c r="EI1049" s="1"/>
      <c r="EJ1049" s="1"/>
      <c r="EK1049" s="1"/>
      <c r="EL1049" s="1"/>
      <c r="EM1049" s="1"/>
      <c r="EN1049" s="1"/>
      <c r="EO1049" s="1"/>
      <c r="EP1049" s="1"/>
      <c r="EQ1049" s="1"/>
      <c r="ER1049" s="1"/>
      <c r="ES1049" s="1"/>
      <c r="ET1049" s="1"/>
      <c r="EU1049" s="1"/>
      <c r="EV1049" s="1"/>
      <c r="EW1049" s="1"/>
      <c r="EX1049" s="1"/>
      <c r="EY1049" s="1"/>
      <c r="EZ1049" s="1"/>
      <c r="FA1049" s="1"/>
      <c r="FB1049" s="1"/>
      <c r="FC1049" s="1"/>
      <c r="FD1049" s="1"/>
      <c r="FE1049" s="1"/>
      <c r="FF1049" s="1"/>
      <c r="FG1049" s="1"/>
      <c r="FH1049" s="1"/>
      <c r="FI1049" s="1"/>
      <c r="FJ1049" s="1"/>
      <c r="FK1049" s="1"/>
      <c r="FL1049" s="1"/>
      <c r="FM1049" s="1"/>
      <c r="FN1049" s="1"/>
      <c r="FO1049" s="1"/>
      <c r="FP1049" s="1"/>
      <c r="FQ1049" s="1"/>
      <c r="FR1049" s="1"/>
      <c r="FS1049" s="1"/>
      <c r="FT1049" s="1"/>
      <c r="FU1049" s="1"/>
      <c r="FV1049" s="1"/>
      <c r="FW1049" s="1"/>
      <c r="FX1049" s="1"/>
      <c r="FY1049" s="1"/>
      <c r="FZ1049" s="1"/>
      <c r="GA1049" s="1"/>
      <c r="GB1049" s="1"/>
      <c r="GC1049" s="1"/>
      <c r="GD1049" s="1"/>
      <c r="GE1049" s="1"/>
      <c r="GF1049" s="1"/>
      <c r="GG1049" s="1"/>
      <c r="GH1049" s="1"/>
      <c r="GI1049" s="1"/>
      <c r="GJ1049" s="1"/>
      <c r="GK1049" s="1"/>
      <c r="GL1049" s="1"/>
      <c r="GM1049" s="1"/>
      <c r="GN1049" s="1"/>
      <c r="GO1049" s="1"/>
      <c r="GP1049" s="1"/>
      <c r="GQ1049" s="1"/>
      <c r="GR1049" s="1"/>
      <c r="GS1049" s="1"/>
      <c r="GT1049" s="1"/>
      <c r="GU1049" s="1"/>
      <c r="GV1049" s="1"/>
      <c r="GW1049" s="1"/>
      <c r="GX1049" s="1"/>
      <c r="GY1049" s="1"/>
      <c r="GZ1049" s="1"/>
      <c r="HA1049" s="1"/>
      <c r="HB1049" s="1"/>
      <c r="HC1049" s="1"/>
      <c r="HD1049" s="1"/>
      <c r="HE1049" s="1"/>
      <c r="HF1049" s="1"/>
      <c r="HG1049" s="1"/>
      <c r="HH1049" s="1"/>
      <c r="HI1049" s="1"/>
      <c r="HJ1049" s="1"/>
      <c r="HK1049" s="1"/>
      <c r="HL1049" s="1"/>
      <c r="HM1049" s="1"/>
      <c r="HN1049" s="1"/>
      <c r="HO1049" s="1"/>
      <c r="HP1049" s="1"/>
      <c r="HQ1049" s="1"/>
      <c r="HR1049" s="1"/>
      <c r="HS1049" s="1"/>
      <c r="HT1049" s="1"/>
      <c r="HU1049" s="1"/>
      <c r="HV1049" s="1"/>
      <c r="HW1049" s="1"/>
      <c r="HX1049" s="1"/>
      <c r="HY1049" s="1"/>
      <c r="HZ1049" s="1"/>
      <c r="IA1049" s="1"/>
      <c r="IB1049" s="1"/>
      <c r="IC1049" s="1"/>
      <c r="ID1049" s="1"/>
      <c r="IE1049" s="1"/>
      <c r="IF1049" s="1"/>
      <c r="IG1049" s="1"/>
      <c r="IH1049" s="1"/>
      <c r="II1049" s="1"/>
      <c r="IJ1049" s="1"/>
      <c r="IK1049" s="1"/>
      <c r="IL1049" s="1"/>
      <c r="IM1049" s="1"/>
      <c r="IN1049" s="1"/>
      <c r="IO1049" s="1"/>
      <c r="IP1049" s="1"/>
      <c r="IQ1049" s="1"/>
      <c r="IR1049" s="1"/>
      <c r="IS1049" s="1"/>
      <c r="IT1049" s="1"/>
      <c r="IU1049" s="1"/>
      <c r="IV1049" s="1"/>
      <c r="IW1049" s="1"/>
      <c r="IX1049" s="1"/>
      <c r="IY1049" s="1"/>
      <c r="IZ1049" s="1"/>
      <c r="JA1049" s="1"/>
      <c r="JB1049" s="1"/>
      <c r="JC1049" s="1"/>
      <c r="JD1049" s="1"/>
    </row>
    <row r="1050" spans="1:264" s="347" customFormat="1" x14ac:dyDescent="0.2">
      <c r="A1050" s="347" t="s">
        <v>714</v>
      </c>
      <c r="B1050" s="348"/>
      <c r="BD1050" s="351"/>
      <c r="BE1050" s="351"/>
      <c r="BF1050" s="351"/>
      <c r="BG1050" s="411"/>
      <c r="BH1050" s="351"/>
      <c r="BI1050" s="351"/>
      <c r="BJ1050" s="351"/>
      <c r="BK1050" s="423"/>
      <c r="BL1050" s="351"/>
      <c r="BM1050" s="351"/>
      <c r="BN1050" s="351"/>
      <c r="BO1050" s="423"/>
      <c r="BP1050" s="351">
        <f>(BP1037*BP1047)/(1-BP1048)+((1-BP1047)*BP1037)-BP1037</f>
        <v>1375.8051446228578</v>
      </c>
      <c r="BQ1050" s="351">
        <f>(BQ1037*BQ1047)/(1-BQ1048)+((1-BQ1047)*BQ1037)-BQ1037</f>
        <v>1548.5382097971433</v>
      </c>
      <c r="BR1050" s="351">
        <f>SUM(BP1050:BQ1050)</f>
        <v>2924.3433544200011</v>
      </c>
      <c r="BT1050" s="351">
        <f>(BT1037*BT1047)/(1-BT1048)+((1-BT1047)*BT1037)-BT1037</f>
        <v>1448.9736573085715</v>
      </c>
      <c r="BU1050" s="351">
        <f>(BU1037*BU1047)/(1-BU1048)+((1-BU1047)*BU1037)-BU1037</f>
        <v>1631.8352712600008</v>
      </c>
      <c r="BV1050" s="351">
        <f>SUM(BT1050:BU1050)</f>
        <v>3080.8089285685724</v>
      </c>
      <c r="BX1050" s="351">
        <f>(BX1037*BX1047)/(1-BX1048)+((1-BX1047)*BX1037)-BX1037</f>
        <v>1469.6250998185715</v>
      </c>
      <c r="BY1050" s="351">
        <f>(BY1037*BY1047)/(1-BY1048)+((1-BY1047)*BY1037)-BY1037</f>
        <v>1705.1557587000007</v>
      </c>
      <c r="BZ1050" s="351">
        <f>SUM(BX1050:BY1050)</f>
        <v>3174.7808585185721</v>
      </c>
      <c r="CB1050" s="351">
        <f>(CB1037*CB1047)/(1-CB1048)+((1-CB1047)*CB1037)-CB1037</f>
        <v>1502.3384554285717</v>
      </c>
      <c r="CC1050" s="351">
        <f>(CC1037*CC1047)/(1-CC1048)+((1-CC1047)*CC1037)-CC1037</f>
        <v>1742.2445007000006</v>
      </c>
      <c r="CD1050" s="351">
        <f>SUM(CB1050:CC1050)</f>
        <v>3244.5829561285723</v>
      </c>
      <c r="CF1050" s="351">
        <f>(CF1037*CF1047)/(1-CF1048)+((1-CF1047)*CF1037)-CF1037</f>
        <v>1517.3481488571433</v>
      </c>
      <c r="CG1050" s="351">
        <f>(CG1037*CG1047)/(1-CG1048)+((1-CG1047)*CG1037)-CG1037</f>
        <v>1752.5371119300003</v>
      </c>
      <c r="CH1050" s="351">
        <f>SUM(CF1050:CG1050)</f>
        <v>3269.8852607871436</v>
      </c>
      <c r="CJ1050" s="351">
        <f>(CJ1037*CJ1047)/(1-CJ1048)+((1-CJ1047)*CJ1037)-CJ1037</f>
        <v>1517.3481488571433</v>
      </c>
      <c r="CK1050" s="351">
        <f>(CK1037*CK1047)/(1-CK1048)+((1-CK1047)*CK1037)-CK1037</f>
        <v>743.50059294000016</v>
      </c>
      <c r="CL1050" s="351">
        <f>SUM(CJ1050:CK1050)</f>
        <v>2260.8487417971437</v>
      </c>
      <c r="CN1050" s="351">
        <f>(CN1037*CN1047)/(1-CN1048)+((1-CN1047)*CN1037)-CN1037</f>
        <v>1140.4905492857147</v>
      </c>
      <c r="CO1050" s="351">
        <f>(CO1037*CO1047)/(1-CO1048)+((1-CO1047)*CO1037)-CO1037</f>
        <v>1520.6540657142859</v>
      </c>
      <c r="CP1050" s="351">
        <f>SUM(CN1050:CO1050)</f>
        <v>2661.1446150000006</v>
      </c>
      <c r="CR1050" s="351">
        <f>(CR1037*CR1047)/(1-CR1048)+((1-CR1047)*CR1037)-CR1037</f>
        <v>1279.79370225</v>
      </c>
      <c r="CS1050" s="351">
        <f>(CS1037*CS1047)/(1-CS1048)+((1-CS1047)*CS1037)-CS1037</f>
        <v>1531.3845654000006</v>
      </c>
      <c r="CT1050" s="351">
        <f>SUM(CR1050:CS1050)</f>
        <v>2811.1782676500006</v>
      </c>
      <c r="CV1050" s="351">
        <f>(CV1037*CV1047)/(1-CV1048)+((1-CV1047)*CV1037)-CV1037</f>
        <v>1519.5727520999999</v>
      </c>
      <c r="CW1050" s="351">
        <f>(CW1037*CW1047)/(1-CW1048)+((1-CW1047)*CW1037)-CW1037</f>
        <v>1724.0598740571431</v>
      </c>
      <c r="CX1050" s="351">
        <f>SUM(CV1050:CW1050)</f>
        <v>3243.632626157143</v>
      </c>
      <c r="CZ1050" s="351">
        <f>(CZ1037*CZ1047)/(1-CZ1048)+((1-CZ1047)*CZ1037)-CZ1037</f>
        <v>1543.0721391857151</v>
      </c>
      <c r="DA1050" s="351">
        <f>(DA1037*DA1047)/(1-DA1048)+((1-DA1047)*DA1037)-DA1037</f>
        <v>1793.1218121428574</v>
      </c>
      <c r="DB1050" s="351">
        <f>SUM(CZ1050:DA1050)</f>
        <v>3336.1939513285724</v>
      </c>
      <c r="DD1050" s="351">
        <f>(DD1037*DD1047)/(1-DD1048)+((1-DD1047)*DD1037)-DD1037</f>
        <v>1613.6958452142858</v>
      </c>
      <c r="DE1050" s="351">
        <f>(DE1037*DE1047)/(1-DE1048)+((1-DE1047)*DE1037)-DE1037</f>
        <v>1864.7151989142867</v>
      </c>
      <c r="DF1050" s="351">
        <f>SUM(DD1050:DE1050)</f>
        <v>3478.4110441285725</v>
      </c>
      <c r="DH1050" s="351">
        <f>(DH1037*DH1047)/(1-DH1048)+((1-DH1047)*DH1037)-DH1037</f>
        <v>1685.4156605571429</v>
      </c>
      <c r="DI1050" s="351">
        <f>(DI1037*DI1047)/(1-DI1048)+((1-DI1047)*DI1037)-DI1037</f>
        <v>2005.5906948047477</v>
      </c>
      <c r="DJ1050" s="351">
        <f>SUM(DH1050:DI1050)</f>
        <v>3691.0063553618907</v>
      </c>
      <c r="DL1050" s="351">
        <f>(DL1037*DL1047)/(1-DL1048)+((1-DL1047)*DL1037)-DL1037</f>
        <v>1864.0723357514598</v>
      </c>
      <c r="DM1050" s="351">
        <f>(DM1037*DM1047)/(1-DM1048)+((1-DM1047)*DM1037)-DM1037</f>
        <v>2150.4534897409521</v>
      </c>
      <c r="DN1050" s="351">
        <f>SUM(DL1050:DM1050)</f>
        <v>4014.525825492412</v>
      </c>
      <c r="DP1050" s="351">
        <f>(DP1037*DP1047)/(1-DP1048)+((1-DP1047)*DP1037)-DP1037</f>
        <v>1933.471438899739</v>
      </c>
      <c r="DQ1050" s="351">
        <f>(DQ1037*DQ1047)/(1-DQ1048)+((1-DQ1047)*DQ1037)-DQ1037</f>
        <v>2261.1622805398792</v>
      </c>
      <c r="DR1050" s="351">
        <f>SUM(DP1050:DQ1050)</f>
        <v>4194.6337194396183</v>
      </c>
      <c r="DT1050" s="1"/>
      <c r="DU1050" s="1"/>
      <c r="DV1050" s="1"/>
      <c r="DW1050" s="1"/>
      <c r="DX1050" s="1"/>
      <c r="DY1050" s="1"/>
      <c r="DZ1050" s="1"/>
      <c r="EA1050" s="1"/>
      <c r="EB1050" s="1"/>
      <c r="EC1050" s="1"/>
      <c r="ED1050" s="1"/>
      <c r="EE1050" s="1"/>
      <c r="EF1050" s="1"/>
      <c r="EG1050" s="1"/>
      <c r="EH1050" s="1"/>
      <c r="EI1050" s="1"/>
      <c r="EJ1050" s="1"/>
      <c r="EK1050" s="1"/>
      <c r="EL1050" s="1"/>
      <c r="EM1050" s="1"/>
      <c r="EN1050" s="1"/>
      <c r="EO1050" s="1"/>
      <c r="EP1050" s="1"/>
      <c r="EQ1050" s="1"/>
      <c r="ER1050" s="1"/>
      <c r="ES1050" s="1"/>
      <c r="ET1050" s="1"/>
      <c r="EU1050" s="1"/>
      <c r="EV1050" s="1"/>
      <c r="EW1050" s="1"/>
      <c r="EX1050" s="1"/>
      <c r="EY1050" s="1"/>
      <c r="EZ1050" s="1"/>
      <c r="FA1050" s="1"/>
      <c r="FB1050" s="1"/>
      <c r="FC1050" s="1"/>
      <c r="FD1050" s="1"/>
      <c r="FE1050" s="1"/>
      <c r="FF1050" s="1"/>
      <c r="FG1050" s="1"/>
      <c r="FH1050" s="1"/>
      <c r="FI1050" s="1"/>
      <c r="FJ1050" s="1"/>
      <c r="FK1050" s="1"/>
      <c r="FL1050" s="1"/>
      <c r="FM1050" s="1"/>
      <c r="FN1050" s="1"/>
      <c r="FO1050" s="1"/>
      <c r="FP1050" s="1"/>
      <c r="FQ1050" s="1"/>
      <c r="FR1050" s="1"/>
      <c r="FS1050" s="1"/>
      <c r="FT1050" s="1"/>
      <c r="FU1050" s="1"/>
      <c r="FV1050" s="1"/>
      <c r="FW1050" s="1"/>
      <c r="FX1050" s="1"/>
      <c r="FY1050" s="1"/>
      <c r="FZ1050" s="1"/>
      <c r="GA1050" s="1"/>
      <c r="GB1050" s="1"/>
      <c r="GC1050" s="1"/>
      <c r="GD1050" s="1"/>
      <c r="GE1050" s="1"/>
      <c r="GF1050" s="1"/>
      <c r="GG1050" s="1"/>
      <c r="GH1050" s="1"/>
      <c r="GI1050" s="1"/>
      <c r="GJ1050" s="1"/>
      <c r="GK1050" s="1"/>
      <c r="GL1050" s="1"/>
      <c r="GM1050" s="1"/>
      <c r="GN1050" s="1"/>
      <c r="GO1050" s="1"/>
      <c r="GP1050" s="1"/>
      <c r="GQ1050" s="1"/>
      <c r="GR1050" s="1"/>
      <c r="GS1050" s="1"/>
      <c r="GT1050" s="1"/>
      <c r="GU1050" s="1"/>
      <c r="GV1050" s="1"/>
      <c r="GW1050" s="1"/>
      <c r="GX1050" s="1"/>
      <c r="GY1050" s="1"/>
      <c r="GZ1050" s="1"/>
      <c r="HA1050" s="1"/>
      <c r="HB1050" s="1"/>
      <c r="HC1050" s="1"/>
      <c r="HD1050" s="1"/>
      <c r="HE1050" s="1"/>
      <c r="HF1050" s="1"/>
      <c r="HG1050" s="1"/>
      <c r="HH1050" s="1"/>
      <c r="HI1050" s="1"/>
      <c r="HJ1050" s="1"/>
      <c r="HK1050" s="1"/>
      <c r="HL1050" s="1"/>
      <c r="HM1050" s="1"/>
      <c r="HN1050" s="1"/>
      <c r="HO1050" s="1"/>
      <c r="HP1050" s="1"/>
      <c r="HQ1050" s="1"/>
      <c r="HR1050" s="1"/>
      <c r="HS1050" s="1"/>
      <c r="HT1050" s="1"/>
      <c r="HU1050" s="1"/>
      <c r="HV1050" s="1"/>
      <c r="HW1050" s="1"/>
      <c r="HX1050" s="1"/>
      <c r="HY1050" s="1"/>
      <c r="HZ1050" s="1"/>
      <c r="IA1050" s="1"/>
      <c r="IB1050" s="1"/>
      <c r="IC1050" s="1"/>
      <c r="ID1050" s="1"/>
      <c r="IE1050" s="1"/>
      <c r="IF1050" s="1"/>
      <c r="IG1050" s="1"/>
      <c r="IH1050" s="1"/>
      <c r="II1050" s="1"/>
      <c r="IJ1050" s="1"/>
      <c r="IK1050" s="1"/>
      <c r="IL1050" s="1"/>
      <c r="IM1050" s="1"/>
      <c r="IN1050" s="1"/>
      <c r="IO1050" s="1"/>
      <c r="IP1050" s="1"/>
      <c r="IQ1050" s="1"/>
      <c r="IR1050" s="1"/>
      <c r="IS1050" s="1"/>
      <c r="IT1050" s="1"/>
      <c r="IU1050" s="1"/>
      <c r="IV1050" s="1"/>
      <c r="IW1050" s="1"/>
      <c r="IX1050" s="1"/>
      <c r="IY1050" s="1"/>
      <c r="IZ1050" s="1"/>
      <c r="JA1050" s="1"/>
      <c r="JB1050" s="1"/>
      <c r="JC1050" s="1"/>
      <c r="JD1050" s="1"/>
    </row>
    <row r="1051" spans="1:264" s="347" customFormat="1" x14ac:dyDescent="0.2">
      <c r="A1051" s="411" t="s">
        <v>715</v>
      </c>
      <c r="B1051" s="348"/>
      <c r="BH1051" s="348"/>
      <c r="BI1051" s="348"/>
      <c r="BJ1051" s="348"/>
      <c r="BK1051" s="348"/>
      <c r="BL1051" s="348"/>
      <c r="BM1051" s="348"/>
      <c r="BN1051" s="348"/>
      <c r="BO1051" s="348"/>
      <c r="BP1051" s="348"/>
      <c r="BT1051" s="741">
        <f>+BT1037/BT40</f>
        <v>0.73132998782608705</v>
      </c>
      <c r="BU1051" s="741">
        <f>+BU1037/BU40</f>
        <v>0.8277425289</v>
      </c>
      <c r="BV1051" s="741">
        <f>+BV1037/BV40</f>
        <v>0.77941604322454738</v>
      </c>
      <c r="BX1051" s="741">
        <f>+BX1037/BX40</f>
        <v>0.70053630907252296</v>
      </c>
      <c r="BY1051" s="741">
        <f>+BY1037/BY40</f>
        <v>0.79052190945757994</v>
      </c>
      <c r="BZ1051" s="741">
        <f>+BZ1037/BZ40</f>
        <v>0.7461545128132554</v>
      </c>
      <c r="CB1051" s="741">
        <f>+CB1037/CB40</f>
        <v>0.71452433673053406</v>
      </c>
      <c r="CC1051" s="741">
        <f>+CC1037/CC40</f>
        <v>0.91911308349536514</v>
      </c>
      <c r="CD1051" s="741">
        <f>+CD1037/CD40</f>
        <v>0.81152251734376668</v>
      </c>
      <c r="CF1051" s="741">
        <f>+CF1037/CF40</f>
        <v>0.76270551788022389</v>
      </c>
      <c r="CG1051" s="741">
        <f>+CG1037/CG40</f>
        <v>1.0407872896843982</v>
      </c>
      <c r="CH1051" s="741">
        <f>+CH1037/CH40</f>
        <v>0.89017994110022158</v>
      </c>
      <c r="CJ1051" s="741">
        <f>+CJ1037/CJ40</f>
        <v>0.57671917478416668</v>
      </c>
      <c r="CK1051" s="741">
        <f>+CK1037/CK40</f>
        <v>0.50241376103677959</v>
      </c>
      <c r="CL1051" s="741">
        <f>+CL1037/CL40</f>
        <v>0.54997015542743954</v>
      </c>
      <c r="CN1051" s="741">
        <f>+CN1037/CN40</f>
        <v>0.54654849353049906</v>
      </c>
      <c r="CO1051" s="741">
        <f>+CO1037/CO40</f>
        <v>0.66795798569277109</v>
      </c>
      <c r="CP1051" s="741">
        <f>+CP1037/CP40</f>
        <v>0.60989465032904433</v>
      </c>
      <c r="CR1051" s="741">
        <f>+CR1037/CR40</f>
        <v>0.50871981350085183</v>
      </c>
      <c r="CS1051" s="741">
        <f>+CS1037/CS40</f>
        <v>0.72908195319322588</v>
      </c>
      <c r="CT1051" s="741">
        <f>+CT1037/CT40</f>
        <v>0.60898857653421223</v>
      </c>
      <c r="CV1051" s="741">
        <f>+CV1037/CV40</f>
        <v>0.68555099669373554</v>
      </c>
      <c r="CW1051" s="741">
        <f>+CW1037/CW40</f>
        <v>0.83356949291338578</v>
      </c>
      <c r="CX1051" s="741">
        <f>+CX1037/CX40</f>
        <v>0.75699901257251445</v>
      </c>
      <c r="CZ1051" s="741">
        <f>+CZ1037/CZ40</f>
        <v>0.75656685398192902</v>
      </c>
      <c r="DA1051" s="741">
        <f>+DA1037/DA40</f>
        <v>0.90268627723840345</v>
      </c>
      <c r="DB1051" s="741">
        <f>+DB1037/DB40</f>
        <v>0.82866218363849264</v>
      </c>
      <c r="DD1051" s="741">
        <f>+DD1037/DD40</f>
        <v>0.7334028643358006</v>
      </c>
      <c r="DE1051" s="741">
        <f>+DE1037/DE40</f>
        <v>0.87334446623845852</v>
      </c>
      <c r="DF1051" s="741">
        <f>+DF1037/DF40</f>
        <v>0.80232230489323841</v>
      </c>
      <c r="DH1051" s="741">
        <f>+DH1037/DH40</f>
        <v>0.73274390558971492</v>
      </c>
      <c r="DI1051" s="741">
        <f>+DI1037/DI40</f>
        <v>0.83199999999999996</v>
      </c>
      <c r="DJ1051" s="741">
        <f>+DJ1037/DJ40</f>
        <v>0.78353527501676312</v>
      </c>
      <c r="DL1051" s="741">
        <f>+DL1037/DL40</f>
        <v>0.73399999999999999</v>
      </c>
      <c r="DM1051" s="741">
        <f>+DM1037/DM40</f>
        <v>0.85399999999999998</v>
      </c>
      <c r="DN1051" s="741">
        <f>+DN1037/DN40</f>
        <v>0.79374479327728786</v>
      </c>
      <c r="DP1051" s="741">
        <f>+DP1037/DP40</f>
        <v>0.73499999999999999</v>
      </c>
      <c r="DQ1051" s="741">
        <f>+DQ1037/DQ40</f>
        <v>0.86199999999999988</v>
      </c>
      <c r="DR1051" s="741">
        <f>+DR1037/DR40</f>
        <v>0.79841037402632942</v>
      </c>
      <c r="DT1051" s="1"/>
      <c r="DU1051" s="1"/>
      <c r="DV1051" s="1"/>
      <c r="DW1051" s="1"/>
      <c r="DX1051" s="1"/>
      <c r="DY1051" s="1"/>
      <c r="DZ1051" s="1"/>
      <c r="EA1051" s="1"/>
      <c r="EB1051" s="1"/>
      <c r="EC1051" s="1"/>
      <c r="ED1051" s="1"/>
      <c r="EE1051" s="1"/>
      <c r="EF1051" s="1"/>
      <c r="EG1051" s="1"/>
      <c r="EH1051" s="1"/>
      <c r="EI1051" s="1"/>
      <c r="EJ1051" s="1"/>
      <c r="EK1051" s="1"/>
      <c r="EL1051" s="1"/>
      <c r="EM1051" s="1"/>
      <c r="EN1051" s="1"/>
      <c r="EO1051" s="1"/>
      <c r="EP1051" s="1"/>
      <c r="EQ1051" s="1"/>
      <c r="ER1051" s="1"/>
      <c r="ES1051" s="1"/>
      <c r="ET1051" s="1"/>
      <c r="EU1051" s="1"/>
      <c r="EV1051" s="1"/>
      <c r="EW1051" s="1"/>
      <c r="EX1051" s="1"/>
      <c r="EY1051" s="1"/>
      <c r="EZ1051" s="1"/>
      <c r="FA1051" s="1"/>
      <c r="FB1051" s="1"/>
      <c r="FC1051" s="1"/>
      <c r="FD1051" s="1"/>
      <c r="FE1051" s="1"/>
      <c r="FF1051" s="1"/>
      <c r="FG1051" s="1"/>
      <c r="FH1051" s="1"/>
      <c r="FI1051" s="1"/>
      <c r="FJ1051" s="1"/>
      <c r="FK1051" s="1"/>
      <c r="FL1051" s="1"/>
      <c r="FM1051" s="1"/>
      <c r="FN1051" s="1"/>
      <c r="FO1051" s="1"/>
      <c r="FP1051" s="1"/>
      <c r="FQ1051" s="1"/>
      <c r="FR1051" s="1"/>
      <c r="FS1051" s="1"/>
      <c r="FT1051" s="1"/>
      <c r="FU1051" s="1"/>
      <c r="FV1051" s="1"/>
      <c r="FW1051" s="1"/>
      <c r="FX1051" s="1"/>
      <c r="FY1051" s="1"/>
      <c r="FZ1051" s="1"/>
      <c r="GA1051" s="1"/>
      <c r="GB1051" s="1"/>
      <c r="GC1051" s="1"/>
      <c r="GD1051" s="1"/>
      <c r="GE1051" s="1"/>
      <c r="GF1051" s="1"/>
      <c r="GG1051" s="1"/>
      <c r="GH1051" s="1"/>
      <c r="GI1051" s="1"/>
      <c r="GJ1051" s="1"/>
      <c r="GK1051" s="1"/>
      <c r="GL1051" s="1"/>
      <c r="GM1051" s="1"/>
      <c r="GN1051" s="1"/>
      <c r="GO1051" s="1"/>
      <c r="GP1051" s="1"/>
      <c r="GQ1051" s="1"/>
      <c r="GR1051" s="1"/>
      <c r="GS1051" s="1"/>
      <c r="GT1051" s="1"/>
      <c r="GU1051" s="1"/>
      <c r="GV1051" s="1"/>
      <c r="GW1051" s="1"/>
      <c r="GX1051" s="1"/>
      <c r="GY1051" s="1"/>
      <c r="GZ1051" s="1"/>
      <c r="HA1051" s="1"/>
      <c r="HB1051" s="1"/>
      <c r="HC1051" s="1"/>
      <c r="HD1051" s="1"/>
      <c r="HE1051" s="1"/>
      <c r="HF1051" s="1"/>
      <c r="HG1051" s="1"/>
      <c r="HH1051" s="1"/>
      <c r="HI1051" s="1"/>
      <c r="HJ1051" s="1"/>
      <c r="HK1051" s="1"/>
      <c r="HL1051" s="1"/>
      <c r="HM1051" s="1"/>
      <c r="HN1051" s="1"/>
      <c r="HO1051" s="1"/>
      <c r="HP1051" s="1"/>
      <c r="HQ1051" s="1"/>
      <c r="HR1051" s="1"/>
      <c r="HS1051" s="1"/>
      <c r="HT1051" s="1"/>
      <c r="HU1051" s="1"/>
      <c r="HV1051" s="1"/>
      <c r="HW1051" s="1"/>
      <c r="HX1051" s="1"/>
      <c r="HY1051" s="1"/>
      <c r="HZ1051" s="1"/>
      <c r="IA1051" s="1"/>
      <c r="IB1051" s="1"/>
      <c r="IC1051" s="1"/>
      <c r="ID1051" s="1"/>
      <c r="IE1051" s="1"/>
      <c r="IF1051" s="1"/>
      <c r="IG1051" s="1"/>
      <c r="IH1051" s="1"/>
      <c r="II1051" s="1"/>
      <c r="IJ1051" s="1"/>
      <c r="IK1051" s="1"/>
      <c r="IL1051" s="1"/>
      <c r="IM1051" s="1"/>
      <c r="IN1051" s="1"/>
      <c r="IO1051" s="1"/>
      <c r="IP1051" s="1"/>
      <c r="IQ1051" s="1"/>
      <c r="IR1051" s="1"/>
      <c r="IS1051" s="1"/>
      <c r="IT1051" s="1"/>
      <c r="IU1051" s="1"/>
      <c r="IV1051" s="1"/>
      <c r="IW1051" s="1"/>
      <c r="IX1051" s="1"/>
      <c r="IY1051" s="1"/>
      <c r="IZ1051" s="1"/>
      <c r="JA1051" s="1"/>
      <c r="JB1051" s="1"/>
      <c r="JC1051" s="1"/>
      <c r="JD1051" s="1"/>
    </row>
    <row r="1052" spans="1:264" s="347" customFormat="1" x14ac:dyDescent="0.2">
      <c r="A1052" s="411" t="s">
        <v>716</v>
      </c>
      <c r="B1052" s="348"/>
      <c r="BH1052" s="348"/>
      <c r="BI1052" s="348"/>
      <c r="BJ1052" s="348"/>
      <c r="BK1052" s="348"/>
      <c r="BL1052" s="348"/>
      <c r="BM1052" s="348"/>
      <c r="BN1052" s="348"/>
      <c r="BO1052" s="348"/>
      <c r="BP1052" s="348"/>
      <c r="BT1052" s="741">
        <f>(BT1037-BT1078-BT1082)/BT40</f>
        <v>0.61192015404282951</v>
      </c>
      <c r="BU1052" s="741">
        <f>(BU1037-BU1078-BU1082)/BU40</f>
        <v>0.70029678555217389</v>
      </c>
      <c r="BV1052" s="741">
        <f>(BV1037-BV1078-BV1082)/BV40</f>
        <v>0.65599827449636783</v>
      </c>
      <c r="BX1052" s="741">
        <f>(BX1037-BX1078-BX1082)/BX40</f>
        <v>0.58681905822063329</v>
      </c>
      <c r="BY1052" s="741">
        <f>(BY1037-BY1078-BY1082)/BY40</f>
        <v>0.47796551146632227</v>
      </c>
      <c r="BZ1052" s="741">
        <f>(BZ1037-BZ1078-BZ1082)/BZ40</f>
        <v>0.53163574830781624</v>
      </c>
      <c r="CB1052" s="741">
        <f>(CB1037-CB1078-CB1082)/CB40</f>
        <v>0.60520748019567872</v>
      </c>
      <c r="CC1052" s="741">
        <f>(CC1037-CC1078-CC1082)/CC40</f>
        <v>0.74969865889667642</v>
      </c>
      <c r="CD1052" s="741">
        <f>(CD1037-CD1078-CD1082)/CD40</f>
        <v>0.67371262366170004</v>
      </c>
      <c r="CF1052" s="741">
        <f>(CF1037-CF1078-CF1082)/CF40</f>
        <v>0.76270551788022389</v>
      </c>
      <c r="CG1052" s="741">
        <f>(CG1037-CG1078-CG1082)/CG40</f>
        <v>1.0407872896843979</v>
      </c>
      <c r="CH1052" s="741">
        <f>(CH1037-CH1078-CH1082)/CH40</f>
        <v>0.74948338235211753</v>
      </c>
      <c r="CJ1052" s="741">
        <f>(CJ1037-CJ1078-CJ1082)/CJ40</f>
        <v>0.57671917478416668</v>
      </c>
      <c r="CK1052" s="741">
        <f>(CK1037-CK1078-CK1082)/CK40</f>
        <v>0.42586769599478719</v>
      </c>
      <c r="CL1052" s="741">
        <f>(CL1037-CL1078-CL1082)/CL40</f>
        <v>0.46825624843202662</v>
      </c>
      <c r="CN1052" s="741">
        <f>(CN1037-CN1078-CN1082)/CN40</f>
        <v>0.54654849353049906</v>
      </c>
      <c r="CO1052" s="741">
        <f>(CO1037-CO1078-CO1082)/CO40</f>
        <v>0.66795798569277109</v>
      </c>
      <c r="CP1052" s="741">
        <f>(CP1037-CP1078-CP1082)/CP40</f>
        <v>0.51300875085747966</v>
      </c>
      <c r="CR1052" s="741">
        <f>(CR1037-CR1078-CR1082)/CR40</f>
        <v>0.50871981350085183</v>
      </c>
      <c r="CS1052" s="741">
        <f>(CS1037-CS1078-CS1082)/CS40</f>
        <v>0.72908195319322588</v>
      </c>
      <c r="CT1052" s="741">
        <f>(CT1037-CT1078-CT1082)/CT40</f>
        <v>0.50714886270879456</v>
      </c>
      <c r="CV1052" s="741">
        <f>(CV1037-CV1078-CV1082)/CV40</f>
        <v>0.68555099669373554</v>
      </c>
      <c r="CW1052" s="741">
        <f>(CW1037-CW1078-CW1082)/CW40</f>
        <v>0.83356949291338578</v>
      </c>
      <c r="CX1052" s="741">
        <f>(CX1037-CX1078-CX1082)/CX40</f>
        <v>0.62470530194806961</v>
      </c>
      <c r="CZ1052" s="741">
        <f>(CZ1037-CZ1078-CZ1082)/CZ40</f>
        <v>0.75656685398192902</v>
      </c>
      <c r="DA1052" s="741">
        <f>(DA1037-DA1078-DA1082)/DA40</f>
        <v>0.90268627723840345</v>
      </c>
      <c r="DB1052" s="741">
        <f>(DB1037-DB1078-DB1082)/DB40</f>
        <v>0.69676948617202472</v>
      </c>
      <c r="DD1052" s="741">
        <f>(DD1037-DD1078-DD1082)/DD40</f>
        <v>0.7334028643358006</v>
      </c>
      <c r="DE1052" s="741">
        <f>(DE1037-DE1078-DE1082)/DE40</f>
        <v>0.87334446623845852</v>
      </c>
      <c r="DF1052" s="741">
        <f>(DF1037-DF1078-DF1082)/DF40</f>
        <v>0.67134168014037165</v>
      </c>
      <c r="DH1052" s="741">
        <f>(DH1037-DH1078-DH1082)/DH40</f>
        <v>0.73274390558971481</v>
      </c>
      <c r="DI1052" s="741">
        <f>(DI1037-DI1078-DI1082)/DI40</f>
        <v>0.83199999999999996</v>
      </c>
      <c r="DJ1052" s="741">
        <f>(DJ1037-DJ1078-DJ1082)/DJ40</f>
        <v>0.66600498376424866</v>
      </c>
      <c r="DL1052" s="741">
        <f>(DL1037-DL1078-DL1082)/DL40</f>
        <v>0.73399999999999999</v>
      </c>
      <c r="DM1052" s="741">
        <f>(DM1037-DM1078-DM1082)/DM40</f>
        <v>0.85399999999999998</v>
      </c>
      <c r="DN1052" s="741">
        <f>(DN1037-DN1078-DN1082)/DN40</f>
        <v>0.67468307428569463</v>
      </c>
      <c r="DP1052" s="741">
        <f>(DP1037-DP1078-DP1082)/DP40</f>
        <v>0.73499999999999999</v>
      </c>
      <c r="DQ1052" s="741">
        <f>(DQ1037-DQ1078-DQ1082)/DQ40</f>
        <v>0.86199999999999988</v>
      </c>
      <c r="DR1052" s="741">
        <f>(DR1037-DR1078-DR1082)/DR40</f>
        <v>0.67864881792237997</v>
      </c>
      <c r="DT1052" s="1"/>
      <c r="DU1052" s="1"/>
      <c r="DV1052" s="1"/>
      <c r="DW1052" s="1"/>
      <c r="DX1052" s="1"/>
      <c r="DY1052" s="1"/>
      <c r="DZ1052" s="1"/>
      <c r="EA1052" s="1"/>
      <c r="EB1052" s="1"/>
      <c r="EC1052" s="1"/>
      <c r="ED1052" s="1"/>
      <c r="EE1052" s="1"/>
      <c r="EF1052" s="1"/>
      <c r="EG1052" s="1"/>
      <c r="EH1052" s="1"/>
      <c r="EI1052" s="1"/>
      <c r="EJ1052" s="1"/>
      <c r="EK1052" s="1"/>
      <c r="EL1052" s="1"/>
      <c r="EM1052" s="1"/>
      <c r="EN1052" s="1"/>
      <c r="EO1052" s="1"/>
      <c r="EP1052" s="1"/>
      <c r="EQ1052" s="1"/>
      <c r="ER1052" s="1"/>
      <c r="ES1052" s="1"/>
      <c r="ET1052" s="1"/>
      <c r="EU1052" s="1"/>
      <c r="EV1052" s="1"/>
      <c r="EW1052" s="1"/>
      <c r="EX1052" s="1"/>
      <c r="EY1052" s="1"/>
      <c r="EZ1052" s="1"/>
      <c r="FA1052" s="1"/>
      <c r="FB1052" s="1"/>
      <c r="FC1052" s="1"/>
      <c r="FD1052" s="1"/>
      <c r="FE1052" s="1"/>
      <c r="FF1052" s="1"/>
      <c r="FG1052" s="1"/>
      <c r="FH1052" s="1"/>
      <c r="FI1052" s="1"/>
      <c r="FJ1052" s="1"/>
      <c r="FK1052" s="1"/>
      <c r="FL1052" s="1"/>
      <c r="FM1052" s="1"/>
      <c r="FN1052" s="1"/>
      <c r="FO1052" s="1"/>
      <c r="FP1052" s="1"/>
      <c r="FQ1052" s="1"/>
      <c r="FR1052" s="1"/>
      <c r="FS1052" s="1"/>
      <c r="FT1052" s="1"/>
      <c r="FU1052" s="1"/>
      <c r="FV1052" s="1"/>
      <c r="FW1052" s="1"/>
      <c r="FX1052" s="1"/>
      <c r="FY1052" s="1"/>
      <c r="FZ1052" s="1"/>
      <c r="GA1052" s="1"/>
      <c r="GB1052" s="1"/>
      <c r="GC1052" s="1"/>
      <c r="GD1052" s="1"/>
      <c r="GE1052" s="1"/>
      <c r="GF1052" s="1"/>
      <c r="GG1052" s="1"/>
      <c r="GH1052" s="1"/>
      <c r="GI1052" s="1"/>
      <c r="GJ1052" s="1"/>
      <c r="GK1052" s="1"/>
      <c r="GL1052" s="1"/>
      <c r="GM1052" s="1"/>
      <c r="GN1052" s="1"/>
      <c r="GO1052" s="1"/>
      <c r="GP1052" s="1"/>
      <c r="GQ1052" s="1"/>
      <c r="GR1052" s="1"/>
      <c r="GS1052" s="1"/>
      <c r="GT1052" s="1"/>
      <c r="GU1052" s="1"/>
      <c r="GV1052" s="1"/>
      <c r="GW1052" s="1"/>
      <c r="GX1052" s="1"/>
      <c r="GY1052" s="1"/>
      <c r="GZ1052" s="1"/>
      <c r="HA1052" s="1"/>
      <c r="HB1052" s="1"/>
      <c r="HC1052" s="1"/>
      <c r="HD1052" s="1"/>
      <c r="HE1052" s="1"/>
      <c r="HF1052" s="1"/>
      <c r="HG1052" s="1"/>
      <c r="HH1052" s="1"/>
      <c r="HI1052" s="1"/>
      <c r="HJ1052" s="1"/>
      <c r="HK1052" s="1"/>
      <c r="HL1052" s="1"/>
      <c r="HM1052" s="1"/>
      <c r="HN1052" s="1"/>
      <c r="HO1052" s="1"/>
      <c r="HP1052" s="1"/>
      <c r="HQ1052" s="1"/>
      <c r="HR1052" s="1"/>
      <c r="HS1052" s="1"/>
      <c r="HT1052" s="1"/>
      <c r="HU1052" s="1"/>
      <c r="HV1052" s="1"/>
      <c r="HW1052" s="1"/>
      <c r="HX1052" s="1"/>
      <c r="HY1052" s="1"/>
      <c r="HZ1052" s="1"/>
      <c r="IA1052" s="1"/>
      <c r="IB1052" s="1"/>
      <c r="IC1052" s="1"/>
      <c r="ID1052" s="1"/>
      <c r="IE1052" s="1"/>
      <c r="IF1052" s="1"/>
      <c r="IG1052" s="1"/>
      <c r="IH1052" s="1"/>
      <c r="II1052" s="1"/>
      <c r="IJ1052" s="1"/>
      <c r="IK1052" s="1"/>
      <c r="IL1052" s="1"/>
      <c r="IM1052" s="1"/>
      <c r="IN1052" s="1"/>
      <c r="IO1052" s="1"/>
      <c r="IP1052" s="1"/>
      <c r="IQ1052" s="1"/>
      <c r="IR1052" s="1"/>
      <c r="IS1052" s="1"/>
      <c r="IT1052" s="1"/>
      <c r="IU1052" s="1"/>
      <c r="IV1052" s="1"/>
      <c r="IW1052" s="1"/>
      <c r="IX1052" s="1"/>
      <c r="IY1052" s="1"/>
      <c r="IZ1052" s="1"/>
      <c r="JA1052" s="1"/>
      <c r="JB1052" s="1"/>
      <c r="JC1052" s="1"/>
      <c r="JD1052" s="1"/>
    </row>
    <row r="1053" spans="1:264" s="347" customFormat="1" x14ac:dyDescent="0.2">
      <c r="A1053" s="411"/>
      <c r="B1053" s="348"/>
      <c r="BH1053" s="348"/>
      <c r="BI1053" s="348"/>
      <c r="BJ1053" s="348"/>
      <c r="BK1053" s="348"/>
      <c r="BL1053" s="348"/>
      <c r="BM1053" s="348"/>
      <c r="BN1053" s="348"/>
      <c r="BO1053" s="348"/>
      <c r="BP1053" s="348"/>
      <c r="BT1053" s="741"/>
      <c r="BU1053" s="741"/>
      <c r="BV1053" s="741"/>
      <c r="BX1053" s="741"/>
      <c r="BY1053" s="741"/>
      <c r="BZ1053" s="741"/>
      <c r="CB1053" s="741"/>
      <c r="CC1053" s="741"/>
      <c r="CD1053" s="741"/>
      <c r="CF1053" s="741"/>
      <c r="CG1053" s="741"/>
      <c r="CH1053" s="741"/>
      <c r="CJ1053" s="741"/>
      <c r="CK1053" s="741"/>
      <c r="CL1053" s="741"/>
      <c r="CN1053" s="741"/>
      <c r="CO1053" s="741"/>
      <c r="CP1053" s="741"/>
      <c r="CR1053" s="741"/>
      <c r="CS1053" s="741"/>
      <c r="CT1053" s="741"/>
      <c r="CV1053" s="741"/>
      <c r="CW1053" s="741"/>
      <c r="CX1053" s="741"/>
      <c r="CZ1053" s="741"/>
      <c r="DA1053" s="741"/>
      <c r="DB1053" s="741"/>
      <c r="DD1053" s="741"/>
      <c r="DE1053" s="741"/>
      <c r="DF1053" s="741"/>
      <c r="DH1053" s="741"/>
      <c r="DI1053" s="741"/>
      <c r="DJ1053" s="741"/>
      <c r="DL1053" s="741"/>
      <c r="DM1053" s="741"/>
      <c r="DN1053" s="741"/>
      <c r="DP1053" s="741"/>
      <c r="DQ1053" s="741"/>
      <c r="DR1053" s="741"/>
      <c r="DT1053" s="1"/>
      <c r="DU1053" s="1"/>
      <c r="DV1053" s="1"/>
      <c r="DW1053" s="1"/>
      <c r="DX1053" s="1"/>
      <c r="DY1053" s="1"/>
      <c r="DZ1053" s="1"/>
      <c r="EA1053" s="1"/>
      <c r="EB1053" s="1"/>
      <c r="EC1053" s="1"/>
      <c r="ED1053" s="1"/>
      <c r="EE1053" s="1"/>
      <c r="EF1053" s="1"/>
      <c r="EG1053" s="1"/>
      <c r="EH1053" s="1"/>
      <c r="EI1053" s="1"/>
      <c r="EJ1053" s="1"/>
      <c r="EK1053" s="1"/>
      <c r="EL1053" s="1"/>
      <c r="EM1053" s="1"/>
      <c r="EN1053" s="1"/>
      <c r="EO1053" s="1"/>
      <c r="EP1053" s="1"/>
      <c r="EQ1053" s="1"/>
      <c r="ER1053" s="1"/>
      <c r="ES1053" s="1"/>
      <c r="ET1053" s="1"/>
      <c r="EU1053" s="1"/>
      <c r="EV1053" s="1"/>
      <c r="EW1053" s="1"/>
      <c r="EX1053" s="1"/>
      <c r="EY1053" s="1"/>
      <c r="EZ1053" s="1"/>
      <c r="FA1053" s="1"/>
      <c r="FB1053" s="1"/>
      <c r="FC1053" s="1"/>
      <c r="FD1053" s="1"/>
      <c r="FE1053" s="1"/>
      <c r="FF1053" s="1"/>
      <c r="FG1053" s="1"/>
      <c r="FH1053" s="1"/>
      <c r="FI1053" s="1"/>
      <c r="FJ1053" s="1"/>
      <c r="FK1053" s="1"/>
      <c r="FL1053" s="1"/>
      <c r="FM1053" s="1"/>
      <c r="FN1053" s="1"/>
      <c r="FO1053" s="1"/>
      <c r="FP1053" s="1"/>
      <c r="FQ1053" s="1"/>
      <c r="FR1053" s="1"/>
      <c r="FS1053" s="1"/>
      <c r="FT1053" s="1"/>
      <c r="FU1053" s="1"/>
      <c r="FV1053" s="1"/>
      <c r="FW1053" s="1"/>
      <c r="FX1053" s="1"/>
      <c r="FY1053" s="1"/>
      <c r="FZ1053" s="1"/>
      <c r="GA1053" s="1"/>
      <c r="GB1053" s="1"/>
      <c r="GC1053" s="1"/>
      <c r="GD1053" s="1"/>
      <c r="GE1053" s="1"/>
      <c r="GF1053" s="1"/>
      <c r="GG1053" s="1"/>
      <c r="GH1053" s="1"/>
      <c r="GI1053" s="1"/>
      <c r="GJ1053" s="1"/>
      <c r="GK1053" s="1"/>
      <c r="GL1053" s="1"/>
      <c r="GM1053" s="1"/>
      <c r="GN1053" s="1"/>
      <c r="GO1053" s="1"/>
      <c r="GP1053" s="1"/>
      <c r="GQ1053" s="1"/>
      <c r="GR1053" s="1"/>
      <c r="GS1053" s="1"/>
      <c r="GT1053" s="1"/>
      <c r="GU1053" s="1"/>
      <c r="GV1053" s="1"/>
      <c r="GW1053" s="1"/>
      <c r="GX1053" s="1"/>
      <c r="GY1053" s="1"/>
      <c r="GZ1053" s="1"/>
      <c r="HA1053" s="1"/>
      <c r="HB1053" s="1"/>
      <c r="HC1053" s="1"/>
      <c r="HD1053" s="1"/>
      <c r="HE1053" s="1"/>
      <c r="HF1053" s="1"/>
      <c r="HG1053" s="1"/>
      <c r="HH1053" s="1"/>
      <c r="HI1053" s="1"/>
      <c r="HJ1053" s="1"/>
      <c r="HK1053" s="1"/>
      <c r="HL1053" s="1"/>
      <c r="HM1053" s="1"/>
      <c r="HN1053" s="1"/>
      <c r="HO1053" s="1"/>
      <c r="HP1053" s="1"/>
      <c r="HQ1053" s="1"/>
      <c r="HR1053" s="1"/>
      <c r="HS1053" s="1"/>
      <c r="HT1053" s="1"/>
      <c r="HU1053" s="1"/>
      <c r="HV1053" s="1"/>
      <c r="HW1053" s="1"/>
      <c r="HX1053" s="1"/>
      <c r="HY1053" s="1"/>
      <c r="HZ1053" s="1"/>
      <c r="IA1053" s="1"/>
      <c r="IB1053" s="1"/>
      <c r="IC1053" s="1"/>
      <c r="ID1053" s="1"/>
      <c r="IE1053" s="1"/>
      <c r="IF1053" s="1"/>
      <c r="IG1053" s="1"/>
      <c r="IH1053" s="1"/>
      <c r="II1053" s="1"/>
      <c r="IJ1053" s="1"/>
      <c r="IK1053" s="1"/>
      <c r="IL1053" s="1"/>
      <c r="IM1053" s="1"/>
      <c r="IN1053" s="1"/>
      <c r="IO1053" s="1"/>
      <c r="IP1053" s="1"/>
      <c r="IQ1053" s="1"/>
      <c r="IR1053" s="1"/>
      <c r="IS1053" s="1"/>
      <c r="IT1053" s="1"/>
      <c r="IU1053" s="1"/>
      <c r="IV1053" s="1"/>
      <c r="IW1053" s="1"/>
      <c r="IX1053" s="1"/>
      <c r="IY1053" s="1"/>
      <c r="IZ1053" s="1"/>
      <c r="JA1053" s="1"/>
      <c r="JB1053" s="1"/>
      <c r="JC1053" s="1"/>
      <c r="JD1053" s="1"/>
    </row>
    <row r="1054" spans="1:264" s="347" customFormat="1" x14ac:dyDescent="0.2">
      <c r="A1054" s="347" t="s">
        <v>450</v>
      </c>
      <c r="B1054" s="348"/>
      <c r="BH1054" s="348"/>
      <c r="BI1054" s="348"/>
      <c r="BJ1054" s="348"/>
      <c r="BK1054" s="348"/>
      <c r="BL1054" s="348"/>
      <c r="BM1054" s="348"/>
      <c r="BN1054" s="348"/>
      <c r="BO1054" s="348"/>
      <c r="BP1054" s="348"/>
      <c r="BT1054" s="351">
        <f>BT78</f>
        <v>12420</v>
      </c>
      <c r="BU1054" s="351">
        <f>BU78</f>
        <v>12327</v>
      </c>
      <c r="BV1054" s="351">
        <f>BV78</f>
        <v>24747</v>
      </c>
      <c r="BX1054" s="351">
        <f>BX78</f>
        <v>12438</v>
      </c>
      <c r="BY1054" s="351">
        <f>BY78</f>
        <v>12445</v>
      </c>
      <c r="BZ1054" s="351">
        <f>BZ78</f>
        <v>24883</v>
      </c>
      <c r="CB1054" s="351">
        <f>CB78</f>
        <v>12558</v>
      </c>
      <c r="CC1054" s="351">
        <f>CC78</f>
        <v>12136</v>
      </c>
      <c r="CD1054" s="351">
        <f>CD78</f>
        <v>24694</v>
      </c>
      <c r="CF1054" s="351">
        <f>CF78</f>
        <v>11990</v>
      </c>
      <c r="CG1054" s="351">
        <f>CG78</f>
        <v>11589</v>
      </c>
      <c r="CH1054" s="351">
        <f>CH78</f>
        <v>23579</v>
      </c>
      <c r="CJ1054" s="351">
        <f>CJ78</f>
        <v>12023</v>
      </c>
      <c r="CK1054" s="351">
        <f>CK78</f>
        <v>11738</v>
      </c>
      <c r="CL1054" s="351">
        <f>CL78</f>
        <v>23761</v>
      </c>
      <c r="CN1054" s="351">
        <f>CN78</f>
        <v>11961</v>
      </c>
      <c r="CO1054" s="351">
        <f>CO78</f>
        <v>12195</v>
      </c>
      <c r="CP1054" s="351">
        <f>CP78</f>
        <v>24156</v>
      </c>
      <c r="CR1054" s="351">
        <f>CR78</f>
        <v>12107</v>
      </c>
      <c r="CS1054" s="351">
        <f>CS78</f>
        <v>12066</v>
      </c>
      <c r="CT1054" s="351">
        <f>CT78</f>
        <v>24173</v>
      </c>
      <c r="CV1054" s="351">
        <f>CV78</f>
        <v>13623</v>
      </c>
      <c r="CW1054" s="351">
        <f>CW78</f>
        <v>13512</v>
      </c>
      <c r="CX1054" s="351">
        <f>CX78</f>
        <v>27135</v>
      </c>
      <c r="CZ1054" s="351">
        <f>CZ78</f>
        <v>13649</v>
      </c>
      <c r="DA1054" s="351">
        <f>DA78</f>
        <v>13525</v>
      </c>
      <c r="DB1054" s="351">
        <f>DB78</f>
        <v>27174</v>
      </c>
      <c r="DD1054" s="351">
        <f>DD78</f>
        <v>14097</v>
      </c>
      <c r="DE1054" s="351">
        <f>DE78</f>
        <v>14368</v>
      </c>
      <c r="DF1054" s="351">
        <f>DF78</f>
        <v>28465</v>
      </c>
      <c r="DH1054" s="351">
        <f>DH78</f>
        <v>15021</v>
      </c>
      <c r="DI1054" s="351">
        <f>DI78</f>
        <v>15221.786412194529</v>
      </c>
      <c r="DJ1054" s="351">
        <f>DJ78</f>
        <v>30242.786412194531</v>
      </c>
      <c r="DL1054" s="351">
        <f>DL78</f>
        <v>15973.425130904467</v>
      </c>
      <c r="DM1054" s="351">
        <f>DM78</f>
        <v>16037.449253626672</v>
      </c>
      <c r="DN1054" s="351">
        <f>DN78</f>
        <v>32010.87438453114</v>
      </c>
      <c r="DP1054" s="351">
        <f>DP78</f>
        <v>16651.367635972674</v>
      </c>
      <c r="DQ1054" s="351">
        <f>DQ78</f>
        <v>16727.137294992015</v>
      </c>
      <c r="DR1054" s="351">
        <f>DR78</f>
        <v>33378.504930964686</v>
      </c>
      <c r="DT1054" s="1"/>
      <c r="DU1054" s="1"/>
      <c r="DV1054" s="1"/>
      <c r="DW1054" s="1"/>
      <c r="DX1054" s="1"/>
      <c r="DY1054" s="1"/>
      <c r="DZ1054" s="1"/>
      <c r="EA1054" s="1"/>
      <c r="EB1054" s="1"/>
      <c r="EC1054" s="1"/>
      <c r="ED1054" s="1"/>
      <c r="EE1054" s="1"/>
      <c r="EF1054" s="1"/>
      <c r="EG1054" s="1"/>
      <c r="EH1054" s="1"/>
      <c r="EI1054" s="1"/>
      <c r="EJ1054" s="1"/>
      <c r="EK1054" s="1"/>
      <c r="EL1054" s="1"/>
      <c r="EM1054" s="1"/>
      <c r="EN1054" s="1"/>
      <c r="EO1054" s="1"/>
      <c r="EP1054" s="1"/>
      <c r="EQ1054" s="1"/>
      <c r="ER1054" s="1"/>
      <c r="ES1054" s="1"/>
      <c r="ET1054" s="1"/>
      <c r="EU1054" s="1"/>
      <c r="EV1054" s="1"/>
      <c r="EW1054" s="1"/>
      <c r="EX1054" s="1"/>
      <c r="EY1054" s="1"/>
      <c r="EZ1054" s="1"/>
      <c r="FA1054" s="1"/>
      <c r="FB1054" s="1"/>
      <c r="FC1054" s="1"/>
      <c r="FD1054" s="1"/>
      <c r="FE1054" s="1"/>
      <c r="FF1054" s="1"/>
      <c r="FG1054" s="1"/>
      <c r="FH1054" s="1"/>
      <c r="FI1054" s="1"/>
      <c r="FJ1054" s="1"/>
      <c r="FK1054" s="1"/>
      <c r="FL1054" s="1"/>
      <c r="FM1054" s="1"/>
      <c r="FN1054" s="1"/>
      <c r="FO1054" s="1"/>
      <c r="FP1054" s="1"/>
      <c r="FQ1054" s="1"/>
      <c r="FR1054" s="1"/>
      <c r="FS1054" s="1"/>
      <c r="FT1054" s="1"/>
      <c r="FU1054" s="1"/>
      <c r="FV1054" s="1"/>
      <c r="FW1054" s="1"/>
      <c r="FX1054" s="1"/>
      <c r="FY1054" s="1"/>
      <c r="FZ1054" s="1"/>
      <c r="GA1054" s="1"/>
      <c r="GB1054" s="1"/>
      <c r="GC1054" s="1"/>
      <c r="GD1054" s="1"/>
      <c r="GE1054" s="1"/>
      <c r="GF1054" s="1"/>
      <c r="GG1054" s="1"/>
      <c r="GH1054" s="1"/>
      <c r="GI1054" s="1"/>
      <c r="GJ1054" s="1"/>
      <c r="GK1054" s="1"/>
      <c r="GL1054" s="1"/>
      <c r="GM1054" s="1"/>
      <c r="GN1054" s="1"/>
      <c r="GO1054" s="1"/>
      <c r="GP1054" s="1"/>
      <c r="GQ1054" s="1"/>
      <c r="GR1054" s="1"/>
      <c r="GS1054" s="1"/>
      <c r="GT1054" s="1"/>
      <c r="GU1054" s="1"/>
      <c r="GV1054" s="1"/>
      <c r="GW1054" s="1"/>
      <c r="GX1054" s="1"/>
      <c r="GY1054" s="1"/>
      <c r="GZ1054" s="1"/>
      <c r="HA1054" s="1"/>
      <c r="HB1054" s="1"/>
      <c r="HC1054" s="1"/>
      <c r="HD1054" s="1"/>
      <c r="HE1054" s="1"/>
      <c r="HF1054" s="1"/>
      <c r="HG1054" s="1"/>
      <c r="HH1054" s="1"/>
      <c r="HI1054" s="1"/>
      <c r="HJ1054" s="1"/>
      <c r="HK1054" s="1"/>
      <c r="HL1054" s="1"/>
      <c r="HM1054" s="1"/>
      <c r="HN1054" s="1"/>
      <c r="HO1054" s="1"/>
      <c r="HP1054" s="1"/>
      <c r="HQ1054" s="1"/>
      <c r="HR1054" s="1"/>
      <c r="HS1054" s="1"/>
      <c r="HT1054" s="1"/>
      <c r="HU1054" s="1"/>
      <c r="HV1054" s="1"/>
      <c r="HW1054" s="1"/>
      <c r="HX1054" s="1"/>
      <c r="HY1054" s="1"/>
      <c r="HZ1054" s="1"/>
      <c r="IA1054" s="1"/>
      <c r="IB1054" s="1"/>
      <c r="IC1054" s="1"/>
      <c r="ID1054" s="1"/>
      <c r="IE1054" s="1"/>
      <c r="IF1054" s="1"/>
      <c r="IG1054" s="1"/>
      <c r="IH1054" s="1"/>
      <c r="II1054" s="1"/>
      <c r="IJ1054" s="1"/>
      <c r="IK1054" s="1"/>
      <c r="IL1054" s="1"/>
      <c r="IM1054" s="1"/>
      <c r="IN1054" s="1"/>
      <c r="IO1054" s="1"/>
      <c r="IP1054" s="1"/>
      <c r="IQ1054" s="1"/>
      <c r="IR1054" s="1"/>
      <c r="IS1054" s="1"/>
      <c r="IT1054" s="1"/>
      <c r="IU1054" s="1"/>
      <c r="IV1054" s="1"/>
      <c r="IW1054" s="1"/>
      <c r="IX1054" s="1"/>
      <c r="IY1054" s="1"/>
      <c r="IZ1054" s="1"/>
      <c r="JA1054" s="1"/>
      <c r="JB1054" s="1"/>
      <c r="JC1054" s="1"/>
      <c r="JD1054" s="1"/>
    </row>
    <row r="1055" spans="1:264" s="347" customFormat="1" x14ac:dyDescent="0.2">
      <c r="A1055" s="347" t="s">
        <v>717</v>
      </c>
      <c r="B1055" s="348"/>
      <c r="BH1055" s="348"/>
      <c r="BI1055" s="348"/>
      <c r="BJ1055" s="348"/>
      <c r="BK1055" s="348"/>
      <c r="BL1055" s="348"/>
      <c r="BM1055" s="348"/>
      <c r="BN1055" s="348"/>
      <c r="BO1055" s="348"/>
      <c r="BP1055" s="348"/>
      <c r="BT1055" s="351">
        <f>BT90</f>
        <v>-5210</v>
      </c>
      <c r="BU1055" s="351">
        <f>BU90</f>
        <v>-5224</v>
      </c>
      <c r="BV1055" s="351">
        <f>BV90</f>
        <v>-10434</v>
      </c>
      <c r="BX1055" s="351">
        <f>BX90</f>
        <v>-5081</v>
      </c>
      <c r="BY1055" s="351">
        <f>BY90</f>
        <v>-5148</v>
      </c>
      <c r="BZ1055" s="351">
        <f>BZ90</f>
        <v>-10229</v>
      </c>
      <c r="CB1055" s="351">
        <f>CB90</f>
        <v>-5396</v>
      </c>
      <c r="CC1055" s="351">
        <f>CC90</f>
        <v>-5400</v>
      </c>
      <c r="CD1055" s="351">
        <f>CD90</f>
        <v>-10796</v>
      </c>
      <c r="CF1055" s="351">
        <f>CF90</f>
        <v>-4975</v>
      </c>
      <c r="CG1055" s="351">
        <f>CG90</f>
        <v>-5159</v>
      </c>
      <c r="CH1055" s="351">
        <f>CH90</f>
        <v>-10134</v>
      </c>
      <c r="CJ1055" s="351">
        <f>CJ90</f>
        <v>-5257</v>
      </c>
      <c r="CK1055" s="351">
        <f>CK90</f>
        <v>-5278</v>
      </c>
      <c r="CL1055" s="351">
        <f>CL90</f>
        <v>-10535</v>
      </c>
      <c r="CN1055" s="351">
        <f>CN90</f>
        <v>-5349</v>
      </c>
      <c r="CO1055" s="351">
        <f>CO90</f>
        <v>-5435</v>
      </c>
      <c r="CP1055" s="351">
        <f>CP90</f>
        <v>-10784</v>
      </c>
      <c r="CR1055" s="351">
        <f>CR90</f>
        <v>-5397</v>
      </c>
      <c r="CS1055" s="351">
        <f>CS90</f>
        <v>-5391</v>
      </c>
      <c r="CT1055" s="351">
        <f>CT90</f>
        <v>-10788</v>
      </c>
      <c r="CV1055" s="351">
        <f>CV90</f>
        <v>-5636</v>
      </c>
      <c r="CW1055" s="351">
        <f>CW90</f>
        <v>-5873</v>
      </c>
      <c r="CX1055" s="351">
        <f>CX90</f>
        <v>-11646</v>
      </c>
      <c r="CZ1055" s="351">
        <f>CZ90</f>
        <v>-6011</v>
      </c>
      <c r="DA1055" s="351">
        <f>DA90</f>
        <v>-6118</v>
      </c>
      <c r="DB1055" s="351">
        <f>DB90</f>
        <v>-12129</v>
      </c>
      <c r="DD1055" s="351">
        <f>DD90</f>
        <v>-6372</v>
      </c>
      <c r="DE1055" s="351">
        <f>DE90</f>
        <v>-6494</v>
      </c>
      <c r="DF1055" s="351">
        <f>DF90</f>
        <v>-12866</v>
      </c>
      <c r="DH1055" s="351">
        <f>DH90</f>
        <v>-6720</v>
      </c>
      <c r="DI1055" s="351">
        <f>DI90</f>
        <v>-6740.2006014272984</v>
      </c>
      <c r="DJ1055" s="351">
        <f>DJ90</f>
        <v>-13460.200601427299</v>
      </c>
      <c r="DL1055" s="351">
        <f>DL90</f>
        <v>-7001.0985366253462</v>
      </c>
      <c r="DM1055" s="351">
        <f>DM90</f>
        <v>-7022.4476853043052</v>
      </c>
      <c r="DN1055" s="351">
        <f>DN90</f>
        <v>-14023.546221929651</v>
      </c>
      <c r="DP1055" s="351">
        <f>DP90</f>
        <v>-7290.0077743019428</v>
      </c>
      <c r="DQ1055" s="351">
        <f>DQ90</f>
        <v>-7332.2091061050687</v>
      </c>
      <c r="DR1055" s="351">
        <f>DR90</f>
        <v>-14622.21688040701</v>
      </c>
      <c r="DT1055" s="1"/>
      <c r="DU1055" s="1"/>
      <c r="DV1055" s="1"/>
      <c r="DW1055" s="1"/>
      <c r="DX1055" s="1"/>
      <c r="DY1055" s="1"/>
      <c r="DZ1055" s="1"/>
      <c r="EA1055" s="1"/>
      <c r="EB1055" s="1"/>
      <c r="EC1055" s="1"/>
      <c r="ED1055" s="1"/>
      <c r="EE1055" s="1"/>
      <c r="EF1055" s="1"/>
      <c r="EG1055" s="1"/>
      <c r="EH1055" s="1"/>
      <c r="EI1055" s="1"/>
      <c r="EJ1055" s="1"/>
      <c r="EK1055" s="1"/>
      <c r="EL1055" s="1"/>
      <c r="EM1055" s="1"/>
      <c r="EN1055" s="1"/>
      <c r="EO1055" s="1"/>
      <c r="EP1055" s="1"/>
      <c r="EQ1055" s="1"/>
      <c r="ER1055" s="1"/>
      <c r="ES1055" s="1"/>
      <c r="ET1055" s="1"/>
      <c r="EU1055" s="1"/>
      <c r="EV1055" s="1"/>
      <c r="EW1055" s="1"/>
      <c r="EX1055" s="1"/>
      <c r="EY1055" s="1"/>
      <c r="EZ1055" s="1"/>
      <c r="FA1055" s="1"/>
      <c r="FB1055" s="1"/>
      <c r="FC1055" s="1"/>
      <c r="FD1055" s="1"/>
      <c r="FE1055" s="1"/>
      <c r="FF1055" s="1"/>
      <c r="FG1055" s="1"/>
      <c r="FH1055" s="1"/>
      <c r="FI1055" s="1"/>
      <c r="FJ1055" s="1"/>
      <c r="FK1055" s="1"/>
      <c r="FL1055" s="1"/>
      <c r="FM1055" s="1"/>
      <c r="FN1055" s="1"/>
      <c r="FO1055" s="1"/>
      <c r="FP1055" s="1"/>
      <c r="FQ1055" s="1"/>
      <c r="FR1055" s="1"/>
      <c r="FS1055" s="1"/>
      <c r="FT1055" s="1"/>
      <c r="FU1055" s="1"/>
      <c r="FV1055" s="1"/>
      <c r="FW1055" s="1"/>
      <c r="FX1055" s="1"/>
      <c r="FY1055" s="1"/>
      <c r="FZ1055" s="1"/>
      <c r="GA1055" s="1"/>
      <c r="GB1055" s="1"/>
      <c r="GC1055" s="1"/>
      <c r="GD1055" s="1"/>
      <c r="GE1055" s="1"/>
      <c r="GF1055" s="1"/>
      <c r="GG1055" s="1"/>
      <c r="GH1055" s="1"/>
      <c r="GI1055" s="1"/>
      <c r="GJ1055" s="1"/>
      <c r="GK1055" s="1"/>
      <c r="GL1055" s="1"/>
      <c r="GM1055" s="1"/>
      <c r="GN1055" s="1"/>
      <c r="GO1055" s="1"/>
      <c r="GP1055" s="1"/>
      <c r="GQ1055" s="1"/>
      <c r="GR1055" s="1"/>
      <c r="GS1055" s="1"/>
      <c r="GT1055" s="1"/>
      <c r="GU1055" s="1"/>
      <c r="GV1055" s="1"/>
      <c r="GW1055" s="1"/>
      <c r="GX1055" s="1"/>
      <c r="GY1055" s="1"/>
      <c r="GZ1055" s="1"/>
      <c r="HA1055" s="1"/>
      <c r="HB1055" s="1"/>
      <c r="HC1055" s="1"/>
      <c r="HD1055" s="1"/>
      <c r="HE1055" s="1"/>
      <c r="HF1055" s="1"/>
      <c r="HG1055" s="1"/>
      <c r="HH1055" s="1"/>
      <c r="HI1055" s="1"/>
      <c r="HJ1055" s="1"/>
      <c r="HK1055" s="1"/>
      <c r="HL1055" s="1"/>
      <c r="HM1055" s="1"/>
      <c r="HN1055" s="1"/>
      <c r="HO1055" s="1"/>
      <c r="HP1055" s="1"/>
      <c r="HQ1055" s="1"/>
      <c r="HR1055" s="1"/>
      <c r="HS1055" s="1"/>
      <c r="HT1055" s="1"/>
      <c r="HU1055" s="1"/>
      <c r="HV1055" s="1"/>
      <c r="HW1055" s="1"/>
      <c r="HX1055" s="1"/>
      <c r="HY1055" s="1"/>
      <c r="HZ1055" s="1"/>
      <c r="IA1055" s="1"/>
      <c r="IB1055" s="1"/>
      <c r="IC1055" s="1"/>
      <c r="ID1055" s="1"/>
      <c r="IE1055" s="1"/>
      <c r="IF1055" s="1"/>
      <c r="IG1055" s="1"/>
      <c r="IH1055" s="1"/>
      <c r="II1055" s="1"/>
      <c r="IJ1055" s="1"/>
      <c r="IK1055" s="1"/>
      <c r="IL1055" s="1"/>
      <c r="IM1055" s="1"/>
      <c r="IN1055" s="1"/>
      <c r="IO1055" s="1"/>
      <c r="IP1055" s="1"/>
      <c r="IQ1055" s="1"/>
      <c r="IR1055" s="1"/>
      <c r="IS1055" s="1"/>
      <c r="IT1055" s="1"/>
      <c r="IU1055" s="1"/>
      <c r="IV1055" s="1"/>
      <c r="IW1055" s="1"/>
      <c r="IX1055" s="1"/>
      <c r="IY1055" s="1"/>
      <c r="IZ1055" s="1"/>
      <c r="JA1055" s="1"/>
      <c r="JB1055" s="1"/>
      <c r="JC1055" s="1"/>
      <c r="JD1055" s="1"/>
    </row>
    <row r="1056" spans="1:264" s="347" customFormat="1" x14ac:dyDescent="0.2">
      <c r="A1056" s="411" t="s">
        <v>718</v>
      </c>
      <c r="B1056" s="423"/>
      <c r="C1056" s="411"/>
      <c r="D1056" s="411"/>
      <c r="E1056" s="411"/>
      <c r="F1056" s="411"/>
      <c r="G1056" s="411"/>
      <c r="H1056" s="411"/>
      <c r="I1056" s="411"/>
      <c r="J1056" s="411"/>
      <c r="K1056" s="411"/>
      <c r="L1056" s="411"/>
      <c r="M1056" s="411"/>
      <c r="N1056" s="411"/>
      <c r="O1056" s="411"/>
      <c r="P1056" s="411"/>
      <c r="Q1056" s="411"/>
      <c r="R1056" s="411"/>
      <c r="S1056" s="411"/>
      <c r="T1056" s="411"/>
      <c r="U1056" s="411"/>
      <c r="V1056" s="411"/>
      <c r="W1056" s="411"/>
      <c r="X1056" s="411"/>
      <c r="Y1056" s="411"/>
      <c r="Z1056" s="411"/>
      <c r="AA1056" s="411"/>
      <c r="AB1056" s="411"/>
      <c r="AC1056" s="411"/>
      <c r="AD1056" s="411"/>
      <c r="AE1056" s="411"/>
      <c r="AF1056" s="411"/>
      <c r="AG1056" s="411"/>
      <c r="AH1056" s="411"/>
      <c r="AI1056" s="411"/>
      <c r="AJ1056" s="411"/>
      <c r="AK1056" s="411"/>
      <c r="AL1056" s="411"/>
      <c r="AM1056" s="411"/>
      <c r="AN1056" s="411"/>
      <c r="AO1056" s="411"/>
      <c r="AP1056" s="411"/>
      <c r="AQ1056" s="411"/>
      <c r="AR1056" s="411"/>
      <c r="AS1056" s="411"/>
      <c r="AT1056" s="411"/>
      <c r="AU1056" s="411"/>
      <c r="AV1056" s="411"/>
      <c r="AW1056" s="411"/>
      <c r="AX1056" s="411"/>
      <c r="AY1056" s="411"/>
      <c r="AZ1056" s="411"/>
      <c r="BA1056" s="411"/>
      <c r="BB1056" s="411"/>
      <c r="BC1056" s="411"/>
      <c r="BD1056" s="411"/>
      <c r="BE1056" s="411"/>
      <c r="BF1056" s="411"/>
      <c r="BG1056" s="411"/>
      <c r="BH1056" s="423"/>
      <c r="BI1056" s="423"/>
      <c r="BJ1056" s="423"/>
      <c r="BK1056" s="423"/>
      <c r="BL1056" s="423"/>
      <c r="BM1056" s="423"/>
      <c r="BN1056" s="423"/>
      <c r="BO1056" s="423"/>
      <c r="BP1056" s="423"/>
      <c r="BQ1056" s="411"/>
      <c r="BR1056" s="411"/>
      <c r="BS1056" s="411"/>
      <c r="BT1056" s="397">
        <f>BT1054+BT1055</f>
        <v>7210</v>
      </c>
      <c r="BU1056" s="397">
        <f t="shared" ref="BU1056:BV1056" si="850">BU1054+BU1055</f>
        <v>7103</v>
      </c>
      <c r="BV1056" s="397">
        <f t="shared" si="850"/>
        <v>14313</v>
      </c>
      <c r="BW1056" s="411"/>
      <c r="BX1056" s="397">
        <f>BX1054+BX1055</f>
        <v>7357</v>
      </c>
      <c r="BY1056" s="397">
        <f t="shared" ref="BY1056:BZ1056" si="851">BY1054+BY1055</f>
        <v>7297</v>
      </c>
      <c r="BZ1056" s="397">
        <f t="shared" si="851"/>
        <v>14654</v>
      </c>
      <c r="CA1056" s="411"/>
      <c r="CB1056" s="397">
        <f>CB1054+CB1055</f>
        <v>7162</v>
      </c>
      <c r="CC1056" s="397">
        <f t="shared" ref="CC1056:CD1056" si="852">CC1054+CC1055</f>
        <v>6736</v>
      </c>
      <c r="CD1056" s="397">
        <f t="shared" si="852"/>
        <v>13898</v>
      </c>
      <c r="CE1056" s="411"/>
      <c r="CF1056" s="397">
        <f>CF1054+CF1055</f>
        <v>7015</v>
      </c>
      <c r="CG1056" s="397">
        <f t="shared" ref="CG1056:CH1056" si="853">CG1054+CG1055</f>
        <v>6430</v>
      </c>
      <c r="CH1056" s="397">
        <f t="shared" si="853"/>
        <v>13445</v>
      </c>
      <c r="CI1056" s="411"/>
      <c r="CJ1056" s="397">
        <f>CJ1054+CJ1055</f>
        <v>6766</v>
      </c>
      <c r="CK1056" s="397">
        <f t="shared" ref="CK1056:CL1056" si="854">CK1054+CK1055</f>
        <v>6460</v>
      </c>
      <c r="CL1056" s="397">
        <f t="shared" si="854"/>
        <v>13226</v>
      </c>
      <c r="CM1056" s="411"/>
      <c r="CN1056" s="397">
        <f>CN1054+CN1055</f>
        <v>6612</v>
      </c>
      <c r="CO1056" s="397">
        <f t="shared" ref="CO1056:CP1056" si="855">CO1054+CO1055</f>
        <v>6760</v>
      </c>
      <c r="CP1056" s="397">
        <f t="shared" si="855"/>
        <v>13372</v>
      </c>
      <c r="CQ1056" s="411"/>
      <c r="CR1056" s="397">
        <f>CR1054+CR1055</f>
        <v>6710</v>
      </c>
      <c r="CS1056" s="397">
        <f t="shared" ref="CS1056:CT1056" si="856">CS1054+CS1055</f>
        <v>6675</v>
      </c>
      <c r="CT1056" s="397">
        <f t="shared" si="856"/>
        <v>13385</v>
      </c>
      <c r="CU1056" s="411"/>
      <c r="CV1056" s="397">
        <f>CV1054+CV1055</f>
        <v>7987</v>
      </c>
      <c r="CW1056" s="397">
        <f t="shared" ref="CW1056:CX1056" si="857">CW1054+CW1055</f>
        <v>7639</v>
      </c>
      <c r="CX1056" s="397">
        <f t="shared" si="857"/>
        <v>15489</v>
      </c>
      <c r="CY1056" s="411"/>
      <c r="CZ1056" s="397">
        <f>CZ1054+CZ1055</f>
        <v>7638</v>
      </c>
      <c r="DA1056" s="397">
        <f t="shared" ref="DA1056:DB1056" si="858">DA1054+DA1055</f>
        <v>7407</v>
      </c>
      <c r="DB1056" s="397">
        <f t="shared" si="858"/>
        <v>15045</v>
      </c>
      <c r="DC1056" s="411"/>
      <c r="DD1056" s="397">
        <f>DD1054+DD1055</f>
        <v>7725</v>
      </c>
      <c r="DE1056" s="397">
        <f t="shared" ref="DE1056:DF1056" si="859">DE1054+DE1055</f>
        <v>7874</v>
      </c>
      <c r="DF1056" s="397">
        <f t="shared" si="859"/>
        <v>15599</v>
      </c>
      <c r="DG1056" s="411"/>
      <c r="DH1056" s="397">
        <f>DH1054+DH1055</f>
        <v>8301</v>
      </c>
      <c r="DI1056" s="397">
        <f t="shared" ref="DI1056:DJ1056" si="860">DI1054+DI1055</f>
        <v>8481.585810767232</v>
      </c>
      <c r="DJ1056" s="397">
        <f t="shared" si="860"/>
        <v>16782.585810767232</v>
      </c>
      <c r="DL1056" s="397">
        <f>DL1054+DL1055</f>
        <v>8972.3265942791204</v>
      </c>
      <c r="DM1056" s="397">
        <f t="shared" ref="DM1056:DN1056" si="861">DM1054+DM1055</f>
        <v>9015.0015683223664</v>
      </c>
      <c r="DN1056" s="397">
        <f t="shared" si="861"/>
        <v>17987.328162601487</v>
      </c>
      <c r="DP1056" s="397">
        <f>DP1054+DP1055</f>
        <v>9361.3598616707313</v>
      </c>
      <c r="DQ1056" s="397">
        <f t="shared" ref="DQ1056:DR1056" si="862">DQ1054+DQ1055</f>
        <v>9394.9281888869464</v>
      </c>
      <c r="DR1056" s="397">
        <f t="shared" si="862"/>
        <v>18756.288050557676</v>
      </c>
      <c r="DT1056" s="1"/>
      <c r="DU1056" s="1"/>
      <c r="DV1056" s="1"/>
      <c r="DW1056" s="1"/>
      <c r="DX1056" s="1"/>
      <c r="DY1056" s="1"/>
      <c r="DZ1056" s="1"/>
      <c r="EA1056" s="1"/>
      <c r="EB1056" s="1"/>
      <c r="EC1056" s="1"/>
      <c r="ED1056" s="1"/>
      <c r="EE1056" s="1"/>
      <c r="EF1056" s="1"/>
      <c r="EG1056" s="1"/>
      <c r="EH1056" s="1"/>
      <c r="EI1056" s="1"/>
      <c r="EJ1056" s="1"/>
      <c r="EK1056" s="1"/>
      <c r="EL1056" s="1"/>
      <c r="EM1056" s="1"/>
      <c r="EN1056" s="1"/>
      <c r="EO1056" s="1"/>
      <c r="EP1056" s="1"/>
      <c r="EQ1056" s="1"/>
      <c r="ER1056" s="1"/>
      <c r="ES1056" s="1"/>
      <c r="ET1056" s="1"/>
      <c r="EU1056" s="1"/>
      <c r="EV1056" s="1"/>
      <c r="EW1056" s="1"/>
      <c r="EX1056" s="1"/>
      <c r="EY1056" s="1"/>
      <c r="EZ1056" s="1"/>
      <c r="FA1056" s="1"/>
      <c r="FB1056" s="1"/>
      <c r="FC1056" s="1"/>
      <c r="FD1056" s="1"/>
      <c r="FE1056" s="1"/>
      <c r="FF1056" s="1"/>
      <c r="FG1056" s="1"/>
      <c r="FH1056" s="1"/>
      <c r="FI1056" s="1"/>
      <c r="FJ1056" s="1"/>
      <c r="FK1056" s="1"/>
      <c r="FL1056" s="1"/>
      <c r="FM1056" s="1"/>
      <c r="FN1056" s="1"/>
      <c r="FO1056" s="1"/>
      <c r="FP1056" s="1"/>
      <c r="FQ1056" s="1"/>
      <c r="FR1056" s="1"/>
      <c r="FS1056" s="1"/>
      <c r="FT1056" s="1"/>
      <c r="FU1056" s="1"/>
      <c r="FV1056" s="1"/>
      <c r="FW1056" s="1"/>
      <c r="FX1056" s="1"/>
      <c r="FY1056" s="1"/>
      <c r="FZ1056" s="1"/>
      <c r="GA1056" s="1"/>
      <c r="GB1056" s="1"/>
      <c r="GC1056" s="1"/>
      <c r="GD1056" s="1"/>
      <c r="GE1056" s="1"/>
      <c r="GF1056" s="1"/>
      <c r="GG1056" s="1"/>
      <c r="GH1056" s="1"/>
      <c r="GI1056" s="1"/>
      <c r="GJ1056" s="1"/>
      <c r="GK1056" s="1"/>
      <c r="GL1056" s="1"/>
      <c r="GM1056" s="1"/>
      <c r="GN1056" s="1"/>
      <c r="GO1056" s="1"/>
      <c r="GP1056" s="1"/>
      <c r="GQ1056" s="1"/>
      <c r="GR1056" s="1"/>
      <c r="GS1056" s="1"/>
      <c r="GT1056" s="1"/>
      <c r="GU1056" s="1"/>
      <c r="GV1056" s="1"/>
      <c r="GW1056" s="1"/>
      <c r="GX1056" s="1"/>
      <c r="GY1056" s="1"/>
      <c r="GZ1056" s="1"/>
      <c r="HA1056" s="1"/>
      <c r="HB1056" s="1"/>
      <c r="HC1056" s="1"/>
      <c r="HD1056" s="1"/>
      <c r="HE1056" s="1"/>
      <c r="HF1056" s="1"/>
      <c r="HG1056" s="1"/>
      <c r="HH1056" s="1"/>
      <c r="HI1056" s="1"/>
      <c r="HJ1056" s="1"/>
      <c r="HK1056" s="1"/>
      <c r="HL1056" s="1"/>
      <c r="HM1056" s="1"/>
      <c r="HN1056" s="1"/>
      <c r="HO1056" s="1"/>
      <c r="HP1056" s="1"/>
      <c r="HQ1056" s="1"/>
      <c r="HR1056" s="1"/>
      <c r="HS1056" s="1"/>
      <c r="HT1056" s="1"/>
      <c r="HU1056" s="1"/>
      <c r="HV1056" s="1"/>
      <c r="HW1056" s="1"/>
      <c r="HX1056" s="1"/>
      <c r="HY1056" s="1"/>
      <c r="HZ1056" s="1"/>
      <c r="IA1056" s="1"/>
      <c r="IB1056" s="1"/>
      <c r="IC1056" s="1"/>
      <c r="ID1056" s="1"/>
      <c r="IE1056" s="1"/>
      <c r="IF1056" s="1"/>
      <c r="IG1056" s="1"/>
      <c r="IH1056" s="1"/>
      <c r="II1056" s="1"/>
      <c r="IJ1056" s="1"/>
      <c r="IK1056" s="1"/>
      <c r="IL1056" s="1"/>
      <c r="IM1056" s="1"/>
      <c r="IN1056" s="1"/>
      <c r="IO1056" s="1"/>
      <c r="IP1056" s="1"/>
      <c r="IQ1056" s="1"/>
      <c r="IR1056" s="1"/>
      <c r="IS1056" s="1"/>
      <c r="IT1056" s="1"/>
      <c r="IU1056" s="1"/>
      <c r="IV1056" s="1"/>
      <c r="IW1056" s="1"/>
      <c r="IX1056" s="1"/>
      <c r="IY1056" s="1"/>
      <c r="IZ1056" s="1"/>
      <c r="JA1056" s="1"/>
      <c r="JB1056" s="1"/>
      <c r="JC1056" s="1"/>
      <c r="JD1056" s="1"/>
    </row>
    <row r="1057" spans="1:264" s="347" customFormat="1" x14ac:dyDescent="0.2">
      <c r="A1057" s="411" t="s">
        <v>254</v>
      </c>
      <c r="B1057" s="423"/>
      <c r="C1057" s="411"/>
      <c r="D1057" s="411"/>
      <c r="E1057" s="411"/>
      <c r="F1057" s="411"/>
      <c r="G1057" s="411"/>
      <c r="H1057" s="411"/>
      <c r="I1057" s="411"/>
      <c r="J1057" s="411"/>
      <c r="K1057" s="411"/>
      <c r="L1057" s="411"/>
      <c r="M1057" s="411"/>
      <c r="N1057" s="411"/>
      <c r="O1057" s="411"/>
      <c r="P1057" s="411"/>
      <c r="Q1057" s="411"/>
      <c r="R1057" s="411"/>
      <c r="S1057" s="411"/>
      <c r="T1057" s="411"/>
      <c r="U1057" s="411"/>
      <c r="V1057" s="411"/>
      <c r="W1057" s="411"/>
      <c r="X1057" s="411"/>
      <c r="Y1057" s="411"/>
      <c r="Z1057" s="411"/>
      <c r="AA1057" s="411"/>
      <c r="AB1057" s="411"/>
      <c r="AC1057" s="411"/>
      <c r="AD1057" s="411"/>
      <c r="AE1057" s="411"/>
      <c r="AF1057" s="411"/>
      <c r="AG1057" s="411"/>
      <c r="AH1057" s="411"/>
      <c r="AI1057" s="411"/>
      <c r="AJ1057" s="411"/>
      <c r="AK1057" s="411"/>
      <c r="AL1057" s="411"/>
      <c r="AM1057" s="411"/>
      <c r="AN1057" s="411"/>
      <c r="AO1057" s="411"/>
      <c r="AP1057" s="411"/>
      <c r="AQ1057" s="411"/>
      <c r="AR1057" s="411"/>
      <c r="AS1057" s="411"/>
      <c r="AT1057" s="411"/>
      <c r="AU1057" s="411"/>
      <c r="AV1057" s="411"/>
      <c r="AW1057" s="411"/>
      <c r="AX1057" s="411"/>
      <c r="AY1057" s="411"/>
      <c r="AZ1057" s="411"/>
      <c r="BA1057" s="411"/>
      <c r="BB1057" s="411"/>
      <c r="BC1057" s="411"/>
      <c r="BD1057" s="411"/>
      <c r="BE1057" s="411"/>
      <c r="BF1057" s="411"/>
      <c r="BG1057" s="411"/>
      <c r="BH1057" s="423"/>
      <c r="BI1057" s="423"/>
      <c r="BJ1057" s="423"/>
      <c r="BK1057" s="423"/>
      <c r="BL1057" s="423"/>
      <c r="BM1057" s="423"/>
      <c r="BN1057" s="423"/>
      <c r="BO1057" s="423"/>
      <c r="BP1057" s="423"/>
      <c r="BQ1057" s="411"/>
      <c r="BR1057" s="411"/>
      <c r="BS1057" s="411"/>
      <c r="BT1057" s="397">
        <f>BT31</f>
        <v>7210</v>
      </c>
      <c r="BU1057" s="397">
        <f>BU31</f>
        <v>7103</v>
      </c>
      <c r="BV1057" s="397">
        <f>BV31</f>
        <v>14313</v>
      </c>
      <c r="BW1057" s="411"/>
      <c r="BX1057" s="397">
        <f>BX31</f>
        <v>7361</v>
      </c>
      <c r="BY1057" s="397">
        <f>BY31</f>
        <v>7297</v>
      </c>
      <c r="BZ1057" s="397">
        <f>BZ31</f>
        <v>14658</v>
      </c>
      <c r="CA1057" s="411"/>
      <c r="CB1057" s="397">
        <f>CB31</f>
        <v>7193</v>
      </c>
      <c r="CC1057" s="397">
        <f>CC31</f>
        <v>6734</v>
      </c>
      <c r="CD1057" s="397">
        <f>CD31</f>
        <v>13927</v>
      </c>
      <c r="CE1057" s="411"/>
      <c r="CF1057" s="397">
        <f>CF31</f>
        <v>6924</v>
      </c>
      <c r="CG1057" s="397">
        <f>CG31</f>
        <v>5831</v>
      </c>
      <c r="CH1057" s="397">
        <f>CH31</f>
        <v>12755</v>
      </c>
      <c r="CI1057" s="411"/>
      <c r="CJ1057" s="397">
        <f>CJ31</f>
        <v>6766</v>
      </c>
      <c r="CK1057" s="397">
        <f>CK31</f>
        <v>5999</v>
      </c>
      <c r="CL1057" s="397">
        <f>CL31</f>
        <v>12765</v>
      </c>
      <c r="CM1057" s="411"/>
      <c r="CN1057" s="397">
        <f>CN31</f>
        <v>6370</v>
      </c>
      <c r="CO1057" s="397">
        <f>CO31</f>
        <v>6427</v>
      </c>
      <c r="CP1057" s="397">
        <f>CP31</f>
        <v>12797</v>
      </c>
      <c r="CQ1057" s="411"/>
      <c r="CR1057" s="397">
        <f>CR31</f>
        <v>6617</v>
      </c>
      <c r="CS1057" s="397">
        <f>CS31</f>
        <v>6644</v>
      </c>
      <c r="CT1057" s="397">
        <f>CT31</f>
        <v>13261</v>
      </c>
      <c r="CU1057" s="411"/>
      <c r="CV1057" s="397">
        <f>CV31</f>
        <v>7850</v>
      </c>
      <c r="CW1057" s="397">
        <f>CW31</f>
        <v>7427</v>
      </c>
      <c r="CX1057" s="397">
        <f>CX31</f>
        <v>15277</v>
      </c>
      <c r="CY1057" s="411"/>
      <c r="CZ1057" s="397">
        <f>CZ31</f>
        <v>7638</v>
      </c>
      <c r="DA1057" s="397">
        <f>DA31</f>
        <v>7318</v>
      </c>
      <c r="DB1057" s="397">
        <f>DB31</f>
        <v>14956</v>
      </c>
      <c r="DC1057" s="411"/>
      <c r="DD1057" s="397">
        <f>DD31</f>
        <v>7725</v>
      </c>
      <c r="DE1057" s="397">
        <f>DE31</f>
        <v>7744</v>
      </c>
      <c r="DF1057" s="397">
        <f>DF31</f>
        <v>15469</v>
      </c>
      <c r="DG1057" s="411"/>
      <c r="DH1057" s="397">
        <f>DH31</f>
        <v>8131</v>
      </c>
      <c r="DI1057" s="397">
        <f>DI31</f>
        <v>8431.585810767232</v>
      </c>
      <c r="DJ1057" s="397">
        <f>DJ31</f>
        <v>16562.585810767232</v>
      </c>
      <c r="DL1057" s="397">
        <f>DL31</f>
        <v>8972.3265942791204</v>
      </c>
      <c r="DM1057" s="397">
        <f>DM31</f>
        <v>8965.0015683223664</v>
      </c>
      <c r="DN1057" s="397">
        <f>DN31</f>
        <v>17937.328162601487</v>
      </c>
      <c r="DP1057" s="397">
        <f>DP31</f>
        <v>9361.3598616707313</v>
      </c>
      <c r="DQ1057" s="397">
        <f>DQ31</f>
        <v>9344.9281888869464</v>
      </c>
      <c r="DR1057" s="397">
        <f>DR31</f>
        <v>18706.288050557676</v>
      </c>
      <c r="DT1057" s="1"/>
      <c r="DU1057" s="1"/>
      <c r="DV1057" s="1"/>
      <c r="DW1057" s="1"/>
      <c r="DX1057" s="1"/>
      <c r="DY1057" s="1"/>
      <c r="DZ1057" s="1"/>
      <c r="EA1057" s="1"/>
      <c r="EB1057" s="1"/>
      <c r="EC1057" s="1"/>
      <c r="ED1057" s="1"/>
      <c r="EE1057" s="1"/>
      <c r="EF1057" s="1"/>
      <c r="EG1057" s="1"/>
      <c r="EH1057" s="1"/>
      <c r="EI1057" s="1"/>
      <c r="EJ1057" s="1"/>
      <c r="EK1057" s="1"/>
      <c r="EL1057" s="1"/>
      <c r="EM1057" s="1"/>
      <c r="EN1057" s="1"/>
      <c r="EO1057" s="1"/>
      <c r="EP1057" s="1"/>
      <c r="EQ1057" s="1"/>
      <c r="ER1057" s="1"/>
      <c r="ES1057" s="1"/>
      <c r="ET1057" s="1"/>
      <c r="EU1057" s="1"/>
      <c r="EV1057" s="1"/>
      <c r="EW1057" s="1"/>
      <c r="EX1057" s="1"/>
      <c r="EY1057" s="1"/>
      <c r="EZ1057" s="1"/>
      <c r="FA1057" s="1"/>
      <c r="FB1057" s="1"/>
      <c r="FC1057" s="1"/>
      <c r="FD1057" s="1"/>
      <c r="FE1057" s="1"/>
      <c r="FF1057" s="1"/>
      <c r="FG1057" s="1"/>
      <c r="FH1057" s="1"/>
      <c r="FI1057" s="1"/>
      <c r="FJ1057" s="1"/>
      <c r="FK1057" s="1"/>
      <c r="FL1057" s="1"/>
      <c r="FM1057" s="1"/>
      <c r="FN1057" s="1"/>
      <c r="FO1057" s="1"/>
      <c r="FP1057" s="1"/>
      <c r="FQ1057" s="1"/>
      <c r="FR1057" s="1"/>
      <c r="FS1057" s="1"/>
      <c r="FT1057" s="1"/>
      <c r="FU1057" s="1"/>
      <c r="FV1057" s="1"/>
      <c r="FW1057" s="1"/>
      <c r="FX1057" s="1"/>
      <c r="FY1057" s="1"/>
      <c r="FZ1057" s="1"/>
      <c r="GA1057" s="1"/>
      <c r="GB1057" s="1"/>
      <c r="GC1057" s="1"/>
      <c r="GD1057" s="1"/>
      <c r="GE1057" s="1"/>
      <c r="GF1057" s="1"/>
      <c r="GG1057" s="1"/>
      <c r="GH1057" s="1"/>
      <c r="GI1057" s="1"/>
      <c r="GJ1057" s="1"/>
      <c r="GK1057" s="1"/>
      <c r="GL1057" s="1"/>
      <c r="GM1057" s="1"/>
      <c r="GN1057" s="1"/>
      <c r="GO1057" s="1"/>
      <c r="GP1057" s="1"/>
      <c r="GQ1057" s="1"/>
      <c r="GR1057" s="1"/>
      <c r="GS1057" s="1"/>
      <c r="GT1057" s="1"/>
      <c r="GU1057" s="1"/>
      <c r="GV1057" s="1"/>
      <c r="GW1057" s="1"/>
      <c r="GX1057" s="1"/>
      <c r="GY1057" s="1"/>
      <c r="GZ1057" s="1"/>
      <c r="HA1057" s="1"/>
      <c r="HB1057" s="1"/>
      <c r="HC1057" s="1"/>
      <c r="HD1057" s="1"/>
      <c r="HE1057" s="1"/>
      <c r="HF1057" s="1"/>
      <c r="HG1057" s="1"/>
      <c r="HH1057" s="1"/>
      <c r="HI1057" s="1"/>
      <c r="HJ1057" s="1"/>
      <c r="HK1057" s="1"/>
      <c r="HL1057" s="1"/>
      <c r="HM1057" s="1"/>
      <c r="HN1057" s="1"/>
      <c r="HO1057" s="1"/>
      <c r="HP1057" s="1"/>
      <c r="HQ1057" s="1"/>
      <c r="HR1057" s="1"/>
      <c r="HS1057" s="1"/>
      <c r="HT1057" s="1"/>
      <c r="HU1057" s="1"/>
      <c r="HV1057" s="1"/>
      <c r="HW1057" s="1"/>
      <c r="HX1057" s="1"/>
      <c r="HY1057" s="1"/>
      <c r="HZ1057" s="1"/>
      <c r="IA1057" s="1"/>
      <c r="IB1057" s="1"/>
      <c r="IC1057" s="1"/>
      <c r="ID1057" s="1"/>
      <c r="IE1057" s="1"/>
      <c r="IF1057" s="1"/>
      <c r="IG1057" s="1"/>
      <c r="IH1057" s="1"/>
      <c r="II1057" s="1"/>
      <c r="IJ1057" s="1"/>
      <c r="IK1057" s="1"/>
      <c r="IL1057" s="1"/>
      <c r="IM1057" s="1"/>
      <c r="IN1057" s="1"/>
      <c r="IO1057" s="1"/>
      <c r="IP1057" s="1"/>
      <c r="IQ1057" s="1"/>
      <c r="IR1057" s="1"/>
      <c r="IS1057" s="1"/>
      <c r="IT1057" s="1"/>
      <c r="IU1057" s="1"/>
      <c r="IV1057" s="1"/>
      <c r="IW1057" s="1"/>
      <c r="IX1057" s="1"/>
      <c r="IY1057" s="1"/>
      <c r="IZ1057" s="1"/>
      <c r="JA1057" s="1"/>
      <c r="JB1057" s="1"/>
      <c r="JC1057" s="1"/>
      <c r="JD1057" s="1"/>
    </row>
    <row r="1058" spans="1:264" s="347" customFormat="1" x14ac:dyDescent="0.2">
      <c r="A1058" s="347" t="s">
        <v>719</v>
      </c>
      <c r="B1058" s="348"/>
      <c r="BH1058" s="348"/>
      <c r="BI1058" s="348"/>
      <c r="BJ1058" s="348"/>
      <c r="BK1058" s="348"/>
      <c r="BL1058" s="348"/>
      <c r="BM1058" s="348"/>
      <c r="BN1058" s="348"/>
      <c r="BO1058" s="348"/>
      <c r="BP1058" s="348"/>
      <c r="BT1058" s="499">
        <f>BT871</f>
        <v>1.6602383876609986E-3</v>
      </c>
      <c r="BU1058" s="499">
        <f t="shared" ref="BU1058:BV1058" si="863">BU871</f>
        <v>1.983105176641152E-3</v>
      </c>
      <c r="BV1058" s="499">
        <f t="shared" si="863"/>
        <v>1.7898621977113704E-3</v>
      </c>
      <c r="BX1058" s="499">
        <f>BX871</f>
        <v>1.652045457980082E-3</v>
      </c>
      <c r="BY1058" s="499">
        <f t="shared" ref="BY1058:BZ1058" si="864">BY871</f>
        <v>1.3571482770401411E-3</v>
      </c>
      <c r="BZ1058" s="499">
        <f t="shared" si="864"/>
        <v>1.4857490210338643E-3</v>
      </c>
      <c r="CB1058" s="499">
        <f>CB871</f>
        <v>1.5948386639682999E-3</v>
      </c>
      <c r="CC1058" s="499">
        <f t="shared" ref="CC1058:CD1058" si="865">CC871</f>
        <v>1.3014365491307929E-3</v>
      </c>
      <c r="CD1058" s="499">
        <f t="shared" si="865"/>
        <v>1.441726972453528E-3</v>
      </c>
      <c r="CF1058" s="499">
        <f>CF871</f>
        <v>1.5071075105756932E-3</v>
      </c>
      <c r="CG1058" s="499">
        <f t="shared" ref="CG1058:CH1058" si="866">CG871</f>
        <v>1.6535099156472547E-3</v>
      </c>
      <c r="CH1058" s="499">
        <f t="shared" si="866"/>
        <v>1.5781596372203891E-3</v>
      </c>
      <c r="CJ1058" s="499">
        <f>CJ871</f>
        <v>1.6735469308682108E-3</v>
      </c>
      <c r="CK1058" s="499">
        <f t="shared" ref="CK1058:CL1058" si="867">CK871</f>
        <v>4.8179719494460529E-3</v>
      </c>
      <c r="CL1058" s="499">
        <f t="shared" si="867"/>
        <v>3.2277582078378891E-3</v>
      </c>
      <c r="CN1058" s="499">
        <f>CN871</f>
        <v>2.2022391764319128E-3</v>
      </c>
      <c r="CO1058" s="499">
        <f t="shared" ref="CO1058:CP1058" si="868">CO871</f>
        <v>-8.0833917587727925E-4</v>
      </c>
      <c r="CP1058" s="499">
        <f t="shared" si="868"/>
        <v>6.7704145106847898E-4</v>
      </c>
      <c r="CR1058" s="499">
        <f>CR871</f>
        <v>-1.7492721877492592E-4</v>
      </c>
      <c r="CS1058" s="499">
        <f t="shared" ref="CS1058:CT1058" si="869">CS871</f>
        <v>-6.4259639459409172E-4</v>
      </c>
      <c r="CT1058" s="499">
        <f t="shared" si="869"/>
        <v>-4.0340669609915893E-4</v>
      </c>
      <c r="CV1058" s="499">
        <f>CV871</f>
        <v>1.1104618887979422E-3</v>
      </c>
      <c r="CW1058" s="499">
        <f t="shared" ref="CW1058:CX1058" si="870">CW871</f>
        <v>1.2900013261430306E-3</v>
      </c>
      <c r="CX1058" s="499">
        <f t="shared" si="870"/>
        <v>1.1872475893409168E-3</v>
      </c>
      <c r="CZ1058" s="499">
        <f>CZ871</f>
        <v>8.8876282202307111E-4</v>
      </c>
      <c r="DA1058" s="499">
        <f t="shared" ref="DA1058:DB1058" si="871">DA871</f>
        <v>8.1925826177090455E-4</v>
      </c>
      <c r="DB1058" s="499">
        <f t="shared" si="871"/>
        <v>8.4425673826356816E-4</v>
      </c>
      <c r="DD1058" s="499">
        <f>DD871</f>
        <v>6.4947104586902612E-4</v>
      </c>
      <c r="DE1058" s="499">
        <f t="shared" ref="DE1058:DF1058" si="872">DE871</f>
        <v>8.0592871597216992E-4</v>
      </c>
      <c r="DF1058" s="499">
        <f t="shared" si="872"/>
        <v>7.1464922633807234E-4</v>
      </c>
      <c r="DH1058" s="499">
        <f>DH871</f>
        <v>6.0324704671881686E-4</v>
      </c>
      <c r="DI1058" s="499">
        <f t="shared" ref="DI1058:DJ1058" si="873">DI871</f>
        <v>8.0000000000000004E-4</v>
      </c>
      <c r="DJ1058" s="499">
        <f t="shared" si="873"/>
        <v>6.9056896062600433E-4</v>
      </c>
      <c r="DL1058" s="499">
        <f>DL871</f>
        <v>8.9999999999999998E-4</v>
      </c>
      <c r="DM1058" s="499">
        <f t="shared" ref="DM1058:DN1058" si="874">DM871</f>
        <v>1E-3</v>
      </c>
      <c r="DN1058" s="499">
        <f t="shared" si="874"/>
        <v>9.3590031201751744E-4</v>
      </c>
      <c r="DP1058" s="499">
        <f>DP871</f>
        <v>1E-3</v>
      </c>
      <c r="DQ1058" s="499">
        <f t="shared" ref="DQ1058:DR1058" si="875">DQ871</f>
        <v>1E-3</v>
      </c>
      <c r="DR1058" s="499">
        <f t="shared" si="875"/>
        <v>9.8768048945446513E-4</v>
      </c>
      <c r="DT1058" s="1"/>
      <c r="DU1058" s="1"/>
      <c r="DV1058" s="1"/>
      <c r="DW1058" s="1"/>
      <c r="DX1058" s="1"/>
      <c r="DY1058" s="1"/>
      <c r="DZ1058" s="1"/>
      <c r="EA1058" s="1"/>
      <c r="EB1058" s="1"/>
      <c r="EC1058" s="1"/>
      <c r="ED1058" s="1"/>
      <c r="EE1058" s="1"/>
      <c r="EF1058" s="1"/>
      <c r="EG1058" s="1"/>
      <c r="EH1058" s="1"/>
      <c r="EI1058" s="1"/>
      <c r="EJ1058" s="1"/>
      <c r="EK1058" s="1"/>
      <c r="EL1058" s="1"/>
      <c r="EM1058" s="1"/>
      <c r="EN1058" s="1"/>
      <c r="EO1058" s="1"/>
      <c r="EP1058" s="1"/>
      <c r="EQ1058" s="1"/>
      <c r="ER1058" s="1"/>
      <c r="ES1058" s="1"/>
      <c r="ET1058" s="1"/>
      <c r="EU1058" s="1"/>
      <c r="EV1058" s="1"/>
      <c r="EW1058" s="1"/>
      <c r="EX1058" s="1"/>
      <c r="EY1058" s="1"/>
      <c r="EZ1058" s="1"/>
      <c r="FA1058" s="1"/>
      <c r="FB1058" s="1"/>
      <c r="FC1058" s="1"/>
      <c r="FD1058" s="1"/>
      <c r="FE1058" s="1"/>
      <c r="FF1058" s="1"/>
      <c r="FG1058" s="1"/>
      <c r="FH1058" s="1"/>
      <c r="FI1058" s="1"/>
      <c r="FJ1058" s="1"/>
      <c r="FK1058" s="1"/>
      <c r="FL1058" s="1"/>
      <c r="FM1058" s="1"/>
      <c r="FN1058" s="1"/>
      <c r="FO1058" s="1"/>
      <c r="FP1058" s="1"/>
      <c r="FQ1058" s="1"/>
      <c r="FR1058" s="1"/>
      <c r="FS1058" s="1"/>
      <c r="FT1058" s="1"/>
      <c r="FU1058" s="1"/>
      <c r="FV1058" s="1"/>
      <c r="FW1058" s="1"/>
      <c r="FX1058" s="1"/>
      <c r="FY1058" s="1"/>
      <c r="FZ1058" s="1"/>
      <c r="GA1058" s="1"/>
      <c r="GB1058" s="1"/>
      <c r="GC1058" s="1"/>
      <c r="GD1058" s="1"/>
      <c r="GE1058" s="1"/>
      <c r="GF1058" s="1"/>
      <c r="GG1058" s="1"/>
      <c r="GH1058" s="1"/>
      <c r="GI1058" s="1"/>
      <c r="GJ1058" s="1"/>
      <c r="GK1058" s="1"/>
      <c r="GL1058" s="1"/>
      <c r="GM1058" s="1"/>
      <c r="GN1058" s="1"/>
      <c r="GO1058" s="1"/>
      <c r="GP1058" s="1"/>
      <c r="GQ1058" s="1"/>
      <c r="GR1058" s="1"/>
      <c r="GS1058" s="1"/>
      <c r="GT1058" s="1"/>
      <c r="GU1058" s="1"/>
      <c r="GV1058" s="1"/>
      <c r="GW1058" s="1"/>
      <c r="GX1058" s="1"/>
      <c r="GY1058" s="1"/>
      <c r="GZ1058" s="1"/>
      <c r="HA1058" s="1"/>
      <c r="HB1058" s="1"/>
      <c r="HC1058" s="1"/>
      <c r="HD1058" s="1"/>
      <c r="HE1058" s="1"/>
      <c r="HF1058" s="1"/>
      <c r="HG1058" s="1"/>
      <c r="HH1058" s="1"/>
      <c r="HI1058" s="1"/>
      <c r="HJ1058" s="1"/>
      <c r="HK1058" s="1"/>
      <c r="HL1058" s="1"/>
      <c r="HM1058" s="1"/>
      <c r="HN1058" s="1"/>
      <c r="HO1058" s="1"/>
      <c r="HP1058" s="1"/>
      <c r="HQ1058" s="1"/>
      <c r="HR1058" s="1"/>
      <c r="HS1058" s="1"/>
      <c r="HT1058" s="1"/>
      <c r="HU1058" s="1"/>
      <c r="HV1058" s="1"/>
      <c r="HW1058" s="1"/>
      <c r="HX1058" s="1"/>
      <c r="HY1058" s="1"/>
      <c r="HZ1058" s="1"/>
      <c r="IA1058" s="1"/>
      <c r="IB1058" s="1"/>
      <c r="IC1058" s="1"/>
      <c r="ID1058" s="1"/>
      <c r="IE1058" s="1"/>
      <c r="IF1058" s="1"/>
      <c r="IG1058" s="1"/>
      <c r="IH1058" s="1"/>
      <c r="II1058" s="1"/>
      <c r="IJ1058" s="1"/>
      <c r="IK1058" s="1"/>
      <c r="IL1058" s="1"/>
      <c r="IM1058" s="1"/>
      <c r="IN1058" s="1"/>
      <c r="IO1058" s="1"/>
      <c r="IP1058" s="1"/>
      <c r="IQ1058" s="1"/>
      <c r="IR1058" s="1"/>
      <c r="IS1058" s="1"/>
      <c r="IT1058" s="1"/>
      <c r="IU1058" s="1"/>
      <c r="IV1058" s="1"/>
      <c r="IW1058" s="1"/>
      <c r="IX1058" s="1"/>
      <c r="IY1058" s="1"/>
      <c r="IZ1058" s="1"/>
      <c r="JA1058" s="1"/>
      <c r="JB1058" s="1"/>
      <c r="JC1058" s="1"/>
      <c r="JD1058" s="1"/>
    </row>
    <row r="1059" spans="1:264" s="347" customFormat="1" x14ac:dyDescent="0.2">
      <c r="A1059" s="347" t="s">
        <v>286</v>
      </c>
      <c r="B1059" s="348"/>
      <c r="BH1059" s="348"/>
      <c r="BI1059" s="348"/>
      <c r="BJ1059" s="348"/>
      <c r="BK1059" s="348"/>
      <c r="BL1059" s="348"/>
      <c r="BM1059" s="348"/>
      <c r="BN1059" s="348"/>
      <c r="BO1059" s="348"/>
      <c r="BP1059" s="348"/>
      <c r="BT1059" s="351">
        <f>BT187</f>
        <v>675728</v>
      </c>
      <c r="BU1059" s="351">
        <f>BU187</f>
        <v>701730</v>
      </c>
      <c r="BV1059" s="351">
        <f>BV187</f>
        <v>701730</v>
      </c>
      <c r="BX1059" s="351">
        <f>BX187</f>
        <v>719250</v>
      </c>
      <c r="BY1059" s="351">
        <f>BY187</f>
        <v>737002</v>
      </c>
      <c r="BZ1059" s="351">
        <f>BZ187</f>
        <v>737002</v>
      </c>
      <c r="CB1059" s="351">
        <f>CB187</f>
        <v>741318</v>
      </c>
      <c r="CC1059" s="351">
        <f>CC187</f>
        <v>748408</v>
      </c>
      <c r="CD1059" s="351">
        <f>CD187</f>
        <v>748408</v>
      </c>
      <c r="CF1059" s="351">
        <f>CF187</f>
        <v>759463</v>
      </c>
      <c r="CG1059" s="351">
        <f>CG187</f>
        <v>761013</v>
      </c>
      <c r="CH1059" s="351">
        <f>CH187</f>
        <v>761013</v>
      </c>
      <c r="CJ1059" s="351">
        <f>CJ187</f>
        <v>771383</v>
      </c>
      <c r="CK1059" s="351">
        <f>CK187</f>
        <v>780108</v>
      </c>
      <c r="CL1059" s="351">
        <f>CL187</f>
        <v>780108</v>
      </c>
      <c r="CN1059" s="351">
        <f>CN187</f>
        <v>794473</v>
      </c>
      <c r="CO1059" s="351">
        <f>CO187</f>
        <v>818266</v>
      </c>
      <c r="CP1059" s="351">
        <f>CP187</f>
        <v>818266</v>
      </c>
      <c r="CR1059" s="351">
        <f>CR187</f>
        <v>850509</v>
      </c>
      <c r="CS1059" s="351">
        <f>CS187</f>
        <v>884963</v>
      </c>
      <c r="CT1059" s="351">
        <f>CT187</f>
        <v>884963</v>
      </c>
      <c r="CV1059" s="351">
        <f>CV187</f>
        <v>912835</v>
      </c>
      <c r="CW1059" s="351">
        <f>CW187</f>
        <v>933251</v>
      </c>
      <c r="CX1059" s="351">
        <f>CX187</f>
        <v>933251</v>
      </c>
      <c r="CZ1059" s="351">
        <f>CZ187</f>
        <v>928807</v>
      </c>
      <c r="DA1059" s="351">
        <f>DA187</f>
        <v>949948</v>
      </c>
      <c r="DB1059" s="351">
        <f>DB187</f>
        <v>949948</v>
      </c>
      <c r="DD1059" s="351">
        <f>DD187</f>
        <v>977384</v>
      </c>
      <c r="DE1059" s="351">
        <f>DE187</f>
        <v>1015883</v>
      </c>
      <c r="DF1059" s="351">
        <f>DF187</f>
        <v>1015883</v>
      </c>
      <c r="DH1059" s="351">
        <f>DH187</f>
        <v>1048988</v>
      </c>
      <c r="DI1059" s="351">
        <f>DI187</f>
        <v>1085563.3850495967</v>
      </c>
      <c r="DJ1059" s="351">
        <f>DJ187</f>
        <v>1085563.3850495967</v>
      </c>
      <c r="DL1059" s="351">
        <f>DL187</f>
        <v>1117407.6161743863</v>
      </c>
      <c r="DM1059" s="351">
        <f>DM187</f>
        <v>1152170.2205865183</v>
      </c>
      <c r="DN1059" s="351">
        <f>DN187</f>
        <v>1152170.2205865183</v>
      </c>
      <c r="DP1059" s="351">
        <f>DP187</f>
        <v>1179120.5333508002</v>
      </c>
      <c r="DQ1059" s="351">
        <f>DQ187</f>
        <v>1208740.8652868862</v>
      </c>
      <c r="DR1059" s="351">
        <f>DR187</f>
        <v>1208740.8652868862</v>
      </c>
      <c r="DT1059" s="1"/>
      <c r="DU1059" s="1"/>
      <c r="DV1059" s="1"/>
      <c r="DW1059" s="1"/>
      <c r="DX1059" s="1"/>
      <c r="DY1059" s="1"/>
      <c r="DZ1059" s="1"/>
      <c r="EA1059" s="1"/>
      <c r="EB1059" s="1"/>
      <c r="EC1059" s="1"/>
      <c r="ED1059" s="1"/>
      <c r="EE1059" s="1"/>
      <c r="EF1059" s="1"/>
      <c r="EG1059" s="1"/>
      <c r="EH1059" s="1"/>
      <c r="EI1059" s="1"/>
      <c r="EJ1059" s="1"/>
      <c r="EK1059" s="1"/>
      <c r="EL1059" s="1"/>
      <c r="EM1059" s="1"/>
      <c r="EN1059" s="1"/>
      <c r="EO1059" s="1"/>
      <c r="EP1059" s="1"/>
      <c r="EQ1059" s="1"/>
      <c r="ER1059" s="1"/>
      <c r="ES1059" s="1"/>
      <c r="ET1059" s="1"/>
      <c r="EU1059" s="1"/>
      <c r="EV1059" s="1"/>
      <c r="EW1059" s="1"/>
      <c r="EX1059" s="1"/>
      <c r="EY1059" s="1"/>
      <c r="EZ1059" s="1"/>
      <c r="FA1059" s="1"/>
      <c r="FB1059" s="1"/>
      <c r="FC1059" s="1"/>
      <c r="FD1059" s="1"/>
      <c r="FE1059" s="1"/>
      <c r="FF1059" s="1"/>
      <c r="FG1059" s="1"/>
      <c r="FH1059" s="1"/>
      <c r="FI1059" s="1"/>
      <c r="FJ1059" s="1"/>
      <c r="FK1059" s="1"/>
      <c r="FL1059" s="1"/>
      <c r="FM1059" s="1"/>
      <c r="FN1059" s="1"/>
      <c r="FO1059" s="1"/>
      <c r="FP1059" s="1"/>
      <c r="FQ1059" s="1"/>
      <c r="FR1059" s="1"/>
      <c r="FS1059" s="1"/>
      <c r="FT1059" s="1"/>
      <c r="FU1059" s="1"/>
      <c r="FV1059" s="1"/>
      <c r="FW1059" s="1"/>
      <c r="FX1059" s="1"/>
      <c r="FY1059" s="1"/>
      <c r="FZ1059" s="1"/>
      <c r="GA1059" s="1"/>
      <c r="GB1059" s="1"/>
      <c r="GC1059" s="1"/>
      <c r="GD1059" s="1"/>
      <c r="GE1059" s="1"/>
      <c r="GF1059" s="1"/>
      <c r="GG1059" s="1"/>
      <c r="GH1059" s="1"/>
      <c r="GI1059" s="1"/>
      <c r="GJ1059" s="1"/>
      <c r="GK1059" s="1"/>
      <c r="GL1059" s="1"/>
      <c r="GM1059" s="1"/>
      <c r="GN1059" s="1"/>
      <c r="GO1059" s="1"/>
      <c r="GP1059" s="1"/>
      <c r="GQ1059" s="1"/>
      <c r="GR1059" s="1"/>
      <c r="GS1059" s="1"/>
      <c r="GT1059" s="1"/>
      <c r="GU1059" s="1"/>
      <c r="GV1059" s="1"/>
      <c r="GW1059" s="1"/>
      <c r="GX1059" s="1"/>
      <c r="GY1059" s="1"/>
      <c r="GZ1059" s="1"/>
      <c r="HA1059" s="1"/>
      <c r="HB1059" s="1"/>
      <c r="HC1059" s="1"/>
      <c r="HD1059" s="1"/>
      <c r="HE1059" s="1"/>
      <c r="HF1059" s="1"/>
      <c r="HG1059" s="1"/>
      <c r="HH1059" s="1"/>
      <c r="HI1059" s="1"/>
      <c r="HJ1059" s="1"/>
      <c r="HK1059" s="1"/>
      <c r="HL1059" s="1"/>
      <c r="HM1059" s="1"/>
      <c r="HN1059" s="1"/>
      <c r="HO1059" s="1"/>
      <c r="HP1059" s="1"/>
      <c r="HQ1059" s="1"/>
      <c r="HR1059" s="1"/>
      <c r="HS1059" s="1"/>
      <c r="HT1059" s="1"/>
      <c r="HU1059" s="1"/>
      <c r="HV1059" s="1"/>
      <c r="HW1059" s="1"/>
      <c r="HX1059" s="1"/>
      <c r="HY1059" s="1"/>
      <c r="HZ1059" s="1"/>
      <c r="IA1059" s="1"/>
      <c r="IB1059" s="1"/>
      <c r="IC1059" s="1"/>
      <c r="ID1059" s="1"/>
      <c r="IE1059" s="1"/>
      <c r="IF1059" s="1"/>
      <c r="IG1059" s="1"/>
      <c r="IH1059" s="1"/>
      <c r="II1059" s="1"/>
      <c r="IJ1059" s="1"/>
      <c r="IK1059" s="1"/>
      <c r="IL1059" s="1"/>
      <c r="IM1059" s="1"/>
      <c r="IN1059" s="1"/>
      <c r="IO1059" s="1"/>
      <c r="IP1059" s="1"/>
      <c r="IQ1059" s="1"/>
      <c r="IR1059" s="1"/>
      <c r="IS1059" s="1"/>
      <c r="IT1059" s="1"/>
      <c r="IU1059" s="1"/>
      <c r="IV1059" s="1"/>
      <c r="IW1059" s="1"/>
      <c r="IX1059" s="1"/>
      <c r="IY1059" s="1"/>
      <c r="IZ1059" s="1"/>
      <c r="JA1059" s="1"/>
      <c r="JB1059" s="1"/>
      <c r="JC1059" s="1"/>
      <c r="JD1059" s="1"/>
    </row>
    <row r="1060" spans="1:264" s="347" customFormat="1" x14ac:dyDescent="0.2">
      <c r="A1060" s="447" t="s">
        <v>720</v>
      </c>
      <c r="B1060" s="446"/>
      <c r="C1060" s="447"/>
      <c r="D1060" s="447"/>
      <c r="E1060" s="447"/>
      <c r="F1060" s="447"/>
      <c r="G1060" s="447"/>
      <c r="H1060" s="447"/>
      <c r="I1060" s="447"/>
      <c r="J1060" s="447"/>
      <c r="K1060" s="447"/>
      <c r="L1060" s="447"/>
      <c r="M1060" s="447"/>
      <c r="N1060" s="447"/>
      <c r="O1060" s="447"/>
      <c r="P1060" s="447"/>
      <c r="Q1060" s="447"/>
      <c r="R1060" s="447"/>
      <c r="S1060" s="447"/>
      <c r="T1060" s="447"/>
      <c r="U1060" s="447"/>
      <c r="V1060" s="447"/>
      <c r="W1060" s="447"/>
      <c r="X1060" s="447"/>
      <c r="Y1060" s="447"/>
      <c r="Z1060" s="447"/>
      <c r="AA1060" s="447"/>
      <c r="AB1060" s="447"/>
      <c r="AC1060" s="447"/>
      <c r="AD1060" s="447"/>
      <c r="AE1060" s="447"/>
      <c r="AF1060" s="447"/>
      <c r="AG1060" s="447"/>
      <c r="AH1060" s="447"/>
      <c r="AI1060" s="447"/>
      <c r="AJ1060" s="447"/>
      <c r="AK1060" s="447"/>
      <c r="AL1060" s="447"/>
      <c r="AM1060" s="447"/>
      <c r="AN1060" s="447"/>
      <c r="AO1060" s="447"/>
      <c r="AP1060" s="447"/>
      <c r="AQ1060" s="447"/>
      <c r="AR1060" s="447"/>
      <c r="AS1060" s="447"/>
      <c r="AT1060" s="447"/>
      <c r="AU1060" s="447"/>
      <c r="AV1060" s="447"/>
      <c r="AW1060" s="447"/>
      <c r="AX1060" s="447"/>
      <c r="AY1060" s="447"/>
      <c r="AZ1060" s="447"/>
      <c r="BA1060" s="447"/>
      <c r="BB1060" s="447"/>
      <c r="BC1060" s="447"/>
      <c r="BD1060" s="447"/>
      <c r="BE1060" s="447"/>
      <c r="BF1060" s="447"/>
      <c r="BG1060" s="447"/>
      <c r="BH1060" s="446"/>
      <c r="BI1060" s="446"/>
      <c r="BJ1060" s="446"/>
      <c r="BK1060" s="446"/>
      <c r="BL1060" s="446"/>
      <c r="BM1060" s="446"/>
      <c r="BN1060" s="446"/>
      <c r="BO1060" s="446"/>
      <c r="BP1060" s="446"/>
      <c r="BQ1060" s="447"/>
      <c r="BR1060" s="447"/>
      <c r="BS1060" s="447"/>
      <c r="BT1060" s="742">
        <v>1.2999999999999999E-3</v>
      </c>
      <c r="BU1060" s="742">
        <v>1.2999999999999999E-3</v>
      </c>
      <c r="BV1060" s="743">
        <f>-BV1061/BV1059*BV3/BV4</f>
        <v>1.2757831974825058E-3</v>
      </c>
      <c r="BW1060" s="447"/>
      <c r="BX1060" s="742">
        <v>1.2999999999999999E-3</v>
      </c>
      <c r="BY1060" s="742">
        <v>1.2999999999999999E-3</v>
      </c>
      <c r="BZ1060" s="743">
        <f>-BZ1061/BZ1059*BZ3/BZ4</f>
        <v>1.2842149146785832E-3</v>
      </c>
      <c r="CA1060" s="447"/>
      <c r="CB1060" s="742">
        <v>1.2999999999999999E-3</v>
      </c>
      <c r="CC1060" s="742">
        <v>1.2999999999999999E-3</v>
      </c>
      <c r="CD1060" s="743">
        <f>-CD1061/CD1059*CD3/CD4</f>
        <v>1.2937916509681993E-3</v>
      </c>
      <c r="CE1060" s="447"/>
      <c r="CF1060" s="742">
        <v>1.2999999999999999E-3</v>
      </c>
      <c r="CG1060" s="742">
        <v>1.2999999999999999E-3</v>
      </c>
      <c r="CH1060" s="743">
        <f>-CH1061/CH1059*CH3/CH4</f>
        <v>1.2986652254009881E-3</v>
      </c>
      <c r="CI1060" s="447"/>
      <c r="CJ1060" s="742">
        <v>1.2999999999999999E-3</v>
      </c>
      <c r="CK1060" s="742">
        <v>1.2999999999999999E-3</v>
      </c>
      <c r="CL1060" s="743">
        <f>-CL1061/CL1059*CL3/CL4</f>
        <v>1.2926904474288708E-3</v>
      </c>
      <c r="CM1060" s="447"/>
      <c r="CN1060" s="742">
        <v>1.2999999999999999E-3</v>
      </c>
      <c r="CO1060" s="742">
        <v>1.2999999999999999E-3</v>
      </c>
      <c r="CP1060" s="744">
        <f>-CP1061/CP1059</f>
        <v>1.3235329914862782E-3</v>
      </c>
      <c r="CQ1060" s="447"/>
      <c r="CR1060" s="742">
        <v>1.4E-3</v>
      </c>
      <c r="CS1060" s="742">
        <v>1.4E-3</v>
      </c>
      <c r="CT1060" s="744">
        <f>-CT1061/CT1059</f>
        <v>9.5837735869607268E-4</v>
      </c>
      <c r="CU1060" s="447"/>
      <c r="CV1060" s="742">
        <v>1.4E-3</v>
      </c>
      <c r="CW1060" s="742">
        <v>1.4E-3</v>
      </c>
      <c r="CX1060" s="744">
        <f>-CX1061/CX1059</f>
        <v>1.1581527367356041E-3</v>
      </c>
      <c r="CY1060" s="447"/>
      <c r="CZ1060" s="742">
        <v>1E-3</v>
      </c>
      <c r="DA1060" s="742">
        <v>1E-3</v>
      </c>
      <c r="DB1060" s="744">
        <f>-DB1061/DB1059</f>
        <v>1.0039706670622723E-3</v>
      </c>
      <c r="DC1060" s="447"/>
      <c r="DD1060" s="744">
        <f>-DD1061*2/DD1059</f>
        <v>9.8435640437509551E-4</v>
      </c>
      <c r="DE1060" s="742">
        <v>1E-3</v>
      </c>
      <c r="DF1060" s="744">
        <f>-DF1061/DF1059</f>
        <v>8.6559853465591424E-4</v>
      </c>
      <c r="DG1060" s="447"/>
      <c r="DH1060" s="744">
        <f>-DH1061*2/DH1059</f>
        <v>9.655228651519823E-4</v>
      </c>
      <c r="DI1060" s="742">
        <v>1E-3</v>
      </c>
      <c r="DJ1060" s="743">
        <f>-DJ1061/DJ1059*DJ3/DJ4</f>
        <v>9.623863858686392E-4</v>
      </c>
      <c r="DK1060" s="447"/>
      <c r="DL1060" s="742">
        <v>1E-3</v>
      </c>
      <c r="DM1060" s="742">
        <v>1E-3</v>
      </c>
      <c r="DN1060" s="743">
        <f>-DN1061/DN1059*DN3/DN4</f>
        <v>9.8479030102402985E-4</v>
      </c>
      <c r="DO1060" s="447"/>
      <c r="DP1060" s="742">
        <v>1E-3</v>
      </c>
      <c r="DQ1060" s="742">
        <v>1E-3</v>
      </c>
      <c r="DR1060" s="743">
        <f>-DR1061/DR1059*DR3/DR4</f>
        <v>9.8768048945446492E-4</v>
      </c>
      <c r="DS1060" s="447"/>
      <c r="DT1060" s="1"/>
      <c r="DU1060" s="1"/>
      <c r="DV1060" s="1"/>
      <c r="DW1060" s="1"/>
      <c r="DX1060" s="1"/>
      <c r="DY1060" s="1"/>
      <c r="DZ1060" s="1"/>
      <c r="EA1060" s="1"/>
      <c r="EB1060" s="1"/>
      <c r="EC1060" s="1"/>
      <c r="ED1060" s="1"/>
      <c r="EE1060" s="1"/>
      <c r="EF1060" s="1"/>
      <c r="EG1060" s="1"/>
      <c r="EH1060" s="1"/>
      <c r="EI1060" s="1"/>
      <c r="EJ1060" s="1"/>
      <c r="EK1060" s="1"/>
      <c r="EL1060" s="1"/>
      <c r="EM1060" s="1"/>
      <c r="EN1060" s="1"/>
      <c r="EO1060" s="1"/>
      <c r="EP1060" s="1"/>
      <c r="EQ1060" s="1"/>
      <c r="ER1060" s="1"/>
      <c r="ES1060" s="1"/>
      <c r="ET1060" s="1"/>
      <c r="EU1060" s="1"/>
      <c r="EV1060" s="1"/>
      <c r="EW1060" s="1"/>
      <c r="EX1060" s="1"/>
      <c r="EY1060" s="1"/>
      <c r="EZ1060" s="1"/>
      <c r="FA1060" s="1"/>
      <c r="FB1060" s="1"/>
      <c r="FC1060" s="1"/>
      <c r="FD1060" s="1"/>
      <c r="FE1060" s="1"/>
      <c r="FF1060" s="1"/>
      <c r="FG1060" s="1"/>
      <c r="FH1060" s="1"/>
      <c r="FI1060" s="1"/>
      <c r="FJ1060" s="1"/>
      <c r="FK1060" s="1"/>
      <c r="FL1060" s="1"/>
      <c r="FM1060" s="1"/>
      <c r="FN1060" s="1"/>
      <c r="FO1060" s="1"/>
      <c r="FP1060" s="1"/>
      <c r="FQ1060" s="1"/>
      <c r="FR1060" s="1"/>
      <c r="FS1060" s="1"/>
      <c r="FT1060" s="1"/>
      <c r="FU1060" s="1"/>
      <c r="FV1060" s="1"/>
      <c r="FW1060" s="1"/>
      <c r="FX1060" s="1"/>
      <c r="FY1060" s="1"/>
      <c r="FZ1060" s="1"/>
      <c r="GA1060" s="1"/>
      <c r="GB1060" s="1"/>
      <c r="GC1060" s="1"/>
      <c r="GD1060" s="1"/>
      <c r="GE1060" s="1"/>
      <c r="GF1060" s="1"/>
      <c r="GG1060" s="1"/>
      <c r="GH1060" s="1"/>
      <c r="GI1060" s="1"/>
      <c r="GJ1060" s="1"/>
      <c r="GK1060" s="1"/>
      <c r="GL1060" s="1"/>
      <c r="GM1060" s="1"/>
      <c r="GN1060" s="1"/>
      <c r="GO1060" s="1"/>
      <c r="GP1060" s="1"/>
      <c r="GQ1060" s="1"/>
      <c r="GR1060" s="1"/>
      <c r="GS1060" s="1"/>
      <c r="GT1060" s="1"/>
      <c r="GU1060" s="1"/>
      <c r="GV1060" s="1"/>
      <c r="GW1060" s="1"/>
      <c r="GX1060" s="1"/>
      <c r="GY1060" s="1"/>
      <c r="GZ1060" s="1"/>
      <c r="HA1060" s="1"/>
      <c r="HB1060" s="1"/>
      <c r="HC1060" s="1"/>
      <c r="HD1060" s="1"/>
      <c r="HE1060" s="1"/>
      <c r="HF1060" s="1"/>
      <c r="HG1060" s="1"/>
      <c r="HH1060" s="1"/>
      <c r="HI1060" s="1"/>
      <c r="HJ1060" s="1"/>
      <c r="HK1060" s="1"/>
      <c r="HL1060" s="1"/>
      <c r="HM1060" s="1"/>
      <c r="HN1060" s="1"/>
      <c r="HO1060" s="1"/>
      <c r="HP1060" s="1"/>
      <c r="HQ1060" s="1"/>
      <c r="HR1060" s="1"/>
      <c r="HS1060" s="1"/>
      <c r="HT1060" s="1"/>
      <c r="HU1060" s="1"/>
      <c r="HV1060" s="1"/>
      <c r="HW1060" s="1"/>
      <c r="HX1060" s="1"/>
      <c r="HY1060" s="1"/>
      <c r="HZ1060" s="1"/>
      <c r="IA1060" s="1"/>
      <c r="IB1060" s="1"/>
      <c r="IC1060" s="1"/>
      <c r="ID1060" s="1"/>
      <c r="IE1060" s="1"/>
      <c r="IF1060" s="1"/>
      <c r="IG1060" s="1"/>
      <c r="IH1060" s="1"/>
      <c r="II1060" s="1"/>
      <c r="IJ1060" s="1"/>
      <c r="IK1060" s="1"/>
      <c r="IL1060" s="1"/>
      <c r="IM1060" s="1"/>
      <c r="IN1060" s="1"/>
      <c r="IO1060" s="1"/>
      <c r="IP1060" s="1"/>
      <c r="IQ1060" s="1"/>
      <c r="IR1060" s="1"/>
      <c r="IS1060" s="1"/>
      <c r="IT1060" s="1"/>
      <c r="IU1060" s="1"/>
      <c r="IV1060" s="1"/>
      <c r="IW1060" s="1"/>
      <c r="IX1060" s="1"/>
      <c r="IY1060" s="1"/>
      <c r="IZ1060" s="1"/>
      <c r="JA1060" s="1"/>
      <c r="JB1060" s="1"/>
      <c r="JC1060" s="1"/>
      <c r="JD1060" s="1"/>
    </row>
    <row r="1061" spans="1:264" s="347" customFormat="1" x14ac:dyDescent="0.2">
      <c r="A1061" s="347" t="s">
        <v>721</v>
      </c>
      <c r="B1061" s="348"/>
      <c r="BH1061" s="348"/>
      <c r="BI1061" s="348"/>
      <c r="BJ1061" s="348"/>
      <c r="BK1061" s="348"/>
      <c r="BL1061" s="348"/>
      <c r="BM1061" s="348"/>
      <c r="BN1061" s="348"/>
      <c r="BO1061" s="348"/>
      <c r="BP1061" s="348"/>
      <c r="BT1061" s="351">
        <f>BT1059*-BT1060*BT3/BT4</f>
        <v>-441.62332677595623</v>
      </c>
      <c r="BU1061" s="351">
        <f>BU1059*-BU1060*BU3/BU4</f>
        <v>-453.63201639344254</v>
      </c>
      <c r="BV1061" s="351">
        <f>BT1061+BU1061</f>
        <v>-895.25534316939877</v>
      </c>
      <c r="BX1061" s="351">
        <f>BX1059*-BX1060*BX3/BX4</f>
        <v>-471.35506849315072</v>
      </c>
      <c r="BY1061" s="351">
        <f>BY1059*-BY1060*BY3/BY4</f>
        <v>-475.11389205479446</v>
      </c>
      <c r="BZ1061" s="351">
        <f>BX1061+BY1061</f>
        <v>-946.46896054794524</v>
      </c>
      <c r="CB1061" s="351">
        <f>CB1059*-CB1060*CB3/CB4</f>
        <v>-485.81716602739721</v>
      </c>
      <c r="CC1061" s="351">
        <f>CC1059*-CC1060*CC3/CC4</f>
        <v>-482.46685589041095</v>
      </c>
      <c r="CD1061" s="351">
        <f>CB1061+CC1061</f>
        <v>-968.2840219178081</v>
      </c>
      <c r="CF1061" s="351">
        <f>CF1059*-CF1060*CF3/CF4</f>
        <v>-497.70835506849312</v>
      </c>
      <c r="CG1061" s="351">
        <f>CG1059*-CG1060*CG3/CG4</f>
        <v>-490.59276410958904</v>
      </c>
      <c r="CH1061" s="351">
        <f>CF1061+CG1061</f>
        <v>-988.30111917808222</v>
      </c>
      <c r="CJ1061" s="351">
        <f>CJ1059*-CJ1060*CJ3/CJ4</f>
        <v>-504.13883497267756</v>
      </c>
      <c r="CK1061" s="351">
        <f>CK1059*-CK1060*CK3/CK4</f>
        <v>-504.29932459016396</v>
      </c>
      <c r="CL1061" s="351">
        <f>CJ1061+CK1061</f>
        <v>-1008.4381595628415</v>
      </c>
      <c r="CN1061" s="351">
        <f>CN1059*-CN1060*CN3/CN4</f>
        <v>-520.65189479452044</v>
      </c>
      <c r="CO1061" s="351">
        <f>CO1059*-CO1060*CO3/CO4</f>
        <v>-527.50134191780819</v>
      </c>
      <c r="CP1061" s="351">
        <f>CP1062-CP1057*CP3/CP4</f>
        <v>-1083.0020468115108</v>
      </c>
      <c r="CR1061" s="351">
        <f>CR1059*-CR1060*CR3/CR4</f>
        <v>-600.24963945205479</v>
      </c>
      <c r="CS1061" s="351">
        <f>CS1059*-CS1060*CS3/CS4</f>
        <v>-614.38253205479452</v>
      </c>
      <c r="CT1061" s="351">
        <f>CT1062-CT1057*CT3/CT4</f>
        <v>-848.12850248375253</v>
      </c>
      <c r="CV1061" s="351">
        <f>CV1059*-CV1060*CV3/CV4</f>
        <v>-644.23642739726029</v>
      </c>
      <c r="CW1061" s="351">
        <f>CW1059*-CW1060*CW3/CW4</f>
        <v>-647.90631068493155</v>
      </c>
      <c r="CX1061" s="351">
        <f>CX1062-CX1057*CX3/CX4</f>
        <v>-1080.8471997112392</v>
      </c>
      <c r="CZ1061" s="351">
        <f>CZ1059*-CZ1060*CZ3/CZ4</f>
        <v>-466.94122404371586</v>
      </c>
      <c r="DA1061" s="351">
        <f>DA1059*-DA1060*DA3/DA4</f>
        <v>-472.37851366120219</v>
      </c>
      <c r="DB1061" s="351">
        <f>DB1062-DB1057*DB3/DB4</f>
        <v>-953.71992723447147</v>
      </c>
      <c r="DD1061" s="351">
        <f>DD1062-DD1057</f>
        <v>-481.04709996687416</v>
      </c>
      <c r="DE1061" s="351">
        <f>DE1059*-DE1060*DE3/DE4</f>
        <v>-503.76663835616438</v>
      </c>
      <c r="DF1061" s="351">
        <f>DF1062-DF1057*DF3/DF4</f>
        <v>-879.34683618185409</v>
      </c>
      <c r="DH1061" s="351">
        <f>DH1062-DH1057</f>
        <v>-506.41094963502383</v>
      </c>
      <c r="DI1061" s="351">
        <f>DI1059*-DI1060*DI3/DI4</f>
        <v>-538.32047313418354</v>
      </c>
      <c r="DJ1061" s="351">
        <f>DH1061+DI1061</f>
        <v>-1044.7314227692073</v>
      </c>
      <c r="DL1061" s="351">
        <f>DL1059*-DL1060*DL3/DL4</f>
        <v>-563.29589418106059</v>
      </c>
      <c r="DM1061" s="351">
        <f>DM1059*-DM1060*DM3/DM4</f>
        <v>-571.35016418125974</v>
      </c>
      <c r="DN1061" s="351">
        <f>DL1061+DM1061</f>
        <v>-1134.6460583623202</v>
      </c>
      <c r="DP1061" s="351">
        <f>DP1059*-DP1060*DP3/DP4</f>
        <v>-592.78190747690496</v>
      </c>
      <c r="DQ1061" s="351">
        <f>DQ1059*-DQ1060*DQ3/DQ4</f>
        <v>-601.06786197326039</v>
      </c>
      <c r="DR1061" s="351">
        <f>DP1061+DQ1061</f>
        <v>-1193.8497694501652</v>
      </c>
      <c r="DT1061" s="1"/>
      <c r="DU1061" s="1"/>
      <c r="DV1061" s="1"/>
      <c r="DW1061" s="1"/>
      <c r="DX1061" s="1"/>
      <c r="DY1061" s="1"/>
      <c r="DZ1061" s="1"/>
      <c r="EA1061" s="1"/>
      <c r="EB1061" s="1"/>
      <c r="EC1061" s="1"/>
      <c r="ED1061" s="1"/>
      <c r="EE1061" s="1"/>
      <c r="EF1061" s="1"/>
      <c r="EG1061" s="1"/>
      <c r="EH1061" s="1"/>
      <c r="EI1061" s="1"/>
      <c r="EJ1061" s="1"/>
      <c r="EK1061" s="1"/>
      <c r="EL1061" s="1"/>
      <c r="EM1061" s="1"/>
      <c r="EN1061" s="1"/>
      <c r="EO1061" s="1"/>
      <c r="EP1061" s="1"/>
      <c r="EQ1061" s="1"/>
      <c r="ER1061" s="1"/>
      <c r="ES1061" s="1"/>
      <c r="ET1061" s="1"/>
      <c r="EU1061" s="1"/>
      <c r="EV1061" s="1"/>
      <c r="EW1061" s="1"/>
      <c r="EX1061" s="1"/>
      <c r="EY1061" s="1"/>
      <c r="EZ1061" s="1"/>
      <c r="FA1061" s="1"/>
      <c r="FB1061" s="1"/>
      <c r="FC1061" s="1"/>
      <c r="FD1061" s="1"/>
      <c r="FE1061" s="1"/>
      <c r="FF1061" s="1"/>
      <c r="FG1061" s="1"/>
      <c r="FH1061" s="1"/>
      <c r="FI1061" s="1"/>
      <c r="FJ1061" s="1"/>
      <c r="FK1061" s="1"/>
      <c r="FL1061" s="1"/>
      <c r="FM1061" s="1"/>
      <c r="FN1061" s="1"/>
      <c r="FO1061" s="1"/>
      <c r="FP1061" s="1"/>
      <c r="FQ1061" s="1"/>
      <c r="FR1061" s="1"/>
      <c r="FS1061" s="1"/>
      <c r="FT1061" s="1"/>
      <c r="FU1061" s="1"/>
      <c r="FV1061" s="1"/>
      <c r="FW1061" s="1"/>
      <c r="FX1061" s="1"/>
      <c r="FY1061" s="1"/>
      <c r="FZ1061" s="1"/>
      <c r="GA1061" s="1"/>
      <c r="GB1061" s="1"/>
      <c r="GC1061" s="1"/>
      <c r="GD1061" s="1"/>
      <c r="GE1061" s="1"/>
      <c r="GF1061" s="1"/>
      <c r="GG1061" s="1"/>
      <c r="GH1061" s="1"/>
      <c r="GI1061" s="1"/>
      <c r="GJ1061" s="1"/>
      <c r="GK1061" s="1"/>
      <c r="GL1061" s="1"/>
      <c r="GM1061" s="1"/>
      <c r="GN1061" s="1"/>
      <c r="GO1061" s="1"/>
      <c r="GP1061" s="1"/>
      <c r="GQ1061" s="1"/>
      <c r="GR1061" s="1"/>
      <c r="GS1061" s="1"/>
      <c r="GT1061" s="1"/>
      <c r="GU1061" s="1"/>
      <c r="GV1061" s="1"/>
      <c r="GW1061" s="1"/>
      <c r="GX1061" s="1"/>
      <c r="GY1061" s="1"/>
      <c r="GZ1061" s="1"/>
      <c r="HA1061" s="1"/>
      <c r="HB1061" s="1"/>
      <c r="HC1061" s="1"/>
      <c r="HD1061" s="1"/>
      <c r="HE1061" s="1"/>
      <c r="HF1061" s="1"/>
      <c r="HG1061" s="1"/>
      <c r="HH1061" s="1"/>
      <c r="HI1061" s="1"/>
      <c r="HJ1061" s="1"/>
      <c r="HK1061" s="1"/>
      <c r="HL1061" s="1"/>
      <c r="HM1061" s="1"/>
      <c r="HN1061" s="1"/>
      <c r="HO1061" s="1"/>
      <c r="HP1061" s="1"/>
      <c r="HQ1061" s="1"/>
      <c r="HR1061" s="1"/>
      <c r="HS1061" s="1"/>
      <c r="HT1061" s="1"/>
      <c r="HU1061" s="1"/>
      <c r="HV1061" s="1"/>
      <c r="HW1061" s="1"/>
      <c r="HX1061" s="1"/>
      <c r="HY1061" s="1"/>
      <c r="HZ1061" s="1"/>
      <c r="IA1061" s="1"/>
      <c r="IB1061" s="1"/>
      <c r="IC1061" s="1"/>
      <c r="ID1061" s="1"/>
      <c r="IE1061" s="1"/>
      <c r="IF1061" s="1"/>
      <c r="IG1061" s="1"/>
      <c r="IH1061" s="1"/>
      <c r="II1061" s="1"/>
      <c r="IJ1061" s="1"/>
      <c r="IK1061" s="1"/>
      <c r="IL1061" s="1"/>
      <c r="IM1061" s="1"/>
      <c r="IN1061" s="1"/>
      <c r="IO1061" s="1"/>
      <c r="IP1061" s="1"/>
      <c r="IQ1061" s="1"/>
      <c r="IR1061" s="1"/>
      <c r="IS1061" s="1"/>
      <c r="IT1061" s="1"/>
      <c r="IU1061" s="1"/>
      <c r="IV1061" s="1"/>
      <c r="IW1061" s="1"/>
      <c r="IX1061" s="1"/>
      <c r="IY1061" s="1"/>
      <c r="IZ1061" s="1"/>
      <c r="JA1061" s="1"/>
      <c r="JB1061" s="1"/>
      <c r="JC1061" s="1"/>
      <c r="JD1061" s="1"/>
    </row>
    <row r="1062" spans="1:264" s="347" customFormat="1" x14ac:dyDescent="0.2">
      <c r="A1062" s="347" t="s">
        <v>722</v>
      </c>
      <c r="B1062" s="348"/>
      <c r="BH1062" s="348"/>
      <c r="BI1062" s="348"/>
      <c r="BJ1062" s="348"/>
      <c r="BK1062" s="348"/>
      <c r="BL1062" s="348"/>
      <c r="BM1062" s="348"/>
      <c r="BN1062" s="348"/>
      <c r="BO1062" s="348"/>
      <c r="BP1062" s="348"/>
      <c r="BT1062" s="397">
        <f>BT1057+BT1061</f>
        <v>6768.3766732240438</v>
      </c>
      <c r="BU1062" s="397">
        <f>BU1057+BU1061</f>
        <v>6649.3679836065576</v>
      </c>
      <c r="BV1062" s="397">
        <f>BV1057+BV1061</f>
        <v>13417.7446568306</v>
      </c>
      <c r="BX1062" s="397">
        <f>BX1057+BX1061</f>
        <v>6889.6449315068494</v>
      </c>
      <c r="BY1062" s="397">
        <f>BY1057+BY1061</f>
        <v>6821.8861079452054</v>
      </c>
      <c r="BZ1062" s="397">
        <f>BZ1057+BZ1061</f>
        <v>13711.531039452055</v>
      </c>
      <c r="CB1062" s="397">
        <f>CB1057+CB1061</f>
        <v>6707.1828339726026</v>
      </c>
      <c r="CC1062" s="397">
        <f>CC1057+CC1061</f>
        <v>6251.5331441095886</v>
      </c>
      <c r="CD1062" s="397">
        <f>CD1057+CD1061</f>
        <v>12958.715978082191</v>
      </c>
      <c r="CF1062" s="397">
        <f>CF1057+CF1061</f>
        <v>6426.2916449315071</v>
      </c>
      <c r="CG1062" s="397">
        <f>CG1057+CG1061</f>
        <v>5340.4072358904114</v>
      </c>
      <c r="CH1062" s="397">
        <f>CH1057+CH1061</f>
        <v>11766.698880821918</v>
      </c>
      <c r="CJ1062" s="397">
        <f>CJ1057+CJ1061</f>
        <v>6261.8611650273224</v>
      </c>
      <c r="CK1062" s="397">
        <f>CK1057+CK1061</f>
        <v>5494.7006754098356</v>
      </c>
      <c r="CL1062" s="397">
        <f>CL1057+CL1061</f>
        <v>11756.561840437158</v>
      </c>
      <c r="CN1062" s="397">
        <f>CN1057+CN1061</f>
        <v>5849.3481052054794</v>
      </c>
      <c r="CO1062" s="397">
        <f>CO1057+CO1061</f>
        <v>5899.4986580821915</v>
      </c>
      <c r="CP1062" s="397">
        <f>CP1064-CP1063</f>
        <v>11713.997953188489</v>
      </c>
      <c r="CR1062" s="397">
        <f>CR1057+CR1061</f>
        <v>6016.7503605479451</v>
      </c>
      <c r="CS1062" s="397">
        <f>CS1057+CS1061</f>
        <v>6029.6174679452051</v>
      </c>
      <c r="CT1062" s="397">
        <f>CT1064-CT1063</f>
        <v>12412.871497516247</v>
      </c>
      <c r="CV1062" s="397">
        <f>CV1057+CV1061</f>
        <v>7205.7635726027402</v>
      </c>
      <c r="CW1062" s="397">
        <f>CW1057+CW1061</f>
        <v>6779.0936893150683</v>
      </c>
      <c r="CX1062" s="397">
        <f>CX1064-CX1063</f>
        <v>14196.152800288761</v>
      </c>
      <c r="CZ1062" s="397">
        <f>CZ1057+CZ1061</f>
        <v>7171.0587759562841</v>
      </c>
      <c r="DA1062" s="397">
        <f>DA1057+DA1061</f>
        <v>6845.6214863387977</v>
      </c>
      <c r="DB1062" s="397">
        <f>DB1064-DB1063</f>
        <v>14002.280072765529</v>
      </c>
      <c r="DD1062" s="397">
        <f>DD1064-DD1063</f>
        <v>7243.9529000331258</v>
      </c>
      <c r="DE1062" s="397">
        <f>DE1057+DE1061</f>
        <v>7240.2333616438355</v>
      </c>
      <c r="DF1062" s="397">
        <f>DF1064-DF1063</f>
        <v>14589.653163818146</v>
      </c>
      <c r="DH1062" s="397">
        <f>DH1064-DH1063</f>
        <v>7624.5890503649762</v>
      </c>
      <c r="DI1062" s="397">
        <f>DI1057+DI1061</f>
        <v>7893.2653376330481</v>
      </c>
      <c r="DJ1062" s="397">
        <f>DJ1057+DJ1061</f>
        <v>15517.854387998024</v>
      </c>
      <c r="DL1062" s="397">
        <f>DL1057+DL1061</f>
        <v>8409.0307000980592</v>
      </c>
      <c r="DM1062" s="397">
        <f>DM1057+DM1061</f>
        <v>8393.6514041411065</v>
      </c>
      <c r="DN1062" s="397">
        <f>DN1057+DN1061</f>
        <v>16802.682104239168</v>
      </c>
      <c r="DP1062" s="397">
        <f>DP1057+DP1061</f>
        <v>8768.5779541938264</v>
      </c>
      <c r="DQ1062" s="397">
        <f>DQ1057+DQ1061</f>
        <v>8743.8603269136856</v>
      </c>
      <c r="DR1062" s="397">
        <f>DR1057+DR1061</f>
        <v>17512.438281107512</v>
      </c>
      <c r="DT1062" s="1"/>
      <c r="DU1062" s="1"/>
      <c r="DV1062" s="1"/>
      <c r="DW1062" s="1"/>
      <c r="DX1062" s="1"/>
      <c r="DY1062" s="1"/>
      <c r="DZ1062" s="1"/>
      <c r="EA1062" s="1"/>
      <c r="EB1062" s="1"/>
      <c r="EC1062" s="1"/>
      <c r="ED1062" s="1"/>
      <c r="EE1062" s="1"/>
      <c r="EF1062" s="1"/>
      <c r="EG1062" s="1"/>
      <c r="EH1062" s="1"/>
      <c r="EI1062" s="1"/>
      <c r="EJ1062" s="1"/>
      <c r="EK1062" s="1"/>
      <c r="EL1062" s="1"/>
      <c r="EM1062" s="1"/>
      <c r="EN1062" s="1"/>
      <c r="EO1062" s="1"/>
      <c r="EP1062" s="1"/>
      <c r="EQ1062" s="1"/>
      <c r="ER1062" s="1"/>
      <c r="ES1062" s="1"/>
      <c r="ET1062" s="1"/>
      <c r="EU1062" s="1"/>
      <c r="EV1062" s="1"/>
      <c r="EW1062" s="1"/>
      <c r="EX1062" s="1"/>
      <c r="EY1062" s="1"/>
      <c r="EZ1062" s="1"/>
      <c r="FA1062" s="1"/>
      <c r="FB1062" s="1"/>
      <c r="FC1062" s="1"/>
      <c r="FD1062" s="1"/>
      <c r="FE1062" s="1"/>
      <c r="FF1062" s="1"/>
      <c r="FG1062" s="1"/>
      <c r="FH1062" s="1"/>
      <c r="FI1062" s="1"/>
      <c r="FJ1062" s="1"/>
      <c r="FK1062" s="1"/>
      <c r="FL1062" s="1"/>
      <c r="FM1062" s="1"/>
      <c r="FN1062" s="1"/>
      <c r="FO1062" s="1"/>
      <c r="FP1062" s="1"/>
      <c r="FQ1062" s="1"/>
      <c r="FR1062" s="1"/>
      <c r="FS1062" s="1"/>
      <c r="FT1062" s="1"/>
      <c r="FU1062" s="1"/>
      <c r="FV1062" s="1"/>
      <c r="FW1062" s="1"/>
      <c r="FX1062" s="1"/>
      <c r="FY1062" s="1"/>
      <c r="FZ1062" s="1"/>
      <c r="GA1062" s="1"/>
      <c r="GB1062" s="1"/>
      <c r="GC1062" s="1"/>
      <c r="GD1062" s="1"/>
      <c r="GE1062" s="1"/>
      <c r="GF1062" s="1"/>
      <c r="GG1062" s="1"/>
      <c r="GH1062" s="1"/>
      <c r="GI1062" s="1"/>
      <c r="GJ1062" s="1"/>
      <c r="GK1062" s="1"/>
      <c r="GL1062" s="1"/>
      <c r="GM1062" s="1"/>
      <c r="GN1062" s="1"/>
      <c r="GO1062" s="1"/>
      <c r="GP1062" s="1"/>
      <c r="GQ1062" s="1"/>
      <c r="GR1062" s="1"/>
      <c r="GS1062" s="1"/>
      <c r="GT1062" s="1"/>
      <c r="GU1062" s="1"/>
      <c r="GV1062" s="1"/>
      <c r="GW1062" s="1"/>
      <c r="GX1062" s="1"/>
      <c r="GY1062" s="1"/>
      <c r="GZ1062" s="1"/>
      <c r="HA1062" s="1"/>
      <c r="HB1062" s="1"/>
      <c r="HC1062" s="1"/>
      <c r="HD1062" s="1"/>
      <c r="HE1062" s="1"/>
      <c r="HF1062" s="1"/>
      <c r="HG1062" s="1"/>
      <c r="HH1062" s="1"/>
      <c r="HI1062" s="1"/>
      <c r="HJ1062" s="1"/>
      <c r="HK1062" s="1"/>
      <c r="HL1062" s="1"/>
      <c r="HM1062" s="1"/>
      <c r="HN1062" s="1"/>
      <c r="HO1062" s="1"/>
      <c r="HP1062" s="1"/>
      <c r="HQ1062" s="1"/>
      <c r="HR1062" s="1"/>
      <c r="HS1062" s="1"/>
      <c r="HT1062" s="1"/>
      <c r="HU1062" s="1"/>
      <c r="HV1062" s="1"/>
      <c r="HW1062" s="1"/>
      <c r="HX1062" s="1"/>
      <c r="HY1062" s="1"/>
      <c r="HZ1062" s="1"/>
      <c r="IA1062" s="1"/>
      <c r="IB1062" s="1"/>
      <c r="IC1062" s="1"/>
      <c r="ID1062" s="1"/>
      <c r="IE1062" s="1"/>
      <c r="IF1062" s="1"/>
      <c r="IG1062" s="1"/>
      <c r="IH1062" s="1"/>
      <c r="II1062" s="1"/>
      <c r="IJ1062" s="1"/>
      <c r="IK1062" s="1"/>
      <c r="IL1062" s="1"/>
      <c r="IM1062" s="1"/>
      <c r="IN1062" s="1"/>
      <c r="IO1062" s="1"/>
      <c r="IP1062" s="1"/>
      <c r="IQ1062" s="1"/>
      <c r="IR1062" s="1"/>
      <c r="IS1062" s="1"/>
      <c r="IT1062" s="1"/>
      <c r="IU1062" s="1"/>
      <c r="IV1062" s="1"/>
      <c r="IW1062" s="1"/>
      <c r="IX1062" s="1"/>
      <c r="IY1062" s="1"/>
      <c r="IZ1062" s="1"/>
      <c r="JA1062" s="1"/>
      <c r="JB1062" s="1"/>
      <c r="JC1062" s="1"/>
      <c r="JD1062" s="1"/>
    </row>
    <row r="1063" spans="1:264" s="347" customFormat="1" x14ac:dyDescent="0.2">
      <c r="A1063" s="347" t="s">
        <v>48</v>
      </c>
      <c r="B1063" s="348"/>
      <c r="BH1063" s="348"/>
      <c r="BI1063" s="348"/>
      <c r="BJ1063" s="348"/>
      <c r="BK1063" s="348"/>
      <c r="BL1063" s="348"/>
      <c r="BM1063" s="348"/>
      <c r="BN1063" s="348"/>
      <c r="BO1063" s="348"/>
      <c r="BP1063" s="348"/>
      <c r="BT1063" s="351">
        <f>-BT1062*BT888</f>
        <v>-1860.6416163076028</v>
      </c>
      <c r="BU1063" s="351">
        <f>-BU1062*BU888</f>
        <v>-1830.6246281493641</v>
      </c>
      <c r="BV1063" s="351">
        <f>SUM(BT1063:BU1063)</f>
        <v>-3691.2662444569669</v>
      </c>
      <c r="BX1063" s="351">
        <f>-BX1062*BX888</f>
        <v>-1961.337842820273</v>
      </c>
      <c r="BY1063" s="351">
        <f>-BY1062*BY888</f>
        <v>-1927.9025289620181</v>
      </c>
      <c r="BZ1063" s="351">
        <f>SUM(BX1063:BY1063)</f>
        <v>-3889.2403717822908</v>
      </c>
      <c r="CB1063" s="351">
        <f>-CB1062*CB888</f>
        <v>-1917.2999696080603</v>
      </c>
      <c r="CC1063" s="351">
        <f>-CC1062*CC888</f>
        <v>-1831.9197640965904</v>
      </c>
      <c r="CD1063" s="351">
        <f>SUM(CB1063:CC1063)</f>
        <v>-3749.2197337046509</v>
      </c>
      <c r="CF1063" s="351">
        <f>-CF1062*CF888</f>
        <v>-1813.3745605911972</v>
      </c>
      <c r="CG1063" s="351">
        <f>-CG1062*CG888</f>
        <v>-1569.1997447498234</v>
      </c>
      <c r="CH1063" s="351">
        <f>SUM(CF1063:CG1063)</f>
        <v>-3382.5743053410206</v>
      </c>
      <c r="CJ1063" s="351">
        <f>-CJ1062*CJ888</f>
        <v>-1839.5560754543237</v>
      </c>
      <c r="CK1063" s="351">
        <f>-CK1062*CK888</f>
        <v>-1629.7840986385104</v>
      </c>
      <c r="CL1063" s="351">
        <f>SUM(CJ1063:CK1063)</f>
        <v>-3469.3401740928339</v>
      </c>
      <c r="CN1063" s="351">
        <f>-CN1062*CN888</f>
        <v>-1726.6661680817926</v>
      </c>
      <c r="CO1063" s="351">
        <f>CP1063-CN1063</f>
        <v>-1708.2152051066967</v>
      </c>
      <c r="CP1063" s="351">
        <f>-CP1064/(1-CP888)*CP888</f>
        <v>-3434.8813731884893</v>
      </c>
      <c r="CQ1063" s="400"/>
      <c r="CR1063" s="351">
        <f>-CR1062*CR888</f>
        <v>-1749.6407952221011</v>
      </c>
      <c r="CS1063" s="351">
        <f>CT1063-CR1063</f>
        <v>-1917.3427584941469</v>
      </c>
      <c r="CT1063" s="351">
        <f>-CT1064/(1-CT888)*CT888</f>
        <v>-3666.983553716248</v>
      </c>
      <c r="CV1063" s="351">
        <f>-CV1062*CV888</f>
        <v>-2119.8042721418879</v>
      </c>
      <c r="CW1063" s="351">
        <f>CX1063-CV1063</f>
        <v>-1985.0470245468732</v>
      </c>
      <c r="CX1063" s="351">
        <f>-CX1064/(1-CX888)*CX888</f>
        <v>-4104.8512966887611</v>
      </c>
      <c r="CZ1063" s="351">
        <f>-CZ1062*CZ888</f>
        <v>-2188.1508434456109</v>
      </c>
      <c r="DA1063" s="351">
        <f>DB1063-CZ1063</f>
        <v>-2083.5635379449186</v>
      </c>
      <c r="DB1063" s="351">
        <f>-DB1064/(1-DB888)*DB888</f>
        <v>-4271.7143813905295</v>
      </c>
      <c r="DD1063" s="351">
        <f>-DD1064/(1-DD888)*DD888</f>
        <v>-2223.5658260331256</v>
      </c>
      <c r="DE1063" s="351">
        <f>DF1063-DD1063</f>
        <v>-2220.7217924100205</v>
      </c>
      <c r="DF1063" s="351">
        <f>-DF1064/(1-DF888)*DF888</f>
        <v>-4444.2876184431461</v>
      </c>
      <c r="DH1063" s="351">
        <f>-DH1064/(1-DH888)*DH888</f>
        <v>-2310.2153459055171</v>
      </c>
      <c r="DI1063" s="351">
        <f>-DI1062*DI888</f>
        <v>-2344.2998052770154</v>
      </c>
      <c r="DJ1063" s="351">
        <f>SUM(DH1063:DI1063)</f>
        <v>-4654.5151511825325</v>
      </c>
      <c r="DL1063" s="351">
        <f>-DL1062*DL888</f>
        <v>-2522.7092100294176</v>
      </c>
      <c r="DM1063" s="351">
        <f>-DM1062*DM888</f>
        <v>-2518.0954212423317</v>
      </c>
      <c r="DN1063" s="351">
        <f>SUM(DL1063:DM1063)</f>
        <v>-5040.8046312717488</v>
      </c>
      <c r="DP1063" s="351">
        <f>-DP1062*DP888</f>
        <v>-2630.5733862581478</v>
      </c>
      <c r="DQ1063" s="351">
        <f>-DQ1062*DQ888</f>
        <v>-2623.1580980741055</v>
      </c>
      <c r="DR1063" s="351">
        <f>SUM(DP1063:DQ1063)</f>
        <v>-5253.7314843322529</v>
      </c>
      <c r="DT1063" s="1"/>
      <c r="DU1063" s="1"/>
      <c r="DV1063" s="1"/>
      <c r="DW1063" s="1"/>
      <c r="DX1063" s="1"/>
      <c r="DY1063" s="1"/>
      <c r="DZ1063" s="1"/>
      <c r="EA1063" s="1"/>
      <c r="EB1063" s="1"/>
      <c r="EC1063" s="1"/>
      <c r="ED1063" s="1"/>
      <c r="EE1063" s="1"/>
      <c r="EF1063" s="1"/>
      <c r="EG1063" s="1"/>
      <c r="EH1063" s="1"/>
      <c r="EI1063" s="1"/>
      <c r="EJ1063" s="1"/>
      <c r="EK1063" s="1"/>
      <c r="EL1063" s="1"/>
      <c r="EM1063" s="1"/>
      <c r="EN1063" s="1"/>
      <c r="EO1063" s="1"/>
      <c r="EP1063" s="1"/>
      <c r="EQ1063" s="1"/>
      <c r="ER1063" s="1"/>
      <c r="ES1063" s="1"/>
      <c r="ET1063" s="1"/>
      <c r="EU1063" s="1"/>
      <c r="EV1063" s="1"/>
      <c r="EW1063" s="1"/>
      <c r="EX1063" s="1"/>
      <c r="EY1063" s="1"/>
      <c r="EZ1063" s="1"/>
      <c r="FA1063" s="1"/>
      <c r="FB1063" s="1"/>
      <c r="FC1063" s="1"/>
      <c r="FD1063" s="1"/>
      <c r="FE1063" s="1"/>
      <c r="FF1063" s="1"/>
      <c r="FG1063" s="1"/>
      <c r="FH1063" s="1"/>
      <c r="FI1063" s="1"/>
      <c r="FJ1063" s="1"/>
      <c r="FK1063" s="1"/>
      <c r="FL1063" s="1"/>
      <c r="FM1063" s="1"/>
      <c r="FN1063" s="1"/>
      <c r="FO1063" s="1"/>
      <c r="FP1063" s="1"/>
      <c r="FQ1063" s="1"/>
      <c r="FR1063" s="1"/>
      <c r="FS1063" s="1"/>
      <c r="FT1063" s="1"/>
      <c r="FU1063" s="1"/>
      <c r="FV1063" s="1"/>
      <c r="FW1063" s="1"/>
      <c r="FX1063" s="1"/>
      <c r="FY1063" s="1"/>
      <c r="FZ1063" s="1"/>
      <c r="GA1063" s="1"/>
      <c r="GB1063" s="1"/>
      <c r="GC1063" s="1"/>
      <c r="GD1063" s="1"/>
      <c r="GE1063" s="1"/>
      <c r="GF1063" s="1"/>
      <c r="GG1063" s="1"/>
      <c r="GH1063" s="1"/>
      <c r="GI1063" s="1"/>
      <c r="GJ1063" s="1"/>
      <c r="GK1063" s="1"/>
      <c r="GL1063" s="1"/>
      <c r="GM1063" s="1"/>
      <c r="GN1063" s="1"/>
      <c r="GO1063" s="1"/>
      <c r="GP1063" s="1"/>
      <c r="GQ1063" s="1"/>
      <c r="GR1063" s="1"/>
      <c r="GS1063" s="1"/>
      <c r="GT1063" s="1"/>
      <c r="GU1063" s="1"/>
      <c r="GV1063" s="1"/>
      <c r="GW1063" s="1"/>
      <c r="GX1063" s="1"/>
      <c r="GY1063" s="1"/>
      <c r="GZ1063" s="1"/>
      <c r="HA1063" s="1"/>
      <c r="HB1063" s="1"/>
      <c r="HC1063" s="1"/>
      <c r="HD1063" s="1"/>
      <c r="HE1063" s="1"/>
      <c r="HF1063" s="1"/>
      <c r="HG1063" s="1"/>
      <c r="HH1063" s="1"/>
      <c r="HI1063" s="1"/>
      <c r="HJ1063" s="1"/>
      <c r="HK1063" s="1"/>
      <c r="HL1063" s="1"/>
      <c r="HM1063" s="1"/>
      <c r="HN1063" s="1"/>
      <c r="HO1063" s="1"/>
      <c r="HP1063" s="1"/>
      <c r="HQ1063" s="1"/>
      <c r="HR1063" s="1"/>
      <c r="HS1063" s="1"/>
      <c r="HT1063" s="1"/>
      <c r="HU1063" s="1"/>
      <c r="HV1063" s="1"/>
      <c r="HW1063" s="1"/>
      <c r="HX1063" s="1"/>
      <c r="HY1063" s="1"/>
      <c r="HZ1063" s="1"/>
      <c r="IA1063" s="1"/>
      <c r="IB1063" s="1"/>
      <c r="IC1063" s="1"/>
      <c r="ID1063" s="1"/>
      <c r="IE1063" s="1"/>
      <c r="IF1063" s="1"/>
      <c r="IG1063" s="1"/>
      <c r="IH1063" s="1"/>
      <c r="II1063" s="1"/>
      <c r="IJ1063" s="1"/>
      <c r="IK1063" s="1"/>
      <c r="IL1063" s="1"/>
      <c r="IM1063" s="1"/>
      <c r="IN1063" s="1"/>
      <c r="IO1063" s="1"/>
      <c r="IP1063" s="1"/>
      <c r="IQ1063" s="1"/>
      <c r="IR1063" s="1"/>
      <c r="IS1063" s="1"/>
      <c r="IT1063" s="1"/>
      <c r="IU1063" s="1"/>
      <c r="IV1063" s="1"/>
      <c r="IW1063" s="1"/>
      <c r="IX1063" s="1"/>
      <c r="IY1063" s="1"/>
      <c r="IZ1063" s="1"/>
      <c r="JA1063" s="1"/>
      <c r="JB1063" s="1"/>
      <c r="JC1063" s="1"/>
      <c r="JD1063" s="1"/>
    </row>
    <row r="1064" spans="1:264" s="347" customFormat="1" x14ac:dyDescent="0.2">
      <c r="A1064" s="347" t="s">
        <v>723</v>
      </c>
      <c r="B1064" s="348"/>
      <c r="BH1064" s="348"/>
      <c r="BI1064" s="348"/>
      <c r="BJ1064" s="348"/>
      <c r="BK1064" s="348"/>
      <c r="BL1064" s="348"/>
      <c r="BM1064" s="348"/>
      <c r="BN1064" s="348"/>
      <c r="BO1064" s="348"/>
      <c r="BP1064" s="348"/>
      <c r="BT1064" s="397">
        <f t="shared" ref="BT1064:BV1064" si="876">SUM(BT1062:BT1063)</f>
        <v>4907.735056916441</v>
      </c>
      <c r="BU1064" s="397">
        <f t="shared" si="876"/>
        <v>4818.7433554571935</v>
      </c>
      <c r="BV1064" s="397">
        <f t="shared" si="876"/>
        <v>9726.4784123736335</v>
      </c>
      <c r="BX1064" s="397">
        <f t="shared" ref="BX1064:BZ1064" si="877">SUM(BX1062:BX1063)</f>
        <v>4928.3070886865762</v>
      </c>
      <c r="BY1064" s="397">
        <f t="shared" si="877"/>
        <v>4893.9835789831868</v>
      </c>
      <c r="BZ1064" s="397">
        <f t="shared" si="877"/>
        <v>9822.2906676697639</v>
      </c>
      <c r="CB1064" s="397">
        <f t="shared" ref="CB1064:CD1064" si="878">SUM(CB1062:CB1063)</f>
        <v>4789.882864364542</v>
      </c>
      <c r="CC1064" s="397">
        <f t="shared" si="878"/>
        <v>4419.6133800129983</v>
      </c>
      <c r="CD1064" s="397">
        <f t="shared" si="878"/>
        <v>9209.4962443775403</v>
      </c>
      <c r="CF1064" s="397">
        <f t="shared" ref="CF1064:CH1064" si="879">SUM(CF1062:CF1063)</f>
        <v>4612.9170843403099</v>
      </c>
      <c r="CG1064" s="397">
        <f t="shared" si="879"/>
        <v>3771.207491140588</v>
      </c>
      <c r="CH1064" s="397">
        <f t="shared" si="879"/>
        <v>8384.124575480897</v>
      </c>
      <c r="CJ1064" s="397">
        <f t="shared" ref="CJ1064" si="880">SUM(CJ1062:CJ1063)</f>
        <v>4422.3050895729984</v>
      </c>
      <c r="CK1064" s="397">
        <f>SUM(CK1062:CK1063)</f>
        <v>3864.9165767713253</v>
      </c>
      <c r="CL1064" s="397">
        <f t="shared" ref="CL1064" si="881">SUM(CL1062:CL1063)</f>
        <v>8287.2216663443251</v>
      </c>
      <c r="CN1064" s="397">
        <f t="shared" ref="CN1064:CO1064" si="882">SUM(CN1062:CN1063)</f>
        <v>4122.681937123687</v>
      </c>
      <c r="CO1064" s="397">
        <f t="shared" si="882"/>
        <v>4191.2834529754946</v>
      </c>
      <c r="CP1064" s="397">
        <f>CP1037/CP1065</f>
        <v>8279.1165799999999</v>
      </c>
      <c r="CR1064" s="397">
        <f t="shared" ref="CR1064:CS1064" si="883">SUM(CR1062:CR1063)</f>
        <v>4267.1095653258435</v>
      </c>
      <c r="CS1064" s="397">
        <f t="shared" si="883"/>
        <v>4112.2747094510578</v>
      </c>
      <c r="CT1064" s="397">
        <f>CT1037/CT1065</f>
        <v>8745.8879438000004</v>
      </c>
      <c r="CV1064" s="397">
        <f t="shared" ref="CV1064:CW1064" si="884">SUM(CV1062:CV1063)</f>
        <v>5085.9593004608523</v>
      </c>
      <c r="CW1064" s="397">
        <f t="shared" si="884"/>
        <v>4794.0466647681951</v>
      </c>
      <c r="CX1064" s="397">
        <f>CX1037/CX1065</f>
        <v>10091.3015036</v>
      </c>
      <c r="CZ1064" s="397">
        <f t="shared" ref="CZ1064:DA1064" si="885">SUM(CZ1062:CZ1063)</f>
        <v>4982.9079325106732</v>
      </c>
      <c r="DA1064" s="397">
        <f t="shared" si="885"/>
        <v>4762.0579483938791</v>
      </c>
      <c r="DB1064" s="397">
        <f>DB1037/DB1065</f>
        <v>9730.565691374999</v>
      </c>
      <c r="DD1064" s="397">
        <f>DD1037/DD1065</f>
        <v>5020.3870740000002</v>
      </c>
      <c r="DE1064" s="397">
        <f t="shared" ref="DE1064" si="886">SUM(DE1062:DE1063)</f>
        <v>5019.511569233815</v>
      </c>
      <c r="DF1064" s="397">
        <f>DF1037/DF1065</f>
        <v>10145.365545375</v>
      </c>
      <c r="DH1064" s="397">
        <f>DH1037/DH1065</f>
        <v>5314.3737044594591</v>
      </c>
      <c r="DI1064" s="397">
        <f t="shared" ref="DI1064:DJ1064" si="887">SUM(DI1062:DI1063)</f>
        <v>5548.9655323560328</v>
      </c>
      <c r="DJ1064" s="397">
        <f t="shared" si="887"/>
        <v>10863.339236815493</v>
      </c>
      <c r="DL1064" s="397">
        <f t="shared" ref="DL1064:DN1064" si="888">SUM(DL1062:DL1063)</f>
        <v>5886.3214900686417</v>
      </c>
      <c r="DM1064" s="397">
        <f t="shared" si="888"/>
        <v>5875.5559828987753</v>
      </c>
      <c r="DN1064" s="397">
        <f t="shared" si="888"/>
        <v>11761.877472967419</v>
      </c>
      <c r="DP1064" s="397">
        <f t="shared" ref="DP1064:DR1064" si="889">SUM(DP1062:DP1063)</f>
        <v>6138.004567935679</v>
      </c>
      <c r="DQ1064" s="397">
        <f t="shared" si="889"/>
        <v>6120.7022288395801</v>
      </c>
      <c r="DR1064" s="397">
        <f t="shared" si="889"/>
        <v>12258.706796775259</v>
      </c>
      <c r="DT1064" s="1"/>
      <c r="DU1064" s="1"/>
      <c r="DV1064" s="1"/>
      <c r="DW1064" s="1"/>
      <c r="DX1064" s="1"/>
      <c r="DY1064" s="1"/>
      <c r="DZ1064" s="1"/>
      <c r="EA1064" s="1"/>
      <c r="EB1064" s="1"/>
      <c r="EC1064" s="1"/>
      <c r="ED1064" s="1"/>
      <c r="EE1064" s="1"/>
      <c r="EF1064" s="1"/>
      <c r="EG1064" s="1"/>
      <c r="EH1064" s="1"/>
      <c r="EI1064" s="1"/>
      <c r="EJ1064" s="1"/>
      <c r="EK1064" s="1"/>
      <c r="EL1064" s="1"/>
      <c r="EM1064" s="1"/>
      <c r="EN1064" s="1"/>
      <c r="EO1064" s="1"/>
      <c r="EP1064" s="1"/>
      <c r="EQ1064" s="1"/>
      <c r="ER1064" s="1"/>
      <c r="ES1064" s="1"/>
      <c r="ET1064" s="1"/>
      <c r="EU1064" s="1"/>
      <c r="EV1064" s="1"/>
      <c r="EW1064" s="1"/>
      <c r="EX1064" s="1"/>
      <c r="EY1064" s="1"/>
      <c r="EZ1064" s="1"/>
      <c r="FA1064" s="1"/>
      <c r="FB1064" s="1"/>
      <c r="FC1064" s="1"/>
      <c r="FD1064" s="1"/>
      <c r="FE1064" s="1"/>
      <c r="FF1064" s="1"/>
      <c r="FG1064" s="1"/>
      <c r="FH1064" s="1"/>
      <c r="FI1064" s="1"/>
      <c r="FJ1064" s="1"/>
      <c r="FK1064" s="1"/>
      <c r="FL1064" s="1"/>
      <c r="FM1064" s="1"/>
      <c r="FN1064" s="1"/>
      <c r="FO1064" s="1"/>
      <c r="FP1064" s="1"/>
      <c r="FQ1064" s="1"/>
      <c r="FR1064" s="1"/>
      <c r="FS1064" s="1"/>
      <c r="FT1064" s="1"/>
      <c r="FU1064" s="1"/>
      <c r="FV1064" s="1"/>
      <c r="FW1064" s="1"/>
      <c r="FX1064" s="1"/>
      <c r="FY1064" s="1"/>
      <c r="FZ1064" s="1"/>
      <c r="GA1064" s="1"/>
      <c r="GB1064" s="1"/>
      <c r="GC1064" s="1"/>
      <c r="GD1064" s="1"/>
      <c r="GE1064" s="1"/>
      <c r="GF1064" s="1"/>
      <c r="GG1064" s="1"/>
      <c r="GH1064" s="1"/>
      <c r="GI1064" s="1"/>
      <c r="GJ1064" s="1"/>
      <c r="GK1064" s="1"/>
      <c r="GL1064" s="1"/>
      <c r="GM1064" s="1"/>
      <c r="GN1064" s="1"/>
      <c r="GO1064" s="1"/>
      <c r="GP1064" s="1"/>
      <c r="GQ1064" s="1"/>
      <c r="GR1064" s="1"/>
      <c r="GS1064" s="1"/>
      <c r="GT1064" s="1"/>
      <c r="GU1064" s="1"/>
      <c r="GV1064" s="1"/>
      <c r="GW1064" s="1"/>
      <c r="GX1064" s="1"/>
      <c r="GY1064" s="1"/>
      <c r="GZ1064" s="1"/>
      <c r="HA1064" s="1"/>
      <c r="HB1064" s="1"/>
      <c r="HC1064" s="1"/>
      <c r="HD1064" s="1"/>
      <c r="HE1064" s="1"/>
      <c r="HF1064" s="1"/>
      <c r="HG1064" s="1"/>
      <c r="HH1064" s="1"/>
      <c r="HI1064" s="1"/>
      <c r="HJ1064" s="1"/>
      <c r="HK1064" s="1"/>
      <c r="HL1064" s="1"/>
      <c r="HM1064" s="1"/>
      <c r="HN1064" s="1"/>
      <c r="HO1064" s="1"/>
      <c r="HP1064" s="1"/>
      <c r="HQ1064" s="1"/>
      <c r="HR1064" s="1"/>
      <c r="HS1064" s="1"/>
      <c r="HT1064" s="1"/>
      <c r="HU1064" s="1"/>
      <c r="HV1064" s="1"/>
      <c r="HW1064" s="1"/>
      <c r="HX1064" s="1"/>
      <c r="HY1064" s="1"/>
      <c r="HZ1064" s="1"/>
      <c r="IA1064" s="1"/>
      <c r="IB1064" s="1"/>
      <c r="IC1064" s="1"/>
      <c r="ID1064" s="1"/>
      <c r="IE1064" s="1"/>
      <c r="IF1064" s="1"/>
      <c r="IG1064" s="1"/>
      <c r="IH1064" s="1"/>
      <c r="II1064" s="1"/>
      <c r="IJ1064" s="1"/>
      <c r="IK1064" s="1"/>
      <c r="IL1064" s="1"/>
      <c r="IM1064" s="1"/>
      <c r="IN1064" s="1"/>
      <c r="IO1064" s="1"/>
      <c r="IP1064" s="1"/>
      <c r="IQ1064" s="1"/>
      <c r="IR1064" s="1"/>
      <c r="IS1064" s="1"/>
      <c r="IT1064" s="1"/>
      <c r="IU1064" s="1"/>
      <c r="IV1064" s="1"/>
      <c r="IW1064" s="1"/>
      <c r="IX1064" s="1"/>
      <c r="IY1064" s="1"/>
      <c r="IZ1064" s="1"/>
      <c r="JA1064" s="1"/>
      <c r="JB1064" s="1"/>
      <c r="JC1064" s="1"/>
      <c r="JD1064" s="1"/>
    </row>
    <row r="1065" spans="1:264" s="411" customFormat="1" x14ac:dyDescent="0.2">
      <c r="A1065" s="745" t="s">
        <v>724</v>
      </c>
      <c r="B1065" s="746"/>
      <c r="C1065" s="745"/>
      <c r="D1065" s="745"/>
      <c r="E1065" s="745"/>
      <c r="F1065" s="745"/>
      <c r="G1065" s="745"/>
      <c r="H1065" s="745"/>
      <c r="I1065" s="745"/>
      <c r="J1065" s="745"/>
      <c r="K1065" s="745"/>
      <c r="L1065" s="745"/>
      <c r="M1065" s="745"/>
      <c r="N1065" s="745"/>
      <c r="O1065" s="745"/>
      <c r="P1065" s="745"/>
      <c r="Q1065" s="745"/>
      <c r="R1065" s="745"/>
      <c r="S1065" s="745"/>
      <c r="T1065" s="745"/>
      <c r="U1065" s="745"/>
      <c r="V1065" s="745"/>
      <c r="W1065" s="745"/>
      <c r="X1065" s="745"/>
      <c r="Y1065" s="745"/>
      <c r="Z1065" s="745"/>
      <c r="AA1065" s="745"/>
      <c r="AB1065" s="745"/>
      <c r="AC1065" s="745"/>
      <c r="AD1065" s="745"/>
      <c r="AE1065" s="745"/>
      <c r="AF1065" s="745"/>
      <c r="AG1065" s="745"/>
      <c r="AH1065" s="745"/>
      <c r="AI1065" s="745"/>
      <c r="AJ1065" s="745"/>
      <c r="AK1065" s="745"/>
      <c r="AL1065" s="745"/>
      <c r="AM1065" s="745"/>
      <c r="AN1065" s="745"/>
      <c r="AO1065" s="745"/>
      <c r="AP1065" s="745"/>
      <c r="AQ1065" s="745"/>
      <c r="AR1065" s="745"/>
      <c r="AS1065" s="745"/>
      <c r="AT1065" s="745"/>
      <c r="AU1065" s="745"/>
      <c r="AV1065" s="745"/>
      <c r="AW1065" s="745"/>
      <c r="AX1065" s="745"/>
      <c r="AY1065" s="745"/>
      <c r="AZ1065" s="745"/>
      <c r="BA1065" s="745"/>
      <c r="BB1065" s="745"/>
      <c r="BC1065" s="745"/>
      <c r="BD1065" s="745"/>
      <c r="BE1065" s="745"/>
      <c r="BF1065" s="745"/>
      <c r="BG1065" s="745"/>
      <c r="BH1065" s="746"/>
      <c r="BI1065" s="746"/>
      <c r="BJ1065" s="746"/>
      <c r="BK1065" s="746"/>
      <c r="BL1065" s="746"/>
      <c r="BM1065" s="746"/>
      <c r="BN1065" s="746"/>
      <c r="BO1065" s="746"/>
      <c r="BP1065" s="746"/>
      <c r="BQ1065" s="745"/>
      <c r="BR1065" s="745"/>
      <c r="BS1065" s="745"/>
      <c r="BT1065" s="747">
        <f>+BT1037/BT1064</f>
        <v>0.68889997004937431</v>
      </c>
      <c r="BU1065" s="747">
        <f>+BU1037/BU1064</f>
        <v>0.7901677578715417</v>
      </c>
      <c r="BV1065" s="747">
        <f>+BV1037/BV1064</f>
        <v>0.73907059285866628</v>
      </c>
      <c r="BW1065" s="745"/>
      <c r="BX1065" s="747">
        <f>+BX1037/BX1064</f>
        <v>0.69580185877253897</v>
      </c>
      <c r="BY1065" s="747">
        <f>+BY1037/BY1064</f>
        <v>0.81297713939748162</v>
      </c>
      <c r="BZ1065" s="747">
        <f>+BZ1037/BZ1064</f>
        <v>0.75418476746905605</v>
      </c>
      <c r="CA1065" s="745"/>
      <c r="CB1065" s="747">
        <f>+CB1037/CB1064</f>
        <v>0.73184595433004551</v>
      </c>
      <c r="CC1065" s="747">
        <f>+CC1037/CC1064</f>
        <v>0.91981737286894627</v>
      </c>
      <c r="CD1065" s="747">
        <f>+CD1037/CD1064</f>
        <v>0.82205295093333242</v>
      </c>
      <c r="CE1065" s="745"/>
      <c r="CF1065" s="747">
        <f>+CF1037/CF1064</f>
        <v>0.7675141237675901</v>
      </c>
      <c r="CG1065" s="747">
        <f>+CG1037/CG1064</f>
        <v>1.0843352615247432</v>
      </c>
      <c r="CH1065" s="747">
        <f>+CH1037/CH1064</f>
        <v>0.91002133931584295</v>
      </c>
      <c r="CI1065" s="748"/>
      <c r="CJ1065" s="747">
        <f>+CJ1037/CJ1064</f>
        <v>0.80059583006785617</v>
      </c>
      <c r="CK1065" s="747">
        <f>+CK1037/CK1064</f>
        <v>0.44886731250205836</v>
      </c>
      <c r="CL1065" s="747">
        <f>+CL1037/CL1064</f>
        <v>0.6365599887696809</v>
      </c>
      <c r="CM1065" s="748"/>
      <c r="CN1065" s="747">
        <f>+CN1037/CN1064</f>
        <v>0.6454887026421029</v>
      </c>
      <c r="CO1065" s="747">
        <f>+CO1037/CO1064</f>
        <v>0.8465647479606877</v>
      </c>
      <c r="CP1065" s="749">
        <v>0.75</v>
      </c>
      <c r="CQ1065" s="748"/>
      <c r="CR1065" s="747">
        <f>+CR1037/CR1064</f>
        <v>0.69981453710855679</v>
      </c>
      <c r="CS1065" s="747">
        <f>+CS1037/CS1064</f>
        <v>0.86891827639525232</v>
      </c>
      <c r="CT1065" s="749">
        <v>0.75</v>
      </c>
      <c r="CU1065" s="748"/>
      <c r="CV1065" s="747">
        <f>+CV1037/CV1064</f>
        <v>0.69714866860588476</v>
      </c>
      <c r="CW1065" s="747">
        <f>+CW1037/CW1064</f>
        <v>0.83912540993059215</v>
      </c>
      <c r="CX1065" s="749">
        <v>0.75</v>
      </c>
      <c r="CY1065" s="748"/>
      <c r="CZ1065" s="747">
        <f>+CZ1037/CZ1064</f>
        <v>0.72257037594629248</v>
      </c>
      <c r="DA1065" s="747">
        <f>+DA1037/DA1064</f>
        <v>0.8786014240778276</v>
      </c>
      <c r="DB1065" s="749">
        <v>0.8</v>
      </c>
      <c r="DC1065" s="745"/>
      <c r="DD1065" s="749">
        <v>0.75</v>
      </c>
      <c r="DE1065" s="747">
        <f>+DE1037/DE1064</f>
        <v>0.86681783093571863</v>
      </c>
      <c r="DF1065" s="749">
        <v>0.8</v>
      </c>
      <c r="DG1065" s="745"/>
      <c r="DH1065" s="749">
        <v>0.74</v>
      </c>
      <c r="DI1065" s="747">
        <f>+DI1037/DI1064</f>
        <v>0.84334847530114698</v>
      </c>
      <c r="DJ1065" s="747">
        <f>+DJ1037/DJ1064</f>
        <v>0.79279013338036231</v>
      </c>
      <c r="DK1065" s="745"/>
      <c r="DL1065" s="747">
        <f>+DL1037/DL1064</f>
        <v>0.73891684715010109</v>
      </c>
      <c r="DM1065" s="747">
        <f>+DM1037/DM1064</f>
        <v>0.85399999999999998</v>
      </c>
      <c r="DN1065" s="747">
        <f>+DN1037/DN1064</f>
        <v>0.79640575645154132</v>
      </c>
      <c r="DO1065" s="745"/>
      <c r="DP1065" s="747">
        <f>+DP1037/DP1064</f>
        <v>0.73499999999999999</v>
      </c>
      <c r="DQ1065" s="747">
        <f>+DQ1037/DQ1064</f>
        <v>0.86199999999999988</v>
      </c>
      <c r="DR1065" s="747">
        <f>+DR1037/DR1064</f>
        <v>0.79841037402632942</v>
      </c>
      <c r="DS1065" s="745"/>
      <c r="DT1065" s="451"/>
      <c r="DU1065" s="451"/>
      <c r="DV1065" s="451"/>
      <c r="DW1065" s="451"/>
      <c r="DX1065" s="451"/>
      <c r="DY1065" s="451"/>
      <c r="DZ1065" s="451"/>
      <c r="EA1065" s="451"/>
      <c r="EB1065" s="451"/>
      <c r="EC1065" s="451"/>
      <c r="ED1065" s="451"/>
      <c r="EE1065" s="451"/>
      <c r="EF1065" s="451"/>
      <c r="EG1065" s="451"/>
      <c r="EH1065" s="451"/>
      <c r="EI1065" s="451"/>
      <c r="EJ1065" s="451"/>
      <c r="EK1065" s="451"/>
      <c r="EL1065" s="451"/>
      <c r="EM1065" s="451"/>
      <c r="EN1065" s="451"/>
      <c r="EO1065" s="451"/>
      <c r="EP1065" s="451"/>
      <c r="EQ1065" s="451"/>
      <c r="ER1065" s="451"/>
      <c r="ES1065" s="451"/>
      <c r="ET1065" s="451"/>
      <c r="EU1065" s="451"/>
      <c r="EV1065" s="451"/>
      <c r="EW1065" s="451"/>
      <c r="EX1065" s="451"/>
      <c r="EY1065" s="451"/>
      <c r="EZ1065" s="451"/>
      <c r="FA1065" s="451"/>
      <c r="FB1065" s="451"/>
      <c r="FC1065" s="451"/>
      <c r="FD1065" s="451"/>
      <c r="FE1065" s="451"/>
      <c r="FF1065" s="451"/>
      <c r="FG1065" s="451"/>
      <c r="FH1065" s="451"/>
      <c r="FI1065" s="451"/>
      <c r="FJ1065" s="451"/>
      <c r="FK1065" s="451"/>
      <c r="FL1065" s="451"/>
      <c r="FM1065" s="451"/>
      <c r="FN1065" s="451"/>
      <c r="FO1065" s="451"/>
      <c r="FP1065" s="451"/>
      <c r="FQ1065" s="451"/>
      <c r="FR1065" s="451"/>
      <c r="FS1065" s="451"/>
      <c r="FT1065" s="451"/>
      <c r="FU1065" s="451"/>
      <c r="FV1065" s="451"/>
      <c r="FW1065" s="451"/>
      <c r="FX1065" s="451"/>
      <c r="FY1065" s="451"/>
      <c r="FZ1065" s="451"/>
      <c r="GA1065" s="451"/>
      <c r="GB1065" s="451"/>
      <c r="GC1065" s="451"/>
      <c r="GD1065" s="451"/>
      <c r="GE1065" s="451"/>
      <c r="GF1065" s="451"/>
      <c r="GG1065" s="451"/>
      <c r="GH1065" s="451"/>
      <c r="GI1065" s="451"/>
      <c r="GJ1065" s="451"/>
      <c r="GK1065" s="451"/>
      <c r="GL1065" s="451"/>
      <c r="GM1065" s="451"/>
      <c r="GN1065" s="451"/>
      <c r="GO1065" s="451"/>
      <c r="GP1065" s="451"/>
      <c r="GQ1065" s="451"/>
      <c r="GR1065" s="451"/>
      <c r="GS1065" s="451"/>
      <c r="GT1065" s="451"/>
      <c r="GU1065" s="451"/>
      <c r="GV1065" s="451"/>
      <c r="GW1065" s="451"/>
      <c r="GX1065" s="451"/>
      <c r="GY1065" s="451"/>
      <c r="GZ1065" s="451"/>
      <c r="HA1065" s="451"/>
      <c r="HB1065" s="451"/>
      <c r="HC1065" s="451"/>
      <c r="HD1065" s="451"/>
      <c r="HE1065" s="451"/>
      <c r="HF1065" s="451"/>
      <c r="HG1065" s="451"/>
      <c r="HH1065" s="451"/>
      <c r="HI1065" s="451"/>
      <c r="HJ1065" s="451"/>
      <c r="HK1065" s="451"/>
      <c r="HL1065" s="451"/>
      <c r="HM1065" s="451"/>
      <c r="HN1065" s="451"/>
      <c r="HO1065" s="451"/>
      <c r="HP1065" s="451"/>
      <c r="HQ1065" s="451"/>
      <c r="HR1065" s="451"/>
      <c r="HS1065" s="451"/>
      <c r="HT1065" s="451"/>
      <c r="HU1065" s="451"/>
      <c r="HV1065" s="451"/>
      <c r="HW1065" s="451"/>
      <c r="HX1065" s="451"/>
      <c r="HY1065" s="451"/>
      <c r="HZ1065" s="451"/>
      <c r="IA1065" s="451"/>
      <c r="IB1065" s="451"/>
      <c r="IC1065" s="451"/>
      <c r="ID1065" s="451"/>
      <c r="IE1065" s="451"/>
      <c r="IF1065" s="451"/>
      <c r="IG1065" s="451"/>
      <c r="IH1065" s="451"/>
      <c r="II1065" s="451"/>
      <c r="IJ1065" s="451"/>
      <c r="IK1065" s="451"/>
      <c r="IL1065" s="451"/>
      <c r="IM1065" s="451"/>
      <c r="IN1065" s="451"/>
      <c r="IO1065" s="451"/>
      <c r="IP1065" s="451"/>
      <c r="IQ1065" s="451"/>
      <c r="IR1065" s="451"/>
      <c r="IS1065" s="451"/>
      <c r="IT1065" s="451"/>
      <c r="IU1065" s="451"/>
      <c r="IV1065" s="451"/>
      <c r="IW1065" s="451"/>
      <c r="IX1065" s="451"/>
      <c r="IY1065" s="451"/>
      <c r="IZ1065" s="451"/>
      <c r="JA1065" s="451"/>
      <c r="JB1065" s="451"/>
      <c r="JC1065" s="451"/>
      <c r="JD1065" s="451"/>
    </row>
    <row r="1066" spans="1:264" s="347" customFormat="1" x14ac:dyDescent="0.2">
      <c r="A1066" s="411"/>
      <c r="B1066" s="348"/>
      <c r="BH1066" s="348"/>
      <c r="BI1066" s="348"/>
      <c r="BJ1066" s="348"/>
      <c r="BK1066" s="348"/>
      <c r="BL1066" s="348"/>
      <c r="BM1066" s="348"/>
      <c r="BN1066" s="348"/>
      <c r="BO1066" s="348"/>
      <c r="BP1066" s="348"/>
      <c r="BT1066" s="741"/>
      <c r="BU1066" s="741"/>
      <c r="BV1066" s="741"/>
      <c r="BX1066" s="741"/>
      <c r="BY1066" s="741"/>
      <c r="BZ1066" s="741"/>
      <c r="CB1066" s="741"/>
      <c r="CC1066" s="741"/>
      <c r="CD1066" s="741"/>
      <c r="CF1066" s="741"/>
      <c r="CG1066" s="741"/>
      <c r="CH1066" s="741"/>
      <c r="CJ1066" s="741"/>
      <c r="CK1066" s="741"/>
      <c r="CL1066" s="741"/>
      <c r="CN1066" s="741"/>
      <c r="CO1066" s="741"/>
      <c r="CP1066" s="741"/>
      <c r="CR1066" s="741"/>
      <c r="CS1066" s="741"/>
      <c r="CT1066" s="741"/>
      <c r="CV1066" s="741"/>
      <c r="CW1066" s="741"/>
      <c r="CX1066" s="741"/>
      <c r="CZ1066" s="741"/>
      <c r="DA1066" s="741"/>
      <c r="DB1066" s="741"/>
      <c r="DD1066" s="741"/>
      <c r="DE1066" s="741"/>
      <c r="DF1066" s="741"/>
      <c r="DH1066" s="741"/>
      <c r="DI1066" s="741"/>
      <c r="DJ1066" s="741"/>
      <c r="DL1066" s="741"/>
      <c r="DM1066" s="741"/>
      <c r="DN1066" s="741"/>
      <c r="DP1066" s="741"/>
      <c r="DQ1066" s="741"/>
      <c r="DR1066" s="741"/>
      <c r="DT1066" s="1"/>
      <c r="DU1066" s="1"/>
      <c r="DV1066" s="1"/>
      <c r="DW1066" s="1"/>
      <c r="DX1066" s="1"/>
      <c r="DY1066" s="1"/>
      <c r="DZ1066" s="1"/>
      <c r="EA1066" s="1"/>
      <c r="EB1066" s="1"/>
      <c r="EC1066" s="1"/>
      <c r="ED1066" s="1"/>
      <c r="EE1066" s="1"/>
      <c r="EF1066" s="1"/>
      <c r="EG1066" s="1"/>
      <c r="EH1066" s="1"/>
      <c r="EI1066" s="1"/>
      <c r="EJ1066" s="1"/>
      <c r="EK1066" s="1"/>
      <c r="EL1066" s="1"/>
      <c r="EM1066" s="1"/>
      <c r="EN1066" s="1"/>
      <c r="EO1066" s="1"/>
      <c r="EP1066" s="1"/>
      <c r="EQ1066" s="1"/>
      <c r="ER1066" s="1"/>
      <c r="ES1066" s="1"/>
      <c r="ET1066" s="1"/>
      <c r="EU1066" s="1"/>
      <c r="EV1066" s="1"/>
      <c r="EW1066" s="1"/>
      <c r="EX1066" s="1"/>
      <c r="EY1066" s="1"/>
      <c r="EZ1066" s="1"/>
      <c r="FA1066" s="1"/>
      <c r="FB1066" s="1"/>
      <c r="FC1066" s="1"/>
      <c r="FD1066" s="1"/>
      <c r="FE1066" s="1"/>
      <c r="FF1066" s="1"/>
      <c r="FG1066" s="1"/>
      <c r="FH1066" s="1"/>
      <c r="FI1066" s="1"/>
      <c r="FJ1066" s="1"/>
      <c r="FK1066" s="1"/>
      <c r="FL1066" s="1"/>
      <c r="FM1066" s="1"/>
      <c r="FN1066" s="1"/>
      <c r="FO1066" s="1"/>
      <c r="FP1066" s="1"/>
      <c r="FQ1066" s="1"/>
      <c r="FR1066" s="1"/>
      <c r="FS1066" s="1"/>
      <c r="FT1066" s="1"/>
      <c r="FU1066" s="1"/>
      <c r="FV1066" s="1"/>
      <c r="FW1066" s="1"/>
      <c r="FX1066" s="1"/>
      <c r="FY1066" s="1"/>
      <c r="FZ1066" s="1"/>
      <c r="GA1066" s="1"/>
      <c r="GB1066" s="1"/>
      <c r="GC1066" s="1"/>
      <c r="GD1066" s="1"/>
      <c r="GE1066" s="1"/>
      <c r="GF1066" s="1"/>
      <c r="GG1066" s="1"/>
      <c r="GH1066" s="1"/>
      <c r="GI1066" s="1"/>
      <c r="GJ1066" s="1"/>
      <c r="GK1066" s="1"/>
      <c r="GL1066" s="1"/>
      <c r="GM1066" s="1"/>
      <c r="GN1066" s="1"/>
      <c r="GO1066" s="1"/>
      <c r="GP1066" s="1"/>
      <c r="GQ1066" s="1"/>
      <c r="GR1066" s="1"/>
      <c r="GS1066" s="1"/>
      <c r="GT1066" s="1"/>
      <c r="GU1066" s="1"/>
      <c r="GV1066" s="1"/>
      <c r="GW1066" s="1"/>
      <c r="GX1066" s="1"/>
      <c r="GY1066" s="1"/>
      <c r="GZ1066" s="1"/>
      <c r="HA1066" s="1"/>
      <c r="HB1066" s="1"/>
      <c r="HC1066" s="1"/>
      <c r="HD1066" s="1"/>
      <c r="HE1066" s="1"/>
      <c r="HF1066" s="1"/>
      <c r="HG1066" s="1"/>
      <c r="HH1066" s="1"/>
      <c r="HI1066" s="1"/>
      <c r="HJ1066" s="1"/>
      <c r="HK1066" s="1"/>
      <c r="HL1066" s="1"/>
      <c r="HM1066" s="1"/>
      <c r="HN1066" s="1"/>
      <c r="HO1066" s="1"/>
      <c r="HP1066" s="1"/>
      <c r="HQ1066" s="1"/>
      <c r="HR1066" s="1"/>
      <c r="HS1066" s="1"/>
      <c r="HT1066" s="1"/>
      <c r="HU1066" s="1"/>
      <c r="HV1066" s="1"/>
      <c r="HW1066" s="1"/>
      <c r="HX1066" s="1"/>
      <c r="HY1066" s="1"/>
      <c r="HZ1066" s="1"/>
      <c r="IA1066" s="1"/>
      <c r="IB1066" s="1"/>
      <c r="IC1066" s="1"/>
      <c r="ID1066" s="1"/>
      <c r="IE1066" s="1"/>
      <c r="IF1066" s="1"/>
      <c r="IG1066" s="1"/>
      <c r="IH1066" s="1"/>
      <c r="II1066" s="1"/>
      <c r="IJ1066" s="1"/>
      <c r="IK1066" s="1"/>
      <c r="IL1066" s="1"/>
      <c r="IM1066" s="1"/>
      <c r="IN1066" s="1"/>
      <c r="IO1066" s="1"/>
      <c r="IP1066" s="1"/>
      <c r="IQ1066" s="1"/>
      <c r="IR1066" s="1"/>
      <c r="IS1066" s="1"/>
      <c r="IT1066" s="1"/>
      <c r="IU1066" s="1"/>
      <c r="IV1066" s="1"/>
      <c r="IW1066" s="1"/>
      <c r="IX1066" s="1"/>
      <c r="IY1066" s="1"/>
      <c r="IZ1066" s="1"/>
      <c r="JA1066" s="1"/>
      <c r="JB1066" s="1"/>
      <c r="JC1066" s="1"/>
      <c r="JD1066" s="1"/>
    </row>
    <row r="1067" spans="1:264" s="347" customFormat="1" x14ac:dyDescent="0.2">
      <c r="A1067" s="411"/>
      <c r="B1067" s="348"/>
      <c r="BH1067" s="348"/>
      <c r="BI1067" s="348"/>
      <c r="BJ1067" s="348"/>
      <c r="BK1067" s="348"/>
      <c r="BL1067" s="348"/>
      <c r="BM1067" s="348"/>
      <c r="BN1067" s="348"/>
      <c r="BO1067" s="348"/>
      <c r="BP1067" s="348"/>
      <c r="BT1067" s="741"/>
      <c r="BU1067" s="741"/>
      <c r="BV1067" s="741"/>
      <c r="BX1067" s="741"/>
      <c r="BY1067" s="741"/>
      <c r="BZ1067" s="741"/>
      <c r="CB1067" s="741"/>
      <c r="CC1067" s="741"/>
      <c r="CD1067" s="741"/>
      <c r="CF1067" s="741"/>
      <c r="CG1067" s="741"/>
      <c r="CH1067" s="741"/>
      <c r="CJ1067" s="741"/>
      <c r="CK1067" s="741"/>
      <c r="CL1067" s="741"/>
      <c r="CN1067" s="741"/>
      <c r="CO1067" s="741"/>
      <c r="CP1067" s="741"/>
      <c r="CR1067" s="741"/>
      <c r="CS1067" s="741"/>
      <c r="CT1067" s="741"/>
      <c r="CV1067" s="741"/>
      <c r="CW1067" s="741"/>
      <c r="CX1067" s="741"/>
      <c r="CZ1067" s="741"/>
      <c r="DA1067" s="741"/>
      <c r="DB1067" s="741"/>
      <c r="DD1067" s="741"/>
      <c r="DE1067" s="741"/>
      <c r="DF1067" s="741"/>
      <c r="DH1067" s="741"/>
      <c r="DI1067" s="741"/>
      <c r="DJ1067" s="741"/>
      <c r="DL1067" s="741"/>
      <c r="DM1067" s="741"/>
      <c r="DN1067" s="741"/>
      <c r="DP1067" s="741"/>
      <c r="DQ1067" s="741"/>
      <c r="DR1067" s="741"/>
      <c r="DT1067" s="1"/>
      <c r="DU1067" s="1"/>
      <c r="DV1067" s="1"/>
      <c r="DW1067" s="1"/>
      <c r="DX1067" s="1"/>
      <c r="DY1067" s="1"/>
      <c r="DZ1067" s="1"/>
      <c r="EA1067" s="1"/>
      <c r="EB1067" s="1"/>
      <c r="EC1067" s="1"/>
      <c r="ED1067" s="1"/>
      <c r="EE1067" s="1"/>
      <c r="EF1067" s="1"/>
      <c r="EG1067" s="1"/>
      <c r="EH1067" s="1"/>
      <c r="EI1067" s="1"/>
      <c r="EJ1067" s="1"/>
      <c r="EK1067" s="1"/>
      <c r="EL1067" s="1"/>
      <c r="EM1067" s="1"/>
      <c r="EN1067" s="1"/>
      <c r="EO1067" s="1"/>
      <c r="EP1067" s="1"/>
      <c r="EQ1067" s="1"/>
      <c r="ER1067" s="1"/>
      <c r="ES1067" s="1"/>
      <c r="ET1067" s="1"/>
      <c r="EU1067" s="1"/>
      <c r="EV1067" s="1"/>
      <c r="EW1067" s="1"/>
      <c r="EX1067" s="1"/>
      <c r="EY1067" s="1"/>
      <c r="EZ1067" s="1"/>
      <c r="FA1067" s="1"/>
      <c r="FB1067" s="1"/>
      <c r="FC1067" s="1"/>
      <c r="FD1067" s="1"/>
      <c r="FE1067" s="1"/>
      <c r="FF1067" s="1"/>
      <c r="FG1067" s="1"/>
      <c r="FH1067" s="1"/>
      <c r="FI1067" s="1"/>
      <c r="FJ1067" s="1"/>
      <c r="FK1067" s="1"/>
      <c r="FL1067" s="1"/>
      <c r="FM1067" s="1"/>
      <c r="FN1067" s="1"/>
      <c r="FO1067" s="1"/>
      <c r="FP1067" s="1"/>
      <c r="FQ1067" s="1"/>
      <c r="FR1067" s="1"/>
      <c r="FS1067" s="1"/>
      <c r="FT1067" s="1"/>
      <c r="FU1067" s="1"/>
      <c r="FV1067" s="1"/>
      <c r="FW1067" s="1"/>
      <c r="FX1067" s="1"/>
      <c r="FY1067" s="1"/>
      <c r="FZ1067" s="1"/>
      <c r="GA1067" s="1"/>
      <c r="GB1067" s="1"/>
      <c r="GC1067" s="1"/>
      <c r="GD1067" s="1"/>
      <c r="GE1067" s="1"/>
      <c r="GF1067" s="1"/>
      <c r="GG1067" s="1"/>
      <c r="GH1067" s="1"/>
      <c r="GI1067" s="1"/>
      <c r="GJ1067" s="1"/>
      <c r="GK1067" s="1"/>
      <c r="GL1067" s="1"/>
      <c r="GM1067" s="1"/>
      <c r="GN1067" s="1"/>
      <c r="GO1067" s="1"/>
      <c r="GP1067" s="1"/>
      <c r="GQ1067" s="1"/>
      <c r="GR1067" s="1"/>
      <c r="GS1067" s="1"/>
      <c r="GT1067" s="1"/>
      <c r="GU1067" s="1"/>
      <c r="GV1067" s="1"/>
      <c r="GW1067" s="1"/>
      <c r="GX1067" s="1"/>
      <c r="GY1067" s="1"/>
      <c r="GZ1067" s="1"/>
      <c r="HA1067" s="1"/>
      <c r="HB1067" s="1"/>
      <c r="HC1067" s="1"/>
      <c r="HD1067" s="1"/>
      <c r="HE1067" s="1"/>
      <c r="HF1067" s="1"/>
      <c r="HG1067" s="1"/>
      <c r="HH1067" s="1"/>
      <c r="HI1067" s="1"/>
      <c r="HJ1067" s="1"/>
      <c r="HK1067" s="1"/>
      <c r="HL1067" s="1"/>
      <c r="HM1067" s="1"/>
      <c r="HN1067" s="1"/>
      <c r="HO1067" s="1"/>
      <c r="HP1067" s="1"/>
      <c r="HQ1067" s="1"/>
      <c r="HR1067" s="1"/>
      <c r="HS1067" s="1"/>
      <c r="HT1067" s="1"/>
      <c r="HU1067" s="1"/>
      <c r="HV1067" s="1"/>
      <c r="HW1067" s="1"/>
      <c r="HX1067" s="1"/>
      <c r="HY1067" s="1"/>
      <c r="HZ1067" s="1"/>
      <c r="IA1067" s="1"/>
      <c r="IB1067" s="1"/>
      <c r="IC1067" s="1"/>
      <c r="ID1067" s="1"/>
      <c r="IE1067" s="1"/>
      <c r="IF1067" s="1"/>
      <c r="IG1067" s="1"/>
      <c r="IH1067" s="1"/>
      <c r="II1067" s="1"/>
      <c r="IJ1067" s="1"/>
      <c r="IK1067" s="1"/>
      <c r="IL1067" s="1"/>
      <c r="IM1067" s="1"/>
      <c r="IN1067" s="1"/>
      <c r="IO1067" s="1"/>
      <c r="IP1067" s="1"/>
      <c r="IQ1067" s="1"/>
      <c r="IR1067" s="1"/>
      <c r="IS1067" s="1"/>
      <c r="IT1067" s="1"/>
      <c r="IU1067" s="1"/>
      <c r="IV1067" s="1"/>
      <c r="IW1067" s="1"/>
      <c r="IX1067" s="1"/>
      <c r="IY1067" s="1"/>
      <c r="IZ1067" s="1"/>
      <c r="JA1067" s="1"/>
      <c r="JB1067" s="1"/>
      <c r="JC1067" s="1"/>
      <c r="JD1067" s="1"/>
    </row>
    <row r="1068" spans="1:264" s="347" customFormat="1" x14ac:dyDescent="0.2">
      <c r="A1068" s="411" t="s">
        <v>725</v>
      </c>
      <c r="B1068" s="348"/>
      <c r="BD1068" s="484">
        <f>+BD1031/BF1031</f>
        <v>0.41017964071856289</v>
      </c>
      <c r="BE1068" s="484">
        <f>+BE1031/BF1031</f>
        <v>0.58982035928143717</v>
      </c>
      <c r="BH1068" s="484">
        <f>+BH1031/BJ1031</f>
        <v>0.45054945054945056</v>
      </c>
      <c r="BI1068" s="484">
        <f>+BI1031/BJ1031</f>
        <v>0.5494505494505495</v>
      </c>
      <c r="BJ1068" s="348"/>
      <c r="BK1068" s="348"/>
      <c r="BL1068" s="484">
        <f>+BL1031/BN1031</f>
        <v>0.45635910224438903</v>
      </c>
      <c r="BM1068" s="484">
        <f>+BM1031/BN1031</f>
        <v>0.54364089775561097</v>
      </c>
      <c r="BN1068" s="348"/>
      <c r="BO1068" s="348"/>
      <c r="BP1068" s="484">
        <f>+BP1031/BR1031</f>
        <v>0.47142857142857142</v>
      </c>
      <c r="BQ1068" s="484">
        <f>+BQ1031/BR1031</f>
        <v>0.52857142857142858</v>
      </c>
      <c r="BT1068" s="484">
        <f>+BT1031/BV1031</f>
        <v>0.47142857142857142</v>
      </c>
      <c r="BU1068" s="484">
        <f>+BU1031/BV1031</f>
        <v>0.52857142857142858</v>
      </c>
      <c r="BV1068" s="741"/>
      <c r="BX1068" s="484">
        <f>+BX1031/BZ1031</f>
        <v>0.46386946386946387</v>
      </c>
      <c r="BY1068" s="484">
        <f>+BY1031/BZ1031</f>
        <v>0.53613053613053618</v>
      </c>
      <c r="BZ1068" s="741"/>
      <c r="CB1068" s="484">
        <f>+CB1031/CD1031</f>
        <v>0.46403712296983757</v>
      </c>
      <c r="CC1068" s="484">
        <f>+CC1031/CD1031</f>
        <v>0.53596287703016243</v>
      </c>
      <c r="CD1068" s="741"/>
      <c r="CF1068" s="484">
        <f>+CF1031/CH1031</f>
        <v>0.46403712296983757</v>
      </c>
      <c r="CG1068" s="484">
        <f>+CG1031/CH1031</f>
        <v>0.53596287703016243</v>
      </c>
      <c r="CH1068" s="741"/>
      <c r="CJ1068" s="484">
        <f>+CJ1031/CL1031</f>
        <v>0.67114093959731547</v>
      </c>
      <c r="CK1068" s="484">
        <f>+CK1031/CL1031</f>
        <v>0.32885906040268459</v>
      </c>
      <c r="CL1068" s="741"/>
      <c r="CN1068" s="484">
        <f>+CN1031/CP1031</f>
        <v>0.42857142857142855</v>
      </c>
      <c r="CO1068" s="484">
        <f>+CO1031/CP1031</f>
        <v>0.5714285714285714</v>
      </c>
      <c r="CP1068" s="741"/>
      <c r="CR1068" s="484">
        <f>+CR1031/CT1031</f>
        <v>0.45454545454545453</v>
      </c>
      <c r="CS1068" s="484">
        <f>+CS1031/CT1031</f>
        <v>0.54545454545454541</v>
      </c>
      <c r="CT1068" s="741"/>
      <c r="CV1068" s="484">
        <f>+CV1031/CX1031</f>
        <v>0.46666666666666667</v>
      </c>
      <c r="CW1068" s="484">
        <f>+CW1031/CX1031</f>
        <v>0.53333333333333333</v>
      </c>
      <c r="CX1068" s="741"/>
      <c r="CZ1068" s="484">
        <f>+CZ1031/DB1031</f>
        <v>0.46236559139784944</v>
      </c>
      <c r="DA1068" s="484">
        <f>+DA1031/DB1031</f>
        <v>0.5376344086021505</v>
      </c>
      <c r="DB1068" s="741"/>
      <c r="DD1068" s="484">
        <f>+DD1031/DF1031</f>
        <v>0.46391752577319589</v>
      </c>
      <c r="DE1068" s="484">
        <f>+DE1031/DF1031</f>
        <v>0.53608247422680411</v>
      </c>
      <c r="DF1068" s="741"/>
      <c r="DH1068" s="484">
        <f>+DH1031/DJ1031</f>
        <v>0.4563106796116505</v>
      </c>
      <c r="DI1068" s="484">
        <f>+DI1031/DJ1031</f>
        <v>0.5436893203883495</v>
      </c>
      <c r="DJ1068" s="741"/>
      <c r="DL1068" s="484">
        <f ca="1">+DL1031/DN1031</f>
        <v>0.4642857142857143</v>
      </c>
      <c r="DM1068" s="484">
        <f ca="1">+DM1031/DN1031</f>
        <v>0.5357142857142857</v>
      </c>
      <c r="DN1068" s="741"/>
      <c r="DP1068" s="484">
        <f ca="1">+DP1031/DR1031</f>
        <v>0.46153846153846156</v>
      </c>
      <c r="DQ1068" s="484">
        <f ca="1">+DQ1031/DR1031</f>
        <v>0.53846153846153844</v>
      </c>
      <c r="DR1068" s="741"/>
      <c r="DT1068" s="1"/>
      <c r="DU1068" s="1"/>
      <c r="DV1068" s="1"/>
      <c r="DW1068" s="1"/>
      <c r="DX1068" s="1"/>
      <c r="DY1068" s="1"/>
      <c r="DZ1068" s="1"/>
      <c r="EA1068" s="1"/>
      <c r="EB1068" s="1"/>
      <c r="EC1068" s="1"/>
      <c r="ED1068" s="1"/>
      <c r="EE1068" s="1"/>
      <c r="EF1068" s="1"/>
      <c r="EG1068" s="1"/>
      <c r="EH1068" s="1"/>
      <c r="EI1068" s="1"/>
      <c r="EJ1068" s="1"/>
      <c r="EK1068" s="1"/>
      <c r="EL1068" s="1"/>
      <c r="EM1068" s="1"/>
      <c r="EN1068" s="1"/>
      <c r="EO1068" s="1"/>
      <c r="EP1068" s="1"/>
      <c r="EQ1068" s="1"/>
      <c r="ER1068" s="1"/>
      <c r="ES1068" s="1"/>
      <c r="ET1068" s="1"/>
      <c r="EU1068" s="1"/>
      <c r="EV1068" s="1"/>
      <c r="EW1068" s="1"/>
      <c r="EX1068" s="1"/>
      <c r="EY1068" s="1"/>
      <c r="EZ1068" s="1"/>
      <c r="FA1068" s="1"/>
      <c r="FB1068" s="1"/>
      <c r="FC1068" s="1"/>
      <c r="FD1068" s="1"/>
      <c r="FE1068" s="1"/>
      <c r="FF1068" s="1"/>
      <c r="FG1068" s="1"/>
      <c r="FH1068" s="1"/>
      <c r="FI1068" s="1"/>
      <c r="FJ1068" s="1"/>
      <c r="FK1068" s="1"/>
      <c r="FL1068" s="1"/>
      <c r="FM1068" s="1"/>
      <c r="FN1068" s="1"/>
      <c r="FO1068" s="1"/>
      <c r="FP1068" s="1"/>
      <c r="FQ1068" s="1"/>
      <c r="FR1068" s="1"/>
      <c r="FS1068" s="1"/>
      <c r="FT1068" s="1"/>
      <c r="FU1068" s="1"/>
      <c r="FV1068" s="1"/>
      <c r="FW1068" s="1"/>
      <c r="FX1068" s="1"/>
      <c r="FY1068" s="1"/>
      <c r="FZ1068" s="1"/>
      <c r="GA1068" s="1"/>
      <c r="GB1068" s="1"/>
      <c r="GC1068" s="1"/>
      <c r="GD1068" s="1"/>
      <c r="GE1068" s="1"/>
      <c r="GF1068" s="1"/>
      <c r="GG1068" s="1"/>
      <c r="GH1068" s="1"/>
      <c r="GI1068" s="1"/>
      <c r="GJ1068" s="1"/>
      <c r="GK1068" s="1"/>
      <c r="GL1068" s="1"/>
      <c r="GM1068" s="1"/>
      <c r="GN1068" s="1"/>
      <c r="GO1068" s="1"/>
      <c r="GP1068" s="1"/>
      <c r="GQ1068" s="1"/>
      <c r="GR1068" s="1"/>
      <c r="GS1068" s="1"/>
      <c r="GT1068" s="1"/>
      <c r="GU1068" s="1"/>
      <c r="GV1068" s="1"/>
      <c r="GW1068" s="1"/>
      <c r="GX1068" s="1"/>
      <c r="GY1068" s="1"/>
      <c r="GZ1068" s="1"/>
      <c r="HA1068" s="1"/>
      <c r="HB1068" s="1"/>
      <c r="HC1068" s="1"/>
      <c r="HD1068" s="1"/>
      <c r="HE1068" s="1"/>
      <c r="HF1068" s="1"/>
      <c r="HG1068" s="1"/>
      <c r="HH1068" s="1"/>
      <c r="HI1068" s="1"/>
      <c r="HJ1068" s="1"/>
      <c r="HK1068" s="1"/>
      <c r="HL1068" s="1"/>
      <c r="HM1068" s="1"/>
      <c r="HN1068" s="1"/>
      <c r="HO1068" s="1"/>
      <c r="HP1068" s="1"/>
      <c r="HQ1068" s="1"/>
      <c r="HR1068" s="1"/>
      <c r="HS1068" s="1"/>
      <c r="HT1068" s="1"/>
      <c r="HU1068" s="1"/>
      <c r="HV1068" s="1"/>
      <c r="HW1068" s="1"/>
      <c r="HX1068" s="1"/>
      <c r="HY1068" s="1"/>
      <c r="HZ1068" s="1"/>
      <c r="IA1068" s="1"/>
      <c r="IB1068" s="1"/>
      <c r="IC1068" s="1"/>
      <c r="ID1068" s="1"/>
      <c r="IE1068" s="1"/>
      <c r="IF1068" s="1"/>
      <c r="IG1068" s="1"/>
      <c r="IH1068" s="1"/>
      <c r="II1068" s="1"/>
      <c r="IJ1068" s="1"/>
      <c r="IK1068" s="1"/>
      <c r="IL1068" s="1"/>
      <c r="IM1068" s="1"/>
      <c r="IN1068" s="1"/>
      <c r="IO1068" s="1"/>
      <c r="IP1068" s="1"/>
      <c r="IQ1068" s="1"/>
      <c r="IR1068" s="1"/>
      <c r="IS1068" s="1"/>
      <c r="IT1068" s="1"/>
      <c r="IU1068" s="1"/>
      <c r="IV1068" s="1"/>
      <c r="IW1068" s="1"/>
      <c r="IX1068" s="1"/>
      <c r="IY1068" s="1"/>
      <c r="IZ1068" s="1"/>
      <c r="JA1068" s="1"/>
      <c r="JB1068" s="1"/>
      <c r="JC1068" s="1"/>
      <c r="JD1068" s="1"/>
    </row>
    <row r="1069" spans="1:264" s="347" customFormat="1" x14ac:dyDescent="0.2">
      <c r="A1069" s="411"/>
      <c r="B1069" s="348"/>
      <c r="BH1069" s="348"/>
      <c r="BI1069" s="348"/>
      <c r="BJ1069" s="348"/>
      <c r="BK1069" s="348"/>
      <c r="BL1069" s="348"/>
      <c r="BM1069" s="348"/>
      <c r="BN1069" s="348"/>
      <c r="BO1069" s="348"/>
      <c r="BP1069" s="348"/>
      <c r="BT1069" s="741"/>
      <c r="BU1069" s="741"/>
      <c r="BV1069" s="741"/>
      <c r="BX1069" s="741"/>
      <c r="BY1069" s="741"/>
      <c r="BZ1069" s="741"/>
      <c r="CB1069" s="741"/>
      <c r="CC1069" s="741"/>
      <c r="CD1069" s="741"/>
      <c r="CF1069" s="741"/>
      <c r="CG1069" s="741"/>
      <c r="CH1069" s="741"/>
      <c r="CJ1069" s="741"/>
      <c r="CK1069" s="741"/>
      <c r="CL1069" s="741"/>
      <c r="CN1069" s="741"/>
      <c r="CO1069" s="741"/>
      <c r="CP1069" s="741"/>
      <c r="CR1069" s="741"/>
      <c r="CS1069" s="741"/>
      <c r="CT1069" s="741"/>
      <c r="CV1069" s="741"/>
      <c r="CW1069" s="741"/>
      <c r="CX1069" s="741"/>
      <c r="CZ1069" s="741"/>
      <c r="DA1069" s="741"/>
      <c r="DB1069" s="741"/>
      <c r="DD1069" s="741"/>
      <c r="DE1069" s="741"/>
      <c r="DF1069" s="741"/>
      <c r="DH1069" s="741"/>
      <c r="DI1069" s="741"/>
      <c r="DJ1069" s="741"/>
      <c r="DL1069" s="741"/>
      <c r="DM1069" s="741"/>
      <c r="DN1069" s="741"/>
      <c r="DP1069" s="741"/>
      <c r="DQ1069" s="741"/>
      <c r="DR1069" s="741"/>
      <c r="DT1069" s="1"/>
      <c r="DU1069" s="1"/>
      <c r="DV1069" s="1"/>
      <c r="DW1069" s="1"/>
      <c r="DX1069" s="1"/>
      <c r="DY1069" s="1"/>
      <c r="DZ1069" s="1"/>
      <c r="EA1069" s="1"/>
      <c r="EB1069" s="1"/>
      <c r="EC1069" s="1"/>
      <c r="ED1069" s="1"/>
      <c r="EE1069" s="1"/>
      <c r="EF1069" s="1"/>
      <c r="EG1069" s="1"/>
      <c r="EH1069" s="1"/>
      <c r="EI1069" s="1"/>
      <c r="EJ1069" s="1"/>
      <c r="EK1069" s="1"/>
      <c r="EL1069" s="1"/>
      <c r="EM1069" s="1"/>
      <c r="EN1069" s="1"/>
      <c r="EO1069" s="1"/>
      <c r="EP1069" s="1"/>
      <c r="EQ1069" s="1"/>
      <c r="ER1069" s="1"/>
      <c r="ES1069" s="1"/>
      <c r="ET1069" s="1"/>
      <c r="EU1069" s="1"/>
      <c r="EV1069" s="1"/>
      <c r="EW1069" s="1"/>
      <c r="EX1069" s="1"/>
      <c r="EY1069" s="1"/>
      <c r="EZ1069" s="1"/>
      <c r="FA1069" s="1"/>
      <c r="FB1069" s="1"/>
      <c r="FC1069" s="1"/>
      <c r="FD1069" s="1"/>
      <c r="FE1069" s="1"/>
      <c r="FF1069" s="1"/>
      <c r="FG1069" s="1"/>
      <c r="FH1069" s="1"/>
      <c r="FI1069" s="1"/>
      <c r="FJ1069" s="1"/>
      <c r="FK1069" s="1"/>
      <c r="FL1069" s="1"/>
      <c r="FM1069" s="1"/>
      <c r="FN1069" s="1"/>
      <c r="FO1069" s="1"/>
      <c r="FP1069" s="1"/>
      <c r="FQ1069" s="1"/>
      <c r="FR1069" s="1"/>
      <c r="FS1069" s="1"/>
      <c r="FT1069" s="1"/>
      <c r="FU1069" s="1"/>
      <c r="FV1069" s="1"/>
      <c r="FW1069" s="1"/>
      <c r="FX1069" s="1"/>
      <c r="FY1069" s="1"/>
      <c r="FZ1069" s="1"/>
      <c r="GA1069" s="1"/>
      <c r="GB1069" s="1"/>
      <c r="GC1069" s="1"/>
      <c r="GD1069" s="1"/>
      <c r="GE1069" s="1"/>
      <c r="GF1069" s="1"/>
      <c r="GG1069" s="1"/>
      <c r="GH1069" s="1"/>
      <c r="GI1069" s="1"/>
      <c r="GJ1069" s="1"/>
      <c r="GK1069" s="1"/>
      <c r="GL1069" s="1"/>
      <c r="GM1069" s="1"/>
      <c r="GN1069" s="1"/>
      <c r="GO1069" s="1"/>
      <c r="GP1069" s="1"/>
      <c r="GQ1069" s="1"/>
      <c r="GR1069" s="1"/>
      <c r="GS1069" s="1"/>
      <c r="GT1069" s="1"/>
      <c r="GU1069" s="1"/>
      <c r="GV1069" s="1"/>
      <c r="GW1069" s="1"/>
      <c r="GX1069" s="1"/>
      <c r="GY1069" s="1"/>
      <c r="GZ1069" s="1"/>
      <c r="HA1069" s="1"/>
      <c r="HB1069" s="1"/>
      <c r="HC1069" s="1"/>
      <c r="HD1069" s="1"/>
      <c r="HE1069" s="1"/>
      <c r="HF1069" s="1"/>
      <c r="HG1069" s="1"/>
      <c r="HH1069" s="1"/>
      <c r="HI1069" s="1"/>
      <c r="HJ1069" s="1"/>
      <c r="HK1069" s="1"/>
      <c r="HL1069" s="1"/>
      <c r="HM1069" s="1"/>
      <c r="HN1069" s="1"/>
      <c r="HO1069" s="1"/>
      <c r="HP1069" s="1"/>
      <c r="HQ1069" s="1"/>
      <c r="HR1069" s="1"/>
      <c r="HS1069" s="1"/>
      <c r="HT1069" s="1"/>
      <c r="HU1069" s="1"/>
      <c r="HV1069" s="1"/>
      <c r="HW1069" s="1"/>
      <c r="HX1069" s="1"/>
      <c r="HY1069" s="1"/>
      <c r="HZ1069" s="1"/>
      <c r="IA1069" s="1"/>
      <c r="IB1069" s="1"/>
      <c r="IC1069" s="1"/>
      <c r="ID1069" s="1"/>
      <c r="IE1069" s="1"/>
      <c r="IF1069" s="1"/>
      <c r="IG1069" s="1"/>
      <c r="IH1069" s="1"/>
      <c r="II1069" s="1"/>
      <c r="IJ1069" s="1"/>
      <c r="IK1069" s="1"/>
      <c r="IL1069" s="1"/>
      <c r="IM1069" s="1"/>
      <c r="IN1069" s="1"/>
      <c r="IO1069" s="1"/>
      <c r="IP1069" s="1"/>
      <c r="IQ1069" s="1"/>
      <c r="IR1069" s="1"/>
      <c r="IS1069" s="1"/>
      <c r="IT1069" s="1"/>
      <c r="IU1069" s="1"/>
      <c r="IV1069" s="1"/>
      <c r="IW1069" s="1"/>
      <c r="IX1069" s="1"/>
      <c r="IY1069" s="1"/>
      <c r="IZ1069" s="1"/>
      <c r="JA1069" s="1"/>
      <c r="JB1069" s="1"/>
      <c r="JC1069" s="1"/>
      <c r="JD1069" s="1"/>
    </row>
    <row r="1070" spans="1:264" s="347" customFormat="1" x14ac:dyDescent="0.2">
      <c r="A1070" s="387" t="s">
        <v>726</v>
      </c>
      <c r="B1070" s="348"/>
      <c r="BH1070" s="348"/>
      <c r="BI1070" s="348"/>
      <c r="BJ1070" s="348"/>
      <c r="BK1070" s="348"/>
      <c r="BL1070" s="750">
        <f>-BL1037/BL1310</f>
        <v>-8.8266195384159637E-3</v>
      </c>
      <c r="BM1070" s="750">
        <f>-BM1037/BM1310</f>
        <v>-1.0465853879513791E-2</v>
      </c>
      <c r="BN1070" s="348"/>
      <c r="BO1070" s="348"/>
      <c r="BP1070" s="750">
        <f>-BP1037/BP1310</f>
        <v>-9.0928485761709466E-3</v>
      </c>
      <c r="BQ1070" s="750">
        <f>-BQ1037/BQ1310</f>
        <v>-9.7994305256820201E-3</v>
      </c>
      <c r="BT1070" s="750">
        <f>-BT1037/BT1310</f>
        <v>-8.6103023305540149E-3</v>
      </c>
      <c r="BU1070" s="750">
        <f>-BU1037/BU1310</f>
        <v>-9.6476665972579419E-3</v>
      </c>
      <c r="BV1070" s="741"/>
      <c r="BX1070" s="750">
        <f>-BX1037/BX1310</f>
        <v>-7.8562989750069305E-3</v>
      </c>
      <c r="BY1070" s="750">
        <f>-BY1037/BY1310</f>
        <v>-9.1032568995774062E-3</v>
      </c>
      <c r="BZ1070" s="741"/>
      <c r="CB1070" s="750">
        <f>-CB1037/CB1310</f>
        <v>-7.9518378626065016E-3</v>
      </c>
      <c r="CC1070" s="750">
        <f>-CC1037/CC1310</f>
        <v>-8.8642189220953654E-3</v>
      </c>
      <c r="CD1070" s="741"/>
      <c r="CF1070" s="750">
        <f>-CF1037/CF1310</f>
        <v>-7.9535588798231565E-3</v>
      </c>
      <c r="CG1070" s="750">
        <f>-CG1037/CG1310</f>
        <v>-9.031794322778855E-3</v>
      </c>
      <c r="CH1070" s="741"/>
      <c r="CJ1070" s="750">
        <f>-CJ1037/CJ1310</f>
        <v>-7.8825503368555091E-3</v>
      </c>
      <c r="CK1070" s="750">
        <f>-CK1037/CK1310</f>
        <v>-3.8132593546075597E-3</v>
      </c>
      <c r="CL1070" s="741"/>
      <c r="CN1070" s="750">
        <f>-CN1037/CN1310</f>
        <v>-5.8665140008288949E-3</v>
      </c>
      <c r="CO1070" s="750">
        <f>-CO1037/CO1310</f>
        <v>-7.8729759918345615E-3</v>
      </c>
      <c r="CP1070" s="741"/>
      <c r="CR1070" s="750">
        <f>-CR1037/CR1310</f>
        <v>-6.3276424219211869E-3</v>
      </c>
      <c r="CS1070" s="750">
        <f>-CS1037/CS1310</f>
        <v>-7.1767183497625994E-3</v>
      </c>
      <c r="CT1070" s="741"/>
      <c r="CV1070" s="750">
        <f>-CV1037/CV1310</f>
        <v>-7.0297588225147704E-3</v>
      </c>
      <c r="CW1070" s="750">
        <f>-CW1037/CW1310</f>
        <v>-8.5958870510607008E-3</v>
      </c>
      <c r="CX1070" s="741"/>
      <c r="CZ1070" s="750">
        <f>-CZ1037/CZ1310</f>
        <v>-7.765659985031619E-3</v>
      </c>
      <c r="DA1070" s="750">
        <f>-DA1037/DA1310</f>
        <v>-8.9486513663750052E-3</v>
      </c>
      <c r="DB1070" s="741"/>
      <c r="DD1070" s="750">
        <f>-DD1037/DD1310</f>
        <v>-7.8058297807280319E-3</v>
      </c>
      <c r="DE1070" s="750">
        <f>-DE1037/DE1310</f>
        <v>-8.7696180165072728E-3</v>
      </c>
      <c r="DF1070" s="741"/>
      <c r="DH1070" s="750">
        <f>-DH1037/DH1310</f>
        <v>-7.7826216407749695E-3</v>
      </c>
      <c r="DI1070" s="750">
        <f ca="1">-DI1037/DI1310</f>
        <v>-8.9694092799511311E-3</v>
      </c>
      <c r="DJ1070" s="741"/>
      <c r="DL1070" s="750">
        <f ca="1">-DL1037/DL1310</f>
        <v>-8.111550337762511E-3</v>
      </c>
      <c r="DM1070" s="750">
        <f ca="1">-DM1037/DM1310</f>
        <v>-9.0635967685810392E-3</v>
      </c>
      <c r="DN1070" s="741"/>
      <c r="DP1070" s="750">
        <f ca="1">-DP1037/DP1310</f>
        <v>-7.9666954575078556E-3</v>
      </c>
      <c r="DQ1070" s="750">
        <f ca="1">-DQ1037/DQ1310</f>
        <v>-9.0818969094740541E-3</v>
      </c>
      <c r="DR1070" s="741"/>
      <c r="DT1070" s="1"/>
      <c r="DU1070" s="1"/>
      <c r="DV1070" s="1"/>
      <c r="DW1070" s="1"/>
      <c r="DX1070" s="1"/>
      <c r="DY1070" s="1"/>
      <c r="DZ1070" s="1"/>
      <c r="EA1070" s="1"/>
      <c r="EB1070" s="1"/>
      <c r="EC1070" s="1"/>
      <c r="ED1070" s="1"/>
      <c r="EE1070" s="1"/>
      <c r="EF1070" s="1"/>
      <c r="EG1070" s="1"/>
      <c r="EH1070" s="1"/>
      <c r="EI1070" s="1"/>
      <c r="EJ1070" s="1"/>
      <c r="EK1070" s="1"/>
      <c r="EL1070" s="1"/>
      <c r="EM1070" s="1"/>
      <c r="EN1070" s="1"/>
      <c r="EO1070" s="1"/>
      <c r="EP1070" s="1"/>
      <c r="EQ1070" s="1"/>
      <c r="ER1070" s="1"/>
      <c r="ES1070" s="1"/>
      <c r="ET1070" s="1"/>
      <c r="EU1070" s="1"/>
      <c r="EV1070" s="1"/>
      <c r="EW1070" s="1"/>
      <c r="EX1070" s="1"/>
      <c r="EY1070" s="1"/>
      <c r="EZ1070" s="1"/>
      <c r="FA1070" s="1"/>
      <c r="FB1070" s="1"/>
      <c r="FC1070" s="1"/>
      <c r="FD1070" s="1"/>
      <c r="FE1070" s="1"/>
      <c r="FF1070" s="1"/>
      <c r="FG1070" s="1"/>
      <c r="FH1070" s="1"/>
      <c r="FI1070" s="1"/>
      <c r="FJ1070" s="1"/>
      <c r="FK1070" s="1"/>
      <c r="FL1070" s="1"/>
      <c r="FM1070" s="1"/>
      <c r="FN1070" s="1"/>
      <c r="FO1070" s="1"/>
      <c r="FP1070" s="1"/>
      <c r="FQ1070" s="1"/>
      <c r="FR1070" s="1"/>
      <c r="FS1070" s="1"/>
      <c r="FT1070" s="1"/>
      <c r="FU1070" s="1"/>
      <c r="FV1070" s="1"/>
      <c r="FW1070" s="1"/>
      <c r="FX1070" s="1"/>
      <c r="FY1070" s="1"/>
      <c r="FZ1070" s="1"/>
      <c r="GA1070" s="1"/>
      <c r="GB1070" s="1"/>
      <c r="GC1070" s="1"/>
      <c r="GD1070" s="1"/>
      <c r="GE1070" s="1"/>
      <c r="GF1070" s="1"/>
      <c r="GG1070" s="1"/>
      <c r="GH1070" s="1"/>
      <c r="GI1070" s="1"/>
      <c r="GJ1070" s="1"/>
      <c r="GK1070" s="1"/>
      <c r="GL1070" s="1"/>
      <c r="GM1070" s="1"/>
      <c r="GN1070" s="1"/>
      <c r="GO1070" s="1"/>
      <c r="GP1070" s="1"/>
      <c r="GQ1070" s="1"/>
      <c r="GR1070" s="1"/>
      <c r="GS1070" s="1"/>
      <c r="GT1070" s="1"/>
      <c r="GU1070" s="1"/>
      <c r="GV1070" s="1"/>
      <c r="GW1070" s="1"/>
      <c r="GX1070" s="1"/>
      <c r="GY1070" s="1"/>
      <c r="GZ1070" s="1"/>
      <c r="HA1070" s="1"/>
      <c r="HB1070" s="1"/>
      <c r="HC1070" s="1"/>
      <c r="HD1070" s="1"/>
      <c r="HE1070" s="1"/>
      <c r="HF1070" s="1"/>
      <c r="HG1070" s="1"/>
      <c r="HH1070" s="1"/>
      <c r="HI1070" s="1"/>
      <c r="HJ1070" s="1"/>
      <c r="HK1070" s="1"/>
      <c r="HL1070" s="1"/>
      <c r="HM1070" s="1"/>
      <c r="HN1070" s="1"/>
      <c r="HO1070" s="1"/>
      <c r="HP1070" s="1"/>
      <c r="HQ1070" s="1"/>
      <c r="HR1070" s="1"/>
      <c r="HS1070" s="1"/>
      <c r="HT1070" s="1"/>
      <c r="HU1070" s="1"/>
      <c r="HV1070" s="1"/>
      <c r="HW1070" s="1"/>
      <c r="HX1070" s="1"/>
      <c r="HY1070" s="1"/>
      <c r="HZ1070" s="1"/>
      <c r="IA1070" s="1"/>
      <c r="IB1070" s="1"/>
      <c r="IC1070" s="1"/>
      <c r="ID1070" s="1"/>
      <c r="IE1070" s="1"/>
      <c r="IF1070" s="1"/>
      <c r="IG1070" s="1"/>
      <c r="IH1070" s="1"/>
      <c r="II1070" s="1"/>
      <c r="IJ1070" s="1"/>
      <c r="IK1070" s="1"/>
      <c r="IL1070" s="1"/>
      <c r="IM1070" s="1"/>
      <c r="IN1070" s="1"/>
      <c r="IO1070" s="1"/>
      <c r="IP1070" s="1"/>
      <c r="IQ1070" s="1"/>
      <c r="IR1070" s="1"/>
      <c r="IS1070" s="1"/>
      <c r="IT1070" s="1"/>
      <c r="IU1070" s="1"/>
      <c r="IV1070" s="1"/>
      <c r="IW1070" s="1"/>
      <c r="IX1070" s="1"/>
      <c r="IY1070" s="1"/>
      <c r="IZ1070" s="1"/>
      <c r="JA1070" s="1"/>
      <c r="JB1070" s="1"/>
      <c r="JC1070" s="1"/>
      <c r="JD1070" s="1"/>
    </row>
    <row r="1071" spans="1:264" s="347" customFormat="1" x14ac:dyDescent="0.2">
      <c r="A1071" s="387" t="s">
        <v>727</v>
      </c>
      <c r="B1071" s="348"/>
      <c r="BH1071" s="348"/>
      <c r="BI1071" s="348"/>
      <c r="BJ1071" s="348"/>
      <c r="BK1071" s="348"/>
      <c r="BL1071" s="750">
        <f>(-BL1037+BL1078+BL1082)/BL1310</f>
        <v>-6.7112230962839275E-3</v>
      </c>
      <c r="BM1071" s="750">
        <f>(-BM1037+BM1078+BM1082)/BM1310</f>
        <v>-1.0465853879513791E-2</v>
      </c>
      <c r="BN1071" s="348"/>
      <c r="BO1071" s="348"/>
      <c r="BP1071" s="750">
        <f>(-BP1037+BP1078+BP1082)/BP1310</f>
        <v>-7.4711955886451707E-3</v>
      </c>
      <c r="BQ1071" s="750">
        <f>(-BQ1037+BQ1078+BQ1082)/BQ1310</f>
        <v>-8.0172921297132528E-3</v>
      </c>
      <c r="BT1071" s="750">
        <f>(-BT1037+BT1078+BT1082)/BT1310</f>
        <v>-7.2044324944608874E-3</v>
      </c>
      <c r="BU1071" s="750">
        <f>(-BU1037+BU1078+BU1082)/BU1310</f>
        <v>-8.1622360459323931E-3</v>
      </c>
      <c r="BV1071" s="741"/>
      <c r="BX1071" s="750">
        <f>(-BX1037+BX1078+BX1082)/BX1310</f>
        <v>-6.5809950261065198E-3</v>
      </c>
      <c r="BY1071" s="750">
        <f>(-BY1037+BY1078+BY1082)/BY1310</f>
        <v>-5.5040129665746129E-3</v>
      </c>
      <c r="BZ1071" s="741"/>
      <c r="CB1071" s="750">
        <f>(-CB1037+CB1078+CB1082)/CB1310</f>
        <v>-6.7352663980255693E-3</v>
      </c>
      <c r="CC1071" s="750">
        <f>(-CC1037+CC1078+CC1082)/CC1310</f>
        <v>-7.2303323251463108E-3</v>
      </c>
      <c r="CD1071" s="741"/>
      <c r="CF1071" s="750">
        <f>(-CF1037+CF1078+CF1082)/CF1310</f>
        <v>-7.9535588798231565E-3</v>
      </c>
      <c r="CG1071" s="750">
        <f>(-CG1037+CG1078+CG1082)/CG1310</f>
        <v>-9.031794322778855E-3</v>
      </c>
      <c r="CH1071" s="741"/>
      <c r="CJ1071" s="750">
        <f>(-CJ1037+CJ1078+CJ1082)/CJ1310</f>
        <v>-7.8825503368555091E-3</v>
      </c>
      <c r="CK1071" s="750">
        <f>(-CK1037+CK1078+CK1082)/CK1310</f>
        <v>-3.2322840286582205E-3</v>
      </c>
      <c r="CL1071" s="741"/>
      <c r="CN1071" s="750">
        <f>(-CN1037+CN1078+CN1082)/CN1310</f>
        <v>-5.8665140008288949E-3</v>
      </c>
      <c r="CO1071" s="750">
        <f>(-CO1037+CO1078+CO1082)/CO1310</f>
        <v>-7.8729759918345615E-3</v>
      </c>
      <c r="CP1071" s="741"/>
      <c r="CR1071" s="750">
        <f>(-CR1037+CR1078+CR1082)/CR1310</f>
        <v>-6.3276424219211869E-3</v>
      </c>
      <c r="CS1071" s="750">
        <f>(-CS1037+CS1078+CS1082)/CS1310</f>
        <v>-7.1767183497625994E-3</v>
      </c>
      <c r="CT1071" s="741"/>
      <c r="CV1071" s="750">
        <f>(-CV1037+CV1078+CV1082)/CV1310</f>
        <v>-7.0297588225147704E-3</v>
      </c>
      <c r="CW1071" s="750">
        <f>(-CW1037+CW1078+CW1082)/CW1310</f>
        <v>-8.5958870510607008E-3</v>
      </c>
      <c r="CX1071" s="741"/>
      <c r="CZ1071" s="750">
        <f>(-CZ1037+CZ1078+CZ1082)/CZ1310</f>
        <v>-7.765659985031619E-3</v>
      </c>
      <c r="DA1071" s="750">
        <f>(-DA1037+DA1078+DA1082)/DA1310</f>
        <v>-8.9486513663750052E-3</v>
      </c>
      <c r="DB1071" s="741"/>
      <c r="DD1071" s="750">
        <f>(-DD1037+DD1078+DD1082)/DD1310</f>
        <v>-7.8058297807280319E-3</v>
      </c>
      <c r="DE1071" s="750">
        <f>(-DE1037+DE1078+DE1082)/DE1310</f>
        <v>-8.7696180165072728E-3</v>
      </c>
      <c r="DF1071" s="741"/>
      <c r="DH1071" s="750">
        <f>(-DH1037+DH1078+DH1082)/DH1310</f>
        <v>-7.7826216407749687E-3</v>
      </c>
      <c r="DI1071" s="750">
        <f ca="1">(-DI1037+DI1078+DI1082)/DI1310</f>
        <v>-8.9694092799511311E-3</v>
      </c>
      <c r="DJ1071" s="741"/>
      <c r="DL1071" s="750">
        <f ca="1">(-DL1037+DL1078+DL1082)/DL1310</f>
        <v>-8.111550337762511E-3</v>
      </c>
      <c r="DM1071" s="750">
        <f ca="1">(-DM1037+DM1078+DM1082)/DM1310</f>
        <v>-9.0635967685810392E-3</v>
      </c>
      <c r="DN1071" s="741"/>
      <c r="DP1071" s="750">
        <f ca="1">(-DP1037+DP1078+DP1082)/DP1310</f>
        <v>-7.9666954575078556E-3</v>
      </c>
      <c r="DQ1071" s="750">
        <f ca="1">(-DQ1037+DQ1078+DQ1082)/DQ1310</f>
        <v>-9.0818969094740541E-3</v>
      </c>
      <c r="DR1071" s="741"/>
      <c r="DT1071" s="1"/>
      <c r="DU1071" s="1"/>
      <c r="DV1071" s="1"/>
      <c r="DW1071" s="1"/>
      <c r="DX1071" s="1"/>
      <c r="DY1071" s="1"/>
      <c r="DZ1071" s="1"/>
      <c r="EA1071" s="1"/>
      <c r="EB1071" s="1"/>
      <c r="EC1071" s="1"/>
      <c r="ED1071" s="1"/>
      <c r="EE1071" s="1"/>
      <c r="EF1071" s="1"/>
      <c r="EG1071" s="1"/>
      <c r="EH1071" s="1"/>
      <c r="EI1071" s="1"/>
      <c r="EJ1071" s="1"/>
      <c r="EK1071" s="1"/>
      <c r="EL1071" s="1"/>
      <c r="EM1071" s="1"/>
      <c r="EN1071" s="1"/>
      <c r="EO1071" s="1"/>
      <c r="EP1071" s="1"/>
      <c r="EQ1071" s="1"/>
      <c r="ER1071" s="1"/>
      <c r="ES1071" s="1"/>
      <c r="ET1071" s="1"/>
      <c r="EU1071" s="1"/>
      <c r="EV1071" s="1"/>
      <c r="EW1071" s="1"/>
      <c r="EX1071" s="1"/>
      <c r="EY1071" s="1"/>
      <c r="EZ1071" s="1"/>
      <c r="FA1071" s="1"/>
      <c r="FB1071" s="1"/>
      <c r="FC1071" s="1"/>
      <c r="FD1071" s="1"/>
      <c r="FE1071" s="1"/>
      <c r="FF1071" s="1"/>
      <c r="FG1071" s="1"/>
      <c r="FH1071" s="1"/>
      <c r="FI1071" s="1"/>
      <c r="FJ1071" s="1"/>
      <c r="FK1071" s="1"/>
      <c r="FL1071" s="1"/>
      <c r="FM1071" s="1"/>
      <c r="FN1071" s="1"/>
      <c r="FO1071" s="1"/>
      <c r="FP1071" s="1"/>
      <c r="FQ1071" s="1"/>
      <c r="FR1071" s="1"/>
      <c r="FS1071" s="1"/>
      <c r="FT1071" s="1"/>
      <c r="FU1071" s="1"/>
      <c r="FV1071" s="1"/>
      <c r="FW1071" s="1"/>
      <c r="FX1071" s="1"/>
      <c r="FY1071" s="1"/>
      <c r="FZ1071" s="1"/>
      <c r="GA1071" s="1"/>
      <c r="GB1071" s="1"/>
      <c r="GC1071" s="1"/>
      <c r="GD1071" s="1"/>
      <c r="GE1071" s="1"/>
      <c r="GF1071" s="1"/>
      <c r="GG1071" s="1"/>
      <c r="GH1071" s="1"/>
      <c r="GI1071" s="1"/>
      <c r="GJ1071" s="1"/>
      <c r="GK1071" s="1"/>
      <c r="GL1071" s="1"/>
      <c r="GM1071" s="1"/>
      <c r="GN1071" s="1"/>
      <c r="GO1071" s="1"/>
      <c r="GP1071" s="1"/>
      <c r="GQ1071" s="1"/>
      <c r="GR1071" s="1"/>
      <c r="GS1071" s="1"/>
      <c r="GT1071" s="1"/>
      <c r="GU1071" s="1"/>
      <c r="GV1071" s="1"/>
      <c r="GW1071" s="1"/>
      <c r="GX1071" s="1"/>
      <c r="GY1071" s="1"/>
      <c r="GZ1071" s="1"/>
      <c r="HA1071" s="1"/>
      <c r="HB1071" s="1"/>
      <c r="HC1071" s="1"/>
      <c r="HD1071" s="1"/>
      <c r="HE1071" s="1"/>
      <c r="HF1071" s="1"/>
      <c r="HG1071" s="1"/>
      <c r="HH1071" s="1"/>
      <c r="HI1071" s="1"/>
      <c r="HJ1071" s="1"/>
      <c r="HK1071" s="1"/>
      <c r="HL1071" s="1"/>
      <c r="HM1071" s="1"/>
      <c r="HN1071" s="1"/>
      <c r="HO1071" s="1"/>
      <c r="HP1071" s="1"/>
      <c r="HQ1071" s="1"/>
      <c r="HR1071" s="1"/>
      <c r="HS1071" s="1"/>
      <c r="HT1071" s="1"/>
      <c r="HU1071" s="1"/>
      <c r="HV1071" s="1"/>
      <c r="HW1071" s="1"/>
      <c r="HX1071" s="1"/>
      <c r="HY1071" s="1"/>
      <c r="HZ1071" s="1"/>
      <c r="IA1071" s="1"/>
      <c r="IB1071" s="1"/>
      <c r="IC1071" s="1"/>
      <c r="ID1071" s="1"/>
      <c r="IE1071" s="1"/>
      <c r="IF1071" s="1"/>
      <c r="IG1071" s="1"/>
      <c r="IH1071" s="1"/>
      <c r="II1071" s="1"/>
      <c r="IJ1071" s="1"/>
      <c r="IK1071" s="1"/>
      <c r="IL1071" s="1"/>
      <c r="IM1071" s="1"/>
      <c r="IN1071" s="1"/>
      <c r="IO1071" s="1"/>
      <c r="IP1071" s="1"/>
      <c r="IQ1071" s="1"/>
      <c r="IR1071" s="1"/>
      <c r="IS1071" s="1"/>
      <c r="IT1071" s="1"/>
      <c r="IU1071" s="1"/>
      <c r="IV1071" s="1"/>
      <c r="IW1071" s="1"/>
      <c r="IX1071" s="1"/>
      <c r="IY1071" s="1"/>
      <c r="IZ1071" s="1"/>
      <c r="JA1071" s="1"/>
      <c r="JB1071" s="1"/>
      <c r="JC1071" s="1"/>
      <c r="JD1071" s="1"/>
    </row>
    <row r="1072" spans="1:264" s="411" customFormat="1" x14ac:dyDescent="0.2">
      <c r="A1072" s="564" t="s">
        <v>728</v>
      </c>
      <c r="B1072" s="423"/>
      <c r="BH1072" s="423"/>
      <c r="BI1072" s="423"/>
      <c r="BJ1072" s="423"/>
      <c r="BK1072" s="423"/>
      <c r="BL1072" s="751">
        <f>+BL1157+BL1070</f>
        <v>7.6566127853092636E-2</v>
      </c>
      <c r="BM1072" s="751">
        <f>+BM1157+BM1070</f>
        <v>8.2547485770783052E-2</v>
      </c>
      <c r="BN1072" s="423"/>
      <c r="BO1072" s="423"/>
      <c r="BP1072" s="751">
        <f>+BP1157+BP1070</f>
        <v>8.3203383097709097E-2</v>
      </c>
      <c r="BQ1072" s="751">
        <f>+BQ1157+BQ1070</f>
        <v>8.0778540352027681E-2</v>
      </c>
      <c r="BT1072" s="751">
        <f>+BT1157+BT1070</f>
        <v>9.3808571917527034E-2</v>
      </c>
      <c r="BU1072" s="751">
        <f>+BU1157+BU1070</f>
        <v>9.5917278026944233E-2</v>
      </c>
      <c r="BV1072" s="741"/>
      <c r="BX1072" s="751">
        <f>+BX1157+BX1070</f>
        <v>9.1403462618281209E-2</v>
      </c>
      <c r="BY1072" s="751">
        <f>+BY1157+BY1070</f>
        <v>9.1932520551270644E-2</v>
      </c>
      <c r="BZ1072" s="741"/>
      <c r="CB1072" s="751">
        <f>+CB1157+CB1070</f>
        <v>9.6263788810351247E-2</v>
      </c>
      <c r="CC1072" s="751">
        <f>+CC1157+CC1070</f>
        <v>9.2463264876845794E-2</v>
      </c>
      <c r="CD1072" s="741"/>
      <c r="CF1072" s="751">
        <f>+CF1157+CF1070</f>
        <v>9.9935124332800176E-2</v>
      </c>
      <c r="CG1072" s="751">
        <f>+CG1157+CG1070</f>
        <v>9.7794750307733422E-2</v>
      </c>
      <c r="CH1072" s="741"/>
      <c r="CJ1072" s="751">
        <f>+CJ1157+CJ1070</f>
        <v>0.10873669384220112</v>
      </c>
      <c r="CK1072" s="751">
        <f>+CK1157+CK1070</f>
        <v>0.11169664507403043</v>
      </c>
      <c r="CL1072" s="741"/>
      <c r="CN1072" s="751">
        <f>+CN1157+CN1070</f>
        <v>0.11995576740017989</v>
      </c>
      <c r="CO1072" s="751">
        <f>+CO1157+CO1070</f>
        <v>0.12267641603798704</v>
      </c>
      <c r="CP1072" s="741"/>
      <c r="CR1072" s="751">
        <f>+CR1157+CR1070</f>
        <v>0.11119900894576916</v>
      </c>
      <c r="CS1072" s="751">
        <f>+CS1157+CS1070</f>
        <v>0.10735213529721305</v>
      </c>
      <c r="CT1072" s="741"/>
      <c r="CV1072" s="751">
        <f>+CV1157</f>
        <v>0.11410444506126333</v>
      </c>
      <c r="CW1072" s="751">
        <f>+CW1157</f>
        <v>0.12160250602574403</v>
      </c>
      <c r="CX1072" s="741"/>
      <c r="CZ1072" s="751">
        <f>+CZ1157</f>
        <v>0.12343737867846882</v>
      </c>
      <c r="DA1072" s="751">
        <f>+DA1157</f>
        <v>0.12338974785638358</v>
      </c>
      <c r="DB1072" s="741"/>
      <c r="DD1072" s="751">
        <f>+DD1157</f>
        <v>0.12204557092184613</v>
      </c>
      <c r="DE1072" s="751">
        <f>+DE1157</f>
        <v>0.12288141571516391</v>
      </c>
      <c r="DF1072" s="741"/>
      <c r="DH1072" s="751">
        <f>+DH1157</f>
        <v>0.12254259761334627</v>
      </c>
      <c r="DI1072" s="751">
        <f ca="1">+DI1157</f>
        <v>0.12137499376977245</v>
      </c>
      <c r="DJ1072" s="741"/>
      <c r="DL1072" s="751">
        <f ca="1">+DL1157</f>
        <v>0.11993382355612094</v>
      </c>
      <c r="DM1072" s="751">
        <f ca="1">+DM1157</f>
        <v>0.1184715426814056</v>
      </c>
      <c r="DN1072" s="741"/>
      <c r="DP1072" s="751">
        <f ca="1">+DP1157</f>
        <v>0.11746741994188369</v>
      </c>
      <c r="DQ1072" s="751">
        <f ca="1">+DQ1157</f>
        <v>0.11696142567081413</v>
      </c>
      <c r="DR1072" s="741"/>
      <c r="DT1072" s="451"/>
      <c r="DU1072" s="451"/>
      <c r="DV1072" s="451"/>
      <c r="DW1072" s="451"/>
      <c r="DX1072" s="451"/>
      <c r="DY1072" s="451"/>
      <c r="DZ1072" s="451"/>
      <c r="EA1072" s="451"/>
      <c r="EB1072" s="451"/>
      <c r="EC1072" s="451"/>
      <c r="ED1072" s="451"/>
      <c r="EE1072" s="451"/>
      <c r="EF1072" s="451"/>
      <c r="EG1072" s="451"/>
      <c r="EH1072" s="451"/>
      <c r="EI1072" s="451"/>
      <c r="EJ1072" s="451"/>
      <c r="EK1072" s="451"/>
      <c r="EL1072" s="451"/>
      <c r="EM1072" s="451"/>
      <c r="EN1072" s="451"/>
      <c r="EO1072" s="451"/>
      <c r="EP1072" s="451"/>
      <c r="EQ1072" s="451"/>
      <c r="ER1072" s="451"/>
      <c r="ES1072" s="451"/>
      <c r="ET1072" s="451"/>
      <c r="EU1072" s="451"/>
      <c r="EV1072" s="451"/>
      <c r="EW1072" s="451"/>
      <c r="EX1072" s="451"/>
      <c r="EY1072" s="451"/>
      <c r="EZ1072" s="451"/>
      <c r="FA1072" s="451"/>
      <c r="FB1072" s="451"/>
      <c r="FC1072" s="451"/>
      <c r="FD1072" s="451"/>
      <c r="FE1072" s="451"/>
      <c r="FF1072" s="451"/>
      <c r="FG1072" s="451"/>
      <c r="FH1072" s="451"/>
      <c r="FI1072" s="451"/>
      <c r="FJ1072" s="451"/>
      <c r="FK1072" s="451"/>
      <c r="FL1072" s="451"/>
      <c r="FM1072" s="451"/>
      <c r="FN1072" s="451"/>
      <c r="FO1072" s="451"/>
      <c r="FP1072" s="451"/>
      <c r="FQ1072" s="451"/>
      <c r="FR1072" s="451"/>
      <c r="FS1072" s="451"/>
      <c r="FT1072" s="451"/>
      <c r="FU1072" s="451"/>
      <c r="FV1072" s="451"/>
      <c r="FW1072" s="451"/>
      <c r="FX1072" s="451"/>
      <c r="FY1072" s="451"/>
      <c r="FZ1072" s="451"/>
      <c r="GA1072" s="451"/>
      <c r="GB1072" s="451"/>
      <c r="GC1072" s="451"/>
      <c r="GD1072" s="451"/>
      <c r="GE1072" s="451"/>
      <c r="GF1072" s="451"/>
      <c r="GG1072" s="451"/>
      <c r="GH1072" s="451"/>
      <c r="GI1072" s="451"/>
      <c r="GJ1072" s="451"/>
      <c r="GK1072" s="451"/>
      <c r="GL1072" s="451"/>
      <c r="GM1072" s="451"/>
      <c r="GN1072" s="451"/>
      <c r="GO1072" s="451"/>
      <c r="GP1072" s="451"/>
      <c r="GQ1072" s="451"/>
      <c r="GR1072" s="451"/>
      <c r="GS1072" s="451"/>
      <c r="GT1072" s="451"/>
      <c r="GU1072" s="451"/>
      <c r="GV1072" s="451"/>
      <c r="GW1072" s="451"/>
      <c r="GX1072" s="451"/>
      <c r="GY1072" s="451"/>
      <c r="GZ1072" s="451"/>
      <c r="HA1072" s="451"/>
      <c r="HB1072" s="451"/>
      <c r="HC1072" s="451"/>
      <c r="HD1072" s="451"/>
      <c r="HE1072" s="451"/>
      <c r="HF1072" s="451"/>
      <c r="HG1072" s="451"/>
      <c r="HH1072" s="451"/>
      <c r="HI1072" s="451"/>
      <c r="HJ1072" s="451"/>
      <c r="HK1072" s="451"/>
      <c r="HL1072" s="451"/>
      <c r="HM1072" s="451"/>
      <c r="HN1072" s="451"/>
      <c r="HO1072" s="451"/>
      <c r="HP1072" s="451"/>
      <c r="HQ1072" s="451"/>
      <c r="HR1072" s="451"/>
      <c r="HS1072" s="451"/>
      <c r="HT1072" s="451"/>
      <c r="HU1072" s="451"/>
      <c r="HV1072" s="451"/>
      <c r="HW1072" s="451"/>
      <c r="HX1072" s="451"/>
      <c r="HY1072" s="451"/>
      <c r="HZ1072" s="451"/>
      <c r="IA1072" s="451"/>
      <c r="IB1072" s="451"/>
      <c r="IC1072" s="451"/>
      <c r="ID1072" s="451"/>
      <c r="IE1072" s="451"/>
      <c r="IF1072" s="451"/>
      <c r="IG1072" s="451"/>
      <c r="IH1072" s="451"/>
      <c r="II1072" s="451"/>
      <c r="IJ1072" s="451"/>
      <c r="IK1072" s="451"/>
      <c r="IL1072" s="451"/>
      <c r="IM1072" s="451"/>
      <c r="IN1072" s="451"/>
      <c r="IO1072" s="451"/>
      <c r="IP1072" s="451"/>
      <c r="IQ1072" s="451"/>
      <c r="IR1072" s="451"/>
      <c r="IS1072" s="451"/>
      <c r="IT1072" s="451"/>
      <c r="IU1072" s="451"/>
      <c r="IV1072" s="451"/>
      <c r="IW1072" s="451"/>
      <c r="IX1072" s="451"/>
      <c r="IY1072" s="451"/>
      <c r="IZ1072" s="451"/>
      <c r="JA1072" s="451"/>
      <c r="JB1072" s="451"/>
      <c r="JC1072" s="451"/>
      <c r="JD1072" s="451"/>
    </row>
    <row r="1073" spans="1:264" s="347" customFormat="1" x14ac:dyDescent="0.2">
      <c r="A1073" s="564" t="s">
        <v>729</v>
      </c>
      <c r="B1073" s="348"/>
      <c r="BH1073" s="348"/>
      <c r="BI1073" s="348"/>
      <c r="BJ1073" s="348"/>
      <c r="BK1073" s="348"/>
      <c r="BL1073" s="751">
        <f>+BL1157+BL1071</f>
        <v>7.8681524295224667E-2</v>
      </c>
      <c r="BM1073" s="751">
        <f>+BM1157+BM1071</f>
        <v>8.2547485770783052E-2</v>
      </c>
      <c r="BN1073" s="348"/>
      <c r="BO1073" s="348"/>
      <c r="BP1073" s="751">
        <f>+BP1157+BP1071</f>
        <v>8.4825036085234867E-2</v>
      </c>
      <c r="BQ1073" s="751">
        <f>+BQ1157+BQ1071</f>
        <v>8.2560678747996455E-2</v>
      </c>
      <c r="BT1073" s="751">
        <f>+BT1157+BT1071</f>
        <v>9.5214441753620163E-2</v>
      </c>
      <c r="BU1073" s="751">
        <f>+BU1157+BU1071</f>
        <v>9.740270857826977E-2</v>
      </c>
      <c r="BV1073" s="741"/>
      <c r="BX1073" s="751">
        <f>+BX1157+BX1071</f>
        <v>9.2678766567181617E-2</v>
      </c>
      <c r="BY1073" s="751">
        <f>+BY1157+BY1071</f>
        <v>9.5531764484273432E-2</v>
      </c>
      <c r="BZ1073" s="741"/>
      <c r="CB1073" s="751">
        <f>+CB1157+CB1071</f>
        <v>9.7480360274932176E-2</v>
      </c>
      <c r="CC1073" s="751">
        <f>+CC1157+CC1071</f>
        <v>9.4097151473794854E-2</v>
      </c>
      <c r="CD1073" s="741"/>
      <c r="CF1073" s="751">
        <f>+CF1157+CF1071</f>
        <v>9.9935124332800176E-2</v>
      </c>
      <c r="CG1073" s="751">
        <f>+CG1157+CG1071</f>
        <v>9.7794750307733422E-2</v>
      </c>
      <c r="CH1073" s="741"/>
      <c r="CJ1073" s="751">
        <f>+CJ1157+CJ1071</f>
        <v>0.10873669384220112</v>
      </c>
      <c r="CK1073" s="751">
        <f>+CK1157+CK1071</f>
        <v>0.11227762039997978</v>
      </c>
      <c r="CL1073" s="741"/>
      <c r="CN1073" s="751">
        <f>+CN1157+CN1071</f>
        <v>0.11995576740017989</v>
      </c>
      <c r="CO1073" s="751">
        <f>+CO1157+CO1071</f>
        <v>0.12267641603798704</v>
      </c>
      <c r="CP1073" s="741"/>
      <c r="CR1073" s="751">
        <f>+CR1157+CR1071</f>
        <v>0.11119900894576916</v>
      </c>
      <c r="CS1073" s="751">
        <f>+CS1157+CS1071</f>
        <v>0.10735213529721305</v>
      </c>
      <c r="CT1073" s="741"/>
      <c r="CV1073" s="751">
        <f>+CV1157+CV1071</f>
        <v>0.10707468623874855</v>
      </c>
      <c r="CW1073" s="751">
        <f>+CW1157+CW1071</f>
        <v>0.11300661897468334</v>
      </c>
      <c r="CX1073" s="741"/>
      <c r="CZ1073" s="751">
        <f>+CZ1157+CZ1071</f>
        <v>0.1156717186934372</v>
      </c>
      <c r="DA1073" s="751">
        <f>+DA1157+DA1071</f>
        <v>0.11444109649000858</v>
      </c>
      <c r="DB1073" s="741"/>
      <c r="DD1073" s="751">
        <f>+DD1157+DD1071</f>
        <v>0.1142397411411181</v>
      </c>
      <c r="DE1073" s="751">
        <f>+DE1157+DE1071</f>
        <v>0.11411179769865663</v>
      </c>
      <c r="DF1073" s="741"/>
      <c r="DH1073" s="751">
        <f>+DH1157+DH1071</f>
        <v>0.1147599759725713</v>
      </c>
      <c r="DI1073" s="751">
        <f ca="1">+DI1157+DI1071</f>
        <v>0.11240558448982133</v>
      </c>
      <c r="DJ1073" s="741"/>
      <c r="DL1073" s="751">
        <f ca="1">+DL1157+DL1071</f>
        <v>0.11182227321835843</v>
      </c>
      <c r="DM1073" s="751">
        <f ca="1">+DM1157+DM1071</f>
        <v>0.10940794591282456</v>
      </c>
      <c r="DN1073" s="741"/>
      <c r="DP1073" s="751">
        <f ca="1">+DP1157+DP1071</f>
        <v>0.10950072448437582</v>
      </c>
      <c r="DQ1073" s="751">
        <f ca="1">+DQ1157+DQ1071</f>
        <v>0.10787952876134008</v>
      </c>
      <c r="DR1073" s="741"/>
      <c r="DT1073" s="1"/>
      <c r="DU1073" s="1"/>
      <c r="DV1073" s="1"/>
      <c r="DW1073" s="1"/>
      <c r="DX1073" s="1"/>
      <c r="DY1073" s="1"/>
      <c r="DZ1073" s="1"/>
      <c r="EA1073" s="1"/>
      <c r="EB1073" s="1"/>
      <c r="EC1073" s="1"/>
      <c r="ED1073" s="1"/>
      <c r="EE1073" s="1"/>
      <c r="EF1073" s="1"/>
      <c r="EG1073" s="1"/>
      <c r="EH1073" s="1"/>
      <c r="EI1073" s="1"/>
      <c r="EJ1073" s="1"/>
      <c r="EK1073" s="1"/>
      <c r="EL1073" s="1"/>
      <c r="EM1073" s="1"/>
      <c r="EN1073" s="1"/>
      <c r="EO1073" s="1"/>
      <c r="EP1073" s="1"/>
      <c r="EQ1073" s="1"/>
      <c r="ER1073" s="1"/>
      <c r="ES1073" s="1"/>
      <c r="ET1073" s="1"/>
      <c r="EU1073" s="1"/>
      <c r="EV1073" s="1"/>
      <c r="EW1073" s="1"/>
      <c r="EX1073" s="1"/>
      <c r="EY1073" s="1"/>
      <c r="EZ1073" s="1"/>
      <c r="FA1073" s="1"/>
      <c r="FB1073" s="1"/>
      <c r="FC1073" s="1"/>
      <c r="FD1073" s="1"/>
      <c r="FE1073" s="1"/>
      <c r="FF1073" s="1"/>
      <c r="FG1073" s="1"/>
      <c r="FH1073" s="1"/>
      <c r="FI1073" s="1"/>
      <c r="FJ1073" s="1"/>
      <c r="FK1073" s="1"/>
      <c r="FL1073" s="1"/>
      <c r="FM1073" s="1"/>
      <c r="FN1073" s="1"/>
      <c r="FO1073" s="1"/>
      <c r="FP1073" s="1"/>
      <c r="FQ1073" s="1"/>
      <c r="FR1073" s="1"/>
      <c r="FS1073" s="1"/>
      <c r="FT1073" s="1"/>
      <c r="FU1073" s="1"/>
      <c r="FV1073" s="1"/>
      <c r="FW1073" s="1"/>
      <c r="FX1073" s="1"/>
      <c r="FY1073" s="1"/>
      <c r="FZ1073" s="1"/>
      <c r="GA1073" s="1"/>
      <c r="GB1073" s="1"/>
      <c r="GC1073" s="1"/>
      <c r="GD1073" s="1"/>
      <c r="GE1073" s="1"/>
      <c r="GF1073" s="1"/>
      <c r="GG1073" s="1"/>
      <c r="GH1073" s="1"/>
      <c r="GI1073" s="1"/>
      <c r="GJ1073" s="1"/>
      <c r="GK1073" s="1"/>
      <c r="GL1073" s="1"/>
      <c r="GM1073" s="1"/>
      <c r="GN1073" s="1"/>
      <c r="GO1073" s="1"/>
      <c r="GP1073" s="1"/>
      <c r="GQ1073" s="1"/>
      <c r="GR1073" s="1"/>
      <c r="GS1073" s="1"/>
      <c r="GT1073" s="1"/>
      <c r="GU1073" s="1"/>
      <c r="GV1073" s="1"/>
      <c r="GW1073" s="1"/>
      <c r="GX1073" s="1"/>
      <c r="GY1073" s="1"/>
      <c r="GZ1073" s="1"/>
      <c r="HA1073" s="1"/>
      <c r="HB1073" s="1"/>
      <c r="HC1073" s="1"/>
      <c r="HD1073" s="1"/>
      <c r="HE1073" s="1"/>
      <c r="HF1073" s="1"/>
      <c r="HG1073" s="1"/>
      <c r="HH1073" s="1"/>
      <c r="HI1073" s="1"/>
      <c r="HJ1073" s="1"/>
      <c r="HK1073" s="1"/>
      <c r="HL1073" s="1"/>
      <c r="HM1073" s="1"/>
      <c r="HN1073" s="1"/>
      <c r="HO1073" s="1"/>
      <c r="HP1073" s="1"/>
      <c r="HQ1073" s="1"/>
      <c r="HR1073" s="1"/>
      <c r="HS1073" s="1"/>
      <c r="HT1073" s="1"/>
      <c r="HU1073" s="1"/>
      <c r="HV1073" s="1"/>
      <c r="HW1073" s="1"/>
      <c r="HX1073" s="1"/>
      <c r="HY1073" s="1"/>
      <c r="HZ1073" s="1"/>
      <c r="IA1073" s="1"/>
      <c r="IB1073" s="1"/>
      <c r="IC1073" s="1"/>
      <c r="ID1073" s="1"/>
      <c r="IE1073" s="1"/>
      <c r="IF1073" s="1"/>
      <c r="IG1073" s="1"/>
      <c r="IH1073" s="1"/>
      <c r="II1073" s="1"/>
      <c r="IJ1073" s="1"/>
      <c r="IK1073" s="1"/>
      <c r="IL1073" s="1"/>
      <c r="IM1073" s="1"/>
      <c r="IN1073" s="1"/>
      <c r="IO1073" s="1"/>
      <c r="IP1073" s="1"/>
      <c r="IQ1073" s="1"/>
      <c r="IR1073" s="1"/>
      <c r="IS1073" s="1"/>
      <c r="IT1073" s="1"/>
      <c r="IU1073" s="1"/>
      <c r="IV1073" s="1"/>
      <c r="IW1073" s="1"/>
      <c r="IX1073" s="1"/>
      <c r="IY1073" s="1"/>
      <c r="IZ1073" s="1"/>
      <c r="JA1073" s="1"/>
      <c r="JB1073" s="1"/>
      <c r="JC1073" s="1"/>
      <c r="JD1073" s="1"/>
    </row>
    <row r="1074" spans="1:264" s="347" customFormat="1" x14ac:dyDescent="0.2">
      <c r="A1074" s="411"/>
      <c r="B1074" s="348"/>
      <c r="BH1074" s="348"/>
      <c r="BI1074" s="348"/>
      <c r="BJ1074" s="348"/>
      <c r="BK1074" s="348"/>
      <c r="BL1074" s="348"/>
      <c r="BM1074" s="348"/>
      <c r="BN1074" s="348"/>
      <c r="BO1074" s="348"/>
      <c r="BP1074" s="348"/>
      <c r="BT1074" s="741"/>
      <c r="BU1074" s="741"/>
      <c r="BV1074" s="741"/>
      <c r="BX1074" s="741"/>
      <c r="BY1074" s="741"/>
      <c r="BZ1074" s="741"/>
      <c r="CB1074" s="741"/>
      <c r="CC1074" s="741"/>
      <c r="CD1074" s="741"/>
      <c r="CF1074" s="741"/>
      <c r="CG1074" s="741"/>
      <c r="CH1074" s="741"/>
      <c r="CJ1074" s="741"/>
      <c r="CK1074" s="741"/>
      <c r="CL1074" s="741"/>
      <c r="CN1074" s="741"/>
      <c r="CO1074" s="741"/>
      <c r="CP1074" s="741"/>
      <c r="CR1074" s="741"/>
      <c r="CS1074" s="741"/>
      <c r="CT1074" s="741"/>
      <c r="CV1074" s="741"/>
      <c r="CW1074" s="741"/>
      <c r="CX1074" s="741"/>
      <c r="CZ1074" s="741"/>
      <c r="DA1074" s="741"/>
      <c r="DB1074" s="741"/>
      <c r="DD1074" s="741"/>
      <c r="DE1074" s="741"/>
      <c r="DF1074" s="741"/>
      <c r="DH1074" s="741"/>
      <c r="DI1074" s="741"/>
      <c r="DJ1074" s="741"/>
      <c r="DL1074" s="741"/>
      <c r="DM1074" s="741"/>
      <c r="DN1074" s="741"/>
      <c r="DP1074" s="741"/>
      <c r="DQ1074" s="741"/>
      <c r="DR1074" s="741"/>
      <c r="DT1074" s="1"/>
      <c r="DU1074" s="1"/>
      <c r="DV1074" s="1"/>
      <c r="DW1074" s="1"/>
      <c r="DX1074" s="1"/>
      <c r="DY1074" s="1"/>
      <c r="DZ1074" s="1"/>
      <c r="EA1074" s="1"/>
      <c r="EB1074" s="1"/>
      <c r="EC1074" s="1"/>
      <c r="ED1074" s="1"/>
      <c r="EE1074" s="1"/>
      <c r="EF1074" s="1"/>
      <c r="EG1074" s="1"/>
      <c r="EH1074" s="1"/>
      <c r="EI1074" s="1"/>
      <c r="EJ1074" s="1"/>
      <c r="EK1074" s="1"/>
      <c r="EL1074" s="1"/>
      <c r="EM1074" s="1"/>
      <c r="EN1074" s="1"/>
      <c r="EO1074" s="1"/>
      <c r="EP1074" s="1"/>
      <c r="EQ1074" s="1"/>
      <c r="ER1074" s="1"/>
      <c r="ES1074" s="1"/>
      <c r="ET1074" s="1"/>
      <c r="EU1074" s="1"/>
      <c r="EV1074" s="1"/>
      <c r="EW1074" s="1"/>
      <c r="EX1074" s="1"/>
      <c r="EY1074" s="1"/>
      <c r="EZ1074" s="1"/>
      <c r="FA1074" s="1"/>
      <c r="FB1074" s="1"/>
      <c r="FC1074" s="1"/>
      <c r="FD1074" s="1"/>
      <c r="FE1074" s="1"/>
      <c r="FF1074" s="1"/>
      <c r="FG1074" s="1"/>
      <c r="FH1074" s="1"/>
      <c r="FI1074" s="1"/>
      <c r="FJ1074" s="1"/>
      <c r="FK1074" s="1"/>
      <c r="FL1074" s="1"/>
      <c r="FM1074" s="1"/>
      <c r="FN1074" s="1"/>
      <c r="FO1074" s="1"/>
      <c r="FP1074" s="1"/>
      <c r="FQ1074" s="1"/>
      <c r="FR1074" s="1"/>
      <c r="FS1074" s="1"/>
      <c r="FT1074" s="1"/>
      <c r="FU1074" s="1"/>
      <c r="FV1074" s="1"/>
      <c r="FW1074" s="1"/>
      <c r="FX1074" s="1"/>
      <c r="FY1074" s="1"/>
      <c r="FZ1074" s="1"/>
      <c r="GA1074" s="1"/>
      <c r="GB1074" s="1"/>
      <c r="GC1074" s="1"/>
      <c r="GD1074" s="1"/>
      <c r="GE1074" s="1"/>
      <c r="GF1074" s="1"/>
      <c r="GG1074" s="1"/>
      <c r="GH1074" s="1"/>
      <c r="GI1074" s="1"/>
      <c r="GJ1074" s="1"/>
      <c r="GK1074" s="1"/>
      <c r="GL1074" s="1"/>
      <c r="GM1074" s="1"/>
      <c r="GN1074" s="1"/>
      <c r="GO1074" s="1"/>
      <c r="GP1074" s="1"/>
      <c r="GQ1074" s="1"/>
      <c r="GR1074" s="1"/>
      <c r="GS1074" s="1"/>
      <c r="GT1074" s="1"/>
      <c r="GU1074" s="1"/>
      <c r="GV1074" s="1"/>
      <c r="GW1074" s="1"/>
      <c r="GX1074" s="1"/>
      <c r="GY1074" s="1"/>
      <c r="GZ1074" s="1"/>
      <c r="HA1074" s="1"/>
      <c r="HB1074" s="1"/>
      <c r="HC1074" s="1"/>
      <c r="HD1074" s="1"/>
      <c r="HE1074" s="1"/>
      <c r="HF1074" s="1"/>
      <c r="HG1074" s="1"/>
      <c r="HH1074" s="1"/>
      <c r="HI1074" s="1"/>
      <c r="HJ1074" s="1"/>
      <c r="HK1074" s="1"/>
      <c r="HL1074" s="1"/>
      <c r="HM1074" s="1"/>
      <c r="HN1074" s="1"/>
      <c r="HO1074" s="1"/>
      <c r="HP1074" s="1"/>
      <c r="HQ1074" s="1"/>
      <c r="HR1074" s="1"/>
      <c r="HS1074" s="1"/>
      <c r="HT1074" s="1"/>
      <c r="HU1074" s="1"/>
      <c r="HV1074" s="1"/>
      <c r="HW1074" s="1"/>
      <c r="HX1074" s="1"/>
      <c r="HY1074" s="1"/>
      <c r="HZ1074" s="1"/>
      <c r="IA1074" s="1"/>
      <c r="IB1074" s="1"/>
      <c r="IC1074" s="1"/>
      <c r="ID1074" s="1"/>
      <c r="IE1074" s="1"/>
      <c r="IF1074" s="1"/>
      <c r="IG1074" s="1"/>
      <c r="IH1074" s="1"/>
      <c r="II1074" s="1"/>
      <c r="IJ1074" s="1"/>
      <c r="IK1074" s="1"/>
      <c r="IL1074" s="1"/>
      <c r="IM1074" s="1"/>
      <c r="IN1074" s="1"/>
      <c r="IO1074" s="1"/>
      <c r="IP1074" s="1"/>
      <c r="IQ1074" s="1"/>
      <c r="IR1074" s="1"/>
      <c r="IS1074" s="1"/>
      <c r="IT1074" s="1"/>
      <c r="IU1074" s="1"/>
      <c r="IV1074" s="1"/>
      <c r="IW1074" s="1"/>
      <c r="IX1074" s="1"/>
      <c r="IY1074" s="1"/>
      <c r="IZ1074" s="1"/>
      <c r="JA1074" s="1"/>
      <c r="JB1074" s="1"/>
      <c r="JC1074" s="1"/>
      <c r="JD1074" s="1"/>
    </row>
    <row r="1075" spans="1:264" s="347" customFormat="1" x14ac:dyDescent="0.2">
      <c r="A1075" s="411" t="s">
        <v>667</v>
      </c>
      <c r="B1075" s="348"/>
      <c r="BH1075" s="348"/>
      <c r="BI1075" s="348"/>
      <c r="BJ1075" s="348"/>
      <c r="BK1075" s="348"/>
      <c r="BL1075" s="348"/>
      <c r="BM1075" s="348"/>
      <c r="BN1075" s="348"/>
      <c r="BO1075" s="348"/>
      <c r="BP1075" s="348"/>
      <c r="BQ1075" s="490"/>
      <c r="BT1075" s="348"/>
      <c r="BU1075" s="490"/>
      <c r="BX1075" s="348"/>
      <c r="CB1075" s="348"/>
      <c r="CF1075" s="348"/>
      <c r="CJ1075" s="348"/>
      <c r="CN1075" s="348"/>
      <c r="CR1075" s="348"/>
      <c r="CV1075" s="348"/>
      <c r="CZ1075" s="348"/>
      <c r="DD1075" s="348"/>
      <c r="DH1075" s="348"/>
      <c r="DL1075" s="348"/>
      <c r="DP1075" s="348"/>
      <c r="DT1075" s="1"/>
      <c r="DU1075" s="1"/>
      <c r="DV1075" s="1"/>
      <c r="DW1075" s="1"/>
      <c r="DX1075" s="1"/>
      <c r="DY1075" s="1"/>
      <c r="DZ1075" s="1"/>
      <c r="EA1075" s="1"/>
      <c r="EB1075" s="1"/>
      <c r="EC1075" s="1"/>
      <c r="ED1075" s="1"/>
      <c r="EE1075" s="1"/>
      <c r="EF1075" s="1"/>
      <c r="EG1075" s="1"/>
      <c r="EH1075" s="1"/>
      <c r="EI1075" s="1"/>
      <c r="EJ1075" s="1"/>
      <c r="EK1075" s="1"/>
      <c r="EL1075" s="1"/>
      <c r="EM1075" s="1"/>
      <c r="EN1075" s="1"/>
      <c r="EO1075" s="1"/>
      <c r="EP1075" s="1"/>
      <c r="EQ1075" s="1"/>
      <c r="ER1075" s="1"/>
      <c r="ES1075" s="1"/>
      <c r="ET1075" s="1"/>
      <c r="EU1075" s="1"/>
      <c r="EV1075" s="1"/>
      <c r="EW1075" s="1"/>
      <c r="EX1075" s="1"/>
      <c r="EY1075" s="1"/>
      <c r="EZ1075" s="1"/>
      <c r="FA1075" s="1"/>
      <c r="FB1075" s="1"/>
      <c r="FC1075" s="1"/>
      <c r="FD1075" s="1"/>
      <c r="FE1075" s="1"/>
      <c r="FF1075" s="1"/>
      <c r="FG1075" s="1"/>
      <c r="FH1075" s="1"/>
      <c r="FI1075" s="1"/>
      <c r="FJ1075" s="1"/>
      <c r="FK1075" s="1"/>
      <c r="FL1075" s="1"/>
      <c r="FM1075" s="1"/>
      <c r="FN1075" s="1"/>
      <c r="FO1075" s="1"/>
      <c r="FP1075" s="1"/>
      <c r="FQ1075" s="1"/>
      <c r="FR1075" s="1"/>
      <c r="FS1075" s="1"/>
      <c r="FT1075" s="1"/>
      <c r="FU1075" s="1"/>
      <c r="FV1075" s="1"/>
      <c r="FW1075" s="1"/>
      <c r="FX1075" s="1"/>
      <c r="FY1075" s="1"/>
      <c r="FZ1075" s="1"/>
      <c r="GA1075" s="1"/>
      <c r="GB1075" s="1"/>
      <c r="GC1075" s="1"/>
      <c r="GD1075" s="1"/>
      <c r="GE1075" s="1"/>
      <c r="GF1075" s="1"/>
      <c r="GG1075" s="1"/>
      <c r="GH1075" s="1"/>
      <c r="GI1075" s="1"/>
      <c r="GJ1075" s="1"/>
      <c r="GK1075" s="1"/>
      <c r="GL1075" s="1"/>
      <c r="GM1075" s="1"/>
      <c r="GN1075" s="1"/>
      <c r="GO1075" s="1"/>
      <c r="GP1075" s="1"/>
      <c r="GQ1075" s="1"/>
      <c r="GR1075" s="1"/>
      <c r="GS1075" s="1"/>
      <c r="GT1075" s="1"/>
      <c r="GU1075" s="1"/>
      <c r="GV1075" s="1"/>
      <c r="GW1075" s="1"/>
      <c r="GX1075" s="1"/>
      <c r="GY1075" s="1"/>
      <c r="GZ1075" s="1"/>
      <c r="HA1075" s="1"/>
      <c r="HB1075" s="1"/>
      <c r="HC1075" s="1"/>
      <c r="HD1075" s="1"/>
      <c r="HE1075" s="1"/>
      <c r="HF1075" s="1"/>
      <c r="HG1075" s="1"/>
      <c r="HH1075" s="1"/>
      <c r="HI1075" s="1"/>
      <c r="HJ1075" s="1"/>
      <c r="HK1075" s="1"/>
      <c r="HL1075" s="1"/>
      <c r="HM1075" s="1"/>
      <c r="HN1075" s="1"/>
      <c r="HO1075" s="1"/>
      <c r="HP1075" s="1"/>
      <c r="HQ1075" s="1"/>
      <c r="HR1075" s="1"/>
      <c r="HS1075" s="1"/>
      <c r="HT1075" s="1"/>
      <c r="HU1075" s="1"/>
      <c r="HV1075" s="1"/>
      <c r="HW1075" s="1"/>
      <c r="HX1075" s="1"/>
      <c r="HY1075" s="1"/>
      <c r="HZ1075" s="1"/>
      <c r="IA1075" s="1"/>
      <c r="IB1075" s="1"/>
      <c r="IC1075" s="1"/>
      <c r="ID1075" s="1"/>
      <c r="IE1075" s="1"/>
      <c r="IF1075" s="1"/>
      <c r="IG1075" s="1"/>
      <c r="IH1075" s="1"/>
      <c r="II1075" s="1"/>
      <c r="IJ1075" s="1"/>
      <c r="IK1075" s="1"/>
      <c r="IL1075" s="1"/>
      <c r="IM1075" s="1"/>
      <c r="IN1075" s="1"/>
      <c r="IO1075" s="1"/>
      <c r="IP1075" s="1"/>
      <c r="IQ1075" s="1"/>
      <c r="IR1075" s="1"/>
      <c r="IS1075" s="1"/>
      <c r="IT1075" s="1"/>
      <c r="IU1075" s="1"/>
      <c r="IV1075" s="1"/>
      <c r="IW1075" s="1"/>
      <c r="IX1075" s="1"/>
      <c r="IY1075" s="1"/>
      <c r="IZ1075" s="1"/>
      <c r="JA1075" s="1"/>
      <c r="JB1075" s="1"/>
      <c r="JC1075" s="1"/>
      <c r="JD1075" s="1"/>
    </row>
    <row r="1076" spans="1:264" s="347" customFormat="1" x14ac:dyDescent="0.2">
      <c r="A1076" s="347" t="s">
        <v>730</v>
      </c>
      <c r="B1076" s="348"/>
      <c r="BD1076" s="351"/>
      <c r="BE1076" s="351">
        <f>BE1037</f>
        <v>3136.634</v>
      </c>
      <c r="BH1076" s="351">
        <f>BH1037</f>
        <v>2639.0565792399998</v>
      </c>
      <c r="BI1076" s="351">
        <f>BI1037</f>
        <v>3223.8576720000001</v>
      </c>
      <c r="BJ1076" s="351">
        <f>BJ1037</f>
        <v>5862.9142512399994</v>
      </c>
      <c r="BK1076" s="348"/>
      <c r="BL1076" s="351">
        <f>BL1037</f>
        <v>2949.8297698799997</v>
      </c>
      <c r="BM1076" s="351">
        <f>BM1037</f>
        <v>3534.4758429199996</v>
      </c>
      <c r="BN1076" s="351">
        <f>BN1037</f>
        <v>6484.3056127999989</v>
      </c>
      <c r="BO1076" s="348"/>
      <c r="BP1076" s="351">
        <f>BP1037</f>
        <v>3210.2120041200001</v>
      </c>
      <c r="BQ1076" s="351">
        <f>BQ1037</f>
        <v>3613.2558228600001</v>
      </c>
      <c r="BR1076" s="351">
        <f>BR1037</f>
        <v>6823.4678269800006</v>
      </c>
      <c r="BT1076" s="351">
        <f>BT1037</f>
        <v>3380.9385337200006</v>
      </c>
      <c r="BU1076" s="351">
        <f>BU1037</f>
        <v>3807.6156329400001</v>
      </c>
      <c r="BV1076" s="351">
        <f>BV1037</f>
        <v>7188.5541666600002</v>
      </c>
      <c r="BX1076" s="351">
        <f>BX1037</f>
        <v>3429.1252329099998</v>
      </c>
      <c r="BY1076" s="351">
        <f>BY1037</f>
        <v>3978.6967703</v>
      </c>
      <c r="BZ1076" s="351">
        <f>BZ1037</f>
        <v>7407.8220032099998</v>
      </c>
      <c r="CB1076" s="351">
        <f>CB1037</f>
        <v>3505.456396</v>
      </c>
      <c r="CC1076" s="351">
        <f>CC1037</f>
        <v>4065.2371683000001</v>
      </c>
      <c r="CD1076" s="351">
        <f>CD1037</f>
        <v>7570.6935642999997</v>
      </c>
      <c r="CF1076" s="351">
        <f>CF1037</f>
        <v>3540.4790139999996</v>
      </c>
      <c r="CG1076" s="351">
        <f>CG1037</f>
        <v>4089.2532611700003</v>
      </c>
      <c r="CH1076" s="351">
        <f>CH1037</f>
        <v>7629.7322751699994</v>
      </c>
      <c r="CJ1076" s="351">
        <f>CJ1037</f>
        <v>3540.4790139999996</v>
      </c>
      <c r="CK1076" s="351">
        <f>CK1037</f>
        <v>1734.8347168600001</v>
      </c>
      <c r="CL1076" s="351">
        <f>CL1037</f>
        <v>5275.3137308599999</v>
      </c>
      <c r="CN1076" s="351">
        <f>CN1037</f>
        <v>2661.1446150000002</v>
      </c>
      <c r="CO1076" s="351">
        <f>CO1037</f>
        <v>3548.1928200000002</v>
      </c>
      <c r="CP1076" s="351">
        <f>CP1037</f>
        <v>6209.3374350000004</v>
      </c>
      <c r="CR1076" s="351">
        <f>CR1037</f>
        <v>2986.1853052500001</v>
      </c>
      <c r="CS1076" s="351">
        <f>CS1037</f>
        <v>3573.2306526000002</v>
      </c>
      <c r="CT1076" s="351">
        <f>CT1037</f>
        <v>6559.4159578500003</v>
      </c>
      <c r="CV1076" s="351">
        <f>CV1037</f>
        <v>3545.6697549</v>
      </c>
      <c r="CW1076" s="351">
        <f>CW1037</f>
        <v>4022.8063727999997</v>
      </c>
      <c r="CX1076" s="351">
        <f>CX1037</f>
        <v>7568.4761276999998</v>
      </c>
      <c r="CZ1076" s="351">
        <f>CZ1037</f>
        <v>3600.5016581</v>
      </c>
      <c r="DA1076" s="351">
        <f>DA1037</f>
        <v>4183.9508949999999</v>
      </c>
      <c r="DB1076" s="351">
        <f>DB1037</f>
        <v>7784.4525530999999</v>
      </c>
      <c r="DD1076" s="351">
        <f>DD1037</f>
        <v>3765.2903055000002</v>
      </c>
      <c r="DE1076" s="351">
        <f>DE1037</f>
        <v>4351.0021308000005</v>
      </c>
      <c r="DF1076" s="351">
        <f>DF1037</f>
        <v>8116.2924363000002</v>
      </c>
      <c r="DH1076" s="351">
        <f>DH1037</f>
        <v>3932.6365412999999</v>
      </c>
      <c r="DI1076" s="351">
        <f>DI1037</f>
        <v>4679.7116212110777</v>
      </c>
      <c r="DJ1076" s="351">
        <f>DJ1037</f>
        <v>8612.348162511078</v>
      </c>
      <c r="DL1076" s="351">
        <f>DL1037</f>
        <v>4349.502116753406</v>
      </c>
      <c r="DM1076" s="351">
        <f>DM1037</f>
        <v>5017.7248093955541</v>
      </c>
      <c r="DN1076" s="351">
        <f>DN1037</f>
        <v>9367.22692614896</v>
      </c>
      <c r="DP1076" s="351">
        <f>DP1037</f>
        <v>4511.4333574327238</v>
      </c>
      <c r="DQ1076" s="351">
        <f>DQ1037</f>
        <v>5276.0453212597176</v>
      </c>
      <c r="DR1076" s="351">
        <f>DR1037</f>
        <v>9787.4786786924415</v>
      </c>
      <c r="DT1076" s="1"/>
      <c r="DU1076" s="1"/>
      <c r="DV1076" s="1"/>
      <c r="DW1076" s="1"/>
      <c r="DX1076" s="1"/>
      <c r="DY1076" s="1"/>
      <c r="DZ1076" s="1"/>
      <c r="EA1076" s="1"/>
      <c r="EB1076" s="1"/>
      <c r="EC1076" s="1"/>
      <c r="ED1076" s="1"/>
      <c r="EE1076" s="1"/>
      <c r="EF1076" s="1"/>
      <c r="EG1076" s="1"/>
      <c r="EH1076" s="1"/>
      <c r="EI1076" s="1"/>
      <c r="EJ1076" s="1"/>
      <c r="EK1076" s="1"/>
      <c r="EL1076" s="1"/>
      <c r="EM1076" s="1"/>
      <c r="EN1076" s="1"/>
      <c r="EO1076" s="1"/>
      <c r="EP1076" s="1"/>
      <c r="EQ1076" s="1"/>
      <c r="ER1076" s="1"/>
      <c r="ES1076" s="1"/>
      <c r="ET1076" s="1"/>
      <c r="EU1076" s="1"/>
      <c r="EV1076" s="1"/>
      <c r="EW1076" s="1"/>
      <c r="EX1076" s="1"/>
      <c r="EY1076" s="1"/>
      <c r="EZ1076" s="1"/>
      <c r="FA1076" s="1"/>
      <c r="FB1076" s="1"/>
      <c r="FC1076" s="1"/>
      <c r="FD1076" s="1"/>
      <c r="FE1076" s="1"/>
      <c r="FF1076" s="1"/>
      <c r="FG1076" s="1"/>
      <c r="FH1076" s="1"/>
      <c r="FI1076" s="1"/>
      <c r="FJ1076" s="1"/>
      <c r="FK1076" s="1"/>
      <c r="FL1076" s="1"/>
      <c r="FM1076" s="1"/>
      <c r="FN1076" s="1"/>
      <c r="FO1076" s="1"/>
      <c r="FP1076" s="1"/>
      <c r="FQ1076" s="1"/>
      <c r="FR1076" s="1"/>
      <c r="FS1076" s="1"/>
      <c r="FT1076" s="1"/>
      <c r="FU1076" s="1"/>
      <c r="FV1076" s="1"/>
      <c r="FW1076" s="1"/>
      <c r="FX1076" s="1"/>
      <c r="FY1076" s="1"/>
      <c r="FZ1076" s="1"/>
      <c r="GA1076" s="1"/>
      <c r="GB1076" s="1"/>
      <c r="GC1076" s="1"/>
      <c r="GD1076" s="1"/>
      <c r="GE1076" s="1"/>
      <c r="GF1076" s="1"/>
      <c r="GG1076" s="1"/>
      <c r="GH1076" s="1"/>
      <c r="GI1076" s="1"/>
      <c r="GJ1076" s="1"/>
      <c r="GK1076" s="1"/>
      <c r="GL1076" s="1"/>
      <c r="GM1076" s="1"/>
      <c r="GN1076" s="1"/>
      <c r="GO1076" s="1"/>
      <c r="GP1076" s="1"/>
      <c r="GQ1076" s="1"/>
      <c r="GR1076" s="1"/>
      <c r="GS1076" s="1"/>
      <c r="GT1076" s="1"/>
      <c r="GU1076" s="1"/>
      <c r="GV1076" s="1"/>
      <c r="GW1076" s="1"/>
      <c r="GX1076" s="1"/>
      <c r="GY1076" s="1"/>
      <c r="GZ1076" s="1"/>
      <c r="HA1076" s="1"/>
      <c r="HB1076" s="1"/>
      <c r="HC1076" s="1"/>
      <c r="HD1076" s="1"/>
      <c r="HE1076" s="1"/>
      <c r="HF1076" s="1"/>
      <c r="HG1076" s="1"/>
      <c r="HH1076" s="1"/>
      <c r="HI1076" s="1"/>
      <c r="HJ1076" s="1"/>
      <c r="HK1076" s="1"/>
      <c r="HL1076" s="1"/>
      <c r="HM1076" s="1"/>
      <c r="HN1076" s="1"/>
      <c r="HO1076" s="1"/>
      <c r="HP1076" s="1"/>
      <c r="HQ1076" s="1"/>
      <c r="HR1076" s="1"/>
      <c r="HS1076" s="1"/>
      <c r="HT1076" s="1"/>
      <c r="HU1076" s="1"/>
      <c r="HV1076" s="1"/>
      <c r="HW1076" s="1"/>
      <c r="HX1076" s="1"/>
      <c r="HY1076" s="1"/>
      <c r="HZ1076" s="1"/>
      <c r="IA1076" s="1"/>
      <c r="IB1076" s="1"/>
      <c r="IC1076" s="1"/>
      <c r="ID1076" s="1"/>
      <c r="IE1076" s="1"/>
      <c r="IF1076" s="1"/>
      <c r="IG1076" s="1"/>
      <c r="IH1076" s="1"/>
      <c r="II1076" s="1"/>
      <c r="IJ1076" s="1"/>
      <c r="IK1076" s="1"/>
      <c r="IL1076" s="1"/>
      <c r="IM1076" s="1"/>
      <c r="IN1076" s="1"/>
      <c r="IO1076" s="1"/>
      <c r="IP1076" s="1"/>
      <c r="IQ1076" s="1"/>
      <c r="IR1076" s="1"/>
      <c r="IS1076" s="1"/>
      <c r="IT1076" s="1"/>
      <c r="IU1076" s="1"/>
      <c r="IV1076" s="1"/>
      <c r="IW1076" s="1"/>
      <c r="IX1076" s="1"/>
      <c r="IY1076" s="1"/>
      <c r="IZ1076" s="1"/>
      <c r="JA1076" s="1"/>
      <c r="JB1076" s="1"/>
      <c r="JC1076" s="1"/>
      <c r="JD1076" s="1"/>
    </row>
    <row r="1077" spans="1:264" s="347" customFormat="1" x14ac:dyDescent="0.2">
      <c r="A1077" s="463" t="s">
        <v>731</v>
      </c>
      <c r="B1077" s="466"/>
      <c r="C1077" s="463"/>
      <c r="D1077" s="463"/>
      <c r="E1077" s="463"/>
      <c r="F1077" s="463"/>
      <c r="G1077" s="463"/>
      <c r="H1077" s="463"/>
      <c r="I1077" s="463"/>
      <c r="J1077" s="463"/>
      <c r="K1077" s="463"/>
      <c r="L1077" s="463"/>
      <c r="M1077" s="463"/>
      <c r="N1077" s="463"/>
      <c r="O1077" s="463"/>
      <c r="P1077" s="463"/>
      <c r="Q1077" s="463"/>
      <c r="R1077" s="463"/>
      <c r="S1077" s="463"/>
      <c r="T1077" s="463"/>
      <c r="U1077" s="463"/>
      <c r="V1077" s="463"/>
      <c r="W1077" s="463"/>
      <c r="X1077" s="463"/>
      <c r="Y1077" s="463"/>
      <c r="Z1077" s="463"/>
      <c r="AA1077" s="463"/>
      <c r="AB1077" s="463"/>
      <c r="AC1077" s="463"/>
      <c r="AD1077" s="463"/>
      <c r="AE1077" s="463"/>
      <c r="AF1077" s="463"/>
      <c r="AG1077" s="463"/>
      <c r="AH1077" s="463"/>
      <c r="AI1077" s="463"/>
      <c r="AJ1077" s="463"/>
      <c r="AK1077" s="463"/>
      <c r="AL1077" s="463"/>
      <c r="AM1077" s="463"/>
      <c r="AN1077" s="463"/>
      <c r="AO1077" s="463"/>
      <c r="AP1077" s="463"/>
      <c r="AQ1077" s="463"/>
      <c r="AR1077" s="463"/>
      <c r="AS1077" s="463"/>
      <c r="AT1077" s="463"/>
      <c r="AU1077" s="463"/>
      <c r="AV1077" s="463"/>
      <c r="AW1077" s="463"/>
      <c r="AX1077" s="463"/>
      <c r="AY1077" s="463"/>
      <c r="AZ1077" s="463"/>
      <c r="BA1077" s="463"/>
      <c r="BB1077" s="463"/>
      <c r="BC1077" s="463"/>
      <c r="BD1077" s="467"/>
      <c r="BE1077" s="467">
        <f>+BE1078/BE1076</f>
        <v>0.29605027776272269</v>
      </c>
      <c r="BF1077" s="463"/>
      <c r="BG1077" s="463"/>
      <c r="BH1077" s="637">
        <f>+BH1078/BH1076</f>
        <v>0.22569651303630989</v>
      </c>
      <c r="BI1077" s="752">
        <v>0.224</v>
      </c>
      <c r="BJ1077" s="467">
        <f>BJ1078/BJ1076</f>
        <v>0.22476364649018929</v>
      </c>
      <c r="BK1077" s="466"/>
      <c r="BL1077" s="752">
        <v>0.24</v>
      </c>
      <c r="BM1077" s="753">
        <v>0.1993</v>
      </c>
      <c r="BN1077" s="467">
        <f>BN1078/BN1076</f>
        <v>0.21766095932910626</v>
      </c>
      <c r="BO1077" s="466"/>
      <c r="BP1077" s="637">
        <f>BP1078/BP1076</f>
        <v>0.17834378016318664</v>
      </c>
      <c r="BQ1077" s="637">
        <f>BQ1078/BQ1076</f>
        <v>0.18186142463056387</v>
      </c>
      <c r="BR1077" s="637">
        <f>BR1078/BR1076</f>
        <v>0.18020649127677113</v>
      </c>
      <c r="BS1077" s="463"/>
      <c r="BT1077" s="637">
        <f>BT1078/BT1076</f>
        <v>0.16327763905622</v>
      </c>
      <c r="BU1077" s="637">
        <f>BU1078/BU1076</f>
        <v>0.15396785703060437</v>
      </c>
      <c r="BV1077" s="637">
        <f>BV1078/BV1076</f>
        <v>0.15834645668516639</v>
      </c>
      <c r="BW1077" s="463"/>
      <c r="BX1077" s="624">
        <f>+BX1078/BX1076</f>
        <v>0.16232884631268571</v>
      </c>
      <c r="BY1077" s="624">
        <f>+BY1078/BY1076</f>
        <v>0.39537980447084592</v>
      </c>
      <c r="BZ1077" s="637">
        <f>BZ1078/BZ1076</f>
        <v>0.28749911824111429</v>
      </c>
      <c r="CA1077" s="463"/>
      <c r="CB1077" s="637">
        <f>CB1078/CB1076</f>
        <v>0.15299248873041751</v>
      </c>
      <c r="CC1077" s="754">
        <f>+CC1078/CC1076</f>
        <v>0.18432380916003246</v>
      </c>
      <c r="CD1077" s="637">
        <f>CD1078/CD1076</f>
        <v>0.16981647549736373</v>
      </c>
      <c r="CE1077" s="463"/>
      <c r="CF1077" s="637">
        <f>CF1078/CF1076</f>
        <v>0.16719311111273261</v>
      </c>
      <c r="CG1077" s="637">
        <f>CG1078/CG1076</f>
        <v>0.15014147196017261</v>
      </c>
      <c r="CH1077" s="637">
        <f>CH1078/CH1076</f>
        <v>0.1580540655344464</v>
      </c>
      <c r="CI1077" s="463"/>
      <c r="CJ1077" s="637">
        <f>CJ1078/CJ1076</f>
        <v>0.14672766912494406</v>
      </c>
      <c r="CK1077" s="637">
        <f>CK1078/CK1076</f>
        <v>0.15235662511319797</v>
      </c>
      <c r="CL1077" s="624">
        <f>CL1078/CL1076</f>
        <v>0.14857880230228931</v>
      </c>
      <c r="CM1077" s="447"/>
      <c r="CN1077" s="637">
        <f>CN1078/CN1076</f>
        <v>0.1559991502002607</v>
      </c>
      <c r="CO1077" s="755">
        <v>0.161</v>
      </c>
      <c r="CP1077" s="624">
        <f>CP1078/CP1076</f>
        <v>0.15885677865725459</v>
      </c>
      <c r="CQ1077" s="463"/>
      <c r="CR1077" s="755">
        <v>0.16750000000000001</v>
      </c>
      <c r="CS1077" s="755">
        <v>0.16700000000000001</v>
      </c>
      <c r="CT1077" s="467">
        <f>CT1078/CT1076</f>
        <v>0.16722762585300571</v>
      </c>
      <c r="CU1077" s="463"/>
      <c r="CV1077" s="755">
        <v>0.16800000000000001</v>
      </c>
      <c r="CW1077" s="756">
        <f>CW1078/CW1076</f>
        <v>0.18071961029881364</v>
      </c>
      <c r="CX1077" s="467">
        <f>CX1078/CX1076</f>
        <v>0.17476074397358898</v>
      </c>
      <c r="CY1077" s="463"/>
      <c r="CZ1077" s="756">
        <f>CZ1078/CZ1076</f>
        <v>0.13359249506743062</v>
      </c>
      <c r="DA1077" s="756">
        <f>DA1078/DA1076</f>
        <v>0.18116847425380694</v>
      </c>
      <c r="DB1077" s="467">
        <f>DB1078/DB1076</f>
        <v>0.15916340828702122</v>
      </c>
      <c r="DC1077" s="463"/>
      <c r="DD1077" s="756">
        <f>DD1078/DD1076</f>
        <v>0.18112813213998274</v>
      </c>
      <c r="DE1077" s="756">
        <f>DE1078/DE1076</f>
        <v>0.14778204668030678</v>
      </c>
      <c r="DF1077" s="467">
        <f>DF1078/DF1076</f>
        <v>0.16325188014098121</v>
      </c>
      <c r="DG1077" s="463"/>
      <c r="DH1077" s="718">
        <v>0.15</v>
      </c>
      <c r="DI1077" s="718">
        <f>DH1077</f>
        <v>0.15</v>
      </c>
      <c r="DJ1077" s="467">
        <f>DJ1078/DJ1076</f>
        <v>0.14999999999999997</v>
      </c>
      <c r="DK1077" s="463"/>
      <c r="DL1077" s="718">
        <f>DI1077</f>
        <v>0.15</v>
      </c>
      <c r="DM1077" s="718">
        <f>DL1077</f>
        <v>0.15</v>
      </c>
      <c r="DN1077" s="467">
        <f>DN1078/DN1076</f>
        <v>0.15</v>
      </c>
      <c r="DO1077" s="463"/>
      <c r="DP1077" s="718">
        <f>DM1077</f>
        <v>0.15</v>
      </c>
      <c r="DQ1077" s="718">
        <f>DP1077</f>
        <v>0.15</v>
      </c>
      <c r="DR1077" s="467">
        <f>DR1078/DR1076</f>
        <v>0.15</v>
      </c>
      <c r="DS1077" s="463"/>
      <c r="DT1077" s="1"/>
      <c r="DU1077" s="1"/>
      <c r="DV1077" s="1"/>
      <c r="DW1077" s="1"/>
      <c r="DX1077" s="1"/>
      <c r="DY1077" s="1"/>
      <c r="DZ1077" s="1"/>
      <c r="EA1077" s="1"/>
      <c r="EB1077" s="1"/>
      <c r="EC1077" s="1"/>
      <c r="ED1077" s="1"/>
      <c r="EE1077" s="1"/>
      <c r="EF1077" s="1"/>
      <c r="EG1077" s="1"/>
      <c r="EH1077" s="1"/>
      <c r="EI1077" s="1"/>
      <c r="EJ1077" s="1"/>
      <c r="EK1077" s="1"/>
      <c r="EL1077" s="1"/>
      <c r="EM1077" s="1"/>
      <c r="EN1077" s="1"/>
      <c r="EO1077" s="1"/>
      <c r="EP1077" s="1"/>
      <c r="EQ1077" s="1"/>
      <c r="ER1077" s="1"/>
      <c r="ES1077" s="1"/>
      <c r="ET1077" s="1"/>
      <c r="EU1077" s="1"/>
      <c r="EV1077" s="1"/>
      <c r="EW1077" s="1"/>
      <c r="EX1077" s="1"/>
      <c r="EY1077" s="1"/>
      <c r="EZ1077" s="1"/>
      <c r="FA1077" s="1"/>
      <c r="FB1077" s="1"/>
      <c r="FC1077" s="1"/>
      <c r="FD1077" s="1"/>
      <c r="FE1077" s="1"/>
      <c r="FF1077" s="1"/>
      <c r="FG1077" s="1"/>
      <c r="FH1077" s="1"/>
      <c r="FI1077" s="1"/>
      <c r="FJ1077" s="1"/>
      <c r="FK1077" s="1"/>
      <c r="FL1077" s="1"/>
      <c r="FM1077" s="1"/>
      <c r="FN1077" s="1"/>
      <c r="FO1077" s="1"/>
      <c r="FP1077" s="1"/>
      <c r="FQ1077" s="1"/>
      <c r="FR1077" s="1"/>
      <c r="FS1077" s="1"/>
      <c r="FT1077" s="1"/>
      <c r="FU1077" s="1"/>
      <c r="FV1077" s="1"/>
      <c r="FW1077" s="1"/>
      <c r="FX1077" s="1"/>
      <c r="FY1077" s="1"/>
      <c r="FZ1077" s="1"/>
      <c r="GA1077" s="1"/>
      <c r="GB1077" s="1"/>
      <c r="GC1077" s="1"/>
      <c r="GD1077" s="1"/>
      <c r="GE1077" s="1"/>
      <c r="GF1077" s="1"/>
      <c r="GG1077" s="1"/>
      <c r="GH1077" s="1"/>
      <c r="GI1077" s="1"/>
      <c r="GJ1077" s="1"/>
      <c r="GK1077" s="1"/>
      <c r="GL1077" s="1"/>
      <c r="GM1077" s="1"/>
      <c r="GN1077" s="1"/>
      <c r="GO1077" s="1"/>
      <c r="GP1077" s="1"/>
      <c r="GQ1077" s="1"/>
      <c r="GR1077" s="1"/>
      <c r="GS1077" s="1"/>
      <c r="GT1077" s="1"/>
      <c r="GU1077" s="1"/>
      <c r="GV1077" s="1"/>
      <c r="GW1077" s="1"/>
      <c r="GX1077" s="1"/>
      <c r="GY1077" s="1"/>
      <c r="GZ1077" s="1"/>
      <c r="HA1077" s="1"/>
      <c r="HB1077" s="1"/>
      <c r="HC1077" s="1"/>
      <c r="HD1077" s="1"/>
      <c r="HE1077" s="1"/>
      <c r="HF1077" s="1"/>
      <c r="HG1077" s="1"/>
      <c r="HH1077" s="1"/>
      <c r="HI1077" s="1"/>
      <c r="HJ1077" s="1"/>
      <c r="HK1077" s="1"/>
      <c r="HL1077" s="1"/>
      <c r="HM1077" s="1"/>
      <c r="HN1077" s="1"/>
      <c r="HO1077" s="1"/>
      <c r="HP1077" s="1"/>
      <c r="HQ1077" s="1"/>
      <c r="HR1077" s="1"/>
      <c r="HS1077" s="1"/>
      <c r="HT1077" s="1"/>
      <c r="HU1077" s="1"/>
      <c r="HV1077" s="1"/>
      <c r="HW1077" s="1"/>
      <c r="HX1077" s="1"/>
      <c r="HY1077" s="1"/>
      <c r="HZ1077" s="1"/>
      <c r="IA1077" s="1"/>
      <c r="IB1077" s="1"/>
      <c r="IC1077" s="1"/>
      <c r="ID1077" s="1"/>
      <c r="IE1077" s="1"/>
      <c r="IF1077" s="1"/>
      <c r="IG1077" s="1"/>
      <c r="IH1077" s="1"/>
      <c r="II1077" s="1"/>
      <c r="IJ1077" s="1"/>
      <c r="IK1077" s="1"/>
      <c r="IL1077" s="1"/>
      <c r="IM1077" s="1"/>
      <c r="IN1077" s="1"/>
      <c r="IO1077" s="1"/>
      <c r="IP1077" s="1"/>
      <c r="IQ1077" s="1"/>
      <c r="IR1077" s="1"/>
      <c r="IS1077" s="1"/>
      <c r="IT1077" s="1"/>
      <c r="IU1077" s="1"/>
      <c r="IV1077" s="1"/>
      <c r="IW1077" s="1"/>
      <c r="IX1077" s="1"/>
      <c r="IY1077" s="1"/>
      <c r="IZ1077" s="1"/>
      <c r="JA1077" s="1"/>
      <c r="JB1077" s="1"/>
      <c r="JC1077" s="1"/>
      <c r="JD1077" s="1"/>
    </row>
    <row r="1078" spans="1:264" s="411" customFormat="1" x14ac:dyDescent="0.2">
      <c r="A1078" s="411" t="s">
        <v>662</v>
      </c>
      <c r="B1078" s="423"/>
      <c r="BD1078" s="397">
        <f>+BD1080*BD1079</f>
        <v>530.76906746999998</v>
      </c>
      <c r="BE1078" s="397">
        <f>+BE1080*BE1079</f>
        <v>928.60136693999993</v>
      </c>
      <c r="BH1078" s="397">
        <f>+BH1080*BH1079</f>
        <v>595.62586764000002</v>
      </c>
      <c r="BI1078" s="397">
        <f>+BI1076*BI1077</f>
        <v>722.14411852800004</v>
      </c>
      <c r="BJ1078" s="397">
        <f>BH1078+BI1078</f>
        <v>1317.7699861680001</v>
      </c>
      <c r="BK1078" s="423"/>
      <c r="BL1078" s="397">
        <f>+BL1076*BL1077-1</f>
        <v>706.95914477119993</v>
      </c>
      <c r="BM1078" s="397">
        <f>+BM1076*BM1077</f>
        <v>704.42103549395597</v>
      </c>
      <c r="BN1078" s="397">
        <f>BL1078+BM1078</f>
        <v>1411.380180265156</v>
      </c>
      <c r="BO1078" s="423"/>
      <c r="BP1078" s="397">
        <f>BP1079*BP1080</f>
        <v>572.52134394000007</v>
      </c>
      <c r="BQ1078" s="397">
        <f>BQ1079*BQ1080</f>
        <v>657.11185149999994</v>
      </c>
      <c r="BR1078" s="397">
        <f>BP1078+BQ1078</f>
        <v>1229.63319544</v>
      </c>
      <c r="BT1078" s="397">
        <f>BT1079*BT1080</f>
        <v>552.03166157999999</v>
      </c>
      <c r="BU1078" s="397">
        <f>BU1079*BU1080</f>
        <v>586.25041940000006</v>
      </c>
      <c r="BV1078" s="397">
        <f>BT1078+BU1078</f>
        <v>1138.28208098</v>
      </c>
      <c r="BX1078" s="397">
        <f>BX1079*BX1080</f>
        <v>556.64594291999992</v>
      </c>
      <c r="BY1078" s="397">
        <f>+BY1079*BY1080</f>
        <v>1573.0963510900001</v>
      </c>
      <c r="BZ1078" s="397">
        <f>BX1078+BY1078</f>
        <v>2129.74229401</v>
      </c>
      <c r="CB1078" s="397">
        <f>+CB1079*CB1080</f>
        <v>536.30849816</v>
      </c>
      <c r="CC1078" s="397">
        <f>+CC1079*CC1080</f>
        <v>749.32</v>
      </c>
      <c r="CD1078" s="397">
        <f>CB1078+CC1078</f>
        <v>1285.6284981600002</v>
      </c>
      <c r="CF1078" s="397">
        <f>+CF1079*CF1080</f>
        <v>591.94370117999995</v>
      </c>
      <c r="CG1078" s="397">
        <f>+CG1079*CG1080</f>
        <v>613.96650384999998</v>
      </c>
      <c r="CH1078" s="397">
        <f>CF1078+CG1078</f>
        <v>1205.9102050299998</v>
      </c>
      <c r="CJ1078" s="397">
        <f>+CJ1079*CJ1080</f>
        <v>519.4862333100001</v>
      </c>
      <c r="CK1078" s="397">
        <f>CK1080*CK1079</f>
        <v>264.31356259</v>
      </c>
      <c r="CL1078" s="397">
        <f>CJ1078+CK1078</f>
        <v>783.79979590000016</v>
      </c>
      <c r="CN1078" s="397">
        <f>CN1080*CN1079</f>
        <v>415.13629849999995</v>
      </c>
      <c r="CO1078" s="397">
        <f>+CO1076*CO1077</f>
        <v>571.25904402000003</v>
      </c>
      <c r="CP1078" s="397">
        <f>CN1078+CO1078</f>
        <v>986.39534251999999</v>
      </c>
      <c r="CR1078" s="397">
        <f>+CR1076*CR1077</f>
        <v>500.18603862937505</v>
      </c>
      <c r="CS1078" s="397">
        <f>+CS1076*CS1077</f>
        <v>596.72951898420001</v>
      </c>
      <c r="CT1078" s="397">
        <f>CR1078+CS1078</f>
        <v>1096.9155576135749</v>
      </c>
      <c r="CV1078" s="397">
        <f>+CV1076*CV1077</f>
        <v>595.67251882319999</v>
      </c>
      <c r="CW1078" s="524">
        <v>727</v>
      </c>
      <c r="CX1078" s="397">
        <f>CV1078+CW1078</f>
        <v>1322.6725188231999</v>
      </c>
      <c r="CZ1078" s="524">
        <v>481</v>
      </c>
      <c r="DA1078" s="524">
        <v>758</v>
      </c>
      <c r="DB1078" s="397">
        <f>CZ1078+DA1078</f>
        <v>1239</v>
      </c>
      <c r="DD1078" s="524">
        <v>682</v>
      </c>
      <c r="DE1078" s="524">
        <v>643</v>
      </c>
      <c r="DF1078" s="397">
        <f>DD1078+DE1078</f>
        <v>1325</v>
      </c>
      <c r="DH1078" s="397">
        <f>+DH1076*DH1077</f>
        <v>589.895481195</v>
      </c>
      <c r="DI1078" s="397">
        <f>+DI1076*DI1077</f>
        <v>701.95674318166164</v>
      </c>
      <c r="DJ1078" s="397">
        <f>DH1078+DI1078</f>
        <v>1291.8522243766615</v>
      </c>
      <c r="DL1078" s="397">
        <f>+DL1076*DL1077</f>
        <v>652.4253175130109</v>
      </c>
      <c r="DM1078" s="397">
        <f>+DM1076*DM1077</f>
        <v>752.65872140933311</v>
      </c>
      <c r="DN1078" s="397">
        <f>DL1078+DM1078</f>
        <v>1405.084038922344</v>
      </c>
      <c r="DP1078" s="397">
        <f>+DP1076*DP1077</f>
        <v>676.7150036149086</v>
      </c>
      <c r="DQ1078" s="397">
        <f>+DQ1076*DQ1077</f>
        <v>791.40679818895762</v>
      </c>
      <c r="DR1078" s="397">
        <f>DP1078+DQ1078</f>
        <v>1468.1218018038662</v>
      </c>
      <c r="DT1078" s="1"/>
      <c r="DU1078" s="1"/>
      <c r="DV1078" s="1"/>
      <c r="DW1078" s="1"/>
      <c r="DX1078" s="1"/>
      <c r="DY1078" s="1"/>
      <c r="DZ1078" s="1"/>
      <c r="EA1078" s="1"/>
      <c r="EB1078" s="1"/>
      <c r="EC1078" s="1"/>
      <c r="ED1078" s="1"/>
      <c r="EE1078" s="1"/>
      <c r="EF1078" s="1"/>
      <c r="EG1078" s="1"/>
      <c r="EH1078" s="1"/>
      <c r="EI1078" s="1"/>
      <c r="EJ1078" s="1"/>
      <c r="EK1078" s="1"/>
      <c r="EL1078" s="1"/>
      <c r="EM1078" s="1"/>
      <c r="EN1078" s="1"/>
      <c r="EO1078" s="1"/>
      <c r="EP1078" s="1"/>
      <c r="EQ1078" s="1"/>
      <c r="ER1078" s="1"/>
      <c r="ES1078" s="1"/>
      <c r="ET1078" s="1"/>
      <c r="EU1078" s="1"/>
      <c r="EV1078" s="1"/>
      <c r="EW1078" s="1"/>
      <c r="EX1078" s="1"/>
      <c r="EY1078" s="1"/>
      <c r="EZ1078" s="1"/>
      <c r="FA1078" s="1"/>
      <c r="FB1078" s="1"/>
      <c r="FC1078" s="1"/>
      <c r="FD1078" s="1"/>
      <c r="FE1078" s="1"/>
      <c r="FF1078" s="1"/>
      <c r="FG1078" s="1"/>
      <c r="FH1078" s="1"/>
      <c r="FI1078" s="1"/>
      <c r="FJ1078" s="1"/>
      <c r="FK1078" s="1"/>
      <c r="FL1078" s="1"/>
      <c r="FM1078" s="1"/>
      <c r="FN1078" s="1"/>
      <c r="FO1078" s="1"/>
      <c r="FP1078" s="1"/>
      <c r="FQ1078" s="1"/>
      <c r="FR1078" s="1"/>
      <c r="FS1078" s="1"/>
      <c r="FT1078" s="1"/>
      <c r="FU1078" s="1"/>
      <c r="FV1078" s="1"/>
      <c r="FW1078" s="1"/>
      <c r="FX1078" s="1"/>
      <c r="FY1078" s="1"/>
      <c r="FZ1078" s="1"/>
      <c r="GA1078" s="1"/>
      <c r="GB1078" s="1"/>
      <c r="GC1078" s="1"/>
      <c r="GD1078" s="1"/>
      <c r="GE1078" s="1"/>
      <c r="GF1078" s="1"/>
      <c r="GG1078" s="1"/>
      <c r="GH1078" s="1"/>
      <c r="GI1078" s="1"/>
      <c r="GJ1078" s="1"/>
      <c r="GK1078" s="1"/>
      <c r="GL1078" s="1"/>
      <c r="GM1078" s="1"/>
      <c r="GN1078" s="1"/>
      <c r="GO1078" s="1"/>
      <c r="GP1078" s="1"/>
      <c r="GQ1078" s="1"/>
      <c r="GR1078" s="1"/>
      <c r="GS1078" s="1"/>
      <c r="GT1078" s="1"/>
      <c r="GU1078" s="1"/>
      <c r="GV1078" s="1"/>
      <c r="GW1078" s="1"/>
      <c r="GX1078" s="1"/>
      <c r="GY1078" s="1"/>
      <c r="GZ1078" s="1"/>
      <c r="HA1078" s="1"/>
      <c r="HB1078" s="1"/>
      <c r="HC1078" s="1"/>
      <c r="HD1078" s="1"/>
      <c r="HE1078" s="1"/>
      <c r="HF1078" s="1"/>
      <c r="HG1078" s="1"/>
      <c r="HH1078" s="1"/>
      <c r="HI1078" s="1"/>
      <c r="HJ1078" s="1"/>
      <c r="HK1078" s="1"/>
      <c r="HL1078" s="1"/>
      <c r="HM1078" s="1"/>
      <c r="HN1078" s="1"/>
      <c r="HO1078" s="1"/>
      <c r="HP1078" s="1"/>
      <c r="HQ1078" s="1"/>
      <c r="HR1078" s="1"/>
      <c r="HS1078" s="1"/>
      <c r="HT1078" s="1"/>
      <c r="HU1078" s="1"/>
      <c r="HV1078" s="1"/>
      <c r="HW1078" s="1"/>
      <c r="HX1078" s="1"/>
      <c r="HY1078" s="1"/>
      <c r="HZ1078" s="1"/>
      <c r="IA1078" s="1"/>
      <c r="IB1078" s="1"/>
      <c r="IC1078" s="1"/>
      <c r="ID1078" s="1"/>
      <c r="IE1078" s="1"/>
      <c r="IF1078" s="1"/>
      <c r="IG1078" s="1"/>
      <c r="IH1078" s="1"/>
      <c r="II1078" s="1"/>
      <c r="IJ1078" s="1"/>
      <c r="IK1078" s="1"/>
      <c r="IL1078" s="1"/>
      <c r="IM1078" s="1"/>
      <c r="IN1078" s="1"/>
      <c r="IO1078" s="1"/>
      <c r="IP1078" s="1"/>
      <c r="IQ1078" s="1"/>
      <c r="IR1078" s="1"/>
      <c r="IS1078" s="1"/>
      <c r="IT1078" s="1"/>
      <c r="IU1078" s="1"/>
      <c r="IV1078" s="1"/>
      <c r="IW1078" s="1"/>
      <c r="IX1078" s="1"/>
      <c r="IY1078" s="1"/>
      <c r="IZ1078" s="1"/>
      <c r="JA1078" s="1"/>
      <c r="JB1078" s="1"/>
      <c r="JC1078" s="1"/>
      <c r="JD1078" s="1"/>
    </row>
    <row r="1079" spans="1:264" s="347" customFormat="1" x14ac:dyDescent="0.2">
      <c r="A1079" s="463" t="s">
        <v>732</v>
      </c>
      <c r="B1079" s="466"/>
      <c r="C1079" s="463"/>
      <c r="D1079" s="463"/>
      <c r="E1079" s="463"/>
      <c r="F1079" s="463"/>
      <c r="G1079" s="463"/>
      <c r="H1079" s="463"/>
      <c r="I1079" s="463"/>
      <c r="J1079" s="463"/>
      <c r="K1079" s="463"/>
      <c r="L1079" s="463"/>
      <c r="M1079" s="463"/>
      <c r="N1079" s="463"/>
      <c r="O1079" s="463"/>
      <c r="P1079" s="463"/>
      <c r="Q1079" s="463"/>
      <c r="R1079" s="463"/>
      <c r="S1079" s="463"/>
      <c r="T1079" s="463"/>
      <c r="U1079" s="463"/>
      <c r="V1079" s="463"/>
      <c r="W1079" s="463"/>
      <c r="X1079" s="463"/>
      <c r="Y1079" s="463"/>
      <c r="Z1079" s="463"/>
      <c r="AA1079" s="463"/>
      <c r="AB1079" s="463"/>
      <c r="AC1079" s="463"/>
      <c r="AD1079" s="463"/>
      <c r="AE1079" s="463"/>
      <c r="AF1079" s="463"/>
      <c r="AG1079" s="463"/>
      <c r="AH1079" s="463"/>
      <c r="AI1079" s="463"/>
      <c r="AJ1079" s="463"/>
      <c r="AK1079" s="463"/>
      <c r="AL1079" s="463"/>
      <c r="AM1079" s="463"/>
      <c r="AN1079" s="463"/>
      <c r="AO1079" s="463"/>
      <c r="AP1079" s="463"/>
      <c r="AQ1079" s="463"/>
      <c r="AR1079" s="463"/>
      <c r="AS1079" s="463"/>
      <c r="AT1079" s="463"/>
      <c r="AU1079" s="463"/>
      <c r="AV1079" s="463"/>
      <c r="AW1079" s="463"/>
      <c r="AX1079" s="463"/>
      <c r="AY1079" s="463"/>
      <c r="AZ1079" s="463"/>
      <c r="BA1079" s="463"/>
      <c r="BB1079" s="463"/>
      <c r="BC1079" s="463"/>
      <c r="BD1079" s="757">
        <v>48.81</v>
      </c>
      <c r="BE1079" s="757">
        <v>54.54</v>
      </c>
      <c r="BF1079" s="463"/>
      <c r="BG1079" s="463"/>
      <c r="BH1079" s="757">
        <v>68.760000000000005</v>
      </c>
      <c r="BI1079" s="757">
        <v>73.42</v>
      </c>
      <c r="BJ1079" s="466"/>
      <c r="BK1079" s="466"/>
      <c r="BL1079" s="758">
        <f>BL1078/BL1080</f>
        <v>75.285643504880198</v>
      </c>
      <c r="BM1079" s="759">
        <v>80.39</v>
      </c>
      <c r="BN1079" s="466"/>
      <c r="BO1079" s="760"/>
      <c r="BP1079" s="761">
        <v>91.26</v>
      </c>
      <c r="BQ1079" s="759">
        <v>74.75</v>
      </c>
      <c r="BR1079" s="760"/>
      <c r="BS1079" s="760"/>
      <c r="BT1079" s="761">
        <v>72.66</v>
      </c>
      <c r="BU1079" s="759">
        <v>72.95</v>
      </c>
      <c r="BV1079" s="760"/>
      <c r="BW1079" s="760"/>
      <c r="BX1079" s="762">
        <v>83.21</v>
      </c>
      <c r="BY1079" s="761">
        <v>75.73</v>
      </c>
      <c r="BZ1079" s="760"/>
      <c r="CA1079" s="760"/>
      <c r="CB1079" s="762">
        <v>75.38</v>
      </c>
      <c r="CC1079" s="761">
        <v>72.05</v>
      </c>
      <c r="CD1079" s="760"/>
      <c r="CE1079" s="760"/>
      <c r="CF1079" s="761">
        <v>73.209999999999994</v>
      </c>
      <c r="CG1079" s="761">
        <v>78.61</v>
      </c>
      <c r="CH1079" s="760"/>
      <c r="CI1079" s="760"/>
      <c r="CJ1079" s="761">
        <v>73.37</v>
      </c>
      <c r="CK1079" s="761">
        <v>68.53</v>
      </c>
      <c r="CL1079" s="760"/>
      <c r="CM1079" s="760"/>
      <c r="CN1079" s="761">
        <v>85.25</v>
      </c>
      <c r="CO1079" s="761">
        <v>101</v>
      </c>
      <c r="CP1079" s="760"/>
      <c r="CQ1079" s="760"/>
      <c r="CR1079" s="762">
        <v>97.95</v>
      </c>
      <c r="CS1079" s="762">
        <v>96.44</v>
      </c>
      <c r="CT1079" s="760"/>
      <c r="CU1079" s="760"/>
      <c r="CV1079" s="762">
        <v>97.37</v>
      </c>
      <c r="CW1079" s="762">
        <v>101.1</v>
      </c>
      <c r="CX1079" s="760"/>
      <c r="CY1079" s="760"/>
      <c r="CZ1079" s="762">
        <v>117.19</v>
      </c>
      <c r="DA1079" s="762">
        <v>141.5</v>
      </c>
      <c r="DB1079" s="760"/>
      <c r="DC1079" s="760"/>
      <c r="DD1079" s="762">
        <v>149.88999999999999</v>
      </c>
      <c r="DE1079" s="762">
        <v>168.6</v>
      </c>
      <c r="DF1079" s="760"/>
      <c r="DG1079" s="760"/>
      <c r="DH1079" s="1515">
        <v>170</v>
      </c>
      <c r="DI1079" s="760">
        <f>DH1079*(1+8.5%)^0.5</f>
        <v>177.07766657599709</v>
      </c>
      <c r="DJ1079" s="760"/>
      <c r="DK1079" s="760"/>
      <c r="DL1079" s="760">
        <f>DI1079*(1+8.5%)^0.5</f>
        <v>184.45</v>
      </c>
      <c r="DM1079" s="760">
        <f>DL1079*(1+8.5%)^0.5</f>
        <v>192.12926823495684</v>
      </c>
      <c r="DN1079" s="760"/>
      <c r="DO1079" s="760"/>
      <c r="DP1079" s="760">
        <f>DM1079*(1+8.5%)^0.5</f>
        <v>200.12824999999998</v>
      </c>
      <c r="DQ1079" s="760">
        <f>DP1079*(1+8.5%)^0.5</f>
        <v>208.46025603492816</v>
      </c>
      <c r="DR1079" s="760"/>
      <c r="DS1079" s="760"/>
      <c r="DT1079" s="1"/>
      <c r="DU1079" s="1"/>
      <c r="DV1079" s="1"/>
      <c r="DW1079" s="1"/>
      <c r="DX1079" s="1"/>
      <c r="DY1079" s="1"/>
      <c r="DZ1079" s="1"/>
      <c r="EA1079" s="1"/>
      <c r="EB1079" s="1"/>
      <c r="EC1079" s="1"/>
      <c r="ED1079" s="1"/>
      <c r="EE1079" s="1"/>
      <c r="EF1079" s="1"/>
      <c r="EG1079" s="1"/>
      <c r="EH1079" s="1"/>
      <c r="EI1079" s="1"/>
      <c r="EJ1079" s="1"/>
      <c r="EK1079" s="1"/>
      <c r="EL1079" s="1"/>
      <c r="EM1079" s="1"/>
      <c r="EN1079" s="1"/>
      <c r="EO1079" s="1"/>
      <c r="EP1079" s="1"/>
      <c r="EQ1079" s="1"/>
      <c r="ER1079" s="1"/>
      <c r="ES1079" s="1"/>
      <c r="ET1079" s="1"/>
      <c r="EU1079" s="1"/>
      <c r="EV1079" s="1"/>
      <c r="EW1079" s="1"/>
      <c r="EX1079" s="1"/>
      <c r="EY1079" s="1"/>
      <c r="EZ1079" s="1"/>
      <c r="FA1079" s="1"/>
      <c r="FB1079" s="1"/>
      <c r="FC1079" s="1"/>
      <c r="FD1079" s="1"/>
      <c r="FE1079" s="1"/>
      <c r="FF1079" s="1"/>
      <c r="FG1079" s="1"/>
      <c r="FH1079" s="1"/>
      <c r="FI1079" s="1"/>
      <c r="FJ1079" s="1"/>
      <c r="FK1079" s="1"/>
      <c r="FL1079" s="1"/>
      <c r="FM1079" s="1"/>
      <c r="FN1079" s="1"/>
      <c r="FO1079" s="1"/>
      <c r="FP1079" s="1"/>
      <c r="FQ1079" s="1"/>
      <c r="FR1079" s="1"/>
      <c r="FS1079" s="1"/>
      <c r="FT1079" s="1"/>
      <c r="FU1079" s="1"/>
      <c r="FV1079" s="1"/>
      <c r="FW1079" s="1"/>
      <c r="FX1079" s="1"/>
      <c r="FY1079" s="1"/>
      <c r="FZ1079" s="1"/>
      <c r="GA1079" s="1"/>
      <c r="GB1079" s="1"/>
      <c r="GC1079" s="1"/>
      <c r="GD1079" s="1"/>
      <c r="GE1079" s="1"/>
      <c r="GF1079" s="1"/>
      <c r="GG1079" s="1"/>
      <c r="GH1079" s="1"/>
      <c r="GI1079" s="1"/>
      <c r="GJ1079" s="1"/>
      <c r="GK1079" s="1"/>
      <c r="GL1079" s="1"/>
      <c r="GM1079" s="1"/>
      <c r="GN1079" s="1"/>
      <c r="GO1079" s="1"/>
      <c r="GP1079" s="1"/>
      <c r="GQ1079" s="1"/>
      <c r="GR1079" s="1"/>
      <c r="GS1079" s="1"/>
      <c r="GT1079" s="1"/>
      <c r="GU1079" s="1"/>
      <c r="GV1079" s="1"/>
      <c r="GW1079" s="1"/>
      <c r="GX1079" s="1"/>
      <c r="GY1079" s="1"/>
      <c r="GZ1079" s="1"/>
      <c r="HA1079" s="1"/>
      <c r="HB1079" s="1"/>
      <c r="HC1079" s="1"/>
      <c r="HD1079" s="1"/>
      <c r="HE1079" s="1"/>
      <c r="HF1079" s="1"/>
      <c r="HG1079" s="1"/>
      <c r="HH1079" s="1"/>
      <c r="HI1079" s="1"/>
      <c r="HJ1079" s="1"/>
      <c r="HK1079" s="1"/>
      <c r="HL1079" s="1"/>
      <c r="HM1079" s="1"/>
      <c r="HN1079" s="1"/>
      <c r="HO1079" s="1"/>
      <c r="HP1079" s="1"/>
      <c r="HQ1079" s="1"/>
      <c r="HR1079" s="1"/>
      <c r="HS1079" s="1"/>
      <c r="HT1079" s="1"/>
      <c r="HU1079" s="1"/>
      <c r="HV1079" s="1"/>
      <c r="HW1079" s="1"/>
      <c r="HX1079" s="1"/>
      <c r="HY1079" s="1"/>
      <c r="HZ1079" s="1"/>
      <c r="IA1079" s="1"/>
      <c r="IB1079" s="1"/>
      <c r="IC1079" s="1"/>
      <c r="ID1079" s="1"/>
      <c r="IE1079" s="1"/>
      <c r="IF1079" s="1"/>
      <c r="IG1079" s="1"/>
      <c r="IH1079" s="1"/>
      <c r="II1079" s="1"/>
      <c r="IJ1079" s="1"/>
      <c r="IK1079" s="1"/>
      <c r="IL1079" s="1"/>
      <c r="IM1079" s="1"/>
      <c r="IN1079" s="1"/>
      <c r="IO1079" s="1"/>
      <c r="IP1079" s="1"/>
      <c r="IQ1079" s="1"/>
      <c r="IR1079" s="1"/>
      <c r="IS1079" s="1"/>
      <c r="IT1079" s="1"/>
      <c r="IU1079" s="1"/>
      <c r="IV1079" s="1"/>
      <c r="IW1079" s="1"/>
      <c r="IX1079" s="1"/>
      <c r="IY1079" s="1"/>
      <c r="IZ1079" s="1"/>
      <c r="JA1079" s="1"/>
      <c r="JB1079" s="1"/>
      <c r="JC1079" s="1"/>
      <c r="JD1079" s="1"/>
    </row>
    <row r="1080" spans="1:264" s="411" customFormat="1" x14ac:dyDescent="0.2">
      <c r="A1080" s="411" t="s">
        <v>733</v>
      </c>
      <c r="B1080" s="423"/>
      <c r="BD1080" s="724">
        <v>10.874186999999999</v>
      </c>
      <c r="BE1080" s="724">
        <v>17.026060999999999</v>
      </c>
      <c r="BH1080" s="724">
        <v>8.6623889999999992</v>
      </c>
      <c r="BI1080" s="725">
        <f>+BI1078/BI1079</f>
        <v>9.8357956759466081</v>
      </c>
      <c r="BJ1080" s="423"/>
      <c r="BK1080" s="423"/>
      <c r="BL1080" s="725">
        <f>BM995</f>
        <v>9.3903580000000009</v>
      </c>
      <c r="BM1080" s="725">
        <f>+BM1078/BM1079</f>
        <v>8.7625455341952474</v>
      </c>
      <c r="BN1080" s="423"/>
      <c r="BO1080" s="423"/>
      <c r="BP1080" s="724">
        <v>6.2735190000000003</v>
      </c>
      <c r="BQ1080" s="724">
        <v>8.790794</v>
      </c>
      <c r="BT1080" s="763">
        <v>7.5974630000000003</v>
      </c>
      <c r="BU1080" s="763">
        <v>8.0363319999999998</v>
      </c>
      <c r="BW1080" s="764"/>
      <c r="BX1080" s="763">
        <v>6.6896519999999997</v>
      </c>
      <c r="BY1080" s="763">
        <v>20.772432999999999</v>
      </c>
      <c r="CB1080" s="763">
        <v>7.1147320000000001</v>
      </c>
      <c r="CC1080" s="763">
        <v>10.4</v>
      </c>
      <c r="CF1080" s="763">
        <v>8.0855580000000007</v>
      </c>
      <c r="CG1080" s="763">
        <v>7.8102850000000004</v>
      </c>
      <c r="CJ1080" s="763">
        <v>7.0803630000000002</v>
      </c>
      <c r="CK1080" s="763">
        <v>3.856903</v>
      </c>
      <c r="CN1080" s="763">
        <v>4.8696339999999996</v>
      </c>
      <c r="CO1080" s="725">
        <f>+CO1078/CO1079</f>
        <v>5.6560301388118814</v>
      </c>
      <c r="CR1080" s="725">
        <f>+CR1078/CR1079</f>
        <v>5.1065445495597244</v>
      </c>
      <c r="CS1080" s="725">
        <f>+CS1078/CS1079</f>
        <v>6.1875727808399006</v>
      </c>
      <c r="CV1080" s="725">
        <f>+CV1078/CV1079</f>
        <v>6.1176185562616823</v>
      </c>
      <c r="CW1080" s="725">
        <f>+CW1078/CW1079</f>
        <v>7.1909000989119685</v>
      </c>
      <c r="CZ1080" s="725">
        <f>+CZ1078/CZ1079</f>
        <v>4.1044457718235341</v>
      </c>
      <c r="DA1080" s="725">
        <f>+DA1078/DA1079</f>
        <v>5.3568904593639575</v>
      </c>
      <c r="DD1080" s="725">
        <f>+DD1078/DD1079</f>
        <v>4.5500033357795724</v>
      </c>
      <c r="DE1080" s="725">
        <f>+DE1078/DE1079</f>
        <v>3.8137603795966788</v>
      </c>
      <c r="DH1080" s="725">
        <f>+DH1078/DH1079</f>
        <v>3.4699734187941176</v>
      </c>
      <c r="DI1080" s="725">
        <f>+DI1078/DI1079</f>
        <v>3.9641178741216372</v>
      </c>
      <c r="DL1080" s="725">
        <f>+DL1078/DL1079</f>
        <v>3.5371391570236428</v>
      </c>
      <c r="DM1080" s="725">
        <f>+DM1078/DM1079</f>
        <v>3.9174599909936632</v>
      </c>
      <c r="DP1080" s="725">
        <f>+DP1078/DP1079</f>
        <v>3.3814066910339178</v>
      </c>
      <c r="DQ1080" s="725">
        <f>+DQ1078/DQ1079</f>
        <v>3.7964397302493715</v>
      </c>
      <c r="DT1080" s="1"/>
      <c r="DU1080" s="1"/>
      <c r="DV1080" s="1"/>
      <c r="DW1080" s="1"/>
      <c r="DX1080" s="1"/>
      <c r="DY1080" s="1"/>
      <c r="DZ1080" s="1"/>
      <c r="EA1080" s="1"/>
      <c r="EB1080" s="1"/>
      <c r="EC1080" s="1"/>
      <c r="ED1080" s="1"/>
      <c r="EE1080" s="1"/>
      <c r="EF1080" s="1"/>
      <c r="EG1080" s="1"/>
      <c r="EH1080" s="1"/>
      <c r="EI1080" s="1"/>
      <c r="EJ1080" s="1"/>
      <c r="EK1080" s="1"/>
      <c r="EL1080" s="1"/>
      <c r="EM1080" s="1"/>
      <c r="EN1080" s="1"/>
      <c r="EO1080" s="1"/>
      <c r="EP1080" s="1"/>
      <c r="EQ1080" s="1"/>
      <c r="ER1080" s="1"/>
      <c r="ES1080" s="1"/>
      <c r="ET1080" s="1"/>
      <c r="EU1080" s="1"/>
      <c r="EV1080" s="1"/>
      <c r="EW1080" s="1"/>
      <c r="EX1080" s="1"/>
      <c r="EY1080" s="1"/>
      <c r="EZ1080" s="1"/>
      <c r="FA1080" s="1"/>
      <c r="FB1080" s="1"/>
      <c r="FC1080" s="1"/>
      <c r="FD1080" s="1"/>
      <c r="FE1080" s="1"/>
      <c r="FF1080" s="1"/>
      <c r="FG1080" s="1"/>
      <c r="FH1080" s="1"/>
      <c r="FI1080" s="1"/>
      <c r="FJ1080" s="1"/>
      <c r="FK1080" s="1"/>
      <c r="FL1080" s="1"/>
      <c r="FM1080" s="1"/>
      <c r="FN1080" s="1"/>
      <c r="FO1080" s="1"/>
      <c r="FP1080" s="1"/>
      <c r="FQ1080" s="1"/>
      <c r="FR1080" s="1"/>
      <c r="FS1080" s="1"/>
      <c r="FT1080" s="1"/>
      <c r="FU1080" s="1"/>
      <c r="FV1080" s="1"/>
      <c r="FW1080" s="1"/>
      <c r="FX1080" s="1"/>
      <c r="FY1080" s="1"/>
      <c r="FZ1080" s="1"/>
      <c r="GA1080" s="1"/>
      <c r="GB1080" s="1"/>
      <c r="GC1080" s="1"/>
      <c r="GD1080" s="1"/>
      <c r="GE1080" s="1"/>
      <c r="GF1080" s="1"/>
      <c r="GG1080" s="1"/>
      <c r="GH1080" s="1"/>
      <c r="GI1080" s="1"/>
      <c r="GJ1080" s="1"/>
      <c r="GK1080" s="1"/>
      <c r="GL1080" s="1"/>
      <c r="GM1080" s="1"/>
      <c r="GN1080" s="1"/>
      <c r="GO1080" s="1"/>
      <c r="GP1080" s="1"/>
      <c r="GQ1080" s="1"/>
      <c r="GR1080" s="1"/>
      <c r="GS1080" s="1"/>
      <c r="GT1080" s="1"/>
      <c r="GU1080" s="1"/>
      <c r="GV1080" s="1"/>
      <c r="GW1080" s="1"/>
      <c r="GX1080" s="1"/>
      <c r="GY1080" s="1"/>
      <c r="GZ1080" s="1"/>
      <c r="HA1080" s="1"/>
      <c r="HB1080" s="1"/>
      <c r="HC1080" s="1"/>
      <c r="HD1080" s="1"/>
      <c r="HE1080" s="1"/>
      <c r="HF1080" s="1"/>
      <c r="HG1080" s="1"/>
      <c r="HH1080" s="1"/>
      <c r="HI1080" s="1"/>
      <c r="HJ1080" s="1"/>
      <c r="HK1080" s="1"/>
      <c r="HL1080" s="1"/>
      <c r="HM1080" s="1"/>
      <c r="HN1080" s="1"/>
      <c r="HO1080" s="1"/>
      <c r="HP1080" s="1"/>
      <c r="HQ1080" s="1"/>
      <c r="HR1080" s="1"/>
      <c r="HS1080" s="1"/>
      <c r="HT1080" s="1"/>
      <c r="HU1080" s="1"/>
      <c r="HV1080" s="1"/>
      <c r="HW1080" s="1"/>
      <c r="HX1080" s="1"/>
      <c r="HY1080" s="1"/>
      <c r="HZ1080" s="1"/>
      <c r="IA1080" s="1"/>
      <c r="IB1080" s="1"/>
      <c r="IC1080" s="1"/>
      <c r="ID1080" s="1"/>
      <c r="IE1080" s="1"/>
      <c r="IF1080" s="1"/>
      <c r="IG1080" s="1"/>
      <c r="IH1080" s="1"/>
      <c r="II1080" s="1"/>
      <c r="IJ1080" s="1"/>
      <c r="IK1080" s="1"/>
      <c r="IL1080" s="1"/>
      <c r="IM1080" s="1"/>
      <c r="IN1080" s="1"/>
      <c r="IO1080" s="1"/>
      <c r="IP1080" s="1"/>
      <c r="IQ1080" s="1"/>
      <c r="IR1080" s="1"/>
      <c r="IS1080" s="1"/>
      <c r="IT1080" s="1"/>
      <c r="IU1080" s="1"/>
      <c r="IV1080" s="1"/>
      <c r="IW1080" s="1"/>
      <c r="IX1080" s="1"/>
      <c r="IY1080" s="1"/>
      <c r="IZ1080" s="1"/>
      <c r="JA1080" s="1"/>
      <c r="JB1080" s="1"/>
      <c r="JC1080" s="1"/>
      <c r="JD1080" s="1"/>
    </row>
    <row r="1081" spans="1:264" s="347" customFormat="1" x14ac:dyDescent="0.2">
      <c r="A1081" s="463" t="s">
        <v>734</v>
      </c>
      <c r="B1081" s="466"/>
      <c r="C1081" s="463"/>
      <c r="D1081" s="463"/>
      <c r="E1081" s="463"/>
      <c r="F1081" s="463"/>
      <c r="G1081" s="463"/>
      <c r="H1081" s="463"/>
      <c r="I1081" s="463"/>
      <c r="J1081" s="463"/>
      <c r="K1081" s="463"/>
      <c r="L1081" s="463"/>
      <c r="M1081" s="463"/>
      <c r="N1081" s="463"/>
      <c r="O1081" s="463"/>
      <c r="P1081" s="463"/>
      <c r="Q1081" s="463"/>
      <c r="R1081" s="463"/>
      <c r="S1081" s="463"/>
      <c r="T1081" s="463"/>
      <c r="U1081" s="463"/>
      <c r="V1081" s="463"/>
      <c r="W1081" s="463"/>
      <c r="X1081" s="463"/>
      <c r="Y1081" s="463"/>
      <c r="Z1081" s="463"/>
      <c r="AA1081" s="463"/>
      <c r="AB1081" s="463"/>
      <c r="AC1081" s="463"/>
      <c r="AD1081" s="463"/>
      <c r="AE1081" s="463"/>
      <c r="AF1081" s="463"/>
      <c r="AG1081" s="463"/>
      <c r="AH1081" s="463"/>
      <c r="AI1081" s="463"/>
      <c r="AJ1081" s="463"/>
      <c r="AK1081" s="463"/>
      <c r="AL1081" s="463"/>
      <c r="AM1081" s="463"/>
      <c r="AN1081" s="463"/>
      <c r="AO1081" s="463"/>
      <c r="AP1081" s="463"/>
      <c r="AQ1081" s="463"/>
      <c r="AR1081" s="463"/>
      <c r="AS1081" s="463"/>
      <c r="AT1081" s="463"/>
      <c r="AU1081" s="463"/>
      <c r="AV1081" s="463"/>
      <c r="AW1081" s="463"/>
      <c r="AX1081" s="463"/>
      <c r="AY1081" s="463"/>
      <c r="AZ1081" s="463"/>
      <c r="BA1081" s="463"/>
      <c r="BB1081" s="463"/>
      <c r="BC1081" s="463"/>
      <c r="BD1081" s="739">
        <v>0</v>
      </c>
      <c r="BE1081" s="739">
        <v>0</v>
      </c>
      <c r="BF1081" s="463"/>
      <c r="BG1081" s="463"/>
      <c r="BH1081" s="739">
        <v>1</v>
      </c>
      <c r="BI1081" s="739">
        <v>1</v>
      </c>
      <c r="BJ1081" s="466"/>
      <c r="BK1081" s="466"/>
      <c r="BL1081" s="739">
        <v>0</v>
      </c>
      <c r="BM1081" s="739">
        <v>1</v>
      </c>
      <c r="BN1081" s="466"/>
      <c r="BO1081" s="466"/>
      <c r="BP1081" s="739">
        <v>0</v>
      </c>
      <c r="BQ1081" s="739">
        <v>0</v>
      </c>
      <c r="BR1081" s="521"/>
      <c r="BS1081" s="521"/>
      <c r="BT1081" s="739">
        <v>0</v>
      </c>
      <c r="BU1081" s="739">
        <v>0</v>
      </c>
      <c r="BV1081" s="521"/>
      <c r="BW1081" s="521"/>
      <c r="BX1081" s="765">
        <v>0</v>
      </c>
      <c r="BY1081" s="765">
        <v>0</v>
      </c>
      <c r="BZ1081" s="521"/>
      <c r="CA1081" s="521"/>
      <c r="CB1081" s="765">
        <v>0</v>
      </c>
      <c r="CC1081" s="765">
        <v>0</v>
      </c>
      <c r="CD1081" s="521"/>
      <c r="CE1081" s="521"/>
      <c r="CF1081" s="765">
        <v>1</v>
      </c>
      <c r="CG1081" s="765">
        <v>1</v>
      </c>
      <c r="CH1081" s="521"/>
      <c r="CI1081" s="521"/>
      <c r="CJ1081" s="765">
        <v>1</v>
      </c>
      <c r="CK1081" s="765">
        <v>0</v>
      </c>
      <c r="CL1081" s="521"/>
      <c r="CM1081" s="521"/>
      <c r="CN1081" s="765">
        <v>1</v>
      </c>
      <c r="CO1081" s="765">
        <v>1</v>
      </c>
      <c r="CP1081" s="521"/>
      <c r="CQ1081" s="521"/>
      <c r="CR1081" s="766">
        <v>1</v>
      </c>
      <c r="CS1081" s="766">
        <v>1</v>
      </c>
      <c r="CT1081" s="521"/>
      <c r="CU1081" s="521"/>
      <c r="CV1081" s="766">
        <v>1</v>
      </c>
      <c r="CW1081" s="766">
        <v>1</v>
      </c>
      <c r="CX1081" s="521"/>
      <c r="CY1081" s="521"/>
      <c r="CZ1081" s="766">
        <v>1</v>
      </c>
      <c r="DA1081" s="766">
        <v>1</v>
      </c>
      <c r="DB1081" s="521"/>
      <c r="DC1081" s="521"/>
      <c r="DD1081" s="766">
        <v>1</v>
      </c>
      <c r="DE1081" s="766">
        <v>1</v>
      </c>
      <c r="DF1081" s="521"/>
      <c r="DG1081" s="521"/>
      <c r="DH1081" s="765">
        <v>1</v>
      </c>
      <c r="DI1081" s="765">
        <v>1</v>
      </c>
      <c r="DJ1081" s="521"/>
      <c r="DK1081" s="521"/>
      <c r="DL1081" s="765">
        <v>1</v>
      </c>
      <c r="DM1081" s="765">
        <v>1</v>
      </c>
      <c r="DN1081" s="521"/>
      <c r="DO1081" s="521"/>
      <c r="DP1081" s="765">
        <v>1</v>
      </c>
      <c r="DQ1081" s="765">
        <v>1</v>
      </c>
      <c r="DR1081" s="521"/>
      <c r="DS1081" s="521"/>
      <c r="DT1081" s="1"/>
      <c r="DU1081" s="1"/>
      <c r="DV1081" s="1"/>
      <c r="DW1081" s="1"/>
      <c r="DX1081" s="1"/>
      <c r="DY1081" s="1"/>
      <c r="DZ1081" s="1"/>
      <c r="EA1081" s="1"/>
      <c r="EB1081" s="1"/>
      <c r="EC1081" s="1"/>
      <c r="ED1081" s="1"/>
      <c r="EE1081" s="1"/>
      <c r="EF1081" s="1"/>
      <c r="EG1081" s="1"/>
      <c r="EH1081" s="1"/>
      <c r="EI1081" s="1"/>
      <c r="EJ1081" s="1"/>
      <c r="EK1081" s="1"/>
      <c r="EL1081" s="1"/>
      <c r="EM1081" s="1"/>
      <c r="EN1081" s="1"/>
      <c r="EO1081" s="1"/>
      <c r="EP1081" s="1"/>
      <c r="EQ1081" s="1"/>
      <c r="ER1081" s="1"/>
      <c r="ES1081" s="1"/>
      <c r="ET1081" s="1"/>
      <c r="EU1081" s="1"/>
      <c r="EV1081" s="1"/>
      <c r="EW1081" s="1"/>
      <c r="EX1081" s="1"/>
      <c r="EY1081" s="1"/>
      <c r="EZ1081" s="1"/>
      <c r="FA1081" s="1"/>
      <c r="FB1081" s="1"/>
      <c r="FC1081" s="1"/>
      <c r="FD1081" s="1"/>
      <c r="FE1081" s="1"/>
      <c r="FF1081" s="1"/>
      <c r="FG1081" s="1"/>
      <c r="FH1081" s="1"/>
      <c r="FI1081" s="1"/>
      <c r="FJ1081" s="1"/>
      <c r="FK1081" s="1"/>
      <c r="FL1081" s="1"/>
      <c r="FM1081" s="1"/>
      <c r="FN1081" s="1"/>
      <c r="FO1081" s="1"/>
      <c r="FP1081" s="1"/>
      <c r="FQ1081" s="1"/>
      <c r="FR1081" s="1"/>
      <c r="FS1081" s="1"/>
      <c r="FT1081" s="1"/>
      <c r="FU1081" s="1"/>
      <c r="FV1081" s="1"/>
      <c r="FW1081" s="1"/>
      <c r="FX1081" s="1"/>
      <c r="FY1081" s="1"/>
      <c r="FZ1081" s="1"/>
      <c r="GA1081" s="1"/>
      <c r="GB1081" s="1"/>
      <c r="GC1081" s="1"/>
      <c r="GD1081" s="1"/>
      <c r="GE1081" s="1"/>
      <c r="GF1081" s="1"/>
      <c r="GG1081" s="1"/>
      <c r="GH1081" s="1"/>
      <c r="GI1081" s="1"/>
      <c r="GJ1081" s="1"/>
      <c r="GK1081" s="1"/>
      <c r="GL1081" s="1"/>
      <c r="GM1081" s="1"/>
      <c r="GN1081" s="1"/>
      <c r="GO1081" s="1"/>
      <c r="GP1081" s="1"/>
      <c r="GQ1081" s="1"/>
      <c r="GR1081" s="1"/>
      <c r="GS1081" s="1"/>
      <c r="GT1081" s="1"/>
      <c r="GU1081" s="1"/>
      <c r="GV1081" s="1"/>
      <c r="GW1081" s="1"/>
      <c r="GX1081" s="1"/>
      <c r="GY1081" s="1"/>
      <c r="GZ1081" s="1"/>
      <c r="HA1081" s="1"/>
      <c r="HB1081" s="1"/>
      <c r="HC1081" s="1"/>
      <c r="HD1081" s="1"/>
      <c r="HE1081" s="1"/>
      <c r="HF1081" s="1"/>
      <c r="HG1081" s="1"/>
      <c r="HH1081" s="1"/>
      <c r="HI1081" s="1"/>
      <c r="HJ1081" s="1"/>
      <c r="HK1081" s="1"/>
      <c r="HL1081" s="1"/>
      <c r="HM1081" s="1"/>
      <c r="HN1081" s="1"/>
      <c r="HO1081" s="1"/>
      <c r="HP1081" s="1"/>
      <c r="HQ1081" s="1"/>
      <c r="HR1081" s="1"/>
      <c r="HS1081" s="1"/>
      <c r="HT1081" s="1"/>
      <c r="HU1081" s="1"/>
      <c r="HV1081" s="1"/>
      <c r="HW1081" s="1"/>
      <c r="HX1081" s="1"/>
      <c r="HY1081" s="1"/>
      <c r="HZ1081" s="1"/>
      <c r="IA1081" s="1"/>
      <c r="IB1081" s="1"/>
      <c r="IC1081" s="1"/>
      <c r="ID1081" s="1"/>
      <c r="IE1081" s="1"/>
      <c r="IF1081" s="1"/>
      <c r="IG1081" s="1"/>
      <c r="IH1081" s="1"/>
      <c r="II1081" s="1"/>
      <c r="IJ1081" s="1"/>
      <c r="IK1081" s="1"/>
      <c r="IL1081" s="1"/>
      <c r="IM1081" s="1"/>
      <c r="IN1081" s="1"/>
      <c r="IO1081" s="1"/>
      <c r="IP1081" s="1"/>
      <c r="IQ1081" s="1"/>
      <c r="IR1081" s="1"/>
      <c r="IS1081" s="1"/>
      <c r="IT1081" s="1"/>
      <c r="IU1081" s="1"/>
      <c r="IV1081" s="1"/>
      <c r="IW1081" s="1"/>
      <c r="IX1081" s="1"/>
      <c r="IY1081" s="1"/>
      <c r="IZ1081" s="1"/>
      <c r="JA1081" s="1"/>
      <c r="JB1081" s="1"/>
      <c r="JC1081" s="1"/>
      <c r="JD1081" s="1"/>
    </row>
    <row r="1082" spans="1:264" s="347" customFormat="1" x14ac:dyDescent="0.2">
      <c r="A1082" s="347" t="s">
        <v>735</v>
      </c>
      <c r="B1082" s="348"/>
      <c r="BD1082" s="351">
        <f>-BD1081*BD1078</f>
        <v>0</v>
      </c>
      <c r="BE1082" s="351">
        <f>-BE1081*BE1078</f>
        <v>0</v>
      </c>
      <c r="BH1082" s="351">
        <f>-BH1081*BH1078</f>
        <v>-595.62586764000002</v>
      </c>
      <c r="BI1082" s="351">
        <f>-BI1081*BI1078</f>
        <v>-722.14411852800004</v>
      </c>
      <c r="BJ1082" s="348"/>
      <c r="BK1082" s="348"/>
      <c r="BL1082" s="351">
        <f>-BL1081*BL1078</f>
        <v>0</v>
      </c>
      <c r="BM1082" s="351">
        <f>-BM1081*BM1078</f>
        <v>-704.42103549395597</v>
      </c>
      <c r="BN1082" s="348"/>
      <c r="BO1082" s="348"/>
      <c r="BP1082" s="351">
        <f>-BP1081*BP1078</f>
        <v>0</v>
      </c>
      <c r="BQ1082" s="351">
        <f>-BQ1081*BQ1078</f>
        <v>0</v>
      </c>
      <c r="BT1082" s="351">
        <f>-BT1081*BT1078</f>
        <v>0</v>
      </c>
      <c r="BU1082" s="351">
        <f>-BU1081*BU1078</f>
        <v>0</v>
      </c>
      <c r="BX1082" s="351">
        <f>-BX1081*BX1078</f>
        <v>0</v>
      </c>
      <c r="BY1082" s="351">
        <f>-BY1081*BY1078</f>
        <v>0</v>
      </c>
      <c r="CB1082" s="351">
        <f>-CB1081*CB1078</f>
        <v>0</v>
      </c>
      <c r="CC1082" s="351">
        <f>-CC1081*CC1078</f>
        <v>0</v>
      </c>
      <c r="CF1082" s="351">
        <f>-CF1081*CF1078</f>
        <v>-591.94370117999995</v>
      </c>
      <c r="CG1082" s="351">
        <f>-CG1081*CG1078</f>
        <v>-613.96650384999998</v>
      </c>
      <c r="CJ1082" s="351">
        <f>-CJ1081*CJ1078</f>
        <v>-519.4862333100001</v>
      </c>
      <c r="CK1082" s="351">
        <f>-CK1081*CK1078</f>
        <v>0</v>
      </c>
      <c r="CN1082" s="351">
        <f>-CN1081*CN1078</f>
        <v>-415.13629849999995</v>
      </c>
      <c r="CO1082" s="351">
        <f>-CO1081*CO1078</f>
        <v>-571.25904402000003</v>
      </c>
      <c r="CR1082" s="351">
        <f>-CR1081*CR1078</f>
        <v>-500.18603862937505</v>
      </c>
      <c r="CS1082" s="351">
        <f>-CS1081*CS1078</f>
        <v>-596.72951898420001</v>
      </c>
      <c r="CV1082" s="351">
        <f>-CV1081*CV1078</f>
        <v>-595.67251882319999</v>
      </c>
      <c r="CW1082" s="351">
        <f>-CW1081*CW1078</f>
        <v>-727</v>
      </c>
      <c r="CZ1082" s="351">
        <f>-CZ1081*CZ1078</f>
        <v>-481</v>
      </c>
      <c r="DA1082" s="351">
        <f>-DA1081*DA1078</f>
        <v>-758</v>
      </c>
      <c r="DD1082" s="351">
        <f>-DD1081*DD1078</f>
        <v>-682</v>
      </c>
      <c r="DE1082" s="351">
        <f>-DE1081*DE1078</f>
        <v>-643</v>
      </c>
      <c r="DH1082" s="351">
        <f>-DH1081*DH1078</f>
        <v>-589.895481195</v>
      </c>
      <c r="DI1082" s="351">
        <f>-DI1081*DI1078</f>
        <v>-701.95674318166164</v>
      </c>
      <c r="DL1082" s="351">
        <f>-DL1081*DL1078</f>
        <v>-652.4253175130109</v>
      </c>
      <c r="DM1082" s="351">
        <f>-DM1081*DM1078</f>
        <v>-752.65872140933311</v>
      </c>
      <c r="DP1082" s="351">
        <f>-DP1081*DP1078</f>
        <v>-676.7150036149086</v>
      </c>
      <c r="DQ1082" s="351">
        <f>-DQ1081*DQ1078</f>
        <v>-791.40679818895762</v>
      </c>
      <c r="DT1082" s="1"/>
      <c r="DU1082" s="1"/>
      <c r="DV1082" s="1"/>
      <c r="DW1082" s="1"/>
      <c r="DX1082" s="1"/>
      <c r="DY1082" s="1"/>
      <c r="DZ1082" s="1"/>
      <c r="EA1082" s="1"/>
      <c r="EB1082" s="1"/>
      <c r="EC1082" s="1"/>
      <c r="ED1082" s="1"/>
      <c r="EE1082" s="1"/>
      <c r="EF1082" s="1"/>
      <c r="EG1082" s="1"/>
      <c r="EH1082" s="1"/>
      <c r="EI1082" s="1"/>
      <c r="EJ1082" s="1"/>
      <c r="EK1082" s="1"/>
      <c r="EL1082" s="1"/>
      <c r="EM1082" s="1"/>
      <c r="EN1082" s="1"/>
      <c r="EO1082" s="1"/>
      <c r="EP1082" s="1"/>
      <c r="EQ1082" s="1"/>
      <c r="ER1082" s="1"/>
      <c r="ES1082" s="1"/>
      <c r="ET1082" s="1"/>
      <c r="EU1082" s="1"/>
      <c r="EV1082" s="1"/>
      <c r="EW1082" s="1"/>
      <c r="EX1082" s="1"/>
      <c r="EY1082" s="1"/>
      <c r="EZ1082" s="1"/>
      <c r="FA1082" s="1"/>
      <c r="FB1082" s="1"/>
      <c r="FC1082" s="1"/>
      <c r="FD1082" s="1"/>
      <c r="FE1082" s="1"/>
      <c r="FF1082" s="1"/>
      <c r="FG1082" s="1"/>
      <c r="FH1082" s="1"/>
      <c r="FI1082" s="1"/>
      <c r="FJ1082" s="1"/>
      <c r="FK1082" s="1"/>
      <c r="FL1082" s="1"/>
      <c r="FM1082" s="1"/>
      <c r="FN1082" s="1"/>
      <c r="FO1082" s="1"/>
      <c r="FP1082" s="1"/>
      <c r="FQ1082" s="1"/>
      <c r="FR1082" s="1"/>
      <c r="FS1082" s="1"/>
      <c r="FT1082" s="1"/>
      <c r="FU1082" s="1"/>
      <c r="FV1082" s="1"/>
      <c r="FW1082" s="1"/>
      <c r="FX1082" s="1"/>
      <c r="FY1082" s="1"/>
      <c r="FZ1082" s="1"/>
      <c r="GA1082" s="1"/>
      <c r="GB1082" s="1"/>
      <c r="GC1082" s="1"/>
      <c r="GD1082" s="1"/>
      <c r="GE1082" s="1"/>
      <c r="GF1082" s="1"/>
      <c r="GG1082" s="1"/>
      <c r="GH1082" s="1"/>
      <c r="GI1082" s="1"/>
      <c r="GJ1082" s="1"/>
      <c r="GK1082" s="1"/>
      <c r="GL1082" s="1"/>
      <c r="GM1082" s="1"/>
      <c r="GN1082" s="1"/>
      <c r="GO1082" s="1"/>
      <c r="GP1082" s="1"/>
      <c r="GQ1082" s="1"/>
      <c r="GR1082" s="1"/>
      <c r="GS1082" s="1"/>
      <c r="GT1082" s="1"/>
      <c r="GU1082" s="1"/>
      <c r="GV1082" s="1"/>
      <c r="GW1082" s="1"/>
      <c r="GX1082" s="1"/>
      <c r="GY1082" s="1"/>
      <c r="GZ1082" s="1"/>
      <c r="HA1082" s="1"/>
      <c r="HB1082" s="1"/>
      <c r="HC1082" s="1"/>
      <c r="HD1082" s="1"/>
      <c r="HE1082" s="1"/>
      <c r="HF1082" s="1"/>
      <c r="HG1082" s="1"/>
      <c r="HH1082" s="1"/>
      <c r="HI1082" s="1"/>
      <c r="HJ1082" s="1"/>
      <c r="HK1082" s="1"/>
      <c r="HL1082" s="1"/>
      <c r="HM1082" s="1"/>
      <c r="HN1082" s="1"/>
      <c r="HO1082" s="1"/>
      <c r="HP1082" s="1"/>
      <c r="HQ1082" s="1"/>
      <c r="HR1082" s="1"/>
      <c r="HS1082" s="1"/>
      <c r="HT1082" s="1"/>
      <c r="HU1082" s="1"/>
      <c r="HV1082" s="1"/>
      <c r="HW1082" s="1"/>
      <c r="HX1082" s="1"/>
      <c r="HY1082" s="1"/>
      <c r="HZ1082" s="1"/>
      <c r="IA1082" s="1"/>
      <c r="IB1082" s="1"/>
      <c r="IC1082" s="1"/>
      <c r="ID1082" s="1"/>
      <c r="IE1082" s="1"/>
      <c r="IF1082" s="1"/>
      <c r="IG1082" s="1"/>
      <c r="IH1082" s="1"/>
      <c r="II1082" s="1"/>
      <c r="IJ1082" s="1"/>
      <c r="IK1082" s="1"/>
      <c r="IL1082" s="1"/>
      <c r="IM1082" s="1"/>
      <c r="IN1082" s="1"/>
      <c r="IO1082" s="1"/>
      <c r="IP1082" s="1"/>
      <c r="IQ1082" s="1"/>
      <c r="IR1082" s="1"/>
      <c r="IS1082" s="1"/>
      <c r="IT1082" s="1"/>
      <c r="IU1082" s="1"/>
      <c r="IV1082" s="1"/>
      <c r="IW1082" s="1"/>
      <c r="IX1082" s="1"/>
      <c r="IY1082" s="1"/>
      <c r="IZ1082" s="1"/>
      <c r="JA1082" s="1"/>
      <c r="JB1082" s="1"/>
      <c r="JC1082" s="1"/>
      <c r="JD1082" s="1"/>
    </row>
    <row r="1083" spans="1:264" s="347" customFormat="1" x14ac:dyDescent="0.2">
      <c r="A1083" s="347" t="s">
        <v>736</v>
      </c>
      <c r="B1083" s="348"/>
      <c r="BD1083" s="722">
        <f>-BD1080*BD1081</f>
        <v>0</v>
      </c>
      <c r="BE1083" s="722">
        <f>-BE1080*BE1081</f>
        <v>0</v>
      </c>
      <c r="BF1083" s="767"/>
      <c r="BG1083" s="767"/>
      <c r="BH1083" s="722">
        <f>-BH1080*BH1081</f>
        <v>-8.6623889999999992</v>
      </c>
      <c r="BI1083" s="722">
        <f>-BI1080*BI1081</f>
        <v>-9.8357956759466081</v>
      </c>
      <c r="BJ1083" s="722"/>
      <c r="BK1083" s="722"/>
      <c r="BL1083" s="722">
        <f>-BL1080*BL1081</f>
        <v>0</v>
      </c>
      <c r="BM1083" s="722">
        <f>-BM1080*BM1081</f>
        <v>-8.7625455341952474</v>
      </c>
      <c r="BN1083" s="722"/>
      <c r="BO1083" s="722"/>
      <c r="BP1083" s="722">
        <f>-BP1080*BP1081</f>
        <v>0</v>
      </c>
      <c r="BQ1083" s="722">
        <f>-BQ1080*BQ1081</f>
        <v>0</v>
      </c>
      <c r="BR1083" s="767"/>
      <c r="BS1083" s="767"/>
      <c r="BT1083" s="722">
        <f>-BT1080*BT1081</f>
        <v>0</v>
      </c>
      <c r="BU1083" s="722">
        <f>-BU1080*BU1081</f>
        <v>0</v>
      </c>
      <c r="BV1083" s="767"/>
      <c r="BW1083" s="767"/>
      <c r="BX1083" s="722">
        <f>-BX1080*BX1081</f>
        <v>0</v>
      </c>
      <c r="BY1083" s="722">
        <f>-BY1080*BY1081</f>
        <v>0</v>
      </c>
      <c r="BZ1083" s="767"/>
      <c r="CA1083" s="767"/>
      <c r="CB1083" s="722">
        <f>-CB1080*CB1081</f>
        <v>0</v>
      </c>
      <c r="CC1083" s="722">
        <f>-CC1080*CC1081</f>
        <v>0</v>
      </c>
      <c r="CD1083" s="767"/>
      <c r="CE1083" s="767"/>
      <c r="CF1083" s="722">
        <f>-CF1080*CF1081</f>
        <v>-8.0855580000000007</v>
      </c>
      <c r="CG1083" s="722">
        <f>-CG1080*CG1081</f>
        <v>-7.8102850000000004</v>
      </c>
      <c r="CH1083" s="767"/>
      <c r="CI1083" s="767"/>
      <c r="CJ1083" s="722">
        <f>-CJ1080*CJ1081</f>
        <v>-7.0803630000000002</v>
      </c>
      <c r="CK1083" s="722">
        <f>-CK1080*CK1081</f>
        <v>0</v>
      </c>
      <c r="CL1083" s="767"/>
      <c r="CM1083" s="767"/>
      <c r="CN1083" s="722">
        <f>-CN1080*CN1081</f>
        <v>-4.8696339999999996</v>
      </c>
      <c r="CO1083" s="722">
        <f>-CO1080*CO1081</f>
        <v>-5.6560301388118814</v>
      </c>
      <c r="CP1083" s="767"/>
      <c r="CQ1083" s="767"/>
      <c r="CR1083" s="722">
        <f>-CR1080*CR1081</f>
        <v>-5.1065445495597244</v>
      </c>
      <c r="CS1083" s="722">
        <f>-CS1080*CS1081</f>
        <v>-6.1875727808399006</v>
      </c>
      <c r="CT1083" s="767"/>
      <c r="CU1083" s="767"/>
      <c r="CV1083" s="722">
        <f>-CV1080*CV1081</f>
        <v>-6.1176185562616823</v>
      </c>
      <c r="CW1083" s="722">
        <f>-CW1080*CW1081</f>
        <v>-7.1909000989119685</v>
      </c>
      <c r="CX1083" s="767"/>
      <c r="CY1083" s="767"/>
      <c r="CZ1083" s="722">
        <f>-CZ1080*CZ1081</f>
        <v>-4.1044457718235341</v>
      </c>
      <c r="DA1083" s="722">
        <f>-DA1080*DA1081</f>
        <v>-5.3568904593639575</v>
      </c>
      <c r="DB1083" s="767"/>
      <c r="DC1083" s="767"/>
      <c r="DD1083" s="722">
        <f>-DD1080*DD1081</f>
        <v>-4.5500033357795724</v>
      </c>
      <c r="DE1083" s="722">
        <f>-DE1080*DE1081</f>
        <v>-3.8137603795966788</v>
      </c>
      <c r="DF1083" s="767"/>
      <c r="DG1083" s="767"/>
      <c r="DH1083" s="722">
        <f>-DH1080*DH1081</f>
        <v>-3.4699734187941176</v>
      </c>
      <c r="DI1083" s="722">
        <f>-DI1080*DI1081</f>
        <v>-3.9641178741216372</v>
      </c>
      <c r="DJ1083" s="767"/>
      <c r="DK1083" s="767"/>
      <c r="DL1083" s="722">
        <f>-DL1080*DL1081</f>
        <v>-3.5371391570236428</v>
      </c>
      <c r="DM1083" s="722">
        <f>-DM1080*DM1081</f>
        <v>-3.9174599909936632</v>
      </c>
      <c r="DN1083" s="767"/>
      <c r="DO1083" s="767"/>
      <c r="DP1083" s="722">
        <f>-DP1080*DP1081</f>
        <v>-3.3814066910339178</v>
      </c>
      <c r="DQ1083" s="722">
        <f>-DQ1080*DQ1081</f>
        <v>-3.7964397302493715</v>
      </c>
      <c r="DR1083" s="767"/>
      <c r="DS1083" s="767"/>
      <c r="DT1083" s="1"/>
      <c r="DU1083" s="1"/>
      <c r="DV1083" s="1"/>
      <c r="DW1083" s="1"/>
      <c r="DX1083" s="1"/>
      <c r="DY1083" s="1"/>
      <c r="DZ1083" s="1"/>
      <c r="EA1083" s="1"/>
      <c r="EB1083" s="1"/>
      <c r="EC1083" s="1"/>
      <c r="ED1083" s="1"/>
      <c r="EE1083" s="1"/>
      <c r="EF1083" s="1"/>
      <c r="EG1083" s="1"/>
      <c r="EH1083" s="1"/>
      <c r="EI1083" s="1"/>
      <c r="EJ1083" s="1"/>
      <c r="EK1083" s="1"/>
      <c r="EL1083" s="1"/>
      <c r="EM1083" s="1"/>
      <c r="EN1083" s="1"/>
      <c r="EO1083" s="1"/>
      <c r="EP1083" s="1"/>
      <c r="EQ1083" s="1"/>
      <c r="ER1083" s="1"/>
      <c r="ES1083" s="1"/>
      <c r="ET1083" s="1"/>
      <c r="EU1083" s="1"/>
      <c r="EV1083" s="1"/>
      <c r="EW1083" s="1"/>
      <c r="EX1083" s="1"/>
      <c r="EY1083" s="1"/>
      <c r="EZ1083" s="1"/>
      <c r="FA1083" s="1"/>
      <c r="FB1083" s="1"/>
      <c r="FC1083" s="1"/>
      <c r="FD1083" s="1"/>
      <c r="FE1083" s="1"/>
      <c r="FF1083" s="1"/>
      <c r="FG1083" s="1"/>
      <c r="FH1083" s="1"/>
      <c r="FI1083" s="1"/>
      <c r="FJ1083" s="1"/>
      <c r="FK1083" s="1"/>
      <c r="FL1083" s="1"/>
      <c r="FM1083" s="1"/>
      <c r="FN1083" s="1"/>
      <c r="FO1083" s="1"/>
      <c r="FP1083" s="1"/>
      <c r="FQ1083" s="1"/>
      <c r="FR1083" s="1"/>
      <c r="FS1083" s="1"/>
      <c r="FT1083" s="1"/>
      <c r="FU1083" s="1"/>
      <c r="FV1083" s="1"/>
      <c r="FW1083" s="1"/>
      <c r="FX1083" s="1"/>
      <c r="FY1083" s="1"/>
      <c r="FZ1083" s="1"/>
      <c r="GA1083" s="1"/>
      <c r="GB1083" s="1"/>
      <c r="GC1083" s="1"/>
      <c r="GD1083" s="1"/>
      <c r="GE1083" s="1"/>
      <c r="GF1083" s="1"/>
      <c r="GG1083" s="1"/>
      <c r="GH1083" s="1"/>
      <c r="GI1083" s="1"/>
      <c r="GJ1083" s="1"/>
      <c r="GK1083" s="1"/>
      <c r="GL1083" s="1"/>
      <c r="GM1083" s="1"/>
      <c r="GN1083" s="1"/>
      <c r="GO1083" s="1"/>
      <c r="GP1083" s="1"/>
      <c r="GQ1083" s="1"/>
      <c r="GR1083" s="1"/>
      <c r="GS1083" s="1"/>
      <c r="GT1083" s="1"/>
      <c r="GU1083" s="1"/>
      <c r="GV1083" s="1"/>
      <c r="GW1083" s="1"/>
      <c r="GX1083" s="1"/>
      <c r="GY1083" s="1"/>
      <c r="GZ1083" s="1"/>
      <c r="HA1083" s="1"/>
      <c r="HB1083" s="1"/>
      <c r="HC1083" s="1"/>
      <c r="HD1083" s="1"/>
      <c r="HE1083" s="1"/>
      <c r="HF1083" s="1"/>
      <c r="HG1083" s="1"/>
      <c r="HH1083" s="1"/>
      <c r="HI1083" s="1"/>
      <c r="HJ1083" s="1"/>
      <c r="HK1083" s="1"/>
      <c r="HL1083" s="1"/>
      <c r="HM1083" s="1"/>
      <c r="HN1083" s="1"/>
      <c r="HO1083" s="1"/>
      <c r="HP1083" s="1"/>
      <c r="HQ1083" s="1"/>
      <c r="HR1083" s="1"/>
      <c r="HS1083" s="1"/>
      <c r="HT1083" s="1"/>
      <c r="HU1083" s="1"/>
      <c r="HV1083" s="1"/>
      <c r="HW1083" s="1"/>
      <c r="HX1083" s="1"/>
      <c r="HY1083" s="1"/>
      <c r="HZ1083" s="1"/>
      <c r="IA1083" s="1"/>
      <c r="IB1083" s="1"/>
      <c r="IC1083" s="1"/>
      <c r="ID1083" s="1"/>
      <c r="IE1083" s="1"/>
      <c r="IF1083" s="1"/>
      <c r="IG1083" s="1"/>
      <c r="IH1083" s="1"/>
      <c r="II1083" s="1"/>
      <c r="IJ1083" s="1"/>
      <c r="IK1083" s="1"/>
      <c r="IL1083" s="1"/>
      <c r="IM1083" s="1"/>
      <c r="IN1083" s="1"/>
      <c r="IO1083" s="1"/>
      <c r="IP1083" s="1"/>
      <c r="IQ1083" s="1"/>
      <c r="IR1083" s="1"/>
      <c r="IS1083" s="1"/>
      <c r="IT1083" s="1"/>
      <c r="IU1083" s="1"/>
      <c r="IV1083" s="1"/>
      <c r="IW1083" s="1"/>
      <c r="IX1083" s="1"/>
      <c r="IY1083" s="1"/>
      <c r="IZ1083" s="1"/>
      <c r="JA1083" s="1"/>
      <c r="JB1083" s="1"/>
      <c r="JC1083" s="1"/>
      <c r="JD1083" s="1"/>
    </row>
    <row r="1084" spans="1:264" s="347" customFormat="1" x14ac:dyDescent="0.2">
      <c r="B1084" s="348"/>
      <c r="BH1084" s="348"/>
      <c r="BI1084" s="348"/>
      <c r="BJ1084" s="348"/>
      <c r="BK1084" s="348"/>
      <c r="BL1084" s="348"/>
      <c r="BM1084" s="489"/>
      <c r="BN1084" s="348"/>
      <c r="BO1084" s="348"/>
      <c r="BP1084" s="348"/>
      <c r="BQ1084" s="348"/>
      <c r="BR1084" s="348"/>
      <c r="BS1084" s="348"/>
      <c r="BT1084" s="348"/>
      <c r="BU1084" s="348"/>
      <c r="BV1084" s="348"/>
      <c r="BW1084" s="348"/>
      <c r="BX1084" s="348"/>
      <c r="BY1084" s="348"/>
      <c r="BZ1084" s="348"/>
      <c r="CA1084" s="348"/>
      <c r="CB1084" s="348"/>
      <c r="CC1084" s="348"/>
      <c r="CD1084" s="348"/>
      <c r="CE1084" s="348"/>
      <c r="CF1084" s="348"/>
      <c r="CG1084" s="348"/>
      <c r="CH1084" s="348"/>
      <c r="CI1084" s="348"/>
      <c r="CJ1084" s="348"/>
      <c r="CK1084" s="348"/>
      <c r="CL1084" s="348"/>
      <c r="CM1084" s="348"/>
      <c r="CN1084" s="348"/>
      <c r="CO1084" s="348"/>
      <c r="CP1084" s="348"/>
      <c r="CQ1084" s="348"/>
      <c r="CR1084" s="348"/>
      <c r="CS1084" s="348"/>
      <c r="CT1084" s="348"/>
      <c r="CU1084" s="348"/>
      <c r="CV1084" s="348"/>
      <c r="CW1084" s="348"/>
      <c r="CX1084" s="348"/>
      <c r="CY1084" s="348"/>
      <c r="CZ1084" s="348"/>
      <c r="DA1084" s="348"/>
      <c r="DB1084" s="348"/>
      <c r="DC1084" s="348"/>
      <c r="DD1084" s="348"/>
      <c r="DE1084" s="348"/>
      <c r="DF1084" s="348"/>
      <c r="DG1084" s="348"/>
      <c r="DH1084" s="348"/>
      <c r="DI1084" s="348"/>
      <c r="DJ1084" s="348"/>
      <c r="DK1084" s="348"/>
      <c r="DL1084" s="348"/>
      <c r="DM1084" s="348"/>
      <c r="DN1084" s="348"/>
      <c r="DO1084" s="348"/>
      <c r="DP1084" s="348"/>
      <c r="DQ1084" s="348"/>
      <c r="DR1084" s="348"/>
      <c r="DS1084" s="348"/>
      <c r="DT1084" s="1"/>
      <c r="DU1084" s="1"/>
      <c r="DV1084" s="1"/>
      <c r="DW1084" s="1"/>
      <c r="DX1084" s="1"/>
      <c r="DY1084" s="1"/>
      <c r="DZ1084" s="1"/>
      <c r="EA1084" s="1"/>
      <c r="EB1084" s="1"/>
      <c r="EC1084" s="1"/>
      <c r="ED1084" s="1"/>
      <c r="EE1084" s="1"/>
      <c r="EF1084" s="1"/>
      <c r="EG1084" s="1"/>
      <c r="EH1084" s="1"/>
      <c r="EI1084" s="1"/>
      <c r="EJ1084" s="1"/>
      <c r="EK1084" s="1"/>
      <c r="EL1084" s="1"/>
      <c r="EM1084" s="1"/>
      <c r="EN1084" s="1"/>
      <c r="EO1084" s="1"/>
      <c r="EP1084" s="1"/>
      <c r="EQ1084" s="1"/>
      <c r="ER1084" s="1"/>
      <c r="ES1084" s="1"/>
      <c r="ET1084" s="1"/>
      <c r="EU1084" s="1"/>
      <c r="EV1084" s="1"/>
      <c r="EW1084" s="1"/>
      <c r="EX1084" s="1"/>
      <c r="EY1084" s="1"/>
      <c r="EZ1084" s="1"/>
      <c r="FA1084" s="1"/>
      <c r="FB1084" s="1"/>
      <c r="FC1084" s="1"/>
      <c r="FD1084" s="1"/>
      <c r="FE1084" s="1"/>
      <c r="FF1084" s="1"/>
      <c r="FG1084" s="1"/>
      <c r="FH1084" s="1"/>
      <c r="FI1084" s="1"/>
      <c r="FJ1084" s="1"/>
      <c r="FK1084" s="1"/>
      <c r="FL1084" s="1"/>
      <c r="FM1084" s="1"/>
      <c r="FN1084" s="1"/>
      <c r="FO1084" s="1"/>
      <c r="FP1084" s="1"/>
      <c r="FQ1084" s="1"/>
      <c r="FR1084" s="1"/>
      <c r="FS1084" s="1"/>
      <c r="FT1084" s="1"/>
      <c r="FU1084" s="1"/>
      <c r="FV1084" s="1"/>
      <c r="FW1084" s="1"/>
      <c r="FX1084" s="1"/>
      <c r="FY1084" s="1"/>
      <c r="FZ1084" s="1"/>
      <c r="GA1084" s="1"/>
      <c r="GB1084" s="1"/>
      <c r="GC1084" s="1"/>
      <c r="GD1084" s="1"/>
      <c r="GE1084" s="1"/>
      <c r="GF1084" s="1"/>
      <c r="GG1084" s="1"/>
      <c r="GH1084" s="1"/>
      <c r="GI1084" s="1"/>
      <c r="GJ1084" s="1"/>
      <c r="GK1084" s="1"/>
      <c r="GL1084" s="1"/>
      <c r="GM1084" s="1"/>
      <c r="GN1084" s="1"/>
      <c r="GO1084" s="1"/>
      <c r="GP1084" s="1"/>
      <c r="GQ1084" s="1"/>
      <c r="GR1084" s="1"/>
      <c r="GS1084" s="1"/>
      <c r="GT1084" s="1"/>
      <c r="GU1084" s="1"/>
      <c r="GV1084" s="1"/>
      <c r="GW1084" s="1"/>
      <c r="GX1084" s="1"/>
      <c r="GY1084" s="1"/>
      <c r="GZ1084" s="1"/>
      <c r="HA1084" s="1"/>
      <c r="HB1084" s="1"/>
      <c r="HC1084" s="1"/>
      <c r="HD1084" s="1"/>
      <c r="HE1084" s="1"/>
      <c r="HF1084" s="1"/>
      <c r="HG1084" s="1"/>
      <c r="HH1084" s="1"/>
      <c r="HI1084" s="1"/>
      <c r="HJ1084" s="1"/>
      <c r="HK1084" s="1"/>
      <c r="HL1084" s="1"/>
      <c r="HM1084" s="1"/>
      <c r="HN1084" s="1"/>
      <c r="HO1084" s="1"/>
      <c r="HP1084" s="1"/>
      <c r="HQ1084" s="1"/>
      <c r="HR1084" s="1"/>
      <c r="HS1084" s="1"/>
      <c r="HT1084" s="1"/>
      <c r="HU1084" s="1"/>
      <c r="HV1084" s="1"/>
      <c r="HW1084" s="1"/>
      <c r="HX1084" s="1"/>
      <c r="HY1084" s="1"/>
      <c r="HZ1084" s="1"/>
      <c r="IA1084" s="1"/>
      <c r="IB1084" s="1"/>
      <c r="IC1084" s="1"/>
      <c r="ID1084" s="1"/>
      <c r="IE1084" s="1"/>
      <c r="IF1084" s="1"/>
      <c r="IG1084" s="1"/>
      <c r="IH1084" s="1"/>
      <c r="II1084" s="1"/>
      <c r="IJ1084" s="1"/>
      <c r="IK1084" s="1"/>
      <c r="IL1084" s="1"/>
      <c r="IM1084" s="1"/>
      <c r="IN1084" s="1"/>
      <c r="IO1084" s="1"/>
      <c r="IP1084" s="1"/>
      <c r="IQ1084" s="1"/>
      <c r="IR1084" s="1"/>
      <c r="IS1084" s="1"/>
      <c r="IT1084" s="1"/>
      <c r="IU1084" s="1"/>
      <c r="IV1084" s="1"/>
      <c r="IW1084" s="1"/>
      <c r="IX1084" s="1"/>
      <c r="IY1084" s="1"/>
      <c r="IZ1084" s="1"/>
      <c r="JA1084" s="1"/>
      <c r="JB1084" s="1"/>
      <c r="JC1084" s="1"/>
      <c r="JD1084" s="1"/>
    </row>
    <row r="1085" spans="1:264" s="411" customFormat="1" x14ac:dyDescent="0.2">
      <c r="A1085" s="411" t="s">
        <v>666</v>
      </c>
      <c r="B1085" s="423"/>
      <c r="BH1085" s="423"/>
      <c r="BI1085" s="423"/>
      <c r="BJ1085" s="423"/>
      <c r="BK1085" s="423"/>
      <c r="BL1085" s="423"/>
      <c r="BM1085" s="423"/>
      <c r="BN1085" s="423"/>
      <c r="BO1085" s="423"/>
      <c r="BP1085" s="423"/>
      <c r="BR1085" s="768"/>
      <c r="BS1085" s="490"/>
      <c r="BT1085" s="423"/>
      <c r="BX1085" s="423"/>
      <c r="CB1085" s="423"/>
      <c r="CF1085" s="423"/>
      <c r="CJ1085" s="423"/>
      <c r="CN1085" s="423"/>
      <c r="CR1085" s="423"/>
      <c r="CV1085" s="423"/>
      <c r="CZ1085" s="423"/>
      <c r="DD1085" s="423"/>
      <c r="DH1085" s="423"/>
      <c r="DL1085" s="423"/>
      <c r="DP1085" s="423"/>
      <c r="DT1085" s="1"/>
      <c r="DU1085" s="1"/>
      <c r="DV1085" s="1"/>
      <c r="DW1085" s="1"/>
      <c r="DX1085" s="1"/>
      <c r="DY1085" s="1"/>
      <c r="DZ1085" s="1"/>
      <c r="EA1085" s="1"/>
      <c r="EB1085" s="1"/>
      <c r="EC1085" s="1"/>
      <c r="ED1085" s="1"/>
      <c r="EE1085" s="1"/>
      <c r="EF1085" s="1"/>
      <c r="EG1085" s="1"/>
      <c r="EH1085" s="1"/>
      <c r="EI1085" s="1"/>
      <c r="EJ1085" s="1"/>
      <c r="EK1085" s="1"/>
      <c r="EL1085" s="1"/>
      <c r="EM1085" s="1"/>
      <c r="EN1085" s="1"/>
      <c r="EO1085" s="1"/>
      <c r="EP1085" s="1"/>
      <c r="EQ1085" s="1"/>
      <c r="ER1085" s="1"/>
      <c r="ES1085" s="1"/>
      <c r="ET1085" s="1"/>
      <c r="EU1085" s="1"/>
      <c r="EV1085" s="1"/>
      <c r="EW1085" s="1"/>
      <c r="EX1085" s="1"/>
      <c r="EY1085" s="1"/>
      <c r="EZ1085" s="1"/>
      <c r="FA1085" s="1"/>
      <c r="FB1085" s="1"/>
      <c r="FC1085" s="1"/>
      <c r="FD1085" s="1"/>
      <c r="FE1085" s="1"/>
      <c r="FF1085" s="1"/>
      <c r="FG1085" s="1"/>
      <c r="FH1085" s="1"/>
      <c r="FI1085" s="1"/>
      <c r="FJ1085" s="1"/>
      <c r="FK1085" s="1"/>
      <c r="FL1085" s="1"/>
      <c r="FM1085" s="1"/>
      <c r="FN1085" s="1"/>
      <c r="FO1085" s="1"/>
      <c r="FP1085" s="1"/>
      <c r="FQ1085" s="1"/>
      <c r="FR1085" s="1"/>
      <c r="FS1085" s="1"/>
      <c r="FT1085" s="1"/>
      <c r="FU1085" s="1"/>
      <c r="FV1085" s="1"/>
      <c r="FW1085" s="1"/>
      <c r="FX1085" s="1"/>
      <c r="FY1085" s="1"/>
      <c r="FZ1085" s="1"/>
      <c r="GA1085" s="1"/>
      <c r="GB1085" s="1"/>
      <c r="GC1085" s="1"/>
      <c r="GD1085" s="1"/>
      <c r="GE1085" s="1"/>
      <c r="GF1085" s="1"/>
      <c r="GG1085" s="1"/>
      <c r="GH1085" s="1"/>
      <c r="GI1085" s="1"/>
      <c r="GJ1085" s="1"/>
      <c r="GK1085" s="1"/>
      <c r="GL1085" s="1"/>
      <c r="GM1085" s="1"/>
      <c r="GN1085" s="1"/>
      <c r="GO1085" s="1"/>
      <c r="GP1085" s="1"/>
      <c r="GQ1085" s="1"/>
      <c r="GR1085" s="1"/>
      <c r="GS1085" s="1"/>
      <c r="GT1085" s="1"/>
      <c r="GU1085" s="1"/>
      <c r="GV1085" s="1"/>
      <c r="GW1085" s="1"/>
      <c r="GX1085" s="1"/>
      <c r="GY1085" s="1"/>
      <c r="GZ1085" s="1"/>
      <c r="HA1085" s="1"/>
      <c r="HB1085" s="1"/>
      <c r="HC1085" s="1"/>
      <c r="HD1085" s="1"/>
      <c r="HE1085" s="1"/>
      <c r="HF1085" s="1"/>
      <c r="HG1085" s="1"/>
      <c r="HH1085" s="1"/>
      <c r="HI1085" s="1"/>
      <c r="HJ1085" s="1"/>
      <c r="HK1085" s="1"/>
      <c r="HL1085" s="1"/>
      <c r="HM1085" s="1"/>
      <c r="HN1085" s="1"/>
      <c r="HO1085" s="1"/>
      <c r="HP1085" s="1"/>
      <c r="HQ1085" s="1"/>
      <c r="HR1085" s="1"/>
      <c r="HS1085" s="1"/>
      <c r="HT1085" s="1"/>
      <c r="HU1085" s="1"/>
      <c r="HV1085" s="1"/>
      <c r="HW1085" s="1"/>
      <c r="HX1085" s="1"/>
      <c r="HY1085" s="1"/>
      <c r="HZ1085" s="1"/>
      <c r="IA1085" s="1"/>
      <c r="IB1085" s="1"/>
      <c r="IC1085" s="1"/>
      <c r="ID1085" s="1"/>
      <c r="IE1085" s="1"/>
      <c r="IF1085" s="1"/>
      <c r="IG1085" s="1"/>
      <c r="IH1085" s="1"/>
      <c r="II1085" s="1"/>
      <c r="IJ1085" s="1"/>
      <c r="IK1085" s="1"/>
      <c r="IL1085" s="1"/>
      <c r="IM1085" s="1"/>
      <c r="IN1085" s="1"/>
      <c r="IO1085" s="1"/>
      <c r="IP1085" s="1"/>
      <c r="IQ1085" s="1"/>
      <c r="IR1085" s="1"/>
      <c r="IS1085" s="1"/>
      <c r="IT1085" s="1"/>
      <c r="IU1085" s="1"/>
      <c r="IV1085" s="1"/>
      <c r="IW1085" s="1"/>
      <c r="IX1085" s="1"/>
      <c r="IY1085" s="1"/>
      <c r="IZ1085" s="1"/>
      <c r="JA1085" s="1"/>
      <c r="JB1085" s="1"/>
      <c r="JC1085" s="1"/>
      <c r="JD1085" s="1"/>
    </row>
    <row r="1086" spans="1:264" s="411" customFormat="1" x14ac:dyDescent="0.2">
      <c r="A1086" s="347" t="s">
        <v>737</v>
      </c>
      <c r="B1086" s="423"/>
      <c r="BH1086" s="423"/>
      <c r="BI1086" s="423"/>
      <c r="BJ1086" s="423"/>
      <c r="BK1086" s="423"/>
      <c r="BL1086" s="351"/>
      <c r="BM1086" s="351"/>
      <c r="BN1086" s="423"/>
      <c r="BO1086" s="423"/>
      <c r="BP1086" s="351"/>
      <c r="BQ1086" s="351"/>
      <c r="CJ1086" s="351">
        <f>CJ1196</f>
        <v>52380</v>
      </c>
      <c r="CK1086" s="351">
        <f>CK1196</f>
        <v>52551</v>
      </c>
      <c r="CN1086" s="351">
        <f>CN1196</f>
        <v>57075</v>
      </c>
      <c r="CO1086" s="351">
        <f>CO1196</f>
        <v>58836</v>
      </c>
      <c r="CR1086" s="351">
        <f>CR1196</f>
        <v>55464</v>
      </c>
      <c r="CS1086" s="351">
        <f>CS1196</f>
        <v>57023</v>
      </c>
      <c r="CV1086" s="351">
        <f>CV1196</f>
        <v>57552</v>
      </c>
      <c r="CW1086" s="351">
        <f>CW1196</f>
        <v>56909</v>
      </c>
      <c r="CZ1086" s="351">
        <f>CZ1196</f>
        <v>57231</v>
      </c>
      <c r="DA1086" s="351">
        <f>DA1196</f>
        <v>57691</v>
      </c>
      <c r="DD1086" s="351">
        <f>DD1196</f>
        <v>58871</v>
      </c>
      <c r="DE1086" s="351">
        <f>DE1196</f>
        <v>60967</v>
      </c>
      <c r="DH1086" s="351">
        <f>DH1196</f>
        <v>61922</v>
      </c>
      <c r="DI1086" s="351">
        <f ca="1">DI1196</f>
        <v>63326.351952569283</v>
      </c>
      <c r="DL1086" s="351">
        <f ca="1">DL1196</f>
        <v>64309.829527800233</v>
      </c>
      <c r="DM1086" s="351">
        <f ca="1">DM1196</f>
        <v>65587.383695239027</v>
      </c>
      <c r="DP1086" s="351">
        <f ca="1">DP1196</f>
        <v>66520.232832290305</v>
      </c>
      <c r="DQ1086" s="351">
        <f ca="1">DQ1196</f>
        <v>67947.675340228219</v>
      </c>
      <c r="DT1086" s="1"/>
      <c r="DU1086" s="1"/>
      <c r="DV1086" s="1"/>
      <c r="DW1086" s="1"/>
      <c r="DX1086" s="1"/>
      <c r="DY1086" s="1"/>
      <c r="DZ1086" s="1"/>
      <c r="EA1086" s="1"/>
      <c r="EB1086" s="1"/>
      <c r="EC1086" s="1"/>
      <c r="ED1086" s="1"/>
      <c r="EE1086" s="1"/>
      <c r="EF1086" s="1"/>
      <c r="EG1086" s="1"/>
      <c r="EH1086" s="1"/>
      <c r="EI1086" s="1"/>
      <c r="EJ1086" s="1"/>
      <c r="EK1086" s="1"/>
      <c r="EL1086" s="1"/>
      <c r="EM1086" s="1"/>
      <c r="EN1086" s="1"/>
      <c r="EO1086" s="1"/>
      <c r="EP1086" s="1"/>
      <c r="EQ1086" s="1"/>
      <c r="ER1086" s="1"/>
      <c r="ES1086" s="1"/>
      <c r="ET1086" s="1"/>
      <c r="EU1086" s="1"/>
      <c r="EV1086" s="1"/>
      <c r="EW1086" s="1"/>
      <c r="EX1086" s="1"/>
      <c r="EY1086" s="1"/>
      <c r="EZ1086" s="1"/>
      <c r="FA1086" s="1"/>
      <c r="FB1086" s="1"/>
      <c r="FC1086" s="1"/>
      <c r="FD1086" s="1"/>
      <c r="FE1086" s="1"/>
      <c r="FF1086" s="1"/>
      <c r="FG1086" s="1"/>
      <c r="FH1086" s="1"/>
      <c r="FI1086" s="1"/>
      <c r="FJ1086" s="1"/>
      <c r="FK1086" s="1"/>
      <c r="FL1086" s="1"/>
      <c r="FM1086" s="1"/>
      <c r="FN1086" s="1"/>
      <c r="FO1086" s="1"/>
      <c r="FP1086" s="1"/>
      <c r="FQ1086" s="1"/>
      <c r="FR1086" s="1"/>
      <c r="FS1086" s="1"/>
      <c r="FT1086" s="1"/>
      <c r="FU1086" s="1"/>
      <c r="FV1086" s="1"/>
      <c r="FW1086" s="1"/>
      <c r="FX1086" s="1"/>
      <c r="FY1086" s="1"/>
      <c r="FZ1086" s="1"/>
      <c r="GA1086" s="1"/>
      <c r="GB1086" s="1"/>
      <c r="GC1086" s="1"/>
      <c r="GD1086" s="1"/>
      <c r="GE1086" s="1"/>
      <c r="GF1086" s="1"/>
      <c r="GG1086" s="1"/>
      <c r="GH1086" s="1"/>
      <c r="GI1086" s="1"/>
      <c r="GJ1086" s="1"/>
      <c r="GK1086" s="1"/>
      <c r="GL1086" s="1"/>
      <c r="GM1086" s="1"/>
      <c r="GN1086" s="1"/>
      <c r="GO1086" s="1"/>
      <c r="GP1086" s="1"/>
      <c r="GQ1086" s="1"/>
      <c r="GR1086" s="1"/>
      <c r="GS1086" s="1"/>
      <c r="GT1086" s="1"/>
      <c r="GU1086" s="1"/>
      <c r="GV1086" s="1"/>
      <c r="GW1086" s="1"/>
      <c r="GX1086" s="1"/>
      <c r="GY1086" s="1"/>
      <c r="GZ1086" s="1"/>
      <c r="HA1086" s="1"/>
      <c r="HB1086" s="1"/>
      <c r="HC1086" s="1"/>
      <c r="HD1086" s="1"/>
      <c r="HE1086" s="1"/>
      <c r="HF1086" s="1"/>
      <c r="HG1086" s="1"/>
      <c r="HH1086" s="1"/>
      <c r="HI1086" s="1"/>
      <c r="HJ1086" s="1"/>
      <c r="HK1086" s="1"/>
      <c r="HL1086" s="1"/>
      <c r="HM1086" s="1"/>
      <c r="HN1086" s="1"/>
      <c r="HO1086" s="1"/>
      <c r="HP1086" s="1"/>
      <c r="HQ1086" s="1"/>
      <c r="HR1086" s="1"/>
      <c r="HS1086" s="1"/>
      <c r="HT1086" s="1"/>
      <c r="HU1086" s="1"/>
      <c r="HV1086" s="1"/>
      <c r="HW1086" s="1"/>
      <c r="HX1086" s="1"/>
      <c r="HY1086" s="1"/>
      <c r="HZ1086" s="1"/>
      <c r="IA1086" s="1"/>
      <c r="IB1086" s="1"/>
      <c r="IC1086" s="1"/>
      <c r="ID1086" s="1"/>
      <c r="IE1086" s="1"/>
      <c r="IF1086" s="1"/>
      <c r="IG1086" s="1"/>
      <c r="IH1086" s="1"/>
      <c r="II1086" s="1"/>
      <c r="IJ1086" s="1"/>
      <c r="IK1086" s="1"/>
      <c r="IL1086" s="1"/>
      <c r="IM1086" s="1"/>
      <c r="IN1086" s="1"/>
      <c r="IO1086" s="1"/>
      <c r="IP1086" s="1"/>
      <c r="IQ1086" s="1"/>
      <c r="IR1086" s="1"/>
      <c r="IS1086" s="1"/>
      <c r="IT1086" s="1"/>
      <c r="IU1086" s="1"/>
      <c r="IV1086" s="1"/>
      <c r="IW1086" s="1"/>
      <c r="IX1086" s="1"/>
      <c r="IY1086" s="1"/>
      <c r="IZ1086" s="1"/>
      <c r="JA1086" s="1"/>
      <c r="JB1086" s="1"/>
      <c r="JC1086" s="1"/>
      <c r="JD1086" s="1"/>
    </row>
    <row r="1087" spans="1:264" s="411" customFormat="1" x14ac:dyDescent="0.2">
      <c r="A1087" s="347" t="s">
        <v>324</v>
      </c>
      <c r="B1087" s="423"/>
      <c r="BH1087" s="423"/>
      <c r="BI1087" s="423"/>
      <c r="BJ1087" s="423"/>
      <c r="BK1087" s="423"/>
      <c r="BL1087" s="351"/>
      <c r="BM1087" s="351"/>
      <c r="BN1087" s="423"/>
      <c r="BO1087" s="423"/>
      <c r="BP1087" s="351"/>
      <c r="BQ1087" s="351"/>
      <c r="CJ1087" s="351">
        <f>CJ1310</f>
        <v>449154</v>
      </c>
      <c r="CK1087" s="351">
        <f>CK1310</f>
        <v>454948</v>
      </c>
      <c r="CN1087" s="351">
        <f>CN1310</f>
        <v>453616</v>
      </c>
      <c r="CO1087" s="351">
        <f>CO1310</f>
        <v>450680</v>
      </c>
      <c r="CR1087" s="351">
        <f>CR1310</f>
        <v>471927</v>
      </c>
      <c r="CS1087" s="351">
        <f>CS1310</f>
        <v>497892</v>
      </c>
      <c r="CV1087" s="351">
        <f>CV1310</f>
        <v>504380</v>
      </c>
      <c r="CW1087" s="351">
        <f>CW1310</f>
        <v>467992</v>
      </c>
      <c r="CZ1087" s="351">
        <f>CZ1310</f>
        <v>463644</v>
      </c>
      <c r="DA1087" s="351">
        <f>DA1310</f>
        <v>467551</v>
      </c>
      <c r="DD1087" s="351">
        <f>DD1310</f>
        <v>482369</v>
      </c>
      <c r="DE1087" s="351">
        <f>DE1310</f>
        <v>496145</v>
      </c>
      <c r="DH1087" s="351">
        <f>DH1310</f>
        <v>505310</v>
      </c>
      <c r="DI1087" s="351">
        <f ca="1">DI1310</f>
        <v>521741.34049958026</v>
      </c>
      <c r="DL1087" s="351">
        <f ca="1">DL1310</f>
        <v>536210.95051395218</v>
      </c>
      <c r="DM1087" s="351">
        <f ca="1">DM1310</f>
        <v>553612.97920815484</v>
      </c>
      <c r="DP1087" s="351">
        <f ca="1">DP1310</f>
        <v>566286.65944311023</v>
      </c>
      <c r="DQ1087" s="351">
        <f ca="1">DQ1310</f>
        <v>580940.89526119281</v>
      </c>
      <c r="DT1087" s="1"/>
      <c r="DU1087" s="1"/>
      <c r="DV1087" s="1"/>
      <c r="DW1087" s="1"/>
      <c r="DX1087" s="1"/>
      <c r="DY1087" s="1"/>
      <c r="DZ1087" s="1"/>
      <c r="EA1087" s="1"/>
      <c r="EB1087" s="1"/>
      <c r="EC1087" s="1"/>
      <c r="ED1087" s="1"/>
      <c r="EE1087" s="1"/>
      <c r="EF1087" s="1"/>
      <c r="EG1087" s="1"/>
      <c r="EH1087" s="1"/>
      <c r="EI1087" s="1"/>
      <c r="EJ1087" s="1"/>
      <c r="EK1087" s="1"/>
      <c r="EL1087" s="1"/>
      <c r="EM1087" s="1"/>
      <c r="EN1087" s="1"/>
      <c r="EO1087" s="1"/>
      <c r="EP1087" s="1"/>
      <c r="EQ1087" s="1"/>
      <c r="ER1087" s="1"/>
      <c r="ES1087" s="1"/>
      <c r="ET1087" s="1"/>
      <c r="EU1087" s="1"/>
      <c r="EV1087" s="1"/>
      <c r="EW1087" s="1"/>
      <c r="EX1087" s="1"/>
      <c r="EY1087" s="1"/>
      <c r="EZ1087" s="1"/>
      <c r="FA1087" s="1"/>
      <c r="FB1087" s="1"/>
      <c r="FC1087" s="1"/>
      <c r="FD1087" s="1"/>
      <c r="FE1087" s="1"/>
      <c r="FF1087" s="1"/>
      <c r="FG1087" s="1"/>
      <c r="FH1087" s="1"/>
      <c r="FI1087" s="1"/>
      <c r="FJ1087" s="1"/>
      <c r="FK1087" s="1"/>
      <c r="FL1087" s="1"/>
      <c r="FM1087" s="1"/>
      <c r="FN1087" s="1"/>
      <c r="FO1087" s="1"/>
      <c r="FP1087" s="1"/>
      <c r="FQ1087" s="1"/>
      <c r="FR1087" s="1"/>
      <c r="FS1087" s="1"/>
      <c r="FT1087" s="1"/>
      <c r="FU1087" s="1"/>
      <c r="FV1087" s="1"/>
      <c r="FW1087" s="1"/>
      <c r="FX1087" s="1"/>
      <c r="FY1087" s="1"/>
      <c r="FZ1087" s="1"/>
      <c r="GA1087" s="1"/>
      <c r="GB1087" s="1"/>
      <c r="GC1087" s="1"/>
      <c r="GD1087" s="1"/>
      <c r="GE1087" s="1"/>
      <c r="GF1087" s="1"/>
      <c r="GG1087" s="1"/>
      <c r="GH1087" s="1"/>
      <c r="GI1087" s="1"/>
      <c r="GJ1087" s="1"/>
      <c r="GK1087" s="1"/>
      <c r="GL1087" s="1"/>
      <c r="GM1087" s="1"/>
      <c r="GN1087" s="1"/>
      <c r="GO1087" s="1"/>
      <c r="GP1087" s="1"/>
      <c r="GQ1087" s="1"/>
      <c r="GR1087" s="1"/>
      <c r="GS1087" s="1"/>
      <c r="GT1087" s="1"/>
      <c r="GU1087" s="1"/>
      <c r="GV1087" s="1"/>
      <c r="GW1087" s="1"/>
      <c r="GX1087" s="1"/>
      <c r="GY1087" s="1"/>
      <c r="GZ1087" s="1"/>
      <c r="HA1087" s="1"/>
      <c r="HB1087" s="1"/>
      <c r="HC1087" s="1"/>
      <c r="HD1087" s="1"/>
      <c r="HE1087" s="1"/>
      <c r="HF1087" s="1"/>
      <c r="HG1087" s="1"/>
      <c r="HH1087" s="1"/>
      <c r="HI1087" s="1"/>
      <c r="HJ1087" s="1"/>
      <c r="HK1087" s="1"/>
      <c r="HL1087" s="1"/>
      <c r="HM1087" s="1"/>
      <c r="HN1087" s="1"/>
      <c r="HO1087" s="1"/>
      <c r="HP1087" s="1"/>
      <c r="HQ1087" s="1"/>
      <c r="HR1087" s="1"/>
      <c r="HS1087" s="1"/>
      <c r="HT1087" s="1"/>
      <c r="HU1087" s="1"/>
      <c r="HV1087" s="1"/>
      <c r="HW1087" s="1"/>
      <c r="HX1087" s="1"/>
      <c r="HY1087" s="1"/>
      <c r="HZ1087" s="1"/>
      <c r="IA1087" s="1"/>
      <c r="IB1087" s="1"/>
      <c r="IC1087" s="1"/>
      <c r="ID1087" s="1"/>
      <c r="IE1087" s="1"/>
      <c r="IF1087" s="1"/>
      <c r="IG1087" s="1"/>
      <c r="IH1087" s="1"/>
      <c r="II1087" s="1"/>
      <c r="IJ1087" s="1"/>
      <c r="IK1087" s="1"/>
      <c r="IL1087" s="1"/>
      <c r="IM1087" s="1"/>
      <c r="IN1087" s="1"/>
      <c r="IO1087" s="1"/>
      <c r="IP1087" s="1"/>
      <c r="IQ1087" s="1"/>
      <c r="IR1087" s="1"/>
      <c r="IS1087" s="1"/>
      <c r="IT1087" s="1"/>
      <c r="IU1087" s="1"/>
      <c r="IV1087" s="1"/>
      <c r="IW1087" s="1"/>
      <c r="IX1087" s="1"/>
      <c r="IY1087" s="1"/>
      <c r="IZ1087" s="1"/>
      <c r="JA1087" s="1"/>
      <c r="JB1087" s="1"/>
      <c r="JC1087" s="1"/>
      <c r="JD1087" s="1"/>
    </row>
    <row r="1088" spans="1:264" s="411" customFormat="1" x14ac:dyDescent="0.2">
      <c r="A1088" s="347" t="s">
        <v>738</v>
      </c>
      <c r="B1088" s="423"/>
      <c r="BH1088" s="348"/>
      <c r="BI1088" s="348"/>
      <c r="BJ1088" s="348"/>
      <c r="BK1088" s="423"/>
      <c r="BL1088" s="489"/>
      <c r="BM1088" s="489"/>
      <c r="BN1088" s="489"/>
      <c r="BO1088" s="423"/>
      <c r="BP1088" s="489"/>
      <c r="BQ1088" s="489"/>
      <c r="CJ1088" s="769">
        <f>CJ1157</f>
        <v>0.11661924417905663</v>
      </c>
      <c r="CK1088" s="769">
        <f>CK1157</f>
        <v>0.115509904428638</v>
      </c>
      <c r="CN1088" s="769">
        <f>CN1157</f>
        <v>0.12582228140100879</v>
      </c>
      <c r="CO1088" s="769">
        <f>CO1157</f>
        <v>0.1305493920298216</v>
      </c>
      <c r="CR1088" s="769">
        <f>CR1157</f>
        <v>0.11752665136769035</v>
      </c>
      <c r="CS1088" s="769">
        <f>CS1157</f>
        <v>0.11452885364697565</v>
      </c>
      <c r="CV1088" s="769">
        <f>CV1157</f>
        <v>0.11410444506126333</v>
      </c>
      <c r="CW1088" s="769">
        <f>CW1157</f>
        <v>0.12160250602574403</v>
      </c>
      <c r="CZ1088" s="769">
        <f>CZ1157</f>
        <v>0.12343737867846882</v>
      </c>
      <c r="DA1088" s="769">
        <f>DA1157</f>
        <v>0.12338974785638358</v>
      </c>
      <c r="DD1088" s="769">
        <f>DD1157</f>
        <v>0.12204557092184613</v>
      </c>
      <c r="DE1088" s="769">
        <f>DE1157</f>
        <v>0.12288141571516391</v>
      </c>
      <c r="DH1088" s="769">
        <f>DH1157</f>
        <v>0.12254259761334627</v>
      </c>
      <c r="DI1088" s="769">
        <f ca="1">DI1157</f>
        <v>0.12137499376977245</v>
      </c>
      <c r="DL1088" s="769">
        <f ca="1">DL1157</f>
        <v>0.11993382355612094</v>
      </c>
      <c r="DM1088" s="769">
        <f ca="1">DM1157</f>
        <v>0.1184715426814056</v>
      </c>
      <c r="DP1088" s="769">
        <f ca="1">DP1157</f>
        <v>0.11746741994188369</v>
      </c>
      <c r="DQ1088" s="769">
        <f ca="1">DQ1157</f>
        <v>0.11696142567081413</v>
      </c>
      <c r="DT1088" s="1"/>
      <c r="DU1088" s="1"/>
      <c r="DV1088" s="1"/>
      <c r="DW1088" s="1"/>
      <c r="DX1088" s="1"/>
      <c r="DY1088" s="1"/>
      <c r="DZ1088" s="1"/>
      <c r="EA1088" s="1"/>
      <c r="EB1088" s="1"/>
      <c r="EC1088" s="1"/>
      <c r="ED1088" s="1"/>
      <c r="EE1088" s="1"/>
      <c r="EF1088" s="1"/>
      <c r="EG1088" s="1"/>
      <c r="EH1088" s="1"/>
      <c r="EI1088" s="1"/>
      <c r="EJ1088" s="1"/>
      <c r="EK1088" s="1"/>
      <c r="EL1088" s="1"/>
      <c r="EM1088" s="1"/>
      <c r="EN1088" s="1"/>
      <c r="EO1088" s="1"/>
      <c r="EP1088" s="1"/>
      <c r="EQ1088" s="1"/>
      <c r="ER1088" s="1"/>
      <c r="ES1088" s="1"/>
      <c r="ET1088" s="1"/>
      <c r="EU1088" s="1"/>
      <c r="EV1088" s="1"/>
      <c r="EW1088" s="1"/>
      <c r="EX1088" s="1"/>
      <c r="EY1088" s="1"/>
      <c r="EZ1088" s="1"/>
      <c r="FA1088" s="1"/>
      <c r="FB1088" s="1"/>
      <c r="FC1088" s="1"/>
      <c r="FD1088" s="1"/>
      <c r="FE1088" s="1"/>
      <c r="FF1088" s="1"/>
      <c r="FG1088" s="1"/>
      <c r="FH1088" s="1"/>
      <c r="FI1088" s="1"/>
      <c r="FJ1088" s="1"/>
      <c r="FK1088" s="1"/>
      <c r="FL1088" s="1"/>
      <c r="FM1088" s="1"/>
      <c r="FN1088" s="1"/>
      <c r="FO1088" s="1"/>
      <c r="FP1088" s="1"/>
      <c r="FQ1088" s="1"/>
      <c r="FR1088" s="1"/>
      <c r="FS1088" s="1"/>
      <c r="FT1088" s="1"/>
      <c r="FU1088" s="1"/>
      <c r="FV1088" s="1"/>
      <c r="FW1088" s="1"/>
      <c r="FX1088" s="1"/>
      <c r="FY1088" s="1"/>
      <c r="FZ1088" s="1"/>
      <c r="GA1088" s="1"/>
      <c r="GB1088" s="1"/>
      <c r="GC1088" s="1"/>
      <c r="GD1088" s="1"/>
      <c r="GE1088" s="1"/>
      <c r="GF1088" s="1"/>
      <c r="GG1088" s="1"/>
      <c r="GH1088" s="1"/>
      <c r="GI1088" s="1"/>
      <c r="GJ1088" s="1"/>
      <c r="GK1088" s="1"/>
      <c r="GL1088" s="1"/>
      <c r="GM1088" s="1"/>
      <c r="GN1088" s="1"/>
      <c r="GO1088" s="1"/>
      <c r="GP1088" s="1"/>
      <c r="GQ1088" s="1"/>
      <c r="GR1088" s="1"/>
      <c r="GS1088" s="1"/>
      <c r="GT1088" s="1"/>
      <c r="GU1088" s="1"/>
      <c r="GV1088" s="1"/>
      <c r="GW1088" s="1"/>
      <c r="GX1088" s="1"/>
      <c r="GY1088" s="1"/>
      <c r="GZ1088" s="1"/>
      <c r="HA1088" s="1"/>
      <c r="HB1088" s="1"/>
      <c r="HC1088" s="1"/>
      <c r="HD1088" s="1"/>
      <c r="HE1088" s="1"/>
      <c r="HF1088" s="1"/>
      <c r="HG1088" s="1"/>
      <c r="HH1088" s="1"/>
      <c r="HI1088" s="1"/>
      <c r="HJ1088" s="1"/>
      <c r="HK1088" s="1"/>
      <c r="HL1088" s="1"/>
      <c r="HM1088" s="1"/>
      <c r="HN1088" s="1"/>
      <c r="HO1088" s="1"/>
      <c r="HP1088" s="1"/>
      <c r="HQ1088" s="1"/>
      <c r="HR1088" s="1"/>
      <c r="HS1088" s="1"/>
      <c r="HT1088" s="1"/>
      <c r="HU1088" s="1"/>
      <c r="HV1088" s="1"/>
      <c r="HW1088" s="1"/>
      <c r="HX1088" s="1"/>
      <c r="HY1088" s="1"/>
      <c r="HZ1088" s="1"/>
      <c r="IA1088" s="1"/>
      <c r="IB1088" s="1"/>
      <c r="IC1088" s="1"/>
      <c r="ID1088" s="1"/>
      <c r="IE1088" s="1"/>
      <c r="IF1088" s="1"/>
      <c r="IG1088" s="1"/>
      <c r="IH1088" s="1"/>
      <c r="II1088" s="1"/>
      <c r="IJ1088" s="1"/>
      <c r="IK1088" s="1"/>
      <c r="IL1088" s="1"/>
      <c r="IM1088" s="1"/>
      <c r="IN1088" s="1"/>
      <c r="IO1088" s="1"/>
      <c r="IP1088" s="1"/>
      <c r="IQ1088" s="1"/>
      <c r="IR1088" s="1"/>
      <c r="IS1088" s="1"/>
      <c r="IT1088" s="1"/>
      <c r="IU1088" s="1"/>
      <c r="IV1088" s="1"/>
      <c r="IW1088" s="1"/>
      <c r="IX1088" s="1"/>
      <c r="IY1088" s="1"/>
      <c r="IZ1088" s="1"/>
      <c r="JA1088" s="1"/>
      <c r="JB1088" s="1"/>
      <c r="JC1088" s="1"/>
      <c r="JD1088" s="1"/>
    </row>
    <row r="1089" spans="1:264" s="411" customFormat="1" ht="13.5" thickBot="1" x14ac:dyDescent="0.25">
      <c r="A1089" s="463" t="s">
        <v>739</v>
      </c>
      <c r="B1089" s="522"/>
      <c r="C1089" s="521"/>
      <c r="D1089" s="521"/>
      <c r="E1089" s="521"/>
      <c r="F1089" s="521"/>
      <c r="G1089" s="521"/>
      <c r="H1089" s="521"/>
      <c r="I1089" s="521"/>
      <c r="J1089" s="521"/>
      <c r="K1089" s="521"/>
      <c r="L1089" s="521"/>
      <c r="M1089" s="521"/>
      <c r="N1089" s="521"/>
      <c r="O1089" s="521"/>
      <c r="P1089" s="521"/>
      <c r="Q1089" s="521"/>
      <c r="R1089" s="521"/>
      <c r="S1089" s="521"/>
      <c r="T1089" s="521"/>
      <c r="U1089" s="521"/>
      <c r="V1089" s="521"/>
      <c r="W1089" s="521"/>
      <c r="X1089" s="521"/>
      <c r="Y1089" s="521"/>
      <c r="Z1089" s="521"/>
      <c r="AA1089" s="521"/>
      <c r="AB1089" s="521"/>
      <c r="AC1089" s="521"/>
      <c r="AD1089" s="521"/>
      <c r="AE1089" s="521"/>
      <c r="AF1089" s="521"/>
      <c r="AG1089" s="521"/>
      <c r="AH1089" s="521"/>
      <c r="AI1089" s="521"/>
      <c r="AJ1089" s="521"/>
      <c r="AK1089" s="521"/>
      <c r="AL1089" s="521"/>
      <c r="AM1089" s="521"/>
      <c r="AN1089" s="521"/>
      <c r="AO1089" s="521"/>
      <c r="AP1089" s="521"/>
      <c r="AQ1089" s="521"/>
      <c r="AR1089" s="521"/>
      <c r="AS1089" s="521"/>
      <c r="AT1089" s="521"/>
      <c r="AU1089" s="521"/>
      <c r="AV1089" s="521"/>
      <c r="AW1089" s="521"/>
      <c r="AX1089" s="521"/>
      <c r="AY1089" s="521"/>
      <c r="AZ1089" s="521"/>
      <c r="BA1089" s="521"/>
      <c r="BB1089" s="521"/>
      <c r="BC1089" s="521"/>
      <c r="BD1089" s="521"/>
      <c r="BE1089" s="521"/>
      <c r="BF1089" s="521"/>
      <c r="BG1089" s="521"/>
      <c r="BH1089" s="522"/>
      <c r="BI1089" s="522"/>
      <c r="BJ1089" s="522"/>
      <c r="BK1089" s="522"/>
      <c r="BL1089" s="770"/>
      <c r="BM1089" s="770"/>
      <c r="BN1089" s="522"/>
      <c r="BO1089" s="522"/>
      <c r="BP1089" s="770"/>
      <c r="BQ1089" s="770"/>
      <c r="BR1089" s="521"/>
      <c r="BS1089" s="521"/>
      <c r="BT1089" s="521"/>
      <c r="BU1089" s="521"/>
      <c r="BV1089" s="521"/>
      <c r="BW1089" s="521"/>
      <c r="BX1089" s="521"/>
      <c r="BY1089" s="521"/>
      <c r="BZ1089" s="521"/>
      <c r="CA1089" s="521"/>
      <c r="CB1089" s="521"/>
      <c r="CC1089" s="521"/>
      <c r="CD1089" s="521"/>
      <c r="CE1089" s="521"/>
      <c r="CF1089" s="521"/>
      <c r="CG1089" s="521"/>
      <c r="CH1089" s="521"/>
      <c r="CI1089" s="521"/>
      <c r="CJ1089" s="521"/>
      <c r="CK1089" s="521"/>
      <c r="CL1089" s="521"/>
      <c r="CM1089" s="521"/>
      <c r="CN1089" s="521"/>
      <c r="CO1089" s="521"/>
      <c r="CP1089" s="521"/>
      <c r="CQ1089" s="521"/>
      <c r="CR1089" s="521"/>
      <c r="CS1089" s="521"/>
      <c r="CT1089" s="521"/>
      <c r="CU1089" s="521"/>
      <c r="CV1089" s="521"/>
      <c r="CW1089" s="727"/>
      <c r="CX1089" s="521"/>
      <c r="CY1089" s="521"/>
      <c r="CZ1089" s="521"/>
      <c r="DA1089" s="727"/>
      <c r="DB1089" s="521"/>
      <c r="DC1089" s="521"/>
      <c r="DD1089" s="521"/>
      <c r="DE1089" s="727"/>
      <c r="DF1089" s="521"/>
      <c r="DG1089" s="521"/>
      <c r="DH1089" s="521"/>
      <c r="DI1089" s="771">
        <v>0.105</v>
      </c>
      <c r="DJ1089" s="521"/>
      <c r="DK1089" s="521"/>
      <c r="DL1089" s="771">
        <v>0.105</v>
      </c>
      <c r="DM1089" s="727">
        <f>DL1089</f>
        <v>0.105</v>
      </c>
      <c r="DN1089" s="521"/>
      <c r="DO1089" s="521"/>
      <c r="DP1089" s="771">
        <v>0.105</v>
      </c>
      <c r="DQ1089" s="727">
        <f>DP1089</f>
        <v>0.105</v>
      </c>
      <c r="DR1089" s="521"/>
      <c r="DS1089" s="521"/>
      <c r="DT1089" s="1"/>
      <c r="DU1089" s="1"/>
      <c r="DV1089" s="1"/>
      <c r="DW1089" s="1"/>
      <c r="DX1089" s="1"/>
      <c r="DY1089" s="1"/>
      <c r="DZ1089" s="1"/>
      <c r="EA1089" s="1"/>
      <c r="EB1089" s="1"/>
      <c r="EC1089" s="1"/>
      <c r="ED1089" s="1"/>
      <c r="EE1089" s="1"/>
      <c r="EF1089" s="1"/>
      <c r="EG1089" s="1"/>
      <c r="EH1089" s="1"/>
      <c r="EI1089" s="1"/>
      <c r="EJ1089" s="1"/>
      <c r="EK1089" s="1"/>
      <c r="EL1089" s="1"/>
      <c r="EM1089" s="1"/>
      <c r="EN1089" s="1"/>
      <c r="EO1089" s="1"/>
      <c r="EP1089" s="1"/>
      <c r="EQ1089" s="1"/>
      <c r="ER1089" s="1"/>
      <c r="ES1089" s="1"/>
      <c r="ET1089" s="1"/>
      <c r="EU1089" s="1"/>
      <c r="EV1089" s="1"/>
      <c r="EW1089" s="1"/>
      <c r="EX1089" s="1"/>
      <c r="EY1089" s="1"/>
      <c r="EZ1089" s="1"/>
      <c r="FA1089" s="1"/>
      <c r="FB1089" s="1"/>
      <c r="FC1089" s="1"/>
      <c r="FD1089" s="1"/>
      <c r="FE1089" s="1"/>
      <c r="FF1089" s="1"/>
      <c r="FG1089" s="1"/>
      <c r="FH1089" s="1"/>
      <c r="FI1089" s="1"/>
      <c r="FJ1089" s="1"/>
      <c r="FK1089" s="1"/>
      <c r="FL1089" s="1"/>
      <c r="FM1089" s="1"/>
      <c r="FN1089" s="1"/>
      <c r="FO1089" s="1"/>
      <c r="FP1089" s="1"/>
      <c r="FQ1089" s="1"/>
      <c r="FR1089" s="1"/>
      <c r="FS1089" s="1"/>
      <c r="FT1089" s="1"/>
      <c r="FU1089" s="1"/>
      <c r="FV1089" s="1"/>
      <c r="FW1089" s="1"/>
      <c r="FX1089" s="1"/>
      <c r="FY1089" s="1"/>
      <c r="FZ1089" s="1"/>
      <c r="GA1089" s="1"/>
      <c r="GB1089" s="1"/>
      <c r="GC1089" s="1"/>
      <c r="GD1089" s="1"/>
      <c r="GE1089" s="1"/>
      <c r="GF1089" s="1"/>
      <c r="GG1089" s="1"/>
      <c r="GH1089" s="1"/>
      <c r="GI1089" s="1"/>
      <c r="GJ1089" s="1"/>
      <c r="GK1089" s="1"/>
      <c r="GL1089" s="1"/>
      <c r="GM1089" s="1"/>
      <c r="GN1089" s="1"/>
      <c r="GO1089" s="1"/>
      <c r="GP1089" s="1"/>
      <c r="GQ1089" s="1"/>
      <c r="GR1089" s="1"/>
      <c r="GS1089" s="1"/>
      <c r="GT1089" s="1"/>
      <c r="GU1089" s="1"/>
      <c r="GV1089" s="1"/>
      <c r="GW1089" s="1"/>
      <c r="GX1089" s="1"/>
      <c r="GY1089" s="1"/>
      <c r="GZ1089" s="1"/>
      <c r="HA1089" s="1"/>
      <c r="HB1089" s="1"/>
      <c r="HC1089" s="1"/>
      <c r="HD1089" s="1"/>
      <c r="HE1089" s="1"/>
      <c r="HF1089" s="1"/>
      <c r="HG1089" s="1"/>
      <c r="HH1089" s="1"/>
      <c r="HI1089" s="1"/>
      <c r="HJ1089" s="1"/>
      <c r="HK1089" s="1"/>
      <c r="HL1089" s="1"/>
      <c r="HM1089" s="1"/>
      <c r="HN1089" s="1"/>
      <c r="HO1089" s="1"/>
      <c r="HP1089" s="1"/>
      <c r="HQ1089" s="1"/>
      <c r="HR1089" s="1"/>
      <c r="HS1089" s="1"/>
      <c r="HT1089" s="1"/>
      <c r="HU1089" s="1"/>
      <c r="HV1089" s="1"/>
      <c r="HW1089" s="1"/>
      <c r="HX1089" s="1"/>
      <c r="HY1089" s="1"/>
      <c r="HZ1089" s="1"/>
      <c r="IA1089" s="1"/>
      <c r="IB1089" s="1"/>
      <c r="IC1089" s="1"/>
      <c r="ID1089" s="1"/>
      <c r="IE1089" s="1"/>
      <c r="IF1089" s="1"/>
      <c r="IG1089" s="1"/>
      <c r="IH1089" s="1"/>
      <c r="II1089" s="1"/>
      <c r="IJ1089" s="1"/>
      <c r="IK1089" s="1"/>
      <c r="IL1089" s="1"/>
      <c r="IM1089" s="1"/>
      <c r="IN1089" s="1"/>
      <c r="IO1089" s="1"/>
      <c r="IP1089" s="1"/>
      <c r="IQ1089" s="1"/>
      <c r="IR1089" s="1"/>
      <c r="IS1089" s="1"/>
      <c r="IT1089" s="1"/>
      <c r="IU1089" s="1"/>
      <c r="IV1089" s="1"/>
      <c r="IW1089" s="1"/>
      <c r="IX1089" s="1"/>
      <c r="IY1089" s="1"/>
      <c r="IZ1089" s="1"/>
      <c r="JA1089" s="1"/>
      <c r="JB1089" s="1"/>
      <c r="JC1089" s="1"/>
      <c r="JD1089" s="1"/>
    </row>
    <row r="1090" spans="1:264" s="411" customFormat="1" x14ac:dyDescent="0.2">
      <c r="A1090" s="347" t="s">
        <v>740</v>
      </c>
      <c r="B1090" s="423"/>
      <c r="BH1090" s="423"/>
      <c r="BI1090" s="423"/>
      <c r="BJ1090" s="423"/>
      <c r="BK1090" s="423"/>
      <c r="BL1090" s="489"/>
      <c r="BM1090" s="489"/>
      <c r="BN1090" s="423"/>
      <c r="BO1090" s="423"/>
      <c r="BP1090" s="489"/>
      <c r="BQ1090" s="489"/>
      <c r="CS1090" s="489"/>
      <c r="CW1090" s="489"/>
      <c r="DA1090" s="489"/>
      <c r="DE1090" s="489"/>
      <c r="DI1090" s="489">
        <f ca="1">IF(DI1088&lt;DI1089,(DI1088-DI1089),0)</f>
        <v>0</v>
      </c>
      <c r="DL1090" s="489">
        <f ca="1">IF(DL1088&lt;DL1089,(DL1088-DL1089),0)</f>
        <v>0</v>
      </c>
      <c r="DM1090" s="489">
        <f ca="1">IF(DM1088&lt;DM1089,(DM1088-DM1089),0)</f>
        <v>0</v>
      </c>
      <c r="DP1090" s="489">
        <f ca="1">IF(DP1088&lt;DP1089,(DP1088-DP1089),0)</f>
        <v>0</v>
      </c>
      <c r="DQ1090" s="489">
        <f ca="1">IF(DQ1088&lt;DQ1089,(DQ1088-DQ1089),0)</f>
        <v>0</v>
      </c>
      <c r="DT1090" s="1"/>
      <c r="DU1090" s="1"/>
      <c r="DV1090" s="1"/>
      <c r="DW1090" s="1"/>
      <c r="DX1090" s="1"/>
      <c r="DY1090" s="1"/>
      <c r="DZ1090" s="1"/>
      <c r="EA1090" s="1"/>
      <c r="EB1090" s="1"/>
      <c r="EC1090" s="1"/>
      <c r="ED1090" s="1"/>
      <c r="EE1090" s="1"/>
      <c r="EF1090" s="1"/>
      <c r="EG1090" s="1"/>
      <c r="EH1090" s="1"/>
      <c r="EI1090" s="1"/>
      <c r="EJ1090" s="1"/>
      <c r="EK1090" s="1"/>
      <c r="EL1090" s="1"/>
      <c r="EM1090" s="1"/>
      <c r="EN1090" s="1"/>
      <c r="EO1090" s="1"/>
      <c r="EP1090" s="1"/>
      <c r="EQ1090" s="1"/>
      <c r="ER1090" s="1"/>
      <c r="ES1090" s="1"/>
      <c r="ET1090" s="1"/>
      <c r="EU1090" s="1"/>
      <c r="EV1090" s="1"/>
      <c r="EW1090" s="1"/>
      <c r="EX1090" s="1"/>
      <c r="EY1090" s="1"/>
      <c r="EZ1090" s="1"/>
      <c r="FA1090" s="1"/>
      <c r="FB1090" s="1"/>
      <c r="FC1090" s="1"/>
      <c r="FD1090" s="1"/>
      <c r="FE1090" s="1"/>
      <c r="FF1090" s="1"/>
      <c r="FG1090" s="1"/>
      <c r="FH1090" s="1"/>
      <c r="FI1090" s="1"/>
      <c r="FJ1090" s="1"/>
      <c r="FK1090" s="1"/>
      <c r="FL1090" s="1"/>
      <c r="FM1090" s="1"/>
      <c r="FN1090" s="1"/>
      <c r="FO1090" s="1"/>
      <c r="FP1090" s="1"/>
      <c r="FQ1090" s="1"/>
      <c r="FR1090" s="1"/>
      <c r="FS1090" s="1"/>
      <c r="FT1090" s="1"/>
      <c r="FU1090" s="1"/>
      <c r="FV1090" s="1"/>
      <c r="FW1090" s="1"/>
      <c r="FX1090" s="1"/>
      <c r="FY1090" s="1"/>
      <c r="FZ1090" s="1"/>
      <c r="GA1090" s="1"/>
      <c r="GB1090" s="1"/>
      <c r="GC1090" s="1"/>
      <c r="GD1090" s="1"/>
      <c r="GE1090" s="1"/>
      <c r="GF1090" s="1"/>
      <c r="GG1090" s="1"/>
      <c r="GH1090" s="1"/>
      <c r="GI1090" s="1"/>
      <c r="GJ1090" s="1"/>
      <c r="GK1090" s="1"/>
      <c r="GL1090" s="1"/>
      <c r="GM1090" s="1"/>
      <c r="GN1090" s="1"/>
      <c r="GO1090" s="1"/>
      <c r="GP1090" s="1"/>
      <c r="GQ1090" s="1"/>
      <c r="GR1090" s="1"/>
      <c r="GS1090" s="1"/>
      <c r="GT1090" s="1"/>
      <c r="GU1090" s="1"/>
      <c r="GV1090" s="1"/>
      <c r="GW1090" s="1"/>
      <c r="GX1090" s="1"/>
      <c r="GY1090" s="1"/>
      <c r="GZ1090" s="1"/>
      <c r="HA1090" s="1"/>
      <c r="HB1090" s="1"/>
      <c r="HC1090" s="1"/>
      <c r="HD1090" s="1"/>
      <c r="HE1090" s="1"/>
      <c r="HF1090" s="1"/>
      <c r="HG1090" s="1"/>
      <c r="HH1090" s="1"/>
      <c r="HI1090" s="1"/>
      <c r="HJ1090" s="1"/>
      <c r="HK1090" s="1"/>
      <c r="HL1090" s="1"/>
      <c r="HM1090" s="1"/>
      <c r="HN1090" s="1"/>
      <c r="HO1090" s="1"/>
      <c r="HP1090" s="1"/>
      <c r="HQ1090" s="1"/>
      <c r="HR1090" s="1"/>
      <c r="HS1090" s="1"/>
      <c r="HT1090" s="1"/>
      <c r="HU1090" s="1"/>
      <c r="HV1090" s="1"/>
      <c r="HW1090" s="1"/>
      <c r="HX1090" s="1"/>
      <c r="HY1090" s="1"/>
      <c r="HZ1090" s="1"/>
      <c r="IA1090" s="1"/>
      <c r="IB1090" s="1"/>
      <c r="IC1090" s="1"/>
      <c r="ID1090" s="1"/>
      <c r="IE1090" s="1"/>
      <c r="IF1090" s="1"/>
      <c r="IG1090" s="1"/>
      <c r="IH1090" s="1"/>
      <c r="II1090" s="1"/>
      <c r="IJ1090" s="1"/>
      <c r="IK1090" s="1"/>
      <c r="IL1090" s="1"/>
      <c r="IM1090" s="1"/>
      <c r="IN1090" s="1"/>
      <c r="IO1090" s="1"/>
      <c r="IP1090" s="1"/>
      <c r="IQ1090" s="1"/>
      <c r="IR1090" s="1"/>
      <c r="IS1090" s="1"/>
      <c r="IT1090" s="1"/>
      <c r="IU1090" s="1"/>
      <c r="IV1090" s="1"/>
      <c r="IW1090" s="1"/>
      <c r="IX1090" s="1"/>
      <c r="IY1090" s="1"/>
      <c r="IZ1090" s="1"/>
      <c r="JA1090" s="1"/>
      <c r="JB1090" s="1"/>
      <c r="JC1090" s="1"/>
      <c r="JD1090" s="1"/>
    </row>
    <row r="1091" spans="1:264" s="411" customFormat="1" x14ac:dyDescent="0.2">
      <c r="A1091" s="347" t="s">
        <v>741</v>
      </c>
      <c r="B1091" s="423"/>
      <c r="BH1091" s="423"/>
      <c r="BI1091" s="423"/>
      <c r="BJ1091" s="423"/>
      <c r="BK1091" s="423"/>
      <c r="BL1091" s="351"/>
      <c r="BM1091" s="351"/>
      <c r="BN1091" s="423"/>
      <c r="BO1091" s="423"/>
      <c r="BP1091" s="351"/>
      <c r="BQ1091" s="351"/>
      <c r="CS1091" s="351"/>
      <c r="CW1091" s="351"/>
      <c r="DA1091" s="351"/>
      <c r="DE1091" s="351"/>
      <c r="DI1091" s="351">
        <f ca="1">DI1090*DI1087</f>
        <v>0</v>
      </c>
      <c r="DL1091" s="351">
        <f ca="1">DL1090*DL1087</f>
        <v>0</v>
      </c>
      <c r="DM1091" s="351">
        <f ca="1">DM1090*DM1087</f>
        <v>0</v>
      </c>
      <c r="DP1091" s="351">
        <f ca="1">DP1090*DP1087</f>
        <v>0</v>
      </c>
      <c r="DQ1091" s="351">
        <f ca="1">DQ1090*DQ1087</f>
        <v>0</v>
      </c>
      <c r="DT1091" s="1"/>
      <c r="DU1091" s="1"/>
      <c r="DV1091" s="1"/>
      <c r="DW1091" s="1"/>
      <c r="DX1091" s="1"/>
      <c r="DY1091" s="1"/>
      <c r="DZ1091" s="1"/>
      <c r="EA1091" s="1"/>
      <c r="EB1091" s="1"/>
      <c r="EC1091" s="1"/>
      <c r="ED1091" s="1"/>
      <c r="EE1091" s="1"/>
      <c r="EF1091" s="1"/>
      <c r="EG1091" s="1"/>
      <c r="EH1091" s="1"/>
      <c r="EI1091" s="1"/>
      <c r="EJ1091" s="1"/>
      <c r="EK1091" s="1"/>
      <c r="EL1091" s="1"/>
      <c r="EM1091" s="1"/>
      <c r="EN1091" s="1"/>
      <c r="EO1091" s="1"/>
      <c r="EP1091" s="1"/>
      <c r="EQ1091" s="1"/>
      <c r="ER1091" s="1"/>
      <c r="ES1091" s="1"/>
      <c r="ET1091" s="1"/>
      <c r="EU1091" s="1"/>
      <c r="EV1091" s="1"/>
      <c r="EW1091" s="1"/>
      <c r="EX1091" s="1"/>
      <c r="EY1091" s="1"/>
      <c r="EZ1091" s="1"/>
      <c r="FA1091" s="1"/>
      <c r="FB1091" s="1"/>
      <c r="FC1091" s="1"/>
      <c r="FD1091" s="1"/>
      <c r="FE1091" s="1"/>
      <c r="FF1091" s="1"/>
      <c r="FG1091" s="1"/>
      <c r="FH1091" s="1"/>
      <c r="FI1091" s="1"/>
      <c r="FJ1091" s="1"/>
      <c r="FK1091" s="1"/>
      <c r="FL1091" s="1"/>
      <c r="FM1091" s="1"/>
      <c r="FN1091" s="1"/>
      <c r="FO1091" s="1"/>
      <c r="FP1091" s="1"/>
      <c r="FQ1091" s="1"/>
      <c r="FR1091" s="1"/>
      <c r="FS1091" s="1"/>
      <c r="FT1091" s="1"/>
      <c r="FU1091" s="1"/>
      <c r="FV1091" s="1"/>
      <c r="FW1091" s="1"/>
      <c r="FX1091" s="1"/>
      <c r="FY1091" s="1"/>
      <c r="FZ1091" s="1"/>
      <c r="GA1091" s="1"/>
      <c r="GB1091" s="1"/>
      <c r="GC1091" s="1"/>
      <c r="GD1091" s="1"/>
      <c r="GE1091" s="1"/>
      <c r="GF1091" s="1"/>
      <c r="GG1091" s="1"/>
      <c r="GH1091" s="1"/>
      <c r="GI1091" s="1"/>
      <c r="GJ1091" s="1"/>
      <c r="GK1091" s="1"/>
      <c r="GL1091" s="1"/>
      <c r="GM1091" s="1"/>
      <c r="GN1091" s="1"/>
      <c r="GO1091" s="1"/>
      <c r="GP1091" s="1"/>
      <c r="GQ1091" s="1"/>
      <c r="GR1091" s="1"/>
      <c r="GS1091" s="1"/>
      <c r="GT1091" s="1"/>
      <c r="GU1091" s="1"/>
      <c r="GV1091" s="1"/>
      <c r="GW1091" s="1"/>
      <c r="GX1091" s="1"/>
      <c r="GY1091" s="1"/>
      <c r="GZ1091" s="1"/>
      <c r="HA1091" s="1"/>
      <c r="HB1091" s="1"/>
      <c r="HC1091" s="1"/>
      <c r="HD1091" s="1"/>
      <c r="HE1091" s="1"/>
      <c r="HF1091" s="1"/>
      <c r="HG1091" s="1"/>
      <c r="HH1091" s="1"/>
      <c r="HI1091" s="1"/>
      <c r="HJ1091" s="1"/>
      <c r="HK1091" s="1"/>
      <c r="HL1091" s="1"/>
      <c r="HM1091" s="1"/>
      <c r="HN1091" s="1"/>
      <c r="HO1091" s="1"/>
      <c r="HP1091" s="1"/>
      <c r="HQ1091" s="1"/>
      <c r="HR1091" s="1"/>
      <c r="HS1091" s="1"/>
      <c r="HT1091" s="1"/>
      <c r="HU1091" s="1"/>
      <c r="HV1091" s="1"/>
      <c r="HW1091" s="1"/>
      <c r="HX1091" s="1"/>
      <c r="HY1091" s="1"/>
      <c r="HZ1091" s="1"/>
      <c r="IA1091" s="1"/>
      <c r="IB1091" s="1"/>
      <c r="IC1091" s="1"/>
      <c r="ID1091" s="1"/>
      <c r="IE1091" s="1"/>
      <c r="IF1091" s="1"/>
      <c r="IG1091" s="1"/>
      <c r="IH1091" s="1"/>
      <c r="II1091" s="1"/>
      <c r="IJ1091" s="1"/>
      <c r="IK1091" s="1"/>
      <c r="IL1091" s="1"/>
      <c r="IM1091" s="1"/>
      <c r="IN1091" s="1"/>
      <c r="IO1091" s="1"/>
      <c r="IP1091" s="1"/>
      <c r="IQ1091" s="1"/>
      <c r="IR1091" s="1"/>
      <c r="IS1091" s="1"/>
      <c r="IT1091" s="1"/>
      <c r="IU1091" s="1"/>
      <c r="IV1091" s="1"/>
      <c r="IW1091" s="1"/>
      <c r="IX1091" s="1"/>
      <c r="IY1091" s="1"/>
      <c r="IZ1091" s="1"/>
      <c r="JA1091" s="1"/>
      <c r="JB1091" s="1"/>
      <c r="JC1091" s="1"/>
      <c r="JD1091" s="1"/>
    </row>
    <row r="1092" spans="1:264" s="411" customFormat="1" x14ac:dyDescent="0.2">
      <c r="A1092" s="463" t="s">
        <v>742</v>
      </c>
      <c r="B1092" s="522"/>
      <c r="C1092" s="521"/>
      <c r="D1092" s="521"/>
      <c r="E1092" s="521"/>
      <c r="F1092" s="521"/>
      <c r="G1092" s="521"/>
      <c r="H1092" s="521"/>
      <c r="I1092" s="521"/>
      <c r="J1092" s="521"/>
      <c r="K1092" s="521"/>
      <c r="L1092" s="521"/>
      <c r="M1092" s="521"/>
      <c r="N1092" s="521"/>
      <c r="O1092" s="521"/>
      <c r="P1092" s="521"/>
      <c r="Q1092" s="521"/>
      <c r="R1092" s="521"/>
      <c r="S1092" s="521"/>
      <c r="T1092" s="521"/>
      <c r="U1092" s="521"/>
      <c r="V1092" s="521"/>
      <c r="W1092" s="521"/>
      <c r="X1092" s="521"/>
      <c r="Y1092" s="521"/>
      <c r="Z1092" s="521"/>
      <c r="AA1092" s="521"/>
      <c r="AB1092" s="521"/>
      <c r="AC1092" s="521"/>
      <c r="AD1092" s="521"/>
      <c r="AE1092" s="521"/>
      <c r="AF1092" s="521"/>
      <c r="AG1092" s="521"/>
      <c r="AH1092" s="521"/>
      <c r="AI1092" s="521"/>
      <c r="AJ1092" s="521"/>
      <c r="AK1092" s="521"/>
      <c r="AL1092" s="521"/>
      <c r="AM1092" s="521"/>
      <c r="AN1092" s="521"/>
      <c r="AO1092" s="521"/>
      <c r="AP1092" s="521"/>
      <c r="AQ1092" s="521"/>
      <c r="AR1092" s="521"/>
      <c r="AS1092" s="521"/>
      <c r="AT1092" s="521"/>
      <c r="AU1092" s="521"/>
      <c r="AV1092" s="521"/>
      <c r="AW1092" s="521"/>
      <c r="AX1092" s="521"/>
      <c r="AY1092" s="521"/>
      <c r="AZ1092" s="521"/>
      <c r="BA1092" s="521"/>
      <c r="BB1092" s="521"/>
      <c r="BC1092" s="521"/>
      <c r="BD1092" s="521"/>
      <c r="BE1092" s="521"/>
      <c r="BF1092" s="521"/>
      <c r="BG1092" s="521"/>
      <c r="BH1092" s="522"/>
      <c r="BI1092" s="522"/>
      <c r="BJ1092" s="522"/>
      <c r="BK1092" s="522"/>
      <c r="BL1092" s="770"/>
      <c r="BM1092" s="770"/>
      <c r="BN1092" s="522"/>
      <c r="BO1092" s="522"/>
      <c r="BP1092" s="770"/>
      <c r="BQ1092" s="770"/>
      <c r="BR1092" s="521"/>
      <c r="BS1092" s="521"/>
      <c r="BT1092" s="521"/>
      <c r="BU1092" s="521"/>
      <c r="BV1092" s="521"/>
      <c r="BW1092" s="521"/>
      <c r="BX1092" s="521"/>
      <c r="BY1092" s="521"/>
      <c r="BZ1092" s="521"/>
      <c r="CA1092" s="521"/>
      <c r="CB1092" s="521"/>
      <c r="CC1092" s="521"/>
      <c r="CD1092" s="521"/>
      <c r="CE1092" s="521"/>
      <c r="CF1092" s="521"/>
      <c r="CG1092" s="521"/>
      <c r="CH1092" s="521"/>
      <c r="CI1092" s="521"/>
      <c r="CJ1092" s="521"/>
      <c r="CK1092" s="521"/>
      <c r="CL1092" s="521"/>
      <c r="CM1092" s="521"/>
      <c r="CN1092" s="521"/>
      <c r="CO1092" s="521"/>
      <c r="CP1092" s="521"/>
      <c r="CQ1092" s="521"/>
      <c r="CR1092" s="521"/>
      <c r="CS1092" s="727"/>
      <c r="CT1092" s="521"/>
      <c r="CU1092" s="521"/>
      <c r="CV1092" s="521"/>
      <c r="CW1092" s="727"/>
      <c r="CX1092" s="521"/>
      <c r="CY1092" s="521"/>
      <c r="CZ1092" s="521"/>
      <c r="DA1092" s="727"/>
      <c r="DB1092" s="521"/>
      <c r="DC1092" s="521"/>
      <c r="DD1092" s="521"/>
      <c r="DE1092" s="727"/>
      <c r="DF1092" s="521"/>
      <c r="DG1092" s="521"/>
      <c r="DH1092" s="521"/>
      <c r="DI1092" s="727">
        <f>DH1092</f>
        <v>0</v>
      </c>
      <c r="DJ1092" s="521"/>
      <c r="DK1092" s="521"/>
      <c r="DL1092" s="727">
        <f>DI1092</f>
        <v>0</v>
      </c>
      <c r="DM1092" s="727">
        <f>DL1092</f>
        <v>0</v>
      </c>
      <c r="DN1092" s="521"/>
      <c r="DO1092" s="521"/>
      <c r="DP1092" s="727">
        <f>DM1092</f>
        <v>0</v>
      </c>
      <c r="DQ1092" s="727">
        <f>DP1092</f>
        <v>0</v>
      </c>
      <c r="DR1092" s="521"/>
      <c r="DS1092" s="521"/>
      <c r="DT1092" s="1"/>
      <c r="DU1092" s="1"/>
      <c r="DV1092" s="1"/>
      <c r="DW1092" s="1"/>
      <c r="DX1092" s="1"/>
      <c r="DY1092" s="1"/>
      <c r="DZ1092" s="1"/>
      <c r="EA1092" s="1"/>
      <c r="EB1092" s="1"/>
      <c r="EC1092" s="1"/>
      <c r="ED1092" s="1"/>
      <c r="EE1092" s="1"/>
      <c r="EF1092" s="1"/>
      <c r="EG1092" s="1"/>
      <c r="EH1092" s="1"/>
      <c r="EI1092" s="1"/>
      <c r="EJ1092" s="1"/>
      <c r="EK1092" s="1"/>
      <c r="EL1092" s="1"/>
      <c r="EM1092" s="1"/>
      <c r="EN1092" s="1"/>
      <c r="EO1092" s="1"/>
      <c r="EP1092" s="1"/>
      <c r="EQ1092" s="1"/>
      <c r="ER1092" s="1"/>
      <c r="ES1092" s="1"/>
      <c r="ET1092" s="1"/>
      <c r="EU1092" s="1"/>
      <c r="EV1092" s="1"/>
      <c r="EW1092" s="1"/>
      <c r="EX1092" s="1"/>
      <c r="EY1092" s="1"/>
      <c r="EZ1092" s="1"/>
      <c r="FA1092" s="1"/>
      <c r="FB1092" s="1"/>
      <c r="FC1092" s="1"/>
      <c r="FD1092" s="1"/>
      <c r="FE1092" s="1"/>
      <c r="FF1092" s="1"/>
      <c r="FG1092" s="1"/>
      <c r="FH1092" s="1"/>
      <c r="FI1092" s="1"/>
      <c r="FJ1092" s="1"/>
      <c r="FK1092" s="1"/>
      <c r="FL1092" s="1"/>
      <c r="FM1092" s="1"/>
      <c r="FN1092" s="1"/>
      <c r="FO1092" s="1"/>
      <c r="FP1092" s="1"/>
      <c r="FQ1092" s="1"/>
      <c r="FR1092" s="1"/>
      <c r="FS1092" s="1"/>
      <c r="FT1092" s="1"/>
      <c r="FU1092" s="1"/>
      <c r="FV1092" s="1"/>
      <c r="FW1092" s="1"/>
      <c r="FX1092" s="1"/>
      <c r="FY1092" s="1"/>
      <c r="FZ1092" s="1"/>
      <c r="GA1092" s="1"/>
      <c r="GB1092" s="1"/>
      <c r="GC1092" s="1"/>
      <c r="GD1092" s="1"/>
      <c r="GE1092" s="1"/>
      <c r="GF1092" s="1"/>
      <c r="GG1092" s="1"/>
      <c r="GH1092" s="1"/>
      <c r="GI1092" s="1"/>
      <c r="GJ1092" s="1"/>
      <c r="GK1092" s="1"/>
      <c r="GL1092" s="1"/>
      <c r="GM1092" s="1"/>
      <c r="GN1092" s="1"/>
      <c r="GO1092" s="1"/>
      <c r="GP1092" s="1"/>
      <c r="GQ1092" s="1"/>
      <c r="GR1092" s="1"/>
      <c r="GS1092" s="1"/>
      <c r="GT1092" s="1"/>
      <c r="GU1092" s="1"/>
      <c r="GV1092" s="1"/>
      <c r="GW1092" s="1"/>
      <c r="GX1092" s="1"/>
      <c r="GY1092" s="1"/>
      <c r="GZ1092" s="1"/>
      <c r="HA1092" s="1"/>
      <c r="HB1092" s="1"/>
      <c r="HC1092" s="1"/>
      <c r="HD1092" s="1"/>
      <c r="HE1092" s="1"/>
      <c r="HF1092" s="1"/>
      <c r="HG1092" s="1"/>
      <c r="HH1092" s="1"/>
      <c r="HI1092" s="1"/>
      <c r="HJ1092" s="1"/>
      <c r="HK1092" s="1"/>
      <c r="HL1092" s="1"/>
      <c r="HM1092" s="1"/>
      <c r="HN1092" s="1"/>
      <c r="HO1092" s="1"/>
      <c r="HP1092" s="1"/>
      <c r="HQ1092" s="1"/>
      <c r="HR1092" s="1"/>
      <c r="HS1092" s="1"/>
      <c r="HT1092" s="1"/>
      <c r="HU1092" s="1"/>
      <c r="HV1092" s="1"/>
      <c r="HW1092" s="1"/>
      <c r="HX1092" s="1"/>
      <c r="HY1092" s="1"/>
      <c r="HZ1092" s="1"/>
      <c r="IA1092" s="1"/>
      <c r="IB1092" s="1"/>
      <c r="IC1092" s="1"/>
      <c r="ID1092" s="1"/>
      <c r="IE1092" s="1"/>
      <c r="IF1092" s="1"/>
      <c r="IG1092" s="1"/>
      <c r="IH1092" s="1"/>
      <c r="II1092" s="1"/>
      <c r="IJ1092" s="1"/>
      <c r="IK1092" s="1"/>
      <c r="IL1092" s="1"/>
      <c r="IM1092" s="1"/>
      <c r="IN1092" s="1"/>
      <c r="IO1092" s="1"/>
      <c r="IP1092" s="1"/>
      <c r="IQ1092" s="1"/>
      <c r="IR1092" s="1"/>
      <c r="IS1092" s="1"/>
      <c r="IT1092" s="1"/>
      <c r="IU1092" s="1"/>
      <c r="IV1092" s="1"/>
      <c r="IW1092" s="1"/>
      <c r="IX1092" s="1"/>
      <c r="IY1092" s="1"/>
      <c r="IZ1092" s="1"/>
      <c r="JA1092" s="1"/>
      <c r="JB1092" s="1"/>
      <c r="JC1092" s="1"/>
      <c r="JD1092" s="1"/>
    </row>
    <row r="1093" spans="1:264" s="411" customFormat="1" x14ac:dyDescent="0.2">
      <c r="A1093" s="411" t="s">
        <v>743</v>
      </c>
      <c r="B1093" s="423"/>
      <c r="BH1093" s="396"/>
      <c r="BI1093" s="396"/>
      <c r="BJ1093" s="423"/>
      <c r="BK1093" s="423"/>
      <c r="BL1093" s="396"/>
      <c r="BM1093" s="396"/>
      <c r="BN1093" s="423"/>
      <c r="BO1093" s="423"/>
      <c r="BP1093" s="396"/>
      <c r="BQ1093" s="397">
        <f>BQ1095*BQ1094</f>
        <v>5088.0263005000006</v>
      </c>
      <c r="BS1093" s="489"/>
      <c r="BT1093" s="489"/>
      <c r="BU1093" s="489"/>
      <c r="BX1093" s="489"/>
      <c r="CB1093" s="489"/>
      <c r="CF1093" s="489"/>
      <c r="CJ1093" s="489"/>
      <c r="CN1093" s="489"/>
      <c r="CO1093" s="489"/>
      <c r="CR1093" s="489"/>
      <c r="CS1093" s="397"/>
      <c r="CV1093" s="489"/>
      <c r="CW1093" s="397"/>
      <c r="CZ1093" s="489"/>
      <c r="DA1093" s="397"/>
      <c r="DD1093" s="489"/>
      <c r="DE1093" s="397"/>
      <c r="DH1093" s="489"/>
      <c r="DI1093" s="397">
        <f ca="1">IF(DI1090&lt;0,(DI1092-DI1088)*DI1087,0)</f>
        <v>0</v>
      </c>
      <c r="DL1093" s="397">
        <f ca="1">IF(DL1090&lt;0,(DL1092-DL1088)*DL1087,0)</f>
        <v>0</v>
      </c>
      <c r="DM1093" s="397">
        <f ca="1">IF(DM1090&lt;0,(DM1092-DM1088)*DM1087,0)</f>
        <v>0</v>
      </c>
      <c r="DP1093" s="397">
        <f ca="1">IF(DP1090&lt;0,(DP1092-DP1088)*DP1087,0)</f>
        <v>0</v>
      </c>
      <c r="DQ1093" s="397">
        <f ca="1">IF(DQ1090&lt;0,(DQ1092-DQ1088)*DQ1087,0)</f>
        <v>0</v>
      </c>
      <c r="DT1093" s="1"/>
      <c r="DU1093" s="1"/>
      <c r="DV1093" s="1"/>
      <c r="DW1093" s="1"/>
      <c r="DX1093" s="1"/>
      <c r="DY1093" s="1"/>
      <c r="DZ1093" s="1"/>
      <c r="EA1093" s="1"/>
      <c r="EB1093" s="1"/>
      <c r="EC1093" s="1"/>
      <c r="ED1093" s="1"/>
      <c r="EE1093" s="1"/>
      <c r="EF1093" s="1"/>
      <c r="EG1093" s="1"/>
      <c r="EH1093" s="1"/>
      <c r="EI1093" s="1"/>
      <c r="EJ1093" s="1"/>
      <c r="EK1093" s="1"/>
      <c r="EL1093" s="1"/>
      <c r="EM1093" s="1"/>
      <c r="EN1093" s="1"/>
      <c r="EO1093" s="1"/>
      <c r="EP1093" s="1"/>
      <c r="EQ1093" s="1"/>
      <c r="ER1093" s="1"/>
      <c r="ES1093" s="1"/>
      <c r="ET1093" s="1"/>
      <c r="EU1093" s="1"/>
      <c r="EV1093" s="1"/>
      <c r="EW1093" s="1"/>
      <c r="EX1093" s="1"/>
      <c r="EY1093" s="1"/>
      <c r="EZ1093" s="1"/>
      <c r="FA1093" s="1"/>
      <c r="FB1093" s="1"/>
      <c r="FC1093" s="1"/>
      <c r="FD1093" s="1"/>
      <c r="FE1093" s="1"/>
      <c r="FF1093" s="1"/>
      <c r="FG1093" s="1"/>
      <c r="FH1093" s="1"/>
      <c r="FI1093" s="1"/>
      <c r="FJ1093" s="1"/>
      <c r="FK1093" s="1"/>
      <c r="FL1093" s="1"/>
      <c r="FM1093" s="1"/>
      <c r="FN1093" s="1"/>
      <c r="FO1093" s="1"/>
      <c r="FP1093" s="1"/>
      <c r="FQ1093" s="1"/>
      <c r="FR1093" s="1"/>
      <c r="FS1093" s="1"/>
      <c r="FT1093" s="1"/>
      <c r="FU1093" s="1"/>
      <c r="FV1093" s="1"/>
      <c r="FW1093" s="1"/>
      <c r="FX1093" s="1"/>
      <c r="FY1093" s="1"/>
      <c r="FZ1093" s="1"/>
      <c r="GA1093" s="1"/>
      <c r="GB1093" s="1"/>
      <c r="GC1093" s="1"/>
      <c r="GD1093" s="1"/>
      <c r="GE1093" s="1"/>
      <c r="GF1093" s="1"/>
      <c r="GG1093" s="1"/>
      <c r="GH1093" s="1"/>
      <c r="GI1093" s="1"/>
      <c r="GJ1093" s="1"/>
      <c r="GK1093" s="1"/>
      <c r="GL1093" s="1"/>
      <c r="GM1093" s="1"/>
      <c r="GN1093" s="1"/>
      <c r="GO1093" s="1"/>
      <c r="GP1093" s="1"/>
      <c r="GQ1093" s="1"/>
      <c r="GR1093" s="1"/>
      <c r="GS1093" s="1"/>
      <c r="GT1093" s="1"/>
      <c r="GU1093" s="1"/>
      <c r="GV1093" s="1"/>
      <c r="GW1093" s="1"/>
      <c r="GX1093" s="1"/>
      <c r="GY1093" s="1"/>
      <c r="GZ1093" s="1"/>
      <c r="HA1093" s="1"/>
      <c r="HB1093" s="1"/>
      <c r="HC1093" s="1"/>
      <c r="HD1093" s="1"/>
      <c r="HE1093" s="1"/>
      <c r="HF1093" s="1"/>
      <c r="HG1093" s="1"/>
      <c r="HH1093" s="1"/>
      <c r="HI1093" s="1"/>
      <c r="HJ1093" s="1"/>
      <c r="HK1093" s="1"/>
      <c r="HL1093" s="1"/>
      <c r="HM1093" s="1"/>
      <c r="HN1093" s="1"/>
      <c r="HO1093" s="1"/>
      <c r="HP1093" s="1"/>
      <c r="HQ1093" s="1"/>
      <c r="HR1093" s="1"/>
      <c r="HS1093" s="1"/>
      <c r="HT1093" s="1"/>
      <c r="HU1093" s="1"/>
      <c r="HV1093" s="1"/>
      <c r="HW1093" s="1"/>
      <c r="HX1093" s="1"/>
      <c r="HY1093" s="1"/>
      <c r="HZ1093" s="1"/>
      <c r="IA1093" s="1"/>
      <c r="IB1093" s="1"/>
      <c r="IC1093" s="1"/>
      <c r="ID1093" s="1"/>
      <c r="IE1093" s="1"/>
      <c r="IF1093" s="1"/>
      <c r="IG1093" s="1"/>
      <c r="IH1093" s="1"/>
      <c r="II1093" s="1"/>
      <c r="IJ1093" s="1"/>
      <c r="IK1093" s="1"/>
      <c r="IL1093" s="1"/>
      <c r="IM1093" s="1"/>
      <c r="IN1093" s="1"/>
      <c r="IO1093" s="1"/>
      <c r="IP1093" s="1"/>
      <c r="IQ1093" s="1"/>
      <c r="IR1093" s="1"/>
      <c r="IS1093" s="1"/>
      <c r="IT1093" s="1"/>
      <c r="IU1093" s="1"/>
      <c r="IV1093" s="1"/>
      <c r="IW1093" s="1"/>
      <c r="IX1093" s="1"/>
      <c r="IY1093" s="1"/>
      <c r="IZ1093" s="1"/>
      <c r="JA1093" s="1"/>
      <c r="JB1093" s="1"/>
      <c r="JC1093" s="1"/>
      <c r="JD1093" s="1"/>
    </row>
    <row r="1094" spans="1:264" s="411" customFormat="1" x14ac:dyDescent="0.2">
      <c r="A1094" s="463" t="s">
        <v>744</v>
      </c>
      <c r="B1094" s="522"/>
      <c r="C1094" s="521"/>
      <c r="D1094" s="521"/>
      <c r="E1094" s="521"/>
      <c r="F1094" s="521"/>
      <c r="G1094" s="521"/>
      <c r="H1094" s="521"/>
      <c r="I1094" s="521"/>
      <c r="J1094" s="521"/>
      <c r="K1094" s="521"/>
      <c r="L1094" s="521"/>
      <c r="M1094" s="521"/>
      <c r="N1094" s="521"/>
      <c r="O1094" s="521"/>
      <c r="P1094" s="521"/>
      <c r="Q1094" s="521"/>
      <c r="R1094" s="521"/>
      <c r="S1094" s="521"/>
      <c r="T1094" s="521"/>
      <c r="U1094" s="521"/>
      <c r="V1094" s="521"/>
      <c r="W1094" s="521"/>
      <c r="X1094" s="521"/>
      <c r="Y1094" s="521"/>
      <c r="Z1094" s="521"/>
      <c r="AA1094" s="521"/>
      <c r="AB1094" s="521"/>
      <c r="AC1094" s="521"/>
      <c r="AD1094" s="521"/>
      <c r="AE1094" s="521"/>
      <c r="AF1094" s="521"/>
      <c r="AG1094" s="521"/>
      <c r="AH1094" s="521"/>
      <c r="AI1094" s="521"/>
      <c r="AJ1094" s="521"/>
      <c r="AK1094" s="521"/>
      <c r="AL1094" s="521"/>
      <c r="AM1094" s="521"/>
      <c r="AN1094" s="521"/>
      <c r="AO1094" s="521"/>
      <c r="AP1094" s="521"/>
      <c r="AQ1094" s="521"/>
      <c r="AR1094" s="521"/>
      <c r="AS1094" s="521"/>
      <c r="AT1094" s="521"/>
      <c r="AU1094" s="521"/>
      <c r="AV1094" s="521"/>
      <c r="AW1094" s="521"/>
      <c r="AX1094" s="521"/>
      <c r="AY1094" s="521"/>
      <c r="AZ1094" s="521"/>
      <c r="BA1094" s="521"/>
      <c r="BB1094" s="521"/>
      <c r="BC1094" s="521"/>
      <c r="BD1094" s="521"/>
      <c r="BE1094" s="521"/>
      <c r="BF1094" s="521"/>
      <c r="BG1094" s="521"/>
      <c r="BH1094" s="758"/>
      <c r="BI1094" s="758"/>
      <c r="BJ1094" s="522"/>
      <c r="BK1094" s="522"/>
      <c r="BL1094" s="758"/>
      <c r="BM1094" s="758"/>
      <c r="BN1094" s="522"/>
      <c r="BO1094" s="522"/>
      <c r="BP1094" s="758"/>
      <c r="BQ1094" s="761">
        <v>71.5</v>
      </c>
      <c r="BR1094" s="521"/>
      <c r="BS1094" s="521"/>
      <c r="BT1094" s="521"/>
      <c r="BU1094" s="521"/>
      <c r="BV1094" s="521"/>
      <c r="BW1094" s="521"/>
      <c r="BX1094" s="521"/>
      <c r="BY1094" s="521"/>
      <c r="BZ1094" s="521"/>
      <c r="CA1094" s="521"/>
      <c r="CB1094" s="521"/>
      <c r="CC1094" s="521"/>
      <c r="CD1094" s="521"/>
      <c r="CE1094" s="521"/>
      <c r="CF1094" s="521"/>
      <c r="CG1094" s="521"/>
      <c r="CH1094" s="521"/>
      <c r="CI1094" s="521"/>
      <c r="CJ1094" s="521"/>
      <c r="CK1094" s="521"/>
      <c r="CL1094" s="521"/>
      <c r="CM1094" s="521"/>
      <c r="CN1094" s="521"/>
      <c r="CO1094" s="521"/>
      <c r="CP1094" s="521"/>
      <c r="CQ1094" s="521"/>
      <c r="CR1094" s="521"/>
      <c r="CS1094" s="758"/>
      <c r="CT1094" s="521"/>
      <c r="CU1094" s="521"/>
      <c r="CV1094" s="521"/>
      <c r="CW1094" s="758"/>
      <c r="CX1094" s="521"/>
      <c r="CY1094" s="521"/>
      <c r="CZ1094" s="521"/>
      <c r="DA1094" s="758"/>
      <c r="DB1094" s="521"/>
      <c r="DC1094" s="521"/>
      <c r="DD1094" s="521"/>
      <c r="DE1094" s="758"/>
      <c r="DF1094" s="521"/>
      <c r="DG1094" s="521"/>
      <c r="DH1094" s="521"/>
      <c r="DI1094" s="758">
        <f>DI$1079*0.95</f>
        <v>168.22378324719722</v>
      </c>
      <c r="DJ1094" s="521"/>
      <c r="DK1094" s="521"/>
      <c r="DL1094" s="758">
        <f>DL$1079*0.95</f>
        <v>175.22749999999999</v>
      </c>
      <c r="DM1094" s="758">
        <f>DM$1079*0.95</f>
        <v>182.52280482320899</v>
      </c>
      <c r="DN1094" s="521"/>
      <c r="DO1094" s="521"/>
      <c r="DP1094" s="758">
        <f>DP$1079*0.95</f>
        <v>190.12183749999997</v>
      </c>
      <c r="DQ1094" s="758">
        <f>DQ$1079*0.95</f>
        <v>198.03724323318175</v>
      </c>
      <c r="DR1094" s="521"/>
      <c r="DS1094" s="521"/>
      <c r="DT1094" s="1"/>
      <c r="DU1094" s="1"/>
      <c r="DV1094" s="1"/>
      <c r="DW1094" s="1"/>
      <c r="DX1094" s="1"/>
      <c r="DY1094" s="1"/>
      <c r="DZ1094" s="1"/>
      <c r="EA1094" s="1"/>
      <c r="EB1094" s="1"/>
      <c r="EC1094" s="1"/>
      <c r="ED1094" s="1"/>
      <c r="EE1094" s="1"/>
      <c r="EF1094" s="1"/>
      <c r="EG1094" s="1"/>
      <c r="EH1094" s="1"/>
      <c r="EI1094" s="1"/>
      <c r="EJ1094" s="1"/>
      <c r="EK1094" s="1"/>
      <c r="EL1094" s="1"/>
      <c r="EM1094" s="1"/>
      <c r="EN1094" s="1"/>
      <c r="EO1094" s="1"/>
      <c r="EP1094" s="1"/>
      <c r="EQ1094" s="1"/>
      <c r="ER1094" s="1"/>
      <c r="ES1094" s="1"/>
      <c r="ET1094" s="1"/>
      <c r="EU1094" s="1"/>
      <c r="EV1094" s="1"/>
      <c r="EW1094" s="1"/>
      <c r="EX1094" s="1"/>
      <c r="EY1094" s="1"/>
      <c r="EZ1094" s="1"/>
      <c r="FA1094" s="1"/>
      <c r="FB1094" s="1"/>
      <c r="FC1094" s="1"/>
      <c r="FD1094" s="1"/>
      <c r="FE1094" s="1"/>
      <c r="FF1094" s="1"/>
      <c r="FG1094" s="1"/>
      <c r="FH1094" s="1"/>
      <c r="FI1094" s="1"/>
      <c r="FJ1094" s="1"/>
      <c r="FK1094" s="1"/>
      <c r="FL1094" s="1"/>
      <c r="FM1094" s="1"/>
      <c r="FN1094" s="1"/>
      <c r="FO1094" s="1"/>
      <c r="FP1094" s="1"/>
      <c r="FQ1094" s="1"/>
      <c r="FR1094" s="1"/>
      <c r="FS1094" s="1"/>
      <c r="FT1094" s="1"/>
      <c r="FU1094" s="1"/>
      <c r="FV1094" s="1"/>
      <c r="FW1094" s="1"/>
      <c r="FX1094" s="1"/>
      <c r="FY1094" s="1"/>
      <c r="FZ1094" s="1"/>
      <c r="GA1094" s="1"/>
      <c r="GB1094" s="1"/>
      <c r="GC1094" s="1"/>
      <c r="GD1094" s="1"/>
      <c r="GE1094" s="1"/>
      <c r="GF1094" s="1"/>
      <c r="GG1094" s="1"/>
      <c r="GH1094" s="1"/>
      <c r="GI1094" s="1"/>
      <c r="GJ1094" s="1"/>
      <c r="GK1094" s="1"/>
      <c r="GL1094" s="1"/>
      <c r="GM1094" s="1"/>
      <c r="GN1094" s="1"/>
      <c r="GO1094" s="1"/>
      <c r="GP1094" s="1"/>
      <c r="GQ1094" s="1"/>
      <c r="GR1094" s="1"/>
      <c r="GS1094" s="1"/>
      <c r="GT1094" s="1"/>
      <c r="GU1094" s="1"/>
      <c r="GV1094" s="1"/>
      <c r="GW1094" s="1"/>
      <c r="GX1094" s="1"/>
      <c r="GY1094" s="1"/>
      <c r="GZ1094" s="1"/>
      <c r="HA1094" s="1"/>
      <c r="HB1094" s="1"/>
      <c r="HC1094" s="1"/>
      <c r="HD1094" s="1"/>
      <c r="HE1094" s="1"/>
      <c r="HF1094" s="1"/>
      <c r="HG1094" s="1"/>
      <c r="HH1094" s="1"/>
      <c r="HI1094" s="1"/>
      <c r="HJ1094" s="1"/>
      <c r="HK1094" s="1"/>
      <c r="HL1094" s="1"/>
      <c r="HM1094" s="1"/>
      <c r="HN1094" s="1"/>
      <c r="HO1094" s="1"/>
      <c r="HP1094" s="1"/>
      <c r="HQ1094" s="1"/>
      <c r="HR1094" s="1"/>
      <c r="HS1094" s="1"/>
      <c r="HT1094" s="1"/>
      <c r="HU1094" s="1"/>
      <c r="HV1094" s="1"/>
      <c r="HW1094" s="1"/>
      <c r="HX1094" s="1"/>
      <c r="HY1094" s="1"/>
      <c r="HZ1094" s="1"/>
      <c r="IA1094" s="1"/>
      <c r="IB1094" s="1"/>
      <c r="IC1094" s="1"/>
      <c r="ID1094" s="1"/>
      <c r="IE1094" s="1"/>
      <c r="IF1094" s="1"/>
      <c r="IG1094" s="1"/>
      <c r="IH1094" s="1"/>
      <c r="II1094" s="1"/>
      <c r="IJ1094" s="1"/>
      <c r="IK1094" s="1"/>
      <c r="IL1094" s="1"/>
      <c r="IM1094" s="1"/>
      <c r="IN1094" s="1"/>
      <c r="IO1094" s="1"/>
      <c r="IP1094" s="1"/>
      <c r="IQ1094" s="1"/>
      <c r="IR1094" s="1"/>
      <c r="IS1094" s="1"/>
      <c r="IT1094" s="1"/>
      <c r="IU1094" s="1"/>
      <c r="IV1094" s="1"/>
      <c r="IW1094" s="1"/>
      <c r="IX1094" s="1"/>
      <c r="IY1094" s="1"/>
      <c r="IZ1094" s="1"/>
      <c r="JA1094" s="1"/>
      <c r="JB1094" s="1"/>
      <c r="JC1094" s="1"/>
      <c r="JD1094" s="1"/>
    </row>
    <row r="1095" spans="1:264" s="411" customFormat="1" x14ac:dyDescent="0.2">
      <c r="A1095" s="411" t="s">
        <v>745</v>
      </c>
      <c r="B1095" s="423"/>
      <c r="BH1095" s="724"/>
      <c r="BI1095" s="724"/>
      <c r="BJ1095" s="423"/>
      <c r="BK1095" s="423"/>
      <c r="BL1095" s="724"/>
      <c r="BM1095" s="724"/>
      <c r="BN1095" s="423"/>
      <c r="BO1095" s="423"/>
      <c r="BP1095" s="724"/>
      <c r="BQ1095" s="763">
        <v>71.161207000000005</v>
      </c>
      <c r="CS1095" s="725"/>
      <c r="CW1095" s="725"/>
      <c r="DA1095" s="725"/>
      <c r="DE1095" s="725"/>
      <c r="DI1095" s="725">
        <f ca="1">+DI1093/DI1094</f>
        <v>0</v>
      </c>
      <c r="DL1095" s="725">
        <f ca="1">+DL1093/DL1094</f>
        <v>0</v>
      </c>
      <c r="DM1095" s="725">
        <f ca="1">+DM1093/DM1094</f>
        <v>0</v>
      </c>
      <c r="DP1095" s="725">
        <f ca="1">+DP1093/DP1094</f>
        <v>0</v>
      </c>
      <c r="DQ1095" s="725">
        <f ca="1">+DQ1093/DQ1094</f>
        <v>0</v>
      </c>
      <c r="DT1095" s="1"/>
      <c r="DU1095" s="1"/>
      <c r="DV1095" s="1"/>
      <c r="DW1095" s="1"/>
      <c r="DX1095" s="1"/>
      <c r="DY1095" s="1"/>
      <c r="DZ1095" s="1"/>
      <c r="EA1095" s="1"/>
      <c r="EB1095" s="1"/>
      <c r="EC1095" s="1"/>
      <c r="ED1095" s="1"/>
      <c r="EE1095" s="1"/>
      <c r="EF1095" s="1"/>
      <c r="EG1095" s="1"/>
      <c r="EH1095" s="1"/>
      <c r="EI1095" s="1"/>
      <c r="EJ1095" s="1"/>
      <c r="EK1095" s="1"/>
      <c r="EL1095" s="1"/>
      <c r="EM1095" s="1"/>
      <c r="EN1095" s="1"/>
      <c r="EO1095" s="1"/>
      <c r="EP1095" s="1"/>
      <c r="EQ1095" s="1"/>
      <c r="ER1095" s="1"/>
      <c r="ES1095" s="1"/>
      <c r="ET1095" s="1"/>
      <c r="EU1095" s="1"/>
      <c r="EV1095" s="1"/>
      <c r="EW1095" s="1"/>
      <c r="EX1095" s="1"/>
      <c r="EY1095" s="1"/>
      <c r="EZ1095" s="1"/>
      <c r="FA1095" s="1"/>
      <c r="FB1095" s="1"/>
      <c r="FC1095" s="1"/>
      <c r="FD1095" s="1"/>
      <c r="FE1095" s="1"/>
      <c r="FF1095" s="1"/>
      <c r="FG1095" s="1"/>
      <c r="FH1095" s="1"/>
      <c r="FI1095" s="1"/>
      <c r="FJ1095" s="1"/>
      <c r="FK1095" s="1"/>
      <c r="FL1095" s="1"/>
      <c r="FM1095" s="1"/>
      <c r="FN1095" s="1"/>
      <c r="FO1095" s="1"/>
      <c r="FP1095" s="1"/>
      <c r="FQ1095" s="1"/>
      <c r="FR1095" s="1"/>
      <c r="FS1095" s="1"/>
      <c r="FT1095" s="1"/>
      <c r="FU1095" s="1"/>
      <c r="FV1095" s="1"/>
      <c r="FW1095" s="1"/>
      <c r="FX1095" s="1"/>
      <c r="FY1095" s="1"/>
      <c r="FZ1095" s="1"/>
      <c r="GA1095" s="1"/>
      <c r="GB1095" s="1"/>
      <c r="GC1095" s="1"/>
      <c r="GD1095" s="1"/>
      <c r="GE1095" s="1"/>
      <c r="GF1095" s="1"/>
      <c r="GG1095" s="1"/>
      <c r="GH1095" s="1"/>
      <c r="GI1095" s="1"/>
      <c r="GJ1095" s="1"/>
      <c r="GK1095" s="1"/>
      <c r="GL1095" s="1"/>
      <c r="GM1095" s="1"/>
      <c r="GN1095" s="1"/>
      <c r="GO1095" s="1"/>
      <c r="GP1095" s="1"/>
      <c r="GQ1095" s="1"/>
      <c r="GR1095" s="1"/>
      <c r="GS1095" s="1"/>
      <c r="GT1095" s="1"/>
      <c r="GU1095" s="1"/>
      <c r="GV1095" s="1"/>
      <c r="GW1095" s="1"/>
      <c r="GX1095" s="1"/>
      <c r="GY1095" s="1"/>
      <c r="GZ1095" s="1"/>
      <c r="HA1095" s="1"/>
      <c r="HB1095" s="1"/>
      <c r="HC1095" s="1"/>
      <c r="HD1095" s="1"/>
      <c r="HE1095" s="1"/>
      <c r="HF1095" s="1"/>
      <c r="HG1095" s="1"/>
      <c r="HH1095" s="1"/>
      <c r="HI1095" s="1"/>
      <c r="HJ1095" s="1"/>
      <c r="HK1095" s="1"/>
      <c r="HL1095" s="1"/>
      <c r="HM1095" s="1"/>
      <c r="HN1095" s="1"/>
      <c r="HO1095" s="1"/>
      <c r="HP1095" s="1"/>
      <c r="HQ1095" s="1"/>
      <c r="HR1095" s="1"/>
      <c r="HS1095" s="1"/>
      <c r="HT1095" s="1"/>
      <c r="HU1095" s="1"/>
      <c r="HV1095" s="1"/>
      <c r="HW1095" s="1"/>
      <c r="HX1095" s="1"/>
      <c r="HY1095" s="1"/>
      <c r="HZ1095" s="1"/>
      <c r="IA1095" s="1"/>
      <c r="IB1095" s="1"/>
      <c r="IC1095" s="1"/>
      <c r="ID1095" s="1"/>
      <c r="IE1095" s="1"/>
      <c r="IF1095" s="1"/>
      <c r="IG1095" s="1"/>
      <c r="IH1095" s="1"/>
      <c r="II1095" s="1"/>
      <c r="IJ1095" s="1"/>
      <c r="IK1095" s="1"/>
      <c r="IL1095" s="1"/>
      <c r="IM1095" s="1"/>
      <c r="IN1095" s="1"/>
      <c r="IO1095" s="1"/>
      <c r="IP1095" s="1"/>
      <c r="IQ1095" s="1"/>
      <c r="IR1095" s="1"/>
      <c r="IS1095" s="1"/>
      <c r="IT1095" s="1"/>
      <c r="IU1095" s="1"/>
      <c r="IV1095" s="1"/>
      <c r="IW1095" s="1"/>
      <c r="IX1095" s="1"/>
      <c r="IY1095" s="1"/>
      <c r="IZ1095" s="1"/>
      <c r="JA1095" s="1"/>
      <c r="JB1095" s="1"/>
      <c r="JC1095" s="1"/>
      <c r="JD1095" s="1"/>
    </row>
    <row r="1096" spans="1:264" s="347" customFormat="1" x14ac:dyDescent="0.2">
      <c r="B1096" s="348"/>
      <c r="BH1096" s="348"/>
      <c r="BI1096" s="348"/>
      <c r="BJ1096" s="348"/>
      <c r="BK1096" s="348"/>
      <c r="BL1096" s="398"/>
      <c r="BM1096" s="398"/>
      <c r="BN1096" s="348"/>
      <c r="BO1096" s="348"/>
      <c r="BP1096" s="398"/>
      <c r="BQ1096" s="461"/>
      <c r="DD1096" s="348"/>
      <c r="DH1096" s="348"/>
      <c r="DL1096" s="348"/>
      <c r="DP1096" s="348"/>
      <c r="DT1096" s="1"/>
      <c r="DU1096" s="1"/>
      <c r="DV1096" s="1"/>
      <c r="DW1096" s="1"/>
      <c r="DX1096" s="1"/>
      <c r="DY1096" s="1"/>
      <c r="DZ1096" s="1"/>
      <c r="EA1096" s="1"/>
      <c r="EB1096" s="1"/>
      <c r="EC1096" s="1"/>
      <c r="ED1096" s="1"/>
      <c r="EE1096" s="1"/>
      <c r="EF1096" s="1"/>
      <c r="EG1096" s="1"/>
      <c r="EH1096" s="1"/>
      <c r="EI1096" s="1"/>
      <c r="EJ1096" s="1"/>
      <c r="EK1096" s="1"/>
      <c r="EL1096" s="1"/>
      <c r="EM1096" s="1"/>
      <c r="EN1096" s="1"/>
      <c r="EO1096" s="1"/>
      <c r="EP1096" s="1"/>
      <c r="EQ1096" s="1"/>
      <c r="ER1096" s="1"/>
      <c r="ES1096" s="1"/>
      <c r="ET1096" s="1"/>
      <c r="EU1096" s="1"/>
      <c r="EV1096" s="1"/>
      <c r="EW1096" s="1"/>
      <c r="EX1096" s="1"/>
      <c r="EY1096" s="1"/>
      <c r="EZ1096" s="1"/>
      <c r="FA1096" s="1"/>
      <c r="FB1096" s="1"/>
      <c r="FC1096" s="1"/>
      <c r="FD1096" s="1"/>
      <c r="FE1096" s="1"/>
      <c r="FF1096" s="1"/>
      <c r="FG1096" s="1"/>
      <c r="FH1096" s="1"/>
      <c r="FI1096" s="1"/>
      <c r="FJ1096" s="1"/>
      <c r="FK1096" s="1"/>
      <c r="FL1096" s="1"/>
      <c r="FM1096" s="1"/>
      <c r="FN1096" s="1"/>
      <c r="FO1096" s="1"/>
      <c r="FP1096" s="1"/>
      <c r="FQ1096" s="1"/>
      <c r="FR1096" s="1"/>
      <c r="FS1096" s="1"/>
      <c r="FT1096" s="1"/>
      <c r="FU1096" s="1"/>
      <c r="FV1096" s="1"/>
      <c r="FW1096" s="1"/>
      <c r="FX1096" s="1"/>
      <c r="FY1096" s="1"/>
      <c r="FZ1096" s="1"/>
      <c r="GA1096" s="1"/>
      <c r="GB1096" s="1"/>
      <c r="GC1096" s="1"/>
      <c r="GD1096" s="1"/>
      <c r="GE1096" s="1"/>
      <c r="GF1096" s="1"/>
      <c r="GG1096" s="1"/>
      <c r="GH1096" s="1"/>
      <c r="GI1096" s="1"/>
      <c r="GJ1096" s="1"/>
      <c r="GK1096" s="1"/>
      <c r="GL1096" s="1"/>
      <c r="GM1096" s="1"/>
      <c r="GN1096" s="1"/>
      <c r="GO1096" s="1"/>
      <c r="GP1096" s="1"/>
      <c r="GQ1096" s="1"/>
      <c r="GR1096" s="1"/>
      <c r="GS1096" s="1"/>
      <c r="GT1096" s="1"/>
      <c r="GU1096" s="1"/>
      <c r="GV1096" s="1"/>
      <c r="GW1096" s="1"/>
      <c r="GX1096" s="1"/>
      <c r="GY1096" s="1"/>
      <c r="GZ1096" s="1"/>
      <c r="HA1096" s="1"/>
      <c r="HB1096" s="1"/>
      <c r="HC1096" s="1"/>
      <c r="HD1096" s="1"/>
      <c r="HE1096" s="1"/>
      <c r="HF1096" s="1"/>
      <c r="HG1096" s="1"/>
      <c r="HH1096" s="1"/>
      <c r="HI1096" s="1"/>
      <c r="HJ1096" s="1"/>
      <c r="HK1096" s="1"/>
      <c r="HL1096" s="1"/>
      <c r="HM1096" s="1"/>
      <c r="HN1096" s="1"/>
      <c r="HO1096" s="1"/>
      <c r="HP1096" s="1"/>
      <c r="HQ1096" s="1"/>
      <c r="HR1096" s="1"/>
      <c r="HS1096" s="1"/>
      <c r="HT1096" s="1"/>
      <c r="HU1096" s="1"/>
      <c r="HV1096" s="1"/>
      <c r="HW1096" s="1"/>
      <c r="HX1096" s="1"/>
      <c r="HY1096" s="1"/>
      <c r="HZ1096" s="1"/>
      <c r="IA1096" s="1"/>
      <c r="IB1096" s="1"/>
      <c r="IC1096" s="1"/>
      <c r="ID1096" s="1"/>
      <c r="IE1096" s="1"/>
      <c r="IF1096" s="1"/>
      <c r="IG1096" s="1"/>
      <c r="IH1096" s="1"/>
      <c r="II1096" s="1"/>
      <c r="IJ1096" s="1"/>
      <c r="IK1096" s="1"/>
      <c r="IL1096" s="1"/>
      <c r="IM1096" s="1"/>
      <c r="IN1096" s="1"/>
      <c r="IO1096" s="1"/>
      <c r="IP1096" s="1"/>
      <c r="IQ1096" s="1"/>
      <c r="IR1096" s="1"/>
      <c r="IS1096" s="1"/>
      <c r="IT1096" s="1"/>
      <c r="IU1096" s="1"/>
      <c r="IV1096" s="1"/>
      <c r="IW1096" s="1"/>
      <c r="IX1096" s="1"/>
      <c r="IY1096" s="1"/>
      <c r="IZ1096" s="1"/>
      <c r="JA1096" s="1"/>
      <c r="JB1096" s="1"/>
      <c r="JC1096" s="1"/>
      <c r="JD1096" s="1"/>
    </row>
    <row r="1097" spans="1:264" s="347" customFormat="1" ht="13.5" thickBot="1" x14ac:dyDescent="0.25">
      <c r="A1097" s="411" t="s">
        <v>746</v>
      </c>
      <c r="B1097" s="348"/>
      <c r="BH1097" s="348"/>
      <c r="BI1097" s="348"/>
      <c r="BJ1097" s="348"/>
      <c r="BK1097" s="348"/>
      <c r="BL1097" s="398"/>
      <c r="BM1097" s="398"/>
      <c r="BN1097" s="348"/>
      <c r="BO1097" s="348"/>
      <c r="BP1097" s="398"/>
      <c r="DD1097" s="348"/>
      <c r="DH1097" s="348"/>
      <c r="DL1097" s="348"/>
      <c r="DP1097" s="348"/>
      <c r="DT1097" s="1"/>
      <c r="DU1097" s="1"/>
      <c r="DV1097" s="1"/>
      <c r="DW1097" s="1"/>
      <c r="DX1097" s="1"/>
      <c r="DY1097" s="1"/>
      <c r="DZ1097" s="1"/>
      <c r="EA1097" s="1"/>
      <c r="EB1097" s="1"/>
      <c r="EC1097" s="1"/>
      <c r="ED1097" s="1"/>
      <c r="EE1097" s="1"/>
      <c r="EF1097" s="1"/>
      <c r="EG1097" s="1"/>
      <c r="EH1097" s="1"/>
      <c r="EI1097" s="1"/>
      <c r="EJ1097" s="1"/>
      <c r="EK1097" s="1"/>
      <c r="EL1097" s="1"/>
      <c r="EM1097" s="1"/>
      <c r="EN1097" s="1"/>
      <c r="EO1097" s="1"/>
      <c r="EP1097" s="1"/>
      <c r="EQ1097" s="1"/>
      <c r="ER1097" s="1"/>
      <c r="ES1097" s="1"/>
      <c r="ET1097" s="1"/>
      <c r="EU1097" s="1"/>
      <c r="EV1097" s="1"/>
      <c r="EW1097" s="1"/>
      <c r="EX1097" s="1"/>
      <c r="EY1097" s="1"/>
      <c r="EZ1097" s="1"/>
      <c r="FA1097" s="1"/>
      <c r="FB1097" s="1"/>
      <c r="FC1097" s="1"/>
      <c r="FD1097" s="1"/>
      <c r="FE1097" s="1"/>
      <c r="FF1097" s="1"/>
      <c r="FG1097" s="1"/>
      <c r="FH1097" s="1"/>
      <c r="FI1097" s="1"/>
      <c r="FJ1097" s="1"/>
      <c r="FK1097" s="1"/>
      <c r="FL1097" s="1"/>
      <c r="FM1097" s="1"/>
      <c r="FN1097" s="1"/>
      <c r="FO1097" s="1"/>
      <c r="FP1097" s="1"/>
      <c r="FQ1097" s="1"/>
      <c r="FR1097" s="1"/>
      <c r="FS1097" s="1"/>
      <c r="FT1097" s="1"/>
      <c r="FU1097" s="1"/>
      <c r="FV1097" s="1"/>
      <c r="FW1097" s="1"/>
      <c r="FX1097" s="1"/>
      <c r="FY1097" s="1"/>
      <c r="FZ1097" s="1"/>
      <c r="GA1097" s="1"/>
      <c r="GB1097" s="1"/>
      <c r="GC1097" s="1"/>
      <c r="GD1097" s="1"/>
      <c r="GE1097" s="1"/>
      <c r="GF1097" s="1"/>
      <c r="GG1097" s="1"/>
      <c r="GH1097" s="1"/>
      <c r="GI1097" s="1"/>
      <c r="GJ1097" s="1"/>
      <c r="GK1097" s="1"/>
      <c r="GL1097" s="1"/>
      <c r="GM1097" s="1"/>
      <c r="GN1097" s="1"/>
      <c r="GO1097" s="1"/>
      <c r="GP1097" s="1"/>
      <c r="GQ1097" s="1"/>
      <c r="GR1097" s="1"/>
      <c r="GS1097" s="1"/>
      <c r="GT1097" s="1"/>
      <c r="GU1097" s="1"/>
      <c r="GV1097" s="1"/>
      <c r="GW1097" s="1"/>
      <c r="GX1097" s="1"/>
      <c r="GY1097" s="1"/>
      <c r="GZ1097" s="1"/>
      <c r="HA1097" s="1"/>
      <c r="HB1097" s="1"/>
      <c r="HC1097" s="1"/>
      <c r="HD1097" s="1"/>
      <c r="HE1097" s="1"/>
      <c r="HF1097" s="1"/>
      <c r="HG1097" s="1"/>
      <c r="HH1097" s="1"/>
      <c r="HI1097" s="1"/>
      <c r="HJ1097" s="1"/>
      <c r="HK1097" s="1"/>
      <c r="HL1097" s="1"/>
      <c r="HM1097" s="1"/>
      <c r="HN1097" s="1"/>
      <c r="HO1097" s="1"/>
      <c r="HP1097" s="1"/>
      <c r="HQ1097" s="1"/>
      <c r="HR1097" s="1"/>
      <c r="HS1097" s="1"/>
      <c r="HT1097" s="1"/>
      <c r="HU1097" s="1"/>
      <c r="HV1097" s="1"/>
      <c r="HW1097" s="1"/>
      <c r="HX1097" s="1"/>
      <c r="HY1097" s="1"/>
      <c r="HZ1097" s="1"/>
      <c r="IA1097" s="1"/>
      <c r="IB1097" s="1"/>
      <c r="IC1097" s="1"/>
      <c r="ID1097" s="1"/>
      <c r="IE1097" s="1"/>
      <c r="IF1097" s="1"/>
      <c r="IG1097" s="1"/>
      <c r="IH1097" s="1"/>
      <c r="II1097" s="1"/>
      <c r="IJ1097" s="1"/>
      <c r="IK1097" s="1"/>
      <c r="IL1097" s="1"/>
      <c r="IM1097" s="1"/>
      <c r="IN1097" s="1"/>
      <c r="IO1097" s="1"/>
      <c r="IP1097" s="1"/>
      <c r="IQ1097" s="1"/>
      <c r="IR1097" s="1"/>
      <c r="IS1097" s="1"/>
      <c r="IT1097" s="1"/>
      <c r="IU1097" s="1"/>
      <c r="IV1097" s="1"/>
      <c r="IW1097" s="1"/>
      <c r="IX1097" s="1"/>
      <c r="IY1097" s="1"/>
      <c r="IZ1097" s="1"/>
      <c r="JA1097" s="1"/>
      <c r="JB1097" s="1"/>
      <c r="JC1097" s="1"/>
      <c r="JD1097" s="1"/>
    </row>
    <row r="1098" spans="1:264" s="411" customFormat="1" ht="13.5" thickBot="1" x14ac:dyDescent="0.25">
      <c r="A1098" s="463" t="s">
        <v>747</v>
      </c>
      <c r="B1098" s="522"/>
      <c r="C1098" s="521"/>
      <c r="D1098" s="521"/>
      <c r="E1098" s="521"/>
      <c r="F1098" s="521"/>
      <c r="G1098" s="521"/>
      <c r="H1098" s="521"/>
      <c r="I1098" s="521"/>
      <c r="J1098" s="521"/>
      <c r="K1098" s="521"/>
      <c r="L1098" s="521"/>
      <c r="M1098" s="521"/>
      <c r="N1098" s="521"/>
      <c r="O1098" s="521"/>
      <c r="P1098" s="521"/>
      <c r="Q1098" s="521"/>
      <c r="R1098" s="521"/>
      <c r="S1098" s="521"/>
      <c r="T1098" s="521"/>
      <c r="U1098" s="521"/>
      <c r="V1098" s="521"/>
      <c r="W1098" s="521"/>
      <c r="X1098" s="521"/>
      <c r="Y1098" s="521"/>
      <c r="Z1098" s="521"/>
      <c r="AA1098" s="521"/>
      <c r="AB1098" s="521"/>
      <c r="AC1098" s="521"/>
      <c r="AD1098" s="521"/>
      <c r="AE1098" s="521"/>
      <c r="AF1098" s="521"/>
      <c r="AG1098" s="521"/>
      <c r="AH1098" s="521"/>
      <c r="AI1098" s="521"/>
      <c r="AJ1098" s="521"/>
      <c r="AK1098" s="521"/>
      <c r="AL1098" s="521"/>
      <c r="AM1098" s="521"/>
      <c r="AN1098" s="521"/>
      <c r="AO1098" s="521"/>
      <c r="AP1098" s="521"/>
      <c r="AQ1098" s="521"/>
      <c r="AR1098" s="521"/>
      <c r="AS1098" s="521"/>
      <c r="AT1098" s="521"/>
      <c r="AU1098" s="521"/>
      <c r="AV1098" s="521"/>
      <c r="AW1098" s="521"/>
      <c r="AX1098" s="521"/>
      <c r="AY1098" s="521"/>
      <c r="AZ1098" s="521"/>
      <c r="BA1098" s="521"/>
      <c r="BB1098" s="521"/>
      <c r="BC1098" s="521"/>
      <c r="BD1098" s="521"/>
      <c r="BE1098" s="521"/>
      <c r="BF1098" s="521"/>
      <c r="BG1098" s="521"/>
      <c r="BH1098" s="522"/>
      <c r="BI1098" s="522"/>
      <c r="BJ1098" s="522"/>
      <c r="BK1098" s="522"/>
      <c r="BL1098" s="770"/>
      <c r="BM1098" s="770"/>
      <c r="BN1098" s="522"/>
      <c r="BO1098" s="522"/>
      <c r="BP1098" s="770"/>
      <c r="BQ1098" s="770"/>
      <c r="BR1098" s="521"/>
      <c r="BS1098" s="521"/>
      <c r="BT1098" s="521"/>
      <c r="BU1098" s="521"/>
      <c r="BV1098" s="521"/>
      <c r="BW1098" s="521"/>
      <c r="BX1098" s="521"/>
      <c r="BY1098" s="521"/>
      <c r="BZ1098" s="521"/>
      <c r="CA1098" s="521"/>
      <c r="CB1098" s="521"/>
      <c r="CC1098" s="521"/>
      <c r="CD1098" s="521"/>
      <c r="CE1098" s="521"/>
      <c r="CF1098" s="521"/>
      <c r="CG1098" s="521"/>
      <c r="CH1098" s="521"/>
      <c r="CI1098" s="521"/>
      <c r="CJ1098" s="521"/>
      <c r="CK1098" s="521"/>
      <c r="CL1098" s="521"/>
      <c r="CM1098" s="521"/>
      <c r="CN1098" s="521"/>
      <c r="CO1098" s="521"/>
      <c r="CP1098" s="521"/>
      <c r="CQ1098" s="521"/>
      <c r="CR1098" s="521"/>
      <c r="CS1098" s="521"/>
      <c r="CT1098" s="521"/>
      <c r="CU1098" s="521"/>
      <c r="CV1098" s="521"/>
      <c r="CW1098" s="521"/>
      <c r="CX1098" s="521"/>
      <c r="CY1098" s="521"/>
      <c r="CZ1098" s="521"/>
      <c r="DA1098" s="521"/>
      <c r="DB1098" s="521"/>
      <c r="DC1098" s="521"/>
      <c r="DD1098" s="521"/>
      <c r="DE1098" s="521"/>
      <c r="DF1098" s="521"/>
      <c r="DG1098" s="521"/>
      <c r="DH1098" s="521"/>
      <c r="DI1098" s="772">
        <v>0.11700000000000001</v>
      </c>
      <c r="DJ1098" s="521"/>
      <c r="DK1098" s="521"/>
      <c r="DL1098" s="1358">
        <v>0.12</v>
      </c>
      <c r="DM1098" s="773">
        <f>DL1098</f>
        <v>0.12</v>
      </c>
      <c r="DN1098" s="521"/>
      <c r="DO1098" s="521"/>
      <c r="DP1098" s="1358">
        <v>0.12</v>
      </c>
      <c r="DQ1098" s="773">
        <f>DP1098</f>
        <v>0.12</v>
      </c>
      <c r="DR1098" s="521"/>
      <c r="DS1098" s="521"/>
      <c r="DT1098" s="1"/>
      <c r="DU1098" s="1"/>
      <c r="DV1098" s="1"/>
      <c r="DW1098" s="1"/>
      <c r="DX1098" s="1"/>
      <c r="DY1098" s="1"/>
      <c r="DZ1098" s="1"/>
      <c r="EA1098" s="1"/>
      <c r="EB1098" s="1"/>
      <c r="EC1098" s="1"/>
      <c r="ED1098" s="1"/>
      <c r="EE1098" s="1"/>
      <c r="EF1098" s="1"/>
      <c r="EG1098" s="1"/>
      <c r="EH1098" s="1"/>
      <c r="EI1098" s="1"/>
      <c r="EJ1098" s="1"/>
      <c r="EK1098" s="1"/>
      <c r="EL1098" s="1"/>
      <c r="EM1098" s="1"/>
      <c r="EN1098" s="1"/>
      <c r="EO1098" s="1"/>
      <c r="EP1098" s="1"/>
      <c r="EQ1098" s="1"/>
      <c r="ER1098" s="1"/>
      <c r="ES1098" s="1"/>
      <c r="ET1098" s="1"/>
      <c r="EU1098" s="1"/>
      <c r="EV1098" s="1"/>
      <c r="EW1098" s="1"/>
      <c r="EX1098" s="1"/>
      <c r="EY1098" s="1"/>
      <c r="EZ1098" s="1"/>
      <c r="FA1098" s="1"/>
      <c r="FB1098" s="1"/>
      <c r="FC1098" s="1"/>
      <c r="FD1098" s="1"/>
      <c r="FE1098" s="1"/>
      <c r="FF1098" s="1"/>
      <c r="FG1098" s="1"/>
      <c r="FH1098" s="1"/>
      <c r="FI1098" s="1"/>
      <c r="FJ1098" s="1"/>
      <c r="FK1098" s="1"/>
      <c r="FL1098" s="1"/>
      <c r="FM1098" s="1"/>
      <c r="FN1098" s="1"/>
      <c r="FO1098" s="1"/>
      <c r="FP1098" s="1"/>
      <c r="FQ1098" s="1"/>
      <c r="FR1098" s="1"/>
      <c r="FS1098" s="1"/>
      <c r="FT1098" s="1"/>
      <c r="FU1098" s="1"/>
      <c r="FV1098" s="1"/>
      <c r="FW1098" s="1"/>
      <c r="FX1098" s="1"/>
      <c r="FY1098" s="1"/>
      <c r="FZ1098" s="1"/>
      <c r="GA1098" s="1"/>
      <c r="GB1098" s="1"/>
      <c r="GC1098" s="1"/>
      <c r="GD1098" s="1"/>
      <c r="GE1098" s="1"/>
      <c r="GF1098" s="1"/>
      <c r="GG1098" s="1"/>
      <c r="GH1098" s="1"/>
      <c r="GI1098" s="1"/>
      <c r="GJ1098" s="1"/>
      <c r="GK1098" s="1"/>
      <c r="GL1098" s="1"/>
      <c r="GM1098" s="1"/>
      <c r="GN1098" s="1"/>
      <c r="GO1098" s="1"/>
      <c r="GP1098" s="1"/>
      <c r="GQ1098" s="1"/>
      <c r="GR1098" s="1"/>
      <c r="GS1098" s="1"/>
      <c r="GT1098" s="1"/>
      <c r="GU1098" s="1"/>
      <c r="GV1098" s="1"/>
      <c r="GW1098" s="1"/>
      <c r="GX1098" s="1"/>
      <c r="GY1098" s="1"/>
      <c r="GZ1098" s="1"/>
      <c r="HA1098" s="1"/>
      <c r="HB1098" s="1"/>
      <c r="HC1098" s="1"/>
      <c r="HD1098" s="1"/>
      <c r="HE1098" s="1"/>
      <c r="HF1098" s="1"/>
      <c r="HG1098" s="1"/>
      <c r="HH1098" s="1"/>
      <c r="HI1098" s="1"/>
      <c r="HJ1098" s="1"/>
      <c r="HK1098" s="1"/>
      <c r="HL1098" s="1"/>
      <c r="HM1098" s="1"/>
      <c r="HN1098" s="1"/>
      <c r="HO1098" s="1"/>
      <c r="HP1098" s="1"/>
      <c r="HQ1098" s="1"/>
      <c r="HR1098" s="1"/>
      <c r="HS1098" s="1"/>
      <c r="HT1098" s="1"/>
      <c r="HU1098" s="1"/>
      <c r="HV1098" s="1"/>
      <c r="HW1098" s="1"/>
      <c r="HX1098" s="1"/>
      <c r="HY1098" s="1"/>
      <c r="HZ1098" s="1"/>
      <c r="IA1098" s="1"/>
      <c r="IB1098" s="1"/>
      <c r="IC1098" s="1"/>
      <c r="ID1098" s="1"/>
      <c r="IE1098" s="1"/>
      <c r="IF1098" s="1"/>
      <c r="IG1098" s="1"/>
      <c r="IH1098" s="1"/>
      <c r="II1098" s="1"/>
      <c r="IJ1098" s="1"/>
      <c r="IK1098" s="1"/>
      <c r="IL1098" s="1"/>
      <c r="IM1098" s="1"/>
      <c r="IN1098" s="1"/>
      <c r="IO1098" s="1"/>
      <c r="IP1098" s="1"/>
      <c r="IQ1098" s="1"/>
      <c r="IR1098" s="1"/>
      <c r="IS1098" s="1"/>
      <c r="IT1098" s="1"/>
      <c r="IU1098" s="1"/>
      <c r="IV1098" s="1"/>
      <c r="IW1098" s="1"/>
      <c r="IX1098" s="1"/>
      <c r="IY1098" s="1"/>
      <c r="IZ1098" s="1"/>
      <c r="JA1098" s="1"/>
      <c r="JB1098" s="1"/>
      <c r="JC1098" s="1"/>
      <c r="JD1098" s="1"/>
    </row>
    <row r="1099" spans="1:264" s="411" customFormat="1" x14ac:dyDescent="0.2">
      <c r="A1099" s="347" t="s">
        <v>748</v>
      </c>
      <c r="B1099" s="423"/>
      <c r="BH1099" s="423"/>
      <c r="BI1099" s="423"/>
      <c r="BJ1099" s="423"/>
      <c r="BK1099" s="423"/>
      <c r="BL1099" s="489"/>
      <c r="BM1099" s="489"/>
      <c r="BN1099" s="423"/>
      <c r="BO1099" s="423"/>
      <c r="BP1099" s="489"/>
      <c r="BQ1099" s="489"/>
      <c r="CO1099" s="489"/>
      <c r="DI1099" s="489">
        <f ca="1">IF(DI1088&gt;DI1098,(DI1088-DI1098),0)</f>
        <v>4.3749937697724478E-3</v>
      </c>
      <c r="DL1099" s="489">
        <f ca="1">IF(DL1088&gt;DL1098,(DL1088-DL1098),0)</f>
        <v>0</v>
      </c>
      <c r="DM1099" s="489">
        <f ca="1">IF(DM1088&gt;DM1098,(DM1088-DM1098),0)</f>
        <v>0</v>
      </c>
      <c r="DP1099" s="489">
        <f ca="1">IF(DP1088&gt;DP1098,(DP1088-DP1098),0)</f>
        <v>0</v>
      </c>
      <c r="DQ1099" s="489">
        <f ca="1">IF(DQ1088&gt;DQ1098,(DQ1088-DQ1098),0)</f>
        <v>0</v>
      </c>
      <c r="DT1099" s="1"/>
      <c r="DU1099" s="1"/>
      <c r="DV1099" s="1"/>
      <c r="DW1099" s="1"/>
      <c r="DX1099" s="1"/>
      <c r="DY1099" s="1"/>
      <c r="DZ1099" s="1"/>
      <c r="EA1099" s="1"/>
      <c r="EB1099" s="1"/>
      <c r="EC1099" s="1"/>
      <c r="ED1099" s="1"/>
      <c r="EE1099" s="1"/>
      <c r="EF1099" s="1"/>
      <c r="EG1099" s="1"/>
      <c r="EH1099" s="1"/>
      <c r="EI1099" s="1"/>
      <c r="EJ1099" s="1"/>
      <c r="EK1099" s="1"/>
      <c r="EL1099" s="1"/>
      <c r="EM1099" s="1"/>
      <c r="EN1099" s="1"/>
      <c r="EO1099" s="1"/>
      <c r="EP1099" s="1"/>
      <c r="EQ1099" s="1"/>
      <c r="ER1099" s="1"/>
      <c r="ES1099" s="1"/>
      <c r="ET1099" s="1"/>
      <c r="EU1099" s="1"/>
      <c r="EV1099" s="1"/>
      <c r="EW1099" s="1"/>
      <c r="EX1099" s="1"/>
      <c r="EY1099" s="1"/>
      <c r="EZ1099" s="1"/>
      <c r="FA1099" s="1"/>
      <c r="FB1099" s="1"/>
      <c r="FC1099" s="1"/>
      <c r="FD1099" s="1"/>
      <c r="FE1099" s="1"/>
      <c r="FF1099" s="1"/>
      <c r="FG1099" s="1"/>
      <c r="FH1099" s="1"/>
      <c r="FI1099" s="1"/>
      <c r="FJ1099" s="1"/>
      <c r="FK1099" s="1"/>
      <c r="FL1099" s="1"/>
      <c r="FM1099" s="1"/>
      <c r="FN1099" s="1"/>
      <c r="FO1099" s="1"/>
      <c r="FP1099" s="1"/>
      <c r="FQ1099" s="1"/>
      <c r="FR1099" s="1"/>
      <c r="FS1099" s="1"/>
      <c r="FT1099" s="1"/>
      <c r="FU1099" s="1"/>
      <c r="FV1099" s="1"/>
      <c r="FW1099" s="1"/>
      <c r="FX1099" s="1"/>
      <c r="FY1099" s="1"/>
      <c r="FZ1099" s="1"/>
      <c r="GA1099" s="1"/>
      <c r="GB1099" s="1"/>
      <c r="GC1099" s="1"/>
      <c r="GD1099" s="1"/>
      <c r="GE1099" s="1"/>
      <c r="GF1099" s="1"/>
      <c r="GG1099" s="1"/>
      <c r="GH1099" s="1"/>
      <c r="GI1099" s="1"/>
      <c r="GJ1099" s="1"/>
      <c r="GK1099" s="1"/>
      <c r="GL1099" s="1"/>
      <c r="GM1099" s="1"/>
      <c r="GN1099" s="1"/>
      <c r="GO1099" s="1"/>
      <c r="GP1099" s="1"/>
      <c r="GQ1099" s="1"/>
      <c r="GR1099" s="1"/>
      <c r="GS1099" s="1"/>
      <c r="GT1099" s="1"/>
      <c r="GU1099" s="1"/>
      <c r="GV1099" s="1"/>
      <c r="GW1099" s="1"/>
      <c r="GX1099" s="1"/>
      <c r="GY1099" s="1"/>
      <c r="GZ1099" s="1"/>
      <c r="HA1099" s="1"/>
      <c r="HB1099" s="1"/>
      <c r="HC1099" s="1"/>
      <c r="HD1099" s="1"/>
      <c r="HE1099" s="1"/>
      <c r="HF1099" s="1"/>
      <c r="HG1099" s="1"/>
      <c r="HH1099" s="1"/>
      <c r="HI1099" s="1"/>
      <c r="HJ1099" s="1"/>
      <c r="HK1099" s="1"/>
      <c r="HL1099" s="1"/>
      <c r="HM1099" s="1"/>
      <c r="HN1099" s="1"/>
      <c r="HO1099" s="1"/>
      <c r="HP1099" s="1"/>
      <c r="HQ1099" s="1"/>
      <c r="HR1099" s="1"/>
      <c r="HS1099" s="1"/>
      <c r="HT1099" s="1"/>
      <c r="HU1099" s="1"/>
      <c r="HV1099" s="1"/>
      <c r="HW1099" s="1"/>
      <c r="HX1099" s="1"/>
      <c r="HY1099" s="1"/>
      <c r="HZ1099" s="1"/>
      <c r="IA1099" s="1"/>
      <c r="IB1099" s="1"/>
      <c r="IC1099" s="1"/>
      <c r="ID1099" s="1"/>
      <c r="IE1099" s="1"/>
      <c r="IF1099" s="1"/>
      <c r="IG1099" s="1"/>
      <c r="IH1099" s="1"/>
      <c r="II1099" s="1"/>
      <c r="IJ1099" s="1"/>
      <c r="IK1099" s="1"/>
      <c r="IL1099" s="1"/>
      <c r="IM1099" s="1"/>
      <c r="IN1099" s="1"/>
      <c r="IO1099" s="1"/>
      <c r="IP1099" s="1"/>
      <c r="IQ1099" s="1"/>
      <c r="IR1099" s="1"/>
      <c r="IS1099" s="1"/>
      <c r="IT1099" s="1"/>
      <c r="IU1099" s="1"/>
      <c r="IV1099" s="1"/>
      <c r="IW1099" s="1"/>
      <c r="IX1099" s="1"/>
      <c r="IY1099" s="1"/>
      <c r="IZ1099" s="1"/>
      <c r="JA1099" s="1"/>
      <c r="JB1099" s="1"/>
      <c r="JC1099" s="1"/>
      <c r="JD1099" s="1"/>
    </row>
    <row r="1100" spans="1:264" s="411" customFormat="1" ht="13.5" thickBot="1" x14ac:dyDescent="0.25">
      <c r="A1100" s="347" t="s">
        <v>749</v>
      </c>
      <c r="B1100" s="423"/>
      <c r="BH1100" s="423"/>
      <c r="BI1100" s="423"/>
      <c r="BJ1100" s="423"/>
      <c r="BK1100" s="423"/>
      <c r="BL1100" s="351"/>
      <c r="BM1100" s="351"/>
      <c r="BN1100" s="423"/>
      <c r="BO1100" s="423"/>
      <c r="BP1100" s="351"/>
      <c r="BQ1100" s="351"/>
      <c r="CO1100" s="351"/>
      <c r="DI1100" s="351">
        <f ca="1">DI1099*DI1087</f>
        <v>2282.6151141183891</v>
      </c>
      <c r="DL1100" s="351">
        <f ca="1">DL1099*DL1087</f>
        <v>0</v>
      </c>
      <c r="DM1100" s="351">
        <f ca="1">DM1099*DM1087</f>
        <v>0</v>
      </c>
      <c r="DP1100" s="351">
        <f ca="1">DP1099*DP1087</f>
        <v>0</v>
      </c>
      <c r="DQ1100" s="351">
        <f ca="1">DQ1099*DQ1087</f>
        <v>0</v>
      </c>
      <c r="DT1100" s="1"/>
      <c r="DU1100" s="1"/>
      <c r="DV1100" s="1"/>
      <c r="DW1100" s="1"/>
      <c r="DX1100" s="1"/>
      <c r="DY1100" s="1"/>
      <c r="DZ1100" s="1"/>
      <c r="EA1100" s="1"/>
      <c r="EB1100" s="1"/>
      <c r="EC1100" s="1"/>
      <c r="ED1100" s="1"/>
      <c r="EE1100" s="1"/>
      <c r="EF1100" s="1"/>
      <c r="EG1100" s="1"/>
      <c r="EH1100" s="1"/>
      <c r="EI1100" s="1"/>
      <c r="EJ1100" s="1"/>
      <c r="EK1100" s="1"/>
      <c r="EL1100" s="1"/>
      <c r="EM1100" s="1"/>
      <c r="EN1100" s="1"/>
      <c r="EO1100" s="1"/>
      <c r="EP1100" s="1"/>
      <c r="EQ1100" s="1"/>
      <c r="ER1100" s="1"/>
      <c r="ES1100" s="1"/>
      <c r="ET1100" s="1"/>
      <c r="EU1100" s="1"/>
      <c r="EV1100" s="1"/>
      <c r="EW1100" s="1"/>
      <c r="EX1100" s="1"/>
      <c r="EY1100" s="1"/>
      <c r="EZ1100" s="1"/>
      <c r="FA1100" s="1"/>
      <c r="FB1100" s="1"/>
      <c r="FC1100" s="1"/>
      <c r="FD1100" s="1"/>
      <c r="FE1100" s="1"/>
      <c r="FF1100" s="1"/>
      <c r="FG1100" s="1"/>
      <c r="FH1100" s="1"/>
      <c r="FI1100" s="1"/>
      <c r="FJ1100" s="1"/>
      <c r="FK1100" s="1"/>
      <c r="FL1100" s="1"/>
      <c r="FM1100" s="1"/>
      <c r="FN1100" s="1"/>
      <c r="FO1100" s="1"/>
      <c r="FP1100" s="1"/>
      <c r="FQ1100" s="1"/>
      <c r="FR1100" s="1"/>
      <c r="FS1100" s="1"/>
      <c r="FT1100" s="1"/>
      <c r="FU1100" s="1"/>
      <c r="FV1100" s="1"/>
      <c r="FW1100" s="1"/>
      <c r="FX1100" s="1"/>
      <c r="FY1100" s="1"/>
      <c r="FZ1100" s="1"/>
      <c r="GA1100" s="1"/>
      <c r="GB1100" s="1"/>
      <c r="GC1100" s="1"/>
      <c r="GD1100" s="1"/>
      <c r="GE1100" s="1"/>
      <c r="GF1100" s="1"/>
      <c r="GG1100" s="1"/>
      <c r="GH1100" s="1"/>
      <c r="GI1100" s="1"/>
      <c r="GJ1100" s="1"/>
      <c r="GK1100" s="1"/>
      <c r="GL1100" s="1"/>
      <c r="GM1100" s="1"/>
      <c r="GN1100" s="1"/>
      <c r="GO1100" s="1"/>
      <c r="GP1100" s="1"/>
      <c r="GQ1100" s="1"/>
      <c r="GR1100" s="1"/>
      <c r="GS1100" s="1"/>
      <c r="GT1100" s="1"/>
      <c r="GU1100" s="1"/>
      <c r="GV1100" s="1"/>
      <c r="GW1100" s="1"/>
      <c r="GX1100" s="1"/>
      <c r="GY1100" s="1"/>
      <c r="GZ1100" s="1"/>
      <c r="HA1100" s="1"/>
      <c r="HB1100" s="1"/>
      <c r="HC1100" s="1"/>
      <c r="HD1100" s="1"/>
      <c r="HE1100" s="1"/>
      <c r="HF1100" s="1"/>
      <c r="HG1100" s="1"/>
      <c r="HH1100" s="1"/>
      <c r="HI1100" s="1"/>
      <c r="HJ1100" s="1"/>
      <c r="HK1100" s="1"/>
      <c r="HL1100" s="1"/>
      <c r="HM1100" s="1"/>
      <c r="HN1100" s="1"/>
      <c r="HO1100" s="1"/>
      <c r="HP1100" s="1"/>
      <c r="HQ1100" s="1"/>
      <c r="HR1100" s="1"/>
      <c r="HS1100" s="1"/>
      <c r="HT1100" s="1"/>
      <c r="HU1100" s="1"/>
      <c r="HV1100" s="1"/>
      <c r="HW1100" s="1"/>
      <c r="HX1100" s="1"/>
      <c r="HY1100" s="1"/>
      <c r="HZ1100" s="1"/>
      <c r="IA1100" s="1"/>
      <c r="IB1100" s="1"/>
      <c r="IC1100" s="1"/>
      <c r="ID1100" s="1"/>
      <c r="IE1100" s="1"/>
      <c r="IF1100" s="1"/>
      <c r="IG1100" s="1"/>
      <c r="IH1100" s="1"/>
      <c r="II1100" s="1"/>
      <c r="IJ1100" s="1"/>
      <c r="IK1100" s="1"/>
      <c r="IL1100" s="1"/>
      <c r="IM1100" s="1"/>
      <c r="IN1100" s="1"/>
      <c r="IO1100" s="1"/>
      <c r="IP1100" s="1"/>
      <c r="IQ1100" s="1"/>
      <c r="IR1100" s="1"/>
      <c r="IS1100" s="1"/>
      <c r="IT1100" s="1"/>
      <c r="IU1100" s="1"/>
      <c r="IV1100" s="1"/>
      <c r="IW1100" s="1"/>
      <c r="IX1100" s="1"/>
      <c r="IY1100" s="1"/>
      <c r="IZ1100" s="1"/>
      <c r="JA1100" s="1"/>
      <c r="JB1100" s="1"/>
      <c r="JC1100" s="1"/>
      <c r="JD1100" s="1"/>
    </row>
    <row r="1101" spans="1:264" s="411" customFormat="1" ht="13.5" thickBot="1" x14ac:dyDescent="0.25">
      <c r="A1101" s="463" t="s">
        <v>742</v>
      </c>
      <c r="B1101" s="522"/>
      <c r="C1101" s="521"/>
      <c r="D1101" s="521"/>
      <c r="E1101" s="521"/>
      <c r="F1101" s="521"/>
      <c r="G1101" s="521"/>
      <c r="H1101" s="521"/>
      <c r="I1101" s="521"/>
      <c r="J1101" s="521"/>
      <c r="K1101" s="521"/>
      <c r="L1101" s="521"/>
      <c r="M1101" s="521"/>
      <c r="N1101" s="521"/>
      <c r="O1101" s="521"/>
      <c r="P1101" s="521"/>
      <c r="Q1101" s="521"/>
      <c r="R1101" s="521"/>
      <c r="S1101" s="521"/>
      <c r="T1101" s="521"/>
      <c r="U1101" s="521"/>
      <c r="V1101" s="521"/>
      <c r="W1101" s="521"/>
      <c r="X1101" s="521"/>
      <c r="Y1101" s="521"/>
      <c r="Z1101" s="521"/>
      <c r="AA1101" s="521"/>
      <c r="AB1101" s="521"/>
      <c r="AC1101" s="521"/>
      <c r="AD1101" s="521"/>
      <c r="AE1101" s="521"/>
      <c r="AF1101" s="521"/>
      <c r="AG1101" s="521"/>
      <c r="AH1101" s="521"/>
      <c r="AI1101" s="521"/>
      <c r="AJ1101" s="521"/>
      <c r="AK1101" s="521"/>
      <c r="AL1101" s="521"/>
      <c r="AM1101" s="521"/>
      <c r="AN1101" s="521"/>
      <c r="AO1101" s="521"/>
      <c r="AP1101" s="521"/>
      <c r="AQ1101" s="521"/>
      <c r="AR1101" s="521"/>
      <c r="AS1101" s="521"/>
      <c r="AT1101" s="521"/>
      <c r="AU1101" s="521"/>
      <c r="AV1101" s="521"/>
      <c r="AW1101" s="521"/>
      <c r="AX1101" s="521"/>
      <c r="AY1101" s="521"/>
      <c r="AZ1101" s="521"/>
      <c r="BA1101" s="521"/>
      <c r="BB1101" s="521"/>
      <c r="BC1101" s="521"/>
      <c r="BD1101" s="521"/>
      <c r="BE1101" s="521"/>
      <c r="BF1101" s="521"/>
      <c r="BG1101" s="521"/>
      <c r="BH1101" s="522"/>
      <c r="BI1101" s="522"/>
      <c r="BJ1101" s="522"/>
      <c r="BK1101" s="522"/>
      <c r="BL1101" s="770"/>
      <c r="BM1101" s="770"/>
      <c r="BN1101" s="522"/>
      <c r="BO1101" s="522"/>
      <c r="BP1101" s="770"/>
      <c r="BQ1101" s="770"/>
      <c r="BR1101" s="521"/>
      <c r="BS1101" s="521"/>
      <c r="BT1101" s="521"/>
      <c r="BU1101" s="521"/>
      <c r="BV1101" s="521"/>
      <c r="BW1101" s="521"/>
      <c r="BX1101" s="521"/>
      <c r="BY1101" s="521"/>
      <c r="BZ1101" s="521"/>
      <c r="CA1101" s="521"/>
      <c r="CB1101" s="521"/>
      <c r="CC1101" s="521"/>
      <c r="CD1101" s="521"/>
      <c r="CE1101" s="521"/>
      <c r="CF1101" s="521"/>
      <c r="CG1101" s="521"/>
      <c r="CH1101" s="521"/>
      <c r="CI1101" s="521"/>
      <c r="CJ1101" s="521"/>
      <c r="CK1101" s="521"/>
      <c r="CL1101" s="521"/>
      <c r="CM1101" s="521"/>
      <c r="CN1101" s="521"/>
      <c r="CO1101" s="521"/>
      <c r="CP1101" s="521"/>
      <c r="CQ1101" s="521"/>
      <c r="CR1101" s="521"/>
      <c r="CS1101" s="521"/>
      <c r="CT1101" s="521"/>
      <c r="CU1101" s="521"/>
      <c r="CV1101" s="521"/>
      <c r="CW1101" s="521"/>
      <c r="CX1101" s="521"/>
      <c r="CY1101" s="521"/>
      <c r="CZ1101" s="521"/>
      <c r="DA1101" s="521"/>
      <c r="DB1101" s="521"/>
      <c r="DC1101" s="521"/>
      <c r="DD1101" s="521"/>
      <c r="DE1101" s="521"/>
      <c r="DF1101" s="521"/>
      <c r="DG1101" s="521"/>
      <c r="DH1101" s="521"/>
      <c r="DI1101" s="1346">
        <v>0.1201</v>
      </c>
      <c r="DJ1101" s="521"/>
      <c r="DK1101" s="521"/>
      <c r="DL1101" s="1346">
        <v>0.11749999999999999</v>
      </c>
      <c r="DM1101" s="1345">
        <f>DL1101</f>
        <v>0.11749999999999999</v>
      </c>
      <c r="DN1101" s="521"/>
      <c r="DO1101" s="521"/>
      <c r="DP1101" s="1346">
        <v>0.11749999999999999</v>
      </c>
      <c r="DQ1101" s="1345">
        <f>DP1101</f>
        <v>0.11749999999999999</v>
      </c>
      <c r="DR1101" s="521"/>
      <c r="DS1101" s="521"/>
      <c r="DT1101" s="1"/>
      <c r="DU1101" s="1"/>
      <c r="DV1101" s="1"/>
      <c r="DW1101" s="1"/>
      <c r="DX1101" s="1"/>
      <c r="DY1101" s="1"/>
      <c r="DZ1101" s="1"/>
      <c r="EA1101" s="1"/>
      <c r="EB1101" s="1"/>
      <c r="EC1101" s="1"/>
      <c r="ED1101" s="1"/>
      <c r="EE1101" s="1"/>
      <c r="EF1101" s="1"/>
      <c r="EG1101" s="1"/>
      <c r="EH1101" s="1"/>
      <c r="EI1101" s="1"/>
      <c r="EJ1101" s="1"/>
      <c r="EK1101" s="1"/>
      <c r="EL1101" s="1"/>
      <c r="EM1101" s="1"/>
      <c r="EN1101" s="1"/>
      <c r="EO1101" s="1"/>
      <c r="EP1101" s="1"/>
      <c r="EQ1101" s="1"/>
      <c r="ER1101" s="1"/>
      <c r="ES1101" s="1"/>
      <c r="ET1101" s="1"/>
      <c r="EU1101" s="1"/>
      <c r="EV1101" s="1"/>
      <c r="EW1101" s="1"/>
      <c r="EX1101" s="1"/>
      <c r="EY1101" s="1"/>
      <c r="EZ1101" s="1"/>
      <c r="FA1101" s="1"/>
      <c r="FB1101" s="1"/>
      <c r="FC1101" s="1"/>
      <c r="FD1101" s="1"/>
      <c r="FE1101" s="1"/>
      <c r="FF1101" s="1"/>
      <c r="FG1101" s="1"/>
      <c r="FH1101" s="1"/>
      <c r="FI1101" s="1"/>
      <c r="FJ1101" s="1"/>
      <c r="FK1101" s="1"/>
      <c r="FL1101" s="1"/>
      <c r="FM1101" s="1"/>
      <c r="FN1101" s="1"/>
      <c r="FO1101" s="1"/>
      <c r="FP1101" s="1"/>
      <c r="FQ1101" s="1"/>
      <c r="FR1101" s="1"/>
      <c r="FS1101" s="1"/>
      <c r="FT1101" s="1"/>
      <c r="FU1101" s="1"/>
      <c r="FV1101" s="1"/>
      <c r="FW1101" s="1"/>
      <c r="FX1101" s="1"/>
      <c r="FY1101" s="1"/>
      <c r="FZ1101" s="1"/>
      <c r="GA1101" s="1"/>
      <c r="GB1101" s="1"/>
      <c r="GC1101" s="1"/>
      <c r="GD1101" s="1"/>
      <c r="GE1101" s="1"/>
      <c r="GF1101" s="1"/>
      <c r="GG1101" s="1"/>
      <c r="GH1101" s="1"/>
      <c r="GI1101" s="1"/>
      <c r="GJ1101" s="1"/>
      <c r="GK1101" s="1"/>
      <c r="GL1101" s="1"/>
      <c r="GM1101" s="1"/>
      <c r="GN1101" s="1"/>
      <c r="GO1101" s="1"/>
      <c r="GP1101" s="1"/>
      <c r="GQ1101" s="1"/>
      <c r="GR1101" s="1"/>
      <c r="GS1101" s="1"/>
      <c r="GT1101" s="1"/>
      <c r="GU1101" s="1"/>
      <c r="GV1101" s="1"/>
      <c r="GW1101" s="1"/>
      <c r="GX1101" s="1"/>
      <c r="GY1101" s="1"/>
      <c r="GZ1101" s="1"/>
      <c r="HA1101" s="1"/>
      <c r="HB1101" s="1"/>
      <c r="HC1101" s="1"/>
      <c r="HD1101" s="1"/>
      <c r="HE1101" s="1"/>
      <c r="HF1101" s="1"/>
      <c r="HG1101" s="1"/>
      <c r="HH1101" s="1"/>
      <c r="HI1101" s="1"/>
      <c r="HJ1101" s="1"/>
      <c r="HK1101" s="1"/>
      <c r="HL1101" s="1"/>
      <c r="HM1101" s="1"/>
      <c r="HN1101" s="1"/>
      <c r="HO1101" s="1"/>
      <c r="HP1101" s="1"/>
      <c r="HQ1101" s="1"/>
      <c r="HR1101" s="1"/>
      <c r="HS1101" s="1"/>
      <c r="HT1101" s="1"/>
      <c r="HU1101" s="1"/>
      <c r="HV1101" s="1"/>
      <c r="HW1101" s="1"/>
      <c r="HX1101" s="1"/>
      <c r="HY1101" s="1"/>
      <c r="HZ1101" s="1"/>
      <c r="IA1101" s="1"/>
      <c r="IB1101" s="1"/>
      <c r="IC1101" s="1"/>
      <c r="ID1101" s="1"/>
      <c r="IE1101" s="1"/>
      <c r="IF1101" s="1"/>
      <c r="IG1101" s="1"/>
      <c r="IH1101" s="1"/>
      <c r="II1101" s="1"/>
      <c r="IJ1101" s="1"/>
      <c r="IK1101" s="1"/>
      <c r="IL1101" s="1"/>
      <c r="IM1101" s="1"/>
      <c r="IN1101" s="1"/>
      <c r="IO1101" s="1"/>
      <c r="IP1101" s="1"/>
      <c r="IQ1101" s="1"/>
      <c r="IR1101" s="1"/>
      <c r="IS1101" s="1"/>
      <c r="IT1101" s="1"/>
      <c r="IU1101" s="1"/>
      <c r="IV1101" s="1"/>
      <c r="IW1101" s="1"/>
      <c r="IX1101" s="1"/>
      <c r="IY1101" s="1"/>
      <c r="IZ1101" s="1"/>
      <c r="JA1101" s="1"/>
      <c r="JB1101" s="1"/>
      <c r="JC1101" s="1"/>
      <c r="JD1101" s="1"/>
    </row>
    <row r="1102" spans="1:264" s="411" customFormat="1" x14ac:dyDescent="0.2">
      <c r="A1102" s="411" t="s">
        <v>750</v>
      </c>
      <c r="B1102" s="423"/>
      <c r="BH1102" s="396"/>
      <c r="BI1102" s="396"/>
      <c r="BJ1102" s="423"/>
      <c r="BK1102" s="423"/>
      <c r="BL1102" s="397"/>
      <c r="BM1102" s="397"/>
      <c r="BN1102" s="423"/>
      <c r="BO1102" s="423"/>
      <c r="BP1102" s="397"/>
      <c r="BQ1102" s="397"/>
      <c r="CO1102" s="524">
        <v>-6000</v>
      </c>
      <c r="CR1102" s="524">
        <v>-468</v>
      </c>
      <c r="CS1102" s="524">
        <v>-1329.9</v>
      </c>
      <c r="CV1102" s="524">
        <f>-2000+1798-1000</f>
        <v>-1202</v>
      </c>
      <c r="CW1102" s="524">
        <v>-154</v>
      </c>
      <c r="CZ1102" s="524">
        <v>-128</v>
      </c>
      <c r="DA1102" s="524">
        <f>-300-CW1102-CZ1102</f>
        <v>-18</v>
      </c>
      <c r="DD1102" s="524">
        <v>0</v>
      </c>
      <c r="DE1102" s="524">
        <v>0</v>
      </c>
      <c r="DH1102" s="556">
        <v>0</v>
      </c>
      <c r="DI1102" s="556">
        <v>0</v>
      </c>
      <c r="DJ1102" s="1518"/>
      <c r="DK1102" s="1518"/>
      <c r="DL1102" s="556">
        <v>0</v>
      </c>
      <c r="DM1102" s="556">
        <v>0</v>
      </c>
      <c r="DN1102" s="1518"/>
      <c r="DO1102" s="1518"/>
      <c r="DP1102" s="556">
        <v>0</v>
      </c>
      <c r="DQ1102" s="556">
        <v>0</v>
      </c>
      <c r="DT1102" s="1"/>
      <c r="DU1102" s="1517">
        <f>-700-DI1102-DL1102-DM1102-DP1102-DH1102-DQ1102</f>
        <v>-700</v>
      </c>
      <c r="DV1102" s="1"/>
      <c r="DW1102" s="1"/>
      <c r="DX1102" s="1"/>
      <c r="DY1102" s="1"/>
      <c r="DZ1102" s="1"/>
      <c r="EA1102" s="1"/>
      <c r="EB1102" s="1"/>
      <c r="EC1102" s="1"/>
      <c r="ED1102" s="1"/>
      <c r="EE1102" s="1"/>
      <c r="EF1102" s="1"/>
      <c r="EG1102" s="1"/>
      <c r="EH1102" s="1"/>
      <c r="EI1102" s="1"/>
      <c r="EJ1102" s="1"/>
      <c r="EK1102" s="1"/>
      <c r="EL1102" s="1"/>
      <c r="EM1102" s="1"/>
      <c r="EN1102" s="1"/>
      <c r="EO1102" s="1"/>
      <c r="EP1102" s="1"/>
      <c r="EQ1102" s="1"/>
      <c r="ER1102" s="1"/>
      <c r="ES1102" s="1"/>
      <c r="ET1102" s="1"/>
      <c r="EU1102" s="1"/>
      <c r="EV1102" s="1"/>
      <c r="EW1102" s="1"/>
      <c r="EX1102" s="1"/>
      <c r="EY1102" s="1"/>
      <c r="EZ1102" s="1"/>
      <c r="FA1102" s="1"/>
      <c r="FB1102" s="1"/>
      <c r="FC1102" s="1"/>
      <c r="FD1102" s="1"/>
      <c r="FE1102" s="1"/>
      <c r="FF1102" s="1"/>
      <c r="FG1102" s="1"/>
      <c r="FH1102" s="1"/>
      <c r="FI1102" s="1"/>
      <c r="FJ1102" s="1"/>
      <c r="FK1102" s="1"/>
      <c r="FL1102" s="1"/>
      <c r="FM1102" s="1"/>
      <c r="FN1102" s="1"/>
      <c r="FO1102" s="1"/>
      <c r="FP1102" s="1"/>
      <c r="FQ1102" s="1"/>
      <c r="FR1102" s="1"/>
      <c r="FS1102" s="1"/>
      <c r="FT1102" s="1"/>
      <c r="FU1102" s="1"/>
      <c r="FV1102" s="1"/>
      <c r="FW1102" s="1"/>
      <c r="FX1102" s="1"/>
      <c r="FY1102" s="1"/>
      <c r="FZ1102" s="1"/>
      <c r="GA1102" s="1"/>
      <c r="GB1102" s="1"/>
      <c r="GC1102" s="1"/>
      <c r="GD1102" s="1"/>
      <c r="GE1102" s="1"/>
      <c r="GF1102" s="1"/>
      <c r="GG1102" s="1"/>
      <c r="GH1102" s="1"/>
      <c r="GI1102" s="1"/>
      <c r="GJ1102" s="1"/>
      <c r="GK1102" s="1"/>
      <c r="GL1102" s="1"/>
      <c r="GM1102" s="1"/>
      <c r="GN1102" s="1"/>
      <c r="GO1102" s="1"/>
      <c r="GP1102" s="1"/>
      <c r="GQ1102" s="1"/>
      <c r="GR1102" s="1"/>
      <c r="GS1102" s="1"/>
      <c r="GT1102" s="1"/>
      <c r="GU1102" s="1"/>
      <c r="GV1102" s="1"/>
      <c r="GW1102" s="1"/>
      <c r="GX1102" s="1"/>
      <c r="GY1102" s="1"/>
      <c r="GZ1102" s="1"/>
      <c r="HA1102" s="1"/>
      <c r="HB1102" s="1"/>
      <c r="HC1102" s="1"/>
      <c r="HD1102" s="1"/>
      <c r="HE1102" s="1"/>
      <c r="HF1102" s="1"/>
      <c r="HG1102" s="1"/>
      <c r="HH1102" s="1"/>
      <c r="HI1102" s="1"/>
      <c r="HJ1102" s="1"/>
      <c r="HK1102" s="1"/>
      <c r="HL1102" s="1"/>
      <c r="HM1102" s="1"/>
      <c r="HN1102" s="1"/>
      <c r="HO1102" s="1"/>
      <c r="HP1102" s="1"/>
      <c r="HQ1102" s="1"/>
      <c r="HR1102" s="1"/>
      <c r="HS1102" s="1"/>
      <c r="HT1102" s="1"/>
      <c r="HU1102" s="1"/>
      <c r="HV1102" s="1"/>
      <c r="HW1102" s="1"/>
      <c r="HX1102" s="1"/>
      <c r="HY1102" s="1"/>
      <c r="HZ1102" s="1"/>
      <c r="IA1102" s="1"/>
      <c r="IB1102" s="1"/>
      <c r="IC1102" s="1"/>
      <c r="ID1102" s="1"/>
      <c r="IE1102" s="1"/>
      <c r="IF1102" s="1"/>
      <c r="IG1102" s="1"/>
      <c r="IH1102" s="1"/>
      <c r="II1102" s="1"/>
      <c r="IJ1102" s="1"/>
      <c r="IK1102" s="1"/>
      <c r="IL1102" s="1"/>
      <c r="IM1102" s="1"/>
      <c r="IN1102" s="1"/>
      <c r="IO1102" s="1"/>
      <c r="IP1102" s="1"/>
      <c r="IQ1102" s="1"/>
      <c r="IR1102" s="1"/>
      <c r="IS1102" s="1"/>
      <c r="IT1102" s="1"/>
      <c r="IU1102" s="1"/>
      <c r="IV1102" s="1"/>
      <c r="IW1102" s="1"/>
      <c r="IX1102" s="1"/>
      <c r="IY1102" s="1"/>
      <c r="IZ1102" s="1"/>
      <c r="JA1102" s="1"/>
      <c r="JB1102" s="1"/>
      <c r="JC1102" s="1"/>
      <c r="JD1102" s="1"/>
    </row>
    <row r="1103" spans="1:264" s="411" customFormat="1" x14ac:dyDescent="0.2">
      <c r="A1103" s="463" t="s">
        <v>744</v>
      </c>
      <c r="B1103" s="522"/>
      <c r="C1103" s="521"/>
      <c r="D1103" s="521"/>
      <c r="E1103" s="521"/>
      <c r="F1103" s="521"/>
      <c r="G1103" s="521"/>
      <c r="H1103" s="521"/>
      <c r="I1103" s="521"/>
      <c r="J1103" s="521"/>
      <c r="K1103" s="521"/>
      <c r="L1103" s="521"/>
      <c r="M1103" s="521"/>
      <c r="N1103" s="521"/>
      <c r="O1103" s="521"/>
      <c r="P1103" s="521"/>
      <c r="Q1103" s="521"/>
      <c r="R1103" s="521"/>
      <c r="S1103" s="521"/>
      <c r="T1103" s="521"/>
      <c r="U1103" s="521"/>
      <c r="V1103" s="521"/>
      <c r="W1103" s="521"/>
      <c r="X1103" s="521"/>
      <c r="Y1103" s="521"/>
      <c r="Z1103" s="521"/>
      <c r="AA1103" s="521"/>
      <c r="AB1103" s="521"/>
      <c r="AC1103" s="521"/>
      <c r="AD1103" s="521"/>
      <c r="AE1103" s="521"/>
      <c r="AF1103" s="521"/>
      <c r="AG1103" s="521"/>
      <c r="AH1103" s="521"/>
      <c r="AI1103" s="521"/>
      <c r="AJ1103" s="521"/>
      <c r="AK1103" s="521"/>
      <c r="AL1103" s="521"/>
      <c r="AM1103" s="521"/>
      <c r="AN1103" s="521"/>
      <c r="AO1103" s="521"/>
      <c r="AP1103" s="521"/>
      <c r="AQ1103" s="521"/>
      <c r="AR1103" s="521"/>
      <c r="AS1103" s="521"/>
      <c r="AT1103" s="521"/>
      <c r="AU1103" s="521"/>
      <c r="AV1103" s="521"/>
      <c r="AW1103" s="521"/>
      <c r="AX1103" s="521"/>
      <c r="AY1103" s="521"/>
      <c r="AZ1103" s="521"/>
      <c r="BA1103" s="521"/>
      <c r="BB1103" s="521"/>
      <c r="BC1103" s="521"/>
      <c r="BD1103" s="521"/>
      <c r="BE1103" s="521"/>
      <c r="BF1103" s="521"/>
      <c r="BG1103" s="521"/>
      <c r="BH1103" s="758"/>
      <c r="BI1103" s="758"/>
      <c r="BJ1103" s="522"/>
      <c r="BK1103" s="522"/>
      <c r="BL1103" s="758"/>
      <c r="BM1103" s="758"/>
      <c r="BN1103" s="522"/>
      <c r="BO1103" s="522"/>
      <c r="BP1103" s="758"/>
      <c r="BQ1103" s="758"/>
      <c r="BR1103" s="521"/>
      <c r="BS1103" s="521"/>
      <c r="BT1103" s="521"/>
      <c r="BU1103" s="521"/>
      <c r="BV1103" s="521"/>
      <c r="BW1103" s="521"/>
      <c r="BX1103" s="521"/>
      <c r="BY1103" s="521"/>
      <c r="BZ1103" s="521"/>
      <c r="CA1103" s="521"/>
      <c r="CB1103" s="521"/>
      <c r="CC1103" s="521"/>
      <c r="CD1103" s="521"/>
      <c r="CE1103" s="521"/>
      <c r="CF1103" s="521"/>
      <c r="CG1103" s="521"/>
      <c r="CH1103" s="521"/>
      <c r="CI1103" s="521"/>
      <c r="CJ1103" s="521"/>
      <c r="CK1103" s="521"/>
      <c r="CL1103" s="521"/>
      <c r="CM1103" s="521"/>
      <c r="CN1103" s="521"/>
      <c r="CO1103" s="761">
        <f>103.0483*(1-0.14)</f>
        <v>88.621538000000001</v>
      </c>
      <c r="CP1103" s="774"/>
      <c r="CQ1103" s="774"/>
      <c r="CR1103" s="761">
        <v>96.42</v>
      </c>
      <c r="CS1103" s="761">
        <v>101.88</v>
      </c>
      <c r="CT1103" s="774"/>
      <c r="CU1103" s="774"/>
      <c r="CV1103" s="761">
        <v>98.17</v>
      </c>
      <c r="CW1103" s="761">
        <v>103.91</v>
      </c>
      <c r="CX1103" s="521"/>
      <c r="CY1103" s="521"/>
      <c r="CZ1103" s="762">
        <v>119.17</v>
      </c>
      <c r="DA1103" s="762">
        <v>151.97999999999999</v>
      </c>
      <c r="DB1103" s="521"/>
      <c r="DC1103" s="521"/>
      <c r="DD1103" s="758">
        <f>DD$1079</f>
        <v>149.88999999999999</v>
      </c>
      <c r="DE1103" s="758">
        <f>DE$1079</f>
        <v>168.6</v>
      </c>
      <c r="DF1103" s="521"/>
      <c r="DG1103" s="521"/>
      <c r="DH1103" s="758">
        <f>DH$1079</f>
        <v>170</v>
      </c>
      <c r="DI1103" s="758">
        <f>DI$1079</f>
        <v>177.07766657599709</v>
      </c>
      <c r="DJ1103" s="521"/>
      <c r="DK1103" s="521"/>
      <c r="DL1103" s="758">
        <f>DL$1079</f>
        <v>184.45</v>
      </c>
      <c r="DM1103" s="758">
        <f>DM$1079</f>
        <v>192.12926823495684</v>
      </c>
      <c r="DN1103" s="521"/>
      <c r="DO1103" s="521"/>
      <c r="DP1103" s="758">
        <f>DP$1079</f>
        <v>200.12824999999998</v>
      </c>
      <c r="DQ1103" s="758">
        <f>DQ$1079</f>
        <v>208.46025603492816</v>
      </c>
      <c r="DR1103" s="521"/>
      <c r="DS1103" s="521"/>
      <c r="DT1103" s="1"/>
      <c r="DU1103" s="1"/>
      <c r="DV1103" s="1"/>
      <c r="DW1103" s="1"/>
      <c r="DX1103" s="1"/>
      <c r="DY1103" s="1"/>
      <c r="DZ1103" s="1"/>
      <c r="EA1103" s="1"/>
      <c r="EB1103" s="1"/>
      <c r="EC1103" s="1"/>
      <c r="ED1103" s="1"/>
      <c r="EE1103" s="1"/>
      <c r="EF1103" s="1"/>
      <c r="EG1103" s="1"/>
      <c r="EH1103" s="1"/>
      <c r="EI1103" s="1"/>
      <c r="EJ1103" s="1"/>
      <c r="EK1103" s="1"/>
      <c r="EL1103" s="1"/>
      <c r="EM1103" s="1"/>
      <c r="EN1103" s="1"/>
      <c r="EO1103" s="1"/>
      <c r="EP1103" s="1"/>
      <c r="EQ1103" s="1"/>
      <c r="ER1103" s="1"/>
      <c r="ES1103" s="1"/>
      <c r="ET1103" s="1"/>
      <c r="EU1103" s="1"/>
      <c r="EV1103" s="1"/>
      <c r="EW1103" s="1"/>
      <c r="EX1103" s="1"/>
      <c r="EY1103" s="1"/>
      <c r="EZ1103" s="1"/>
      <c r="FA1103" s="1"/>
      <c r="FB1103" s="1"/>
      <c r="FC1103" s="1"/>
      <c r="FD1103" s="1"/>
      <c r="FE1103" s="1"/>
      <c r="FF1103" s="1"/>
      <c r="FG1103" s="1"/>
      <c r="FH1103" s="1"/>
      <c r="FI1103" s="1"/>
      <c r="FJ1103" s="1"/>
      <c r="FK1103" s="1"/>
      <c r="FL1103" s="1"/>
      <c r="FM1103" s="1"/>
      <c r="FN1103" s="1"/>
      <c r="FO1103" s="1"/>
      <c r="FP1103" s="1"/>
      <c r="FQ1103" s="1"/>
      <c r="FR1103" s="1"/>
      <c r="FS1103" s="1"/>
      <c r="FT1103" s="1"/>
      <c r="FU1103" s="1"/>
      <c r="FV1103" s="1"/>
      <c r="FW1103" s="1"/>
      <c r="FX1103" s="1"/>
      <c r="FY1103" s="1"/>
      <c r="FZ1103" s="1"/>
      <c r="GA1103" s="1"/>
      <c r="GB1103" s="1"/>
      <c r="GC1103" s="1"/>
      <c r="GD1103" s="1"/>
      <c r="GE1103" s="1"/>
      <c r="GF1103" s="1"/>
      <c r="GG1103" s="1"/>
      <c r="GH1103" s="1"/>
      <c r="GI1103" s="1"/>
      <c r="GJ1103" s="1"/>
      <c r="GK1103" s="1"/>
      <c r="GL1103" s="1"/>
      <c r="GM1103" s="1"/>
      <c r="GN1103" s="1"/>
      <c r="GO1103" s="1"/>
      <c r="GP1103" s="1"/>
      <c r="GQ1103" s="1"/>
      <c r="GR1103" s="1"/>
      <c r="GS1103" s="1"/>
      <c r="GT1103" s="1"/>
      <c r="GU1103" s="1"/>
      <c r="GV1103" s="1"/>
      <c r="GW1103" s="1"/>
      <c r="GX1103" s="1"/>
      <c r="GY1103" s="1"/>
      <c r="GZ1103" s="1"/>
      <c r="HA1103" s="1"/>
      <c r="HB1103" s="1"/>
      <c r="HC1103" s="1"/>
      <c r="HD1103" s="1"/>
      <c r="HE1103" s="1"/>
      <c r="HF1103" s="1"/>
      <c r="HG1103" s="1"/>
      <c r="HH1103" s="1"/>
      <c r="HI1103" s="1"/>
      <c r="HJ1103" s="1"/>
      <c r="HK1103" s="1"/>
      <c r="HL1103" s="1"/>
      <c r="HM1103" s="1"/>
      <c r="HN1103" s="1"/>
      <c r="HO1103" s="1"/>
      <c r="HP1103" s="1"/>
      <c r="HQ1103" s="1"/>
      <c r="HR1103" s="1"/>
      <c r="HS1103" s="1"/>
      <c r="HT1103" s="1"/>
      <c r="HU1103" s="1"/>
      <c r="HV1103" s="1"/>
      <c r="HW1103" s="1"/>
      <c r="HX1103" s="1"/>
      <c r="HY1103" s="1"/>
      <c r="HZ1103" s="1"/>
      <c r="IA1103" s="1"/>
      <c r="IB1103" s="1"/>
      <c r="IC1103" s="1"/>
      <c r="ID1103" s="1"/>
      <c r="IE1103" s="1"/>
      <c r="IF1103" s="1"/>
      <c r="IG1103" s="1"/>
      <c r="IH1103" s="1"/>
      <c r="II1103" s="1"/>
      <c r="IJ1103" s="1"/>
      <c r="IK1103" s="1"/>
      <c r="IL1103" s="1"/>
      <c r="IM1103" s="1"/>
      <c r="IN1103" s="1"/>
      <c r="IO1103" s="1"/>
      <c r="IP1103" s="1"/>
      <c r="IQ1103" s="1"/>
      <c r="IR1103" s="1"/>
      <c r="IS1103" s="1"/>
      <c r="IT1103" s="1"/>
      <c r="IU1103" s="1"/>
      <c r="IV1103" s="1"/>
      <c r="IW1103" s="1"/>
      <c r="IX1103" s="1"/>
      <c r="IY1103" s="1"/>
      <c r="IZ1103" s="1"/>
      <c r="JA1103" s="1"/>
      <c r="JB1103" s="1"/>
      <c r="JC1103" s="1"/>
      <c r="JD1103" s="1"/>
    </row>
    <row r="1104" spans="1:264" s="411" customFormat="1" x14ac:dyDescent="0.2">
      <c r="A1104" s="411" t="s">
        <v>751</v>
      </c>
      <c r="B1104" s="423"/>
      <c r="BH1104" s="724"/>
      <c r="BI1104" s="724"/>
      <c r="BJ1104" s="423"/>
      <c r="BK1104" s="423"/>
      <c r="BL1104" s="725"/>
      <c r="BM1104" s="725"/>
      <c r="BN1104" s="423"/>
      <c r="BO1104" s="423"/>
      <c r="BP1104" s="725"/>
      <c r="BQ1104" s="725"/>
      <c r="CO1104" s="725">
        <f>+CO1102/CO1103</f>
        <v>-67.703632044842195</v>
      </c>
      <c r="CR1104" s="725">
        <f>+CR1102/CR1103</f>
        <v>-4.8537647790914749</v>
      </c>
      <c r="CS1104" s="725">
        <f>+CS1102/CS1103</f>
        <v>-13.053592461719672</v>
      </c>
      <c r="CV1104" s="725">
        <f>+CV1102/CV1103</f>
        <v>-12.244066415401853</v>
      </c>
      <c r="CW1104" s="725">
        <f>+CW1102/CW1103</f>
        <v>-1.4820517755750169</v>
      </c>
      <c r="CZ1104" s="725">
        <f>+CZ1102/CZ1103</f>
        <v>-1.0740958294872871</v>
      </c>
      <c r="DA1104" s="725">
        <f>+DA1102/DA1103</f>
        <v>-0.11843663639952626</v>
      </c>
      <c r="DD1104" s="725">
        <f>+DD1102/DD1103</f>
        <v>0</v>
      </c>
      <c r="DE1104" s="725">
        <f>+DE1102/DE1103</f>
        <v>0</v>
      </c>
      <c r="DH1104" s="725">
        <f>+DH1102/DH1103</f>
        <v>0</v>
      </c>
      <c r="DI1104" s="725">
        <f>+DI1102/DI1103</f>
        <v>0</v>
      </c>
      <c r="DL1104" s="725">
        <f>+DL1102/DL1103</f>
        <v>0</v>
      </c>
      <c r="DM1104" s="725">
        <f>+DM1102/DM1103</f>
        <v>0</v>
      </c>
      <c r="DP1104" s="725">
        <f>+DP1102/DP1103</f>
        <v>0</v>
      </c>
      <c r="DQ1104" s="725">
        <f>+DQ1102/DQ1103</f>
        <v>0</v>
      </c>
      <c r="DT1104" s="1"/>
      <c r="DU1104" s="1"/>
      <c r="DV1104" s="1"/>
      <c r="DW1104" s="1"/>
      <c r="DX1104" s="1"/>
      <c r="DY1104" s="1"/>
      <c r="DZ1104" s="1"/>
      <c r="EA1104" s="1"/>
      <c r="EB1104" s="1"/>
      <c r="EC1104" s="1"/>
      <c r="ED1104" s="1"/>
      <c r="EE1104" s="1"/>
      <c r="EF1104" s="1"/>
      <c r="EG1104" s="1"/>
      <c r="EH1104" s="1"/>
      <c r="EI1104" s="1"/>
      <c r="EJ1104" s="1"/>
      <c r="EK1104" s="1"/>
      <c r="EL1104" s="1"/>
      <c r="EM1104" s="1"/>
      <c r="EN1104" s="1"/>
      <c r="EO1104" s="1"/>
      <c r="EP1104" s="1"/>
      <c r="EQ1104" s="1"/>
      <c r="ER1104" s="1"/>
      <c r="ES1104" s="1"/>
      <c r="ET1104" s="1"/>
      <c r="EU1104" s="1"/>
      <c r="EV1104" s="1"/>
      <c r="EW1104" s="1"/>
      <c r="EX1104" s="1"/>
      <c r="EY1104" s="1"/>
      <c r="EZ1104" s="1"/>
      <c r="FA1104" s="1"/>
      <c r="FB1104" s="1"/>
      <c r="FC1104" s="1"/>
      <c r="FD1104" s="1"/>
      <c r="FE1104" s="1"/>
      <c r="FF1104" s="1"/>
      <c r="FG1104" s="1"/>
      <c r="FH1104" s="1"/>
      <c r="FI1104" s="1"/>
      <c r="FJ1104" s="1"/>
      <c r="FK1104" s="1"/>
      <c r="FL1104" s="1"/>
      <c r="FM1104" s="1"/>
      <c r="FN1104" s="1"/>
      <c r="FO1104" s="1"/>
      <c r="FP1104" s="1"/>
      <c r="FQ1104" s="1"/>
      <c r="FR1104" s="1"/>
      <c r="FS1104" s="1"/>
      <c r="FT1104" s="1"/>
      <c r="FU1104" s="1"/>
      <c r="FV1104" s="1"/>
      <c r="FW1104" s="1"/>
      <c r="FX1104" s="1"/>
      <c r="FY1104" s="1"/>
      <c r="FZ1104" s="1"/>
      <c r="GA1104" s="1"/>
      <c r="GB1104" s="1"/>
      <c r="GC1104" s="1"/>
      <c r="GD1104" s="1"/>
      <c r="GE1104" s="1"/>
      <c r="GF1104" s="1"/>
      <c r="GG1104" s="1"/>
      <c r="GH1104" s="1"/>
      <c r="GI1104" s="1"/>
      <c r="GJ1104" s="1"/>
      <c r="GK1104" s="1"/>
      <c r="GL1104" s="1"/>
      <c r="GM1104" s="1"/>
      <c r="GN1104" s="1"/>
      <c r="GO1104" s="1"/>
      <c r="GP1104" s="1"/>
      <c r="GQ1104" s="1"/>
      <c r="GR1104" s="1"/>
      <c r="GS1104" s="1"/>
      <c r="GT1104" s="1"/>
      <c r="GU1104" s="1"/>
      <c r="GV1104" s="1"/>
      <c r="GW1104" s="1"/>
      <c r="GX1104" s="1"/>
      <c r="GY1104" s="1"/>
      <c r="GZ1104" s="1"/>
      <c r="HA1104" s="1"/>
      <c r="HB1104" s="1"/>
      <c r="HC1104" s="1"/>
      <c r="HD1104" s="1"/>
      <c r="HE1104" s="1"/>
      <c r="HF1104" s="1"/>
      <c r="HG1104" s="1"/>
      <c r="HH1104" s="1"/>
      <c r="HI1104" s="1"/>
      <c r="HJ1104" s="1"/>
      <c r="HK1104" s="1"/>
      <c r="HL1104" s="1"/>
      <c r="HM1104" s="1"/>
      <c r="HN1104" s="1"/>
      <c r="HO1104" s="1"/>
      <c r="HP1104" s="1"/>
      <c r="HQ1104" s="1"/>
      <c r="HR1104" s="1"/>
      <c r="HS1104" s="1"/>
      <c r="HT1104" s="1"/>
      <c r="HU1104" s="1"/>
      <c r="HV1104" s="1"/>
      <c r="HW1104" s="1"/>
      <c r="HX1104" s="1"/>
      <c r="HY1104" s="1"/>
      <c r="HZ1104" s="1"/>
      <c r="IA1104" s="1"/>
      <c r="IB1104" s="1"/>
      <c r="IC1104" s="1"/>
      <c r="ID1104" s="1"/>
      <c r="IE1104" s="1"/>
      <c r="IF1104" s="1"/>
      <c r="IG1104" s="1"/>
      <c r="IH1104" s="1"/>
      <c r="II1104" s="1"/>
      <c r="IJ1104" s="1"/>
      <c r="IK1104" s="1"/>
      <c r="IL1104" s="1"/>
      <c r="IM1104" s="1"/>
      <c r="IN1104" s="1"/>
      <c r="IO1104" s="1"/>
      <c r="IP1104" s="1"/>
      <c r="IQ1104" s="1"/>
      <c r="IR1104" s="1"/>
      <c r="IS1104" s="1"/>
      <c r="IT1104" s="1"/>
      <c r="IU1104" s="1"/>
      <c r="IV1104" s="1"/>
      <c r="IW1104" s="1"/>
      <c r="IX1104" s="1"/>
      <c r="IY1104" s="1"/>
      <c r="IZ1104" s="1"/>
      <c r="JA1104" s="1"/>
      <c r="JB1104" s="1"/>
      <c r="JC1104" s="1"/>
      <c r="JD1104" s="1"/>
    </row>
    <row r="1105" spans="1:264" s="347" customFormat="1" x14ac:dyDescent="0.2">
      <c r="A1105" s="411"/>
      <c r="B1105" s="348"/>
      <c r="BH1105" s="348"/>
      <c r="BI1105" s="348"/>
      <c r="BJ1105" s="348"/>
      <c r="BK1105" s="348"/>
      <c r="BL1105" s="398"/>
      <c r="BM1105" s="398"/>
      <c r="BN1105" s="348"/>
      <c r="BO1105" s="348"/>
      <c r="BP1105" s="348"/>
      <c r="BT1105" s="348"/>
      <c r="BX1105" s="348"/>
      <c r="CB1105" s="348"/>
      <c r="CF1105" s="348"/>
      <c r="CJ1105" s="348"/>
      <c r="CN1105" s="348"/>
      <c r="CO1105" s="348"/>
      <c r="CR1105" s="348"/>
      <c r="CV1105" s="348"/>
      <c r="CZ1105" s="348"/>
      <c r="DD1105" s="348"/>
      <c r="DH1105" s="348"/>
      <c r="DL1105" s="348"/>
      <c r="DP1105" s="348"/>
      <c r="DT1105" s="1"/>
      <c r="DU1105" s="1"/>
      <c r="DV1105" s="1"/>
      <c r="DW1105" s="1"/>
      <c r="DX1105" s="1"/>
      <c r="DY1105" s="1"/>
      <c r="DZ1105" s="1"/>
      <c r="EA1105" s="1"/>
      <c r="EB1105" s="1"/>
      <c r="EC1105" s="1"/>
      <c r="ED1105" s="1"/>
      <c r="EE1105" s="1"/>
      <c r="EF1105" s="1"/>
      <c r="EG1105" s="1"/>
      <c r="EH1105" s="1"/>
      <c r="EI1105" s="1"/>
      <c r="EJ1105" s="1"/>
      <c r="EK1105" s="1"/>
      <c r="EL1105" s="1"/>
      <c r="EM1105" s="1"/>
      <c r="EN1105" s="1"/>
      <c r="EO1105" s="1"/>
      <c r="EP1105" s="1"/>
      <c r="EQ1105" s="1"/>
      <c r="ER1105" s="1"/>
      <c r="ES1105" s="1"/>
      <c r="ET1105" s="1"/>
      <c r="EU1105" s="1"/>
      <c r="EV1105" s="1"/>
      <c r="EW1105" s="1"/>
      <c r="EX1105" s="1"/>
      <c r="EY1105" s="1"/>
      <c r="EZ1105" s="1"/>
      <c r="FA1105" s="1"/>
      <c r="FB1105" s="1"/>
      <c r="FC1105" s="1"/>
      <c r="FD1105" s="1"/>
      <c r="FE1105" s="1"/>
      <c r="FF1105" s="1"/>
      <c r="FG1105" s="1"/>
      <c r="FH1105" s="1"/>
      <c r="FI1105" s="1"/>
      <c r="FJ1105" s="1"/>
      <c r="FK1105" s="1"/>
      <c r="FL1105" s="1"/>
      <c r="FM1105" s="1"/>
      <c r="FN1105" s="1"/>
      <c r="FO1105" s="1"/>
      <c r="FP1105" s="1"/>
      <c r="FQ1105" s="1"/>
      <c r="FR1105" s="1"/>
      <c r="FS1105" s="1"/>
      <c r="FT1105" s="1"/>
      <c r="FU1105" s="1"/>
      <c r="FV1105" s="1"/>
      <c r="FW1105" s="1"/>
      <c r="FX1105" s="1"/>
      <c r="FY1105" s="1"/>
      <c r="FZ1105" s="1"/>
      <c r="GA1105" s="1"/>
      <c r="GB1105" s="1"/>
      <c r="GC1105" s="1"/>
      <c r="GD1105" s="1"/>
      <c r="GE1105" s="1"/>
      <c r="GF1105" s="1"/>
      <c r="GG1105" s="1"/>
      <c r="GH1105" s="1"/>
      <c r="GI1105" s="1"/>
      <c r="GJ1105" s="1"/>
      <c r="GK1105" s="1"/>
      <c r="GL1105" s="1"/>
      <c r="GM1105" s="1"/>
      <c r="GN1105" s="1"/>
      <c r="GO1105" s="1"/>
      <c r="GP1105" s="1"/>
      <c r="GQ1105" s="1"/>
      <c r="GR1105" s="1"/>
      <c r="GS1105" s="1"/>
      <c r="GT1105" s="1"/>
      <c r="GU1105" s="1"/>
      <c r="GV1105" s="1"/>
      <c r="GW1105" s="1"/>
      <c r="GX1105" s="1"/>
      <c r="GY1105" s="1"/>
      <c r="GZ1105" s="1"/>
      <c r="HA1105" s="1"/>
      <c r="HB1105" s="1"/>
      <c r="HC1105" s="1"/>
      <c r="HD1105" s="1"/>
      <c r="HE1105" s="1"/>
      <c r="HF1105" s="1"/>
      <c r="HG1105" s="1"/>
      <c r="HH1105" s="1"/>
      <c r="HI1105" s="1"/>
      <c r="HJ1105" s="1"/>
      <c r="HK1105" s="1"/>
      <c r="HL1105" s="1"/>
      <c r="HM1105" s="1"/>
      <c r="HN1105" s="1"/>
      <c r="HO1105" s="1"/>
      <c r="HP1105" s="1"/>
      <c r="HQ1105" s="1"/>
      <c r="HR1105" s="1"/>
      <c r="HS1105" s="1"/>
      <c r="HT1105" s="1"/>
      <c r="HU1105" s="1"/>
      <c r="HV1105" s="1"/>
      <c r="HW1105" s="1"/>
      <c r="HX1105" s="1"/>
      <c r="HY1105" s="1"/>
      <c r="HZ1105" s="1"/>
      <c r="IA1105" s="1"/>
      <c r="IB1105" s="1"/>
      <c r="IC1105" s="1"/>
      <c r="ID1105" s="1"/>
      <c r="IE1105" s="1"/>
      <c r="IF1105" s="1"/>
      <c r="IG1105" s="1"/>
      <c r="IH1105" s="1"/>
      <c r="II1105" s="1"/>
      <c r="IJ1105" s="1"/>
      <c r="IK1105" s="1"/>
      <c r="IL1105" s="1"/>
      <c r="IM1105" s="1"/>
      <c r="IN1105" s="1"/>
      <c r="IO1105" s="1"/>
      <c r="IP1105" s="1"/>
      <c r="IQ1105" s="1"/>
      <c r="IR1105" s="1"/>
      <c r="IS1105" s="1"/>
      <c r="IT1105" s="1"/>
      <c r="IU1105" s="1"/>
      <c r="IV1105" s="1"/>
      <c r="IW1105" s="1"/>
      <c r="IX1105" s="1"/>
      <c r="IY1105" s="1"/>
      <c r="IZ1105" s="1"/>
      <c r="JA1105" s="1"/>
      <c r="JB1105" s="1"/>
      <c r="JC1105" s="1"/>
      <c r="JD1105" s="1"/>
    </row>
    <row r="1106" spans="1:264" s="347" customFormat="1" x14ac:dyDescent="0.2">
      <c r="A1106" s="411" t="s">
        <v>671</v>
      </c>
      <c r="B1106" s="348"/>
      <c r="BH1106" s="348"/>
      <c r="BI1106" s="348"/>
      <c r="BJ1106" s="348"/>
      <c r="BK1106" s="348"/>
      <c r="BL1106" s="398"/>
      <c r="BM1106" s="398"/>
      <c r="BN1106" s="348"/>
      <c r="BO1106" s="348"/>
      <c r="BP1106" s="348"/>
      <c r="BT1106" s="348"/>
      <c r="BX1106" s="348"/>
      <c r="CB1106" s="348"/>
      <c r="CF1106" s="348"/>
      <c r="CJ1106" s="348"/>
      <c r="CN1106" s="348"/>
      <c r="CR1106" s="348"/>
      <c r="CV1106" s="348"/>
      <c r="CZ1106" s="348"/>
      <c r="DD1106" s="348"/>
      <c r="DH1106" s="348"/>
      <c r="DL1106" s="348"/>
      <c r="DP1106" s="348"/>
      <c r="DT1106" s="1"/>
      <c r="DU1106" s="1"/>
      <c r="DV1106" s="1"/>
      <c r="DW1106" s="1"/>
      <c r="DX1106" s="1"/>
      <c r="DY1106" s="1"/>
      <c r="DZ1106" s="1"/>
      <c r="EA1106" s="1"/>
      <c r="EB1106" s="1"/>
      <c r="EC1106" s="1"/>
      <c r="ED1106" s="1"/>
      <c r="EE1106" s="1"/>
      <c r="EF1106" s="1"/>
      <c r="EG1106" s="1"/>
      <c r="EH1106" s="1"/>
      <c r="EI1106" s="1"/>
      <c r="EJ1106" s="1"/>
      <c r="EK1106" s="1"/>
      <c r="EL1106" s="1"/>
      <c r="EM1106" s="1"/>
      <c r="EN1106" s="1"/>
      <c r="EO1106" s="1"/>
      <c r="EP1106" s="1"/>
      <c r="EQ1106" s="1"/>
      <c r="ER1106" s="1"/>
      <c r="ES1106" s="1"/>
      <c r="ET1106" s="1"/>
      <c r="EU1106" s="1"/>
      <c r="EV1106" s="1"/>
      <c r="EW1106" s="1"/>
      <c r="EX1106" s="1"/>
      <c r="EY1106" s="1"/>
      <c r="EZ1106" s="1"/>
      <c r="FA1106" s="1"/>
      <c r="FB1106" s="1"/>
      <c r="FC1106" s="1"/>
      <c r="FD1106" s="1"/>
      <c r="FE1106" s="1"/>
      <c r="FF1106" s="1"/>
      <c r="FG1106" s="1"/>
      <c r="FH1106" s="1"/>
      <c r="FI1106" s="1"/>
      <c r="FJ1106" s="1"/>
      <c r="FK1106" s="1"/>
      <c r="FL1106" s="1"/>
      <c r="FM1106" s="1"/>
      <c r="FN1106" s="1"/>
      <c r="FO1106" s="1"/>
      <c r="FP1106" s="1"/>
      <c r="FQ1106" s="1"/>
      <c r="FR1106" s="1"/>
      <c r="FS1106" s="1"/>
      <c r="FT1106" s="1"/>
      <c r="FU1106" s="1"/>
      <c r="FV1106" s="1"/>
      <c r="FW1106" s="1"/>
      <c r="FX1106" s="1"/>
      <c r="FY1106" s="1"/>
      <c r="FZ1106" s="1"/>
      <c r="GA1106" s="1"/>
      <c r="GB1106" s="1"/>
      <c r="GC1106" s="1"/>
      <c r="GD1106" s="1"/>
      <c r="GE1106" s="1"/>
      <c r="GF1106" s="1"/>
      <c r="GG1106" s="1"/>
      <c r="GH1106" s="1"/>
      <c r="GI1106" s="1"/>
      <c r="GJ1106" s="1"/>
      <c r="GK1106" s="1"/>
      <c r="GL1106" s="1"/>
      <c r="GM1106" s="1"/>
      <c r="GN1106" s="1"/>
      <c r="GO1106" s="1"/>
      <c r="GP1106" s="1"/>
      <c r="GQ1106" s="1"/>
      <c r="GR1106" s="1"/>
      <c r="GS1106" s="1"/>
      <c r="GT1106" s="1"/>
      <c r="GU1106" s="1"/>
      <c r="GV1106" s="1"/>
      <c r="GW1106" s="1"/>
      <c r="GX1106" s="1"/>
      <c r="GY1106" s="1"/>
      <c r="GZ1106" s="1"/>
      <c r="HA1106" s="1"/>
      <c r="HB1106" s="1"/>
      <c r="HC1106" s="1"/>
      <c r="HD1106" s="1"/>
      <c r="HE1106" s="1"/>
      <c r="HF1106" s="1"/>
      <c r="HG1106" s="1"/>
      <c r="HH1106" s="1"/>
      <c r="HI1106" s="1"/>
      <c r="HJ1106" s="1"/>
      <c r="HK1106" s="1"/>
      <c r="HL1106" s="1"/>
      <c r="HM1106" s="1"/>
      <c r="HN1106" s="1"/>
      <c r="HO1106" s="1"/>
      <c r="HP1106" s="1"/>
      <c r="HQ1106" s="1"/>
      <c r="HR1106" s="1"/>
      <c r="HS1106" s="1"/>
      <c r="HT1106" s="1"/>
      <c r="HU1106" s="1"/>
      <c r="HV1106" s="1"/>
      <c r="HW1106" s="1"/>
      <c r="HX1106" s="1"/>
      <c r="HY1106" s="1"/>
      <c r="HZ1106" s="1"/>
      <c r="IA1106" s="1"/>
      <c r="IB1106" s="1"/>
      <c r="IC1106" s="1"/>
      <c r="ID1106" s="1"/>
      <c r="IE1106" s="1"/>
      <c r="IF1106" s="1"/>
      <c r="IG1106" s="1"/>
      <c r="IH1106" s="1"/>
      <c r="II1106" s="1"/>
      <c r="IJ1106" s="1"/>
      <c r="IK1106" s="1"/>
      <c r="IL1106" s="1"/>
      <c r="IM1106" s="1"/>
      <c r="IN1106" s="1"/>
      <c r="IO1106" s="1"/>
      <c r="IP1106" s="1"/>
      <c r="IQ1106" s="1"/>
      <c r="IR1106" s="1"/>
      <c r="IS1106" s="1"/>
      <c r="IT1106" s="1"/>
      <c r="IU1106" s="1"/>
      <c r="IV1106" s="1"/>
      <c r="IW1106" s="1"/>
      <c r="IX1106" s="1"/>
      <c r="IY1106" s="1"/>
      <c r="IZ1106" s="1"/>
      <c r="JA1106" s="1"/>
      <c r="JB1106" s="1"/>
      <c r="JC1106" s="1"/>
      <c r="JD1106" s="1"/>
    </row>
    <row r="1107" spans="1:264" s="347" customFormat="1" x14ac:dyDescent="0.2">
      <c r="A1107" s="463" t="s">
        <v>752</v>
      </c>
      <c r="B1107" s="466"/>
      <c r="C1107" s="463"/>
      <c r="D1107" s="463"/>
      <c r="E1107" s="463"/>
      <c r="F1107" s="463"/>
      <c r="G1107" s="463"/>
      <c r="H1107" s="463"/>
      <c r="I1107" s="463"/>
      <c r="J1107" s="463"/>
      <c r="K1107" s="463"/>
      <c r="L1107" s="463"/>
      <c r="M1107" s="463"/>
      <c r="N1107" s="463"/>
      <c r="O1107" s="463"/>
      <c r="P1107" s="463"/>
      <c r="Q1107" s="463"/>
      <c r="R1107" s="463"/>
      <c r="S1107" s="463"/>
      <c r="T1107" s="463"/>
      <c r="U1107" s="463"/>
      <c r="V1107" s="463"/>
      <c r="W1107" s="463"/>
      <c r="X1107" s="463"/>
      <c r="Y1107" s="463"/>
      <c r="Z1107" s="463"/>
      <c r="AA1107" s="463"/>
      <c r="AB1107" s="463"/>
      <c r="AC1107" s="463"/>
      <c r="AD1107" s="463"/>
      <c r="AE1107" s="463"/>
      <c r="AF1107" s="463"/>
      <c r="AG1107" s="463"/>
      <c r="AH1107" s="463"/>
      <c r="AI1107" s="463"/>
      <c r="AJ1107" s="463"/>
      <c r="AK1107" s="463"/>
      <c r="AL1107" s="463"/>
      <c r="AM1107" s="463"/>
      <c r="AN1107" s="463"/>
      <c r="AO1107" s="463"/>
      <c r="AP1107" s="463"/>
      <c r="AQ1107" s="463"/>
      <c r="AR1107" s="463"/>
      <c r="AS1107" s="463"/>
      <c r="AT1107" s="463"/>
      <c r="AU1107" s="463"/>
      <c r="AV1107" s="463"/>
      <c r="AW1107" s="463"/>
      <c r="AX1107" s="463"/>
      <c r="AY1107" s="463"/>
      <c r="AZ1107" s="463"/>
      <c r="BA1107" s="463"/>
      <c r="BB1107" s="463"/>
      <c r="BC1107" s="463"/>
      <c r="BD1107" s="463"/>
      <c r="BE1107" s="463"/>
      <c r="BF1107" s="463"/>
      <c r="BG1107" s="463"/>
      <c r="BH1107" s="775">
        <f>BH998</f>
        <v>-4.521999999997206E-2</v>
      </c>
      <c r="BI1107" s="775">
        <f>BI998</f>
        <v>2.7479949999999462</v>
      </c>
      <c r="BJ1107" s="466"/>
      <c r="BK1107" s="466"/>
      <c r="BL1107" s="775">
        <f>BL998</f>
        <v>0</v>
      </c>
      <c r="BM1107" s="775">
        <f>BM998</f>
        <v>0</v>
      </c>
      <c r="BN1107" s="466"/>
      <c r="BO1107" s="466"/>
      <c r="BP1107" s="775">
        <f>BP998</f>
        <v>0</v>
      </c>
      <c r="BQ1107" s="775">
        <f>BQ998</f>
        <v>0</v>
      </c>
      <c r="BR1107" s="463"/>
      <c r="BS1107" s="463"/>
      <c r="BT1107" s="775">
        <f>BT998</f>
        <v>0</v>
      </c>
      <c r="BU1107" s="775">
        <f>BU998</f>
        <v>0</v>
      </c>
      <c r="BV1107" s="463"/>
      <c r="BW1107" s="463"/>
      <c r="BX1107" s="775">
        <f>BX998</f>
        <v>0</v>
      </c>
      <c r="BY1107" s="775">
        <f>BY998</f>
        <v>0</v>
      </c>
      <c r="BZ1107" s="463"/>
      <c r="CA1107" s="463"/>
      <c r="CB1107" s="775">
        <f>CB998</f>
        <v>2.0876039999998284</v>
      </c>
      <c r="CC1107" s="775">
        <f>CC998</f>
        <v>0</v>
      </c>
      <c r="CD1107" s="463"/>
      <c r="CE1107" s="463"/>
      <c r="CF1107" s="775">
        <f>CF998</f>
        <v>0</v>
      </c>
      <c r="CG1107" s="775">
        <f>CG998</f>
        <v>0</v>
      </c>
      <c r="CH1107" s="463"/>
      <c r="CI1107" s="463"/>
      <c r="CJ1107" s="775">
        <f>CJ998</f>
        <v>0</v>
      </c>
      <c r="CK1107" s="775">
        <f>CK998</f>
        <v>0</v>
      </c>
      <c r="CL1107" s="463"/>
      <c r="CM1107" s="463"/>
      <c r="CN1107" s="775">
        <f>CN998</f>
        <v>3.8569030000001021</v>
      </c>
      <c r="CO1107" s="775">
        <f>CO998</f>
        <v>0</v>
      </c>
      <c r="CP1107" s="463"/>
      <c r="CQ1107" s="463"/>
      <c r="CR1107" s="775">
        <f>CR998</f>
        <v>0</v>
      </c>
      <c r="CS1107" s="776">
        <f>IF(CS1110&gt;0,CS1109/CS1108,0)</f>
        <v>0</v>
      </c>
      <c r="CT1107" s="463"/>
      <c r="CU1107" s="463"/>
      <c r="CV1107" s="775">
        <f>CV998</f>
        <v>0</v>
      </c>
      <c r="CW1107" s="776">
        <f>IF(CW1110&gt;0,CW1109/CW1108,0)</f>
        <v>0</v>
      </c>
      <c r="CX1107" s="463"/>
      <c r="CY1107" s="463"/>
      <c r="CZ1107" s="775">
        <f>CZ998</f>
        <v>0</v>
      </c>
      <c r="DA1107" s="776">
        <f>IF(DA1110&gt;0,DA1109/DA1108,0)</f>
        <v>0</v>
      </c>
      <c r="DB1107" s="463"/>
      <c r="DC1107" s="463"/>
      <c r="DD1107" s="776">
        <f>IF(DD1110&gt;0,DD1109/DD1108,0)</f>
        <v>0</v>
      </c>
      <c r="DE1107" s="776">
        <f>IF(DE1110&gt;0,DE1109/DE1108,0)</f>
        <v>0</v>
      </c>
      <c r="DF1107" s="463"/>
      <c r="DG1107" s="463"/>
      <c r="DH1107" s="776">
        <f>IF(DH1110&gt;0,DH1109/DH1108,0)</f>
        <v>0</v>
      </c>
      <c r="DI1107" s="776">
        <f>IF(DI1110&gt;0,DI1109/DI1108,0)</f>
        <v>0</v>
      </c>
      <c r="DJ1107" s="463"/>
      <c r="DK1107" s="463"/>
      <c r="DL1107" s="776">
        <f>IF(DL1110&gt;0,DL1109/DL1108,0)</f>
        <v>0</v>
      </c>
      <c r="DM1107" s="776">
        <f>IF(DM1110&gt;0,DM1109/DM1108,0)</f>
        <v>0</v>
      </c>
      <c r="DN1107" s="463"/>
      <c r="DO1107" s="463"/>
      <c r="DP1107" s="776">
        <f>IF(DP1110&gt;0,DP1109/DP1108,0)</f>
        <v>0</v>
      </c>
      <c r="DQ1107" s="776">
        <f>IF(DQ1110&gt;0,DQ1109/DQ1108,0)</f>
        <v>0</v>
      </c>
      <c r="DR1107" s="463"/>
      <c r="DS1107" s="463"/>
      <c r="DT1107" s="1"/>
      <c r="DU1107" s="1"/>
      <c r="DV1107" s="1"/>
      <c r="DW1107" s="1"/>
      <c r="DX1107" s="1"/>
      <c r="DY1107" s="1"/>
      <c r="DZ1107" s="1"/>
      <c r="EA1107" s="1"/>
      <c r="EB1107" s="1"/>
      <c r="EC1107" s="1"/>
      <c r="ED1107" s="1"/>
      <c r="EE1107" s="1"/>
      <c r="EF1107" s="1"/>
      <c r="EG1107" s="1"/>
      <c r="EH1107" s="1"/>
      <c r="EI1107" s="1"/>
      <c r="EJ1107" s="1"/>
      <c r="EK1107" s="1"/>
      <c r="EL1107" s="1"/>
      <c r="EM1107" s="1"/>
      <c r="EN1107" s="1"/>
      <c r="EO1107" s="1"/>
      <c r="EP1107" s="1"/>
      <c r="EQ1107" s="1"/>
      <c r="ER1107" s="1"/>
      <c r="ES1107" s="1"/>
      <c r="ET1107" s="1"/>
      <c r="EU1107" s="1"/>
      <c r="EV1107" s="1"/>
      <c r="EW1107" s="1"/>
      <c r="EX1107" s="1"/>
      <c r="EY1107" s="1"/>
      <c r="EZ1107" s="1"/>
      <c r="FA1107" s="1"/>
      <c r="FB1107" s="1"/>
      <c r="FC1107" s="1"/>
      <c r="FD1107" s="1"/>
      <c r="FE1107" s="1"/>
      <c r="FF1107" s="1"/>
      <c r="FG1107" s="1"/>
      <c r="FH1107" s="1"/>
      <c r="FI1107" s="1"/>
      <c r="FJ1107" s="1"/>
      <c r="FK1107" s="1"/>
      <c r="FL1107" s="1"/>
      <c r="FM1107" s="1"/>
      <c r="FN1107" s="1"/>
      <c r="FO1107" s="1"/>
      <c r="FP1107" s="1"/>
      <c r="FQ1107" s="1"/>
      <c r="FR1107" s="1"/>
      <c r="FS1107" s="1"/>
      <c r="FT1107" s="1"/>
      <c r="FU1107" s="1"/>
      <c r="FV1107" s="1"/>
      <c r="FW1107" s="1"/>
      <c r="FX1107" s="1"/>
      <c r="FY1107" s="1"/>
      <c r="FZ1107" s="1"/>
      <c r="GA1107" s="1"/>
      <c r="GB1107" s="1"/>
      <c r="GC1107" s="1"/>
      <c r="GD1107" s="1"/>
      <c r="GE1107" s="1"/>
      <c r="GF1107" s="1"/>
      <c r="GG1107" s="1"/>
      <c r="GH1107" s="1"/>
      <c r="GI1107" s="1"/>
      <c r="GJ1107" s="1"/>
      <c r="GK1107" s="1"/>
      <c r="GL1107" s="1"/>
      <c r="GM1107" s="1"/>
      <c r="GN1107" s="1"/>
      <c r="GO1107" s="1"/>
      <c r="GP1107" s="1"/>
      <c r="GQ1107" s="1"/>
      <c r="GR1107" s="1"/>
      <c r="GS1107" s="1"/>
      <c r="GT1107" s="1"/>
      <c r="GU1107" s="1"/>
      <c r="GV1107" s="1"/>
      <c r="GW1107" s="1"/>
      <c r="GX1107" s="1"/>
      <c r="GY1107" s="1"/>
      <c r="GZ1107" s="1"/>
      <c r="HA1107" s="1"/>
      <c r="HB1107" s="1"/>
      <c r="HC1107" s="1"/>
      <c r="HD1107" s="1"/>
      <c r="HE1107" s="1"/>
      <c r="HF1107" s="1"/>
      <c r="HG1107" s="1"/>
      <c r="HH1107" s="1"/>
      <c r="HI1107" s="1"/>
      <c r="HJ1107" s="1"/>
      <c r="HK1107" s="1"/>
      <c r="HL1107" s="1"/>
      <c r="HM1107" s="1"/>
      <c r="HN1107" s="1"/>
      <c r="HO1107" s="1"/>
      <c r="HP1107" s="1"/>
      <c r="HQ1107" s="1"/>
      <c r="HR1107" s="1"/>
      <c r="HS1107" s="1"/>
      <c r="HT1107" s="1"/>
      <c r="HU1107" s="1"/>
      <c r="HV1107" s="1"/>
      <c r="HW1107" s="1"/>
      <c r="HX1107" s="1"/>
      <c r="HY1107" s="1"/>
      <c r="HZ1107" s="1"/>
      <c r="IA1107" s="1"/>
      <c r="IB1107" s="1"/>
      <c r="IC1107" s="1"/>
      <c r="ID1107" s="1"/>
      <c r="IE1107" s="1"/>
      <c r="IF1107" s="1"/>
      <c r="IG1107" s="1"/>
      <c r="IH1107" s="1"/>
      <c r="II1107" s="1"/>
      <c r="IJ1107" s="1"/>
      <c r="IK1107" s="1"/>
      <c r="IL1107" s="1"/>
      <c r="IM1107" s="1"/>
      <c r="IN1107" s="1"/>
      <c r="IO1107" s="1"/>
      <c r="IP1107" s="1"/>
      <c r="IQ1107" s="1"/>
      <c r="IR1107" s="1"/>
      <c r="IS1107" s="1"/>
      <c r="IT1107" s="1"/>
      <c r="IU1107" s="1"/>
      <c r="IV1107" s="1"/>
      <c r="IW1107" s="1"/>
      <c r="IX1107" s="1"/>
      <c r="IY1107" s="1"/>
      <c r="IZ1107" s="1"/>
      <c r="JA1107" s="1"/>
      <c r="JB1107" s="1"/>
      <c r="JC1107" s="1"/>
      <c r="JD1107" s="1"/>
    </row>
    <row r="1108" spans="1:264" s="347" customFormat="1" x14ac:dyDescent="0.2">
      <c r="A1108" s="463" t="s">
        <v>744</v>
      </c>
      <c r="B1108" s="466"/>
      <c r="C1108" s="463"/>
      <c r="D1108" s="463"/>
      <c r="E1108" s="463"/>
      <c r="F1108" s="463"/>
      <c r="G1108" s="463"/>
      <c r="H1108" s="463"/>
      <c r="I1108" s="463"/>
      <c r="J1108" s="463"/>
      <c r="K1108" s="463"/>
      <c r="L1108" s="463"/>
      <c r="M1108" s="463"/>
      <c r="N1108" s="463"/>
      <c r="O1108" s="463"/>
      <c r="P1108" s="463"/>
      <c r="Q1108" s="463"/>
      <c r="R1108" s="463"/>
      <c r="S1108" s="463"/>
      <c r="T1108" s="463"/>
      <c r="U1108" s="463"/>
      <c r="V1108" s="463"/>
      <c r="W1108" s="463"/>
      <c r="X1108" s="463"/>
      <c r="Y1108" s="463"/>
      <c r="Z1108" s="463"/>
      <c r="AA1108" s="463"/>
      <c r="AB1108" s="463"/>
      <c r="AC1108" s="463"/>
      <c r="AD1108" s="463"/>
      <c r="AE1108" s="463"/>
      <c r="AF1108" s="463"/>
      <c r="AG1108" s="463"/>
      <c r="AH1108" s="463"/>
      <c r="AI1108" s="463"/>
      <c r="AJ1108" s="463"/>
      <c r="AK1108" s="463"/>
      <c r="AL1108" s="463"/>
      <c r="AM1108" s="463"/>
      <c r="AN1108" s="463"/>
      <c r="AO1108" s="463"/>
      <c r="AP1108" s="463"/>
      <c r="AQ1108" s="463"/>
      <c r="AR1108" s="463"/>
      <c r="AS1108" s="463"/>
      <c r="AT1108" s="463"/>
      <c r="AU1108" s="463"/>
      <c r="AV1108" s="463"/>
      <c r="AW1108" s="463"/>
      <c r="AX1108" s="463"/>
      <c r="AY1108" s="463"/>
      <c r="AZ1108" s="463"/>
      <c r="BA1108" s="463"/>
      <c r="BB1108" s="463"/>
      <c r="BC1108" s="463"/>
      <c r="BD1108" s="463"/>
      <c r="BE1108" s="463"/>
      <c r="BF1108" s="463"/>
      <c r="BG1108" s="463"/>
      <c r="BH1108" s="758" t="str">
        <f>IF(BH1107&gt;0,(BH1109/BH1107),"na")</f>
        <v>na</v>
      </c>
      <c r="BI1108" s="758">
        <f>IF(BI1107&gt;0,(BI1109/BI1107),"na")</f>
        <v>70.233024441457786</v>
      </c>
      <c r="BJ1108" s="466"/>
      <c r="BK1108" s="466"/>
      <c r="BL1108" s="758">
        <f>BL$1079</f>
        <v>75.285643504880198</v>
      </c>
      <c r="BM1108" s="758">
        <f>BM$1079</f>
        <v>80.39</v>
      </c>
      <c r="BN1108" s="522"/>
      <c r="BO1108" s="522"/>
      <c r="BP1108" s="758">
        <f>BP$1079</f>
        <v>91.26</v>
      </c>
      <c r="BQ1108" s="758">
        <f>BQ$1079</f>
        <v>74.75</v>
      </c>
      <c r="BR1108" s="521"/>
      <c r="BS1108" s="521"/>
      <c r="BT1108" s="758">
        <f>BT$1079</f>
        <v>72.66</v>
      </c>
      <c r="BU1108" s="758">
        <f>BU$1079</f>
        <v>72.95</v>
      </c>
      <c r="BV1108" s="521"/>
      <c r="BW1108" s="521"/>
      <c r="BX1108" s="758">
        <f>BX$1079</f>
        <v>83.21</v>
      </c>
      <c r="BY1108" s="758">
        <f>BY$1079</f>
        <v>75.73</v>
      </c>
      <c r="BZ1108" s="521"/>
      <c r="CA1108" s="521"/>
      <c r="CB1108" s="758">
        <f>CB$1079</f>
        <v>75.38</v>
      </c>
      <c r="CC1108" s="758">
        <f>CC$1079</f>
        <v>72.05</v>
      </c>
      <c r="CD1108" s="521"/>
      <c r="CE1108" s="521"/>
      <c r="CF1108" s="758">
        <f>CF$1079</f>
        <v>73.209999999999994</v>
      </c>
      <c r="CG1108" s="758">
        <f>CG$1079</f>
        <v>78.61</v>
      </c>
      <c r="CH1108" s="521"/>
      <c r="CI1108" s="521"/>
      <c r="CJ1108" s="758">
        <f>CJ$1079</f>
        <v>73.37</v>
      </c>
      <c r="CK1108" s="758">
        <f>CK$1079</f>
        <v>68.53</v>
      </c>
      <c r="CL1108" s="521"/>
      <c r="CM1108" s="521"/>
      <c r="CN1108" s="758">
        <f>CN$1079</f>
        <v>85.25</v>
      </c>
      <c r="CO1108" s="758">
        <f>CO$1079</f>
        <v>101</v>
      </c>
      <c r="CP1108" s="521"/>
      <c r="CQ1108" s="521"/>
      <c r="CR1108" s="758">
        <f>CR$1079</f>
        <v>97.95</v>
      </c>
      <c r="CS1108" s="758">
        <f>CS$1079</f>
        <v>96.44</v>
      </c>
      <c r="CT1108" s="521"/>
      <c r="CU1108" s="521"/>
      <c r="CV1108" s="758">
        <f>CV$1079</f>
        <v>97.37</v>
      </c>
      <c r="CW1108" s="758">
        <f>CW$1079</f>
        <v>101.1</v>
      </c>
      <c r="CX1108" s="521"/>
      <c r="CY1108" s="521"/>
      <c r="CZ1108" s="758">
        <f>CZ$1079</f>
        <v>117.19</v>
      </c>
      <c r="DA1108" s="758">
        <f>DA$1079</f>
        <v>141.5</v>
      </c>
      <c r="DB1108" s="521"/>
      <c r="DC1108" s="521"/>
      <c r="DD1108" s="758">
        <f>DD$1079</f>
        <v>149.88999999999999</v>
      </c>
      <c r="DE1108" s="758">
        <f>DE$1079</f>
        <v>168.6</v>
      </c>
      <c r="DF1108" s="521"/>
      <c r="DG1108" s="521"/>
      <c r="DH1108" s="758">
        <f>DH$1079</f>
        <v>170</v>
      </c>
      <c r="DI1108" s="758">
        <f>DI$1079</f>
        <v>177.07766657599709</v>
      </c>
      <c r="DJ1108" s="521"/>
      <c r="DK1108" s="521"/>
      <c r="DL1108" s="758">
        <f>DL$1079</f>
        <v>184.45</v>
      </c>
      <c r="DM1108" s="758">
        <f>DM$1079</f>
        <v>192.12926823495684</v>
      </c>
      <c r="DN1108" s="521"/>
      <c r="DO1108" s="521"/>
      <c r="DP1108" s="758">
        <f>DP$1079</f>
        <v>200.12824999999998</v>
      </c>
      <c r="DQ1108" s="758">
        <f>DQ$1079</f>
        <v>208.46025603492816</v>
      </c>
      <c r="DR1108" s="521"/>
      <c r="DS1108" s="521"/>
      <c r="DT1108" s="1"/>
      <c r="DU1108" s="1"/>
      <c r="DV1108" s="1"/>
      <c r="DW1108" s="1"/>
      <c r="DX1108" s="1"/>
      <c r="DY1108" s="1"/>
      <c r="DZ1108" s="1"/>
      <c r="EA1108" s="1"/>
      <c r="EB1108" s="1"/>
      <c r="EC1108" s="1"/>
      <c r="ED1108" s="1"/>
      <c r="EE1108" s="1"/>
      <c r="EF1108" s="1"/>
      <c r="EG1108" s="1"/>
      <c r="EH1108" s="1"/>
      <c r="EI1108" s="1"/>
      <c r="EJ1108" s="1"/>
      <c r="EK1108" s="1"/>
      <c r="EL1108" s="1"/>
      <c r="EM1108" s="1"/>
      <c r="EN1108" s="1"/>
      <c r="EO1108" s="1"/>
      <c r="EP1108" s="1"/>
      <c r="EQ1108" s="1"/>
      <c r="ER1108" s="1"/>
      <c r="ES1108" s="1"/>
      <c r="ET1108" s="1"/>
      <c r="EU1108" s="1"/>
      <c r="EV1108" s="1"/>
      <c r="EW1108" s="1"/>
      <c r="EX1108" s="1"/>
      <c r="EY1108" s="1"/>
      <c r="EZ1108" s="1"/>
      <c r="FA1108" s="1"/>
      <c r="FB1108" s="1"/>
      <c r="FC1108" s="1"/>
      <c r="FD1108" s="1"/>
      <c r="FE1108" s="1"/>
      <c r="FF1108" s="1"/>
      <c r="FG1108" s="1"/>
      <c r="FH1108" s="1"/>
      <c r="FI1108" s="1"/>
      <c r="FJ1108" s="1"/>
      <c r="FK1108" s="1"/>
      <c r="FL1108" s="1"/>
      <c r="FM1108" s="1"/>
      <c r="FN1108" s="1"/>
      <c r="FO1108" s="1"/>
      <c r="FP1108" s="1"/>
      <c r="FQ1108" s="1"/>
      <c r="FR1108" s="1"/>
      <c r="FS1108" s="1"/>
      <c r="FT1108" s="1"/>
      <c r="FU1108" s="1"/>
      <c r="FV1108" s="1"/>
      <c r="FW1108" s="1"/>
      <c r="FX1108" s="1"/>
      <c r="FY1108" s="1"/>
      <c r="FZ1108" s="1"/>
      <c r="GA1108" s="1"/>
      <c r="GB1108" s="1"/>
      <c r="GC1108" s="1"/>
      <c r="GD1108" s="1"/>
      <c r="GE1108" s="1"/>
      <c r="GF1108" s="1"/>
      <c r="GG1108" s="1"/>
      <c r="GH1108" s="1"/>
      <c r="GI1108" s="1"/>
      <c r="GJ1108" s="1"/>
      <c r="GK1108" s="1"/>
      <c r="GL1108" s="1"/>
      <c r="GM1108" s="1"/>
      <c r="GN1108" s="1"/>
      <c r="GO1108" s="1"/>
      <c r="GP1108" s="1"/>
      <c r="GQ1108" s="1"/>
      <c r="GR1108" s="1"/>
      <c r="GS1108" s="1"/>
      <c r="GT1108" s="1"/>
      <c r="GU1108" s="1"/>
      <c r="GV1108" s="1"/>
      <c r="GW1108" s="1"/>
      <c r="GX1108" s="1"/>
      <c r="GY1108" s="1"/>
      <c r="GZ1108" s="1"/>
      <c r="HA1108" s="1"/>
      <c r="HB1108" s="1"/>
      <c r="HC1108" s="1"/>
      <c r="HD1108" s="1"/>
      <c r="HE1108" s="1"/>
      <c r="HF1108" s="1"/>
      <c r="HG1108" s="1"/>
      <c r="HH1108" s="1"/>
      <c r="HI1108" s="1"/>
      <c r="HJ1108" s="1"/>
      <c r="HK1108" s="1"/>
      <c r="HL1108" s="1"/>
      <c r="HM1108" s="1"/>
      <c r="HN1108" s="1"/>
      <c r="HO1108" s="1"/>
      <c r="HP1108" s="1"/>
      <c r="HQ1108" s="1"/>
      <c r="HR1108" s="1"/>
      <c r="HS1108" s="1"/>
      <c r="HT1108" s="1"/>
      <c r="HU1108" s="1"/>
      <c r="HV1108" s="1"/>
      <c r="HW1108" s="1"/>
      <c r="HX1108" s="1"/>
      <c r="HY1108" s="1"/>
      <c r="HZ1108" s="1"/>
      <c r="IA1108" s="1"/>
      <c r="IB1108" s="1"/>
      <c r="IC1108" s="1"/>
      <c r="ID1108" s="1"/>
      <c r="IE1108" s="1"/>
      <c r="IF1108" s="1"/>
      <c r="IG1108" s="1"/>
      <c r="IH1108" s="1"/>
      <c r="II1108" s="1"/>
      <c r="IJ1108" s="1"/>
      <c r="IK1108" s="1"/>
      <c r="IL1108" s="1"/>
      <c r="IM1108" s="1"/>
      <c r="IN1108" s="1"/>
      <c r="IO1108" s="1"/>
      <c r="IP1108" s="1"/>
      <c r="IQ1108" s="1"/>
      <c r="IR1108" s="1"/>
      <c r="IS1108" s="1"/>
      <c r="IT1108" s="1"/>
      <c r="IU1108" s="1"/>
      <c r="IV1108" s="1"/>
      <c r="IW1108" s="1"/>
      <c r="IX1108" s="1"/>
      <c r="IY1108" s="1"/>
      <c r="IZ1108" s="1"/>
      <c r="JA1108" s="1"/>
      <c r="JB1108" s="1"/>
      <c r="JC1108" s="1"/>
      <c r="JD1108" s="1"/>
    </row>
    <row r="1109" spans="1:264" s="347" customFormat="1" x14ac:dyDescent="0.2">
      <c r="A1109" s="347" t="s">
        <v>662</v>
      </c>
      <c r="B1109" s="348"/>
      <c r="BH1109" s="351">
        <f>BH956</f>
        <v>0</v>
      </c>
      <c r="BI1109" s="351">
        <f>BI956</f>
        <v>193</v>
      </c>
      <c r="BJ1109" s="348"/>
      <c r="BK1109" s="348"/>
      <c r="BL1109" s="351">
        <f>BL956</f>
        <v>0</v>
      </c>
      <c r="BM1109" s="351">
        <f>BM956</f>
        <v>4.0855228799046017E-2</v>
      </c>
      <c r="BN1109" s="348"/>
      <c r="BO1109" s="348"/>
      <c r="BP1109" s="351">
        <f>BP956</f>
        <v>22.578964506043121</v>
      </c>
      <c r="BQ1109" s="351">
        <f>BQ956</f>
        <v>-1.5213439399994968</v>
      </c>
      <c r="BT1109" s="351">
        <f>BT956</f>
        <v>-0.11185149999801069</v>
      </c>
      <c r="BU1109" s="351">
        <f>BU956</f>
        <v>0</v>
      </c>
      <c r="BX1109" s="351">
        <f>BX956</f>
        <v>-6.2504193999993731</v>
      </c>
      <c r="BY1109" s="351">
        <f>BY956</f>
        <v>0</v>
      </c>
      <c r="CB1109" s="351">
        <f>CB956</f>
        <v>162.90364890999626</v>
      </c>
      <c r="CC1109" s="351">
        <f>CC956</f>
        <v>0</v>
      </c>
      <c r="CF1109" s="351">
        <f>CF956</f>
        <v>-1.319999999999709</v>
      </c>
      <c r="CG1109" s="351">
        <f>CG956</f>
        <v>0</v>
      </c>
      <c r="CJ1109" s="351">
        <f>CJ956</f>
        <v>1.0334961499975179</v>
      </c>
      <c r="CK1109" s="351">
        <f>CK956</f>
        <v>0</v>
      </c>
      <c r="CN1109" s="351">
        <f>CN956</f>
        <v>-0.31356259000313003</v>
      </c>
      <c r="CO1109" s="351">
        <f>CO956</f>
        <v>-2</v>
      </c>
      <c r="CR1109" s="351">
        <f>CR956</f>
        <v>-1</v>
      </c>
      <c r="CS1109" s="348">
        <f>+CS1110*CS950</f>
        <v>0</v>
      </c>
      <c r="CV1109" s="351">
        <f>CV956</f>
        <v>0</v>
      </c>
      <c r="CW1109" s="348">
        <f>+CW1110*CW950</f>
        <v>0</v>
      </c>
      <c r="CZ1109" s="351">
        <f>CZ956</f>
        <v>0</v>
      </c>
      <c r="DA1109" s="348">
        <f>+DA1110*DA950</f>
        <v>0</v>
      </c>
      <c r="DD1109" s="348">
        <f>+DD1110*DD950</f>
        <v>0</v>
      </c>
      <c r="DE1109" s="348">
        <f>+DE1110*DE950</f>
        <v>0</v>
      </c>
      <c r="DH1109" s="348">
        <f>+DH1110*DH950</f>
        <v>0</v>
      </c>
      <c r="DI1109" s="348">
        <f>+DI1110*DI950</f>
        <v>0</v>
      </c>
      <c r="DL1109" s="348">
        <f>+DL1110*DL950</f>
        <v>0</v>
      </c>
      <c r="DM1109" s="348">
        <f ca="1">+DM1110*DM950</f>
        <v>0</v>
      </c>
      <c r="DP1109" s="348">
        <f ca="1">+DP1110*DP950</f>
        <v>0</v>
      </c>
      <c r="DQ1109" s="348">
        <f ca="1">+DQ1110*DQ950</f>
        <v>0</v>
      </c>
      <c r="DT1109" s="1"/>
      <c r="DU1109" s="1"/>
      <c r="DV1109" s="1"/>
      <c r="DW1109" s="1"/>
      <c r="DX1109" s="1"/>
      <c r="DY1109" s="1"/>
      <c r="DZ1109" s="1"/>
      <c r="EA1109" s="1"/>
      <c r="EB1109" s="1"/>
      <c r="EC1109" s="1"/>
      <c r="ED1109" s="1"/>
      <c r="EE1109" s="1"/>
      <c r="EF1109" s="1"/>
      <c r="EG1109" s="1"/>
      <c r="EH1109" s="1"/>
      <c r="EI1109" s="1"/>
      <c r="EJ1109" s="1"/>
      <c r="EK1109" s="1"/>
      <c r="EL1109" s="1"/>
      <c r="EM1109" s="1"/>
      <c r="EN1109" s="1"/>
      <c r="EO1109" s="1"/>
      <c r="EP1109" s="1"/>
      <c r="EQ1109" s="1"/>
      <c r="ER1109" s="1"/>
      <c r="ES1109" s="1"/>
      <c r="ET1109" s="1"/>
      <c r="EU1109" s="1"/>
      <c r="EV1109" s="1"/>
      <c r="EW1109" s="1"/>
      <c r="EX1109" s="1"/>
      <c r="EY1109" s="1"/>
      <c r="EZ1109" s="1"/>
      <c r="FA1109" s="1"/>
      <c r="FB1109" s="1"/>
      <c r="FC1109" s="1"/>
      <c r="FD1109" s="1"/>
      <c r="FE1109" s="1"/>
      <c r="FF1109" s="1"/>
      <c r="FG1109" s="1"/>
      <c r="FH1109" s="1"/>
      <c r="FI1109" s="1"/>
      <c r="FJ1109" s="1"/>
      <c r="FK1109" s="1"/>
      <c r="FL1109" s="1"/>
      <c r="FM1109" s="1"/>
      <c r="FN1109" s="1"/>
      <c r="FO1109" s="1"/>
      <c r="FP1109" s="1"/>
      <c r="FQ1109" s="1"/>
      <c r="FR1109" s="1"/>
      <c r="FS1109" s="1"/>
      <c r="FT1109" s="1"/>
      <c r="FU1109" s="1"/>
      <c r="FV1109" s="1"/>
      <c r="FW1109" s="1"/>
      <c r="FX1109" s="1"/>
      <c r="FY1109" s="1"/>
      <c r="FZ1109" s="1"/>
      <c r="GA1109" s="1"/>
      <c r="GB1109" s="1"/>
      <c r="GC1109" s="1"/>
      <c r="GD1109" s="1"/>
      <c r="GE1109" s="1"/>
      <c r="GF1109" s="1"/>
      <c r="GG1109" s="1"/>
      <c r="GH1109" s="1"/>
      <c r="GI1109" s="1"/>
      <c r="GJ1109" s="1"/>
      <c r="GK1109" s="1"/>
      <c r="GL1109" s="1"/>
      <c r="GM1109" s="1"/>
      <c r="GN1109" s="1"/>
      <c r="GO1109" s="1"/>
      <c r="GP1109" s="1"/>
      <c r="GQ1109" s="1"/>
      <c r="GR1109" s="1"/>
      <c r="GS1109" s="1"/>
      <c r="GT1109" s="1"/>
      <c r="GU1109" s="1"/>
      <c r="GV1109" s="1"/>
      <c r="GW1109" s="1"/>
      <c r="GX1109" s="1"/>
      <c r="GY1109" s="1"/>
      <c r="GZ1109" s="1"/>
      <c r="HA1109" s="1"/>
      <c r="HB1109" s="1"/>
      <c r="HC1109" s="1"/>
      <c r="HD1109" s="1"/>
      <c r="HE1109" s="1"/>
      <c r="HF1109" s="1"/>
      <c r="HG1109" s="1"/>
      <c r="HH1109" s="1"/>
      <c r="HI1109" s="1"/>
      <c r="HJ1109" s="1"/>
      <c r="HK1109" s="1"/>
      <c r="HL1109" s="1"/>
      <c r="HM1109" s="1"/>
      <c r="HN1109" s="1"/>
      <c r="HO1109" s="1"/>
      <c r="HP1109" s="1"/>
      <c r="HQ1109" s="1"/>
      <c r="HR1109" s="1"/>
      <c r="HS1109" s="1"/>
      <c r="HT1109" s="1"/>
      <c r="HU1109" s="1"/>
      <c r="HV1109" s="1"/>
      <c r="HW1109" s="1"/>
      <c r="HX1109" s="1"/>
      <c r="HY1109" s="1"/>
      <c r="HZ1109" s="1"/>
      <c r="IA1109" s="1"/>
      <c r="IB1109" s="1"/>
      <c r="IC1109" s="1"/>
      <c r="ID1109" s="1"/>
      <c r="IE1109" s="1"/>
      <c r="IF1109" s="1"/>
      <c r="IG1109" s="1"/>
      <c r="IH1109" s="1"/>
      <c r="II1109" s="1"/>
      <c r="IJ1109" s="1"/>
      <c r="IK1109" s="1"/>
      <c r="IL1109" s="1"/>
      <c r="IM1109" s="1"/>
      <c r="IN1109" s="1"/>
      <c r="IO1109" s="1"/>
      <c r="IP1109" s="1"/>
      <c r="IQ1109" s="1"/>
      <c r="IR1109" s="1"/>
      <c r="IS1109" s="1"/>
      <c r="IT1109" s="1"/>
      <c r="IU1109" s="1"/>
      <c r="IV1109" s="1"/>
      <c r="IW1109" s="1"/>
      <c r="IX1109" s="1"/>
      <c r="IY1109" s="1"/>
      <c r="IZ1109" s="1"/>
      <c r="JA1109" s="1"/>
      <c r="JB1109" s="1"/>
      <c r="JC1109" s="1"/>
      <c r="JD1109" s="1"/>
    </row>
    <row r="1110" spans="1:264" s="347" customFormat="1" x14ac:dyDescent="0.2">
      <c r="A1110" s="463" t="s">
        <v>753</v>
      </c>
      <c r="B1110" s="466"/>
      <c r="C1110" s="463"/>
      <c r="D1110" s="463"/>
      <c r="E1110" s="463"/>
      <c r="F1110" s="463"/>
      <c r="G1110" s="463"/>
      <c r="H1110" s="463"/>
      <c r="I1110" s="463"/>
      <c r="J1110" s="463"/>
      <c r="K1110" s="463"/>
      <c r="L1110" s="463"/>
      <c r="M1110" s="463"/>
      <c r="N1110" s="463"/>
      <c r="O1110" s="463"/>
      <c r="P1110" s="463"/>
      <c r="Q1110" s="463"/>
      <c r="R1110" s="463"/>
      <c r="S1110" s="463"/>
      <c r="T1110" s="463"/>
      <c r="U1110" s="463"/>
      <c r="V1110" s="463"/>
      <c r="W1110" s="463"/>
      <c r="X1110" s="463"/>
      <c r="Y1110" s="463"/>
      <c r="Z1110" s="463"/>
      <c r="AA1110" s="463"/>
      <c r="AB1110" s="463"/>
      <c r="AC1110" s="463"/>
      <c r="AD1110" s="463"/>
      <c r="AE1110" s="463"/>
      <c r="AF1110" s="463"/>
      <c r="AG1110" s="463"/>
      <c r="AH1110" s="463"/>
      <c r="AI1110" s="463"/>
      <c r="AJ1110" s="463"/>
      <c r="AK1110" s="463"/>
      <c r="AL1110" s="463"/>
      <c r="AM1110" s="463"/>
      <c r="AN1110" s="463"/>
      <c r="AO1110" s="463"/>
      <c r="AP1110" s="463"/>
      <c r="AQ1110" s="463"/>
      <c r="AR1110" s="463"/>
      <c r="AS1110" s="463"/>
      <c r="AT1110" s="463"/>
      <c r="AU1110" s="463"/>
      <c r="AV1110" s="463"/>
      <c r="AW1110" s="463"/>
      <c r="AX1110" s="463"/>
      <c r="AY1110" s="463"/>
      <c r="AZ1110" s="463"/>
      <c r="BA1110" s="463"/>
      <c r="BB1110" s="463"/>
      <c r="BC1110" s="463"/>
      <c r="BD1110" s="463"/>
      <c r="BE1110" s="463"/>
      <c r="BF1110" s="463"/>
      <c r="BG1110" s="463"/>
      <c r="BH1110" s="487">
        <f>+BH1109/BH950</f>
        <v>0</v>
      </c>
      <c r="BI1110" s="487">
        <f>+BI1109/BI950</f>
        <v>7.3872770420270991E-3</v>
      </c>
      <c r="BJ1110" s="466"/>
      <c r="BK1110" s="466"/>
      <c r="BL1110" s="487">
        <f>+BL1109/BL950</f>
        <v>0</v>
      </c>
      <c r="BM1110" s="487">
        <f>+BM1109/BM950</f>
        <v>1.5518376115412321E-6</v>
      </c>
      <c r="BN1110" s="466"/>
      <c r="BO1110" s="466"/>
      <c r="BP1110" s="487">
        <f>+BP1109/BP950</f>
        <v>8.3514441877656162E-4</v>
      </c>
      <c r="BQ1110" s="487">
        <f>+BQ1109/BQ950</f>
        <v>-5.6264800473371678E-5</v>
      </c>
      <c r="BR1110" s="463"/>
      <c r="BS1110" s="463"/>
      <c r="BT1110" s="487">
        <f>+BT1109/BT950</f>
        <v>-4.049802672001546E-6</v>
      </c>
      <c r="BU1110" s="487">
        <f>+BU1109/BU950</f>
        <v>0</v>
      </c>
      <c r="BV1110" s="463"/>
      <c r="BW1110" s="463"/>
      <c r="BX1110" s="487">
        <f>+BX1109/BX950</f>
        <v>-1.8467777810605328E-4</v>
      </c>
      <c r="BY1110" s="487">
        <f>+BY1109/BY950</f>
        <v>0</v>
      </c>
      <c r="BZ1110" s="463"/>
      <c r="CA1110" s="463"/>
      <c r="CB1110" s="487">
        <f>+CB1109/CB950</f>
        <v>4.6582496614336524E-3</v>
      </c>
      <c r="CC1110" s="487">
        <f>+CC1109/CC950</f>
        <v>0</v>
      </c>
      <c r="CD1110" s="463"/>
      <c r="CE1110" s="463"/>
      <c r="CF1110" s="487">
        <f>+CF1109/CF950</f>
        <v>-3.5417225650649557E-5</v>
      </c>
      <c r="CG1110" s="487">
        <f>+CG1109/CG950</f>
        <v>0</v>
      </c>
      <c r="CH1110" s="463"/>
      <c r="CI1110" s="463"/>
      <c r="CJ1110" s="487">
        <f>+CJ1109/CJ950</f>
        <v>2.7182960283995739E-5</v>
      </c>
      <c r="CK1110" s="487">
        <f>+CK1109/CK950</f>
        <v>0</v>
      </c>
      <c r="CL1110" s="463"/>
      <c r="CM1110" s="463"/>
      <c r="CN1110" s="487">
        <f>+CN1109/CN950</f>
        <v>-8.2232983662408554E-6</v>
      </c>
      <c r="CO1110" s="487">
        <f>+CO1109/CO950</f>
        <v>-5.2060285810969103E-5</v>
      </c>
      <c r="CP1110" s="463"/>
      <c r="CQ1110" s="463"/>
      <c r="CR1110" s="487">
        <f>+CR1109/CR950</f>
        <v>-2.6028110359187923E-5</v>
      </c>
      <c r="CS1110" s="770">
        <v>0</v>
      </c>
      <c r="CT1110" s="463"/>
      <c r="CU1110" s="463"/>
      <c r="CV1110" s="487">
        <f>+CV1109/CV950</f>
        <v>0</v>
      </c>
      <c r="CW1110" s="770">
        <v>0</v>
      </c>
      <c r="CX1110" s="463"/>
      <c r="CY1110" s="463"/>
      <c r="CZ1110" s="487">
        <f>+CZ1109/CZ950</f>
        <v>0</v>
      </c>
      <c r="DA1110" s="770">
        <v>0</v>
      </c>
      <c r="DB1110" s="463"/>
      <c r="DC1110" s="463"/>
      <c r="DD1110" s="770">
        <v>0</v>
      </c>
      <c r="DE1110" s="770">
        <v>0</v>
      </c>
      <c r="DF1110" s="463"/>
      <c r="DG1110" s="463"/>
      <c r="DH1110" s="770">
        <v>0</v>
      </c>
      <c r="DI1110" s="770">
        <v>0</v>
      </c>
      <c r="DJ1110" s="463"/>
      <c r="DK1110" s="463"/>
      <c r="DL1110" s="770">
        <v>0</v>
      </c>
      <c r="DM1110" s="770">
        <v>0</v>
      </c>
      <c r="DN1110" s="463"/>
      <c r="DO1110" s="463"/>
      <c r="DP1110" s="770">
        <v>0</v>
      </c>
      <c r="DQ1110" s="770">
        <v>0</v>
      </c>
      <c r="DR1110" s="463"/>
      <c r="DS1110" s="463"/>
      <c r="DT1110" s="1"/>
      <c r="DU1110" s="1"/>
      <c r="DV1110" s="1"/>
      <c r="DW1110" s="1"/>
      <c r="DX1110" s="1"/>
      <c r="DY1110" s="1"/>
      <c r="DZ1110" s="1"/>
      <c r="EA1110" s="1"/>
      <c r="EB1110" s="1"/>
      <c r="EC1110" s="1"/>
      <c r="ED1110" s="1"/>
      <c r="EE1110" s="1"/>
      <c r="EF1110" s="1"/>
      <c r="EG1110" s="1"/>
      <c r="EH1110" s="1"/>
      <c r="EI1110" s="1"/>
      <c r="EJ1110" s="1"/>
      <c r="EK1110" s="1"/>
      <c r="EL1110" s="1"/>
      <c r="EM1110" s="1"/>
      <c r="EN1110" s="1"/>
      <c r="EO1110" s="1"/>
      <c r="EP1110" s="1"/>
      <c r="EQ1110" s="1"/>
      <c r="ER1110" s="1"/>
      <c r="ES1110" s="1"/>
      <c r="ET1110" s="1"/>
      <c r="EU1110" s="1"/>
      <c r="EV1110" s="1"/>
      <c r="EW1110" s="1"/>
      <c r="EX1110" s="1"/>
      <c r="EY1110" s="1"/>
      <c r="EZ1110" s="1"/>
      <c r="FA1110" s="1"/>
      <c r="FB1110" s="1"/>
      <c r="FC1110" s="1"/>
      <c r="FD1110" s="1"/>
      <c r="FE1110" s="1"/>
      <c r="FF1110" s="1"/>
      <c r="FG1110" s="1"/>
      <c r="FH1110" s="1"/>
      <c r="FI1110" s="1"/>
      <c r="FJ1110" s="1"/>
      <c r="FK1110" s="1"/>
      <c r="FL1110" s="1"/>
      <c r="FM1110" s="1"/>
      <c r="FN1110" s="1"/>
      <c r="FO1110" s="1"/>
      <c r="FP1110" s="1"/>
      <c r="FQ1110" s="1"/>
      <c r="FR1110" s="1"/>
      <c r="FS1110" s="1"/>
      <c r="FT1110" s="1"/>
      <c r="FU1110" s="1"/>
      <c r="FV1110" s="1"/>
      <c r="FW1110" s="1"/>
      <c r="FX1110" s="1"/>
      <c r="FY1110" s="1"/>
      <c r="FZ1110" s="1"/>
      <c r="GA1110" s="1"/>
      <c r="GB1110" s="1"/>
      <c r="GC1110" s="1"/>
      <c r="GD1110" s="1"/>
      <c r="GE1110" s="1"/>
      <c r="GF1110" s="1"/>
      <c r="GG1110" s="1"/>
      <c r="GH1110" s="1"/>
      <c r="GI1110" s="1"/>
      <c r="GJ1110" s="1"/>
      <c r="GK1110" s="1"/>
      <c r="GL1110" s="1"/>
      <c r="GM1110" s="1"/>
      <c r="GN1110" s="1"/>
      <c r="GO1110" s="1"/>
      <c r="GP1110" s="1"/>
      <c r="GQ1110" s="1"/>
      <c r="GR1110" s="1"/>
      <c r="GS1110" s="1"/>
      <c r="GT1110" s="1"/>
      <c r="GU1110" s="1"/>
      <c r="GV1110" s="1"/>
      <c r="GW1110" s="1"/>
      <c r="GX1110" s="1"/>
      <c r="GY1110" s="1"/>
      <c r="GZ1110" s="1"/>
      <c r="HA1110" s="1"/>
      <c r="HB1110" s="1"/>
      <c r="HC1110" s="1"/>
      <c r="HD1110" s="1"/>
      <c r="HE1110" s="1"/>
      <c r="HF1110" s="1"/>
      <c r="HG1110" s="1"/>
      <c r="HH1110" s="1"/>
      <c r="HI1110" s="1"/>
      <c r="HJ1110" s="1"/>
      <c r="HK1110" s="1"/>
      <c r="HL1110" s="1"/>
      <c r="HM1110" s="1"/>
      <c r="HN1110" s="1"/>
      <c r="HO1110" s="1"/>
      <c r="HP1110" s="1"/>
      <c r="HQ1110" s="1"/>
      <c r="HR1110" s="1"/>
      <c r="HS1110" s="1"/>
      <c r="HT1110" s="1"/>
      <c r="HU1110" s="1"/>
      <c r="HV1110" s="1"/>
      <c r="HW1110" s="1"/>
      <c r="HX1110" s="1"/>
      <c r="HY1110" s="1"/>
      <c r="HZ1110" s="1"/>
      <c r="IA1110" s="1"/>
      <c r="IB1110" s="1"/>
      <c r="IC1110" s="1"/>
      <c r="ID1110" s="1"/>
      <c r="IE1110" s="1"/>
      <c r="IF1110" s="1"/>
      <c r="IG1110" s="1"/>
      <c r="IH1110" s="1"/>
      <c r="II1110" s="1"/>
      <c r="IJ1110" s="1"/>
      <c r="IK1110" s="1"/>
      <c r="IL1110" s="1"/>
      <c r="IM1110" s="1"/>
      <c r="IN1110" s="1"/>
      <c r="IO1110" s="1"/>
      <c r="IP1110" s="1"/>
      <c r="IQ1110" s="1"/>
      <c r="IR1110" s="1"/>
      <c r="IS1110" s="1"/>
      <c r="IT1110" s="1"/>
      <c r="IU1110" s="1"/>
      <c r="IV1110" s="1"/>
      <c r="IW1110" s="1"/>
      <c r="IX1110" s="1"/>
      <c r="IY1110" s="1"/>
      <c r="IZ1110" s="1"/>
      <c r="JA1110" s="1"/>
      <c r="JB1110" s="1"/>
      <c r="JC1110" s="1"/>
      <c r="JD1110" s="1"/>
    </row>
    <row r="1111" spans="1:264" s="347" customFormat="1" x14ac:dyDescent="0.2">
      <c r="A1111" s="411"/>
      <c r="B1111" s="348"/>
      <c r="BH1111" s="348"/>
      <c r="BI1111" s="348"/>
      <c r="BJ1111" s="348"/>
      <c r="BK1111" s="348"/>
      <c r="BL1111" s="398"/>
      <c r="BM1111" s="348"/>
      <c r="BN1111" s="348"/>
      <c r="BO1111" s="348"/>
      <c r="BP1111" s="348"/>
      <c r="BT1111" s="348"/>
      <c r="BX1111" s="348"/>
      <c r="CB1111" s="348"/>
      <c r="CF1111" s="348"/>
      <c r="CJ1111" s="348"/>
      <c r="CN1111" s="348"/>
      <c r="CR1111" s="348"/>
      <c r="CV1111" s="348"/>
      <c r="CZ1111" s="348"/>
      <c r="DD1111" s="348"/>
      <c r="DH1111" s="348"/>
      <c r="DL1111" s="348"/>
      <c r="DP1111" s="348"/>
      <c r="DT1111" s="1"/>
      <c r="DU1111" s="1"/>
      <c r="DV1111" s="1"/>
      <c r="DW1111" s="1"/>
      <c r="DX1111" s="1"/>
      <c r="DY1111" s="1"/>
      <c r="DZ1111" s="1"/>
      <c r="EA1111" s="1"/>
      <c r="EB1111" s="1"/>
      <c r="EC1111" s="1"/>
      <c r="ED1111" s="1"/>
      <c r="EE1111" s="1"/>
      <c r="EF1111" s="1"/>
      <c r="EG1111" s="1"/>
      <c r="EH1111" s="1"/>
      <c r="EI1111" s="1"/>
      <c r="EJ1111" s="1"/>
      <c r="EK1111" s="1"/>
      <c r="EL1111" s="1"/>
      <c r="EM1111" s="1"/>
      <c r="EN1111" s="1"/>
      <c r="EO1111" s="1"/>
      <c r="EP1111" s="1"/>
      <c r="EQ1111" s="1"/>
      <c r="ER1111" s="1"/>
      <c r="ES1111" s="1"/>
      <c r="ET1111" s="1"/>
      <c r="EU1111" s="1"/>
      <c r="EV1111" s="1"/>
      <c r="EW1111" s="1"/>
      <c r="EX1111" s="1"/>
      <c r="EY1111" s="1"/>
      <c r="EZ1111" s="1"/>
      <c r="FA1111" s="1"/>
      <c r="FB1111" s="1"/>
      <c r="FC1111" s="1"/>
      <c r="FD1111" s="1"/>
      <c r="FE1111" s="1"/>
      <c r="FF1111" s="1"/>
      <c r="FG1111" s="1"/>
      <c r="FH1111" s="1"/>
      <c r="FI1111" s="1"/>
      <c r="FJ1111" s="1"/>
      <c r="FK1111" s="1"/>
      <c r="FL1111" s="1"/>
      <c r="FM1111" s="1"/>
      <c r="FN1111" s="1"/>
      <c r="FO1111" s="1"/>
      <c r="FP1111" s="1"/>
      <c r="FQ1111" s="1"/>
      <c r="FR1111" s="1"/>
      <c r="FS1111" s="1"/>
      <c r="FT1111" s="1"/>
      <c r="FU1111" s="1"/>
      <c r="FV1111" s="1"/>
      <c r="FW1111" s="1"/>
      <c r="FX1111" s="1"/>
      <c r="FY1111" s="1"/>
      <c r="FZ1111" s="1"/>
      <c r="GA1111" s="1"/>
      <c r="GB1111" s="1"/>
      <c r="GC1111" s="1"/>
      <c r="GD1111" s="1"/>
      <c r="GE1111" s="1"/>
      <c r="GF1111" s="1"/>
      <c r="GG1111" s="1"/>
      <c r="GH1111" s="1"/>
      <c r="GI1111" s="1"/>
      <c r="GJ1111" s="1"/>
      <c r="GK1111" s="1"/>
      <c r="GL1111" s="1"/>
      <c r="GM1111" s="1"/>
      <c r="GN1111" s="1"/>
      <c r="GO1111" s="1"/>
      <c r="GP1111" s="1"/>
      <c r="GQ1111" s="1"/>
      <c r="GR1111" s="1"/>
      <c r="GS1111" s="1"/>
      <c r="GT1111" s="1"/>
      <c r="GU1111" s="1"/>
      <c r="GV1111" s="1"/>
      <c r="GW1111" s="1"/>
      <c r="GX1111" s="1"/>
      <c r="GY1111" s="1"/>
      <c r="GZ1111" s="1"/>
      <c r="HA1111" s="1"/>
      <c r="HB1111" s="1"/>
      <c r="HC1111" s="1"/>
      <c r="HD1111" s="1"/>
      <c r="HE1111" s="1"/>
      <c r="HF1111" s="1"/>
      <c r="HG1111" s="1"/>
      <c r="HH1111" s="1"/>
      <c r="HI1111" s="1"/>
      <c r="HJ1111" s="1"/>
      <c r="HK1111" s="1"/>
      <c r="HL1111" s="1"/>
      <c r="HM1111" s="1"/>
      <c r="HN1111" s="1"/>
      <c r="HO1111" s="1"/>
      <c r="HP1111" s="1"/>
      <c r="HQ1111" s="1"/>
      <c r="HR1111" s="1"/>
      <c r="HS1111" s="1"/>
      <c r="HT1111" s="1"/>
      <c r="HU1111" s="1"/>
      <c r="HV1111" s="1"/>
      <c r="HW1111" s="1"/>
      <c r="HX1111" s="1"/>
      <c r="HY1111" s="1"/>
      <c r="HZ1111" s="1"/>
      <c r="IA1111" s="1"/>
      <c r="IB1111" s="1"/>
      <c r="IC1111" s="1"/>
      <c r="ID1111" s="1"/>
      <c r="IE1111" s="1"/>
      <c r="IF1111" s="1"/>
      <c r="IG1111" s="1"/>
      <c r="IH1111" s="1"/>
      <c r="II1111" s="1"/>
      <c r="IJ1111" s="1"/>
      <c r="IK1111" s="1"/>
      <c r="IL1111" s="1"/>
      <c r="IM1111" s="1"/>
      <c r="IN1111" s="1"/>
      <c r="IO1111" s="1"/>
      <c r="IP1111" s="1"/>
      <c r="IQ1111" s="1"/>
      <c r="IR1111" s="1"/>
      <c r="IS1111" s="1"/>
      <c r="IT1111" s="1"/>
      <c r="IU1111" s="1"/>
      <c r="IV1111" s="1"/>
      <c r="IW1111" s="1"/>
      <c r="IX1111" s="1"/>
      <c r="IY1111" s="1"/>
      <c r="IZ1111" s="1"/>
      <c r="JA1111" s="1"/>
      <c r="JB1111" s="1"/>
      <c r="JC1111" s="1"/>
      <c r="JD1111" s="1"/>
    </row>
    <row r="1112" spans="1:264" s="386" customFormat="1" x14ac:dyDescent="0.2">
      <c r="A1112" s="383" t="s">
        <v>754</v>
      </c>
      <c r="B1112" s="384"/>
      <c r="C1112" s="385"/>
      <c r="D1112" s="385"/>
      <c r="E1112" s="385"/>
      <c r="F1112" s="385"/>
      <c r="G1112" s="385"/>
      <c r="H1112" s="385"/>
      <c r="I1112" s="385"/>
      <c r="J1112" s="385"/>
      <c r="K1112" s="385"/>
      <c r="L1112" s="385"/>
      <c r="M1112" s="385"/>
      <c r="N1112" s="385"/>
      <c r="O1112" s="385"/>
      <c r="P1112" s="385"/>
      <c r="Q1112" s="385"/>
      <c r="R1112" s="385"/>
      <c r="S1112" s="385"/>
      <c r="T1112" s="385"/>
      <c r="U1112" s="385"/>
      <c r="V1112" s="385"/>
      <c r="W1112" s="385"/>
      <c r="X1112" s="385"/>
      <c r="Y1112" s="385"/>
      <c r="Z1112" s="385"/>
      <c r="AA1112" s="385"/>
      <c r="AB1112" s="385"/>
      <c r="AC1112" s="385"/>
      <c r="AD1112" s="385"/>
      <c r="AE1112" s="385"/>
      <c r="AF1112" s="385"/>
      <c r="AG1112" s="385"/>
      <c r="AH1112" s="385"/>
      <c r="AI1112" s="385"/>
      <c r="AJ1112" s="385"/>
      <c r="AK1112" s="385"/>
      <c r="AL1112" s="385"/>
      <c r="AM1112" s="385"/>
      <c r="AN1112" s="385"/>
      <c r="AO1112" s="385"/>
      <c r="AP1112" s="385"/>
      <c r="AQ1112" s="385"/>
      <c r="AR1112" s="385"/>
      <c r="AS1112" s="385"/>
      <c r="AT1112" s="385"/>
      <c r="AU1112" s="385"/>
      <c r="AV1112" s="385"/>
      <c r="AW1112" s="385"/>
      <c r="AX1112" s="385"/>
      <c r="AY1112" s="385"/>
      <c r="AZ1112" s="385"/>
      <c r="BA1112" s="385"/>
      <c r="BB1112" s="385"/>
      <c r="BC1112" s="385"/>
      <c r="BD1112" s="385"/>
      <c r="BE1112" s="385"/>
      <c r="BF1112" s="385"/>
      <c r="BG1112" s="385"/>
      <c r="BH1112" s="384"/>
      <c r="BI1112" s="384"/>
      <c r="BJ1112" s="384"/>
      <c r="BK1112" s="384"/>
      <c r="BL1112" s="384"/>
      <c r="BM1112" s="384"/>
      <c r="BN1112" s="384"/>
      <c r="BO1112" s="384"/>
      <c r="BP1112" s="384"/>
      <c r="BQ1112" s="385"/>
      <c r="BR1112" s="385"/>
      <c r="BS1112" s="385"/>
      <c r="BT1112" s="384"/>
      <c r="BU1112" s="385"/>
      <c r="BV1112" s="385"/>
      <c r="BW1112" s="385"/>
      <c r="BX1112" s="384"/>
      <c r="BY1112" s="385"/>
      <c r="BZ1112" s="385"/>
      <c r="CA1112" s="385"/>
      <c r="CB1112" s="384"/>
      <c r="CC1112" s="385"/>
      <c r="CD1112" s="385"/>
      <c r="CE1112" s="385"/>
      <c r="CF1112" s="384"/>
      <c r="CG1112" s="385"/>
      <c r="CH1112" s="385"/>
      <c r="CI1112" s="385"/>
      <c r="CJ1112" s="384"/>
      <c r="CK1112" s="385"/>
      <c r="CL1112" s="385"/>
      <c r="CM1112" s="385"/>
      <c r="CN1112" s="384"/>
      <c r="CO1112" s="385"/>
      <c r="CP1112" s="385"/>
      <c r="CQ1112" s="385"/>
      <c r="CR1112" s="384"/>
      <c r="CS1112" s="385"/>
      <c r="CT1112" s="385"/>
      <c r="CU1112" s="385"/>
      <c r="CV1112" s="384"/>
      <c r="CW1112" s="385"/>
      <c r="CX1112" s="385"/>
      <c r="CY1112" s="385"/>
      <c r="CZ1112" s="384"/>
      <c r="DA1112" s="385"/>
      <c r="DB1112" s="385"/>
      <c r="DC1112" s="385"/>
      <c r="DD1112" s="384"/>
      <c r="DE1112" s="385"/>
      <c r="DF1112" s="385"/>
      <c r="DG1112" s="385"/>
      <c r="DH1112" s="384"/>
      <c r="DI1112" s="385"/>
      <c r="DJ1112" s="385"/>
      <c r="DK1112" s="385"/>
      <c r="DL1112" s="384"/>
      <c r="DM1112" s="385"/>
      <c r="DN1112" s="385"/>
      <c r="DO1112" s="385"/>
      <c r="DP1112" s="384"/>
      <c r="DQ1112" s="385"/>
      <c r="DR1112" s="385"/>
      <c r="DS1112" s="385"/>
      <c r="DT1112" s="1"/>
      <c r="DU1112" s="1"/>
      <c r="DV1112" s="1"/>
      <c r="DW1112" s="1"/>
      <c r="DX1112" s="1"/>
      <c r="DY1112" s="1"/>
      <c r="DZ1112" s="1"/>
      <c r="EA1112" s="1"/>
      <c r="EB1112" s="1"/>
      <c r="EC1112" s="1"/>
      <c r="ED1112" s="1"/>
      <c r="EE1112" s="1"/>
      <c r="EF1112" s="1"/>
      <c r="EG1112" s="1"/>
      <c r="EH1112" s="1"/>
      <c r="EI1112" s="1"/>
      <c r="EJ1112" s="1"/>
      <c r="EK1112" s="1"/>
      <c r="EL1112" s="1"/>
      <c r="EM1112" s="1"/>
      <c r="EN1112" s="1"/>
      <c r="EO1112" s="1"/>
      <c r="EP1112" s="1"/>
      <c r="EQ1112" s="1"/>
      <c r="ER1112" s="1"/>
      <c r="ES1112" s="1"/>
      <c r="ET1112" s="1"/>
      <c r="EU1112" s="1"/>
      <c r="EV1112" s="1"/>
      <c r="EW1112" s="1"/>
      <c r="EX1112" s="1"/>
      <c r="EY1112" s="1"/>
      <c r="EZ1112" s="1"/>
      <c r="FA1112" s="1"/>
      <c r="FB1112" s="1"/>
      <c r="FC1112" s="1"/>
      <c r="FD1112" s="1"/>
      <c r="FE1112" s="1"/>
      <c r="FF1112" s="1"/>
      <c r="FG1112" s="1"/>
      <c r="FH1112" s="1"/>
      <c r="FI1112" s="1"/>
      <c r="FJ1112" s="1"/>
      <c r="FK1112" s="1"/>
      <c r="FL1112" s="1"/>
      <c r="FM1112" s="1"/>
      <c r="FN1112" s="1"/>
      <c r="FO1112" s="1"/>
      <c r="FP1112" s="1"/>
      <c r="FQ1112" s="1"/>
      <c r="FR1112" s="1"/>
      <c r="FS1112" s="1"/>
      <c r="FT1112" s="1"/>
      <c r="FU1112" s="1"/>
      <c r="FV1112" s="1"/>
      <c r="FW1112" s="1"/>
      <c r="FX1112" s="1"/>
      <c r="FY1112" s="1"/>
      <c r="FZ1112" s="1"/>
      <c r="GA1112" s="1"/>
      <c r="GB1112" s="1"/>
      <c r="GC1112" s="1"/>
      <c r="GD1112" s="1"/>
      <c r="GE1112" s="1"/>
      <c r="GF1112" s="1"/>
      <c r="GG1112" s="1"/>
      <c r="GH1112" s="1"/>
      <c r="GI1112" s="1"/>
      <c r="GJ1112" s="1"/>
      <c r="GK1112" s="1"/>
      <c r="GL1112" s="1"/>
      <c r="GM1112" s="1"/>
      <c r="GN1112" s="1"/>
      <c r="GO1112" s="1"/>
      <c r="GP1112" s="1"/>
      <c r="GQ1112" s="1"/>
      <c r="GR1112" s="1"/>
      <c r="GS1112" s="1"/>
      <c r="GT1112" s="1"/>
      <c r="GU1112" s="1"/>
      <c r="GV1112" s="1"/>
      <c r="GW1112" s="1"/>
      <c r="GX1112" s="1"/>
      <c r="GY1112" s="1"/>
      <c r="GZ1112" s="1"/>
      <c r="HA1112" s="1"/>
      <c r="HB1112" s="1"/>
      <c r="HC1112" s="1"/>
      <c r="HD1112" s="1"/>
      <c r="HE1112" s="1"/>
      <c r="HF1112" s="1"/>
      <c r="HG1112" s="1"/>
      <c r="HH1112" s="1"/>
      <c r="HI1112" s="1"/>
      <c r="HJ1112" s="1"/>
      <c r="HK1112" s="1"/>
      <c r="HL1112" s="1"/>
      <c r="HM1112" s="1"/>
      <c r="HN1112" s="1"/>
      <c r="HO1112" s="1"/>
      <c r="HP1112" s="1"/>
      <c r="HQ1112" s="1"/>
      <c r="HR1112" s="1"/>
      <c r="HS1112" s="1"/>
      <c r="HT1112" s="1"/>
      <c r="HU1112" s="1"/>
      <c r="HV1112" s="1"/>
      <c r="HW1112" s="1"/>
      <c r="HX1112" s="1"/>
      <c r="HY1112" s="1"/>
      <c r="HZ1112" s="1"/>
      <c r="IA1112" s="1"/>
      <c r="IB1112" s="1"/>
      <c r="IC1112" s="1"/>
      <c r="ID1112" s="1"/>
      <c r="IE1112" s="1"/>
      <c r="IF1112" s="1"/>
      <c r="IG1112" s="1"/>
      <c r="IH1112" s="1"/>
      <c r="II1112" s="1"/>
      <c r="IJ1112" s="1"/>
      <c r="IK1112" s="1"/>
      <c r="IL1112" s="1"/>
      <c r="IM1112" s="1"/>
      <c r="IN1112" s="1"/>
      <c r="IO1112" s="1"/>
      <c r="IP1112" s="1"/>
      <c r="IQ1112" s="1"/>
      <c r="IR1112" s="1"/>
      <c r="IS1112" s="1"/>
      <c r="IT1112" s="1"/>
      <c r="IU1112" s="1"/>
      <c r="IV1112" s="1"/>
      <c r="IW1112" s="1"/>
      <c r="IX1112" s="1"/>
      <c r="IY1112" s="1"/>
      <c r="IZ1112" s="1"/>
      <c r="JA1112" s="1"/>
      <c r="JB1112" s="1"/>
      <c r="JC1112" s="1"/>
      <c r="JD1112" s="1"/>
    </row>
    <row r="1113" spans="1:264" s="347" customFormat="1" x14ac:dyDescent="0.2">
      <c r="B1113" s="348"/>
      <c r="BH1113" s="348"/>
      <c r="BI1113" s="348"/>
      <c r="BJ1113" s="348"/>
      <c r="BK1113" s="348"/>
      <c r="BL1113" s="348"/>
      <c r="BM1113" s="348"/>
      <c r="BN1113" s="348"/>
      <c r="BO1113" s="348"/>
      <c r="BP1113" s="348"/>
      <c r="BT1113" s="348"/>
      <c r="BX1113" s="348"/>
      <c r="CB1113" s="348"/>
      <c r="CF1113" s="348"/>
      <c r="CJ1113" s="348"/>
      <c r="CN1113" s="348"/>
      <c r="CR1113" s="348"/>
      <c r="CS1113" s="348"/>
      <c r="CV1113" s="348"/>
      <c r="CZ1113" s="348"/>
      <c r="DD1113" s="348"/>
      <c r="DH1113" s="348"/>
      <c r="DL1113" s="348"/>
      <c r="DP1113" s="348"/>
      <c r="DT1113" s="1"/>
      <c r="DU1113" s="1"/>
      <c r="DV1113" s="1"/>
      <c r="DW1113" s="1"/>
      <c r="DX1113" s="1"/>
      <c r="DY1113" s="1"/>
      <c r="DZ1113" s="1"/>
      <c r="EA1113" s="1"/>
      <c r="EB1113" s="1"/>
      <c r="EC1113" s="1"/>
      <c r="ED1113" s="1"/>
      <c r="EE1113" s="1"/>
      <c r="EF1113" s="1"/>
      <c r="EG1113" s="1"/>
      <c r="EH1113" s="1"/>
      <c r="EI1113" s="1"/>
      <c r="EJ1113" s="1"/>
      <c r="EK1113" s="1"/>
      <c r="EL1113" s="1"/>
      <c r="EM1113" s="1"/>
      <c r="EN1113" s="1"/>
      <c r="EO1113" s="1"/>
      <c r="EP1113" s="1"/>
      <c r="EQ1113" s="1"/>
      <c r="ER1113" s="1"/>
      <c r="ES1113" s="1"/>
      <c r="ET1113" s="1"/>
      <c r="EU1113" s="1"/>
      <c r="EV1113" s="1"/>
      <c r="EW1113" s="1"/>
      <c r="EX1113" s="1"/>
      <c r="EY1113" s="1"/>
      <c r="EZ1113" s="1"/>
      <c r="FA1113" s="1"/>
      <c r="FB1113" s="1"/>
      <c r="FC1113" s="1"/>
      <c r="FD1113" s="1"/>
      <c r="FE1113" s="1"/>
      <c r="FF1113" s="1"/>
      <c r="FG1113" s="1"/>
      <c r="FH1113" s="1"/>
      <c r="FI1113" s="1"/>
      <c r="FJ1113" s="1"/>
      <c r="FK1113" s="1"/>
      <c r="FL1113" s="1"/>
      <c r="FM1113" s="1"/>
      <c r="FN1113" s="1"/>
      <c r="FO1113" s="1"/>
      <c r="FP1113" s="1"/>
      <c r="FQ1113" s="1"/>
      <c r="FR1113" s="1"/>
      <c r="FS1113" s="1"/>
      <c r="FT1113" s="1"/>
      <c r="FU1113" s="1"/>
      <c r="FV1113" s="1"/>
      <c r="FW1113" s="1"/>
      <c r="FX1113" s="1"/>
      <c r="FY1113" s="1"/>
      <c r="FZ1113" s="1"/>
      <c r="GA1113" s="1"/>
      <c r="GB1113" s="1"/>
      <c r="GC1113" s="1"/>
      <c r="GD1113" s="1"/>
      <c r="GE1113" s="1"/>
      <c r="GF1113" s="1"/>
      <c r="GG1113" s="1"/>
      <c r="GH1113" s="1"/>
      <c r="GI1113" s="1"/>
      <c r="GJ1113" s="1"/>
      <c r="GK1113" s="1"/>
      <c r="GL1113" s="1"/>
      <c r="GM1113" s="1"/>
      <c r="GN1113" s="1"/>
      <c r="GO1113" s="1"/>
      <c r="GP1113" s="1"/>
      <c r="GQ1113" s="1"/>
      <c r="GR1113" s="1"/>
      <c r="GS1113" s="1"/>
      <c r="GT1113" s="1"/>
      <c r="GU1113" s="1"/>
      <c r="GV1113" s="1"/>
      <c r="GW1113" s="1"/>
      <c r="GX1113" s="1"/>
      <c r="GY1113" s="1"/>
      <c r="GZ1113" s="1"/>
      <c r="HA1113" s="1"/>
      <c r="HB1113" s="1"/>
      <c r="HC1113" s="1"/>
      <c r="HD1113" s="1"/>
      <c r="HE1113" s="1"/>
      <c r="HF1113" s="1"/>
      <c r="HG1113" s="1"/>
      <c r="HH1113" s="1"/>
      <c r="HI1113" s="1"/>
      <c r="HJ1113" s="1"/>
      <c r="HK1113" s="1"/>
      <c r="HL1113" s="1"/>
      <c r="HM1113" s="1"/>
      <c r="HN1113" s="1"/>
      <c r="HO1113" s="1"/>
      <c r="HP1113" s="1"/>
      <c r="HQ1113" s="1"/>
      <c r="HR1113" s="1"/>
      <c r="HS1113" s="1"/>
      <c r="HT1113" s="1"/>
      <c r="HU1113" s="1"/>
      <c r="HV1113" s="1"/>
      <c r="HW1113" s="1"/>
      <c r="HX1113" s="1"/>
      <c r="HY1113" s="1"/>
      <c r="HZ1113" s="1"/>
      <c r="IA1113" s="1"/>
      <c r="IB1113" s="1"/>
      <c r="IC1113" s="1"/>
      <c r="ID1113" s="1"/>
      <c r="IE1113" s="1"/>
      <c r="IF1113" s="1"/>
      <c r="IG1113" s="1"/>
      <c r="IH1113" s="1"/>
      <c r="II1113" s="1"/>
      <c r="IJ1113" s="1"/>
      <c r="IK1113" s="1"/>
      <c r="IL1113" s="1"/>
      <c r="IM1113" s="1"/>
      <c r="IN1113" s="1"/>
      <c r="IO1113" s="1"/>
      <c r="IP1113" s="1"/>
      <c r="IQ1113" s="1"/>
      <c r="IR1113" s="1"/>
      <c r="IS1113" s="1"/>
      <c r="IT1113" s="1"/>
      <c r="IU1113" s="1"/>
      <c r="IV1113" s="1"/>
      <c r="IW1113" s="1"/>
      <c r="IX1113" s="1"/>
      <c r="IY1113" s="1"/>
      <c r="IZ1113" s="1"/>
      <c r="JA1113" s="1"/>
      <c r="JB1113" s="1"/>
      <c r="JC1113" s="1"/>
      <c r="JD1113" s="1"/>
    </row>
    <row r="1114" spans="1:264" s="347" customFormat="1" x14ac:dyDescent="0.2">
      <c r="A1114" s="347" t="s">
        <v>699</v>
      </c>
      <c r="B1114" s="348"/>
      <c r="BD1114" s="351"/>
      <c r="BE1114" s="351"/>
      <c r="BF1114" s="351"/>
      <c r="BG1114" s="351"/>
      <c r="BH1114" s="722">
        <f>BH1001</f>
        <v>1602.8641710000002</v>
      </c>
      <c r="BI1114" s="722">
        <f>BI1001</f>
        <v>1605.85283</v>
      </c>
      <c r="BJ1114" s="722">
        <f>BJ1001</f>
        <v>1605.85283</v>
      </c>
      <c r="BK1114" s="722"/>
      <c r="BL1114" s="722">
        <f>BL1001</f>
        <v>1606.2996009999999</v>
      </c>
      <c r="BM1114" s="722">
        <f>BM1001</f>
        <v>1615.8031589999998</v>
      </c>
      <c r="BN1114" s="722">
        <f>BN1001</f>
        <v>1615.8031590000001</v>
      </c>
      <c r="BO1114" s="348"/>
      <c r="BP1114" s="722">
        <f>BP1001</f>
        <v>1616.4206359999998</v>
      </c>
      <c r="BQ1114" s="722">
        <f>BQ1001</f>
        <v>1622.9384359999999</v>
      </c>
      <c r="BR1114" s="722">
        <f>BR1001</f>
        <v>1622.9384359999999</v>
      </c>
      <c r="BT1114" s="722">
        <f>BT1001</f>
        <v>1702.9660160000001</v>
      </c>
      <c r="BU1114" s="722">
        <f>BU1001</f>
        <v>1711.0617419999999</v>
      </c>
      <c r="BV1114" s="722">
        <f>BV1001</f>
        <v>1711.0617420000001</v>
      </c>
      <c r="BX1114" s="722">
        <f>BX1001</f>
        <v>1719.7567330000002</v>
      </c>
      <c r="BY1114" s="722">
        <f>BY1001</f>
        <v>1726.0133980000001</v>
      </c>
      <c r="BZ1114" s="722">
        <f>BZ1001</f>
        <v>1726.0133979999998</v>
      </c>
      <c r="CB1114" s="722">
        <f>CB1001</f>
        <v>1749.8862180000001</v>
      </c>
      <c r="CC1114" s="722">
        <f>CC1001</f>
        <v>1756.61762</v>
      </c>
      <c r="CD1114" s="722">
        <f>CD1001</f>
        <v>1756.61762</v>
      </c>
      <c r="CF1114" s="722">
        <f>CF1001</f>
        <v>1768.068485</v>
      </c>
      <c r="CG1114" s="722">
        <f>CG1001</f>
        <v>1766.735966</v>
      </c>
      <c r="CH1114" s="722">
        <f>CH1001</f>
        <v>1766.735966</v>
      </c>
      <c r="CJ1114" s="722">
        <f>CJ1001</f>
        <v>1768.0990529999999</v>
      </c>
      <c r="CK1114" s="722">
        <f>CK1001</f>
        <v>1768.1440669999999</v>
      </c>
      <c r="CL1114" s="722">
        <f>CL1001</f>
        <v>1768.1440669999999</v>
      </c>
      <c r="CN1114" s="722">
        <f>CN1001</f>
        <v>1772.3453320000001</v>
      </c>
      <c r="CO1114" s="722">
        <f>CO1001</f>
        <v>1772.4313820000002</v>
      </c>
      <c r="CP1114" s="722">
        <f>CP1001</f>
        <v>1772.4313820000002</v>
      </c>
      <c r="CR1114" s="722">
        <f>CR1001</f>
        <v>1704.8812829999999</v>
      </c>
      <c r="CS1114" s="722">
        <f>CS1001</f>
        <v>1699.9379909999998</v>
      </c>
      <c r="CT1114" s="722">
        <f>CT1001</f>
        <v>1699.937991</v>
      </c>
      <c r="CV1114" s="722">
        <f>CV1001</f>
        <v>1686.9927149999999</v>
      </c>
      <c r="CW1114" s="722">
        <f>CW1001</f>
        <v>1674.519391</v>
      </c>
      <c r="CX1114" s="722">
        <f>CX1001</f>
        <v>1674.519391</v>
      </c>
      <c r="CZ1114" s="722">
        <f>CZ1001</f>
        <v>1673.220748</v>
      </c>
      <c r="DA1114" s="722">
        <f>DA1001</f>
        <v>1672.0700299999999</v>
      </c>
      <c r="DB1114" s="722">
        <f>DB1001</f>
        <v>1672.0700299999999</v>
      </c>
      <c r="DD1114" s="722">
        <f>DD1001</f>
        <v>1671.9987630000001</v>
      </c>
      <c r="DE1114" s="722">
        <f>DE1001</f>
        <v>1671.842146</v>
      </c>
      <c r="DF1114" s="722">
        <f>DF1001</f>
        <v>1671.842146</v>
      </c>
      <c r="DH1114" s="722">
        <f>DH1001</f>
        <v>1672.123722</v>
      </c>
      <c r="DI1114" s="722">
        <f>DI1001</f>
        <v>1672.123722</v>
      </c>
      <c r="DJ1114" s="722">
        <f>DJ1001</f>
        <v>1672.123722</v>
      </c>
      <c r="DL1114" s="722">
        <f ca="1">DL1001</f>
        <v>1672.123722</v>
      </c>
      <c r="DM1114" s="722">
        <f ca="1">DM1001</f>
        <v>1672.123722</v>
      </c>
      <c r="DN1114" s="722">
        <f ca="1">DN1001</f>
        <v>1672.123722</v>
      </c>
      <c r="DP1114" s="722">
        <f ca="1">DP1001</f>
        <v>1672.123722</v>
      </c>
      <c r="DQ1114" s="722">
        <f ca="1">DQ1001</f>
        <v>1672.123722</v>
      </c>
      <c r="DR1114" s="722">
        <f ca="1">DR1001</f>
        <v>1672.123722</v>
      </c>
      <c r="DT1114" s="1"/>
      <c r="DU1114" s="1"/>
      <c r="DV1114" s="1"/>
      <c r="DW1114" s="1"/>
      <c r="DX1114" s="1"/>
      <c r="DY1114" s="1"/>
      <c r="DZ1114" s="1"/>
      <c r="EA1114" s="1"/>
      <c r="EB1114" s="1"/>
      <c r="EC1114" s="1"/>
      <c r="ED1114" s="1"/>
      <c r="EE1114" s="1"/>
      <c r="EF1114" s="1"/>
      <c r="EG1114" s="1"/>
      <c r="EH1114" s="1"/>
      <c r="EI1114" s="1"/>
      <c r="EJ1114" s="1"/>
      <c r="EK1114" s="1"/>
      <c r="EL1114" s="1"/>
      <c r="EM1114" s="1"/>
      <c r="EN1114" s="1"/>
      <c r="EO1114" s="1"/>
      <c r="EP1114" s="1"/>
      <c r="EQ1114" s="1"/>
      <c r="ER1114" s="1"/>
      <c r="ES1114" s="1"/>
      <c r="ET1114" s="1"/>
      <c r="EU1114" s="1"/>
      <c r="EV1114" s="1"/>
      <c r="EW1114" s="1"/>
      <c r="EX1114" s="1"/>
      <c r="EY1114" s="1"/>
      <c r="EZ1114" s="1"/>
      <c r="FA1114" s="1"/>
      <c r="FB1114" s="1"/>
      <c r="FC1114" s="1"/>
      <c r="FD1114" s="1"/>
      <c r="FE1114" s="1"/>
      <c r="FF1114" s="1"/>
      <c r="FG1114" s="1"/>
      <c r="FH1114" s="1"/>
      <c r="FI1114" s="1"/>
      <c r="FJ1114" s="1"/>
      <c r="FK1114" s="1"/>
      <c r="FL1114" s="1"/>
      <c r="FM1114" s="1"/>
      <c r="FN1114" s="1"/>
      <c r="FO1114" s="1"/>
      <c r="FP1114" s="1"/>
      <c r="FQ1114" s="1"/>
      <c r="FR1114" s="1"/>
      <c r="FS1114" s="1"/>
      <c r="FT1114" s="1"/>
      <c r="FU1114" s="1"/>
      <c r="FV1114" s="1"/>
      <c r="FW1114" s="1"/>
      <c r="FX1114" s="1"/>
      <c r="FY1114" s="1"/>
      <c r="FZ1114" s="1"/>
      <c r="GA1114" s="1"/>
      <c r="GB1114" s="1"/>
      <c r="GC1114" s="1"/>
      <c r="GD1114" s="1"/>
      <c r="GE1114" s="1"/>
      <c r="GF1114" s="1"/>
      <c r="GG1114" s="1"/>
      <c r="GH1114" s="1"/>
      <c r="GI1114" s="1"/>
      <c r="GJ1114" s="1"/>
      <c r="GK1114" s="1"/>
      <c r="GL1114" s="1"/>
      <c r="GM1114" s="1"/>
      <c r="GN1114" s="1"/>
      <c r="GO1114" s="1"/>
      <c r="GP1114" s="1"/>
      <c r="GQ1114" s="1"/>
      <c r="GR1114" s="1"/>
      <c r="GS1114" s="1"/>
      <c r="GT1114" s="1"/>
      <c r="GU1114" s="1"/>
      <c r="GV1114" s="1"/>
      <c r="GW1114" s="1"/>
      <c r="GX1114" s="1"/>
      <c r="GY1114" s="1"/>
      <c r="GZ1114" s="1"/>
      <c r="HA1114" s="1"/>
      <c r="HB1114" s="1"/>
      <c r="HC1114" s="1"/>
      <c r="HD1114" s="1"/>
      <c r="HE1114" s="1"/>
      <c r="HF1114" s="1"/>
      <c r="HG1114" s="1"/>
      <c r="HH1114" s="1"/>
      <c r="HI1114" s="1"/>
      <c r="HJ1114" s="1"/>
      <c r="HK1114" s="1"/>
      <c r="HL1114" s="1"/>
      <c r="HM1114" s="1"/>
      <c r="HN1114" s="1"/>
      <c r="HO1114" s="1"/>
      <c r="HP1114" s="1"/>
      <c r="HQ1114" s="1"/>
      <c r="HR1114" s="1"/>
      <c r="HS1114" s="1"/>
      <c r="HT1114" s="1"/>
      <c r="HU1114" s="1"/>
      <c r="HV1114" s="1"/>
      <c r="HW1114" s="1"/>
      <c r="HX1114" s="1"/>
      <c r="HY1114" s="1"/>
      <c r="HZ1114" s="1"/>
      <c r="IA1114" s="1"/>
      <c r="IB1114" s="1"/>
      <c r="IC1114" s="1"/>
      <c r="ID1114" s="1"/>
      <c r="IE1114" s="1"/>
      <c r="IF1114" s="1"/>
      <c r="IG1114" s="1"/>
      <c r="IH1114" s="1"/>
      <c r="II1114" s="1"/>
      <c r="IJ1114" s="1"/>
      <c r="IK1114" s="1"/>
      <c r="IL1114" s="1"/>
      <c r="IM1114" s="1"/>
      <c r="IN1114" s="1"/>
      <c r="IO1114" s="1"/>
      <c r="IP1114" s="1"/>
      <c r="IQ1114" s="1"/>
      <c r="IR1114" s="1"/>
      <c r="IS1114" s="1"/>
      <c r="IT1114" s="1"/>
      <c r="IU1114" s="1"/>
      <c r="IV1114" s="1"/>
      <c r="IW1114" s="1"/>
      <c r="IX1114" s="1"/>
      <c r="IY1114" s="1"/>
      <c r="IZ1114" s="1"/>
      <c r="JA1114" s="1"/>
      <c r="JB1114" s="1"/>
      <c r="JC1114" s="1"/>
      <c r="JD1114" s="1"/>
    </row>
    <row r="1115" spans="1:264" s="429" customFormat="1" x14ac:dyDescent="0.2">
      <c r="A1115" s="429" t="s">
        <v>755</v>
      </c>
      <c r="B1115" s="408"/>
      <c r="BH1115" s="777"/>
      <c r="BI1115" s="777">
        <f>AVERAGE(BH1114,BI1114)</f>
        <v>1604.3585005</v>
      </c>
      <c r="BJ1115" s="777"/>
      <c r="BK1115" s="777"/>
      <c r="BL1115" s="777">
        <f>AVERAGE(BI1114,BL1114)</f>
        <v>1606.0762155</v>
      </c>
      <c r="BM1115" s="777">
        <f>AVERAGE(BL1114,BM1114)</f>
        <v>1611.0513799999999</v>
      </c>
      <c r="BN1115" s="777"/>
      <c r="BO1115" s="408"/>
      <c r="BP1115" s="777">
        <f>AVERAGE(BM1114,BP1114)</f>
        <v>1616.1118974999999</v>
      </c>
      <c r="BQ1115" s="777">
        <f>AVERAGE(BP1114,BQ1114)</f>
        <v>1619.6795359999999</v>
      </c>
      <c r="BR1115" s="777"/>
      <c r="BT1115" s="777">
        <f>AVERAGE(BQ1114,BT1114)</f>
        <v>1662.9522259999999</v>
      </c>
      <c r="BU1115" s="777">
        <f>AVERAGE(BT1114,BU1114)</f>
        <v>1707.0138790000001</v>
      </c>
      <c r="BV1115" s="777"/>
      <c r="BX1115" s="777">
        <f>AVERAGE(BU1114,BX1114)</f>
        <v>1715.4092375</v>
      </c>
      <c r="BY1115" s="777">
        <f>AVERAGE(BX1114,BY1114)</f>
        <v>1722.8850655000001</v>
      </c>
      <c r="BZ1115" s="777"/>
      <c r="CB1115" s="777">
        <f>AVERAGE(BY1114,CB1114)</f>
        <v>1737.9498080000001</v>
      </c>
      <c r="CC1115" s="777">
        <f>AVERAGE(CB1114,CC1114)</f>
        <v>1753.251919</v>
      </c>
      <c r="CD1115" s="777"/>
      <c r="CF1115" s="777">
        <f>AVERAGE(CC1114,CF1114)</f>
        <v>1762.3430524999999</v>
      </c>
      <c r="CG1115" s="777">
        <f>AVERAGE(CF1114,CG1114)</f>
        <v>1767.4022255</v>
      </c>
      <c r="CH1115" s="777"/>
      <c r="CJ1115" s="777">
        <f>AVERAGE(CG1114,CJ1114)</f>
        <v>1767.4175095000001</v>
      </c>
      <c r="CK1115" s="777">
        <f>AVERAGE(CJ1114,CK1114)</f>
        <v>1768.12156</v>
      </c>
      <c r="CL1115" s="777"/>
      <c r="CN1115" s="777">
        <f>AVERAGE(CK1114,CN1114)</f>
        <v>1770.2446995</v>
      </c>
      <c r="CO1115" s="777">
        <f>AVERAGE(CN1114,CO1114)</f>
        <v>1772.3883570000003</v>
      </c>
      <c r="CP1115" s="777"/>
      <c r="CR1115" s="778">
        <f>AVERAGE(CO1114,CR1114)</f>
        <v>1738.6563325000002</v>
      </c>
      <c r="CS1115" s="777">
        <f>AVERAGE(CR1114,CS1114)</f>
        <v>1702.4096369999997</v>
      </c>
      <c r="CT1115" s="777"/>
      <c r="CV1115" s="778">
        <f>AVERAGE(CS1114,CV1114)</f>
        <v>1693.4653529999998</v>
      </c>
      <c r="CW1115" s="777">
        <f>AVERAGE(CV1114,CW1114)</f>
        <v>1680.7560530000001</v>
      </c>
      <c r="CX1115" s="777"/>
      <c r="CZ1115" s="778">
        <f>AVERAGE(CW1114,CZ1114)</f>
        <v>1673.8700695</v>
      </c>
      <c r="DA1115" s="777">
        <f>AVERAGE(CZ1114,DA1114)</f>
        <v>1672.6453889999998</v>
      </c>
      <c r="DB1115" s="777"/>
      <c r="DD1115" s="778">
        <f>AVERAGE(DA1114,DD1114)</f>
        <v>1672.0343965</v>
      </c>
      <c r="DE1115" s="777">
        <f>AVERAGE(DD1114,DE1114)</f>
        <v>1671.9204545</v>
      </c>
      <c r="DF1115" s="777"/>
      <c r="DH1115" s="778">
        <f>AVERAGE(DE1114,DH1114)</f>
        <v>1671.9829340000001</v>
      </c>
      <c r="DI1115" s="777">
        <f>AVERAGE(DH1114,DI1114)</f>
        <v>1672.123722</v>
      </c>
      <c r="DJ1115" s="777"/>
      <c r="DL1115" s="777">
        <f ca="1">AVERAGE(DI1114,DL1114)</f>
        <v>1672.123722</v>
      </c>
      <c r="DM1115" s="777">
        <f ca="1">AVERAGE(DL1114,DM1114)</f>
        <v>1672.123722</v>
      </c>
      <c r="DN1115" s="777"/>
      <c r="DP1115" s="777">
        <f ca="1">AVERAGE(DM1114,DP1114)</f>
        <v>1672.123722</v>
      </c>
      <c r="DQ1115" s="777">
        <f ca="1">AVERAGE(DP1114,DQ1114)</f>
        <v>1672.123722</v>
      </c>
      <c r="DR1115" s="777"/>
      <c r="DT1115" s="1"/>
      <c r="DU1115" s="1"/>
      <c r="DV1115" s="1"/>
      <c r="DW1115" s="1"/>
      <c r="DX1115" s="1"/>
      <c r="DY1115" s="1"/>
      <c r="DZ1115" s="1"/>
      <c r="EA1115" s="1"/>
      <c r="EB1115" s="1"/>
      <c r="EC1115" s="1"/>
      <c r="ED1115" s="1"/>
      <c r="EE1115" s="1"/>
      <c r="EF1115" s="1"/>
      <c r="EG1115" s="1"/>
      <c r="EH1115" s="1"/>
      <c r="EI1115" s="1"/>
      <c r="EJ1115" s="1"/>
      <c r="EK1115" s="1"/>
      <c r="EL1115" s="1"/>
      <c r="EM1115" s="1"/>
      <c r="EN1115" s="1"/>
      <c r="EO1115" s="1"/>
      <c r="EP1115" s="1"/>
      <c r="EQ1115" s="1"/>
      <c r="ER1115" s="1"/>
      <c r="ES1115" s="1"/>
      <c r="ET1115" s="1"/>
      <c r="EU1115" s="1"/>
      <c r="EV1115" s="1"/>
      <c r="EW1115" s="1"/>
      <c r="EX1115" s="1"/>
      <c r="EY1115" s="1"/>
      <c r="EZ1115" s="1"/>
      <c r="FA1115" s="1"/>
      <c r="FB1115" s="1"/>
      <c r="FC1115" s="1"/>
      <c r="FD1115" s="1"/>
      <c r="FE1115" s="1"/>
      <c r="FF1115" s="1"/>
      <c r="FG1115" s="1"/>
      <c r="FH1115" s="1"/>
      <c r="FI1115" s="1"/>
      <c r="FJ1115" s="1"/>
      <c r="FK1115" s="1"/>
      <c r="FL1115" s="1"/>
      <c r="FM1115" s="1"/>
      <c r="FN1115" s="1"/>
      <c r="FO1115" s="1"/>
      <c r="FP1115" s="1"/>
      <c r="FQ1115" s="1"/>
      <c r="FR1115" s="1"/>
      <c r="FS1115" s="1"/>
      <c r="FT1115" s="1"/>
      <c r="FU1115" s="1"/>
      <c r="FV1115" s="1"/>
      <c r="FW1115" s="1"/>
      <c r="FX1115" s="1"/>
      <c r="FY1115" s="1"/>
      <c r="FZ1115" s="1"/>
      <c r="GA1115" s="1"/>
      <c r="GB1115" s="1"/>
      <c r="GC1115" s="1"/>
      <c r="GD1115" s="1"/>
      <c r="GE1115" s="1"/>
      <c r="GF1115" s="1"/>
      <c r="GG1115" s="1"/>
      <c r="GH1115" s="1"/>
      <c r="GI1115" s="1"/>
      <c r="GJ1115" s="1"/>
      <c r="GK1115" s="1"/>
      <c r="GL1115" s="1"/>
      <c r="GM1115" s="1"/>
      <c r="GN1115" s="1"/>
      <c r="GO1115" s="1"/>
      <c r="GP1115" s="1"/>
      <c r="GQ1115" s="1"/>
      <c r="GR1115" s="1"/>
      <c r="GS1115" s="1"/>
      <c r="GT1115" s="1"/>
      <c r="GU1115" s="1"/>
      <c r="GV1115" s="1"/>
      <c r="GW1115" s="1"/>
      <c r="GX1115" s="1"/>
      <c r="GY1115" s="1"/>
      <c r="GZ1115" s="1"/>
      <c r="HA1115" s="1"/>
      <c r="HB1115" s="1"/>
      <c r="HC1115" s="1"/>
      <c r="HD1115" s="1"/>
      <c r="HE1115" s="1"/>
      <c r="HF1115" s="1"/>
      <c r="HG1115" s="1"/>
      <c r="HH1115" s="1"/>
      <c r="HI1115" s="1"/>
      <c r="HJ1115" s="1"/>
      <c r="HK1115" s="1"/>
      <c r="HL1115" s="1"/>
      <c r="HM1115" s="1"/>
      <c r="HN1115" s="1"/>
      <c r="HO1115" s="1"/>
      <c r="HP1115" s="1"/>
      <c r="HQ1115" s="1"/>
      <c r="HR1115" s="1"/>
      <c r="HS1115" s="1"/>
      <c r="HT1115" s="1"/>
      <c r="HU1115" s="1"/>
      <c r="HV1115" s="1"/>
      <c r="HW1115" s="1"/>
      <c r="HX1115" s="1"/>
      <c r="HY1115" s="1"/>
      <c r="HZ1115" s="1"/>
      <c r="IA1115" s="1"/>
      <c r="IB1115" s="1"/>
      <c r="IC1115" s="1"/>
      <c r="ID1115" s="1"/>
      <c r="IE1115" s="1"/>
      <c r="IF1115" s="1"/>
      <c r="IG1115" s="1"/>
      <c r="IH1115" s="1"/>
      <c r="II1115" s="1"/>
      <c r="IJ1115" s="1"/>
      <c r="IK1115" s="1"/>
      <c r="IL1115" s="1"/>
      <c r="IM1115" s="1"/>
      <c r="IN1115" s="1"/>
      <c r="IO1115" s="1"/>
      <c r="IP1115" s="1"/>
      <c r="IQ1115" s="1"/>
      <c r="IR1115" s="1"/>
      <c r="IS1115" s="1"/>
      <c r="IT1115" s="1"/>
      <c r="IU1115" s="1"/>
      <c r="IV1115" s="1"/>
      <c r="IW1115" s="1"/>
      <c r="IX1115" s="1"/>
      <c r="IY1115" s="1"/>
      <c r="IZ1115" s="1"/>
      <c r="JA1115" s="1"/>
      <c r="JB1115" s="1"/>
      <c r="JC1115" s="1"/>
      <c r="JD1115" s="1"/>
    </row>
    <row r="1116" spans="1:264" s="347" customFormat="1" x14ac:dyDescent="0.2">
      <c r="A1116" s="436" t="s">
        <v>445</v>
      </c>
      <c r="B1116" s="466"/>
      <c r="C1116" s="463"/>
      <c r="D1116" s="463"/>
      <c r="E1116" s="463"/>
      <c r="F1116" s="463"/>
      <c r="G1116" s="463"/>
      <c r="H1116" s="463"/>
      <c r="I1116" s="463"/>
      <c r="J1116" s="463"/>
      <c r="K1116" s="463"/>
      <c r="L1116" s="463"/>
      <c r="M1116" s="463"/>
      <c r="N1116" s="463"/>
      <c r="O1116" s="463"/>
      <c r="P1116" s="463"/>
      <c r="Q1116" s="463"/>
      <c r="R1116" s="463"/>
      <c r="S1116" s="463"/>
      <c r="T1116" s="463"/>
      <c r="U1116" s="463"/>
      <c r="V1116" s="463"/>
      <c r="W1116" s="463"/>
      <c r="X1116" s="463"/>
      <c r="Y1116" s="463"/>
      <c r="Z1116" s="463"/>
      <c r="AA1116" s="463"/>
      <c r="AB1116" s="463"/>
      <c r="AC1116" s="463"/>
      <c r="AD1116" s="463"/>
      <c r="AE1116" s="463"/>
      <c r="AF1116" s="463"/>
      <c r="AG1116" s="463"/>
      <c r="AH1116" s="463"/>
      <c r="AI1116" s="463"/>
      <c r="AJ1116" s="463"/>
      <c r="AK1116" s="463"/>
      <c r="AL1116" s="463"/>
      <c r="AM1116" s="463"/>
      <c r="AN1116" s="463"/>
      <c r="AO1116" s="463"/>
      <c r="AP1116" s="463"/>
      <c r="AQ1116" s="463"/>
      <c r="AR1116" s="463"/>
      <c r="AS1116" s="463"/>
      <c r="AT1116" s="463"/>
      <c r="AU1116" s="463"/>
      <c r="AV1116" s="463"/>
      <c r="AW1116" s="463"/>
      <c r="AX1116" s="463"/>
      <c r="AY1116" s="463"/>
      <c r="AZ1116" s="463"/>
      <c r="BA1116" s="463"/>
      <c r="BB1116" s="463"/>
      <c r="BC1116" s="463"/>
      <c r="BD1116" s="463"/>
      <c r="BE1116" s="463"/>
      <c r="BF1116" s="463"/>
      <c r="BG1116" s="463"/>
      <c r="BH1116" s="466"/>
      <c r="BI1116" s="465">
        <f>+BI1117/BI1115</f>
        <v>1.0010231500624633</v>
      </c>
      <c r="BJ1116" s="437"/>
      <c r="BK1116" s="437"/>
      <c r="BL1116" s="465">
        <f>+BL1117/BL1115</f>
        <v>1.001820451901213</v>
      </c>
      <c r="BM1116" s="465">
        <f>+BM1117/BM1115</f>
        <v>1.0018302457864503</v>
      </c>
      <c r="BN1116" s="437"/>
      <c r="BO1116" s="466"/>
      <c r="BP1116" s="465">
        <f>+BP1117/BP1115</f>
        <v>1.0017870683982142</v>
      </c>
      <c r="BQ1116" s="465">
        <f>+BQ1117/BQ1115</f>
        <v>1.0011239655496889</v>
      </c>
      <c r="BR1116" s="437"/>
      <c r="BS1116" s="463"/>
      <c r="BT1116" s="465">
        <f>+BT1117/BT1115</f>
        <v>1.0090488312079748</v>
      </c>
      <c r="BU1116" s="465">
        <f>+BU1117/BU1115</f>
        <v>1.0011635060642643</v>
      </c>
      <c r="BV1116" s="437"/>
      <c r="BW1116" s="463"/>
      <c r="BX1116" s="465">
        <f>+BX1117/BX1115</f>
        <v>1.0012188126624799</v>
      </c>
      <c r="BY1116" s="465">
        <f>+BY1117/BY1115</f>
        <v>1.0009373431416513</v>
      </c>
      <c r="BZ1116" s="437"/>
      <c r="CA1116" s="463"/>
      <c r="CB1116" s="465">
        <f>+CB1117/CB1115</f>
        <v>1.0008919659203415</v>
      </c>
      <c r="CC1116" s="465">
        <f>+CC1117/CC1115</f>
        <v>1.0004266819798644</v>
      </c>
      <c r="CD1116" s="437"/>
      <c r="CE1116" s="463"/>
      <c r="CF1116" s="465">
        <f>+CF1117/CF1115</f>
        <v>1.0003727693646638</v>
      </c>
      <c r="CG1116" s="465">
        <f>+CG1117/CG1115</f>
        <v>1.0009040242662068</v>
      </c>
      <c r="CH1116" s="437"/>
      <c r="CI1116" s="463"/>
      <c r="CJ1116" s="465">
        <f>+CJ1117/CJ1115</f>
        <v>1.0008953688030666</v>
      </c>
      <c r="CK1116" s="465">
        <f>+CK1117/CK1115</f>
        <v>1.000496821044363</v>
      </c>
      <c r="CL1116" s="437"/>
      <c r="CM1116" s="463"/>
      <c r="CN1116" s="465">
        <f>+CN1117/CN1115</f>
        <v>0.99986177080486716</v>
      </c>
      <c r="CO1116" s="465">
        <f>+CO1117/CO1115</f>
        <v>0.99978088492938555</v>
      </c>
      <c r="CP1116" s="437"/>
      <c r="CQ1116" s="463"/>
      <c r="CR1116" s="465">
        <f>+CR1117/CR1115</f>
        <v>1.0007728194899033</v>
      </c>
      <c r="CS1116" s="465">
        <f>+CS1117/CS1115</f>
        <v>1.0009341835040377</v>
      </c>
      <c r="CT1116" s="437"/>
      <c r="CU1116" s="463"/>
      <c r="CV1116" s="465">
        <f>+CV1117/CV1115</f>
        <v>1.0009062169457921</v>
      </c>
      <c r="CW1116" s="465">
        <f>+CW1117/CW1115</f>
        <v>1.0025250225887481</v>
      </c>
      <c r="CX1116" s="437"/>
      <c r="CY1116" s="463"/>
      <c r="CZ1116" s="465">
        <f>+CZ1117/CZ1115</f>
        <v>1.000077622810974</v>
      </c>
      <c r="DA1116" s="465">
        <f>+DA1117/DA1115</f>
        <v>1.0002120060846922</v>
      </c>
      <c r="DB1116" s="437"/>
      <c r="DC1116" s="463"/>
      <c r="DD1116" s="465">
        <f>+DD1117/DD1115</f>
        <v>0.99997942835382336</v>
      </c>
      <c r="DE1116" s="465">
        <f>+DE1117/DE1115</f>
        <v>1.0000475773233026</v>
      </c>
      <c r="DF1116" s="437"/>
      <c r="DG1116" s="463"/>
      <c r="DH1116" s="465">
        <f>+DH1117/DH1115</f>
        <v>1.0000102070419816</v>
      </c>
      <c r="DI1116" s="482">
        <f>DH1116</f>
        <v>1.0000102070419816</v>
      </c>
      <c r="DJ1116" s="463"/>
      <c r="DK1116" s="463"/>
      <c r="DL1116" s="482">
        <f>DI1116</f>
        <v>1.0000102070419816</v>
      </c>
      <c r="DM1116" s="482">
        <f>DL1116</f>
        <v>1.0000102070419816</v>
      </c>
      <c r="DN1116" s="463"/>
      <c r="DO1116" s="463"/>
      <c r="DP1116" s="482">
        <f>DM1116</f>
        <v>1.0000102070419816</v>
      </c>
      <c r="DQ1116" s="482">
        <f>DP1116</f>
        <v>1.0000102070419816</v>
      </c>
      <c r="DR1116" s="463"/>
      <c r="DS1116" s="463"/>
      <c r="DT1116" s="1"/>
      <c r="DU1116" s="1"/>
      <c r="DV1116" s="1"/>
      <c r="DW1116" s="1"/>
      <c r="DX1116" s="1"/>
      <c r="DY1116" s="1"/>
      <c r="DZ1116" s="1"/>
      <c r="EA1116" s="1"/>
      <c r="EB1116" s="1"/>
      <c r="EC1116" s="1"/>
      <c r="ED1116" s="1"/>
      <c r="EE1116" s="1"/>
      <c r="EF1116" s="1"/>
      <c r="EG1116" s="1"/>
      <c r="EH1116" s="1"/>
      <c r="EI1116" s="1"/>
      <c r="EJ1116" s="1"/>
      <c r="EK1116" s="1"/>
      <c r="EL1116" s="1"/>
      <c r="EM1116" s="1"/>
      <c r="EN1116" s="1"/>
      <c r="EO1116" s="1"/>
      <c r="EP1116" s="1"/>
      <c r="EQ1116" s="1"/>
      <c r="ER1116" s="1"/>
      <c r="ES1116" s="1"/>
      <c r="ET1116" s="1"/>
      <c r="EU1116" s="1"/>
      <c r="EV1116" s="1"/>
      <c r="EW1116" s="1"/>
      <c r="EX1116" s="1"/>
      <c r="EY1116" s="1"/>
      <c r="EZ1116" s="1"/>
      <c r="FA1116" s="1"/>
      <c r="FB1116" s="1"/>
      <c r="FC1116" s="1"/>
      <c r="FD1116" s="1"/>
      <c r="FE1116" s="1"/>
      <c r="FF1116" s="1"/>
      <c r="FG1116" s="1"/>
      <c r="FH1116" s="1"/>
      <c r="FI1116" s="1"/>
      <c r="FJ1116" s="1"/>
      <c r="FK1116" s="1"/>
      <c r="FL1116" s="1"/>
      <c r="FM1116" s="1"/>
      <c r="FN1116" s="1"/>
      <c r="FO1116" s="1"/>
      <c r="FP1116" s="1"/>
      <c r="FQ1116" s="1"/>
      <c r="FR1116" s="1"/>
      <c r="FS1116" s="1"/>
      <c r="FT1116" s="1"/>
      <c r="FU1116" s="1"/>
      <c r="FV1116" s="1"/>
      <c r="FW1116" s="1"/>
      <c r="FX1116" s="1"/>
      <c r="FY1116" s="1"/>
      <c r="FZ1116" s="1"/>
      <c r="GA1116" s="1"/>
      <c r="GB1116" s="1"/>
      <c r="GC1116" s="1"/>
      <c r="GD1116" s="1"/>
      <c r="GE1116" s="1"/>
      <c r="GF1116" s="1"/>
      <c r="GG1116" s="1"/>
      <c r="GH1116" s="1"/>
      <c r="GI1116" s="1"/>
      <c r="GJ1116" s="1"/>
      <c r="GK1116" s="1"/>
      <c r="GL1116" s="1"/>
      <c r="GM1116" s="1"/>
      <c r="GN1116" s="1"/>
      <c r="GO1116" s="1"/>
      <c r="GP1116" s="1"/>
      <c r="GQ1116" s="1"/>
      <c r="GR1116" s="1"/>
      <c r="GS1116" s="1"/>
      <c r="GT1116" s="1"/>
      <c r="GU1116" s="1"/>
      <c r="GV1116" s="1"/>
      <c r="GW1116" s="1"/>
      <c r="GX1116" s="1"/>
      <c r="GY1116" s="1"/>
      <c r="GZ1116" s="1"/>
      <c r="HA1116" s="1"/>
      <c r="HB1116" s="1"/>
      <c r="HC1116" s="1"/>
      <c r="HD1116" s="1"/>
      <c r="HE1116" s="1"/>
      <c r="HF1116" s="1"/>
      <c r="HG1116" s="1"/>
      <c r="HH1116" s="1"/>
      <c r="HI1116" s="1"/>
      <c r="HJ1116" s="1"/>
      <c r="HK1116" s="1"/>
      <c r="HL1116" s="1"/>
      <c r="HM1116" s="1"/>
      <c r="HN1116" s="1"/>
      <c r="HO1116" s="1"/>
      <c r="HP1116" s="1"/>
      <c r="HQ1116" s="1"/>
      <c r="HR1116" s="1"/>
      <c r="HS1116" s="1"/>
      <c r="HT1116" s="1"/>
      <c r="HU1116" s="1"/>
      <c r="HV1116" s="1"/>
      <c r="HW1116" s="1"/>
      <c r="HX1116" s="1"/>
      <c r="HY1116" s="1"/>
      <c r="HZ1116" s="1"/>
      <c r="IA1116" s="1"/>
      <c r="IB1116" s="1"/>
      <c r="IC1116" s="1"/>
      <c r="ID1116" s="1"/>
      <c r="IE1116" s="1"/>
      <c r="IF1116" s="1"/>
      <c r="IG1116" s="1"/>
      <c r="IH1116" s="1"/>
      <c r="II1116" s="1"/>
      <c r="IJ1116" s="1"/>
      <c r="IK1116" s="1"/>
      <c r="IL1116" s="1"/>
      <c r="IM1116" s="1"/>
      <c r="IN1116" s="1"/>
      <c r="IO1116" s="1"/>
      <c r="IP1116" s="1"/>
      <c r="IQ1116" s="1"/>
      <c r="IR1116" s="1"/>
      <c r="IS1116" s="1"/>
      <c r="IT1116" s="1"/>
      <c r="IU1116" s="1"/>
      <c r="IV1116" s="1"/>
      <c r="IW1116" s="1"/>
      <c r="IX1116" s="1"/>
      <c r="IY1116" s="1"/>
      <c r="IZ1116" s="1"/>
      <c r="JA1116" s="1"/>
      <c r="JB1116" s="1"/>
      <c r="JC1116" s="1"/>
      <c r="JD1116" s="1"/>
    </row>
    <row r="1117" spans="1:264" s="347" customFormat="1" x14ac:dyDescent="0.2">
      <c r="A1117" s="347" t="s">
        <v>756</v>
      </c>
      <c r="B1117" s="348"/>
      <c r="BD1117" s="398"/>
      <c r="BE1117" s="398"/>
      <c r="BF1117" s="398"/>
      <c r="BG1117" s="398"/>
      <c r="BH1117" s="398">
        <v>1596</v>
      </c>
      <c r="BI1117" s="398">
        <v>1606</v>
      </c>
      <c r="BJ1117" s="398">
        <v>1601</v>
      </c>
      <c r="BK1117" s="398"/>
      <c r="BL1117" s="398">
        <v>1609</v>
      </c>
      <c r="BM1117" s="398">
        <v>1614</v>
      </c>
      <c r="BN1117" s="398">
        <v>1611.2</v>
      </c>
      <c r="BO1117" s="351"/>
      <c r="BP1117" s="398">
        <v>1619</v>
      </c>
      <c r="BQ1117" s="398">
        <v>1621.5</v>
      </c>
      <c r="BR1117" s="398">
        <v>1620</v>
      </c>
      <c r="BT1117" s="398">
        <v>1678</v>
      </c>
      <c r="BU1117" s="398">
        <v>1709</v>
      </c>
      <c r="BV1117" s="398">
        <v>1693</v>
      </c>
      <c r="BX1117" s="398">
        <v>1717.5</v>
      </c>
      <c r="BY1117" s="398">
        <v>1724.5</v>
      </c>
      <c r="BZ1117" s="398">
        <v>1721</v>
      </c>
      <c r="CB1117" s="398">
        <v>1739.5</v>
      </c>
      <c r="CC1117" s="398">
        <v>1754</v>
      </c>
      <c r="CD1117" s="398">
        <v>1747</v>
      </c>
      <c r="CF1117" s="398">
        <v>1763</v>
      </c>
      <c r="CG1117" s="398">
        <v>1769</v>
      </c>
      <c r="CH1117" s="398">
        <v>1766</v>
      </c>
      <c r="CJ1117" s="398">
        <v>1769</v>
      </c>
      <c r="CK1117" s="398">
        <v>1769</v>
      </c>
      <c r="CL1117" s="398">
        <v>1769</v>
      </c>
      <c r="CN1117" s="398">
        <v>1770</v>
      </c>
      <c r="CO1117" s="398">
        <v>1772</v>
      </c>
      <c r="CP1117" s="398">
        <v>1771</v>
      </c>
      <c r="CR1117" s="398">
        <v>1740</v>
      </c>
      <c r="CS1117" s="398">
        <v>1704</v>
      </c>
      <c r="CT1117" s="398">
        <v>1722</v>
      </c>
      <c r="CV1117" s="398">
        <v>1695</v>
      </c>
      <c r="CW1117" s="398">
        <v>1685</v>
      </c>
      <c r="CX1117" s="398">
        <v>1690</v>
      </c>
      <c r="CZ1117" s="398">
        <v>1674</v>
      </c>
      <c r="DA1117" s="398">
        <v>1673</v>
      </c>
      <c r="DB1117" s="398">
        <v>1673</v>
      </c>
      <c r="DD1117" s="398">
        <v>1672</v>
      </c>
      <c r="DE1117" s="398">
        <v>1672</v>
      </c>
      <c r="DF1117" s="398">
        <v>1672</v>
      </c>
      <c r="DH1117" s="398">
        <v>1672</v>
      </c>
      <c r="DI1117" s="351">
        <f>+DI1115*DI1116</f>
        <v>1672.1407894370291</v>
      </c>
      <c r="DJ1117" s="351">
        <f>AVERAGE(DH1117:DI1117)</f>
        <v>1672.0703947185145</v>
      </c>
      <c r="DL1117" s="351">
        <f ca="1">+DL1115*DL1116</f>
        <v>1672.1407894370291</v>
      </c>
      <c r="DM1117" s="351">
        <f ca="1">+DM1115*DM1116</f>
        <v>1672.1407894370291</v>
      </c>
      <c r="DN1117" s="351">
        <f ca="1">AVERAGE(DL1117:DM1117)</f>
        <v>1672.1407894370291</v>
      </c>
      <c r="DP1117" s="351">
        <f ca="1">+DP1115*DP1116</f>
        <v>1672.1407894370291</v>
      </c>
      <c r="DQ1117" s="351">
        <f ca="1">+DQ1115*DQ1116</f>
        <v>1672.1407894370291</v>
      </c>
      <c r="DR1117" s="351">
        <f ca="1">AVERAGE(DP1117:DQ1117)</f>
        <v>1672.1407894370291</v>
      </c>
    </row>
    <row r="1118" spans="1:264" s="347" customFormat="1" x14ac:dyDescent="0.2">
      <c r="A1118" s="463" t="s">
        <v>757</v>
      </c>
      <c r="B1118" s="466"/>
      <c r="C1118" s="463"/>
      <c r="D1118" s="463"/>
      <c r="E1118" s="463"/>
      <c r="F1118" s="463"/>
      <c r="G1118" s="463"/>
      <c r="H1118" s="463"/>
      <c r="I1118" s="463"/>
      <c r="J1118" s="463"/>
      <c r="K1118" s="463"/>
      <c r="L1118" s="463"/>
      <c r="M1118" s="463"/>
      <c r="N1118" s="463"/>
      <c r="O1118" s="463"/>
      <c r="P1118" s="463"/>
      <c r="Q1118" s="463"/>
      <c r="R1118" s="463"/>
      <c r="S1118" s="463"/>
      <c r="T1118" s="463"/>
      <c r="U1118" s="463"/>
      <c r="V1118" s="463"/>
      <c r="W1118" s="463"/>
      <c r="X1118" s="463"/>
      <c r="Y1118" s="463"/>
      <c r="Z1118" s="463"/>
      <c r="AA1118" s="463"/>
      <c r="AB1118" s="463"/>
      <c r="AC1118" s="463"/>
      <c r="AD1118" s="463"/>
      <c r="AE1118" s="463"/>
      <c r="AF1118" s="463"/>
      <c r="AG1118" s="463"/>
      <c r="AH1118" s="463"/>
      <c r="AI1118" s="463"/>
      <c r="AJ1118" s="463"/>
      <c r="AK1118" s="463"/>
      <c r="AL1118" s="463"/>
      <c r="AM1118" s="463"/>
      <c r="AN1118" s="463"/>
      <c r="AO1118" s="463"/>
      <c r="AP1118" s="463"/>
      <c r="AQ1118" s="463"/>
      <c r="AR1118" s="463"/>
      <c r="AS1118" s="463"/>
      <c r="AT1118" s="463"/>
      <c r="AU1118" s="463"/>
      <c r="AV1118" s="463"/>
      <c r="AW1118" s="463"/>
      <c r="AX1118" s="463"/>
      <c r="AY1118" s="463"/>
      <c r="AZ1118" s="463"/>
      <c r="BA1118" s="463"/>
      <c r="BB1118" s="463"/>
      <c r="BC1118" s="463"/>
      <c r="BD1118" s="464"/>
      <c r="BE1118" s="464"/>
      <c r="BF1118" s="464"/>
      <c r="BG1118" s="464"/>
      <c r="BH1118" s="464">
        <v>0</v>
      </c>
      <c r="BI1118" s="464">
        <v>0</v>
      </c>
      <c r="BJ1118" s="464">
        <v>0</v>
      </c>
      <c r="BK1118" s="464"/>
      <c r="BL1118" s="464">
        <v>0</v>
      </c>
      <c r="BM1118" s="464">
        <v>0</v>
      </c>
      <c r="BN1118" s="464">
        <v>0</v>
      </c>
      <c r="BO1118" s="485"/>
      <c r="BP1118" s="464">
        <v>0</v>
      </c>
      <c r="BQ1118" s="464">
        <v>0</v>
      </c>
      <c r="BR1118" s="464">
        <v>0</v>
      </c>
      <c r="BS1118" s="463"/>
      <c r="BT1118" s="464">
        <v>0</v>
      </c>
      <c r="BU1118" s="464">
        <v>0</v>
      </c>
      <c r="BV1118" s="464">
        <v>0</v>
      </c>
      <c r="BW1118" s="463"/>
      <c r="BX1118" s="464">
        <v>0</v>
      </c>
      <c r="BY1118" s="464">
        <v>0</v>
      </c>
      <c r="BZ1118" s="464">
        <v>0</v>
      </c>
      <c r="CA1118" s="463"/>
      <c r="CB1118" s="464">
        <v>0</v>
      </c>
      <c r="CC1118" s="464">
        <v>0</v>
      </c>
      <c r="CD1118" s="464">
        <v>0</v>
      </c>
      <c r="CE1118" s="463"/>
      <c r="CF1118" s="464">
        <v>0</v>
      </c>
      <c r="CG1118" s="464">
        <v>0</v>
      </c>
      <c r="CH1118" s="464">
        <v>0</v>
      </c>
      <c r="CI1118" s="463"/>
      <c r="CJ1118" s="464">
        <v>0</v>
      </c>
      <c r="CK1118" s="464">
        <v>0</v>
      </c>
      <c r="CL1118" s="464">
        <v>0</v>
      </c>
      <c r="CM1118" s="463"/>
      <c r="CN1118" s="464">
        <v>0</v>
      </c>
      <c r="CO1118" s="464">
        <v>0</v>
      </c>
      <c r="CP1118" s="464">
        <v>0</v>
      </c>
      <c r="CQ1118" s="463"/>
      <c r="CR1118" s="464">
        <v>0</v>
      </c>
      <c r="CS1118" s="464">
        <v>0</v>
      </c>
      <c r="CT1118" s="464">
        <v>0</v>
      </c>
      <c r="CU1118" s="463"/>
      <c r="CV1118" s="464">
        <v>0</v>
      </c>
      <c r="CW1118" s="464">
        <v>0</v>
      </c>
      <c r="CX1118" s="464">
        <v>0</v>
      </c>
      <c r="CY1118" s="463"/>
      <c r="CZ1118" s="464">
        <v>0</v>
      </c>
      <c r="DA1118" s="464">
        <v>0</v>
      </c>
      <c r="DB1118" s="464">
        <v>0</v>
      </c>
      <c r="DC1118" s="463"/>
      <c r="DD1118" s="464">
        <v>0</v>
      </c>
      <c r="DE1118" s="464">
        <v>0</v>
      </c>
      <c r="DF1118" s="464">
        <v>0</v>
      </c>
      <c r="DG1118" s="463"/>
      <c r="DH1118" s="464">
        <v>0</v>
      </c>
      <c r="DI1118" s="514">
        <v>0</v>
      </c>
      <c r="DJ1118" s="485">
        <f>AVERAGE(DH1118:DI1118)</f>
        <v>0</v>
      </c>
      <c r="DK1118" s="463"/>
      <c r="DL1118" s="514">
        <v>0</v>
      </c>
      <c r="DM1118" s="514">
        <v>0</v>
      </c>
      <c r="DN1118" s="485">
        <f>AVERAGE(DL1118:DM1118)</f>
        <v>0</v>
      </c>
      <c r="DO1118" s="463"/>
      <c r="DP1118" s="514">
        <v>0</v>
      </c>
      <c r="DQ1118" s="514">
        <v>0</v>
      </c>
      <c r="DR1118" s="485">
        <f>AVERAGE(DP1118:DQ1118)</f>
        <v>0</v>
      </c>
      <c r="DS1118" s="463"/>
    </row>
    <row r="1119" spans="1:264" s="347" customFormat="1" x14ac:dyDescent="0.2">
      <c r="A1119" s="463" t="s">
        <v>758</v>
      </c>
      <c r="B1119" s="466"/>
      <c r="C1119" s="463"/>
      <c r="D1119" s="463"/>
      <c r="E1119" s="463"/>
      <c r="F1119" s="463"/>
      <c r="G1119" s="463"/>
      <c r="H1119" s="463"/>
      <c r="I1119" s="463"/>
      <c r="J1119" s="463"/>
      <c r="K1119" s="463"/>
      <c r="L1119" s="463"/>
      <c r="M1119" s="463"/>
      <c r="N1119" s="463"/>
      <c r="O1119" s="463"/>
      <c r="P1119" s="463"/>
      <c r="Q1119" s="463"/>
      <c r="R1119" s="463"/>
      <c r="S1119" s="463"/>
      <c r="T1119" s="463"/>
      <c r="U1119" s="463"/>
      <c r="V1119" s="463"/>
      <c r="W1119" s="463"/>
      <c r="X1119" s="463"/>
      <c r="Y1119" s="463"/>
      <c r="Z1119" s="463"/>
      <c r="AA1119" s="463"/>
      <c r="AB1119" s="463"/>
      <c r="AC1119" s="463"/>
      <c r="AD1119" s="463"/>
      <c r="AE1119" s="463"/>
      <c r="AF1119" s="463"/>
      <c r="AG1119" s="463"/>
      <c r="AH1119" s="463"/>
      <c r="AI1119" s="463"/>
      <c r="AJ1119" s="463"/>
      <c r="AK1119" s="463"/>
      <c r="AL1119" s="463"/>
      <c r="AM1119" s="463"/>
      <c r="AN1119" s="463"/>
      <c r="AO1119" s="463"/>
      <c r="AP1119" s="463"/>
      <c r="AQ1119" s="463"/>
      <c r="AR1119" s="463"/>
      <c r="AS1119" s="463"/>
      <c r="AT1119" s="463"/>
      <c r="AU1119" s="463"/>
      <c r="AV1119" s="463"/>
      <c r="AW1119" s="463"/>
      <c r="AX1119" s="463"/>
      <c r="AY1119" s="463"/>
      <c r="AZ1119" s="463"/>
      <c r="BA1119" s="463"/>
      <c r="BB1119" s="463"/>
      <c r="BC1119" s="463"/>
      <c r="BD1119" s="464"/>
      <c r="BE1119" s="464"/>
      <c r="BF1119" s="464"/>
      <c r="BG1119" s="464"/>
      <c r="BH1119" s="464">
        <v>93</v>
      </c>
      <c r="BI1119" s="464">
        <v>89</v>
      </c>
      <c r="BJ1119" s="464">
        <v>88</v>
      </c>
      <c r="BK1119" s="464"/>
      <c r="BL1119" s="464">
        <v>79</v>
      </c>
      <c r="BM1119" s="464">
        <f>14+25+25+8+1</f>
        <v>73</v>
      </c>
      <c r="BN1119" s="464">
        <f>14+25+25+8+1</f>
        <v>73</v>
      </c>
      <c r="BO1119" s="485"/>
      <c r="BP1119" s="464">
        <v>83</v>
      </c>
      <c r="BQ1119" s="464">
        <v>86</v>
      </c>
      <c r="BR1119" s="464">
        <v>119.5</v>
      </c>
      <c r="BS1119" s="463"/>
      <c r="BT1119" s="464">
        <v>77</v>
      </c>
      <c r="BU1119" s="464">
        <f>8+25+37+9+3</f>
        <v>82</v>
      </c>
      <c r="BV1119" s="464">
        <f>11+24+37+4+3</f>
        <v>79</v>
      </c>
      <c r="BW1119" s="463"/>
      <c r="BX1119" s="464">
        <v>91</v>
      </c>
      <c r="BY1119" s="464">
        <v>93</v>
      </c>
      <c r="BZ1119" s="464">
        <v>96</v>
      </c>
      <c r="CA1119" s="463"/>
      <c r="CB1119" s="464">
        <v>103</v>
      </c>
      <c r="CC1119" s="464">
        <v>113</v>
      </c>
      <c r="CD1119" s="464">
        <v>106</v>
      </c>
      <c r="CE1119" s="463"/>
      <c r="CF1119" s="464">
        <v>136</v>
      </c>
      <c r="CG1119" s="464">
        <v>132</v>
      </c>
      <c r="CH1119" s="464">
        <v>132</v>
      </c>
      <c r="CI1119" s="463"/>
      <c r="CJ1119" s="464">
        <v>119</v>
      </c>
      <c r="CK1119" s="464">
        <v>137</v>
      </c>
      <c r="CL1119" s="464">
        <v>127</v>
      </c>
      <c r="CM1119" s="463"/>
      <c r="CN1119" s="464">
        <v>160</v>
      </c>
      <c r="CO1119" s="464">
        <v>140</v>
      </c>
      <c r="CP1119" s="464">
        <v>163</v>
      </c>
      <c r="CQ1119" s="463"/>
      <c r="CR1119" s="464">
        <v>114</v>
      </c>
      <c r="CS1119" s="464">
        <v>110</v>
      </c>
      <c r="CT1119" s="464">
        <v>111</v>
      </c>
      <c r="CU1119" s="463"/>
      <c r="CV1119" s="464">
        <v>116</v>
      </c>
      <c r="CW1119" s="464">
        <v>93</v>
      </c>
      <c r="CX1119" s="464">
        <v>110</v>
      </c>
      <c r="CY1119" s="463"/>
      <c r="CZ1119" s="464">
        <v>114</v>
      </c>
      <c r="DA1119" s="464">
        <v>98</v>
      </c>
      <c r="DB1119" s="464">
        <v>111</v>
      </c>
      <c r="DC1119" s="463"/>
      <c r="DD1119" s="464">
        <v>2</v>
      </c>
      <c r="DE1119" s="464">
        <v>3</v>
      </c>
      <c r="DF1119" s="464">
        <v>3</v>
      </c>
      <c r="DG1119" s="463"/>
      <c r="DH1119" s="464">
        <v>2</v>
      </c>
      <c r="DI1119" s="514">
        <f>DH1119</f>
        <v>2</v>
      </c>
      <c r="DJ1119" s="485">
        <f>AVERAGE(DH1119:DI1119)</f>
        <v>2</v>
      </c>
      <c r="DK1119" s="463"/>
      <c r="DL1119" s="514">
        <f>DI1119</f>
        <v>2</v>
      </c>
      <c r="DM1119" s="514">
        <f>DL1119</f>
        <v>2</v>
      </c>
      <c r="DN1119" s="485">
        <f>AVERAGE(DL1119:DM1119)</f>
        <v>2</v>
      </c>
      <c r="DO1119" s="463"/>
      <c r="DP1119" s="514">
        <f>DM1119</f>
        <v>2</v>
      </c>
      <c r="DQ1119" s="514">
        <f>DP1119</f>
        <v>2</v>
      </c>
      <c r="DR1119" s="485">
        <f>AVERAGE(DP1119:DQ1119)</f>
        <v>2</v>
      </c>
      <c r="DS1119" s="463"/>
    </row>
    <row r="1120" spans="1:264" s="411" customFormat="1" x14ac:dyDescent="0.2">
      <c r="A1120" s="411" t="s">
        <v>759</v>
      </c>
      <c r="B1120" s="423"/>
      <c r="BD1120" s="397"/>
      <c r="BE1120" s="397"/>
      <c r="BF1120" s="397"/>
      <c r="BG1120" s="397"/>
      <c r="BH1120" s="397">
        <f>SUM(BH1117:BH1119)</f>
        <v>1689</v>
      </c>
      <c r="BI1120" s="397">
        <f>SUM(BI1117:BI1119)</f>
        <v>1695</v>
      </c>
      <c r="BJ1120" s="397">
        <f>SUM(BJ1117:BJ1119)</f>
        <v>1689</v>
      </c>
      <c r="BK1120" s="397"/>
      <c r="BL1120" s="397">
        <f>SUM(BL1117:BL1119)</f>
        <v>1688</v>
      </c>
      <c r="BM1120" s="397">
        <f>SUM(BM1117:BM1119)</f>
        <v>1687</v>
      </c>
      <c r="BN1120" s="397">
        <f>SUM(BN1117:BN1119)</f>
        <v>1684.2</v>
      </c>
      <c r="BO1120" s="397"/>
      <c r="BP1120" s="397">
        <f>SUM(BP1117:BP1119)</f>
        <v>1702</v>
      </c>
      <c r="BQ1120" s="397">
        <f>SUM(BQ1117:BQ1119)</f>
        <v>1707.5</v>
      </c>
      <c r="BR1120" s="397">
        <f>SUM(BR1117:BR1119)</f>
        <v>1739.5</v>
      </c>
      <c r="BT1120" s="397">
        <f>SUM(BT1117:BT1119)</f>
        <v>1755</v>
      </c>
      <c r="BU1120" s="397">
        <f>SUM(BU1117:BU1119)</f>
        <v>1791</v>
      </c>
      <c r="BV1120" s="397">
        <f>SUM(BV1117:BV1119)</f>
        <v>1772</v>
      </c>
      <c r="BX1120" s="397">
        <f>SUM(BX1117:BX1119)</f>
        <v>1808.5</v>
      </c>
      <c r="BY1120" s="397">
        <f>SUM(BY1117:BY1119)</f>
        <v>1817.5</v>
      </c>
      <c r="BZ1120" s="397">
        <f>SUM(BZ1117:BZ1119)</f>
        <v>1817</v>
      </c>
      <c r="CB1120" s="397">
        <f>SUM(CB1117:CB1119)</f>
        <v>1842.5</v>
      </c>
      <c r="CC1120" s="397">
        <f>SUM(CC1117:CC1119)</f>
        <v>1867</v>
      </c>
      <c r="CD1120" s="397">
        <f>SUM(CD1117:CD1119)</f>
        <v>1853</v>
      </c>
      <c r="CF1120" s="397">
        <f>SUM(CF1117:CF1119)</f>
        <v>1899</v>
      </c>
      <c r="CG1120" s="397">
        <f>SUM(CG1117:CG1119)</f>
        <v>1901</v>
      </c>
      <c r="CH1120" s="397">
        <f>SUM(CH1117:CH1119)</f>
        <v>1898</v>
      </c>
      <c r="CJ1120" s="397">
        <f>SUM(CJ1117:CJ1119)</f>
        <v>1888</v>
      </c>
      <c r="CK1120" s="397">
        <f>SUM(CK1117:CK1119)</f>
        <v>1906</v>
      </c>
      <c r="CL1120" s="397">
        <f>SUM(CL1117:CL1119)</f>
        <v>1896</v>
      </c>
      <c r="CN1120" s="397">
        <f>SUM(CN1117:CN1119)</f>
        <v>1930</v>
      </c>
      <c r="CO1120" s="397">
        <f>SUM(CO1117:CO1119)</f>
        <v>1912</v>
      </c>
      <c r="CP1120" s="397">
        <f>SUM(CP1117:CP1119)</f>
        <v>1934</v>
      </c>
      <c r="CR1120" s="397">
        <f>SUM(CR1117:CR1119)</f>
        <v>1854</v>
      </c>
      <c r="CS1120" s="397">
        <f>SUM(CS1117:CS1119)</f>
        <v>1814</v>
      </c>
      <c r="CT1120" s="397">
        <f>SUM(CT1117:CT1119)</f>
        <v>1833</v>
      </c>
      <c r="CV1120" s="397">
        <f>SUM(CV1117:CV1119)</f>
        <v>1811</v>
      </c>
      <c r="CW1120" s="397">
        <f>SUM(CW1117:CW1119)</f>
        <v>1778</v>
      </c>
      <c r="CX1120" s="397">
        <f>SUM(CX1117:CX1119)</f>
        <v>1800</v>
      </c>
      <c r="CZ1120" s="397">
        <f>SUM(CZ1117:CZ1119)</f>
        <v>1788</v>
      </c>
      <c r="DA1120" s="397">
        <f>SUM(DA1117:DA1119)</f>
        <v>1771</v>
      </c>
      <c r="DB1120" s="397">
        <f>SUM(DB1117:DB1119)</f>
        <v>1784</v>
      </c>
      <c r="DD1120" s="397">
        <f>SUM(DD1117:DD1119)</f>
        <v>1674</v>
      </c>
      <c r="DE1120" s="397">
        <f>SUM(DE1117:DE1119)</f>
        <v>1675</v>
      </c>
      <c r="DF1120" s="397">
        <f>SUM(DF1117:DF1119)</f>
        <v>1675</v>
      </c>
      <c r="DH1120" s="397">
        <f>SUM(DH1117:DH1119)</f>
        <v>1674</v>
      </c>
      <c r="DI1120" s="397">
        <f>SUM(DI1117:DI1119)</f>
        <v>1674.1407894370291</v>
      </c>
      <c r="DJ1120" s="397">
        <f>SUM(DJ1117:DJ1119)</f>
        <v>1674.0703947185145</v>
      </c>
      <c r="DL1120" s="397">
        <f ca="1">SUM(DL1117:DL1119)</f>
        <v>1674.1407894370291</v>
      </c>
      <c r="DM1120" s="397">
        <f ca="1">SUM(DM1117:DM1119)</f>
        <v>1674.1407894370291</v>
      </c>
      <c r="DN1120" s="397">
        <f ca="1">SUM(DN1117:DN1119)</f>
        <v>1674.1407894370291</v>
      </c>
      <c r="DP1120" s="397">
        <f ca="1">SUM(DP1117:DP1119)</f>
        <v>1674.1407894370291</v>
      </c>
      <c r="DQ1120" s="397">
        <f ca="1">SUM(DQ1117:DQ1119)</f>
        <v>1674.1407894370291</v>
      </c>
      <c r="DR1120" s="397">
        <f ca="1">SUM(DR1117:DR1119)</f>
        <v>1674.1407894370291</v>
      </c>
    </row>
    <row r="1121" spans="1:123" s="347" customFormat="1" x14ac:dyDescent="0.2">
      <c r="B1121" s="348"/>
      <c r="BH1121" s="348"/>
      <c r="BI1121" s="348"/>
      <c r="BJ1121" s="348"/>
      <c r="BK1121" s="348"/>
      <c r="BL1121" s="348"/>
      <c r="BM1121" s="348"/>
      <c r="BN1121" s="348"/>
      <c r="BO1121" s="348"/>
      <c r="BP1121" s="348"/>
      <c r="BQ1121" s="348"/>
      <c r="BR1121" s="348"/>
      <c r="BT1121" s="348"/>
      <c r="BU1121" s="348"/>
      <c r="BV1121" s="348"/>
      <c r="BX1121" s="348"/>
      <c r="CB1121" s="348"/>
      <c r="CF1121" s="348"/>
      <c r="CJ1121" s="348"/>
      <c r="CN1121" s="348"/>
      <c r="CR1121" s="348"/>
      <c r="CV1121" s="348"/>
      <c r="CZ1121" s="348"/>
      <c r="DD1121" s="348"/>
      <c r="DH1121" s="348"/>
      <c r="DL1121" s="348"/>
      <c r="DP1121" s="348"/>
    </row>
    <row r="1122" spans="1:123" s="347" customFormat="1" x14ac:dyDescent="0.2">
      <c r="A1122" s="411" t="s">
        <v>760</v>
      </c>
      <c r="B1122" s="348"/>
      <c r="BH1122" s="351">
        <f>BH44</f>
        <v>3730</v>
      </c>
      <c r="BI1122" s="351">
        <f>BI44</f>
        <v>3990</v>
      </c>
      <c r="BJ1122" s="351">
        <f>BJ44</f>
        <v>7720</v>
      </c>
      <c r="BK1122" s="348"/>
      <c r="BL1122" s="351">
        <f>BL44</f>
        <v>4245</v>
      </c>
      <c r="BM1122" s="351">
        <f>BM44</f>
        <v>4390</v>
      </c>
      <c r="BN1122" s="351">
        <f>BN44</f>
        <v>8635</v>
      </c>
      <c r="BO1122" s="348"/>
      <c r="BP1122" s="351">
        <f>BP44</f>
        <v>4595</v>
      </c>
      <c r="BQ1122" s="351">
        <f>BQ44</f>
        <v>4490</v>
      </c>
      <c r="BR1122" s="351">
        <f>BR44</f>
        <v>9085</v>
      </c>
      <c r="BT1122" s="351">
        <f>BT44</f>
        <v>4776</v>
      </c>
      <c r="BU1122" s="351">
        <f>BU44</f>
        <v>4619</v>
      </c>
      <c r="BV1122" s="351">
        <f>BV44</f>
        <v>9395</v>
      </c>
      <c r="BX1122" s="351">
        <f>BX44</f>
        <v>4828</v>
      </c>
      <c r="BY1122" s="351">
        <f>BY44</f>
        <v>4868</v>
      </c>
      <c r="BZ1122" s="351">
        <f>BZ44</f>
        <v>9696</v>
      </c>
      <c r="CB1122" s="351">
        <f>CB44</f>
        <v>4598</v>
      </c>
      <c r="CC1122" s="351">
        <f>CC44</f>
        <v>4317</v>
      </c>
      <c r="CD1122" s="351">
        <f>CD44</f>
        <v>8915</v>
      </c>
      <c r="CF1122" s="351">
        <f>CF44</f>
        <v>4550</v>
      </c>
      <c r="CG1122" s="351">
        <f>CG44</f>
        <v>3671</v>
      </c>
      <c r="CH1122" s="351">
        <f>CH44</f>
        <v>8221</v>
      </c>
      <c r="CJ1122" s="351">
        <f>CJ44</f>
        <v>4320</v>
      </c>
      <c r="CK1122" s="351">
        <f>CK44</f>
        <v>2905</v>
      </c>
      <c r="CL1122" s="351">
        <f>CL44</f>
        <v>7225</v>
      </c>
      <c r="CN1122" s="351">
        <f>CN44</f>
        <v>3868</v>
      </c>
      <c r="CO1122" s="351">
        <f>CO44</f>
        <v>4785</v>
      </c>
      <c r="CP1122" s="351">
        <f>CP44</f>
        <v>8653</v>
      </c>
      <c r="CR1122" s="351">
        <f>CR44</f>
        <v>4746</v>
      </c>
      <c r="CS1122" s="351">
        <f>CS44</f>
        <v>4849</v>
      </c>
      <c r="CT1122" s="351">
        <f>CT44</f>
        <v>9595</v>
      </c>
      <c r="CV1122" s="351">
        <f>CV44</f>
        <v>5180</v>
      </c>
      <c r="CW1122" s="351">
        <f>CW44</f>
        <v>4892</v>
      </c>
      <c r="CX1122" s="351">
        <f>CX44</f>
        <v>10072</v>
      </c>
      <c r="CZ1122" s="351">
        <f>CZ44</f>
        <v>5019</v>
      </c>
      <c r="DA1122" s="351">
        <f>DA44</f>
        <v>4817</v>
      </c>
      <c r="DB1122" s="351">
        <f>DB44</f>
        <v>9836</v>
      </c>
      <c r="DD1122" s="351">
        <f>DD44</f>
        <v>5132</v>
      </c>
      <c r="DE1122" s="351">
        <f>DE44</f>
        <v>5120</v>
      </c>
      <c r="DF1122" s="351">
        <f>DF44</f>
        <v>10252</v>
      </c>
      <c r="DH1122" s="351">
        <f>DH44</f>
        <v>5445</v>
      </c>
      <c r="DI1122" s="351">
        <f>DI44</f>
        <v>5624.6533908786996</v>
      </c>
      <c r="DJ1122" s="351">
        <f>DJ44</f>
        <v>11069.653390878699</v>
      </c>
      <c r="DL1122" s="351">
        <f>DL44</f>
        <v>5925.752202661316</v>
      </c>
      <c r="DM1122" s="351">
        <f>DM44</f>
        <v>5875.5559828987753</v>
      </c>
      <c r="DN1122" s="351">
        <f>DN44</f>
        <v>11801.308185560092</v>
      </c>
      <c r="DP1122" s="351">
        <f>DP44</f>
        <v>6138.004567935679</v>
      </c>
      <c r="DQ1122" s="351">
        <f>DQ44</f>
        <v>6120.7022288395801</v>
      </c>
      <c r="DR1122" s="351">
        <f>DR44</f>
        <v>12258.706796775259</v>
      </c>
    </row>
    <row r="1123" spans="1:123" s="347" customFormat="1" x14ac:dyDescent="0.2">
      <c r="A1123" s="411" t="s">
        <v>56</v>
      </c>
      <c r="B1123" s="348"/>
      <c r="BH1123" s="351">
        <f>BH38</f>
        <v>3750</v>
      </c>
      <c r="BI1123" s="351">
        <f>BI38</f>
        <v>4010</v>
      </c>
      <c r="BJ1123" s="351">
        <f>BJ38</f>
        <v>7760</v>
      </c>
      <c r="BK1123" s="348"/>
      <c r="BL1123" s="351">
        <f>BL38</f>
        <v>4268</v>
      </c>
      <c r="BM1123" s="351">
        <f>BM38</f>
        <v>4412</v>
      </c>
      <c r="BN1123" s="351">
        <f>BN38</f>
        <v>8680</v>
      </c>
      <c r="BO1123" s="348"/>
      <c r="BP1123" s="351">
        <f>BP38</f>
        <v>4619</v>
      </c>
      <c r="BQ1123" s="351">
        <f>BQ38</f>
        <v>4518</v>
      </c>
      <c r="BR1123" s="351">
        <f>BR38</f>
        <v>9137</v>
      </c>
      <c r="BT1123" s="351">
        <f>BT38</f>
        <v>4808</v>
      </c>
      <c r="BU1123" s="351">
        <f>BU38</f>
        <v>4637</v>
      </c>
      <c r="BV1123" s="351">
        <f>BV38</f>
        <v>9445</v>
      </c>
      <c r="BX1123" s="351">
        <f>BX38</f>
        <v>4907</v>
      </c>
      <c r="BY1123" s="351">
        <f>BY38</f>
        <v>4974</v>
      </c>
      <c r="BZ1123" s="351">
        <f>BZ38</f>
        <v>9881</v>
      </c>
      <c r="CB1123" s="351">
        <f>CB38</f>
        <v>4871</v>
      </c>
      <c r="CC1123" s="351">
        <f>CC38</f>
        <v>4541</v>
      </c>
      <c r="CD1123" s="351">
        <f>CD38</f>
        <v>9412</v>
      </c>
      <c r="CF1123" s="351">
        <f>CF38</f>
        <v>4811</v>
      </c>
      <c r="CG1123" s="351">
        <f>CG38</f>
        <v>3895</v>
      </c>
      <c r="CH1123" s="351">
        <f>CH38</f>
        <v>8706</v>
      </c>
      <c r="CJ1123" s="351">
        <f>CJ38</f>
        <v>4472</v>
      </c>
      <c r="CK1123" s="351">
        <f>CK38</f>
        <v>2935</v>
      </c>
      <c r="CL1123" s="351">
        <f>CL38</f>
        <v>7407</v>
      </c>
      <c r="CN1123" s="351">
        <f>CN38</f>
        <v>3967</v>
      </c>
      <c r="CO1123" s="351">
        <f>CO38</f>
        <v>4834</v>
      </c>
      <c r="CP1123" s="351">
        <f>CP38</f>
        <v>8801</v>
      </c>
      <c r="CR1123" s="351">
        <f>CR38</f>
        <v>4846</v>
      </c>
      <c r="CS1123" s="351">
        <f>CS38</f>
        <v>4862</v>
      </c>
      <c r="CT1123" s="351">
        <f>CT38</f>
        <v>9708</v>
      </c>
      <c r="CV1123" s="351">
        <f>CV38</f>
        <v>5190</v>
      </c>
      <c r="CW1123" s="351">
        <f>CW38</f>
        <v>4900</v>
      </c>
      <c r="CX1123" s="351">
        <f>CX38</f>
        <v>10090</v>
      </c>
      <c r="CZ1123" s="351">
        <f>CZ38</f>
        <v>5025</v>
      </c>
      <c r="DA1123" s="351">
        <f>DA38</f>
        <v>4822</v>
      </c>
      <c r="DB1123" s="351">
        <f>DB38</f>
        <v>9847</v>
      </c>
      <c r="DD1123" s="351">
        <f>DD38</f>
        <v>5133</v>
      </c>
      <c r="DE1123" s="351">
        <f>DE38</f>
        <v>5120</v>
      </c>
      <c r="DF1123" s="351">
        <f>DF38</f>
        <v>10253</v>
      </c>
      <c r="DH1123" s="351">
        <f>DH38</f>
        <v>5445</v>
      </c>
      <c r="DI1123" s="351">
        <f>DI38</f>
        <v>5624.6533908786996</v>
      </c>
      <c r="DJ1123" s="351">
        <f>DJ38</f>
        <v>11069.653390878699</v>
      </c>
      <c r="DL1123" s="351">
        <f>DL38</f>
        <v>5925.752202661316</v>
      </c>
      <c r="DM1123" s="351">
        <f>DM38</f>
        <v>5875.5559828987753</v>
      </c>
      <c r="DN1123" s="351">
        <f>DN38</f>
        <v>11801.308185560092</v>
      </c>
      <c r="DP1123" s="351">
        <f>DP38</f>
        <v>6138.004567935679</v>
      </c>
      <c r="DQ1123" s="351">
        <f>DQ38</f>
        <v>6120.7022288395801</v>
      </c>
      <c r="DR1123" s="351">
        <f>DR38</f>
        <v>12258.706796775259</v>
      </c>
    </row>
    <row r="1124" spans="1:123" s="347" customFormat="1" x14ac:dyDescent="0.2">
      <c r="A1124" s="463" t="s">
        <v>761</v>
      </c>
      <c r="B1124" s="466"/>
      <c r="C1124" s="463"/>
      <c r="D1124" s="463"/>
      <c r="E1124" s="463"/>
      <c r="F1124" s="463"/>
      <c r="G1124" s="463"/>
      <c r="H1124" s="463"/>
      <c r="I1124" s="463"/>
      <c r="J1124" s="463"/>
      <c r="K1124" s="463"/>
      <c r="L1124" s="463"/>
      <c r="M1124" s="463"/>
      <c r="N1124" s="463"/>
      <c r="O1124" s="463"/>
      <c r="P1124" s="463"/>
      <c r="Q1124" s="463"/>
      <c r="R1124" s="463"/>
      <c r="S1124" s="463"/>
      <c r="T1124" s="463"/>
      <c r="U1124" s="463"/>
      <c r="V1124" s="463"/>
      <c r="W1124" s="463"/>
      <c r="X1124" s="463"/>
      <c r="Y1124" s="463"/>
      <c r="Z1124" s="463"/>
      <c r="AA1124" s="463"/>
      <c r="AB1124" s="463"/>
      <c r="AC1124" s="463"/>
      <c r="AD1124" s="463"/>
      <c r="AE1124" s="463"/>
      <c r="AF1124" s="463"/>
      <c r="AG1124" s="463"/>
      <c r="AH1124" s="463"/>
      <c r="AI1124" s="463"/>
      <c r="AJ1124" s="463"/>
      <c r="AK1124" s="463"/>
      <c r="AL1124" s="463"/>
      <c r="AM1124" s="463"/>
      <c r="AN1124" s="463"/>
      <c r="AO1124" s="463"/>
      <c r="AP1124" s="463"/>
      <c r="AQ1124" s="463"/>
      <c r="AR1124" s="463"/>
      <c r="AS1124" s="463"/>
      <c r="AT1124" s="463"/>
      <c r="AU1124" s="463"/>
      <c r="AV1124" s="463"/>
      <c r="AW1124" s="463"/>
      <c r="AX1124" s="463"/>
      <c r="AY1124" s="463"/>
      <c r="AZ1124" s="463"/>
      <c r="BA1124" s="463"/>
      <c r="BB1124" s="463"/>
      <c r="BC1124" s="463"/>
      <c r="BD1124" s="464"/>
      <c r="BE1124" s="464"/>
      <c r="BF1124" s="464"/>
      <c r="BG1124" s="464"/>
      <c r="BH1124" s="464">
        <v>95</v>
      </c>
      <c r="BI1124" s="464">
        <v>98</v>
      </c>
      <c r="BJ1124" s="485">
        <f>+BI1124+BH1124</f>
        <v>193</v>
      </c>
      <c r="BK1124" s="464"/>
      <c r="BL1124" s="464">
        <f>17+33+33+13</f>
        <v>96</v>
      </c>
      <c r="BM1124" s="464">
        <f>17+33+32+12</f>
        <v>94</v>
      </c>
      <c r="BN1124" s="485">
        <f>+BM1124+BL1124</f>
        <v>190</v>
      </c>
      <c r="BO1124" s="485"/>
      <c r="BP1124" s="464">
        <v>113</v>
      </c>
      <c r="BQ1124" s="464">
        <v>112</v>
      </c>
      <c r="BR1124" s="485">
        <f>+BQ1124+BP1124</f>
        <v>225</v>
      </c>
      <c r="BS1124" s="463"/>
      <c r="BT1124" s="464">
        <v>93</v>
      </c>
      <c r="BU1124" s="464">
        <f>6+44+38+14</f>
        <v>102</v>
      </c>
      <c r="BV1124" s="485">
        <f>+BU1124+BT1124</f>
        <v>195</v>
      </c>
      <c r="BW1124" s="463"/>
      <c r="BX1124" s="464">
        <v>104</v>
      </c>
      <c r="BY1124" s="464">
        <v>114</v>
      </c>
      <c r="BZ1124" s="485">
        <f>+BY1124+BX1124</f>
        <v>218</v>
      </c>
      <c r="CA1124" s="463"/>
      <c r="CB1124" s="464">
        <v>126</v>
      </c>
      <c r="CC1124" s="464">
        <v>141</v>
      </c>
      <c r="CD1124" s="485">
        <f>+CC1124+CB1124</f>
        <v>267</v>
      </c>
      <c r="CE1124" s="463"/>
      <c r="CF1124" s="464">
        <v>167</v>
      </c>
      <c r="CG1124" s="464">
        <v>156</v>
      </c>
      <c r="CH1124" s="485">
        <f>+CG1124+CF1124</f>
        <v>323</v>
      </c>
      <c r="CI1124" s="463"/>
      <c r="CJ1124" s="448">
        <v>144</v>
      </c>
      <c r="CK1124" s="464">
        <v>146</v>
      </c>
      <c r="CL1124" s="485">
        <f>+CK1124+CJ1124</f>
        <v>290</v>
      </c>
      <c r="CM1124" s="463"/>
      <c r="CN1124" s="448">
        <v>128</v>
      </c>
      <c r="CO1124" s="464">
        <v>132</v>
      </c>
      <c r="CP1124" s="485">
        <f>+CO1124+CN1124</f>
        <v>260</v>
      </c>
      <c r="CQ1124" s="463"/>
      <c r="CR1124" s="448">
        <v>131</v>
      </c>
      <c r="CS1124" s="464">
        <v>121</v>
      </c>
      <c r="CT1124" s="485">
        <f>+CS1124+CR1124</f>
        <v>252</v>
      </c>
      <c r="CU1124" s="463"/>
      <c r="CV1124" s="448">
        <v>193</v>
      </c>
      <c r="CW1124" s="464">
        <v>225</v>
      </c>
      <c r="CX1124" s="485">
        <f>+CW1124+CV1124</f>
        <v>418</v>
      </c>
      <c r="CY1124" s="463"/>
      <c r="CZ1124" s="448">
        <v>286</v>
      </c>
      <c r="DA1124" s="464">
        <v>273</v>
      </c>
      <c r="DB1124" s="485">
        <f>+DA1124+CZ1124</f>
        <v>559</v>
      </c>
      <c r="DC1124" s="463"/>
      <c r="DD1124" s="448">
        <v>0</v>
      </c>
      <c r="DE1124" s="464">
        <v>0</v>
      </c>
      <c r="DF1124" s="485">
        <f>+DE1124+DD1124</f>
        <v>0</v>
      </c>
      <c r="DG1124" s="463"/>
      <c r="DH1124" s="448">
        <v>0</v>
      </c>
      <c r="DI1124" s="514">
        <f>DH1124</f>
        <v>0</v>
      </c>
      <c r="DJ1124" s="485">
        <f>+DI1124+DH1124</f>
        <v>0</v>
      </c>
      <c r="DK1124" s="463"/>
      <c r="DL1124" s="514">
        <f>DI1124</f>
        <v>0</v>
      </c>
      <c r="DM1124" s="514">
        <f>DL1124</f>
        <v>0</v>
      </c>
      <c r="DN1124" s="485">
        <f>+DM1124+DL1124</f>
        <v>0</v>
      </c>
      <c r="DO1124" s="463"/>
      <c r="DP1124" s="514">
        <f>DM1124</f>
        <v>0</v>
      </c>
      <c r="DQ1124" s="514">
        <f>DP1124</f>
        <v>0</v>
      </c>
      <c r="DR1124" s="485">
        <f>+DQ1124+DP1124</f>
        <v>0</v>
      </c>
      <c r="DS1124" s="463"/>
    </row>
    <row r="1125" spans="1:123" s="411" customFormat="1" x14ac:dyDescent="0.2">
      <c r="A1125" s="411" t="s">
        <v>762</v>
      </c>
      <c r="B1125" s="423"/>
      <c r="BH1125" s="397">
        <f>SUM(BH1123:BH1124)</f>
        <v>3845</v>
      </c>
      <c r="BI1125" s="397">
        <f>SUM(BI1123:BI1124)</f>
        <v>4108</v>
      </c>
      <c r="BJ1125" s="397">
        <f>SUM(BJ1123:BJ1124)</f>
        <v>7953</v>
      </c>
      <c r="BK1125" s="423"/>
      <c r="BL1125" s="397">
        <f>SUM(BL1123:BL1124)</f>
        <v>4364</v>
      </c>
      <c r="BM1125" s="397">
        <f>SUM(BM1123:BM1124)</f>
        <v>4506</v>
      </c>
      <c r="BN1125" s="397">
        <f>SUM(BN1123:BN1124)</f>
        <v>8870</v>
      </c>
      <c r="BO1125" s="423"/>
      <c r="BP1125" s="397">
        <f>SUM(BP1123:BP1124)</f>
        <v>4732</v>
      </c>
      <c r="BQ1125" s="397">
        <f>SUM(BQ1123:BQ1124)</f>
        <v>4630</v>
      </c>
      <c r="BR1125" s="397">
        <f>SUM(BR1123:BR1124)</f>
        <v>9362</v>
      </c>
      <c r="BT1125" s="397">
        <f>SUM(BT1123:BT1124)</f>
        <v>4901</v>
      </c>
      <c r="BU1125" s="397">
        <f>SUM(BU1123:BU1124)</f>
        <v>4739</v>
      </c>
      <c r="BV1125" s="397">
        <f>SUM(BV1123:BV1124)</f>
        <v>9640</v>
      </c>
      <c r="BX1125" s="397">
        <f>SUM(BX1123:BX1124)</f>
        <v>5011</v>
      </c>
      <c r="BY1125" s="397">
        <f>SUM(BY1123:BY1124)</f>
        <v>5088</v>
      </c>
      <c r="BZ1125" s="397">
        <f>SUM(BZ1123:BZ1124)</f>
        <v>10099</v>
      </c>
      <c r="CB1125" s="397">
        <f>SUM(CB1123:CB1124)</f>
        <v>4997</v>
      </c>
      <c r="CC1125" s="397">
        <f>SUM(CC1123:CC1124)</f>
        <v>4682</v>
      </c>
      <c r="CD1125" s="397">
        <f>SUM(CD1123:CD1124)</f>
        <v>9679</v>
      </c>
      <c r="CF1125" s="397">
        <f>SUM(CF1123:CF1124)</f>
        <v>4978</v>
      </c>
      <c r="CG1125" s="397">
        <f>SUM(CG1123:CG1124)</f>
        <v>4051</v>
      </c>
      <c r="CH1125" s="397">
        <f>SUM(CH1123:CH1124)</f>
        <v>9029</v>
      </c>
      <c r="CJ1125" s="397">
        <f>SUM(CJ1123:CJ1124)</f>
        <v>4616</v>
      </c>
      <c r="CK1125" s="397">
        <f>SUM(CK1123:CK1124)</f>
        <v>3081</v>
      </c>
      <c r="CL1125" s="397">
        <f>SUM(CL1123:CL1124)</f>
        <v>7697</v>
      </c>
      <c r="CN1125" s="397">
        <f>SUM(CN1123:CN1124)</f>
        <v>4095</v>
      </c>
      <c r="CO1125" s="397">
        <f>SUM(CO1123:CO1124)</f>
        <v>4966</v>
      </c>
      <c r="CP1125" s="397">
        <f>SUM(CP1123:CP1124)</f>
        <v>9061</v>
      </c>
      <c r="CR1125" s="397">
        <f>SUM(CR1123:CR1124)</f>
        <v>4977</v>
      </c>
      <c r="CS1125" s="397">
        <f>SUM(CS1123:CS1124)</f>
        <v>4983</v>
      </c>
      <c r="CT1125" s="397">
        <f>SUM(CT1123:CT1124)</f>
        <v>9960</v>
      </c>
      <c r="CV1125" s="397">
        <f>SUM(CV1123:CV1124)</f>
        <v>5383</v>
      </c>
      <c r="CW1125" s="397">
        <f>SUM(CW1123:CW1124)</f>
        <v>5125</v>
      </c>
      <c r="CX1125" s="397">
        <f>SUM(CX1123:CX1124)</f>
        <v>10508</v>
      </c>
      <c r="CZ1125" s="397">
        <f>SUM(CZ1123:CZ1124)</f>
        <v>5311</v>
      </c>
      <c r="DA1125" s="397">
        <f>SUM(DA1123:DA1124)</f>
        <v>5095</v>
      </c>
      <c r="DB1125" s="397">
        <f>SUM(DB1123:DB1124)</f>
        <v>10406</v>
      </c>
      <c r="DD1125" s="397">
        <f>SUM(DD1123:DD1124)</f>
        <v>5133</v>
      </c>
      <c r="DE1125" s="397">
        <f>SUM(DE1123:DE1124)</f>
        <v>5120</v>
      </c>
      <c r="DF1125" s="397">
        <f>SUM(DF1123:DF1124)</f>
        <v>10253</v>
      </c>
      <c r="DH1125" s="397">
        <f>SUM(DH1123:DH1124)</f>
        <v>5445</v>
      </c>
      <c r="DI1125" s="397">
        <f>SUM(DI1123:DI1124)</f>
        <v>5624.6533908786996</v>
      </c>
      <c r="DJ1125" s="397">
        <f>SUM(DJ1123:DJ1124)</f>
        <v>11069.653390878699</v>
      </c>
      <c r="DL1125" s="397">
        <f>SUM(DL1123:DL1124)</f>
        <v>5925.752202661316</v>
      </c>
      <c r="DM1125" s="397">
        <f>SUM(DM1123:DM1124)</f>
        <v>5875.5559828987753</v>
      </c>
      <c r="DN1125" s="397">
        <f>SUM(DN1123:DN1124)</f>
        <v>11801.308185560092</v>
      </c>
      <c r="DP1125" s="397">
        <f>SUM(DP1123:DP1124)</f>
        <v>6138.004567935679</v>
      </c>
      <c r="DQ1125" s="397">
        <f>SUM(DQ1123:DQ1124)</f>
        <v>6120.7022288395801</v>
      </c>
      <c r="DR1125" s="397">
        <f>SUM(DR1123:DR1124)</f>
        <v>12258.706796775259</v>
      </c>
    </row>
    <row r="1126" spans="1:123" s="347" customFormat="1" x14ac:dyDescent="0.2">
      <c r="B1126" s="348"/>
      <c r="BH1126" s="348"/>
      <c r="BI1126" s="348"/>
      <c r="BJ1126" s="348"/>
      <c r="BK1126" s="348"/>
      <c r="BL1126" s="348"/>
      <c r="BM1126" s="348"/>
      <c r="BN1126" s="348"/>
      <c r="BO1126" s="348"/>
      <c r="BP1126" s="348"/>
      <c r="BQ1126" s="348"/>
      <c r="BR1126" s="348"/>
      <c r="BT1126" s="348"/>
      <c r="BU1126" s="348"/>
      <c r="BV1126" s="348"/>
      <c r="BX1126" s="348"/>
      <c r="CB1126" s="348"/>
      <c r="CF1126" s="348"/>
      <c r="CJ1126" s="348"/>
      <c r="CN1126" s="348"/>
      <c r="CR1126" s="348"/>
      <c r="CV1126" s="348"/>
      <c r="CZ1126" s="348"/>
      <c r="DD1126" s="348"/>
      <c r="DH1126" s="348"/>
      <c r="DL1126" s="348"/>
      <c r="DP1126" s="348"/>
    </row>
    <row r="1127" spans="1:123" s="347" customFormat="1" x14ac:dyDescent="0.2">
      <c r="A1127" s="347" t="s">
        <v>763</v>
      </c>
      <c r="B1127" s="348"/>
      <c r="BD1127" s="398"/>
      <c r="BE1127" s="398"/>
      <c r="BF1127" s="398"/>
      <c r="BG1127" s="398"/>
      <c r="BH1127" s="398">
        <v>1593</v>
      </c>
      <c r="BI1127" s="398">
        <v>1603</v>
      </c>
      <c r="BJ1127" s="351">
        <f>AVERAGE(BH1127:BI1127)</f>
        <v>1598</v>
      </c>
      <c r="BK1127" s="398"/>
      <c r="BL1127" s="398">
        <v>1606</v>
      </c>
      <c r="BM1127" s="398">
        <v>1610.8</v>
      </c>
      <c r="BN1127" s="398">
        <v>1608.4</v>
      </c>
      <c r="BO1127" s="351"/>
      <c r="BP1127" s="398">
        <v>1616</v>
      </c>
      <c r="BQ1127" s="398">
        <v>1619.5</v>
      </c>
      <c r="BR1127" s="398">
        <v>1617.8</v>
      </c>
      <c r="BT1127" s="398">
        <v>1676</v>
      </c>
      <c r="BU1127" s="398">
        <v>1707</v>
      </c>
      <c r="BV1127" s="398">
        <v>1692</v>
      </c>
      <c r="BX1127" s="398">
        <v>1716.4</v>
      </c>
      <c r="BY1127" s="398">
        <v>1723.5</v>
      </c>
      <c r="BZ1127" s="398">
        <v>1720</v>
      </c>
      <c r="CB1127" s="398">
        <v>1738.5</v>
      </c>
      <c r="CC1127" s="398">
        <v>1753</v>
      </c>
      <c r="CD1127" s="398">
        <v>1746</v>
      </c>
      <c r="CF1127" s="398">
        <v>1762</v>
      </c>
      <c r="CG1127" s="398">
        <v>1768</v>
      </c>
      <c r="CH1127" s="398">
        <v>1765</v>
      </c>
      <c r="CJ1127" s="398">
        <v>1768.6</v>
      </c>
      <c r="CK1127" s="398">
        <v>1769</v>
      </c>
      <c r="CL1127" s="398">
        <v>1768</v>
      </c>
      <c r="CN1127" s="398">
        <v>1770</v>
      </c>
      <c r="CO1127" s="398">
        <v>1772</v>
      </c>
      <c r="CP1127" s="398">
        <v>1771</v>
      </c>
      <c r="CR1127" s="398">
        <v>1740</v>
      </c>
      <c r="CS1127" s="398">
        <v>1704</v>
      </c>
      <c r="CT1127" s="398">
        <v>1722</v>
      </c>
      <c r="CV1127" s="398">
        <v>1695</v>
      </c>
      <c r="CW1127" s="398">
        <v>1685</v>
      </c>
      <c r="CX1127" s="398">
        <v>1690</v>
      </c>
      <c r="CZ1127" s="398">
        <v>1674</v>
      </c>
      <c r="DA1127" s="398">
        <v>1673</v>
      </c>
      <c r="DB1127" s="398">
        <v>1673</v>
      </c>
      <c r="DD1127" s="398">
        <v>1672</v>
      </c>
      <c r="DE1127" s="398">
        <v>1672</v>
      </c>
      <c r="DF1127" s="398">
        <v>1672</v>
      </c>
      <c r="DH1127" s="398">
        <v>1672</v>
      </c>
      <c r="DI1127" s="351">
        <f>+DI1128*DI1117</f>
        <v>1672.1407894370291</v>
      </c>
      <c r="DJ1127" s="351">
        <f>AVERAGE(DH1127:DI1127)</f>
        <v>1672.0703947185145</v>
      </c>
      <c r="DL1127" s="351">
        <f ca="1">+DL1128*DL1117</f>
        <v>1672.1407894370291</v>
      </c>
      <c r="DM1127" s="351">
        <f ca="1">+DM1128*DM1117</f>
        <v>1672.1407894370291</v>
      </c>
      <c r="DN1127" s="351">
        <f ca="1">AVERAGE(DL1127:DM1127)</f>
        <v>1672.1407894370291</v>
      </c>
      <c r="DP1127" s="351">
        <f ca="1">+DP1128*DP1117</f>
        <v>1672.1407894370291</v>
      </c>
      <c r="DQ1127" s="351">
        <f ca="1">+DQ1128*DQ1117</f>
        <v>1672.1407894370291</v>
      </c>
      <c r="DR1127" s="351">
        <f ca="1">AVERAGE(DP1127:DQ1127)</f>
        <v>1672.1407894370291</v>
      </c>
    </row>
    <row r="1128" spans="1:123" s="347" customFormat="1" x14ac:dyDescent="0.2">
      <c r="A1128" s="436" t="s">
        <v>764</v>
      </c>
      <c r="B1128" s="466"/>
      <c r="C1128" s="463"/>
      <c r="D1128" s="463"/>
      <c r="E1128" s="463"/>
      <c r="F1128" s="463"/>
      <c r="G1128" s="463"/>
      <c r="H1128" s="463"/>
      <c r="I1128" s="463"/>
      <c r="J1128" s="463"/>
      <c r="K1128" s="463"/>
      <c r="L1128" s="463"/>
      <c r="M1128" s="463"/>
      <c r="N1128" s="463"/>
      <c r="O1128" s="463"/>
      <c r="P1128" s="463"/>
      <c r="Q1128" s="463"/>
      <c r="R1128" s="463"/>
      <c r="S1128" s="463"/>
      <c r="T1128" s="463"/>
      <c r="U1128" s="463"/>
      <c r="V1128" s="463"/>
      <c r="W1128" s="463"/>
      <c r="X1128" s="463"/>
      <c r="Y1128" s="463"/>
      <c r="Z1128" s="463"/>
      <c r="AA1128" s="463"/>
      <c r="AB1128" s="463"/>
      <c r="AC1128" s="463"/>
      <c r="AD1128" s="463"/>
      <c r="AE1128" s="463"/>
      <c r="AF1128" s="463"/>
      <c r="AG1128" s="463"/>
      <c r="AH1128" s="463"/>
      <c r="AI1128" s="463"/>
      <c r="AJ1128" s="463"/>
      <c r="AK1128" s="463"/>
      <c r="AL1128" s="463"/>
      <c r="AM1128" s="463"/>
      <c r="AN1128" s="463"/>
      <c r="AO1128" s="463"/>
      <c r="AP1128" s="463"/>
      <c r="AQ1128" s="463"/>
      <c r="AR1128" s="463"/>
      <c r="AS1128" s="463"/>
      <c r="AT1128" s="463"/>
      <c r="AU1128" s="463"/>
      <c r="AV1128" s="463"/>
      <c r="AW1128" s="463"/>
      <c r="AX1128" s="463"/>
      <c r="AY1128" s="463"/>
      <c r="AZ1128" s="463"/>
      <c r="BA1128" s="463"/>
      <c r="BB1128" s="463"/>
      <c r="BC1128" s="463"/>
      <c r="BD1128" s="463"/>
      <c r="BE1128" s="463"/>
      <c r="BF1128" s="463"/>
      <c r="BG1128" s="463"/>
      <c r="BH1128" s="465">
        <f>BH1127/BH1117</f>
        <v>0.99812030075187974</v>
      </c>
      <c r="BI1128" s="465">
        <f>BI1127/BI1117</f>
        <v>0.99813200498132004</v>
      </c>
      <c r="BJ1128" s="465">
        <f>BJ1127/BJ1117</f>
        <v>0.99812617114303559</v>
      </c>
      <c r="BK1128" s="466"/>
      <c r="BL1128" s="465">
        <f>BL1127/BL1117</f>
        <v>0.99813548788067119</v>
      </c>
      <c r="BM1128" s="465">
        <f>BM1127/BM1117</f>
        <v>0.99801734820322174</v>
      </c>
      <c r="BN1128" s="465">
        <f>BN1127/BN1117</f>
        <v>0.99826216484607744</v>
      </c>
      <c r="BO1128" s="466"/>
      <c r="BP1128" s="465">
        <f>BP1127/BP1117</f>
        <v>0.99814700432365655</v>
      </c>
      <c r="BQ1128" s="465">
        <f>BQ1127/BQ1117</f>
        <v>0.99876657415972869</v>
      </c>
      <c r="BR1128" s="465">
        <f>BR1127/BR1117</f>
        <v>0.99864197530864196</v>
      </c>
      <c r="BS1128" s="463"/>
      <c r="BT1128" s="465">
        <f>BT1127/BT1117</f>
        <v>0.99880810488676997</v>
      </c>
      <c r="BU1128" s="465">
        <f>BU1127/BU1117</f>
        <v>0.99882972498537159</v>
      </c>
      <c r="BV1128" s="465">
        <f>BV1127/BV1117</f>
        <v>0.99940933254577669</v>
      </c>
      <c r="BW1128" s="463"/>
      <c r="BX1128" s="465">
        <f>BX1127/BX1117</f>
        <v>0.99935953420669588</v>
      </c>
      <c r="BY1128" s="465">
        <f>BY1127/BY1117</f>
        <v>0.99942012177442741</v>
      </c>
      <c r="BZ1128" s="465">
        <f>BZ1127/BZ1117</f>
        <v>0.99941894247530505</v>
      </c>
      <c r="CA1128" s="463"/>
      <c r="CB1128" s="465">
        <f>CB1127/CB1117</f>
        <v>0.99942512216154067</v>
      </c>
      <c r="CC1128" s="465">
        <f>CC1127/CC1117</f>
        <v>0.99942987457240595</v>
      </c>
      <c r="CD1128" s="465">
        <f>CD1127/CD1117</f>
        <v>0.99942759015455063</v>
      </c>
      <c r="CE1128" s="463"/>
      <c r="CF1128" s="465">
        <f>CF1127/CF1117</f>
        <v>0.99943278502552468</v>
      </c>
      <c r="CG1128" s="465">
        <f>CG1127/CG1117</f>
        <v>0.99943470887507069</v>
      </c>
      <c r="CH1128" s="465">
        <f>CH1127/CH1117</f>
        <v>0.99943374858437151</v>
      </c>
      <c r="CI1128" s="463"/>
      <c r="CJ1128" s="465">
        <f>CJ1127/CJ1117</f>
        <v>0.99977388355002816</v>
      </c>
      <c r="CK1128" s="465">
        <f>CK1127/CK1117</f>
        <v>1</v>
      </c>
      <c r="CL1128" s="465">
        <f>CL1127/CL1117</f>
        <v>0.99943470887507069</v>
      </c>
      <c r="CM1128" s="463"/>
      <c r="CN1128" s="465">
        <f>CN1127/CN1117</f>
        <v>1</v>
      </c>
      <c r="CO1128" s="465">
        <f>CO1127/CO1117</f>
        <v>1</v>
      </c>
      <c r="CP1128" s="465">
        <f>CP1127/CP1117</f>
        <v>1</v>
      </c>
      <c r="CQ1128" s="463"/>
      <c r="CR1128" s="465">
        <f>CR1127/CR1117</f>
        <v>1</v>
      </c>
      <c r="CS1128" s="465">
        <f>CS1127/CS1117</f>
        <v>1</v>
      </c>
      <c r="CT1128" s="465">
        <f>CT1127/CT1117</f>
        <v>1</v>
      </c>
      <c r="CU1128" s="463"/>
      <c r="CV1128" s="465">
        <f>CV1127/CV1117</f>
        <v>1</v>
      </c>
      <c r="CW1128" s="465">
        <f>CW1127/CW1117</f>
        <v>1</v>
      </c>
      <c r="CX1128" s="465">
        <f>CX1127/CX1117</f>
        <v>1</v>
      </c>
      <c r="CY1128" s="463"/>
      <c r="CZ1128" s="465">
        <f>CZ1127/CZ1117</f>
        <v>1</v>
      </c>
      <c r="DA1128" s="465">
        <f>DA1127/DA1117</f>
        <v>1</v>
      </c>
      <c r="DB1128" s="465">
        <f>DB1127/DB1117</f>
        <v>1</v>
      </c>
      <c r="DC1128" s="463"/>
      <c r="DD1128" s="465">
        <f>DD1127/DD1117</f>
        <v>1</v>
      </c>
      <c r="DE1128" s="465">
        <f>DE1127/DE1117</f>
        <v>1</v>
      </c>
      <c r="DF1128" s="465">
        <f>DF1127/DF1117</f>
        <v>1</v>
      </c>
      <c r="DG1128" s="463"/>
      <c r="DH1128" s="465">
        <f>DH1127/DH1117</f>
        <v>1</v>
      </c>
      <c r="DI1128" s="482">
        <f>DH1128</f>
        <v>1</v>
      </c>
      <c r="DJ1128" s="463"/>
      <c r="DK1128" s="463"/>
      <c r="DL1128" s="482">
        <f>DI1128</f>
        <v>1</v>
      </c>
      <c r="DM1128" s="482">
        <f>DL1128</f>
        <v>1</v>
      </c>
      <c r="DN1128" s="463"/>
      <c r="DO1128" s="463"/>
      <c r="DP1128" s="482">
        <f>DM1128</f>
        <v>1</v>
      </c>
      <c r="DQ1128" s="482">
        <f>DP1128</f>
        <v>1</v>
      </c>
      <c r="DR1128" s="463"/>
      <c r="DS1128" s="463"/>
    </row>
    <row r="1129" spans="1:123" s="347" customFormat="1" x14ac:dyDescent="0.2">
      <c r="B1129" s="348"/>
      <c r="BH1129" s="348"/>
      <c r="BI1129" s="348"/>
      <c r="BJ1129" s="348"/>
      <c r="BK1129" s="348"/>
      <c r="BL1129" s="348"/>
      <c r="BM1129" s="348"/>
      <c r="BN1129" s="348"/>
      <c r="BO1129" s="348"/>
      <c r="BP1129" s="348"/>
      <c r="BQ1129" s="348"/>
      <c r="BR1129" s="348"/>
      <c r="BT1129" s="348"/>
      <c r="BU1129" s="348"/>
      <c r="BV1129" s="348"/>
      <c r="BX1129" s="348"/>
      <c r="CB1129" s="348"/>
      <c r="CF1129" s="348"/>
      <c r="CJ1129" s="348"/>
      <c r="CN1129" s="348"/>
      <c r="CR1129" s="348"/>
      <c r="CV1129" s="348"/>
      <c r="CZ1129" s="348"/>
      <c r="DD1129" s="348"/>
      <c r="DH1129" s="348"/>
      <c r="DL1129" s="348"/>
      <c r="DP1129" s="348"/>
    </row>
    <row r="1130" spans="1:123" s="347" customFormat="1" x14ac:dyDescent="0.2">
      <c r="A1130" s="411" t="s">
        <v>60</v>
      </c>
      <c r="B1130" s="348"/>
      <c r="BH1130" s="351">
        <f>BH40</f>
        <v>3631</v>
      </c>
      <c r="BI1130" s="351">
        <f>BI40</f>
        <v>3987</v>
      </c>
      <c r="BJ1130" s="351">
        <f>BJ40</f>
        <v>7618</v>
      </c>
      <c r="BK1130" s="348"/>
      <c r="BL1130" s="351">
        <f>BL40</f>
        <v>4207</v>
      </c>
      <c r="BM1130" s="351">
        <f>BM40</f>
        <v>4424</v>
      </c>
      <c r="BN1130" s="351">
        <f>BN40</f>
        <v>8631</v>
      </c>
      <c r="BO1130" s="348"/>
      <c r="BP1130" s="351">
        <f>BP40</f>
        <v>4531</v>
      </c>
      <c r="BQ1130" s="351">
        <f>BQ40</f>
        <v>4532</v>
      </c>
      <c r="BR1130" s="351">
        <f>BR40</f>
        <v>9063</v>
      </c>
      <c r="BT1130" s="351">
        <f>BT40</f>
        <v>4623</v>
      </c>
      <c r="BU1130" s="351">
        <f>BU40</f>
        <v>4600</v>
      </c>
      <c r="BV1130" s="351">
        <f>BV40</f>
        <v>9223</v>
      </c>
      <c r="BX1130" s="351">
        <f>BX40</f>
        <v>4895</v>
      </c>
      <c r="BY1130" s="351">
        <f>BY40</f>
        <v>5033</v>
      </c>
      <c r="BZ1130" s="351">
        <f>BZ40</f>
        <v>9928</v>
      </c>
      <c r="CB1130" s="351">
        <f>CB40</f>
        <v>4906</v>
      </c>
      <c r="CC1130" s="351">
        <f>CC40</f>
        <v>4423</v>
      </c>
      <c r="CD1130" s="351">
        <f>CD40</f>
        <v>9329</v>
      </c>
      <c r="CF1130" s="351">
        <f>CF40</f>
        <v>4642</v>
      </c>
      <c r="CG1130" s="351">
        <f>CG40</f>
        <v>3929</v>
      </c>
      <c r="CH1130" s="351">
        <f>CH40</f>
        <v>8571</v>
      </c>
      <c r="CJ1130" s="351">
        <f>CJ40</f>
        <v>6139</v>
      </c>
      <c r="CK1130" s="351">
        <f>CK40</f>
        <v>3453</v>
      </c>
      <c r="CL1130" s="351">
        <f>CL40</f>
        <v>9592</v>
      </c>
      <c r="CN1130" s="351">
        <f>CN40</f>
        <v>4869</v>
      </c>
      <c r="CO1130" s="351">
        <f>CO40</f>
        <v>5312</v>
      </c>
      <c r="CP1130" s="351">
        <f>CP40</f>
        <v>10181</v>
      </c>
      <c r="CR1130" s="351">
        <f>CR40</f>
        <v>5870</v>
      </c>
      <c r="CS1130" s="351">
        <f>CS40</f>
        <v>4901</v>
      </c>
      <c r="CT1130" s="351">
        <f>CT40</f>
        <v>10771</v>
      </c>
      <c r="CV1130" s="351">
        <f>CV40</f>
        <v>5172</v>
      </c>
      <c r="CW1130" s="351">
        <f>CW40</f>
        <v>4826</v>
      </c>
      <c r="CX1130" s="351">
        <f>CX40</f>
        <v>9998</v>
      </c>
      <c r="CZ1130" s="351">
        <f>CZ40</f>
        <v>4759</v>
      </c>
      <c r="DA1130" s="351">
        <f>DA40</f>
        <v>4635</v>
      </c>
      <c r="DB1130" s="351">
        <f>DB40</f>
        <v>9394</v>
      </c>
      <c r="DD1130" s="351">
        <f>DD40</f>
        <v>5134</v>
      </c>
      <c r="DE1130" s="351">
        <f>DE40</f>
        <v>4982</v>
      </c>
      <c r="DF1130" s="351">
        <f>DF40</f>
        <v>10116</v>
      </c>
      <c r="DH1130" s="351">
        <f>DH40</f>
        <v>5367</v>
      </c>
      <c r="DI1130" s="351">
        <f>DI40</f>
        <v>5624.6533908786996</v>
      </c>
      <c r="DJ1130" s="351">
        <f>DJ40</f>
        <v>10991.653390878699</v>
      </c>
      <c r="DL1130" s="351">
        <f>DL40</f>
        <v>5925.752202661316</v>
      </c>
      <c r="DM1130" s="351">
        <f>DM40</f>
        <v>5875.5559828987753</v>
      </c>
      <c r="DN1130" s="351">
        <f>DN40</f>
        <v>11801.308185560092</v>
      </c>
      <c r="DP1130" s="351">
        <f>DP40</f>
        <v>6138.004567935679</v>
      </c>
      <c r="DQ1130" s="351">
        <f>DQ40</f>
        <v>6120.7022288395801</v>
      </c>
      <c r="DR1130" s="351">
        <f>DR40</f>
        <v>12258.706796775259</v>
      </c>
    </row>
    <row r="1131" spans="1:123" s="347" customFormat="1" x14ac:dyDescent="0.2">
      <c r="A1131" s="391" t="s">
        <v>231</v>
      </c>
      <c r="B1131" s="348"/>
      <c r="BH1131" s="351">
        <f>BH43</f>
        <v>-20</v>
      </c>
      <c r="BI1131" s="351">
        <f>BI43</f>
        <v>-20</v>
      </c>
      <c r="BJ1131" s="351">
        <f>BJ43</f>
        <v>-40</v>
      </c>
      <c r="BK1131" s="348"/>
      <c r="BL1131" s="351">
        <f>BL43</f>
        <v>-23</v>
      </c>
      <c r="BM1131" s="351">
        <f>BM43</f>
        <v>-22</v>
      </c>
      <c r="BN1131" s="351">
        <f>BN43</f>
        <v>-45</v>
      </c>
      <c r="BO1131" s="348"/>
      <c r="BP1131" s="351">
        <f>BP43</f>
        <v>-24</v>
      </c>
      <c r="BQ1131" s="351">
        <f>BQ43</f>
        <v>-28</v>
      </c>
      <c r="BR1131" s="351">
        <f>BR43</f>
        <v>-52</v>
      </c>
      <c r="BT1131" s="351">
        <f>BT43</f>
        <v>-32</v>
      </c>
      <c r="BU1131" s="351">
        <f>BU43</f>
        <v>-18</v>
      </c>
      <c r="BV1131" s="351">
        <f>BV43</f>
        <v>-50</v>
      </c>
      <c r="BX1131" s="351">
        <f>BX43</f>
        <v>0</v>
      </c>
      <c r="BY1131" s="351">
        <f>BY43</f>
        <v>0</v>
      </c>
      <c r="BZ1131" s="351">
        <f>BZ43</f>
        <v>0</v>
      </c>
      <c r="CB1131" s="351">
        <f>CB43</f>
        <v>0</v>
      </c>
      <c r="CC1131" s="351">
        <f>CC43</f>
        <v>0</v>
      </c>
      <c r="CD1131" s="351">
        <f>CD43</f>
        <v>0</v>
      </c>
      <c r="CF1131" s="351">
        <f>CF43</f>
        <v>0</v>
      </c>
      <c r="CG1131" s="351">
        <f>CG43</f>
        <v>0</v>
      </c>
      <c r="CH1131" s="351">
        <f>CH43</f>
        <v>0</v>
      </c>
      <c r="CJ1131" s="351">
        <f>CJ43</f>
        <v>0</v>
      </c>
      <c r="CK1131" s="351">
        <f>CK43</f>
        <v>0</v>
      </c>
      <c r="CL1131" s="351">
        <f>CL43</f>
        <v>0</v>
      </c>
      <c r="CN1131" s="351">
        <f>CN43</f>
        <v>0</v>
      </c>
      <c r="CO1131" s="351">
        <f>CO43</f>
        <v>0</v>
      </c>
      <c r="CP1131" s="351">
        <f>CP43</f>
        <v>0</v>
      </c>
      <c r="CR1131" s="351">
        <f>CR43</f>
        <v>0</v>
      </c>
      <c r="CS1131" s="351">
        <f>CS43</f>
        <v>0</v>
      </c>
      <c r="CT1131" s="351">
        <f>CT43</f>
        <v>0</v>
      </c>
      <c r="CV1131" s="351">
        <f>CV43</f>
        <v>0</v>
      </c>
      <c r="CW1131" s="351">
        <f>CW43</f>
        <v>0</v>
      </c>
      <c r="CX1131" s="351">
        <f>CX43</f>
        <v>0</v>
      </c>
      <c r="CZ1131" s="351">
        <f>CZ43</f>
        <v>0</v>
      </c>
      <c r="DA1131" s="351">
        <f>DA43</f>
        <v>0</v>
      </c>
      <c r="DB1131" s="351">
        <f>DB43</f>
        <v>0</v>
      </c>
      <c r="DD1131" s="351">
        <f>DD43</f>
        <v>0</v>
      </c>
      <c r="DE1131" s="351">
        <f>DE43</f>
        <v>0</v>
      </c>
      <c r="DF1131" s="351">
        <f>DF43</f>
        <v>0</v>
      </c>
      <c r="DH1131" s="351">
        <f>DH43</f>
        <v>0</v>
      </c>
      <c r="DI1131" s="351">
        <f>DI43</f>
        <v>0</v>
      </c>
      <c r="DJ1131" s="351">
        <f>DJ43</f>
        <v>0</v>
      </c>
      <c r="DL1131" s="351">
        <f>DL43</f>
        <v>0</v>
      </c>
      <c r="DM1131" s="351">
        <f>DM43</f>
        <v>0</v>
      </c>
      <c r="DN1131" s="351">
        <f>DN43</f>
        <v>0</v>
      </c>
      <c r="DP1131" s="351">
        <f>DP43</f>
        <v>0</v>
      </c>
      <c r="DQ1131" s="351">
        <f>DQ43</f>
        <v>0</v>
      </c>
      <c r="DR1131" s="351">
        <f>DR43</f>
        <v>0</v>
      </c>
    </row>
    <row r="1132" spans="1:123" s="347" customFormat="1" x14ac:dyDescent="0.2">
      <c r="A1132" s="411" t="s">
        <v>765</v>
      </c>
      <c r="B1132" s="348"/>
      <c r="BH1132" s="397">
        <f>SUM(BH1130:BH1131)</f>
        <v>3611</v>
      </c>
      <c r="BI1132" s="397">
        <f>SUM(BI1130:BI1131)</f>
        <v>3967</v>
      </c>
      <c r="BJ1132" s="397">
        <f>SUM(BJ1130:BJ1131)</f>
        <v>7578</v>
      </c>
      <c r="BK1132" s="348"/>
      <c r="BL1132" s="397">
        <f>SUM(BL1130:BL1131)</f>
        <v>4184</v>
      </c>
      <c r="BM1132" s="397">
        <f>SUM(BM1130:BM1131)</f>
        <v>4402</v>
      </c>
      <c r="BN1132" s="397">
        <f>SUM(BN1130:BN1131)</f>
        <v>8586</v>
      </c>
      <c r="BO1132" s="348"/>
      <c r="BP1132" s="397">
        <f>SUM(BP1130:BP1131)</f>
        <v>4507</v>
      </c>
      <c r="BQ1132" s="397">
        <f>SUM(BQ1130:BQ1131)</f>
        <v>4504</v>
      </c>
      <c r="BR1132" s="397">
        <f>SUM(BR1130:BR1131)</f>
        <v>9011</v>
      </c>
      <c r="BT1132" s="397">
        <f>SUM(BT1130:BT1131)</f>
        <v>4591</v>
      </c>
      <c r="BU1132" s="397">
        <f>SUM(BU1130:BU1131)</f>
        <v>4582</v>
      </c>
      <c r="BV1132" s="397">
        <f>SUM(BV1130:BV1131)</f>
        <v>9173</v>
      </c>
      <c r="BX1132" s="397">
        <f>SUM(BX1130:BX1131)</f>
        <v>4895</v>
      </c>
      <c r="BY1132" s="397">
        <f>SUM(BY1130:BY1131)</f>
        <v>5033</v>
      </c>
      <c r="BZ1132" s="397">
        <f>SUM(BZ1130:BZ1131)</f>
        <v>9928</v>
      </c>
      <c r="CB1132" s="397">
        <f>SUM(CB1130:CB1131)</f>
        <v>4906</v>
      </c>
      <c r="CC1132" s="397">
        <f>SUM(CC1130:CC1131)</f>
        <v>4423</v>
      </c>
      <c r="CD1132" s="397">
        <f>SUM(CD1130:CD1131)</f>
        <v>9329</v>
      </c>
      <c r="CF1132" s="397">
        <f>SUM(CF1130:CF1131)</f>
        <v>4642</v>
      </c>
      <c r="CG1132" s="397">
        <f>SUM(CG1130:CG1131)</f>
        <v>3929</v>
      </c>
      <c r="CH1132" s="397">
        <f>SUM(CH1130:CH1131)</f>
        <v>8571</v>
      </c>
      <c r="CJ1132" s="397">
        <f>SUM(CJ1130:CJ1131)</f>
        <v>6139</v>
      </c>
      <c r="CK1132" s="397">
        <f>SUM(CK1130:CK1131)</f>
        <v>3453</v>
      </c>
      <c r="CL1132" s="397">
        <f>SUM(CL1130:CL1131)</f>
        <v>9592</v>
      </c>
      <c r="CN1132" s="397">
        <f>SUM(CN1130:CN1131)</f>
        <v>4869</v>
      </c>
      <c r="CO1132" s="397">
        <f>SUM(CO1130:CO1131)</f>
        <v>5312</v>
      </c>
      <c r="CP1132" s="397">
        <f>SUM(CP1130:CP1131)</f>
        <v>10181</v>
      </c>
      <c r="CR1132" s="397">
        <f>SUM(CR1130:CR1131)</f>
        <v>5870</v>
      </c>
      <c r="CS1132" s="397">
        <f>SUM(CS1130:CS1131)</f>
        <v>4901</v>
      </c>
      <c r="CT1132" s="397">
        <f>SUM(CT1130:CT1131)</f>
        <v>10771</v>
      </c>
      <c r="CV1132" s="397">
        <f>SUM(CV1130:CV1131)</f>
        <v>5172</v>
      </c>
      <c r="CW1132" s="397">
        <f>SUM(CW1130:CW1131)</f>
        <v>4826</v>
      </c>
      <c r="CX1132" s="397">
        <f>SUM(CX1130:CX1131)</f>
        <v>9998</v>
      </c>
      <c r="CZ1132" s="397">
        <f>SUM(CZ1130:CZ1131)</f>
        <v>4759</v>
      </c>
      <c r="DA1132" s="397">
        <f>SUM(DA1130:DA1131)</f>
        <v>4635</v>
      </c>
      <c r="DB1132" s="397">
        <f>SUM(DB1130:DB1131)</f>
        <v>9394</v>
      </c>
      <c r="DD1132" s="397">
        <f>SUM(DD1130:DD1131)</f>
        <v>5134</v>
      </c>
      <c r="DE1132" s="397">
        <f>SUM(DE1130:DE1131)</f>
        <v>4982</v>
      </c>
      <c r="DF1132" s="397">
        <f>SUM(DF1130:DF1131)</f>
        <v>10116</v>
      </c>
      <c r="DH1132" s="397">
        <f>SUM(DH1130:DH1131)</f>
        <v>5367</v>
      </c>
      <c r="DI1132" s="397">
        <f>SUM(DI1130:DI1131)</f>
        <v>5624.6533908786996</v>
      </c>
      <c r="DJ1132" s="397">
        <f>SUM(DJ1130:DJ1131)</f>
        <v>10991.653390878699</v>
      </c>
      <c r="DL1132" s="397">
        <f>SUM(DL1130:DL1131)</f>
        <v>5925.752202661316</v>
      </c>
      <c r="DM1132" s="397">
        <f>SUM(DM1130:DM1131)</f>
        <v>5875.5559828987753</v>
      </c>
      <c r="DN1132" s="397">
        <f>SUM(DN1130:DN1131)</f>
        <v>11801.308185560092</v>
      </c>
      <c r="DP1132" s="397">
        <f>SUM(DP1130:DP1131)</f>
        <v>6138.004567935679</v>
      </c>
      <c r="DQ1132" s="397">
        <f>SUM(DQ1130:DQ1131)</f>
        <v>6120.7022288395801</v>
      </c>
      <c r="DR1132" s="397">
        <f>SUM(DR1130:DR1131)</f>
        <v>12258.706796775259</v>
      </c>
    </row>
    <row r="1133" spans="1:123" s="347" customFormat="1" x14ac:dyDescent="0.2">
      <c r="B1133" s="348"/>
      <c r="BH1133" s="348"/>
      <c r="BI1133" s="348"/>
      <c r="BJ1133" s="348"/>
      <c r="BK1133" s="348"/>
      <c r="BL1133" s="348"/>
      <c r="BM1133" s="348"/>
      <c r="BN1133" s="348"/>
      <c r="BO1133" s="348"/>
      <c r="BP1133" s="348"/>
      <c r="BQ1133" s="348"/>
      <c r="BR1133" s="348"/>
      <c r="BT1133" s="348"/>
      <c r="BU1133" s="348"/>
      <c r="BV1133" s="348"/>
      <c r="BX1133" s="348"/>
      <c r="BY1133" s="348"/>
      <c r="BZ1133" s="348"/>
      <c r="CB1133" s="348"/>
      <c r="CC1133" s="348"/>
      <c r="CD1133" s="348"/>
      <c r="CF1133" s="348"/>
      <c r="CG1133" s="348"/>
      <c r="CH1133" s="348"/>
      <c r="CJ1133" s="348"/>
      <c r="CK1133" s="348"/>
      <c r="CL1133" s="348"/>
      <c r="CN1133" s="348"/>
      <c r="CO1133" s="348"/>
      <c r="CP1133" s="348"/>
      <c r="CR1133" s="348"/>
      <c r="CS1133" s="348"/>
      <c r="CT1133" s="348"/>
      <c r="CV1133" s="348"/>
      <c r="CW1133" s="348"/>
      <c r="CX1133" s="348"/>
      <c r="CZ1133" s="348"/>
      <c r="DA1133" s="348"/>
      <c r="DB1133" s="348"/>
      <c r="DD1133" s="348"/>
      <c r="DE1133" s="348"/>
      <c r="DF1133" s="348"/>
      <c r="DH1133" s="348"/>
      <c r="DI1133" s="348"/>
      <c r="DJ1133" s="348"/>
      <c r="DL1133" s="348"/>
      <c r="DM1133" s="348"/>
      <c r="DN1133" s="348"/>
      <c r="DP1133" s="348"/>
      <c r="DQ1133" s="348"/>
      <c r="DR1133" s="348"/>
    </row>
    <row r="1134" spans="1:123" s="347" customFormat="1" x14ac:dyDescent="0.2">
      <c r="A1134" s="578" t="s">
        <v>766</v>
      </c>
      <c r="B1134" s="348"/>
      <c r="BH1134" s="348"/>
      <c r="BI1134" s="348"/>
      <c r="BJ1134" s="348"/>
      <c r="BK1134" s="348"/>
      <c r="BL1134" s="348"/>
      <c r="BM1134" s="348"/>
      <c r="BN1134" s="348"/>
      <c r="BO1134" s="348"/>
      <c r="BP1134" s="348"/>
      <c r="BQ1134" s="348"/>
      <c r="BR1134" s="348"/>
      <c r="BT1134" s="348"/>
      <c r="BU1134" s="348"/>
      <c r="BV1134" s="348"/>
      <c r="BX1134" s="348"/>
      <c r="BY1134" s="348"/>
      <c r="BZ1134" s="348"/>
      <c r="CB1134" s="348"/>
      <c r="CC1134" s="489"/>
      <c r="CD1134" s="348"/>
      <c r="CF1134" s="348"/>
      <c r="CG1134" s="489"/>
      <c r="CH1134" s="348"/>
      <c r="CJ1134" s="348"/>
      <c r="CK1134" s="489"/>
      <c r="CL1134" s="348"/>
      <c r="CN1134" s="348"/>
      <c r="CO1134" s="499"/>
      <c r="CP1134" s="348"/>
      <c r="CR1134" s="348"/>
      <c r="CS1134" s="499"/>
      <c r="CT1134" s="348"/>
      <c r="CV1134" s="348"/>
      <c r="CW1134" s="499"/>
      <c r="CX1134" s="348"/>
      <c r="CZ1134" s="348"/>
      <c r="DA1134" s="499"/>
      <c r="DB1134" s="348"/>
      <c r="DD1134" s="348"/>
      <c r="DE1134" s="499"/>
      <c r="DF1134" s="348"/>
      <c r="DH1134" s="348"/>
      <c r="DI1134" s="348"/>
      <c r="DJ1134" s="348"/>
      <c r="DL1134" s="348"/>
      <c r="DM1134" s="348"/>
      <c r="DN1134" s="348"/>
      <c r="DP1134" s="348"/>
      <c r="DQ1134" s="348"/>
      <c r="DR1134" s="348"/>
    </row>
    <row r="1135" spans="1:123" s="347" customFormat="1" x14ac:dyDescent="0.2">
      <c r="A1135" s="565" t="s">
        <v>756</v>
      </c>
      <c r="B1135" s="348"/>
      <c r="BH1135" s="779">
        <f>BH1117/BH$1139</f>
        <v>1604.6651952681366</v>
      </c>
      <c r="BI1135" s="779">
        <f>BI1117/BI$1139</f>
        <v>1614.7194884715709</v>
      </c>
      <c r="BJ1135" s="779">
        <f>BJ1117/BJ$1139</f>
        <v>1609.6923418698536</v>
      </c>
      <c r="BK1135" s="348"/>
      <c r="BL1135" s="779">
        <f>BL1117/BL$1139</f>
        <v>1617.7357764326014</v>
      </c>
      <c r="BM1135" s="779">
        <f>BM1117/BM$1139</f>
        <v>1622.7629230343184</v>
      </c>
      <c r="BN1135" s="779">
        <f>BN1117/BN$1139</f>
        <v>1619.947720937357</v>
      </c>
      <c r="BO1135" s="348"/>
      <c r="BP1135" s="779">
        <f>BP1117/BP$1139</f>
        <v>1627.7900696360357</v>
      </c>
      <c r="BQ1135" s="779">
        <f>BQ1117/BQ$1139</f>
        <v>1630.3036429368944</v>
      </c>
      <c r="BR1135" s="779">
        <f>BR1117/BR$1139</f>
        <v>1628.7954989563791</v>
      </c>
      <c r="BS1135" s="483">
        <f>BR1135/BN1135-1</f>
        <v>5.4617676266135451E-3</v>
      </c>
      <c r="BT1135" s="779">
        <f>BT1117/BT$1139</f>
        <v>1678</v>
      </c>
      <c r="BU1135" s="779">
        <f>BU1117/BU$1139</f>
        <v>1709</v>
      </c>
      <c r="BV1135" s="779">
        <f>BV1117/BV$1139</f>
        <v>1693</v>
      </c>
      <c r="BW1135" s="483">
        <f>BV1135/BR1135-1</f>
        <v>3.9418392968766591E-2</v>
      </c>
      <c r="BX1135" s="779">
        <f>BX1117/BX$1139</f>
        <v>1717.5</v>
      </c>
      <c r="BY1135" s="779">
        <f>BY1117/BY$1139</f>
        <v>1724.5</v>
      </c>
      <c r="BZ1135" s="779">
        <f>BZ1117/BZ$1139</f>
        <v>1721</v>
      </c>
      <c r="CA1135" s="483">
        <f>BZ1135/BV1135-1</f>
        <v>1.6538688718251704E-2</v>
      </c>
      <c r="CB1135" s="779">
        <f>CB1117/CB$1139</f>
        <v>1739.5</v>
      </c>
      <c r="CC1135" s="779">
        <f>CC1117/CC$1139</f>
        <v>1754</v>
      </c>
      <c r="CD1135" s="779">
        <f>CD1117/CD$1139</f>
        <v>1747</v>
      </c>
      <c r="CE1135" s="483">
        <f>CD1135/BZ1135-1</f>
        <v>1.510749564206848E-2</v>
      </c>
      <c r="CF1135" s="779">
        <f>CF1117/CF$1139</f>
        <v>1763</v>
      </c>
      <c r="CG1135" s="779">
        <f>CG1117/CG$1139</f>
        <v>1769</v>
      </c>
      <c r="CH1135" s="779">
        <f>CH1117/CH$1139</f>
        <v>1766</v>
      </c>
      <c r="CI1135" s="483">
        <f>CH1135/CD1135-1</f>
        <v>1.0875787063537423E-2</v>
      </c>
      <c r="CJ1135" s="779">
        <f>CJ1117/CJ$1139</f>
        <v>1769</v>
      </c>
      <c r="CK1135" s="779">
        <f>CK1117/CK$1139</f>
        <v>1769</v>
      </c>
      <c r="CL1135" s="779">
        <f>CL1117/CL$1139</f>
        <v>1769</v>
      </c>
      <c r="CM1135" s="483">
        <f>CL1135/CH1135-1</f>
        <v>1.6987542468855921E-3</v>
      </c>
      <c r="CN1135" s="779">
        <f>CN1117/CN$1139</f>
        <v>1770</v>
      </c>
      <c r="CO1135" s="779">
        <f>CO1117/CO$1139</f>
        <v>1772</v>
      </c>
      <c r="CP1135" s="779">
        <f>CP1117/CP$1139</f>
        <v>1771</v>
      </c>
      <c r="CQ1135" s="419">
        <f>CP1135/CL1135-1</f>
        <v>1.1305822498586249E-3</v>
      </c>
      <c r="CR1135" s="779">
        <f>CR1117/CR$1139</f>
        <v>1740</v>
      </c>
      <c r="CS1135" s="779">
        <f>CS1117/CS$1139</f>
        <v>1704</v>
      </c>
      <c r="CT1135" s="779">
        <f>CT1117/CT$1139</f>
        <v>1722</v>
      </c>
      <c r="CU1135" s="483">
        <f>CT1135/CP1135-1</f>
        <v>-2.7667984189723271E-2</v>
      </c>
      <c r="CV1135" s="779">
        <f>CV1117/CV$1139</f>
        <v>1695</v>
      </c>
      <c r="CW1135" s="779">
        <f>CW1117/CW$1139</f>
        <v>1685</v>
      </c>
      <c r="CX1135" s="779">
        <f>CX1117/CX$1139</f>
        <v>1690</v>
      </c>
      <c r="CY1135" s="483">
        <f>CX1135/CT1135-1</f>
        <v>-1.8583042973286834E-2</v>
      </c>
      <c r="CZ1135" s="779">
        <f>CZ1117/CZ$1139</f>
        <v>1674</v>
      </c>
      <c r="DA1135" s="779">
        <f>DA1117/DA$1139</f>
        <v>1673</v>
      </c>
      <c r="DB1135" s="779">
        <f>DB1117/DB$1139</f>
        <v>1673</v>
      </c>
      <c r="DC1135" s="483">
        <f>DB1135/CX1135-1</f>
        <v>-1.0059171597633143E-2</v>
      </c>
      <c r="DD1135" s="779">
        <f>DD1117/DD$1139</f>
        <v>1672</v>
      </c>
      <c r="DE1135" s="779">
        <f>DE1117/DE$1139</f>
        <v>1672</v>
      </c>
      <c r="DF1135" s="779">
        <f>DF1117/DF$1139</f>
        <v>1672</v>
      </c>
      <c r="DG1135" s="483">
        <f>DF1135/DB1135-1</f>
        <v>-5.9772863120144404E-4</v>
      </c>
      <c r="DH1135" s="779">
        <f>DH1117/DH$1139</f>
        <v>1672</v>
      </c>
      <c r="DI1135" s="779">
        <f>DI1117/DI$1139</f>
        <v>1672.1407894370291</v>
      </c>
      <c r="DJ1135" s="779">
        <f>DJ1117/DJ$1139</f>
        <v>1672.0703947185145</v>
      </c>
      <c r="DK1135" s="483">
        <f>DJ1135/DF1135-1</f>
        <v>4.2102104374830418E-5</v>
      </c>
      <c r="DL1135" s="779">
        <f ca="1">DL1117/DL$1139</f>
        <v>1672.1407894370291</v>
      </c>
      <c r="DM1135" s="779">
        <f ca="1">DM1117/DM$1139</f>
        <v>1672.1407894370291</v>
      </c>
      <c r="DN1135" s="779">
        <f ca="1">DN1117/DN$1139</f>
        <v>1672.1407894370291</v>
      </c>
      <c r="DO1135" s="483">
        <f ca="1">DN1135/DJ1135-1</f>
        <v>4.2100331862249263E-5</v>
      </c>
      <c r="DP1135" s="779">
        <f ca="1">DP1117/DP$1139</f>
        <v>1672.1407894370291</v>
      </c>
      <c r="DQ1135" s="779">
        <f ca="1">DQ1117/DQ$1139</f>
        <v>1672.1407894370291</v>
      </c>
      <c r="DR1135" s="779">
        <f ca="1">DR1117/DR$1139</f>
        <v>1672.1407894370291</v>
      </c>
      <c r="DS1135" s="483">
        <f ca="1">DR1135/DN1135-1</f>
        <v>0</v>
      </c>
    </row>
    <row r="1136" spans="1:123" s="347" customFormat="1" x14ac:dyDescent="0.2">
      <c r="A1136" s="565" t="s">
        <v>767</v>
      </c>
      <c r="B1136" s="348"/>
      <c r="BH1136" s="779">
        <f>BH1120/BH$1139</f>
        <v>1698.1701220600769</v>
      </c>
      <c r="BI1136" s="779">
        <f>BI1120/BI$1139</f>
        <v>1704.2026979821376</v>
      </c>
      <c r="BJ1136" s="779">
        <f>BJ1120/BJ$1139</f>
        <v>1698.1701220600769</v>
      </c>
      <c r="BK1136" s="348"/>
      <c r="BL1136" s="779">
        <f>BL1120/BL$1139</f>
        <v>1697.1646927397333</v>
      </c>
      <c r="BM1136" s="779">
        <f>BM1120/BM$1139</f>
        <v>1696.1592634193898</v>
      </c>
      <c r="BN1136" s="779">
        <f>BN1120/BN$1139</f>
        <v>1693.3440613224284</v>
      </c>
      <c r="BO1136" s="348"/>
      <c r="BP1136" s="779">
        <f>BP1120/BP$1139</f>
        <v>1711.2407032245417</v>
      </c>
      <c r="BQ1136" s="779">
        <f>BQ1120/BQ$1139</f>
        <v>1716.7705644864304</v>
      </c>
      <c r="BR1136" s="779">
        <f>BR1120/BR$1139</f>
        <v>1748.9443027374207</v>
      </c>
      <c r="BT1136" s="779">
        <f>BT1120/BT$1139</f>
        <v>1755</v>
      </c>
      <c r="BU1136" s="779">
        <f>BU1120/BU$1139</f>
        <v>1791</v>
      </c>
      <c r="BV1136" s="779">
        <f>BV1120/BV$1139</f>
        <v>1772</v>
      </c>
      <c r="BX1136" s="779">
        <f>BX1120/BX$1139</f>
        <v>1808.5</v>
      </c>
      <c r="BY1136" s="779">
        <f>BY1120/BY$1139</f>
        <v>1817.5</v>
      </c>
      <c r="BZ1136" s="779">
        <f>BZ1120/BZ$1139</f>
        <v>1817</v>
      </c>
      <c r="CB1136" s="779">
        <f>CB1120/CB$1139</f>
        <v>1842.5</v>
      </c>
      <c r="CC1136" s="779">
        <f>CC1120/CC$1139</f>
        <v>1867</v>
      </c>
      <c r="CD1136" s="779">
        <f>CD1120/CD$1139</f>
        <v>1853</v>
      </c>
      <c r="CF1136" s="779">
        <f>CF1120/CF$1139</f>
        <v>1899</v>
      </c>
      <c r="CG1136" s="779">
        <f>CG1120/CG$1139</f>
        <v>1901</v>
      </c>
      <c r="CH1136" s="779">
        <f>CH1120/CH$1139</f>
        <v>1898</v>
      </c>
      <c r="CJ1136" s="779">
        <f>CJ1120/CJ$1139</f>
        <v>1888</v>
      </c>
      <c r="CK1136" s="779">
        <f>CK1120/CK$1139</f>
        <v>1906</v>
      </c>
      <c r="CL1136" s="779">
        <f>CL1120/CL$1139</f>
        <v>1896</v>
      </c>
      <c r="CN1136" s="779">
        <f>CN1120/CN$1139</f>
        <v>1930</v>
      </c>
      <c r="CO1136" s="779">
        <f>CO1120/CO$1139</f>
        <v>1912</v>
      </c>
      <c r="CP1136" s="779">
        <f>CP1120/CP$1139</f>
        <v>1934</v>
      </c>
      <c r="CR1136" s="779">
        <f>CR1120/CR$1139</f>
        <v>1854</v>
      </c>
      <c r="CS1136" s="779">
        <f>CS1120/CS$1139</f>
        <v>1814</v>
      </c>
      <c r="CT1136" s="779">
        <f>CT1120/CT$1139</f>
        <v>1833</v>
      </c>
      <c r="CV1136" s="779">
        <f>CV1120/CV$1139</f>
        <v>1811</v>
      </c>
      <c r="CW1136" s="779">
        <f>CW1120/CW$1139</f>
        <v>1778</v>
      </c>
      <c r="CX1136" s="779">
        <f>CX1120/CX$1139</f>
        <v>1800</v>
      </c>
      <c r="CZ1136" s="779">
        <f>CZ1120/CZ$1139</f>
        <v>1788</v>
      </c>
      <c r="DA1136" s="779">
        <f>DA1120/DA$1139</f>
        <v>1771</v>
      </c>
      <c r="DB1136" s="779">
        <f>DB1120/DB$1139</f>
        <v>1784</v>
      </c>
      <c r="DD1136" s="779">
        <f>DD1120/DD$1139</f>
        <v>1674</v>
      </c>
      <c r="DE1136" s="779">
        <f>DE1120/DE$1139</f>
        <v>1675</v>
      </c>
      <c r="DF1136" s="779">
        <f>DF1120/DF$1139</f>
        <v>1675</v>
      </c>
      <c r="DH1136" s="779">
        <f>DH1120/DH$1139</f>
        <v>1674</v>
      </c>
      <c r="DI1136" s="779">
        <f>DI1120/DI$1139</f>
        <v>1674.1407894370291</v>
      </c>
      <c r="DJ1136" s="779">
        <f>DJ1120/DJ$1139</f>
        <v>1674.0703947185145</v>
      </c>
      <c r="DL1136" s="779">
        <f ca="1">DL1120/DL$1139</f>
        <v>1674.1407894370291</v>
      </c>
      <c r="DM1136" s="779">
        <f ca="1">DM1120/DM$1139</f>
        <v>1674.1407894370291</v>
      </c>
      <c r="DN1136" s="779">
        <f ca="1">DN1120/DN$1139</f>
        <v>1674.1407894370291</v>
      </c>
      <c r="DP1136" s="779">
        <f ca="1">DP1120/DP$1139</f>
        <v>1674.1407894370291</v>
      </c>
      <c r="DQ1136" s="779">
        <f ca="1">DQ1120/DQ$1139</f>
        <v>1674.1407894370291</v>
      </c>
      <c r="DR1136" s="779">
        <f ca="1">DR1120/DR$1139</f>
        <v>1674.1407894370291</v>
      </c>
    </row>
    <row r="1137" spans="1:123" s="347" customFormat="1" x14ac:dyDescent="0.2">
      <c r="A1137" s="565" t="s">
        <v>763</v>
      </c>
      <c r="B1137" s="348"/>
      <c r="BH1137" s="779">
        <f>BH1127/BH$1139</f>
        <v>1601.6489073071061</v>
      </c>
      <c r="BI1137" s="779">
        <f>BI1127/BI$1139</f>
        <v>1611.7032005105407</v>
      </c>
      <c r="BJ1137" s="779">
        <f>BJ1127/BJ$1139</f>
        <v>1606.6760539088234</v>
      </c>
      <c r="BK1137" s="348"/>
      <c r="BL1137" s="779">
        <f>BL1127/BL$1139</f>
        <v>1614.7194884715709</v>
      </c>
      <c r="BM1137" s="779">
        <f>BM1127/BM$1139</f>
        <v>1619.5455492092194</v>
      </c>
      <c r="BN1137" s="779">
        <f>BN1127/BN$1139</f>
        <v>1617.1325188403953</v>
      </c>
      <c r="BO1137" s="348"/>
      <c r="BP1137" s="779">
        <f>BP1127/BP$1139</f>
        <v>1624.7737816750055</v>
      </c>
      <c r="BQ1137" s="779">
        <f>BQ1127/BQ$1139</f>
        <v>1628.2927842962074</v>
      </c>
      <c r="BR1137" s="779">
        <f>BR1127/BR$1139</f>
        <v>1626.5835544516235</v>
      </c>
      <c r="BT1137" s="779">
        <f>BT1127/BT$1139</f>
        <v>1676</v>
      </c>
      <c r="BU1137" s="779">
        <f>BU1127/BU$1139</f>
        <v>1707</v>
      </c>
      <c r="BV1137" s="779">
        <f>BV1127/BV$1139</f>
        <v>1692</v>
      </c>
      <c r="BX1137" s="779">
        <f>BX1127/BX$1139</f>
        <v>1716.4</v>
      </c>
      <c r="BY1137" s="779">
        <f>BY1127/BY$1139</f>
        <v>1723.5</v>
      </c>
      <c r="BZ1137" s="779">
        <f>BZ1127/BZ$1139</f>
        <v>1720</v>
      </c>
      <c r="CB1137" s="779">
        <f>CB1127/CB$1139</f>
        <v>1738.5</v>
      </c>
      <c r="CC1137" s="779">
        <f>CC1127/CC$1139</f>
        <v>1753</v>
      </c>
      <c r="CD1137" s="779">
        <f>CD1127/CD$1139</f>
        <v>1746</v>
      </c>
      <c r="CF1137" s="779">
        <f>CF1127/CF$1139</f>
        <v>1762</v>
      </c>
      <c r="CG1137" s="779">
        <f>CG1127/CG$1139</f>
        <v>1768</v>
      </c>
      <c r="CH1137" s="779">
        <f>CH1127/CH$1139</f>
        <v>1765</v>
      </c>
      <c r="CJ1137" s="779">
        <f>CJ1127/CJ$1139</f>
        <v>1768.6</v>
      </c>
      <c r="CK1137" s="779">
        <f>CK1127/CK$1139</f>
        <v>1769</v>
      </c>
      <c r="CL1137" s="779">
        <f>CL1127/CL$1139</f>
        <v>1768</v>
      </c>
      <c r="CN1137" s="779">
        <f>CN1127/CN$1139</f>
        <v>1770</v>
      </c>
      <c r="CO1137" s="779">
        <f>CO1127/CO$1139</f>
        <v>1772</v>
      </c>
      <c r="CP1137" s="779">
        <f>CP1127/CP$1139</f>
        <v>1771</v>
      </c>
      <c r="CR1137" s="779">
        <f>CR1127/CR$1139</f>
        <v>1740</v>
      </c>
      <c r="CS1137" s="779">
        <f>CS1127/CS$1139</f>
        <v>1704</v>
      </c>
      <c r="CT1137" s="779">
        <f>CT1127/CT$1139</f>
        <v>1722</v>
      </c>
      <c r="CV1137" s="779">
        <f>CV1127/CV$1139</f>
        <v>1695</v>
      </c>
      <c r="CW1137" s="779">
        <f>CW1127/CW$1139</f>
        <v>1685</v>
      </c>
      <c r="CX1137" s="779">
        <f>CX1127/CX$1139</f>
        <v>1690</v>
      </c>
      <c r="CZ1137" s="779">
        <f>CZ1127/CZ$1139</f>
        <v>1674</v>
      </c>
      <c r="DA1137" s="779">
        <f>DA1127/DA$1139</f>
        <v>1673</v>
      </c>
      <c r="DB1137" s="779">
        <f>DB1127/DB$1139</f>
        <v>1673</v>
      </c>
      <c r="DD1137" s="779">
        <f>DD1127/DD$1139</f>
        <v>1672</v>
      </c>
      <c r="DE1137" s="779">
        <f>DE1127/DE$1139</f>
        <v>1672</v>
      </c>
      <c r="DF1137" s="779">
        <f>DF1127/DF$1139</f>
        <v>1672</v>
      </c>
      <c r="DH1137" s="779">
        <f>DH1127/DH$1139</f>
        <v>1672</v>
      </c>
      <c r="DI1137" s="779">
        <f>DI1127/DI$1139</f>
        <v>1672.1407894370291</v>
      </c>
      <c r="DJ1137" s="779">
        <f>DJ1127/DJ$1139</f>
        <v>1672.0703947185145</v>
      </c>
      <c r="DL1137" s="779">
        <f ca="1">DL1127/DL$1139</f>
        <v>1672.1407894370291</v>
      </c>
      <c r="DM1137" s="779">
        <f ca="1">DM1127/DM$1139</f>
        <v>1672.1407894370291</v>
      </c>
      <c r="DN1137" s="779">
        <f ca="1">DN1127/DN$1139</f>
        <v>1672.1407894370291</v>
      </c>
      <c r="DP1137" s="779">
        <f ca="1">DP1127/DP$1139</f>
        <v>1672.1407894370291</v>
      </c>
      <c r="DQ1137" s="779">
        <f ca="1">DQ1127/DQ$1139</f>
        <v>1672.1407894370291</v>
      </c>
      <c r="DR1137" s="779">
        <f ca="1">DR1127/DR$1139</f>
        <v>1672.1407894370291</v>
      </c>
    </row>
    <row r="1138" spans="1:123" s="347" customFormat="1" x14ac:dyDescent="0.2">
      <c r="B1138" s="348"/>
      <c r="BH1138" s="348"/>
      <c r="BI1138" s="348"/>
      <c r="BJ1138" s="348"/>
      <c r="BK1138" s="348"/>
      <c r="BL1138" s="348"/>
      <c r="BM1138" s="348"/>
      <c r="BN1138" s="348"/>
      <c r="BO1138" s="348"/>
      <c r="BP1138" s="348"/>
      <c r="BQ1138" s="348"/>
      <c r="BR1138" s="348"/>
      <c r="BT1138" s="348"/>
      <c r="BU1138" s="348"/>
      <c r="BV1138" s="348"/>
      <c r="BX1138" s="348"/>
      <c r="BY1138" s="348"/>
      <c r="BZ1138" s="348"/>
      <c r="CB1138" s="348"/>
      <c r="CC1138" s="348"/>
      <c r="CD1138" s="348"/>
      <c r="CF1138" s="348"/>
      <c r="CG1138" s="348"/>
      <c r="CH1138" s="348"/>
      <c r="CJ1138" s="348"/>
      <c r="CK1138" s="348"/>
      <c r="CL1138" s="348"/>
      <c r="CN1138" s="348"/>
      <c r="CO1138" s="348"/>
      <c r="CP1138" s="348"/>
      <c r="CR1138" s="348"/>
      <c r="CS1138" s="348"/>
      <c r="CT1138" s="348"/>
      <c r="CV1138" s="348"/>
      <c r="CW1138" s="348"/>
      <c r="CX1138" s="348"/>
      <c r="CZ1138" s="348"/>
      <c r="DA1138" s="348"/>
      <c r="DB1138" s="348"/>
      <c r="DD1138" s="348"/>
      <c r="DE1138" s="348"/>
      <c r="DF1138" s="348"/>
      <c r="DH1138" s="348"/>
      <c r="DI1138" s="348"/>
      <c r="DJ1138" s="348"/>
      <c r="DL1138" s="348"/>
      <c r="DM1138" s="348"/>
      <c r="DN1138" s="348"/>
      <c r="DP1138" s="348"/>
      <c r="DQ1138" s="348"/>
      <c r="DR1138" s="348"/>
    </row>
    <row r="1139" spans="1:123" s="347" customFormat="1" x14ac:dyDescent="0.2">
      <c r="A1139" s="387" t="s">
        <v>768</v>
      </c>
      <c r="B1139" s="348"/>
      <c r="BH1139" s="780">
        <v>0.99459999799728405</v>
      </c>
      <c r="BI1139" s="780">
        <v>0.99459999799728405</v>
      </c>
      <c r="BJ1139" s="781">
        <f>BI1139</f>
        <v>0.99459999799728405</v>
      </c>
      <c r="BK1139" s="348"/>
      <c r="BL1139" s="780">
        <v>0.99459999799728405</v>
      </c>
      <c r="BM1139" s="780">
        <v>0.99459999799728405</v>
      </c>
      <c r="BN1139" s="781">
        <f>BM1139</f>
        <v>0.99459999799728405</v>
      </c>
      <c r="BO1139" s="348"/>
      <c r="BP1139" s="780">
        <v>0.99459999799728405</v>
      </c>
      <c r="BQ1139" s="780">
        <v>0.99459999799728405</v>
      </c>
      <c r="BR1139" s="781">
        <f>BQ1139</f>
        <v>0.99459999799728405</v>
      </c>
      <c r="BT1139" s="780">
        <v>1</v>
      </c>
      <c r="BU1139" s="780">
        <v>1</v>
      </c>
      <c r="BV1139" s="781">
        <f>BU1139</f>
        <v>1</v>
      </c>
      <c r="BW1139" s="387"/>
      <c r="BX1139" s="780">
        <v>1</v>
      </c>
      <c r="BY1139" s="780">
        <v>1</v>
      </c>
      <c r="BZ1139" s="781">
        <f>BY1139</f>
        <v>1</v>
      </c>
      <c r="CA1139" s="387"/>
      <c r="CB1139" s="780">
        <v>1</v>
      </c>
      <c r="CC1139" s="780">
        <v>1</v>
      </c>
      <c r="CD1139" s="781">
        <f>CC1139</f>
        <v>1</v>
      </c>
      <c r="CF1139" s="780">
        <v>1</v>
      </c>
      <c r="CG1139" s="780">
        <v>1</v>
      </c>
      <c r="CH1139" s="781">
        <f>CG1139</f>
        <v>1</v>
      </c>
      <c r="CJ1139" s="780">
        <v>1</v>
      </c>
      <c r="CK1139" s="780">
        <v>1</v>
      </c>
      <c r="CL1139" s="781">
        <f>CK1139</f>
        <v>1</v>
      </c>
      <c r="CN1139" s="780">
        <v>1</v>
      </c>
      <c r="CO1139" s="780">
        <v>1</v>
      </c>
      <c r="CP1139" s="781">
        <f>CO1139</f>
        <v>1</v>
      </c>
      <c r="CR1139" s="780">
        <v>1</v>
      </c>
      <c r="CS1139" s="780">
        <v>1</v>
      </c>
      <c r="CT1139" s="781">
        <f>CS1139</f>
        <v>1</v>
      </c>
      <c r="CV1139" s="780">
        <v>1</v>
      </c>
      <c r="CW1139" s="780">
        <v>1</v>
      </c>
      <c r="CX1139" s="781">
        <f>CW1139</f>
        <v>1</v>
      </c>
      <c r="CZ1139" s="780">
        <v>1</v>
      </c>
      <c r="DA1139" s="780">
        <v>1</v>
      </c>
      <c r="DB1139" s="781">
        <f>DA1139</f>
        <v>1</v>
      </c>
      <c r="DD1139" s="780">
        <v>1</v>
      </c>
      <c r="DE1139" s="780">
        <v>1</v>
      </c>
      <c r="DF1139" s="781">
        <f>DE1139</f>
        <v>1</v>
      </c>
      <c r="DH1139" s="780">
        <v>1</v>
      </c>
      <c r="DI1139" s="780">
        <v>1</v>
      </c>
      <c r="DJ1139" s="781">
        <f>DI1139</f>
        <v>1</v>
      </c>
      <c r="DL1139" s="780">
        <v>1</v>
      </c>
      <c r="DM1139" s="780">
        <v>1</v>
      </c>
      <c r="DN1139" s="781">
        <f>DM1139</f>
        <v>1</v>
      </c>
      <c r="DP1139" s="780">
        <v>1</v>
      </c>
      <c r="DQ1139" s="780">
        <v>1</v>
      </c>
      <c r="DR1139" s="781">
        <f>DQ1139</f>
        <v>1</v>
      </c>
    </row>
    <row r="1140" spans="1:123" s="347" customFormat="1" x14ac:dyDescent="0.2">
      <c r="B1140" s="348"/>
      <c r="BH1140" s="348"/>
      <c r="BI1140" s="348"/>
      <c r="BJ1140" s="348"/>
      <c r="BK1140" s="348"/>
      <c r="BL1140" s="348"/>
      <c r="BM1140" s="348"/>
      <c r="BN1140" s="348"/>
      <c r="BO1140" s="348"/>
      <c r="BP1140" s="348"/>
      <c r="BQ1140" s="348"/>
      <c r="BR1140" s="348"/>
      <c r="BT1140" s="348"/>
      <c r="BU1140" s="348"/>
      <c r="BV1140" s="348"/>
      <c r="BX1140" s="348"/>
      <c r="BY1140" s="348"/>
      <c r="BZ1140" s="348"/>
      <c r="CB1140" s="348"/>
      <c r="CC1140" s="348"/>
      <c r="CD1140" s="348"/>
      <c r="CE1140" s="428"/>
      <c r="CF1140" s="348"/>
      <c r="CG1140" s="348"/>
      <c r="CH1140" s="348"/>
      <c r="CJ1140" s="348"/>
      <c r="CK1140" s="348"/>
      <c r="CL1140" s="348"/>
      <c r="CN1140" s="348"/>
      <c r="CO1140" s="348"/>
      <c r="CP1140" s="348"/>
      <c r="CR1140" s="348"/>
      <c r="CS1140" s="348"/>
      <c r="CT1140" s="348"/>
      <c r="CV1140" s="348"/>
      <c r="CW1140" s="348"/>
      <c r="CX1140" s="348"/>
      <c r="CZ1140" s="348"/>
      <c r="DA1140" s="348"/>
      <c r="DB1140" s="348"/>
      <c r="DD1140" s="348"/>
      <c r="DE1140" s="348"/>
      <c r="DF1140" s="348"/>
      <c r="DH1140" s="348"/>
      <c r="DI1140" s="348"/>
      <c r="DJ1140" s="348"/>
      <c r="DL1140" s="348"/>
      <c r="DM1140" s="348"/>
      <c r="DN1140" s="348"/>
      <c r="DP1140" s="348"/>
      <c r="DQ1140" s="348"/>
      <c r="DR1140" s="348"/>
    </row>
    <row r="1141" spans="1:123" s="411" customFormat="1" x14ac:dyDescent="0.2">
      <c r="A1141" s="411" t="s">
        <v>769</v>
      </c>
      <c r="B1141" s="423"/>
      <c r="BD1141" s="724">
        <v>227.36572890025576</v>
      </c>
      <c r="BE1141" s="724">
        <v>222.04674668351231</v>
      </c>
      <c r="BF1141" s="724">
        <v>449.52320406865863</v>
      </c>
      <c r="BH1141" s="725">
        <f>+BH1122/BH1135*100</f>
        <v>232.44724263971614</v>
      </c>
      <c r="BI1141" s="725">
        <f>+BI1122/BI1135*100</f>
        <v>247.10174296445601</v>
      </c>
      <c r="BJ1141" s="725">
        <f>+BJ1122/BJ1135*100</f>
        <v>479.59475231349364</v>
      </c>
      <c r="BK1141" s="428">
        <f>+BJ1141/BF1141-1</f>
        <v>6.6896542764991462E-2</v>
      </c>
      <c r="BL1141" s="725">
        <f>+BL1122/BL1135*100</f>
        <v>262.40379064626916</v>
      </c>
      <c r="BM1141" s="725">
        <f>+BM1122/BM1135*100</f>
        <v>270.52626959157851</v>
      </c>
      <c r="BN1141" s="725">
        <f>+BN1122/BN1135*100</f>
        <v>533.04189316699023</v>
      </c>
      <c r="BO1141" s="428">
        <f>+BN1141/BJ1141-1</f>
        <v>0.11144229705532749</v>
      </c>
      <c r="BP1141" s="725">
        <f>+BP1122/BP1135*100</f>
        <v>282.28455780095862</v>
      </c>
      <c r="BQ1141" s="725">
        <f>+BQ1122/BQ1135*100</f>
        <v>275.40881844019765</v>
      </c>
      <c r="BR1141" s="725">
        <f>+BR1122/BR1135*100</f>
        <v>557.77413467934116</v>
      </c>
      <c r="BS1141" s="428">
        <f>+BR1141/BN1141-1</f>
        <v>4.6398307205101519E-2</v>
      </c>
      <c r="BT1141" s="725">
        <f>+BT1122/BT1135*100</f>
        <v>284.62455303933257</v>
      </c>
      <c r="BU1141" s="725">
        <f>+BU1122/BU1135*100</f>
        <v>270.2750146284377</v>
      </c>
      <c r="BV1141" s="725">
        <f>+BV1122/BV1135*100</f>
        <v>554.93207324276432</v>
      </c>
      <c r="BW1141" s="428">
        <f>+BV1141/BR1141-1</f>
        <v>-5.0953625488759924E-3</v>
      </c>
      <c r="BX1141" s="725">
        <f>+BX1122/BX1135*100</f>
        <v>281.10625909752548</v>
      </c>
      <c r="BY1141" s="725">
        <f>+BY1122/BY1135*100</f>
        <v>282.28472020875614</v>
      </c>
      <c r="BZ1141" s="725">
        <f>+BZ1122/BZ1135*100</f>
        <v>563.39337594421841</v>
      </c>
      <c r="CA1141" s="481">
        <f>+BZ1141/BV1141-1</f>
        <v>1.5247456597724085E-2</v>
      </c>
      <c r="CB1141" s="725">
        <f>+CB1122/CB1135*100</f>
        <v>264.32883012359872</v>
      </c>
      <c r="CC1141" s="725">
        <f>+CC1122/CC1135*100</f>
        <v>246.12314709236034</v>
      </c>
      <c r="CD1141" s="782">
        <f>+CD1122/CD1135*100</f>
        <v>510.3033772180882</v>
      </c>
      <c r="CE1141" s="428">
        <f>+CD1141/BZ1141-1</f>
        <v>-9.4232557557415553E-2</v>
      </c>
      <c r="CF1141" s="725">
        <f>+CF1122/CF1135*100</f>
        <v>258.08281338627341</v>
      </c>
      <c r="CG1141" s="725">
        <f>+CG1122/CG1135*100</f>
        <v>207.51837196156023</v>
      </c>
      <c r="CH1141" s="783">
        <f>+CH1122/CH1135*100-0.05</f>
        <v>465.46528878822193</v>
      </c>
      <c r="CI1141" s="428">
        <f>+CH1141/CD1141-1</f>
        <v>-8.7865552985952222E-2</v>
      </c>
      <c r="CJ1141" s="725">
        <f>+CJ1122/CJ1135*100</f>
        <v>244.2057659694743</v>
      </c>
      <c r="CK1141" s="725">
        <f>+CK1122/CK1135*100</f>
        <v>164.21707179197287</v>
      </c>
      <c r="CL1141" s="783">
        <f>+CL1122/CL1135*100-0.05</f>
        <v>408.37283776144716</v>
      </c>
      <c r="CM1141" s="428">
        <f>+CL1141/CH1141-1</f>
        <v>-0.12265673166608726</v>
      </c>
      <c r="CN1141" s="725">
        <f>+CN1122/CN1135*100</f>
        <v>218.53107344632767</v>
      </c>
      <c r="CO1141" s="725">
        <f>+CO1122/CO1135*100</f>
        <v>270.0338600451467</v>
      </c>
      <c r="CP1141" s="783">
        <f>+CP1122/CP1135*100-0.05</f>
        <v>488.54401468097115</v>
      </c>
      <c r="CQ1141" s="481">
        <f>+CP1141/CL1141-1</f>
        <v>0.19631858318245032</v>
      </c>
      <c r="CR1141" s="725">
        <f>+CR1122/CR1135*100</f>
        <v>272.75862068965517</v>
      </c>
      <c r="CS1141" s="725">
        <f>+CS1122/CS1135*100</f>
        <v>284.5657276995305</v>
      </c>
      <c r="CT1141" s="783">
        <f>+CT1122/CT1135*100-0.05</f>
        <v>557.15092915214871</v>
      </c>
      <c r="CU1141" s="428">
        <f>+CT1141/CP1141-1</f>
        <v>0.14043138879918371</v>
      </c>
      <c r="CV1141" s="725">
        <f>+CV1122/CV1135*100</f>
        <v>305.6047197640118</v>
      </c>
      <c r="CW1141" s="725">
        <f>+CW1122/CW1135*100</f>
        <v>290.326409495549</v>
      </c>
      <c r="CX1141" s="725">
        <f>+CX1122/CX1135*100</f>
        <v>595.9763313609468</v>
      </c>
      <c r="CY1141" s="428">
        <f>+CX1141/CT1141-1</f>
        <v>6.968560972855431E-2</v>
      </c>
      <c r="CZ1141" s="725">
        <f>+CZ1122/CZ1135*100</f>
        <v>299.82078853046596</v>
      </c>
      <c r="DA1141" s="725">
        <f>+DA1122/DA1135*100</f>
        <v>287.92588164973102</v>
      </c>
      <c r="DB1141" s="725">
        <f>+DB1122/DB1135*100</f>
        <v>587.92588164973097</v>
      </c>
      <c r="DC1141" s="428">
        <f>+DB1141/CX1141-1</f>
        <v>-1.3508002394712837E-2</v>
      </c>
      <c r="DD1141" s="725">
        <f>+DD1122/DD1135*100</f>
        <v>306.93779904306223</v>
      </c>
      <c r="DE1141" s="725">
        <f>+DE1122/DE1135*100</f>
        <v>306.22009569377991</v>
      </c>
      <c r="DF1141" s="725">
        <f>+DF1122/DF1135*100</f>
        <v>613.15789473684208</v>
      </c>
      <c r="DG1141" s="428">
        <f>+DF1141/DB1141-1</f>
        <v>4.2916996639626781E-2</v>
      </c>
      <c r="DH1141" s="725">
        <f>+DH1122/DH1135*100</f>
        <v>325.65789473684214</v>
      </c>
      <c r="DI1141" s="725">
        <f>+DI1122/DI1135*100</f>
        <v>336.3743906260662</v>
      </c>
      <c r="DJ1141" s="725">
        <f>+DJ1122/DJ1135*100</f>
        <v>662.03273653094163</v>
      </c>
      <c r="DK1141" s="428">
        <f>+DJ1141/DF1141-1</f>
        <v>7.9710042410977788E-2</v>
      </c>
      <c r="DL1141" s="725">
        <f ca="1">+DL1122/DL1135*100</f>
        <v>354.38117651901661</v>
      </c>
      <c r="DM1141" s="725">
        <f ca="1">+DM1122/DM1135*100</f>
        <v>351.37926303902549</v>
      </c>
      <c r="DN1141" s="725">
        <f ca="1">+DN1122/DN1135*100</f>
        <v>705.76043955804209</v>
      </c>
      <c r="DO1141" s="428">
        <f ca="1">+DN1141/DJ1141-1</f>
        <v>6.6050665796731023E-2</v>
      </c>
      <c r="DP1141" s="725">
        <f ca="1">+DP1122/DP1135*100</f>
        <v>367.07462713125983</v>
      </c>
      <c r="DQ1141" s="725">
        <f ca="1">+DQ1122/DQ1135*100</f>
        <v>366.03988536756395</v>
      </c>
      <c r="DR1141" s="725">
        <f ca="1">+DR1122/DR1135*100</f>
        <v>733.11451249882373</v>
      </c>
      <c r="DS1141" s="428">
        <f ca="1">+DR1141/DN1141-1</f>
        <v>3.8758297302567968E-2</v>
      </c>
    </row>
    <row r="1142" spans="1:123" s="347" customFormat="1" x14ac:dyDescent="0.2">
      <c r="A1142" s="429" t="s">
        <v>379</v>
      </c>
      <c r="B1142" s="348"/>
      <c r="BD1142" s="784"/>
      <c r="BE1142" s="784"/>
      <c r="BF1142" s="784"/>
      <c r="BG1142" s="784"/>
      <c r="BH1142" s="785">
        <v>233.7</v>
      </c>
      <c r="BI1142" s="785">
        <v>248.4</v>
      </c>
      <c r="BJ1142" s="408">
        <f>+BH1142+BI1142</f>
        <v>482.1</v>
      </c>
      <c r="BK1142" s="785"/>
      <c r="BL1142" s="785">
        <v>263.89999999999998</v>
      </c>
      <c r="BM1142" s="786">
        <v>272</v>
      </c>
      <c r="BN1142" s="786">
        <v>535.9</v>
      </c>
      <c r="BO1142" s="785"/>
      <c r="BP1142" s="785">
        <v>282.5</v>
      </c>
      <c r="BQ1142" s="786">
        <v>275</v>
      </c>
      <c r="BR1142" s="786"/>
      <c r="BT1142" s="785">
        <v>284.60000000000002</v>
      </c>
      <c r="BU1142" s="786">
        <v>270.3</v>
      </c>
      <c r="BV1142" s="786"/>
      <c r="BX1142" s="785">
        <v>281.10000000000002</v>
      </c>
      <c r="BY1142" s="787">
        <f>BZ1142-BX1142</f>
        <v>282.29999999999995</v>
      </c>
      <c r="BZ1142" s="786">
        <v>563.4</v>
      </c>
      <c r="CB1142" s="785">
        <v>264.3</v>
      </c>
      <c r="CC1142" s="786">
        <v>246</v>
      </c>
      <c r="CD1142" s="786">
        <v>510.3</v>
      </c>
      <c r="CF1142" s="788">
        <f>CF1141</f>
        <v>258.08281338627341</v>
      </c>
      <c r="CG1142" s="786">
        <v>215.7</v>
      </c>
      <c r="CH1142" s="786">
        <v>465.5</v>
      </c>
      <c r="CJ1142" s="786">
        <v>246.2</v>
      </c>
      <c r="CK1142" s="786">
        <v>166.2</v>
      </c>
      <c r="CL1142" s="786">
        <v>408.5</v>
      </c>
      <c r="CN1142" s="786">
        <v>218.5</v>
      </c>
      <c r="CO1142" s="786">
        <v>270</v>
      </c>
      <c r="CP1142" s="786">
        <v>488.5</v>
      </c>
      <c r="CR1142" s="786">
        <v>272.8</v>
      </c>
      <c r="CS1142" s="786">
        <v>284.5</v>
      </c>
      <c r="CT1142" s="786">
        <v>557.1</v>
      </c>
      <c r="CV1142" s="786">
        <v>305.7</v>
      </c>
      <c r="CW1142" s="786">
        <v>290.39999999999998</v>
      </c>
      <c r="CX1142" s="786">
        <f>CV1142+CW1142</f>
        <v>596.09999999999991</v>
      </c>
      <c r="CZ1142" s="786">
        <v>299.8</v>
      </c>
      <c r="DA1142" s="786">
        <v>288</v>
      </c>
      <c r="DB1142" s="786">
        <v>587.79999999999995</v>
      </c>
      <c r="DD1142" s="786">
        <v>306.89999999999998</v>
      </c>
      <c r="DE1142" s="786">
        <v>306.2</v>
      </c>
      <c r="DF1142" s="786">
        <v>613.20000000000005</v>
      </c>
      <c r="DH1142" s="786">
        <v>325.7</v>
      </c>
      <c r="DI1142" s="785"/>
      <c r="DJ1142" s="785"/>
      <c r="DL1142" s="785"/>
      <c r="DM1142" s="785"/>
      <c r="DN1142" s="785"/>
      <c r="DP1142" s="785"/>
      <c r="DQ1142" s="785"/>
      <c r="DR1142" s="785"/>
    </row>
    <row r="1143" spans="1:123" s="347" customFormat="1" x14ac:dyDescent="0.2">
      <c r="A1143" s="429" t="s">
        <v>770</v>
      </c>
      <c r="B1143" s="348"/>
      <c r="BD1143" s="784"/>
      <c r="BE1143" s="784"/>
      <c r="BF1143" s="784"/>
      <c r="BG1143" s="784"/>
      <c r="BH1143" s="785"/>
      <c r="BI1143" s="785"/>
      <c r="BJ1143" s="408"/>
      <c r="BK1143" s="785"/>
      <c r="BL1143" s="785"/>
      <c r="BM1143" s="786"/>
      <c r="BN1143" s="786"/>
      <c r="BO1143" s="785"/>
      <c r="BP1143" s="785"/>
      <c r="BQ1143" s="786"/>
      <c r="BR1143" s="786"/>
      <c r="BT1143" s="785"/>
      <c r="BU1143" s="786"/>
      <c r="BV1143" s="786"/>
      <c r="BX1143" s="785"/>
      <c r="BY1143" s="787"/>
      <c r="BZ1143" s="786"/>
      <c r="CB1143" s="785"/>
      <c r="CC1143" s="786"/>
      <c r="CD1143" s="786"/>
      <c r="CF1143" s="788"/>
      <c r="CG1143" s="786"/>
      <c r="CH1143" s="786"/>
      <c r="CJ1143" s="725">
        <f>(CJ1122+CJ1124)/CJ1120*100</f>
        <v>236.44067796610167</v>
      </c>
      <c r="CK1143" s="725">
        <f t="shared" ref="CK1143:CL1143" si="890">(CK1122+CK1124)/CK1120*100</f>
        <v>160.07345225603359</v>
      </c>
      <c r="CL1143" s="725">
        <f t="shared" si="890"/>
        <v>396.36075949367091</v>
      </c>
      <c r="CN1143" s="725">
        <f>(CN1122+CN1124)/CN1120*100</f>
        <v>207.04663212435236</v>
      </c>
      <c r="CO1143" s="725">
        <f t="shared" ref="CO1143:CP1143" si="891">(CO1122+CO1124)/CO1120*100</f>
        <v>257.1652719665272</v>
      </c>
      <c r="CP1143" s="725">
        <f t="shared" si="891"/>
        <v>460.85832471561525</v>
      </c>
      <c r="CR1143" s="725">
        <f>(CR1122+CR1124)/CR1120*100</f>
        <v>263.05285868392667</v>
      </c>
      <c r="CS1143" s="725">
        <f t="shared" ref="CS1143:CT1143" si="892">(CS1122+CS1124)/CS1120*100</f>
        <v>273.98015435501651</v>
      </c>
      <c r="CT1143" s="725">
        <f t="shared" si="892"/>
        <v>537.20676486633931</v>
      </c>
      <c r="CV1143" s="725">
        <f>(CV1122+CV1124)/CV1120*100</f>
        <v>296.68691330756485</v>
      </c>
      <c r="CW1143" s="725">
        <f t="shared" ref="CW1143" si="893">(CW1122+CW1124)/CW1120*100</f>
        <v>287.79527559055123</v>
      </c>
      <c r="CX1143" s="725">
        <f>(CX1122+CX1124)/CX1120*100</f>
        <v>582.77777777777771</v>
      </c>
      <c r="CZ1143" s="725">
        <f>(CZ1122+CZ1124)/CZ1120*100</f>
        <v>296.70022371364655</v>
      </c>
      <c r="DA1143" s="725">
        <f>(DA1122+DA1124)/DA1120*100</f>
        <v>287.40824392998309</v>
      </c>
      <c r="DB1143" s="725">
        <f t="shared" ref="DB1143" si="894">(DB1122+DB1124)/DB1120*100</f>
        <v>582.67937219730936</v>
      </c>
      <c r="DD1143" s="725">
        <f>(DD1122+DD1124)/DD1120*100</f>
        <v>306.57108721624849</v>
      </c>
      <c r="DE1143" s="725">
        <f>(DE1122+DE1124)/DE1120*100</f>
        <v>305.67164179104481</v>
      </c>
      <c r="DF1143" s="725">
        <f t="shared" ref="DF1143" si="895">(DF1122+DF1124)/DF1120*100</f>
        <v>612.05970149253733</v>
      </c>
      <c r="DH1143" s="725">
        <f>(DH1122+DH1124)/DH1120*100</f>
        <v>325.26881720430111</v>
      </c>
      <c r="DI1143" s="725">
        <f t="shared" ref="DI1143:DJ1143" si="896">(DI1122+DI1124)/DI1120*100</f>
        <v>335.97254343047979</v>
      </c>
      <c r="DJ1143" s="725">
        <f t="shared" si="896"/>
        <v>661.24181072684212</v>
      </c>
      <c r="DL1143" s="725">
        <f ca="1">(DL1122+DL1124)/DL1120*100</f>
        <v>353.95781764889654</v>
      </c>
      <c r="DM1143" s="725">
        <f t="shared" ref="DM1143:DN1143" ca="1" si="897">(DM1122+DM1124)/DM1120*100</f>
        <v>350.95949038279957</v>
      </c>
      <c r="DN1143" s="725">
        <f t="shared" ca="1" si="897"/>
        <v>704.91730803169617</v>
      </c>
      <c r="DP1143" s="725">
        <f ca="1">(DP1122+DP1124)/DP1120*100</f>
        <v>366.63610412358054</v>
      </c>
      <c r="DQ1143" s="725">
        <f t="shared" ref="DQ1143:DR1143" ca="1" si="898">(DQ1122+DQ1124)/DQ1120*100</f>
        <v>365.60259850653398</v>
      </c>
      <c r="DR1143" s="725">
        <f t="shared" ca="1" si="898"/>
        <v>732.23870263011452</v>
      </c>
    </row>
    <row r="1144" spans="1:123" s="411" customFormat="1" x14ac:dyDescent="0.2">
      <c r="A1144" s="411" t="s">
        <v>771</v>
      </c>
      <c r="B1144" s="423"/>
      <c r="BD1144" s="724">
        <v>218.89952153110048</v>
      </c>
      <c r="BE1144" s="724">
        <v>213.98933017190279</v>
      </c>
      <c r="BF1144" s="724">
        <v>433.51222420989865</v>
      </c>
      <c r="BH1144" s="725">
        <f>+BH1125/BH1136*100</f>
        <v>226.42018900530238</v>
      </c>
      <c r="BI1144" s="725">
        <f>+BI1125/BI1136*100</f>
        <v>241.05113815768982</v>
      </c>
      <c r="BJ1144" s="725">
        <f>+BJ1125/BJ1136*100</f>
        <v>468.32763671239786</v>
      </c>
      <c r="BK1144" s="428">
        <f>+BJ1144/BF1144-1</f>
        <v>8.0310105593798031E-2</v>
      </c>
      <c r="BL1144" s="725">
        <f>+BL1125/BL1136*100</f>
        <v>257.13473881872915</v>
      </c>
      <c r="BM1144" s="725">
        <f>+BM1125/BM1136*100</f>
        <v>265.65901546981399</v>
      </c>
      <c r="BN1144" s="725">
        <f>+BN1125/BN1136*100</f>
        <v>523.81557904262615</v>
      </c>
      <c r="BO1144" s="428">
        <f>+BN1144/BJ1144-1</f>
        <v>0.11848103332049065</v>
      </c>
      <c r="BP1144" s="725">
        <f>+BP1125/BP1136*100</f>
        <v>276.52451178161857</v>
      </c>
      <c r="BQ1144" s="725">
        <f>+BQ1125/BQ1136*100</f>
        <v>269.69241526954175</v>
      </c>
      <c r="BR1144" s="725">
        <f>+BR1125/BR1136*100</f>
        <v>535.29434787298499</v>
      </c>
      <c r="BS1144" s="428">
        <f>+BR1144/BN1144-1</f>
        <v>2.1913759898738672E-2</v>
      </c>
      <c r="BT1144" s="725">
        <f>+BT1125/BT1136*100</f>
        <v>279.2592592592593</v>
      </c>
      <c r="BU1144" s="725">
        <f>+BU1125/BU1136*100</f>
        <v>264.60078168620885</v>
      </c>
      <c r="BV1144" s="725">
        <f>+BV1125/BV1136*100</f>
        <v>544.01805869074497</v>
      </c>
      <c r="BW1144" s="428">
        <f>+BV1144/BR1144-1</f>
        <v>1.6297035177793351E-2</v>
      </c>
      <c r="BX1144" s="725">
        <f>+BX1125/BX1136*100</f>
        <v>277.08045341443187</v>
      </c>
      <c r="BY1144" s="725">
        <f>+BY1125/BY1136*100</f>
        <v>279.9449793672627</v>
      </c>
      <c r="BZ1144" s="725">
        <f>+BZ1125/BZ1136*100</f>
        <v>555.80627407815075</v>
      </c>
      <c r="CA1144" s="428">
        <f>+BZ1144/BV1144-1</f>
        <v>2.1668794259837254E-2</v>
      </c>
      <c r="CB1144" s="725">
        <f>+CB1125/CB1136*100</f>
        <v>271.20759837177746</v>
      </c>
      <c r="CC1144" s="725">
        <f>+CC1125/CC1136*100</f>
        <v>250.77664702731656</v>
      </c>
      <c r="CD1144" s="725">
        <f>+CD1125/CD1136*100</f>
        <v>522.34214786832172</v>
      </c>
      <c r="CE1144" s="428">
        <f>+CD1144/BZ1144-1</f>
        <v>-6.0208255592889781E-2</v>
      </c>
      <c r="CF1144" s="725">
        <f>+CF1125/CF1136*100</f>
        <v>262.13796735123748</v>
      </c>
      <c r="CG1144" s="725">
        <f>+CG1125/CG1136*100</f>
        <v>213.09836927932668</v>
      </c>
      <c r="CH1144" s="725">
        <f>+CH1125/CH1136*100</f>
        <v>475.71127502634357</v>
      </c>
      <c r="CI1144" s="428">
        <f>+CH1144/CD1144-1</f>
        <v>-8.9272659754298433E-2</v>
      </c>
      <c r="CJ1144" s="725">
        <f>+CJ1125/CJ1136*100</f>
        <v>244.4915254237288</v>
      </c>
      <c r="CK1144" s="725">
        <f>+CK1125/CK1136*100</f>
        <v>161.64742917103882</v>
      </c>
      <c r="CL1144" s="725">
        <f>+CL1125/CL1136*100</f>
        <v>405.95991561181438</v>
      </c>
      <c r="CM1144" s="428">
        <f>+CL1144/CH1144-1</f>
        <v>-0.14662540720874562</v>
      </c>
      <c r="CN1144" s="725">
        <f>+CN1125/CN1136*100</f>
        <v>212.1761658031088</v>
      </c>
      <c r="CO1144" s="725">
        <f>+CO1125/CO1136*100</f>
        <v>259.7280334728033</v>
      </c>
      <c r="CP1144" s="725">
        <f>+CP1125/CP1136*100</f>
        <v>468.51085832471557</v>
      </c>
      <c r="CQ1144" s="481">
        <f>+CP1144/CL1144-1</f>
        <v>0.15408157383871712</v>
      </c>
      <c r="CR1144" s="725">
        <f>+CR1125/CR1136*100</f>
        <v>268.44660194174759</v>
      </c>
      <c r="CS1144" s="725">
        <f>+CS1125/CS1136*100</f>
        <v>274.69680264608598</v>
      </c>
      <c r="CT1144" s="725">
        <f>+CT1125/CT1136*100</f>
        <v>543.37152209492638</v>
      </c>
      <c r="CU1144" s="428">
        <f>+CT1144/CP1144-1</f>
        <v>0.15978426634100851</v>
      </c>
      <c r="CV1144" s="725">
        <f>+CV1125/CV1136*100</f>
        <v>297.23909442297071</v>
      </c>
      <c r="CW1144" s="725">
        <f>+CW1125/CW1136*100</f>
        <v>288.24521934758155</v>
      </c>
      <c r="CX1144" s="725">
        <f>+CX1125/CX1136*100</f>
        <v>583.77777777777783</v>
      </c>
      <c r="CY1144" s="428">
        <f>+CX1144/CT1144-1</f>
        <v>7.4362115127175388E-2</v>
      </c>
      <c r="CZ1144" s="725">
        <f>+CZ1125/CZ1136*100</f>
        <v>297.0357941834452</v>
      </c>
      <c r="DA1144" s="725">
        <f>+DA1125/DA1136*100</f>
        <v>287.69057029926597</v>
      </c>
      <c r="DB1144" s="725">
        <f>+DB1125/DB1136*100</f>
        <v>583.29596412556054</v>
      </c>
      <c r="DC1144" s="428">
        <f>+DB1144/CX1144-1</f>
        <v>-8.2533743242396707E-4</v>
      </c>
      <c r="DD1144" s="725">
        <f>+DD1125/DD1136*100</f>
        <v>306.63082437275983</v>
      </c>
      <c r="DE1144" s="725">
        <f>+DE1125/DE1136*100</f>
        <v>305.67164179104481</v>
      </c>
      <c r="DF1144" s="725">
        <f>+DF1125/DF1136*100</f>
        <v>612.11940298507454</v>
      </c>
      <c r="DG1144" s="428">
        <f>+DF1144/DB1144-1</f>
        <v>4.9414775058017391E-2</v>
      </c>
      <c r="DH1144" s="725">
        <f>+DH1125/DH1136*100</f>
        <v>325.26881720430111</v>
      </c>
      <c r="DI1144" s="725">
        <f>+DI1125/DI1136*100</f>
        <v>335.97254343047979</v>
      </c>
      <c r="DJ1144" s="725">
        <f>+DJ1125/DJ1136*100</f>
        <v>661.24181072684212</v>
      </c>
      <c r="DK1144" s="428">
        <f>+DJ1144/DF1144-1</f>
        <v>8.0249715173569491E-2</v>
      </c>
      <c r="DL1144" s="725">
        <f ca="1">+DL1125/DL1136*100</f>
        <v>353.95781764889654</v>
      </c>
      <c r="DM1144" s="725">
        <f ca="1">+DM1125/DM1136*100</f>
        <v>350.95949038279957</v>
      </c>
      <c r="DN1144" s="725">
        <f ca="1">+DN1125/DN1136*100</f>
        <v>704.91730803169617</v>
      </c>
      <c r="DO1144" s="428">
        <f ca="1">+DN1144/DJ1144-1</f>
        <v>6.6050719413591752E-2</v>
      </c>
      <c r="DP1144" s="725">
        <f ca="1">+DP1125/DP1136*100</f>
        <v>366.63610412358054</v>
      </c>
      <c r="DQ1144" s="725">
        <f ca="1">+DQ1125/DQ1136*100</f>
        <v>365.60259850653398</v>
      </c>
      <c r="DR1144" s="725">
        <f ca="1">+DR1125/DR1136*100</f>
        <v>732.23870263011452</v>
      </c>
      <c r="DS1144" s="428">
        <f ca="1">+DR1144/DN1144-1</f>
        <v>3.8758297302567968E-2</v>
      </c>
    </row>
    <row r="1145" spans="1:123" s="347" customFormat="1" x14ac:dyDescent="0.2">
      <c r="A1145" s="429" t="s">
        <v>379</v>
      </c>
      <c r="B1145" s="348"/>
      <c r="BD1145" s="784"/>
      <c r="BE1145" s="784"/>
      <c r="BF1145" s="784"/>
      <c r="BG1145" s="784"/>
      <c r="BH1145" s="785">
        <v>226.5</v>
      </c>
      <c r="BI1145" s="785">
        <v>241.1</v>
      </c>
      <c r="BJ1145" s="408">
        <f>+BI1145+BH1145</f>
        <v>467.6</v>
      </c>
      <c r="BK1145" s="785"/>
      <c r="BL1145" s="785">
        <v>257.10000000000002</v>
      </c>
      <c r="BM1145" s="786">
        <v>265.8</v>
      </c>
      <c r="BN1145" s="786">
        <v>524</v>
      </c>
      <c r="BO1145" s="785"/>
      <c r="BP1145" s="785">
        <v>275.3</v>
      </c>
      <c r="BQ1145" s="786">
        <v>267.8</v>
      </c>
      <c r="BR1145" s="786"/>
      <c r="BT1145" s="785">
        <v>277.39999999999998</v>
      </c>
      <c r="BU1145" s="786">
        <v>263.60000000000002</v>
      </c>
      <c r="BV1145" s="786"/>
      <c r="BZ1145" s="786"/>
      <c r="CD1145" s="786"/>
      <c r="CH1145" s="786"/>
      <c r="CL1145" s="786"/>
      <c r="CP1145" s="786"/>
      <c r="CT1145" s="786"/>
      <c r="CX1145" s="786"/>
      <c r="DB1145" s="786"/>
      <c r="DF1145" s="786"/>
      <c r="DI1145" s="785"/>
      <c r="DJ1145" s="785"/>
      <c r="DL1145" s="785"/>
      <c r="DM1145" s="785"/>
      <c r="DN1145" s="785"/>
      <c r="DP1145" s="785"/>
      <c r="DQ1145" s="785"/>
      <c r="DR1145" s="785"/>
    </row>
    <row r="1146" spans="1:123" s="347" customFormat="1" x14ac:dyDescent="0.2">
      <c r="A1146" s="347" t="s">
        <v>772</v>
      </c>
      <c r="B1146" s="348"/>
      <c r="BH1146" s="722">
        <f>+BH1132/BH1137*100</f>
        <v>225.4551533438916</v>
      </c>
      <c r="BI1146" s="722">
        <f>+BI1132/BI1137*100</f>
        <v>246.13712988491741</v>
      </c>
      <c r="BJ1146" s="722">
        <f>+BJ1132/BJ1137*100</f>
        <v>471.65699529558316</v>
      </c>
      <c r="BK1146" s="348"/>
      <c r="BL1146" s="722">
        <f>+BL1132/BL1137*100</f>
        <v>259.11621367500851</v>
      </c>
      <c r="BM1146" s="722">
        <f>+BM1132/BM1137*100</f>
        <v>271.80464310802364</v>
      </c>
      <c r="BN1146" s="722">
        <f>+BN1132/BN1137*100</f>
        <v>530.9397900276474</v>
      </c>
      <c r="BO1146" s="348"/>
      <c r="BP1146" s="722">
        <f>+BP1132/BP1137*100</f>
        <v>277.39246231273262</v>
      </c>
      <c r="BQ1146" s="722">
        <f>+BQ1132/BQ1137*100</f>
        <v>276.60873053286616</v>
      </c>
      <c r="BR1146" s="722">
        <f>+BR1132/BR1137*100</f>
        <v>553.98322301604196</v>
      </c>
      <c r="BT1146" s="722">
        <f>+BT1132/BT1137*100</f>
        <v>273.92601431980904</v>
      </c>
      <c r="BU1146" s="722">
        <f>+BU1132/BU1137*100</f>
        <v>268.42413591095487</v>
      </c>
      <c r="BV1146" s="722">
        <f>+BV1132/BV1137*100</f>
        <v>542.13947990543727</v>
      </c>
      <c r="BX1146" s="722">
        <f>+BX1132/BX1137*100</f>
        <v>285.18993241668608</v>
      </c>
      <c r="BY1146" s="722">
        <f>+BY1132/BY1137*100</f>
        <v>292.0220481578184</v>
      </c>
      <c r="BZ1146" s="722">
        <f>+BZ1132/BZ1137*100</f>
        <v>577.20930232558146</v>
      </c>
      <c r="CB1146" s="722">
        <f>+CB1132/CB1137*100</f>
        <v>282.19729651998853</v>
      </c>
      <c r="CC1146" s="722">
        <f>+CC1132/CC1137*100</f>
        <v>252.31032515687394</v>
      </c>
      <c r="CD1146" s="722">
        <f>+CD1132/CD1137*100</f>
        <v>534.30698739977083</v>
      </c>
      <c r="CF1146" s="722">
        <f>+CF1132/CF1137*100</f>
        <v>263.4506242905789</v>
      </c>
      <c r="CG1146" s="722">
        <f>+CG1132/CG1137*100</f>
        <v>222.22850678733033</v>
      </c>
      <c r="CH1146" s="722">
        <f>+CH1132/CH1137*100</f>
        <v>485.60906515580734</v>
      </c>
      <c r="CJ1146" s="722">
        <f>+CJ1132/CJ1137*100</f>
        <v>347.11070903539525</v>
      </c>
      <c r="CK1146" s="722">
        <f>+CK1132/CK1137*100</f>
        <v>195.1950254381006</v>
      </c>
      <c r="CL1146" s="722">
        <f>+CL1132/CL1137*100</f>
        <v>542.53393665158376</v>
      </c>
      <c r="CN1146" s="722">
        <f>+CN1132/CN1137*100</f>
        <v>275.08474576271186</v>
      </c>
      <c r="CO1146" s="722">
        <f>+CO1132/CO1137*100</f>
        <v>299.77426636568845</v>
      </c>
      <c r="CP1146" s="722">
        <f>+CP1132/CP1137*100</f>
        <v>574.87295313382265</v>
      </c>
      <c r="CR1146" s="722">
        <f>+CR1132/CR1137*100</f>
        <v>337.35632183908046</v>
      </c>
      <c r="CS1146" s="722">
        <f>+CS1132/CS1137*100</f>
        <v>287.61737089201881</v>
      </c>
      <c r="CT1146" s="722">
        <f>+CT1132/CT1137*100</f>
        <v>625.49361207897789</v>
      </c>
      <c r="CV1146" s="722">
        <f>+CV1132/CV1137*100</f>
        <v>305.13274336283189</v>
      </c>
      <c r="CW1146" s="722">
        <f>+CW1132/CW1137*100</f>
        <v>286.40949554896144</v>
      </c>
      <c r="CX1146" s="722">
        <f>+CX1132/CX1137*100</f>
        <v>591.5976331360946</v>
      </c>
      <c r="CZ1146" s="722">
        <f>+CZ1132/CZ1137*100</f>
        <v>284.28912783751497</v>
      </c>
      <c r="DA1146" s="722">
        <f>+DA1132/DA1137*100</f>
        <v>277.04722056186489</v>
      </c>
      <c r="DB1146" s="722">
        <f>+DB1132/DB1137*100</f>
        <v>561.50627615062763</v>
      </c>
      <c r="DD1146" s="722">
        <f>+DD1132/DD1137*100</f>
        <v>307.05741626794259</v>
      </c>
      <c r="DE1146" s="722">
        <f>+DE1132/DE1137*100</f>
        <v>297.96650717703346</v>
      </c>
      <c r="DF1146" s="722">
        <f>+DF1132/DF1137*100</f>
        <v>605.02392344497605</v>
      </c>
      <c r="DH1146" s="722">
        <f>+DH1132/DH1137*100</f>
        <v>320.99282296650722</v>
      </c>
      <c r="DI1146" s="722">
        <f>+DI1132/DI1137*100</f>
        <v>336.3743906260662</v>
      </c>
      <c r="DJ1146" s="722">
        <f>+DJ1132/DJ1137*100</f>
        <v>657.36786116167639</v>
      </c>
      <c r="DL1146" s="722">
        <f ca="1">+DL1132/DL1137*100</f>
        <v>354.38117651901661</v>
      </c>
      <c r="DM1146" s="722">
        <f ca="1">+DM1132/DM1137*100</f>
        <v>351.37926303902549</v>
      </c>
      <c r="DN1146" s="722">
        <f ca="1">+DN1132/DN1137*100</f>
        <v>705.76043955804209</v>
      </c>
      <c r="DP1146" s="722">
        <f ca="1">+DP1132/DP1137*100</f>
        <v>367.07462713125983</v>
      </c>
      <c r="DQ1146" s="722">
        <f ca="1">+DQ1132/DQ1137*100</f>
        <v>366.03988536756395</v>
      </c>
      <c r="DR1146" s="722">
        <f ca="1">+DR1132/DR1137*100</f>
        <v>733.11451249882373</v>
      </c>
    </row>
    <row r="1147" spans="1:123" s="347" customFormat="1" x14ac:dyDescent="0.2">
      <c r="A1147" s="429" t="s">
        <v>379</v>
      </c>
      <c r="B1147" s="348"/>
      <c r="BD1147" s="784"/>
      <c r="BE1147" s="784"/>
      <c r="BF1147" s="784"/>
      <c r="BG1147" s="784"/>
      <c r="BH1147" s="785">
        <v>226.8</v>
      </c>
      <c r="BI1147" s="785">
        <v>247.4</v>
      </c>
      <c r="BJ1147" s="408">
        <f>+BI1147+BH1147</f>
        <v>474.20000000000005</v>
      </c>
      <c r="BK1147" s="785"/>
      <c r="BL1147" s="785">
        <v>260.5</v>
      </c>
      <c r="BM1147" s="786">
        <v>273.3</v>
      </c>
      <c r="BN1147" s="786">
        <v>533.79999999999995</v>
      </c>
      <c r="BO1147" s="785"/>
      <c r="BP1147" s="785">
        <v>277.5</v>
      </c>
      <c r="BQ1147" s="786">
        <v>276.2</v>
      </c>
      <c r="BR1147" s="786"/>
      <c r="BT1147" s="785">
        <v>273.89999999999998</v>
      </c>
      <c r="BU1147" s="786">
        <v>268.39999999999998</v>
      </c>
      <c r="BV1147" s="786"/>
      <c r="BX1147" s="785">
        <v>285.2</v>
      </c>
      <c r="BY1147" s="787">
        <f>BZ1147-BX1147</f>
        <v>292.09999999999997</v>
      </c>
      <c r="BZ1147" s="786">
        <v>577.29999999999995</v>
      </c>
      <c r="CB1147" s="786">
        <v>282.2</v>
      </c>
      <c r="CC1147" s="786">
        <v>252.2</v>
      </c>
      <c r="CD1147" s="786"/>
      <c r="CF1147" s="786">
        <f>CF1146</f>
        <v>263.4506242905789</v>
      </c>
      <c r="CG1147" s="786">
        <f>CG1146</f>
        <v>222.22850678733033</v>
      </c>
      <c r="CH1147" s="786">
        <v>485.6</v>
      </c>
      <c r="CJ1147" s="786">
        <v>348.4</v>
      </c>
      <c r="CK1147" s="786">
        <v>196.3</v>
      </c>
      <c r="CL1147" s="786">
        <v>542.4</v>
      </c>
      <c r="CN1147" s="786">
        <v>275</v>
      </c>
      <c r="CO1147" s="786">
        <v>299.7</v>
      </c>
      <c r="CP1147" s="786">
        <v>574.79999999999995</v>
      </c>
      <c r="CR1147" s="786">
        <v>337.4</v>
      </c>
      <c r="CS1147" s="786">
        <v>287.60000000000002</v>
      </c>
      <c r="CT1147" s="786">
        <v>625.4</v>
      </c>
      <c r="CV1147" s="786">
        <v>305.2</v>
      </c>
      <c r="CW1147" s="786">
        <v>286.5</v>
      </c>
      <c r="CX1147" s="786">
        <f>CV1147+CW1147</f>
        <v>591.70000000000005</v>
      </c>
      <c r="CZ1147" s="786">
        <v>284.3</v>
      </c>
      <c r="DA1147" s="786">
        <v>277.10000000000002</v>
      </c>
      <c r="DB1147" s="786">
        <v>561.4</v>
      </c>
      <c r="DD1147" s="786">
        <v>307</v>
      </c>
      <c r="DE1147" s="786">
        <v>298</v>
      </c>
      <c r="DF1147" s="786">
        <v>605.1</v>
      </c>
      <c r="DH1147" s="786">
        <v>321</v>
      </c>
      <c r="DI1147" s="785"/>
      <c r="DJ1147" s="785"/>
      <c r="DL1147" s="785"/>
      <c r="DM1147" s="785"/>
      <c r="DN1147" s="785"/>
      <c r="DP1147" s="785"/>
      <c r="DQ1147" s="785"/>
      <c r="DR1147" s="785"/>
    </row>
    <row r="1148" spans="1:123" s="347" customFormat="1" x14ac:dyDescent="0.2">
      <c r="A1148" s="347" t="s">
        <v>773</v>
      </c>
      <c r="B1148" s="348"/>
      <c r="BD1148" s="784"/>
      <c r="BE1148" s="784"/>
      <c r="BF1148" s="784"/>
      <c r="BG1148" s="784"/>
      <c r="BH1148" s="785"/>
      <c r="BI1148" s="785"/>
      <c r="BJ1148" s="408"/>
      <c r="BK1148" s="785"/>
      <c r="BL1148" s="785"/>
      <c r="BM1148" s="786"/>
      <c r="BN1148" s="786"/>
      <c r="BO1148" s="785"/>
      <c r="BP1148" s="785"/>
      <c r="BQ1148" s="786"/>
      <c r="BR1148" s="786"/>
      <c r="BT1148" s="785"/>
      <c r="BU1148" s="786"/>
      <c r="BV1148" s="786"/>
      <c r="BX1148" s="785"/>
      <c r="BY1148" s="787"/>
      <c r="BZ1148" s="786"/>
      <c r="CB1148" s="786"/>
      <c r="CC1148" s="786"/>
      <c r="CD1148" s="786"/>
      <c r="CF1148" s="722">
        <f>(CF1132+CF1124)/(CF1137+CF1119)*100</f>
        <v>253.37197049525818</v>
      </c>
      <c r="CG1148" s="722">
        <f>(CG1132+CG1124)/(CG1137+CG1119)*100</f>
        <v>215</v>
      </c>
      <c r="CH1148" s="722">
        <f>(CH1132+CH1124)/(CH1137+CH1119)*100</f>
        <v>468.84554559831315</v>
      </c>
      <c r="CJ1148" s="722">
        <f>(CJ1132+CJ1124)/(CJ1137+CJ1119)*100</f>
        <v>332.85653740199194</v>
      </c>
      <c r="CK1148" s="722">
        <f>(CK1132+CK1124)/(CK1137+CK1119)*100</f>
        <v>188.82476390346275</v>
      </c>
      <c r="CL1148" s="722">
        <f>(CL1132+CL1124)/(CL1137+CL1119)*100</f>
        <v>521.47757255936676</v>
      </c>
      <c r="CN1148" s="722">
        <f>(CN1132+CN1124)/(CN1137+CN1119)*100</f>
        <v>258.9119170984456</v>
      </c>
      <c r="CO1148" s="722">
        <f>(CO1132+CO1124)/(CO1137+CO1119)*100</f>
        <v>284.7280334728033</v>
      </c>
      <c r="CP1148" s="722">
        <f>(CP1132+CP1124)/(CP1137+CP1119)*100</f>
        <v>539.86556359875908</v>
      </c>
      <c r="CR1148" s="722">
        <f>(CR1132+CR1124)/(CR1137+CR1119)*100</f>
        <v>323.67853290183388</v>
      </c>
      <c r="CS1148" s="722">
        <f>(CS1132+CS1124)/(CS1137+CS1119)*100</f>
        <v>276.84674751929441</v>
      </c>
      <c r="CT1148" s="722">
        <f>(CT1132+CT1124)/(CT1137+CT1119)*100</f>
        <v>601.36388434260778</v>
      </c>
      <c r="CV1148" s="722">
        <f>(CV1132+CV1124)/(CV1137+CV1119)*100</f>
        <v>296.24516841524019</v>
      </c>
      <c r="CW1148" s="722">
        <f>(CW1132+CW1124)/(CW1137+CW1119)*100</f>
        <v>284.08323959505066</v>
      </c>
      <c r="CX1148" s="722">
        <f>(CX1132+CX1124)/(CX1137+CX1119)*100</f>
        <v>578.66666666666674</v>
      </c>
      <c r="CZ1148" s="722">
        <f>(CZ1132+CZ1124)/(CZ1137+CZ1119)*100</f>
        <v>282.15883668903803</v>
      </c>
      <c r="DA1148" s="722">
        <f>(DA1132+DA1124)/(DA1137+DA1119)*100</f>
        <v>277.13156408808584</v>
      </c>
      <c r="DB1148" s="722">
        <f>(DB1132+DB1124)/(DB1137+DB1119)*100</f>
        <v>557.90358744394609</v>
      </c>
      <c r="DD1148" s="722">
        <f>(DD1132+DD1124)/(DD1137+DD1119)*100</f>
        <v>306.69056152927124</v>
      </c>
      <c r="DE1148" s="722">
        <f>(DE1132+DE1124)/(DE1137+DE1119)*100</f>
        <v>297.43283582089555</v>
      </c>
      <c r="DF1148" s="722">
        <f>(DF1132+DF1124)/(DF1137+DF1119)*100</f>
        <v>603.94029850746267</v>
      </c>
      <c r="DH1148" s="722">
        <f>(DH1132+DH1124)/(DH1137+DH1119)*100</f>
        <v>320.60931899641577</v>
      </c>
      <c r="DI1148" s="722">
        <f>(DI1132+DI1124)/(DI1137+DI1119)*100</f>
        <v>335.97254343047979</v>
      </c>
      <c r="DJ1148" s="722">
        <f>(DJ1132+DJ1124)/(DJ1137+DJ1119)*100</f>
        <v>656.58250845101907</v>
      </c>
      <c r="DL1148" s="722">
        <f ca="1">(DL1132+DL1124)/(DL1137+DL1119)*100</f>
        <v>353.95781764889654</v>
      </c>
      <c r="DM1148" s="722">
        <f ca="1">(DM1132+DM1124)/(DM1137+DM1119)*100</f>
        <v>350.95949038279957</v>
      </c>
      <c r="DN1148" s="722">
        <f ca="1">(DN1132+DN1124)/(DN1137+DN1119)*100</f>
        <v>704.91730803169617</v>
      </c>
      <c r="DP1148" s="722">
        <f ca="1">(DP1132+DP1124)/(DP1137+DP1119)*100</f>
        <v>366.63610412358054</v>
      </c>
      <c r="DQ1148" s="722">
        <f ca="1">(DQ1132+DQ1124)/(DQ1137+DQ1119)*100</f>
        <v>365.60259850653398</v>
      </c>
      <c r="DR1148" s="722">
        <f ca="1">(DR1132+DR1124)/(DR1137+DR1119)*100</f>
        <v>732.23870263011452</v>
      </c>
    </row>
    <row r="1149" spans="1:123" s="347" customFormat="1" x14ac:dyDescent="0.2">
      <c r="A1149" s="429" t="s">
        <v>379</v>
      </c>
      <c r="B1149" s="348"/>
      <c r="BD1149" s="784"/>
      <c r="BE1149" s="784"/>
      <c r="BF1149" s="784"/>
      <c r="BG1149" s="784"/>
      <c r="BH1149" s="785"/>
      <c r="BI1149" s="785"/>
      <c r="BJ1149" s="408"/>
      <c r="BK1149" s="785"/>
      <c r="BL1149" s="785"/>
      <c r="BM1149" s="786"/>
      <c r="BN1149" s="786"/>
      <c r="BO1149" s="785"/>
      <c r="BP1149" s="785"/>
      <c r="BQ1149" s="786"/>
      <c r="BR1149" s="786"/>
      <c r="BT1149" s="785"/>
      <c r="BU1149" s="786"/>
      <c r="BV1149" s="786"/>
      <c r="BX1149" s="785"/>
      <c r="BY1149" s="787"/>
      <c r="BZ1149" s="786"/>
      <c r="CB1149" s="786"/>
      <c r="CC1149" s="786"/>
      <c r="CD1149" s="786"/>
      <c r="CF1149" s="786"/>
      <c r="CG1149" s="786"/>
      <c r="CH1149" s="786">
        <v>468.6</v>
      </c>
      <c r="CJ1149" s="786">
        <v>334</v>
      </c>
      <c r="CK1149" s="786">
        <v>189.9</v>
      </c>
      <c r="CL1149" s="786">
        <v>521</v>
      </c>
      <c r="CN1149" s="786">
        <v>258.89999999999998</v>
      </c>
      <c r="CO1149" s="786">
        <v>284.7</v>
      </c>
      <c r="CP1149" s="786">
        <v>539.70000000000005</v>
      </c>
      <c r="CR1149" s="786">
        <v>323.60000000000002</v>
      </c>
      <c r="CS1149" s="786">
        <v>276.8</v>
      </c>
      <c r="CT1149" s="786">
        <v>601.4</v>
      </c>
      <c r="CV1149" s="786">
        <v>296.3</v>
      </c>
      <c r="CW1149" s="786">
        <v>284.10000000000002</v>
      </c>
      <c r="CX1149" s="786">
        <f>CV1149+CW1149</f>
        <v>580.40000000000009</v>
      </c>
      <c r="CZ1149" s="786">
        <v>282.10000000000002</v>
      </c>
      <c r="DA1149" s="786">
        <v>277.10000000000002</v>
      </c>
      <c r="DB1149" s="786">
        <v>557.79999999999995</v>
      </c>
      <c r="DD1149" s="786">
        <v>306.60000000000002</v>
      </c>
      <c r="DE1149" s="786">
        <v>297.5</v>
      </c>
      <c r="DF1149" s="786">
        <v>604.20000000000005</v>
      </c>
      <c r="DH1149" s="786">
        <v>320.60000000000002</v>
      </c>
      <c r="DI1149" s="785"/>
      <c r="DJ1149" s="785"/>
      <c r="DL1149" s="785"/>
      <c r="DM1149" s="785"/>
      <c r="DN1149" s="785"/>
      <c r="DP1149" s="785"/>
      <c r="DQ1149" s="785"/>
      <c r="DR1149" s="785"/>
    </row>
    <row r="1150" spans="1:123" s="347" customFormat="1" x14ac:dyDescent="0.2">
      <c r="A1150" s="347" t="s">
        <v>111</v>
      </c>
      <c r="B1150" s="348"/>
      <c r="BH1150" s="348"/>
      <c r="BI1150" s="348"/>
      <c r="BJ1150" s="348"/>
      <c r="BK1150" s="348"/>
      <c r="BL1150" s="348"/>
      <c r="BM1150" s="348"/>
      <c r="BN1150" s="348"/>
      <c r="BO1150" s="348"/>
      <c r="BP1150" s="348"/>
      <c r="BQ1150" s="348"/>
      <c r="BR1150" s="348"/>
      <c r="BT1150" s="789">
        <f>(BT38/BT1135)*100</f>
        <v>286.53158522050057</v>
      </c>
      <c r="BU1150" s="789">
        <f>(BU38/BU1135)*100</f>
        <v>271.32826214160326</v>
      </c>
      <c r="BV1150" s="789">
        <f>(BV38/BV1135)*100</f>
        <v>557.88541051388063</v>
      </c>
      <c r="BX1150" s="789">
        <f>(BX38/BX1135)*100</f>
        <v>285.70596797671033</v>
      </c>
      <c r="BY1150" s="789">
        <f>(BY38/BY1135)*100</f>
        <v>288.43142939982602</v>
      </c>
      <c r="BZ1150" s="789">
        <f>(BZ38/BZ1135)*100</f>
        <v>574.14294015107487</v>
      </c>
      <c r="CB1150" s="789">
        <f>(CB38/CB1135)*100</f>
        <v>280.02299511353834</v>
      </c>
      <c r="CC1150" s="789">
        <f>(CC38/CC1135)*100</f>
        <v>258.8939566704675</v>
      </c>
      <c r="CD1150" s="789">
        <f>(CD38/CD1135)*100</f>
        <v>538.75214653692046</v>
      </c>
      <c r="CF1150" s="789">
        <f>(CF38/CF1135)*100</f>
        <v>272.88712422007939</v>
      </c>
      <c r="CG1150" s="789">
        <f>(CG38/CG1135)*100</f>
        <v>220.18089315997739</v>
      </c>
      <c r="CH1150" s="789">
        <f>(CH38/CH1135)*100</f>
        <v>492.9784824462061</v>
      </c>
      <c r="CJ1150" s="789">
        <f>(CJ38/CJ1135)*100</f>
        <v>252.79819106840026</v>
      </c>
      <c r="CK1150" s="789">
        <f>(CK38/CK1135)*100</f>
        <v>165.91294516676086</v>
      </c>
      <c r="CL1150" s="789">
        <f>(CL38/CL1135)*100</f>
        <v>418.71113623516106</v>
      </c>
      <c r="CN1150" s="789">
        <f>(CN38/CN1135)*100</f>
        <v>224.12429378531073</v>
      </c>
      <c r="CO1150" s="789">
        <f>(CO38/CO1135)*100</f>
        <v>272.79909706546277</v>
      </c>
      <c r="CP1150" s="789">
        <f>(CP38/CP1135)*100</f>
        <v>496.95087521174474</v>
      </c>
      <c r="CR1150" s="789">
        <f>(CR38/CR1135)*100</f>
        <v>278.50574712643675</v>
      </c>
      <c r="CS1150" s="789">
        <f>(CS38/CS1135)*100</f>
        <v>285.32863849765261</v>
      </c>
      <c r="CT1150" s="789">
        <f>(CT38/CT1135)*100</f>
        <v>563.76306620209061</v>
      </c>
      <c r="CV1150" s="789">
        <f>(CV38/CV1135)*100</f>
        <v>306.19469026548671</v>
      </c>
      <c r="CW1150" s="789">
        <f>(CW38/CW1135)*100</f>
        <v>290.80118694362017</v>
      </c>
      <c r="CX1150" s="789">
        <f>(CX38/CX1135)*100</f>
        <v>597.04142011834313</v>
      </c>
      <c r="CZ1150" s="789">
        <f>(CZ38/CZ1135)*100</f>
        <v>300.17921146953404</v>
      </c>
      <c r="DA1150" s="789">
        <f>(DA38/DA1135)*100</f>
        <v>288.22474596533169</v>
      </c>
      <c r="DB1150" s="789">
        <f>(DB38/DB1135)*100</f>
        <v>588.58338314405262</v>
      </c>
      <c r="DC1150" s="790"/>
      <c r="DD1150" s="722">
        <f>(DD38/DD1135)*100</f>
        <v>306.99760765550241</v>
      </c>
      <c r="DE1150" s="722">
        <f>(DE38/DE1135)*100</f>
        <v>306.22009569377991</v>
      </c>
      <c r="DF1150" s="722">
        <f>(DF38/DF1135)*100</f>
        <v>613.21770334928237</v>
      </c>
      <c r="DG1150" s="790"/>
      <c r="DH1150" s="722">
        <f>(DH38/DH1135)*100</f>
        <v>325.65789473684214</v>
      </c>
      <c r="DI1150" s="722">
        <f>(DI38/DI1135)*100</f>
        <v>336.3743906260662</v>
      </c>
      <c r="DJ1150" s="722">
        <f>(DJ38/DJ1135)*100</f>
        <v>662.03273653094163</v>
      </c>
      <c r="DK1150" s="767"/>
      <c r="DL1150" s="722">
        <f ca="1">(DL38/DL1135)*100</f>
        <v>354.38117651901661</v>
      </c>
      <c r="DM1150" s="722">
        <f ca="1">(DM38/DM1135)*100</f>
        <v>351.37926303902549</v>
      </c>
      <c r="DN1150" s="722">
        <f ca="1">(DN38/DN1135)*100</f>
        <v>705.76043955804209</v>
      </c>
      <c r="DP1150" s="722">
        <f ca="1">(DP38/DP1135)*100</f>
        <v>367.07462713125983</v>
      </c>
      <c r="DQ1150" s="722">
        <f ca="1">(DQ38/DQ1135)*100</f>
        <v>366.03988536756395</v>
      </c>
      <c r="DR1150" s="722">
        <f ca="1">(DR38/DR1135)*100</f>
        <v>733.11451249882373</v>
      </c>
    </row>
    <row r="1151" spans="1:123" s="411" customFormat="1" x14ac:dyDescent="0.2">
      <c r="A1151" s="411" t="s">
        <v>774</v>
      </c>
      <c r="B1151" s="423"/>
      <c r="BH1151" s="725">
        <f>+BH31/BH1135*100</f>
        <v>362.8171170639215</v>
      </c>
      <c r="BI1151" s="725">
        <f>+BI31/BI1135*100</f>
        <v>370.9003354922624</v>
      </c>
      <c r="BJ1151" s="725">
        <f>+BJ31/BJ1135*100</f>
        <v>733.74269683609759</v>
      </c>
      <c r="BK1151" s="423"/>
      <c r="BL1151" s="725">
        <f>+BL31/BL1135*100</f>
        <v>395.42922232371819</v>
      </c>
      <c r="BM1151" s="725">
        <f>+BM31/BM1135*100</f>
        <v>400.85954070460554</v>
      </c>
      <c r="BN1151" s="725">
        <f>+BN31/BN1135*100</f>
        <v>796.44545519866915</v>
      </c>
      <c r="BO1151" s="423"/>
      <c r="BP1151" s="725">
        <f>+BP31/BP1135*100</f>
        <v>418.2971826042932</v>
      </c>
      <c r="BQ1151" s="725">
        <f>+BQ31/BQ1135*100</f>
        <v>415.62809660373705</v>
      </c>
      <c r="BR1151" s="725">
        <f>+BR31/BR1135*100</f>
        <v>834.05191190080893</v>
      </c>
      <c r="BT1151" s="725">
        <f>+BT31/BT1135*100</f>
        <v>429.67818831942787</v>
      </c>
      <c r="BU1151" s="725">
        <f>+BU31/BU1135*100</f>
        <v>415.6231714452897</v>
      </c>
      <c r="BV1151" s="725">
        <f>+BV31/BV1135*100</f>
        <v>845.42232722976962</v>
      </c>
      <c r="BX1151" s="725">
        <f>+BX31/BX1135*100</f>
        <v>428.58806404657929</v>
      </c>
      <c r="BY1151" s="725">
        <f>+BY31/BY1135*100</f>
        <v>423.13714120034797</v>
      </c>
      <c r="BZ1151" s="725">
        <f>+BZ31/BZ1135*100</f>
        <v>851.71411969785015</v>
      </c>
      <c r="CB1151" s="725">
        <f>+CB31/CB1135*100</f>
        <v>413.50962920379419</v>
      </c>
      <c r="CC1151" s="725">
        <f>+CC31/CC1135*100</f>
        <v>383.92246294184724</v>
      </c>
      <c r="CD1151" s="725">
        <f>+CD31/CD1135*100</f>
        <v>797.19519175729818</v>
      </c>
      <c r="CF1151" s="725">
        <f>+CF31/CF1135*100</f>
        <v>392.73964832671584</v>
      </c>
      <c r="CG1151" s="725">
        <f>+CG31/CG1135*100</f>
        <v>329.62125494629737</v>
      </c>
      <c r="CH1151" s="725">
        <f>+CH31/CH1135*100</f>
        <v>722.2536806342016</v>
      </c>
      <c r="CJ1151" s="725">
        <f>+CJ31/CJ1135*100</f>
        <v>382.47597512719051</v>
      </c>
      <c r="CK1151" s="725">
        <f>+CK31/CK1135*100</f>
        <v>339.11814584511023</v>
      </c>
      <c r="CL1151" s="725">
        <f>+CL31/CL1135*100</f>
        <v>721.59412097230074</v>
      </c>
      <c r="CN1151" s="725">
        <f>+CN31/CN1135*100</f>
        <v>359.88700564971754</v>
      </c>
      <c r="CO1151" s="725">
        <f>+CO31/CO1135*100</f>
        <v>362.69751693002257</v>
      </c>
      <c r="CP1151" s="725">
        <f>+CP31/CP1135*100</f>
        <v>722.58610954263133</v>
      </c>
      <c r="CR1151" s="725">
        <f>+CR31/CR1135*100</f>
        <v>380.28735632183907</v>
      </c>
      <c r="CS1151" s="725">
        <f>+CS31/CS1135*100</f>
        <v>389.90610328638502</v>
      </c>
      <c r="CT1151" s="725">
        <f>+CT31/CT1135*100</f>
        <v>770.09291521486648</v>
      </c>
      <c r="CV1151" s="725">
        <f>+CV31/CV1135*100</f>
        <v>463.12684365781712</v>
      </c>
      <c r="CW1151" s="725">
        <f>+CW31/CW1135*100</f>
        <v>440.77151335311572</v>
      </c>
      <c r="CX1151" s="725">
        <f>+CX31/CX1135*100</f>
        <v>903.96449704142015</v>
      </c>
      <c r="CZ1151" s="725">
        <f>+CZ31/CZ1135*100</f>
        <v>456.27240143369175</v>
      </c>
      <c r="DA1151" s="725">
        <f>+DA31/DA1135*100</f>
        <v>437.41781231320982</v>
      </c>
      <c r="DB1151" s="725">
        <f>+DB31/DB1135*100</f>
        <v>893.96294082486543</v>
      </c>
      <c r="DD1151" s="725">
        <f>+DD31/DD1135*100</f>
        <v>462.02153110047846</v>
      </c>
      <c r="DE1151" s="725">
        <f>+DE31/DE1135*100</f>
        <v>463.15789473684214</v>
      </c>
      <c r="DF1151" s="725">
        <f>+DF31/DF1135*100</f>
        <v>925.17942583732054</v>
      </c>
      <c r="DH1151" s="725">
        <f>+DH31/DH1135*100</f>
        <v>486.30382775119614</v>
      </c>
      <c r="DI1151" s="725">
        <f>+DI31/DI1135*100</f>
        <v>504.23898896730765</v>
      </c>
      <c r="DJ1151" s="725">
        <f>+DJ31/DJ1135*100</f>
        <v>990.543571794743</v>
      </c>
      <c r="DL1151" s="725">
        <f ca="1">+DL31/DL1135*100</f>
        <v>536.57722190365882</v>
      </c>
      <c r="DM1151" s="725">
        <f ca="1">+DM31/DM1135*100</f>
        <v>536.1391591518244</v>
      </c>
      <c r="DN1151" s="725">
        <f ca="1">+DN31/DN1135*100</f>
        <v>1072.7163810554832</v>
      </c>
      <c r="DP1151" s="725">
        <f ca="1">+DP31/DP1135*100</f>
        <v>559.84280275959804</v>
      </c>
      <c r="DQ1151" s="725">
        <f ca="1">+DQ31/DQ1135*100</f>
        <v>558.86012995551448</v>
      </c>
      <c r="DR1151" s="725">
        <f ca="1">+DR31/DR1135*100</f>
        <v>1118.7029327151122</v>
      </c>
    </row>
    <row r="1152" spans="1:123" s="347" customFormat="1" x14ac:dyDescent="0.2">
      <c r="B1152" s="348"/>
      <c r="BH1152" s="348"/>
      <c r="BI1152" s="348"/>
      <c r="BJ1152" s="348"/>
      <c r="BK1152" s="348"/>
      <c r="BL1152" s="348"/>
      <c r="BM1152" s="348"/>
      <c r="BN1152" s="348"/>
      <c r="BO1152" s="348"/>
      <c r="BP1152" s="348"/>
      <c r="BQ1152" s="348"/>
      <c r="BR1152" s="348"/>
      <c r="BT1152" s="348"/>
      <c r="BX1152" s="348"/>
      <c r="CB1152" s="348"/>
      <c r="CF1152" s="348"/>
      <c r="CJ1152" s="348"/>
      <c r="CN1152" s="348"/>
      <c r="CR1152" s="348"/>
      <c r="CV1152" s="348"/>
      <c r="CZ1152" s="348"/>
      <c r="DD1152" s="348"/>
      <c r="DH1152" s="348"/>
      <c r="DL1152" s="348"/>
      <c r="DP1152" s="348"/>
    </row>
    <row r="1153" spans="1:264" s="386" customFormat="1" x14ac:dyDescent="0.2">
      <c r="A1153" s="383" t="s">
        <v>80</v>
      </c>
      <c r="B1153" s="384"/>
      <c r="C1153" s="385"/>
      <c r="D1153" s="385"/>
      <c r="E1153" s="385"/>
      <c r="F1153" s="385"/>
      <c r="G1153" s="385"/>
      <c r="H1153" s="385"/>
      <c r="I1153" s="385"/>
      <c r="J1153" s="385"/>
      <c r="K1153" s="385"/>
      <c r="L1153" s="385"/>
      <c r="M1153" s="385"/>
      <c r="N1153" s="385"/>
      <c r="O1153" s="385"/>
      <c r="P1153" s="385"/>
      <c r="Q1153" s="385"/>
      <c r="R1153" s="385"/>
      <c r="S1153" s="385"/>
      <c r="T1153" s="385"/>
      <c r="U1153" s="385"/>
      <c r="V1153" s="385"/>
      <c r="W1153" s="385"/>
      <c r="X1153" s="385"/>
      <c r="Y1153" s="385"/>
      <c r="Z1153" s="385"/>
      <c r="AA1153" s="385"/>
      <c r="AB1153" s="385"/>
      <c r="AC1153" s="385"/>
      <c r="AD1153" s="385"/>
      <c r="AE1153" s="385"/>
      <c r="AF1153" s="385"/>
      <c r="AG1153" s="385"/>
      <c r="AH1153" s="385"/>
      <c r="AI1153" s="385"/>
      <c r="AJ1153" s="385"/>
      <c r="AK1153" s="385"/>
      <c r="AL1153" s="385"/>
      <c r="AM1153" s="385"/>
      <c r="AN1153" s="385"/>
      <c r="AO1153" s="385"/>
      <c r="AP1153" s="385"/>
      <c r="AQ1153" s="385"/>
      <c r="AR1153" s="385"/>
      <c r="AS1153" s="385"/>
      <c r="AT1153" s="385"/>
      <c r="AU1153" s="385"/>
      <c r="AV1153" s="385"/>
      <c r="AW1153" s="385"/>
      <c r="AX1153" s="385"/>
      <c r="AY1153" s="385"/>
      <c r="AZ1153" s="385"/>
      <c r="BA1153" s="385"/>
      <c r="BB1153" s="385"/>
      <c r="BC1153" s="385"/>
      <c r="BD1153" s="385"/>
      <c r="BE1153" s="385"/>
      <c r="BF1153" s="385"/>
      <c r="BG1153" s="385"/>
      <c r="BH1153" s="384"/>
      <c r="BI1153" s="384"/>
      <c r="BJ1153" s="384"/>
      <c r="BK1153" s="384"/>
      <c r="BL1153" s="384"/>
      <c r="BM1153" s="384"/>
      <c r="BN1153" s="384"/>
      <c r="BO1153" s="384"/>
      <c r="BP1153" s="384"/>
      <c r="BQ1153" s="385"/>
      <c r="BR1153" s="385"/>
      <c r="BS1153" s="385"/>
      <c r="BT1153" s="384"/>
      <c r="BU1153" s="385"/>
      <c r="BV1153" s="385"/>
      <c r="BW1153" s="385"/>
      <c r="BX1153" s="384"/>
      <c r="BY1153" s="385"/>
      <c r="BZ1153" s="385"/>
      <c r="CA1153" s="385"/>
      <c r="CB1153" s="384"/>
      <c r="CC1153" s="385"/>
      <c r="CD1153" s="385"/>
      <c r="CE1153" s="385"/>
      <c r="CF1153" s="384"/>
      <c r="CG1153" s="385"/>
      <c r="CH1153" s="385"/>
      <c r="CI1153" s="385"/>
      <c r="CJ1153" s="384"/>
      <c r="CK1153" s="385"/>
      <c r="CL1153" s="385"/>
      <c r="CM1153" s="385"/>
      <c r="CN1153" s="384"/>
      <c r="CO1153" s="385"/>
      <c r="CP1153" s="385"/>
      <c r="CQ1153" s="385"/>
      <c r="CR1153" s="384"/>
      <c r="CS1153" s="385"/>
      <c r="CT1153" s="385"/>
      <c r="CU1153" s="385"/>
      <c r="CV1153" s="384"/>
      <c r="CW1153" s="385"/>
      <c r="CX1153" s="385"/>
      <c r="CY1153" s="385"/>
      <c r="CZ1153" s="384"/>
      <c r="DA1153" s="385"/>
      <c r="DB1153" s="385"/>
      <c r="DC1153" s="385"/>
      <c r="DD1153" s="384"/>
      <c r="DE1153" s="385"/>
      <c r="DF1153" s="385"/>
      <c r="DG1153" s="385"/>
      <c r="DH1153" s="384"/>
      <c r="DI1153" s="385"/>
      <c r="DJ1153" s="385"/>
      <c r="DK1153" s="385"/>
      <c r="DL1153" s="384"/>
      <c r="DM1153" s="385"/>
      <c r="DN1153" s="385"/>
      <c r="DO1153" s="385"/>
      <c r="DP1153" s="384"/>
      <c r="DQ1153" s="385"/>
      <c r="DR1153" s="385"/>
      <c r="DS1153" s="385"/>
      <c r="DT1153" s="1"/>
      <c r="DU1153" s="1"/>
      <c r="DV1153" s="1"/>
      <c r="DW1153" s="1"/>
      <c r="DX1153" s="1"/>
      <c r="DY1153" s="1"/>
      <c r="DZ1153" s="1"/>
      <c r="EA1153" s="1"/>
      <c r="EB1153" s="1"/>
      <c r="EC1153" s="1"/>
      <c r="ED1153" s="1"/>
      <c r="EE1153" s="1"/>
      <c r="EF1153" s="1"/>
      <c r="EG1153" s="1"/>
      <c r="EH1153" s="1"/>
      <c r="EI1153" s="1"/>
      <c r="EJ1153" s="1"/>
      <c r="EK1153" s="1"/>
      <c r="EL1153" s="1"/>
      <c r="EM1153" s="1"/>
      <c r="EN1153" s="1"/>
      <c r="EO1153" s="1"/>
      <c r="EP1153" s="1"/>
      <c r="EQ1153" s="1"/>
      <c r="ER1153" s="1"/>
      <c r="ES1153" s="1"/>
      <c r="ET1153" s="1"/>
      <c r="EU1153" s="1"/>
      <c r="EV1153" s="1"/>
      <c r="EW1153" s="1"/>
      <c r="EX1153" s="1"/>
      <c r="EY1153" s="1"/>
      <c r="EZ1153" s="1"/>
      <c r="FA1153" s="1"/>
      <c r="FB1153" s="1"/>
      <c r="FC1153" s="1"/>
      <c r="FD1153" s="1"/>
      <c r="FE1153" s="1"/>
      <c r="FF1153" s="1"/>
      <c r="FG1153" s="1"/>
      <c r="FH1153" s="1"/>
      <c r="FI1153" s="1"/>
      <c r="FJ1153" s="1"/>
      <c r="FK1153" s="1"/>
      <c r="FL1153" s="1"/>
      <c r="FM1153" s="1"/>
      <c r="FN1153" s="1"/>
      <c r="FO1153" s="1"/>
      <c r="FP1153" s="1"/>
      <c r="FQ1153" s="1"/>
      <c r="FR1153" s="1"/>
      <c r="FS1153" s="1"/>
      <c r="FT1153" s="1"/>
      <c r="FU1153" s="1"/>
      <c r="FV1153" s="1"/>
      <c r="FW1153" s="1"/>
      <c r="FX1153" s="1"/>
      <c r="FY1153" s="1"/>
      <c r="FZ1153" s="1"/>
      <c r="GA1153" s="1"/>
      <c r="GB1153" s="1"/>
      <c r="GC1153" s="1"/>
      <c r="GD1153" s="1"/>
      <c r="GE1153" s="1"/>
      <c r="GF1153" s="1"/>
      <c r="GG1153" s="1"/>
      <c r="GH1153" s="1"/>
      <c r="GI1153" s="1"/>
      <c r="GJ1153" s="1"/>
      <c r="GK1153" s="1"/>
      <c r="GL1153" s="1"/>
      <c r="GM1153" s="1"/>
      <c r="GN1153" s="1"/>
      <c r="GO1153" s="1"/>
      <c r="GP1153" s="1"/>
      <c r="GQ1153" s="1"/>
      <c r="GR1153" s="1"/>
      <c r="GS1153" s="1"/>
      <c r="GT1153" s="1"/>
      <c r="GU1153" s="1"/>
      <c r="GV1153" s="1"/>
      <c r="GW1153" s="1"/>
      <c r="GX1153" s="1"/>
      <c r="GY1153" s="1"/>
      <c r="GZ1153" s="1"/>
      <c r="HA1153" s="1"/>
      <c r="HB1153" s="1"/>
      <c r="HC1153" s="1"/>
      <c r="HD1153" s="1"/>
      <c r="HE1153" s="1"/>
      <c r="HF1153" s="1"/>
      <c r="HG1153" s="1"/>
      <c r="HH1153" s="1"/>
      <c r="HI1153" s="1"/>
      <c r="HJ1153" s="1"/>
      <c r="HK1153" s="1"/>
      <c r="HL1153" s="1"/>
      <c r="HM1153" s="1"/>
      <c r="HN1153" s="1"/>
      <c r="HO1153" s="1"/>
      <c r="HP1153" s="1"/>
      <c r="HQ1153" s="1"/>
      <c r="HR1153" s="1"/>
      <c r="HS1153" s="1"/>
      <c r="HT1153" s="1"/>
      <c r="HU1153" s="1"/>
      <c r="HV1153" s="1"/>
      <c r="HW1153" s="1"/>
      <c r="HX1153" s="1"/>
      <c r="HY1153" s="1"/>
      <c r="HZ1153" s="1"/>
      <c r="IA1153" s="1"/>
      <c r="IB1153" s="1"/>
      <c r="IC1153" s="1"/>
      <c r="ID1153" s="1"/>
      <c r="IE1153" s="1"/>
      <c r="IF1153" s="1"/>
      <c r="IG1153" s="1"/>
      <c r="IH1153" s="1"/>
      <c r="II1153" s="1"/>
      <c r="IJ1153" s="1"/>
      <c r="IK1153" s="1"/>
      <c r="IL1153" s="1"/>
      <c r="IM1153" s="1"/>
      <c r="IN1153" s="1"/>
      <c r="IO1153" s="1"/>
      <c r="IP1153" s="1"/>
      <c r="IQ1153" s="1"/>
      <c r="IR1153" s="1"/>
      <c r="IS1153" s="1"/>
      <c r="IT1153" s="1"/>
      <c r="IU1153" s="1"/>
      <c r="IV1153" s="1"/>
      <c r="IW1153" s="1"/>
      <c r="IX1153" s="1"/>
      <c r="IY1153" s="1"/>
      <c r="IZ1153" s="1"/>
      <c r="JA1153" s="1"/>
      <c r="JB1153" s="1"/>
      <c r="JC1153" s="1"/>
      <c r="JD1153" s="1"/>
    </row>
    <row r="1154" spans="1:264" s="347" customFormat="1" x14ac:dyDescent="0.2">
      <c r="B1154" s="348"/>
      <c r="BH1154" s="348"/>
      <c r="BI1154" s="348"/>
      <c r="BJ1154" s="348"/>
      <c r="BK1154" s="348"/>
      <c r="BL1154" s="348"/>
      <c r="BM1154" s="348"/>
      <c r="BN1154" s="348"/>
      <c r="BO1154" s="348"/>
      <c r="BP1154" s="348"/>
      <c r="BT1154" s="348"/>
      <c r="BX1154" s="348"/>
      <c r="CB1154" s="348"/>
      <c r="CF1154" s="348"/>
      <c r="CJ1154" s="348"/>
      <c r="CN1154" s="348"/>
      <c r="CR1154" s="348"/>
      <c r="CV1154" s="348"/>
      <c r="CZ1154" s="348"/>
      <c r="DD1154" s="348"/>
      <c r="DH1154" s="348"/>
      <c r="DL1154" s="348"/>
      <c r="DP1154" s="348"/>
      <c r="DT1154" s="1"/>
      <c r="DU1154" s="1"/>
      <c r="DV1154" s="1"/>
      <c r="DW1154" s="1"/>
      <c r="DX1154" s="1"/>
      <c r="DY1154" s="1"/>
      <c r="DZ1154" s="1"/>
      <c r="EA1154" s="1"/>
      <c r="EB1154" s="1"/>
      <c r="EC1154" s="1"/>
      <c r="ED1154" s="1"/>
      <c r="EE1154" s="1"/>
      <c r="EF1154" s="1"/>
      <c r="EG1154" s="1"/>
      <c r="EH1154" s="1"/>
      <c r="EI1154" s="1"/>
      <c r="EJ1154" s="1"/>
      <c r="EK1154" s="1"/>
      <c r="EL1154" s="1"/>
      <c r="EM1154" s="1"/>
      <c r="EN1154" s="1"/>
      <c r="EO1154" s="1"/>
      <c r="EP1154" s="1"/>
      <c r="EQ1154" s="1"/>
      <c r="ER1154" s="1"/>
      <c r="ES1154" s="1"/>
      <c r="ET1154" s="1"/>
      <c r="EU1154" s="1"/>
      <c r="EV1154" s="1"/>
      <c r="EW1154" s="1"/>
      <c r="EX1154" s="1"/>
      <c r="EY1154" s="1"/>
      <c r="EZ1154" s="1"/>
      <c r="FA1154" s="1"/>
      <c r="FB1154" s="1"/>
      <c r="FC1154" s="1"/>
      <c r="FD1154" s="1"/>
      <c r="FE1154" s="1"/>
      <c r="FF1154" s="1"/>
      <c r="FG1154" s="1"/>
      <c r="FH1154" s="1"/>
      <c r="FI1154" s="1"/>
      <c r="FJ1154" s="1"/>
      <c r="FK1154" s="1"/>
      <c r="FL1154" s="1"/>
      <c r="FM1154" s="1"/>
      <c r="FN1154" s="1"/>
      <c r="FO1154" s="1"/>
      <c r="FP1154" s="1"/>
      <c r="FQ1154" s="1"/>
      <c r="FR1154" s="1"/>
      <c r="FS1154" s="1"/>
      <c r="FT1154" s="1"/>
      <c r="FU1154" s="1"/>
      <c r="FV1154" s="1"/>
      <c r="FW1154" s="1"/>
      <c r="FX1154" s="1"/>
      <c r="FY1154" s="1"/>
      <c r="FZ1154" s="1"/>
      <c r="GA1154" s="1"/>
      <c r="GB1154" s="1"/>
      <c r="GC1154" s="1"/>
      <c r="GD1154" s="1"/>
      <c r="GE1154" s="1"/>
      <c r="GF1154" s="1"/>
      <c r="GG1154" s="1"/>
      <c r="GH1154" s="1"/>
      <c r="GI1154" s="1"/>
      <c r="GJ1154" s="1"/>
      <c r="GK1154" s="1"/>
      <c r="GL1154" s="1"/>
      <c r="GM1154" s="1"/>
      <c r="GN1154" s="1"/>
      <c r="GO1154" s="1"/>
      <c r="GP1154" s="1"/>
      <c r="GQ1154" s="1"/>
      <c r="GR1154" s="1"/>
      <c r="GS1154" s="1"/>
      <c r="GT1154" s="1"/>
      <c r="GU1154" s="1"/>
      <c r="GV1154" s="1"/>
      <c r="GW1154" s="1"/>
      <c r="GX1154" s="1"/>
      <c r="GY1154" s="1"/>
      <c r="GZ1154" s="1"/>
      <c r="HA1154" s="1"/>
      <c r="HB1154" s="1"/>
      <c r="HC1154" s="1"/>
      <c r="HD1154" s="1"/>
      <c r="HE1154" s="1"/>
      <c r="HF1154" s="1"/>
      <c r="HG1154" s="1"/>
      <c r="HH1154" s="1"/>
      <c r="HI1154" s="1"/>
      <c r="HJ1154" s="1"/>
      <c r="HK1154" s="1"/>
      <c r="HL1154" s="1"/>
      <c r="HM1154" s="1"/>
      <c r="HN1154" s="1"/>
      <c r="HO1154" s="1"/>
      <c r="HP1154" s="1"/>
      <c r="HQ1154" s="1"/>
      <c r="HR1154" s="1"/>
      <c r="HS1154" s="1"/>
      <c r="HT1154" s="1"/>
      <c r="HU1154" s="1"/>
      <c r="HV1154" s="1"/>
      <c r="HW1154" s="1"/>
      <c r="HX1154" s="1"/>
      <c r="HY1154" s="1"/>
      <c r="HZ1154" s="1"/>
      <c r="IA1154" s="1"/>
      <c r="IB1154" s="1"/>
      <c r="IC1154" s="1"/>
      <c r="ID1154" s="1"/>
      <c r="IE1154" s="1"/>
      <c r="IF1154" s="1"/>
      <c r="IG1154" s="1"/>
      <c r="IH1154" s="1"/>
      <c r="II1154" s="1"/>
      <c r="IJ1154" s="1"/>
      <c r="IK1154" s="1"/>
      <c r="IL1154" s="1"/>
      <c r="IM1154" s="1"/>
      <c r="IN1154" s="1"/>
      <c r="IO1154" s="1"/>
      <c r="IP1154" s="1"/>
      <c r="IQ1154" s="1"/>
      <c r="IR1154" s="1"/>
      <c r="IS1154" s="1"/>
      <c r="IT1154" s="1"/>
      <c r="IU1154" s="1"/>
      <c r="IV1154" s="1"/>
      <c r="IW1154" s="1"/>
      <c r="IX1154" s="1"/>
      <c r="IY1154" s="1"/>
      <c r="IZ1154" s="1"/>
      <c r="JA1154" s="1"/>
      <c r="JB1154" s="1"/>
      <c r="JC1154" s="1"/>
      <c r="JD1154" s="1"/>
    </row>
    <row r="1155" spans="1:264" s="460" customFormat="1" x14ac:dyDescent="0.2">
      <c r="A1155" s="568" t="s">
        <v>775</v>
      </c>
      <c r="B1155" s="569"/>
      <c r="C1155" s="568"/>
      <c r="D1155" s="568"/>
      <c r="E1155" s="568"/>
      <c r="F1155" s="568"/>
      <c r="G1155" s="568"/>
      <c r="H1155" s="568"/>
      <c r="I1155" s="568"/>
      <c r="J1155" s="568"/>
      <c r="K1155" s="568"/>
      <c r="L1155" s="568"/>
      <c r="M1155" s="568"/>
      <c r="N1155" s="568"/>
      <c r="O1155" s="568"/>
      <c r="P1155" s="568"/>
      <c r="Q1155" s="568"/>
      <c r="R1155" s="568"/>
      <c r="S1155" s="568"/>
      <c r="T1155" s="568"/>
      <c r="U1155" s="568"/>
      <c r="V1155" s="568"/>
      <c r="W1155" s="568"/>
      <c r="X1155" s="568"/>
      <c r="Y1155" s="568"/>
      <c r="Z1155" s="568"/>
      <c r="AA1155" s="568"/>
      <c r="AB1155" s="568"/>
      <c r="AC1155" s="568"/>
      <c r="AD1155" s="568"/>
      <c r="AE1155" s="568"/>
      <c r="AF1155" s="568"/>
      <c r="AG1155" s="568"/>
      <c r="AH1155" s="568"/>
      <c r="AI1155" s="568"/>
      <c r="AJ1155" s="568"/>
      <c r="AK1155" s="568"/>
      <c r="AL1155" s="568"/>
      <c r="AM1155" s="568"/>
      <c r="AN1155" s="568"/>
      <c r="AO1155" s="568"/>
      <c r="AP1155" s="568"/>
      <c r="AQ1155" s="568"/>
      <c r="AR1155" s="568"/>
      <c r="AS1155" s="568"/>
      <c r="AT1155" s="568"/>
      <c r="AU1155" s="568"/>
      <c r="AV1155" s="568"/>
      <c r="AW1155" s="568"/>
      <c r="AX1155" s="568"/>
      <c r="AY1155" s="568"/>
      <c r="AZ1155" s="568"/>
      <c r="BA1155" s="568"/>
      <c r="BB1155" s="568"/>
      <c r="BC1155" s="568"/>
      <c r="BD1155" s="568"/>
      <c r="BE1155" s="568"/>
      <c r="BF1155" s="568"/>
      <c r="BG1155" s="568"/>
      <c r="BH1155" s="569" t="s">
        <v>776</v>
      </c>
      <c r="BI1155" s="569" t="s">
        <v>776</v>
      </c>
      <c r="BJ1155" s="569"/>
      <c r="BK1155" s="569"/>
      <c r="BL1155" s="569"/>
      <c r="BM1155" s="569"/>
      <c r="BN1155" s="569"/>
      <c r="BO1155" s="569"/>
      <c r="BP1155" s="569"/>
      <c r="BQ1155" s="568"/>
      <c r="BR1155" s="568"/>
      <c r="BS1155" s="568"/>
      <c r="BT1155" s="569"/>
      <c r="BU1155" s="568"/>
      <c r="BV1155" s="568"/>
      <c r="BW1155" s="568"/>
      <c r="BX1155" s="569"/>
      <c r="BY1155" s="568"/>
      <c r="BZ1155" s="568"/>
      <c r="CA1155" s="568"/>
      <c r="CB1155" s="569"/>
      <c r="CC1155" s="568"/>
      <c r="CD1155" s="568"/>
      <c r="CE1155" s="568"/>
      <c r="CF1155" s="569"/>
      <c r="CG1155" s="568"/>
      <c r="CH1155" s="568"/>
      <c r="CI1155" s="568"/>
      <c r="CJ1155" s="569"/>
      <c r="CK1155" s="568"/>
      <c r="CL1155" s="568"/>
      <c r="CM1155" s="568"/>
      <c r="CN1155" s="569"/>
      <c r="CO1155" s="568"/>
      <c r="CP1155" s="568"/>
      <c r="CQ1155" s="568"/>
      <c r="CR1155" s="569"/>
      <c r="CS1155" s="568"/>
      <c r="CT1155" s="568"/>
      <c r="CU1155" s="568"/>
      <c r="CV1155" s="569"/>
      <c r="CW1155" s="568"/>
      <c r="CX1155" s="568"/>
      <c r="CY1155" s="568"/>
      <c r="CZ1155" s="569"/>
      <c r="DA1155" s="568"/>
      <c r="DB1155" s="568"/>
      <c r="DC1155" s="568"/>
      <c r="DD1155" s="569"/>
      <c r="DE1155" s="568"/>
      <c r="DF1155" s="568"/>
      <c r="DG1155" s="568"/>
      <c r="DH1155" s="569"/>
      <c r="DI1155" s="568"/>
      <c r="DJ1155" s="568"/>
      <c r="DK1155" s="568"/>
      <c r="DL1155" s="569"/>
      <c r="DM1155" s="568"/>
      <c r="DN1155" s="568"/>
      <c r="DO1155" s="568"/>
      <c r="DP1155" s="569"/>
      <c r="DQ1155" s="568"/>
      <c r="DR1155" s="568"/>
      <c r="DS1155" s="568"/>
      <c r="DT1155" s="1"/>
      <c r="DU1155" s="1"/>
      <c r="DV1155" s="1"/>
      <c r="DW1155" s="1"/>
      <c r="DX1155" s="1"/>
      <c r="DY1155" s="1"/>
      <c r="DZ1155" s="1"/>
      <c r="EA1155" s="1"/>
      <c r="EB1155" s="1"/>
      <c r="EC1155" s="1"/>
      <c r="ED1155" s="1"/>
      <c r="EE1155" s="1"/>
      <c r="EF1155" s="1"/>
      <c r="EG1155" s="1"/>
      <c r="EH1155" s="1"/>
      <c r="EI1155" s="1"/>
      <c r="EJ1155" s="1"/>
      <c r="EK1155" s="1"/>
      <c r="EL1155" s="1"/>
      <c r="EM1155" s="1"/>
      <c r="EN1155" s="1"/>
      <c r="EO1155" s="1"/>
      <c r="EP1155" s="1"/>
      <c r="EQ1155" s="1"/>
      <c r="ER1155" s="1"/>
      <c r="ES1155" s="1"/>
      <c r="ET1155" s="1"/>
      <c r="EU1155" s="1"/>
      <c r="EV1155" s="1"/>
      <c r="EW1155" s="1"/>
      <c r="EX1155" s="1"/>
      <c r="EY1155" s="1"/>
      <c r="EZ1155" s="1"/>
      <c r="FA1155" s="1"/>
      <c r="FB1155" s="1"/>
      <c r="FC1155" s="1"/>
      <c r="FD1155" s="1"/>
      <c r="FE1155" s="1"/>
      <c r="FF1155" s="1"/>
      <c r="FG1155" s="1"/>
      <c r="FH1155" s="1"/>
      <c r="FI1155" s="1"/>
      <c r="FJ1155" s="1"/>
      <c r="FK1155" s="1"/>
      <c r="FL1155" s="1"/>
      <c r="FM1155" s="1"/>
      <c r="FN1155" s="1"/>
      <c r="FO1155" s="1"/>
      <c r="FP1155" s="1"/>
      <c r="FQ1155" s="1"/>
      <c r="FR1155" s="1"/>
      <c r="FS1155" s="1"/>
      <c r="FT1155" s="1"/>
      <c r="FU1155" s="1"/>
      <c r="FV1155" s="1"/>
      <c r="FW1155" s="1"/>
      <c r="FX1155" s="1"/>
      <c r="FY1155" s="1"/>
      <c r="FZ1155" s="1"/>
      <c r="GA1155" s="1"/>
      <c r="GB1155" s="1"/>
      <c r="GC1155" s="1"/>
      <c r="GD1155" s="1"/>
      <c r="GE1155" s="1"/>
      <c r="GF1155" s="1"/>
      <c r="GG1155" s="1"/>
      <c r="GH1155" s="1"/>
      <c r="GI1155" s="1"/>
      <c r="GJ1155" s="1"/>
      <c r="GK1155" s="1"/>
      <c r="GL1155" s="1"/>
      <c r="GM1155" s="1"/>
      <c r="GN1155" s="1"/>
      <c r="GO1155" s="1"/>
      <c r="GP1155" s="1"/>
      <c r="GQ1155" s="1"/>
      <c r="GR1155" s="1"/>
      <c r="GS1155" s="1"/>
      <c r="GT1155" s="1"/>
      <c r="GU1155" s="1"/>
      <c r="GV1155" s="1"/>
      <c r="GW1155" s="1"/>
      <c r="GX1155" s="1"/>
      <c r="GY1155" s="1"/>
      <c r="GZ1155" s="1"/>
      <c r="HA1155" s="1"/>
      <c r="HB1155" s="1"/>
      <c r="HC1155" s="1"/>
      <c r="HD1155" s="1"/>
      <c r="HE1155" s="1"/>
      <c r="HF1155" s="1"/>
      <c r="HG1155" s="1"/>
      <c r="HH1155" s="1"/>
      <c r="HI1155" s="1"/>
      <c r="HJ1155" s="1"/>
      <c r="HK1155" s="1"/>
      <c r="HL1155" s="1"/>
      <c r="HM1155" s="1"/>
      <c r="HN1155" s="1"/>
      <c r="HO1155" s="1"/>
      <c r="HP1155" s="1"/>
      <c r="HQ1155" s="1"/>
      <c r="HR1155" s="1"/>
      <c r="HS1155" s="1"/>
      <c r="HT1155" s="1"/>
      <c r="HU1155" s="1"/>
      <c r="HV1155" s="1"/>
      <c r="HW1155" s="1"/>
      <c r="HX1155" s="1"/>
      <c r="HY1155" s="1"/>
      <c r="HZ1155" s="1"/>
      <c r="IA1155" s="1"/>
      <c r="IB1155" s="1"/>
      <c r="IC1155" s="1"/>
      <c r="ID1155" s="1"/>
      <c r="IE1155" s="1"/>
      <c r="IF1155" s="1"/>
      <c r="IG1155" s="1"/>
      <c r="IH1155" s="1"/>
      <c r="II1155" s="1"/>
      <c r="IJ1155" s="1"/>
      <c r="IK1155" s="1"/>
      <c r="IL1155" s="1"/>
      <c r="IM1155" s="1"/>
      <c r="IN1155" s="1"/>
      <c r="IO1155" s="1"/>
      <c r="IP1155" s="1"/>
      <c r="IQ1155" s="1"/>
      <c r="IR1155" s="1"/>
      <c r="IS1155" s="1"/>
      <c r="IT1155" s="1"/>
      <c r="IU1155" s="1"/>
      <c r="IV1155" s="1"/>
      <c r="IW1155" s="1"/>
      <c r="IX1155" s="1"/>
      <c r="IY1155" s="1"/>
      <c r="IZ1155" s="1"/>
      <c r="JA1155" s="1"/>
      <c r="JB1155" s="1"/>
      <c r="JC1155" s="1"/>
      <c r="JD1155" s="1"/>
    </row>
    <row r="1156" spans="1:264" s="347" customFormat="1" x14ac:dyDescent="0.2">
      <c r="B1156" s="348"/>
      <c r="BH1156" s="348"/>
      <c r="BI1156" s="348"/>
      <c r="BJ1156" s="348"/>
      <c r="BK1156" s="348"/>
      <c r="BL1156" s="348"/>
      <c r="BM1156" s="348"/>
      <c r="BN1156" s="348"/>
      <c r="BO1156" s="348"/>
      <c r="BP1156" s="348"/>
      <c r="BT1156" s="348"/>
      <c r="BX1156" s="348"/>
      <c r="CB1156" s="348"/>
      <c r="CC1156" s="348"/>
      <c r="CD1156" s="348"/>
      <c r="CJ1156" s="789"/>
      <c r="CN1156" s="348"/>
      <c r="CR1156" s="348"/>
      <c r="CV1156" s="348"/>
      <c r="CZ1156" s="348"/>
      <c r="DD1156" s="348"/>
      <c r="DH1156" s="348"/>
      <c r="DL1156" s="348"/>
      <c r="DP1156" s="348"/>
      <c r="DT1156" s="1"/>
      <c r="DU1156" s="1"/>
      <c r="DV1156" s="1"/>
      <c r="DW1156" s="1"/>
      <c r="DX1156" s="1"/>
      <c r="DY1156" s="1"/>
      <c r="DZ1156" s="1"/>
      <c r="EA1156" s="1"/>
      <c r="EB1156" s="1"/>
      <c r="EC1156" s="1"/>
      <c r="ED1156" s="1"/>
      <c r="EE1156" s="1"/>
      <c r="EF1156" s="1"/>
      <c r="EG1156" s="1"/>
      <c r="EH1156" s="1"/>
      <c r="EI1156" s="1"/>
      <c r="EJ1156" s="1"/>
      <c r="EK1156" s="1"/>
      <c r="EL1156" s="1"/>
      <c r="EM1156" s="1"/>
      <c r="EN1156" s="1"/>
      <c r="EO1156" s="1"/>
      <c r="EP1156" s="1"/>
      <c r="EQ1156" s="1"/>
      <c r="ER1156" s="1"/>
      <c r="ES1156" s="1"/>
      <c r="ET1156" s="1"/>
      <c r="EU1156" s="1"/>
      <c r="EV1156" s="1"/>
      <c r="EW1156" s="1"/>
      <c r="EX1156" s="1"/>
      <c r="EY1156" s="1"/>
      <c r="EZ1156" s="1"/>
      <c r="FA1156" s="1"/>
      <c r="FB1156" s="1"/>
      <c r="FC1156" s="1"/>
      <c r="FD1156" s="1"/>
      <c r="FE1156" s="1"/>
      <c r="FF1156" s="1"/>
      <c r="FG1156" s="1"/>
      <c r="FH1156" s="1"/>
      <c r="FI1156" s="1"/>
      <c r="FJ1156" s="1"/>
      <c r="FK1156" s="1"/>
      <c r="FL1156" s="1"/>
      <c r="FM1156" s="1"/>
      <c r="FN1156" s="1"/>
      <c r="FO1156" s="1"/>
      <c r="FP1156" s="1"/>
      <c r="FQ1156" s="1"/>
      <c r="FR1156" s="1"/>
      <c r="FS1156" s="1"/>
      <c r="FT1156" s="1"/>
      <c r="FU1156" s="1"/>
      <c r="FV1156" s="1"/>
      <c r="FW1156" s="1"/>
      <c r="FX1156" s="1"/>
      <c r="FY1156" s="1"/>
      <c r="FZ1156" s="1"/>
      <c r="GA1156" s="1"/>
      <c r="GB1156" s="1"/>
      <c r="GC1156" s="1"/>
      <c r="GD1156" s="1"/>
      <c r="GE1156" s="1"/>
      <c r="GF1156" s="1"/>
      <c r="GG1156" s="1"/>
      <c r="GH1156" s="1"/>
      <c r="GI1156" s="1"/>
      <c r="GJ1156" s="1"/>
      <c r="GK1156" s="1"/>
      <c r="GL1156" s="1"/>
      <c r="GM1156" s="1"/>
      <c r="GN1156" s="1"/>
      <c r="GO1156" s="1"/>
      <c r="GP1156" s="1"/>
      <c r="GQ1156" s="1"/>
      <c r="GR1156" s="1"/>
      <c r="GS1156" s="1"/>
      <c r="GT1156" s="1"/>
      <c r="GU1156" s="1"/>
      <c r="GV1156" s="1"/>
      <c r="GW1156" s="1"/>
      <c r="GX1156" s="1"/>
      <c r="GY1156" s="1"/>
      <c r="GZ1156" s="1"/>
      <c r="HA1156" s="1"/>
      <c r="HB1156" s="1"/>
      <c r="HC1156" s="1"/>
      <c r="HD1156" s="1"/>
      <c r="HE1156" s="1"/>
      <c r="HF1156" s="1"/>
      <c r="HG1156" s="1"/>
      <c r="HH1156" s="1"/>
      <c r="HI1156" s="1"/>
      <c r="HJ1156" s="1"/>
      <c r="HK1156" s="1"/>
      <c r="HL1156" s="1"/>
      <c r="HM1156" s="1"/>
      <c r="HN1156" s="1"/>
      <c r="HO1156" s="1"/>
      <c r="HP1156" s="1"/>
      <c r="HQ1156" s="1"/>
      <c r="HR1156" s="1"/>
      <c r="HS1156" s="1"/>
      <c r="HT1156" s="1"/>
      <c r="HU1156" s="1"/>
      <c r="HV1156" s="1"/>
      <c r="HW1156" s="1"/>
      <c r="HX1156" s="1"/>
      <c r="HY1156" s="1"/>
      <c r="HZ1156" s="1"/>
      <c r="IA1156" s="1"/>
      <c r="IB1156" s="1"/>
      <c r="IC1156" s="1"/>
      <c r="ID1156" s="1"/>
      <c r="IE1156" s="1"/>
      <c r="IF1156" s="1"/>
      <c r="IG1156" s="1"/>
      <c r="IH1156" s="1"/>
      <c r="II1156" s="1"/>
      <c r="IJ1156" s="1"/>
      <c r="IK1156" s="1"/>
      <c r="IL1156" s="1"/>
      <c r="IM1156" s="1"/>
      <c r="IN1156" s="1"/>
      <c r="IO1156" s="1"/>
      <c r="IP1156" s="1"/>
      <c r="IQ1156" s="1"/>
      <c r="IR1156" s="1"/>
      <c r="IS1156" s="1"/>
      <c r="IT1156" s="1"/>
      <c r="IU1156" s="1"/>
      <c r="IV1156" s="1"/>
      <c r="IW1156" s="1"/>
      <c r="IX1156" s="1"/>
      <c r="IY1156" s="1"/>
      <c r="IZ1156" s="1"/>
      <c r="JA1156" s="1"/>
      <c r="JB1156" s="1"/>
      <c r="JC1156" s="1"/>
      <c r="JD1156" s="1"/>
    </row>
    <row r="1157" spans="1:264" s="411" customFormat="1" x14ac:dyDescent="0.2">
      <c r="A1157" s="411" t="s">
        <v>777</v>
      </c>
      <c r="B1157" s="423"/>
      <c r="BH1157" s="490">
        <f>+BH1196/BH1310</f>
        <v>8.1110172666713234E-2</v>
      </c>
      <c r="BI1157" s="490">
        <f>+BI1196/BI1310</f>
        <v>8.2118617806646046E-2</v>
      </c>
      <c r="BJ1157" s="490">
        <f>+BJ1196/BJ1310</f>
        <v>8.2118617806646046E-2</v>
      </c>
      <c r="BK1157" s="423"/>
      <c r="BL1157" s="490">
        <f>+BL1196/BL1310</f>
        <v>8.5392747391508594E-2</v>
      </c>
      <c r="BM1157" s="490">
        <f>+BM1196/BM1310</f>
        <v>9.3013339650296845E-2</v>
      </c>
      <c r="BN1157" s="490">
        <f>+BN1196/BN1310</f>
        <v>9.3013339650296845E-2</v>
      </c>
      <c r="BO1157" s="423"/>
      <c r="BP1157" s="490">
        <f>+BP1196/BP1310</f>
        <v>9.2296231673880041E-2</v>
      </c>
      <c r="BQ1157" s="490">
        <f>+BQ1196/BQ1310</f>
        <v>9.0577970877709704E-2</v>
      </c>
      <c r="BR1157" s="490">
        <f>+BR1196/BR1310</f>
        <v>9.0577970877709704E-2</v>
      </c>
      <c r="BT1157" s="490">
        <f>+BT1196/BT1310</f>
        <v>0.10241887424808105</v>
      </c>
      <c r="BU1157" s="490">
        <f>+BU1196/BU1310</f>
        <v>0.10556494462420217</v>
      </c>
      <c r="BV1157" s="490">
        <f>+BV1196/BV1310</f>
        <v>0.10556494462420217</v>
      </c>
      <c r="BX1157" s="490">
        <f>+BX1196/BX1310</f>
        <v>9.9259761593288143E-2</v>
      </c>
      <c r="BY1157" s="490">
        <f>+BY1196/BY1310</f>
        <v>0.10103577745084805</v>
      </c>
      <c r="BZ1157" s="490">
        <f>+BZ1196/BZ1310</f>
        <v>0.10103577745084805</v>
      </c>
      <c r="CB1157" s="490">
        <f>+CB1196/CB1310</f>
        <v>0.10421562667295775</v>
      </c>
      <c r="CC1157" s="490">
        <f>+CC1196/CC1310</f>
        <v>0.10132748379894116</v>
      </c>
      <c r="CD1157" s="490">
        <f>+CD1196/CD1310</f>
        <v>0.10132748379894116</v>
      </c>
      <c r="CF1157" s="490">
        <f>+CF1196/CF1310</f>
        <v>0.10788868321262333</v>
      </c>
      <c r="CG1157" s="490">
        <f>+CG1196/CG1310</f>
        <v>0.10682654463051228</v>
      </c>
      <c r="CH1157" s="490">
        <f>+CH1196/CH1310</f>
        <v>0.10682654463051228</v>
      </c>
      <c r="CJ1157" s="791">
        <f>+CJ1196/CJ1310</f>
        <v>0.11661924417905663</v>
      </c>
      <c r="CK1157" s="791">
        <f>+CK1196/CK1310</f>
        <v>0.115509904428638</v>
      </c>
      <c r="CL1157" s="490">
        <f>+CL1196/CL1310</f>
        <v>0.115509904428638</v>
      </c>
      <c r="CN1157" s="791">
        <f>+CN1196/CN1310</f>
        <v>0.12582228140100879</v>
      </c>
      <c r="CO1157" s="791">
        <f>+CO1196/CO1310</f>
        <v>0.1305493920298216</v>
      </c>
      <c r="CP1157" s="490">
        <f>+CP1196/CP1310</f>
        <v>0.1305493920298216</v>
      </c>
      <c r="CR1157" s="791">
        <f>+CR1196/CR1310</f>
        <v>0.11752665136769035</v>
      </c>
      <c r="CS1157" s="791">
        <f>+CS1196/CS1310</f>
        <v>0.11452885364697565</v>
      </c>
      <c r="CT1157" s="490">
        <f>+CT1196/CT1310</f>
        <v>0.11452885364697565</v>
      </c>
      <c r="CV1157" s="791">
        <f>+CV1196/CV1310</f>
        <v>0.11410444506126333</v>
      </c>
      <c r="CW1157" s="791">
        <f>+CW1196/CW1310</f>
        <v>0.12160250602574403</v>
      </c>
      <c r="CX1157" s="490">
        <f>+CX1196/CX1310</f>
        <v>0.12160250602574403</v>
      </c>
      <c r="CZ1157" s="791">
        <f>+CZ1196/CZ1310</f>
        <v>0.12343737867846882</v>
      </c>
      <c r="DA1157" s="791">
        <f>+DA1196/DA1310</f>
        <v>0.12338974785638358</v>
      </c>
      <c r="DB1157" s="490">
        <f>+DB1196/DB1310</f>
        <v>0.12338974785638358</v>
      </c>
      <c r="DD1157" s="791">
        <f>+DD1196/DD1310</f>
        <v>0.12204557092184613</v>
      </c>
      <c r="DE1157" s="791">
        <f>+DE1196/DE1310</f>
        <v>0.12288141571516391</v>
      </c>
      <c r="DF1157" s="490">
        <f>+DF1196/DF1310</f>
        <v>0.12288141571516391</v>
      </c>
      <c r="DH1157" s="791">
        <f>+DH1196/DH1310</f>
        <v>0.12254259761334627</v>
      </c>
      <c r="DI1157" s="490">
        <f ca="1">+DI1196/DI1310</f>
        <v>0.12137499376977245</v>
      </c>
      <c r="DJ1157" s="490">
        <f ca="1">+DJ1196/DJ1310</f>
        <v>0.12137499376977245</v>
      </c>
      <c r="DL1157" s="490">
        <f ca="1">+DL1196/DL1310</f>
        <v>0.11993382355612094</v>
      </c>
      <c r="DM1157" s="490">
        <f ca="1">+DM1196/DM1310</f>
        <v>0.1184715426814056</v>
      </c>
      <c r="DN1157" s="490">
        <f ca="1">+DN1196/DN1310</f>
        <v>0.1184715426814056</v>
      </c>
      <c r="DP1157" s="490">
        <f ca="1">+DP1196/DP1310</f>
        <v>0.11746741994188369</v>
      </c>
      <c r="DQ1157" s="490">
        <f ca="1">+DQ1196/DQ1310</f>
        <v>0.11696142567081413</v>
      </c>
      <c r="DR1157" s="490">
        <f ca="1">+DR1196/DR1310</f>
        <v>0.11696142567081413</v>
      </c>
      <c r="DT1157" s="1"/>
      <c r="DU1157" s="1"/>
      <c r="DV1157" s="1"/>
      <c r="DW1157" s="1"/>
      <c r="DX1157" s="1"/>
      <c r="DY1157" s="1"/>
      <c r="DZ1157" s="1"/>
      <c r="EA1157" s="1"/>
      <c r="EB1157" s="1"/>
      <c r="EC1157" s="1"/>
      <c r="ED1157" s="1"/>
      <c r="EE1157" s="1"/>
      <c r="EF1157" s="1"/>
      <c r="EG1157" s="1"/>
      <c r="EH1157" s="1"/>
      <c r="EI1157" s="1"/>
      <c r="EJ1157" s="1"/>
      <c r="EK1157" s="1"/>
      <c r="EL1157" s="1"/>
      <c r="EM1157" s="1"/>
      <c r="EN1157" s="1"/>
      <c r="EO1157" s="1"/>
      <c r="EP1157" s="1"/>
      <c r="EQ1157" s="1"/>
      <c r="ER1157" s="1"/>
      <c r="ES1157" s="1"/>
      <c r="ET1157" s="1"/>
      <c r="EU1157" s="1"/>
      <c r="EV1157" s="1"/>
      <c r="EW1157" s="1"/>
      <c r="EX1157" s="1"/>
      <c r="EY1157" s="1"/>
      <c r="EZ1157" s="1"/>
      <c r="FA1157" s="1"/>
      <c r="FB1157" s="1"/>
      <c r="FC1157" s="1"/>
      <c r="FD1157" s="1"/>
      <c r="FE1157" s="1"/>
      <c r="FF1157" s="1"/>
      <c r="FG1157" s="1"/>
      <c r="FH1157" s="1"/>
      <c r="FI1157" s="1"/>
      <c r="FJ1157" s="1"/>
      <c r="FK1157" s="1"/>
      <c r="FL1157" s="1"/>
      <c r="FM1157" s="1"/>
      <c r="FN1157" s="1"/>
      <c r="FO1157" s="1"/>
      <c r="FP1157" s="1"/>
      <c r="FQ1157" s="1"/>
      <c r="FR1157" s="1"/>
      <c r="FS1157" s="1"/>
      <c r="FT1157" s="1"/>
      <c r="FU1157" s="1"/>
      <c r="FV1157" s="1"/>
      <c r="FW1157" s="1"/>
      <c r="FX1157" s="1"/>
      <c r="FY1157" s="1"/>
      <c r="FZ1157" s="1"/>
      <c r="GA1157" s="1"/>
      <c r="GB1157" s="1"/>
      <c r="GC1157" s="1"/>
      <c r="GD1157" s="1"/>
      <c r="GE1157" s="1"/>
      <c r="GF1157" s="1"/>
      <c r="GG1157" s="1"/>
      <c r="GH1157" s="1"/>
      <c r="GI1157" s="1"/>
      <c r="GJ1157" s="1"/>
      <c r="GK1157" s="1"/>
      <c r="GL1157" s="1"/>
      <c r="GM1157" s="1"/>
      <c r="GN1157" s="1"/>
      <c r="GO1157" s="1"/>
      <c r="GP1157" s="1"/>
      <c r="GQ1157" s="1"/>
      <c r="GR1157" s="1"/>
      <c r="GS1157" s="1"/>
      <c r="GT1157" s="1"/>
      <c r="GU1157" s="1"/>
      <c r="GV1157" s="1"/>
      <c r="GW1157" s="1"/>
      <c r="GX1157" s="1"/>
      <c r="GY1157" s="1"/>
      <c r="GZ1157" s="1"/>
      <c r="HA1157" s="1"/>
      <c r="HB1157" s="1"/>
      <c r="HC1157" s="1"/>
      <c r="HD1157" s="1"/>
      <c r="HE1157" s="1"/>
      <c r="HF1157" s="1"/>
      <c r="HG1157" s="1"/>
      <c r="HH1157" s="1"/>
      <c r="HI1157" s="1"/>
      <c r="HJ1157" s="1"/>
      <c r="HK1157" s="1"/>
      <c r="HL1157" s="1"/>
      <c r="HM1157" s="1"/>
      <c r="HN1157" s="1"/>
      <c r="HO1157" s="1"/>
      <c r="HP1157" s="1"/>
      <c r="HQ1157" s="1"/>
      <c r="HR1157" s="1"/>
      <c r="HS1157" s="1"/>
      <c r="HT1157" s="1"/>
      <c r="HU1157" s="1"/>
      <c r="HV1157" s="1"/>
      <c r="HW1157" s="1"/>
      <c r="HX1157" s="1"/>
      <c r="HY1157" s="1"/>
      <c r="HZ1157" s="1"/>
      <c r="IA1157" s="1"/>
      <c r="IB1157" s="1"/>
      <c r="IC1157" s="1"/>
      <c r="ID1157" s="1"/>
      <c r="IE1157" s="1"/>
      <c r="IF1157" s="1"/>
      <c r="IG1157" s="1"/>
      <c r="IH1157" s="1"/>
      <c r="II1157" s="1"/>
      <c r="IJ1157" s="1"/>
      <c r="IK1157" s="1"/>
      <c r="IL1157" s="1"/>
      <c r="IM1157" s="1"/>
      <c r="IN1157" s="1"/>
      <c r="IO1157" s="1"/>
      <c r="IP1157" s="1"/>
      <c r="IQ1157" s="1"/>
      <c r="IR1157" s="1"/>
      <c r="IS1157" s="1"/>
      <c r="IT1157" s="1"/>
      <c r="IU1157" s="1"/>
      <c r="IV1157" s="1"/>
      <c r="IW1157" s="1"/>
      <c r="IX1157" s="1"/>
      <c r="IY1157" s="1"/>
      <c r="IZ1157" s="1"/>
      <c r="JA1157" s="1"/>
      <c r="JB1157" s="1"/>
      <c r="JC1157" s="1"/>
      <c r="JD1157" s="1"/>
    </row>
    <row r="1158" spans="1:264" s="347" customFormat="1" x14ac:dyDescent="0.2">
      <c r="A1158" s="347" t="s">
        <v>778</v>
      </c>
      <c r="B1158" s="348"/>
      <c r="BH1158" s="348"/>
      <c r="BI1158" s="489">
        <f>+BI1159-BI1157</f>
        <v>2.0415727401430314E-2</v>
      </c>
      <c r="BJ1158" s="489">
        <f>+BJ1159-BJ1157</f>
        <v>2.0415727401430314E-2</v>
      </c>
      <c r="BK1158" s="348"/>
      <c r="BL1158" s="489">
        <f>+BL1159-BL1157</f>
        <v>2.010790042998592E-2</v>
      </c>
      <c r="BM1158" s="489">
        <f>+BM1159-BM1157</f>
        <v>1.8346830907718048E-2</v>
      </c>
      <c r="BN1158" s="489">
        <f>+BN1159-BN1157</f>
        <v>1.8346830907718048E-2</v>
      </c>
      <c r="BO1158" s="348"/>
      <c r="BP1158" s="489">
        <f>+BP1159-BP1157</f>
        <v>2.3829620901407167E-2</v>
      </c>
      <c r="BQ1158" s="489">
        <f>+BQ1159-BQ1157</f>
        <v>2.1015890063218537E-2</v>
      </c>
      <c r="BR1158" s="489">
        <f>+BR1159-BR1157</f>
        <v>2.1015890063218537E-2</v>
      </c>
      <c r="BT1158" s="489">
        <f>+BT1159-BT1157</f>
        <v>1.9752356988962522E-2</v>
      </c>
      <c r="BU1158" s="489">
        <f>+BU1159-BU1157</f>
        <v>1.7457755525544322E-2</v>
      </c>
      <c r="BV1158" s="489">
        <f>+BV1159-BV1157</f>
        <v>1.7457755525544322E-2</v>
      </c>
      <c r="BX1158" s="489">
        <f>+BX1159-BX1157</f>
        <v>1.5792210886613617E-2</v>
      </c>
      <c r="BY1158" s="489">
        <f>+BY1159-BY1157</f>
        <v>1.95051971912516E-2</v>
      </c>
      <c r="BZ1158" s="489">
        <f>+BZ1159-BZ1157</f>
        <v>1.95051971912516E-2</v>
      </c>
      <c r="CB1158" s="489">
        <f>+CB1159-CB1157</f>
        <v>1.9333720476549091E-2</v>
      </c>
      <c r="CC1158" s="489">
        <f>+CC1159-CC1157</f>
        <v>2.1575972717678554E-2</v>
      </c>
      <c r="CD1158" s="489">
        <f>+CD1159-CD1157</f>
        <v>2.1575972717678554E-2</v>
      </c>
      <c r="CF1158" s="489">
        <f>+CF1159-CF1157</f>
        <v>2.1323436910303181E-2</v>
      </c>
      <c r="CG1158" s="489">
        <f>+CG1159-CG1157</f>
        <v>1.9851489303430947E-2</v>
      </c>
      <c r="CH1158" s="489">
        <f>+CH1159-CH1157</f>
        <v>1.9851489303430947E-2</v>
      </c>
      <c r="CJ1158" s="499">
        <f>+CJ1159-CJ1157</f>
        <v>2.4129808484395096E-2</v>
      </c>
      <c r="CK1158" s="489">
        <f>+CK1159-CK1157</f>
        <v>2.3829096951739528E-2</v>
      </c>
      <c r="CL1158" s="489">
        <f>+CL1159-CL1157</f>
        <v>2.3829096951739528E-2</v>
      </c>
      <c r="CN1158" s="499">
        <f>+CN1159-CN1157</f>
        <v>2.3863796691474731E-2</v>
      </c>
      <c r="CO1158" s="489">
        <f>+CO1159-CO1157</f>
        <v>2.6644182124789195E-2</v>
      </c>
      <c r="CP1158" s="489">
        <f>+CP1159-CP1157</f>
        <v>2.6644182124789195E-2</v>
      </c>
      <c r="CR1158" s="499">
        <f>+CR1159-CR1157</f>
        <v>2.2382699019127941E-2</v>
      </c>
      <c r="CS1158" s="489">
        <f>+CS1159-CS1157</f>
        <v>2.1159207217629511E-2</v>
      </c>
      <c r="CT1158" s="489">
        <f>+CT1159-CT1157</f>
        <v>2.1159207217629511E-2</v>
      </c>
      <c r="CV1158" s="499">
        <f>+CV1159-CV1157</f>
        <v>1.8462270510329531E-2</v>
      </c>
      <c r="CW1158" s="489">
        <f>+CW1159-CW1157</f>
        <v>2.3209798458093303E-2</v>
      </c>
      <c r="CX1158" s="489">
        <f>+CX1159-CX1157</f>
        <v>2.3209798458093303E-2</v>
      </c>
      <c r="CZ1158" s="499">
        <f>+CZ1159-CZ1157</f>
        <v>2.3427457273252766E-2</v>
      </c>
      <c r="DA1158" s="489">
        <f>+DA1159-DA1157</f>
        <v>1.9830991699301262E-2</v>
      </c>
      <c r="DB1158" s="489">
        <f>+DB1159-DB1157</f>
        <v>1.9830991699301262E-2</v>
      </c>
      <c r="DD1158" s="499">
        <f>+DD1159-DD1157</f>
        <v>1.9221799079128229E-2</v>
      </c>
      <c r="DE1158" s="489">
        <f>+DE1159-DE1157</f>
        <v>1.5936873293089723E-2</v>
      </c>
      <c r="DF1158" s="489">
        <f>+DF1159-DF1157</f>
        <v>1.5936873293089723E-2</v>
      </c>
      <c r="DH1158" s="499">
        <f>+DH1159-DH1157</f>
        <v>1.564782015000693E-2</v>
      </c>
      <c r="DI1158" s="489">
        <f ca="1">+DI1159-DI1157</f>
        <v>1.5155019137315928E-2</v>
      </c>
      <c r="DJ1158" s="489">
        <f ca="1">+DJ1159-DJ1157</f>
        <v>1.5155019137315928E-2</v>
      </c>
      <c r="DL1158" s="489">
        <f ca="1">+DL1159-DL1157</f>
        <v>1.4746062146663033E-2</v>
      </c>
      <c r="DM1158" s="489">
        <f ca="1">+DM1159-DM1157</f>
        <v>1.4282540866923973E-2</v>
      </c>
      <c r="DN1158" s="489">
        <f ca="1">+DN1159-DN1157</f>
        <v>1.4282540866923973E-2</v>
      </c>
      <c r="DP1158" s="489">
        <f ca="1">+DP1159-DP1157</f>
        <v>1.3962892941493263E-2</v>
      </c>
      <c r="DQ1158" s="489">
        <f ca="1">+DQ1159-DQ1157</f>
        <v>1.3610678925340569E-2</v>
      </c>
      <c r="DR1158" s="489">
        <f ca="1">+DR1159-DR1157</f>
        <v>1.3610678925340569E-2</v>
      </c>
      <c r="DT1158" s="1"/>
      <c r="DU1158" s="1"/>
      <c r="DV1158" s="1"/>
      <c r="DW1158" s="1"/>
      <c r="DX1158" s="1"/>
      <c r="DY1158" s="1"/>
      <c r="DZ1158" s="1"/>
      <c r="EA1158" s="1"/>
      <c r="EB1158" s="1"/>
      <c r="EC1158" s="1"/>
      <c r="ED1158" s="1"/>
      <c r="EE1158" s="1"/>
      <c r="EF1158" s="1"/>
      <c r="EG1158" s="1"/>
      <c r="EH1158" s="1"/>
      <c r="EI1158" s="1"/>
      <c r="EJ1158" s="1"/>
      <c r="EK1158" s="1"/>
      <c r="EL1158" s="1"/>
      <c r="EM1158" s="1"/>
      <c r="EN1158" s="1"/>
      <c r="EO1158" s="1"/>
      <c r="EP1158" s="1"/>
      <c r="EQ1158" s="1"/>
      <c r="ER1158" s="1"/>
      <c r="ES1158" s="1"/>
      <c r="ET1158" s="1"/>
      <c r="EU1158" s="1"/>
      <c r="EV1158" s="1"/>
      <c r="EW1158" s="1"/>
      <c r="EX1158" s="1"/>
      <c r="EY1158" s="1"/>
      <c r="EZ1158" s="1"/>
      <c r="FA1158" s="1"/>
      <c r="FB1158" s="1"/>
      <c r="FC1158" s="1"/>
      <c r="FD1158" s="1"/>
      <c r="FE1158" s="1"/>
      <c r="FF1158" s="1"/>
      <c r="FG1158" s="1"/>
      <c r="FH1158" s="1"/>
      <c r="FI1158" s="1"/>
      <c r="FJ1158" s="1"/>
      <c r="FK1158" s="1"/>
      <c r="FL1158" s="1"/>
      <c r="FM1158" s="1"/>
      <c r="FN1158" s="1"/>
      <c r="FO1158" s="1"/>
      <c r="FP1158" s="1"/>
      <c r="FQ1158" s="1"/>
      <c r="FR1158" s="1"/>
      <c r="FS1158" s="1"/>
      <c r="FT1158" s="1"/>
      <c r="FU1158" s="1"/>
      <c r="FV1158" s="1"/>
      <c r="FW1158" s="1"/>
      <c r="FX1158" s="1"/>
      <c r="FY1158" s="1"/>
      <c r="FZ1158" s="1"/>
      <c r="GA1158" s="1"/>
      <c r="GB1158" s="1"/>
      <c r="GC1158" s="1"/>
      <c r="GD1158" s="1"/>
      <c r="GE1158" s="1"/>
      <c r="GF1158" s="1"/>
      <c r="GG1158" s="1"/>
      <c r="GH1158" s="1"/>
      <c r="GI1158" s="1"/>
      <c r="GJ1158" s="1"/>
      <c r="GK1158" s="1"/>
      <c r="GL1158" s="1"/>
      <c r="GM1158" s="1"/>
      <c r="GN1158" s="1"/>
      <c r="GO1158" s="1"/>
      <c r="GP1158" s="1"/>
      <c r="GQ1158" s="1"/>
      <c r="GR1158" s="1"/>
      <c r="GS1158" s="1"/>
      <c r="GT1158" s="1"/>
      <c r="GU1158" s="1"/>
      <c r="GV1158" s="1"/>
      <c r="GW1158" s="1"/>
      <c r="GX1158" s="1"/>
      <c r="GY1158" s="1"/>
      <c r="GZ1158" s="1"/>
      <c r="HA1158" s="1"/>
      <c r="HB1158" s="1"/>
      <c r="HC1158" s="1"/>
      <c r="HD1158" s="1"/>
      <c r="HE1158" s="1"/>
      <c r="HF1158" s="1"/>
      <c r="HG1158" s="1"/>
      <c r="HH1158" s="1"/>
      <c r="HI1158" s="1"/>
      <c r="HJ1158" s="1"/>
      <c r="HK1158" s="1"/>
      <c r="HL1158" s="1"/>
      <c r="HM1158" s="1"/>
      <c r="HN1158" s="1"/>
      <c r="HO1158" s="1"/>
      <c r="HP1158" s="1"/>
      <c r="HQ1158" s="1"/>
      <c r="HR1158" s="1"/>
      <c r="HS1158" s="1"/>
      <c r="HT1158" s="1"/>
      <c r="HU1158" s="1"/>
      <c r="HV1158" s="1"/>
      <c r="HW1158" s="1"/>
      <c r="HX1158" s="1"/>
      <c r="HY1158" s="1"/>
      <c r="HZ1158" s="1"/>
      <c r="IA1158" s="1"/>
      <c r="IB1158" s="1"/>
      <c r="IC1158" s="1"/>
      <c r="ID1158" s="1"/>
      <c r="IE1158" s="1"/>
      <c r="IF1158" s="1"/>
      <c r="IG1158" s="1"/>
      <c r="IH1158" s="1"/>
      <c r="II1158" s="1"/>
      <c r="IJ1158" s="1"/>
      <c r="IK1158" s="1"/>
      <c r="IL1158" s="1"/>
      <c r="IM1158" s="1"/>
      <c r="IN1158" s="1"/>
      <c r="IO1158" s="1"/>
      <c r="IP1158" s="1"/>
      <c r="IQ1158" s="1"/>
      <c r="IR1158" s="1"/>
      <c r="IS1158" s="1"/>
      <c r="IT1158" s="1"/>
      <c r="IU1158" s="1"/>
      <c r="IV1158" s="1"/>
      <c r="IW1158" s="1"/>
      <c r="IX1158" s="1"/>
      <c r="IY1158" s="1"/>
      <c r="IZ1158" s="1"/>
      <c r="JA1158" s="1"/>
      <c r="JB1158" s="1"/>
      <c r="JC1158" s="1"/>
      <c r="JD1158" s="1"/>
    </row>
    <row r="1159" spans="1:264" s="347" customFormat="1" x14ac:dyDescent="0.2">
      <c r="A1159" s="411" t="s">
        <v>779</v>
      </c>
      <c r="B1159" s="348"/>
      <c r="BH1159" s="348"/>
      <c r="BI1159" s="490">
        <f>BI1200/BI1310</f>
        <v>0.10253434520807636</v>
      </c>
      <c r="BJ1159" s="490">
        <f>BJ1200/BJ1310</f>
        <v>0.10253434520807636</v>
      </c>
      <c r="BK1159" s="348"/>
      <c r="BL1159" s="490">
        <f>BL1200/BL1310</f>
        <v>0.10550064782149451</v>
      </c>
      <c r="BM1159" s="490">
        <f>BM1200/BM1310</f>
        <v>0.11136017055801489</v>
      </c>
      <c r="BN1159" s="490">
        <f>BN1200/BN1310</f>
        <v>0.11136017055801489</v>
      </c>
      <c r="BO1159" s="348"/>
      <c r="BP1159" s="490">
        <f>BP1200/BP1310</f>
        <v>0.11612585257528721</v>
      </c>
      <c r="BQ1159" s="490">
        <f>BQ1200/BQ1310</f>
        <v>0.11159386094092824</v>
      </c>
      <c r="BR1159" s="490">
        <f>BR1200/BR1310</f>
        <v>0.11159386094092824</v>
      </c>
      <c r="BT1159" s="490">
        <f>BT1200/BT1310</f>
        <v>0.12217123123704357</v>
      </c>
      <c r="BU1159" s="490">
        <f>BU1200/BU1310</f>
        <v>0.12302270014974649</v>
      </c>
      <c r="BV1159" s="490">
        <f>BV1200/BV1310</f>
        <v>0.12302270014974649</v>
      </c>
      <c r="BX1159" s="490">
        <f>BX1200/BX1310</f>
        <v>0.11505197247990176</v>
      </c>
      <c r="BY1159" s="490">
        <f>BY1200/BY1310</f>
        <v>0.12054097464209965</v>
      </c>
      <c r="BZ1159" s="490">
        <f>BZ1200/BZ1310</f>
        <v>0.12054097464209965</v>
      </c>
      <c r="CB1159" s="490">
        <f>CB1200/CB1310</f>
        <v>0.12354934714950684</v>
      </c>
      <c r="CC1159" s="490">
        <f>CC1200/CC1310</f>
        <v>0.12290345651661971</v>
      </c>
      <c r="CD1159" s="490">
        <f>CD1200/CD1310</f>
        <v>0.12290345651661971</v>
      </c>
      <c r="CF1159" s="490">
        <f>CF1200/CF1310</f>
        <v>0.12921212012292652</v>
      </c>
      <c r="CG1159" s="490">
        <f>CG1200/CG1310</f>
        <v>0.12667803393394322</v>
      </c>
      <c r="CH1159" s="490">
        <f>CH1200/CH1310</f>
        <v>0.12667803393394322</v>
      </c>
      <c r="CJ1159" s="791">
        <f>CJ1200/CJ1310</f>
        <v>0.14074905266345172</v>
      </c>
      <c r="CK1159" s="490">
        <f>CK1200/CK1310</f>
        <v>0.13933900138037753</v>
      </c>
      <c r="CL1159" s="490">
        <f>CL1200/CL1310</f>
        <v>0.13933900138037753</v>
      </c>
      <c r="CN1159" s="791">
        <f>CN1200/CN1310</f>
        <v>0.14968607809248352</v>
      </c>
      <c r="CO1159" s="490">
        <f>CO1200/CO1310</f>
        <v>0.1571935741546108</v>
      </c>
      <c r="CP1159" s="490">
        <f>CP1200/CP1310</f>
        <v>0.1571935741546108</v>
      </c>
      <c r="CR1159" s="791">
        <f>CR1200/CR1310</f>
        <v>0.13990935038681829</v>
      </c>
      <c r="CS1159" s="490">
        <f>CS1200/CS1310</f>
        <v>0.13568806086460516</v>
      </c>
      <c r="CT1159" s="490">
        <f>CT1200/CT1310</f>
        <v>0.13568806086460516</v>
      </c>
      <c r="CV1159" s="791">
        <f>CV1200/CV1310</f>
        <v>0.13256671557159286</v>
      </c>
      <c r="CW1159" s="490">
        <f>CW1200/CW1310</f>
        <v>0.14481230448383733</v>
      </c>
      <c r="CX1159" s="490">
        <f>CX1200/CX1310</f>
        <v>0.14481230448383733</v>
      </c>
      <c r="CZ1159" s="791">
        <f>CZ1200/CZ1310</f>
        <v>0.14686483595172159</v>
      </c>
      <c r="DA1159" s="490">
        <f>DA1200/DA1310</f>
        <v>0.14322073955568485</v>
      </c>
      <c r="DB1159" s="490">
        <f>DB1200/DB1310</f>
        <v>0.14322073955568485</v>
      </c>
      <c r="DD1159" s="791">
        <f>DD1200/DD1310</f>
        <v>0.14126737000097436</v>
      </c>
      <c r="DE1159" s="490">
        <f>DE1200/DE1310</f>
        <v>0.13881828900825363</v>
      </c>
      <c r="DF1159" s="490">
        <f>DF1200/DF1310</f>
        <v>0.13881828900825363</v>
      </c>
      <c r="DH1159" s="791">
        <f>DH1200/DH1310</f>
        <v>0.1381904177633532</v>
      </c>
      <c r="DI1159" s="490">
        <f ca="1">DI1200/DI1310</f>
        <v>0.13653001290708838</v>
      </c>
      <c r="DJ1159" s="490">
        <f ca="1">DJ1200/DJ1310</f>
        <v>0.13653001290708838</v>
      </c>
      <c r="DL1159" s="490">
        <f ca="1">DL1200/DL1310</f>
        <v>0.13467988570278397</v>
      </c>
      <c r="DM1159" s="490">
        <f ca="1">DM1200/DM1310</f>
        <v>0.13275408354832957</v>
      </c>
      <c r="DN1159" s="490">
        <f ca="1">DN1200/DN1310</f>
        <v>0.13275408354832957</v>
      </c>
      <c r="DP1159" s="490">
        <f ca="1">DP1200/DP1310</f>
        <v>0.13143031288337695</v>
      </c>
      <c r="DQ1159" s="490">
        <f ca="1">DQ1200/DQ1310</f>
        <v>0.1305721045961547</v>
      </c>
      <c r="DR1159" s="490">
        <f ca="1">DR1200/DR1310</f>
        <v>0.1305721045961547</v>
      </c>
      <c r="DT1159" s="1"/>
      <c r="DU1159" s="1"/>
      <c r="DV1159" s="1"/>
      <c r="DW1159" s="1"/>
      <c r="DX1159" s="1"/>
      <c r="DY1159" s="1"/>
      <c r="DZ1159" s="1"/>
      <c r="EA1159" s="1"/>
      <c r="EB1159" s="1"/>
      <c r="EC1159" s="1"/>
      <c r="ED1159" s="1"/>
      <c r="EE1159" s="1"/>
      <c r="EF1159" s="1"/>
      <c r="EG1159" s="1"/>
      <c r="EH1159" s="1"/>
      <c r="EI1159" s="1"/>
      <c r="EJ1159" s="1"/>
      <c r="EK1159" s="1"/>
      <c r="EL1159" s="1"/>
      <c r="EM1159" s="1"/>
      <c r="EN1159" s="1"/>
      <c r="EO1159" s="1"/>
      <c r="EP1159" s="1"/>
      <c r="EQ1159" s="1"/>
      <c r="ER1159" s="1"/>
      <c r="ES1159" s="1"/>
      <c r="ET1159" s="1"/>
      <c r="EU1159" s="1"/>
      <c r="EV1159" s="1"/>
      <c r="EW1159" s="1"/>
      <c r="EX1159" s="1"/>
      <c r="EY1159" s="1"/>
      <c r="EZ1159" s="1"/>
      <c r="FA1159" s="1"/>
      <c r="FB1159" s="1"/>
      <c r="FC1159" s="1"/>
      <c r="FD1159" s="1"/>
      <c r="FE1159" s="1"/>
      <c r="FF1159" s="1"/>
      <c r="FG1159" s="1"/>
      <c r="FH1159" s="1"/>
      <c r="FI1159" s="1"/>
      <c r="FJ1159" s="1"/>
      <c r="FK1159" s="1"/>
      <c r="FL1159" s="1"/>
      <c r="FM1159" s="1"/>
      <c r="FN1159" s="1"/>
      <c r="FO1159" s="1"/>
      <c r="FP1159" s="1"/>
      <c r="FQ1159" s="1"/>
      <c r="FR1159" s="1"/>
      <c r="FS1159" s="1"/>
      <c r="FT1159" s="1"/>
      <c r="FU1159" s="1"/>
      <c r="FV1159" s="1"/>
      <c r="FW1159" s="1"/>
      <c r="FX1159" s="1"/>
      <c r="FY1159" s="1"/>
      <c r="FZ1159" s="1"/>
      <c r="GA1159" s="1"/>
      <c r="GB1159" s="1"/>
      <c r="GC1159" s="1"/>
      <c r="GD1159" s="1"/>
      <c r="GE1159" s="1"/>
      <c r="GF1159" s="1"/>
      <c r="GG1159" s="1"/>
      <c r="GH1159" s="1"/>
      <c r="GI1159" s="1"/>
      <c r="GJ1159" s="1"/>
      <c r="GK1159" s="1"/>
      <c r="GL1159" s="1"/>
      <c r="GM1159" s="1"/>
      <c r="GN1159" s="1"/>
      <c r="GO1159" s="1"/>
      <c r="GP1159" s="1"/>
      <c r="GQ1159" s="1"/>
      <c r="GR1159" s="1"/>
      <c r="GS1159" s="1"/>
      <c r="GT1159" s="1"/>
      <c r="GU1159" s="1"/>
      <c r="GV1159" s="1"/>
      <c r="GW1159" s="1"/>
      <c r="GX1159" s="1"/>
      <c r="GY1159" s="1"/>
      <c r="GZ1159" s="1"/>
      <c r="HA1159" s="1"/>
      <c r="HB1159" s="1"/>
      <c r="HC1159" s="1"/>
      <c r="HD1159" s="1"/>
      <c r="HE1159" s="1"/>
      <c r="HF1159" s="1"/>
      <c r="HG1159" s="1"/>
      <c r="HH1159" s="1"/>
      <c r="HI1159" s="1"/>
      <c r="HJ1159" s="1"/>
      <c r="HK1159" s="1"/>
      <c r="HL1159" s="1"/>
      <c r="HM1159" s="1"/>
      <c r="HN1159" s="1"/>
      <c r="HO1159" s="1"/>
      <c r="HP1159" s="1"/>
      <c r="HQ1159" s="1"/>
      <c r="HR1159" s="1"/>
      <c r="HS1159" s="1"/>
      <c r="HT1159" s="1"/>
      <c r="HU1159" s="1"/>
      <c r="HV1159" s="1"/>
      <c r="HW1159" s="1"/>
      <c r="HX1159" s="1"/>
      <c r="HY1159" s="1"/>
      <c r="HZ1159" s="1"/>
      <c r="IA1159" s="1"/>
      <c r="IB1159" s="1"/>
      <c r="IC1159" s="1"/>
      <c r="ID1159" s="1"/>
      <c r="IE1159" s="1"/>
      <c r="IF1159" s="1"/>
      <c r="IG1159" s="1"/>
      <c r="IH1159" s="1"/>
      <c r="II1159" s="1"/>
      <c r="IJ1159" s="1"/>
      <c r="IK1159" s="1"/>
      <c r="IL1159" s="1"/>
      <c r="IM1159" s="1"/>
      <c r="IN1159" s="1"/>
      <c r="IO1159" s="1"/>
      <c r="IP1159" s="1"/>
      <c r="IQ1159" s="1"/>
      <c r="IR1159" s="1"/>
      <c r="IS1159" s="1"/>
      <c r="IT1159" s="1"/>
      <c r="IU1159" s="1"/>
      <c r="IV1159" s="1"/>
      <c r="IW1159" s="1"/>
      <c r="IX1159" s="1"/>
      <c r="IY1159" s="1"/>
      <c r="IZ1159" s="1"/>
      <c r="JA1159" s="1"/>
      <c r="JB1159" s="1"/>
      <c r="JC1159" s="1"/>
      <c r="JD1159" s="1"/>
    </row>
    <row r="1160" spans="1:264" s="347" customFormat="1" x14ac:dyDescent="0.2">
      <c r="A1160" s="447" t="s">
        <v>780</v>
      </c>
      <c r="B1160" s="446"/>
      <c r="C1160" s="447"/>
      <c r="D1160" s="447"/>
      <c r="E1160" s="447"/>
      <c r="F1160" s="447"/>
      <c r="G1160" s="447"/>
      <c r="H1160" s="447"/>
      <c r="I1160" s="447"/>
      <c r="J1160" s="447"/>
      <c r="K1160" s="447"/>
      <c r="L1160" s="447"/>
      <c r="M1160" s="447"/>
      <c r="N1160" s="447"/>
      <c r="O1160" s="447"/>
      <c r="P1160" s="447"/>
      <c r="Q1160" s="447"/>
      <c r="R1160" s="447"/>
      <c r="S1160" s="447"/>
      <c r="T1160" s="447"/>
      <c r="U1160" s="447"/>
      <c r="V1160" s="447"/>
      <c r="W1160" s="447"/>
      <c r="X1160" s="447"/>
      <c r="Y1160" s="447"/>
      <c r="Z1160" s="447"/>
      <c r="AA1160" s="447"/>
      <c r="AB1160" s="447"/>
      <c r="AC1160" s="447"/>
      <c r="AD1160" s="447"/>
      <c r="AE1160" s="447"/>
      <c r="AF1160" s="447"/>
      <c r="AG1160" s="447"/>
      <c r="AH1160" s="447"/>
      <c r="AI1160" s="447"/>
      <c r="AJ1160" s="447"/>
      <c r="AK1160" s="447"/>
      <c r="AL1160" s="447"/>
      <c r="AM1160" s="447"/>
      <c r="AN1160" s="447"/>
      <c r="AO1160" s="447"/>
      <c r="AP1160" s="447"/>
      <c r="AQ1160" s="447"/>
      <c r="AR1160" s="447"/>
      <c r="AS1160" s="447"/>
      <c r="AT1160" s="447"/>
      <c r="AU1160" s="447"/>
      <c r="AV1160" s="447"/>
      <c r="AW1160" s="447"/>
      <c r="AX1160" s="447"/>
      <c r="AY1160" s="447"/>
      <c r="AZ1160" s="447"/>
      <c r="BA1160" s="447"/>
      <c r="BB1160" s="447"/>
      <c r="BC1160" s="447"/>
      <c r="BD1160" s="447"/>
      <c r="BE1160" s="447"/>
      <c r="BF1160" s="447"/>
      <c r="BG1160" s="447"/>
      <c r="BH1160" s="446"/>
      <c r="BI1160" s="792">
        <f>+(3088/BI1310)</f>
        <v>9.3815128297048828E-3</v>
      </c>
      <c r="BJ1160" s="710">
        <f>BI1160</f>
        <v>9.3815128297048828E-3</v>
      </c>
      <c r="BK1160" s="446"/>
      <c r="BL1160" s="792">
        <f>+(2922/BL1310)</f>
        <v>8.7433459905385154E-3</v>
      </c>
      <c r="BM1160" s="792">
        <f>2935/BM1310</f>
        <v>8.6907599603215733E-3</v>
      </c>
      <c r="BN1160" s="710">
        <f>BM1160</f>
        <v>8.6907599603215733E-3</v>
      </c>
      <c r="BO1160" s="446"/>
      <c r="BP1160" s="792">
        <f>(3903/BP1310)</f>
        <v>1.1055153973397385E-2</v>
      </c>
      <c r="BQ1160" s="792">
        <f>5661/BQ1310</f>
        <v>1.5353071834801923E-2</v>
      </c>
      <c r="BR1160" s="710">
        <f>BQ1160</f>
        <v>1.5353071834801923E-2</v>
      </c>
      <c r="BS1160" s="447"/>
      <c r="BT1160" s="792">
        <f>(7333/BT1310)</f>
        <v>1.8675094610632045E-2</v>
      </c>
      <c r="BU1160" s="792">
        <f>7924/BU1310</f>
        <v>2.0077685745197849E-2</v>
      </c>
      <c r="BV1160" s="710">
        <f>BU1160</f>
        <v>2.0077685745197849E-2</v>
      </c>
      <c r="BW1160" s="447"/>
      <c r="BX1160" s="792">
        <f>(9373/BX1310)</f>
        <v>2.1474016051099588E-2</v>
      </c>
      <c r="BY1160" s="792">
        <f>9392/BY1310</f>
        <v>2.1488892905599421E-2</v>
      </c>
      <c r="BZ1160" s="710">
        <f>BY1160</f>
        <v>2.1488892905599421E-2</v>
      </c>
      <c r="CA1160" s="447"/>
      <c r="CB1160" s="792">
        <f>(10622/CB1310)</f>
        <v>2.4095128347049695E-2</v>
      </c>
      <c r="CC1160" s="792">
        <f>12579/CC1310</f>
        <v>2.7428414433115576E-2</v>
      </c>
      <c r="CD1160" s="710">
        <f>CC1160</f>
        <v>2.7428414433115576E-2</v>
      </c>
      <c r="CE1160" s="447"/>
      <c r="CF1160" s="710">
        <f>CF1301/CF1310</f>
        <v>2.9051273295832361E-2</v>
      </c>
      <c r="CG1160" s="710">
        <f>CG1301/CG1310</f>
        <v>2.8160490500527872E-2</v>
      </c>
      <c r="CH1160" s="710">
        <f>CG1160</f>
        <v>2.8160490500527872E-2</v>
      </c>
      <c r="CI1160" s="447"/>
      <c r="CJ1160" s="710">
        <f>CJ1301/CJ1310</f>
        <v>3.2806119949950349E-2</v>
      </c>
      <c r="CK1160" s="710">
        <f>CK1301/CK1310</f>
        <v>3.6111819372763483E-2</v>
      </c>
      <c r="CL1160" s="710">
        <f>CK1160</f>
        <v>3.6111819372763483E-2</v>
      </c>
      <c r="CM1160" s="447"/>
      <c r="CN1160" s="710">
        <f>CN1301/CN1310</f>
        <v>3.9288737610666292E-2</v>
      </c>
      <c r="CO1160" s="710">
        <f>CO1301/CO1310</f>
        <v>4.098695304872637E-2</v>
      </c>
      <c r="CP1160" s="710">
        <f>CO1160</f>
        <v>4.098695304872637E-2</v>
      </c>
      <c r="CQ1160" s="447"/>
      <c r="CR1160" s="710">
        <f>CR1301/CR1310</f>
        <v>4.0107898043553344E-2</v>
      </c>
      <c r="CS1160" s="710">
        <f>CS1301/CS1310</f>
        <v>4.015328625485045E-2</v>
      </c>
      <c r="CT1160" s="710">
        <f>CS1160</f>
        <v>4.015328625485045E-2</v>
      </c>
      <c r="CU1160" s="447"/>
      <c r="CV1160" s="710">
        <f>CV1301/CV1310</f>
        <v>4.538046710813276E-2</v>
      </c>
      <c r="CW1160" s="710">
        <f>CW1301/CW1310</f>
        <v>5.557573633737329E-2</v>
      </c>
      <c r="CX1160" s="710">
        <f>CW1160</f>
        <v>5.557573633737329E-2</v>
      </c>
      <c r="CY1160" s="447"/>
      <c r="CZ1160" s="710">
        <f>CZ1301/CZ1310</f>
        <v>5.8551388565364806E-2</v>
      </c>
      <c r="DA1160" s="710">
        <f>DA1301/DA1310</f>
        <v>6.2408165098566788E-2</v>
      </c>
      <c r="DB1160" s="710">
        <f>DA1160</f>
        <v>6.2408165098566788E-2</v>
      </c>
      <c r="DC1160" s="447"/>
      <c r="DD1160" s="710">
        <f>DD1301/DD1310</f>
        <v>6.2037568749235543E-2</v>
      </c>
      <c r="DE1160" s="710">
        <f>DE1301/DE1310</f>
        <v>6.6672041439498536E-2</v>
      </c>
      <c r="DF1160" s="710">
        <f>DE1160</f>
        <v>6.6672041439498536E-2</v>
      </c>
      <c r="DG1160" s="447"/>
      <c r="DH1160" s="710">
        <f>DH1301/DH1310</f>
        <v>6.4890859076606439E-2</v>
      </c>
      <c r="DI1160" s="793">
        <v>6.5000000000000002E-2</v>
      </c>
      <c r="DJ1160" s="710">
        <f>DI1160</f>
        <v>6.5000000000000002E-2</v>
      </c>
      <c r="DK1160" s="447"/>
      <c r="DL1160" s="793">
        <v>6.25E-2</v>
      </c>
      <c r="DM1160" s="793">
        <v>6.5000000000000002E-2</v>
      </c>
      <c r="DN1160" s="710">
        <f>DM1160</f>
        <v>6.5000000000000002E-2</v>
      </c>
      <c r="DO1160" s="447"/>
      <c r="DP1160" s="793">
        <v>6.25E-2</v>
      </c>
      <c r="DQ1160" s="793">
        <v>6.5000000000000002E-2</v>
      </c>
      <c r="DR1160" s="710">
        <f>DQ1160</f>
        <v>6.5000000000000002E-2</v>
      </c>
      <c r="DS1160" s="447"/>
      <c r="DT1160" s="1"/>
      <c r="DU1160" s="1"/>
      <c r="DV1160" s="1"/>
      <c r="DW1160" s="1"/>
      <c r="DX1160" s="1"/>
      <c r="DY1160" s="1"/>
      <c r="DZ1160" s="1"/>
      <c r="EA1160" s="1"/>
      <c r="EB1160" s="1"/>
      <c r="EC1160" s="1"/>
      <c r="ED1160" s="1"/>
      <c r="EE1160" s="1"/>
      <c r="EF1160" s="1"/>
      <c r="EG1160" s="1"/>
      <c r="EH1160" s="1"/>
      <c r="EI1160" s="1"/>
      <c r="EJ1160" s="1"/>
      <c r="EK1160" s="1"/>
      <c r="EL1160" s="1"/>
      <c r="EM1160" s="1"/>
      <c r="EN1160" s="1"/>
      <c r="EO1160" s="1"/>
      <c r="EP1160" s="1"/>
      <c r="EQ1160" s="1"/>
      <c r="ER1160" s="1"/>
      <c r="ES1160" s="1"/>
      <c r="ET1160" s="1"/>
      <c r="EU1160" s="1"/>
      <c r="EV1160" s="1"/>
      <c r="EW1160" s="1"/>
      <c r="EX1160" s="1"/>
      <c r="EY1160" s="1"/>
      <c r="EZ1160" s="1"/>
      <c r="FA1160" s="1"/>
      <c r="FB1160" s="1"/>
      <c r="FC1160" s="1"/>
      <c r="FD1160" s="1"/>
      <c r="FE1160" s="1"/>
      <c r="FF1160" s="1"/>
      <c r="FG1160" s="1"/>
      <c r="FH1160" s="1"/>
      <c r="FI1160" s="1"/>
      <c r="FJ1160" s="1"/>
      <c r="FK1160" s="1"/>
      <c r="FL1160" s="1"/>
      <c r="FM1160" s="1"/>
      <c r="FN1160" s="1"/>
      <c r="FO1160" s="1"/>
      <c r="FP1160" s="1"/>
      <c r="FQ1160" s="1"/>
      <c r="FR1160" s="1"/>
      <c r="FS1160" s="1"/>
      <c r="FT1160" s="1"/>
      <c r="FU1160" s="1"/>
      <c r="FV1160" s="1"/>
      <c r="FW1160" s="1"/>
      <c r="FX1160" s="1"/>
      <c r="FY1160" s="1"/>
      <c r="FZ1160" s="1"/>
      <c r="GA1160" s="1"/>
      <c r="GB1160" s="1"/>
      <c r="GC1160" s="1"/>
      <c r="GD1160" s="1"/>
      <c r="GE1160" s="1"/>
      <c r="GF1160" s="1"/>
      <c r="GG1160" s="1"/>
      <c r="GH1160" s="1"/>
      <c r="GI1160" s="1"/>
      <c r="GJ1160" s="1"/>
      <c r="GK1160" s="1"/>
      <c r="GL1160" s="1"/>
      <c r="GM1160" s="1"/>
      <c r="GN1160" s="1"/>
      <c r="GO1160" s="1"/>
      <c r="GP1160" s="1"/>
      <c r="GQ1160" s="1"/>
      <c r="GR1160" s="1"/>
      <c r="GS1160" s="1"/>
      <c r="GT1160" s="1"/>
      <c r="GU1160" s="1"/>
      <c r="GV1160" s="1"/>
      <c r="GW1160" s="1"/>
      <c r="GX1160" s="1"/>
      <c r="GY1160" s="1"/>
      <c r="GZ1160" s="1"/>
      <c r="HA1160" s="1"/>
      <c r="HB1160" s="1"/>
      <c r="HC1160" s="1"/>
      <c r="HD1160" s="1"/>
      <c r="HE1160" s="1"/>
      <c r="HF1160" s="1"/>
      <c r="HG1160" s="1"/>
      <c r="HH1160" s="1"/>
      <c r="HI1160" s="1"/>
      <c r="HJ1160" s="1"/>
      <c r="HK1160" s="1"/>
      <c r="HL1160" s="1"/>
      <c r="HM1160" s="1"/>
      <c r="HN1160" s="1"/>
      <c r="HO1160" s="1"/>
      <c r="HP1160" s="1"/>
      <c r="HQ1160" s="1"/>
      <c r="HR1160" s="1"/>
      <c r="HS1160" s="1"/>
      <c r="HT1160" s="1"/>
      <c r="HU1160" s="1"/>
      <c r="HV1160" s="1"/>
      <c r="HW1160" s="1"/>
      <c r="HX1160" s="1"/>
      <c r="HY1160" s="1"/>
      <c r="HZ1160" s="1"/>
      <c r="IA1160" s="1"/>
      <c r="IB1160" s="1"/>
      <c r="IC1160" s="1"/>
      <c r="ID1160" s="1"/>
      <c r="IE1160" s="1"/>
      <c r="IF1160" s="1"/>
      <c r="IG1160" s="1"/>
      <c r="IH1160" s="1"/>
      <c r="II1160" s="1"/>
      <c r="IJ1160" s="1"/>
      <c r="IK1160" s="1"/>
      <c r="IL1160" s="1"/>
      <c r="IM1160" s="1"/>
      <c r="IN1160" s="1"/>
      <c r="IO1160" s="1"/>
      <c r="IP1160" s="1"/>
      <c r="IQ1160" s="1"/>
      <c r="IR1160" s="1"/>
      <c r="IS1160" s="1"/>
      <c r="IT1160" s="1"/>
      <c r="IU1160" s="1"/>
      <c r="IV1160" s="1"/>
      <c r="IW1160" s="1"/>
      <c r="IX1160" s="1"/>
      <c r="IY1160" s="1"/>
      <c r="IZ1160" s="1"/>
      <c r="JA1160" s="1"/>
      <c r="JB1160" s="1"/>
      <c r="JC1160" s="1"/>
      <c r="JD1160" s="1"/>
    </row>
    <row r="1161" spans="1:264" s="347" customFormat="1" x14ac:dyDescent="0.2">
      <c r="A1161" s="411" t="s">
        <v>781</v>
      </c>
      <c r="B1161" s="348"/>
      <c r="BH1161" s="348"/>
      <c r="BI1161" s="490">
        <f>+BI1159+BI1160</f>
        <v>0.11191585803778124</v>
      </c>
      <c r="BJ1161" s="490">
        <f>+BJ1159+BJ1160</f>
        <v>0.11191585803778124</v>
      </c>
      <c r="BK1161" s="348"/>
      <c r="BL1161" s="490">
        <f>+BL1159+BL1160</f>
        <v>0.11424399381203303</v>
      </c>
      <c r="BM1161" s="490">
        <f>+BM1159+BM1160</f>
        <v>0.12005093051833647</v>
      </c>
      <c r="BN1161" s="490">
        <f>+BN1159+BN1160</f>
        <v>0.12005093051833647</v>
      </c>
      <c r="BO1161" s="348"/>
      <c r="BP1161" s="490">
        <f>+BP1159+BP1160</f>
        <v>0.12718100654868458</v>
      </c>
      <c r="BQ1161" s="490">
        <f>+BQ1159+BQ1160</f>
        <v>0.12694693277573016</v>
      </c>
      <c r="BR1161" s="490">
        <f>+BR1159+BR1160</f>
        <v>0.12694693277573016</v>
      </c>
      <c r="BT1161" s="490">
        <f>+BT1159+BT1160</f>
        <v>0.14084632584767562</v>
      </c>
      <c r="BU1161" s="490">
        <f>+BU1159+BU1160</f>
        <v>0.14310038589494434</v>
      </c>
      <c r="BV1161" s="490">
        <f>+BV1159+BV1160</f>
        <v>0.14310038589494434</v>
      </c>
      <c r="BX1161" s="490">
        <f>+BX1159+BX1160</f>
        <v>0.13652598853100134</v>
      </c>
      <c r="BY1161" s="490">
        <f>+BY1159+BY1160</f>
        <v>0.14202986754769906</v>
      </c>
      <c r="BZ1161" s="490">
        <f>+BZ1159+BZ1160</f>
        <v>0.14202986754769906</v>
      </c>
      <c r="CB1161" s="490">
        <f>+CB1159+CB1160</f>
        <v>0.14764447549655654</v>
      </c>
      <c r="CC1161" s="490">
        <f>+CC1159+CC1160</f>
        <v>0.1503318709497353</v>
      </c>
      <c r="CD1161" s="490">
        <f>+CD1159+CD1160</f>
        <v>0.1503318709497353</v>
      </c>
      <c r="CF1161" s="490">
        <f>+CF1159+CF1160</f>
        <v>0.15826339341875889</v>
      </c>
      <c r="CG1161" s="490">
        <f>+CG1159+CG1160</f>
        <v>0.1548385244344711</v>
      </c>
      <c r="CH1161" s="490">
        <f>+CH1159+CH1160</f>
        <v>0.1548385244344711</v>
      </c>
      <c r="CJ1161" s="490">
        <f>+CJ1159+CJ1160</f>
        <v>0.17355517261340209</v>
      </c>
      <c r="CK1161" s="490">
        <f>+CK1159+CK1160</f>
        <v>0.175450820753141</v>
      </c>
      <c r="CL1161" s="490">
        <f>+CL1159+CL1160</f>
        <v>0.175450820753141</v>
      </c>
      <c r="CN1161" s="490">
        <f>+CN1159+CN1160</f>
        <v>0.18897481570314981</v>
      </c>
      <c r="CO1161" s="490">
        <f>+CO1159+CO1160</f>
        <v>0.19818052720333718</v>
      </c>
      <c r="CP1161" s="490">
        <f>+CP1159+CP1160</f>
        <v>0.19818052720333718</v>
      </c>
      <c r="CR1161" s="490">
        <f>+CR1159+CR1160</f>
        <v>0.18001724843037165</v>
      </c>
      <c r="CS1161" s="490">
        <f>+CS1159+CS1160</f>
        <v>0.17584134711945562</v>
      </c>
      <c r="CT1161" s="490">
        <f>+CT1159+CT1160</f>
        <v>0.17584134711945562</v>
      </c>
      <c r="CV1161" s="490">
        <f>+CV1159+CV1160</f>
        <v>0.17794718267972562</v>
      </c>
      <c r="CW1161" s="490">
        <f>+CW1159+CW1160</f>
        <v>0.20038804082121062</v>
      </c>
      <c r="CX1161" s="490">
        <f>+CX1159+CX1160</f>
        <v>0.20038804082121062</v>
      </c>
      <c r="CZ1161" s="490">
        <f>+CZ1159+CZ1160</f>
        <v>0.20541622451708641</v>
      </c>
      <c r="DA1161" s="490">
        <f>+DA1159+DA1160</f>
        <v>0.20562890465425163</v>
      </c>
      <c r="DB1161" s="490">
        <f>+DB1159+DB1160</f>
        <v>0.20562890465425163</v>
      </c>
      <c r="DD1161" s="490">
        <f>+DD1159+DD1160</f>
        <v>0.20330493875020991</v>
      </c>
      <c r="DE1161" s="490">
        <f>+DE1159+DE1160</f>
        <v>0.20549033044775217</v>
      </c>
      <c r="DF1161" s="490">
        <f>+DF1159+DF1160</f>
        <v>0.20549033044775217</v>
      </c>
      <c r="DH1161" s="490">
        <f>+DH1159+DH1160</f>
        <v>0.20308127683995963</v>
      </c>
      <c r="DI1161" s="490">
        <f ca="1">+DI1159+DI1160</f>
        <v>0.20153001290708838</v>
      </c>
      <c r="DJ1161" s="490">
        <f ca="1">+DJ1159+DJ1160</f>
        <v>0.20153001290708838</v>
      </c>
      <c r="DL1161" s="490">
        <f ca="1">+DL1159+DL1160</f>
        <v>0.19717988570278397</v>
      </c>
      <c r="DM1161" s="490">
        <f ca="1">+DM1159+DM1160</f>
        <v>0.19775408354832957</v>
      </c>
      <c r="DN1161" s="490">
        <f ca="1">+DN1159+DN1160</f>
        <v>0.19775408354832957</v>
      </c>
      <c r="DP1161" s="490">
        <f ca="1">+DP1159+DP1160</f>
        <v>0.19393031288337695</v>
      </c>
      <c r="DQ1161" s="490">
        <f ca="1">+DQ1159+DQ1160</f>
        <v>0.19557210459615471</v>
      </c>
      <c r="DR1161" s="490">
        <f ca="1">+DR1159+DR1160</f>
        <v>0.19557210459615471</v>
      </c>
      <c r="DT1161" s="1"/>
      <c r="DU1161" s="1"/>
      <c r="DV1161" s="1"/>
      <c r="DW1161" s="1"/>
      <c r="DX1161" s="1"/>
      <c r="DY1161" s="1"/>
      <c r="DZ1161" s="1"/>
      <c r="EA1161" s="1"/>
      <c r="EB1161" s="1"/>
      <c r="EC1161" s="1"/>
      <c r="ED1161" s="1"/>
      <c r="EE1161" s="1"/>
      <c r="EF1161" s="1"/>
      <c r="EG1161" s="1"/>
      <c r="EH1161" s="1"/>
      <c r="EI1161" s="1"/>
      <c r="EJ1161" s="1"/>
      <c r="EK1161" s="1"/>
      <c r="EL1161" s="1"/>
      <c r="EM1161" s="1"/>
      <c r="EN1161" s="1"/>
      <c r="EO1161" s="1"/>
      <c r="EP1161" s="1"/>
      <c r="EQ1161" s="1"/>
      <c r="ER1161" s="1"/>
      <c r="ES1161" s="1"/>
      <c r="ET1161" s="1"/>
      <c r="EU1161" s="1"/>
      <c r="EV1161" s="1"/>
      <c r="EW1161" s="1"/>
      <c r="EX1161" s="1"/>
      <c r="EY1161" s="1"/>
      <c r="EZ1161" s="1"/>
      <c r="FA1161" s="1"/>
      <c r="FB1161" s="1"/>
      <c r="FC1161" s="1"/>
      <c r="FD1161" s="1"/>
      <c r="FE1161" s="1"/>
      <c r="FF1161" s="1"/>
      <c r="FG1161" s="1"/>
      <c r="FH1161" s="1"/>
      <c r="FI1161" s="1"/>
      <c r="FJ1161" s="1"/>
      <c r="FK1161" s="1"/>
      <c r="FL1161" s="1"/>
      <c r="FM1161" s="1"/>
      <c r="FN1161" s="1"/>
      <c r="FO1161" s="1"/>
      <c r="FP1161" s="1"/>
      <c r="FQ1161" s="1"/>
      <c r="FR1161" s="1"/>
      <c r="FS1161" s="1"/>
      <c r="FT1161" s="1"/>
      <c r="FU1161" s="1"/>
      <c r="FV1161" s="1"/>
      <c r="FW1161" s="1"/>
      <c r="FX1161" s="1"/>
      <c r="FY1161" s="1"/>
      <c r="FZ1161" s="1"/>
      <c r="GA1161" s="1"/>
      <c r="GB1161" s="1"/>
      <c r="GC1161" s="1"/>
      <c r="GD1161" s="1"/>
      <c r="GE1161" s="1"/>
      <c r="GF1161" s="1"/>
      <c r="GG1161" s="1"/>
      <c r="GH1161" s="1"/>
      <c r="GI1161" s="1"/>
      <c r="GJ1161" s="1"/>
      <c r="GK1161" s="1"/>
      <c r="GL1161" s="1"/>
      <c r="GM1161" s="1"/>
      <c r="GN1161" s="1"/>
      <c r="GO1161" s="1"/>
      <c r="GP1161" s="1"/>
      <c r="GQ1161" s="1"/>
      <c r="GR1161" s="1"/>
      <c r="GS1161" s="1"/>
      <c r="GT1161" s="1"/>
      <c r="GU1161" s="1"/>
      <c r="GV1161" s="1"/>
      <c r="GW1161" s="1"/>
      <c r="GX1161" s="1"/>
      <c r="GY1161" s="1"/>
      <c r="GZ1161" s="1"/>
      <c r="HA1161" s="1"/>
      <c r="HB1161" s="1"/>
      <c r="HC1161" s="1"/>
      <c r="HD1161" s="1"/>
      <c r="HE1161" s="1"/>
      <c r="HF1161" s="1"/>
      <c r="HG1161" s="1"/>
      <c r="HH1161" s="1"/>
      <c r="HI1161" s="1"/>
      <c r="HJ1161" s="1"/>
      <c r="HK1161" s="1"/>
      <c r="HL1161" s="1"/>
      <c r="HM1161" s="1"/>
      <c r="HN1161" s="1"/>
      <c r="HO1161" s="1"/>
      <c r="HP1161" s="1"/>
      <c r="HQ1161" s="1"/>
      <c r="HR1161" s="1"/>
      <c r="HS1161" s="1"/>
      <c r="HT1161" s="1"/>
      <c r="HU1161" s="1"/>
      <c r="HV1161" s="1"/>
      <c r="HW1161" s="1"/>
      <c r="HX1161" s="1"/>
      <c r="HY1161" s="1"/>
      <c r="HZ1161" s="1"/>
      <c r="IA1161" s="1"/>
      <c r="IB1161" s="1"/>
      <c r="IC1161" s="1"/>
      <c r="ID1161" s="1"/>
      <c r="IE1161" s="1"/>
      <c r="IF1161" s="1"/>
      <c r="IG1161" s="1"/>
      <c r="IH1161" s="1"/>
      <c r="II1161" s="1"/>
      <c r="IJ1161" s="1"/>
      <c r="IK1161" s="1"/>
      <c r="IL1161" s="1"/>
      <c r="IM1161" s="1"/>
      <c r="IN1161" s="1"/>
      <c r="IO1161" s="1"/>
      <c r="IP1161" s="1"/>
      <c r="IQ1161" s="1"/>
      <c r="IR1161" s="1"/>
      <c r="IS1161" s="1"/>
      <c r="IT1161" s="1"/>
      <c r="IU1161" s="1"/>
      <c r="IV1161" s="1"/>
      <c r="IW1161" s="1"/>
      <c r="IX1161" s="1"/>
      <c r="IY1161" s="1"/>
      <c r="IZ1161" s="1"/>
      <c r="JA1161" s="1"/>
      <c r="JB1161" s="1"/>
      <c r="JC1161" s="1"/>
      <c r="JD1161" s="1"/>
    </row>
    <row r="1162" spans="1:264" s="347" customFormat="1" x14ac:dyDescent="0.2">
      <c r="A1162" s="411"/>
      <c r="B1162" s="348"/>
      <c r="BH1162" s="348"/>
      <c r="BI1162" s="490"/>
      <c r="BJ1162" s="490"/>
      <c r="BK1162" s="348"/>
      <c r="BL1162" s="490"/>
      <c r="BM1162" s="490"/>
      <c r="BN1162" s="490"/>
      <c r="BO1162" s="348"/>
      <c r="BP1162" s="490"/>
      <c r="BQ1162" s="490"/>
      <c r="BR1162" s="490"/>
      <c r="BT1162" s="490"/>
      <c r="BU1162" s="490"/>
      <c r="BV1162" s="490"/>
      <c r="BX1162" s="490"/>
      <c r="BY1162" s="490"/>
      <c r="BZ1162" s="490"/>
      <c r="CB1162" s="490"/>
      <c r="CC1162" s="490"/>
      <c r="CD1162" s="490"/>
      <c r="CF1162" s="490"/>
      <c r="CG1162" s="490"/>
      <c r="CH1162" s="490"/>
      <c r="CJ1162" s="490"/>
      <c r="CK1162" s="490"/>
      <c r="CL1162" s="490"/>
      <c r="CN1162" s="490"/>
      <c r="CO1162" s="490"/>
      <c r="CP1162" s="490"/>
      <c r="CR1162" s="490"/>
      <c r="CS1162" s="490"/>
      <c r="CT1162" s="490"/>
      <c r="CV1162" s="490"/>
      <c r="CW1162" s="490"/>
      <c r="CX1162" s="490"/>
      <c r="CZ1162" s="490"/>
      <c r="DA1162" s="490"/>
      <c r="DB1162" s="490"/>
      <c r="DD1162" s="490"/>
      <c r="DE1162" s="490"/>
      <c r="DF1162" s="490"/>
      <c r="DH1162" s="490"/>
      <c r="DI1162" s="490"/>
      <c r="DJ1162" s="490"/>
      <c r="DL1162" s="490"/>
      <c r="DM1162" s="490"/>
      <c r="DN1162" s="490"/>
      <c r="DP1162" s="490"/>
      <c r="DQ1162" s="490"/>
      <c r="DR1162" s="490"/>
      <c r="DT1162" s="1"/>
      <c r="DU1162" s="1"/>
      <c r="DV1162" s="1"/>
      <c r="DW1162" s="1"/>
      <c r="DX1162" s="1"/>
      <c r="DY1162" s="1"/>
      <c r="DZ1162" s="1"/>
      <c r="EA1162" s="1"/>
      <c r="EB1162" s="1"/>
      <c r="EC1162" s="1"/>
      <c r="ED1162" s="1"/>
      <c r="EE1162" s="1"/>
      <c r="EF1162" s="1"/>
      <c r="EG1162" s="1"/>
      <c r="EH1162" s="1"/>
      <c r="EI1162" s="1"/>
      <c r="EJ1162" s="1"/>
      <c r="EK1162" s="1"/>
      <c r="EL1162" s="1"/>
      <c r="EM1162" s="1"/>
      <c r="EN1162" s="1"/>
      <c r="EO1162" s="1"/>
      <c r="EP1162" s="1"/>
      <c r="EQ1162" s="1"/>
      <c r="ER1162" s="1"/>
      <c r="ES1162" s="1"/>
      <c r="ET1162" s="1"/>
      <c r="EU1162" s="1"/>
      <c r="EV1162" s="1"/>
      <c r="EW1162" s="1"/>
      <c r="EX1162" s="1"/>
      <c r="EY1162" s="1"/>
      <c r="EZ1162" s="1"/>
      <c r="FA1162" s="1"/>
      <c r="FB1162" s="1"/>
      <c r="FC1162" s="1"/>
      <c r="FD1162" s="1"/>
      <c r="FE1162" s="1"/>
      <c r="FF1162" s="1"/>
      <c r="FG1162" s="1"/>
      <c r="FH1162" s="1"/>
      <c r="FI1162" s="1"/>
      <c r="FJ1162" s="1"/>
      <c r="FK1162" s="1"/>
      <c r="FL1162" s="1"/>
      <c r="FM1162" s="1"/>
      <c r="FN1162" s="1"/>
      <c r="FO1162" s="1"/>
      <c r="FP1162" s="1"/>
      <c r="FQ1162" s="1"/>
      <c r="FR1162" s="1"/>
      <c r="FS1162" s="1"/>
      <c r="FT1162" s="1"/>
      <c r="FU1162" s="1"/>
      <c r="FV1162" s="1"/>
      <c r="FW1162" s="1"/>
      <c r="FX1162" s="1"/>
      <c r="FY1162" s="1"/>
      <c r="FZ1162" s="1"/>
      <c r="GA1162" s="1"/>
      <c r="GB1162" s="1"/>
      <c r="GC1162" s="1"/>
      <c r="GD1162" s="1"/>
      <c r="GE1162" s="1"/>
      <c r="GF1162" s="1"/>
      <c r="GG1162" s="1"/>
      <c r="GH1162" s="1"/>
      <c r="GI1162" s="1"/>
      <c r="GJ1162" s="1"/>
      <c r="GK1162" s="1"/>
      <c r="GL1162" s="1"/>
      <c r="GM1162" s="1"/>
      <c r="GN1162" s="1"/>
      <c r="GO1162" s="1"/>
      <c r="GP1162" s="1"/>
      <c r="GQ1162" s="1"/>
      <c r="GR1162" s="1"/>
      <c r="GS1162" s="1"/>
      <c r="GT1162" s="1"/>
      <c r="GU1162" s="1"/>
      <c r="GV1162" s="1"/>
      <c r="GW1162" s="1"/>
      <c r="GX1162" s="1"/>
      <c r="GY1162" s="1"/>
      <c r="GZ1162" s="1"/>
      <c r="HA1162" s="1"/>
      <c r="HB1162" s="1"/>
      <c r="HC1162" s="1"/>
      <c r="HD1162" s="1"/>
      <c r="HE1162" s="1"/>
      <c r="HF1162" s="1"/>
      <c r="HG1162" s="1"/>
      <c r="HH1162" s="1"/>
      <c r="HI1162" s="1"/>
      <c r="HJ1162" s="1"/>
      <c r="HK1162" s="1"/>
      <c r="HL1162" s="1"/>
      <c r="HM1162" s="1"/>
      <c r="HN1162" s="1"/>
      <c r="HO1162" s="1"/>
      <c r="HP1162" s="1"/>
      <c r="HQ1162" s="1"/>
      <c r="HR1162" s="1"/>
      <c r="HS1162" s="1"/>
      <c r="HT1162" s="1"/>
      <c r="HU1162" s="1"/>
      <c r="HV1162" s="1"/>
      <c r="HW1162" s="1"/>
      <c r="HX1162" s="1"/>
      <c r="HY1162" s="1"/>
      <c r="HZ1162" s="1"/>
      <c r="IA1162" s="1"/>
      <c r="IB1162" s="1"/>
      <c r="IC1162" s="1"/>
      <c r="ID1162" s="1"/>
      <c r="IE1162" s="1"/>
      <c r="IF1162" s="1"/>
      <c r="IG1162" s="1"/>
      <c r="IH1162" s="1"/>
      <c r="II1162" s="1"/>
      <c r="IJ1162" s="1"/>
      <c r="IK1162" s="1"/>
      <c r="IL1162" s="1"/>
      <c r="IM1162" s="1"/>
      <c r="IN1162" s="1"/>
      <c r="IO1162" s="1"/>
      <c r="IP1162" s="1"/>
      <c r="IQ1162" s="1"/>
      <c r="IR1162" s="1"/>
      <c r="IS1162" s="1"/>
      <c r="IT1162" s="1"/>
      <c r="IU1162" s="1"/>
      <c r="IV1162" s="1"/>
      <c r="IW1162" s="1"/>
      <c r="IX1162" s="1"/>
      <c r="IY1162" s="1"/>
      <c r="IZ1162" s="1"/>
      <c r="JA1162" s="1"/>
      <c r="JB1162" s="1"/>
      <c r="JC1162" s="1"/>
      <c r="JD1162" s="1"/>
    </row>
    <row r="1163" spans="1:264" s="347" customFormat="1" x14ac:dyDescent="0.2">
      <c r="A1163" s="387" t="s">
        <v>782</v>
      </c>
      <c r="B1163" s="348"/>
      <c r="BH1163" s="348"/>
      <c r="BI1163" s="490"/>
      <c r="BJ1163" s="490"/>
      <c r="BK1163" s="348"/>
      <c r="BL1163" s="490"/>
      <c r="BM1163" s="490"/>
      <c r="BN1163" s="490"/>
      <c r="BO1163" s="348"/>
      <c r="BP1163" s="490"/>
      <c r="BQ1163" s="490"/>
      <c r="BR1163" s="490"/>
      <c r="BT1163" s="490"/>
      <c r="BU1163" s="490"/>
      <c r="BV1163" s="490"/>
      <c r="BX1163" s="490"/>
      <c r="BY1163" s="490"/>
      <c r="BZ1163" s="490"/>
      <c r="CB1163" s="490"/>
      <c r="CC1163" s="490"/>
      <c r="CD1163" s="490"/>
      <c r="CF1163" s="794"/>
      <c r="CG1163" s="490"/>
      <c r="CH1163" s="490"/>
      <c r="CJ1163" s="490"/>
      <c r="CK1163" s="490"/>
      <c r="CL1163" s="490"/>
      <c r="CN1163" s="490"/>
      <c r="CO1163" s="490"/>
      <c r="CP1163" s="490"/>
      <c r="CR1163" s="490"/>
      <c r="CS1163" s="490"/>
      <c r="CT1163" s="490"/>
      <c r="CV1163" s="490"/>
      <c r="CW1163" s="490"/>
      <c r="CX1163" s="490"/>
      <c r="CZ1163" s="794">
        <v>0.115</v>
      </c>
      <c r="DA1163" s="794">
        <v>0.115</v>
      </c>
      <c r="DB1163" s="490"/>
      <c r="DD1163" s="794">
        <v>0.115</v>
      </c>
      <c r="DE1163" s="794">
        <v>0.115</v>
      </c>
      <c r="DF1163" s="490"/>
      <c r="DH1163" s="794">
        <v>0.11749999999999999</v>
      </c>
      <c r="DI1163" s="794">
        <f>DH1163</f>
        <v>0.11749999999999999</v>
      </c>
      <c r="DJ1163" s="490"/>
      <c r="DL1163" s="794">
        <f>DI1163</f>
        <v>0.11749999999999999</v>
      </c>
      <c r="DM1163" s="794">
        <f>DL1163</f>
        <v>0.11749999999999999</v>
      </c>
      <c r="DN1163" s="490"/>
      <c r="DP1163" s="794">
        <f>DM1163</f>
        <v>0.11749999999999999</v>
      </c>
      <c r="DQ1163" s="794">
        <f>DP1163</f>
        <v>0.11749999999999999</v>
      </c>
      <c r="DR1163" s="490"/>
      <c r="DT1163" s="1"/>
      <c r="DU1163" s="1"/>
      <c r="DV1163" s="1"/>
      <c r="DW1163" s="1"/>
      <c r="DX1163" s="1"/>
      <c r="DY1163" s="1"/>
      <c r="DZ1163" s="1"/>
      <c r="EA1163" s="1"/>
      <c r="EB1163" s="1"/>
      <c r="EC1163" s="1"/>
      <c r="ED1163" s="1"/>
      <c r="EE1163" s="1"/>
      <c r="EF1163" s="1"/>
      <c r="EG1163" s="1"/>
      <c r="EH1163" s="1"/>
      <c r="EI1163" s="1"/>
      <c r="EJ1163" s="1"/>
      <c r="EK1163" s="1"/>
      <c r="EL1163" s="1"/>
      <c r="EM1163" s="1"/>
      <c r="EN1163" s="1"/>
      <c r="EO1163" s="1"/>
      <c r="EP1163" s="1"/>
      <c r="EQ1163" s="1"/>
      <c r="ER1163" s="1"/>
      <c r="ES1163" s="1"/>
      <c r="ET1163" s="1"/>
      <c r="EU1163" s="1"/>
      <c r="EV1163" s="1"/>
      <c r="EW1163" s="1"/>
      <c r="EX1163" s="1"/>
      <c r="EY1163" s="1"/>
      <c r="EZ1163" s="1"/>
      <c r="FA1163" s="1"/>
      <c r="FB1163" s="1"/>
      <c r="FC1163" s="1"/>
      <c r="FD1163" s="1"/>
      <c r="FE1163" s="1"/>
      <c r="FF1163" s="1"/>
      <c r="FG1163" s="1"/>
      <c r="FH1163" s="1"/>
      <c r="FI1163" s="1"/>
      <c r="FJ1163" s="1"/>
      <c r="FK1163" s="1"/>
      <c r="FL1163" s="1"/>
      <c r="FM1163" s="1"/>
      <c r="FN1163" s="1"/>
      <c r="FO1163" s="1"/>
      <c r="FP1163" s="1"/>
      <c r="FQ1163" s="1"/>
      <c r="FR1163" s="1"/>
      <c r="FS1163" s="1"/>
      <c r="FT1163" s="1"/>
      <c r="FU1163" s="1"/>
      <c r="FV1163" s="1"/>
      <c r="FW1163" s="1"/>
      <c r="FX1163" s="1"/>
      <c r="FY1163" s="1"/>
      <c r="FZ1163" s="1"/>
      <c r="GA1163" s="1"/>
      <c r="GB1163" s="1"/>
      <c r="GC1163" s="1"/>
      <c r="GD1163" s="1"/>
      <c r="GE1163" s="1"/>
      <c r="GF1163" s="1"/>
      <c r="GG1163" s="1"/>
      <c r="GH1163" s="1"/>
      <c r="GI1163" s="1"/>
      <c r="GJ1163" s="1"/>
      <c r="GK1163" s="1"/>
      <c r="GL1163" s="1"/>
      <c r="GM1163" s="1"/>
      <c r="GN1163" s="1"/>
      <c r="GO1163" s="1"/>
      <c r="GP1163" s="1"/>
      <c r="GQ1163" s="1"/>
      <c r="GR1163" s="1"/>
      <c r="GS1163" s="1"/>
      <c r="GT1163" s="1"/>
      <c r="GU1163" s="1"/>
      <c r="GV1163" s="1"/>
      <c r="GW1163" s="1"/>
      <c r="GX1163" s="1"/>
      <c r="GY1163" s="1"/>
      <c r="GZ1163" s="1"/>
      <c r="HA1163" s="1"/>
      <c r="HB1163" s="1"/>
      <c r="HC1163" s="1"/>
      <c r="HD1163" s="1"/>
      <c r="HE1163" s="1"/>
      <c r="HF1163" s="1"/>
      <c r="HG1163" s="1"/>
      <c r="HH1163" s="1"/>
      <c r="HI1163" s="1"/>
      <c r="HJ1163" s="1"/>
      <c r="HK1163" s="1"/>
      <c r="HL1163" s="1"/>
      <c r="HM1163" s="1"/>
      <c r="HN1163" s="1"/>
      <c r="HO1163" s="1"/>
      <c r="HP1163" s="1"/>
      <c r="HQ1163" s="1"/>
      <c r="HR1163" s="1"/>
      <c r="HS1163" s="1"/>
      <c r="HT1163" s="1"/>
      <c r="HU1163" s="1"/>
      <c r="HV1163" s="1"/>
      <c r="HW1163" s="1"/>
      <c r="HX1163" s="1"/>
      <c r="HY1163" s="1"/>
      <c r="HZ1163" s="1"/>
      <c r="IA1163" s="1"/>
      <c r="IB1163" s="1"/>
      <c r="IC1163" s="1"/>
      <c r="ID1163" s="1"/>
      <c r="IE1163" s="1"/>
      <c r="IF1163" s="1"/>
      <c r="IG1163" s="1"/>
      <c r="IH1163" s="1"/>
      <c r="II1163" s="1"/>
      <c r="IJ1163" s="1"/>
      <c r="IK1163" s="1"/>
      <c r="IL1163" s="1"/>
      <c r="IM1163" s="1"/>
      <c r="IN1163" s="1"/>
      <c r="IO1163" s="1"/>
      <c r="IP1163" s="1"/>
      <c r="IQ1163" s="1"/>
      <c r="IR1163" s="1"/>
      <c r="IS1163" s="1"/>
      <c r="IT1163" s="1"/>
      <c r="IU1163" s="1"/>
      <c r="IV1163" s="1"/>
      <c r="IW1163" s="1"/>
      <c r="IX1163" s="1"/>
      <c r="IY1163" s="1"/>
      <c r="IZ1163" s="1"/>
      <c r="JA1163" s="1"/>
      <c r="JB1163" s="1"/>
      <c r="JC1163" s="1"/>
      <c r="JD1163" s="1"/>
    </row>
    <row r="1164" spans="1:264" s="347" customFormat="1" x14ac:dyDescent="0.2">
      <c r="A1164" s="564" t="s">
        <v>783</v>
      </c>
      <c r="B1164" s="348"/>
      <c r="BH1164" s="348"/>
      <c r="BI1164" s="490"/>
      <c r="BJ1164" s="490"/>
      <c r="BK1164" s="348"/>
      <c r="BL1164" s="490"/>
      <c r="BM1164" s="490"/>
      <c r="BN1164" s="490"/>
      <c r="BO1164" s="348"/>
      <c r="BP1164" s="490"/>
      <c r="BQ1164" s="490"/>
      <c r="BR1164" s="490"/>
      <c r="BT1164" s="490"/>
      <c r="BU1164" s="490"/>
      <c r="BV1164" s="490"/>
      <c r="BX1164" s="490"/>
      <c r="BY1164" s="490"/>
      <c r="BZ1164" s="490"/>
      <c r="CB1164" s="490"/>
      <c r="CC1164" s="490"/>
      <c r="CD1164" s="490"/>
      <c r="CF1164" s="566"/>
      <c r="CG1164" s="490"/>
      <c r="CH1164" s="490"/>
      <c r="CJ1164" s="490"/>
      <c r="CK1164" s="490"/>
      <c r="CL1164" s="490"/>
      <c r="CN1164" s="490"/>
      <c r="CO1164" s="490"/>
      <c r="CP1164" s="490"/>
      <c r="CR1164" s="490"/>
      <c r="CS1164" s="490"/>
      <c r="CT1164" s="490"/>
      <c r="CV1164" s="490"/>
      <c r="CW1164" s="490"/>
      <c r="CX1164" s="490"/>
      <c r="CZ1164" s="566">
        <f>+(CZ$1157-CZ1163)*CZ$1310</f>
        <v>3911.9399999999969</v>
      </c>
      <c r="DA1164" s="566">
        <f>+(DE$1157-DA1163)*DE$1310</f>
        <v>3910.3249999999948</v>
      </c>
      <c r="DB1164" s="490"/>
      <c r="DD1164" s="566">
        <f>+(DD$1157-DD1163)*DD$1310</f>
        <v>3398.5649999999951</v>
      </c>
      <c r="DE1164" s="566">
        <f ca="1">+(DI$1157-DE1163)*DI$1310</f>
        <v>3326.0977951175505</v>
      </c>
      <c r="DF1164" s="490"/>
      <c r="DH1164" s="566">
        <f>+(DH$1157-DH1163)*DH$1310</f>
        <v>2548.0750000000048</v>
      </c>
      <c r="DI1164" s="566">
        <f ca="1">+(DI$1157-DI1163)*DI$1310</f>
        <v>2021.7444438686059</v>
      </c>
      <c r="DJ1164" s="490"/>
      <c r="DL1164" s="566">
        <f ca="1">+(DL$1157-DL1163)*DL$1310</f>
        <v>1305.0428424108579</v>
      </c>
      <c r="DM1164" s="566">
        <f ca="1">+(DM$1157-DM1163)*DM$1310</f>
        <v>537.85863828083586</v>
      </c>
      <c r="DN1164" s="490"/>
      <c r="DP1164" s="566">
        <f ca="1">+(DP$1157-DP1163)*DP$1310</f>
        <v>-18.449652275146281</v>
      </c>
      <c r="DQ1164" s="566">
        <f ca="1">+(DQ$1157-DQ1163)*DQ$1310</f>
        <v>-312.87985296192937</v>
      </c>
      <c r="DR1164" s="490"/>
      <c r="DT1164" s="1"/>
      <c r="DU1164" s="1"/>
      <c r="DV1164" s="1"/>
      <c r="DW1164" s="1"/>
      <c r="DX1164" s="1"/>
      <c r="DY1164" s="1"/>
      <c r="DZ1164" s="1"/>
      <c r="EA1164" s="1"/>
      <c r="EB1164" s="1"/>
      <c r="EC1164" s="1"/>
      <c r="ED1164" s="1"/>
      <c r="EE1164" s="1"/>
      <c r="EF1164" s="1"/>
      <c r="EG1164" s="1"/>
      <c r="EH1164" s="1"/>
      <c r="EI1164" s="1"/>
      <c r="EJ1164" s="1"/>
      <c r="EK1164" s="1"/>
      <c r="EL1164" s="1"/>
      <c r="EM1164" s="1"/>
      <c r="EN1164" s="1"/>
      <c r="EO1164" s="1"/>
      <c r="EP1164" s="1"/>
      <c r="EQ1164" s="1"/>
      <c r="ER1164" s="1"/>
      <c r="ES1164" s="1"/>
      <c r="ET1164" s="1"/>
      <c r="EU1164" s="1"/>
      <c r="EV1164" s="1"/>
      <c r="EW1164" s="1"/>
      <c r="EX1164" s="1"/>
      <c r="EY1164" s="1"/>
      <c r="EZ1164" s="1"/>
      <c r="FA1164" s="1"/>
      <c r="FB1164" s="1"/>
      <c r="FC1164" s="1"/>
      <c r="FD1164" s="1"/>
      <c r="FE1164" s="1"/>
      <c r="FF1164" s="1"/>
      <c r="FG1164" s="1"/>
      <c r="FH1164" s="1"/>
      <c r="FI1164" s="1"/>
      <c r="FJ1164" s="1"/>
      <c r="FK1164" s="1"/>
      <c r="FL1164" s="1"/>
      <c r="FM1164" s="1"/>
      <c r="FN1164" s="1"/>
      <c r="FO1164" s="1"/>
      <c r="FP1164" s="1"/>
      <c r="FQ1164" s="1"/>
      <c r="FR1164" s="1"/>
      <c r="FS1164" s="1"/>
      <c r="FT1164" s="1"/>
      <c r="FU1164" s="1"/>
      <c r="FV1164" s="1"/>
      <c r="FW1164" s="1"/>
      <c r="FX1164" s="1"/>
      <c r="FY1164" s="1"/>
      <c r="FZ1164" s="1"/>
      <c r="GA1164" s="1"/>
      <c r="GB1164" s="1"/>
      <c r="GC1164" s="1"/>
      <c r="GD1164" s="1"/>
      <c r="GE1164" s="1"/>
      <c r="GF1164" s="1"/>
      <c r="GG1164" s="1"/>
      <c r="GH1164" s="1"/>
      <c r="GI1164" s="1"/>
      <c r="GJ1164" s="1"/>
      <c r="GK1164" s="1"/>
      <c r="GL1164" s="1"/>
      <c r="GM1164" s="1"/>
      <c r="GN1164" s="1"/>
      <c r="GO1164" s="1"/>
      <c r="GP1164" s="1"/>
      <c r="GQ1164" s="1"/>
      <c r="GR1164" s="1"/>
      <c r="GS1164" s="1"/>
      <c r="GT1164" s="1"/>
      <c r="GU1164" s="1"/>
      <c r="GV1164" s="1"/>
      <c r="GW1164" s="1"/>
      <c r="GX1164" s="1"/>
      <c r="GY1164" s="1"/>
      <c r="GZ1164" s="1"/>
      <c r="HA1164" s="1"/>
      <c r="HB1164" s="1"/>
      <c r="HC1164" s="1"/>
      <c r="HD1164" s="1"/>
      <c r="HE1164" s="1"/>
      <c r="HF1164" s="1"/>
      <c r="HG1164" s="1"/>
      <c r="HH1164" s="1"/>
      <c r="HI1164" s="1"/>
      <c r="HJ1164" s="1"/>
      <c r="HK1164" s="1"/>
      <c r="HL1164" s="1"/>
      <c r="HM1164" s="1"/>
      <c r="HN1164" s="1"/>
      <c r="HO1164" s="1"/>
      <c r="HP1164" s="1"/>
      <c r="HQ1164" s="1"/>
      <c r="HR1164" s="1"/>
      <c r="HS1164" s="1"/>
      <c r="HT1164" s="1"/>
      <c r="HU1164" s="1"/>
      <c r="HV1164" s="1"/>
      <c r="HW1164" s="1"/>
      <c r="HX1164" s="1"/>
      <c r="HY1164" s="1"/>
      <c r="HZ1164" s="1"/>
      <c r="IA1164" s="1"/>
      <c r="IB1164" s="1"/>
      <c r="IC1164" s="1"/>
      <c r="ID1164" s="1"/>
      <c r="IE1164" s="1"/>
      <c r="IF1164" s="1"/>
      <c r="IG1164" s="1"/>
      <c r="IH1164" s="1"/>
      <c r="II1164" s="1"/>
      <c r="IJ1164" s="1"/>
      <c r="IK1164" s="1"/>
      <c r="IL1164" s="1"/>
      <c r="IM1164" s="1"/>
      <c r="IN1164" s="1"/>
      <c r="IO1164" s="1"/>
      <c r="IP1164" s="1"/>
      <c r="IQ1164" s="1"/>
      <c r="IR1164" s="1"/>
      <c r="IS1164" s="1"/>
      <c r="IT1164" s="1"/>
      <c r="IU1164" s="1"/>
      <c r="IV1164" s="1"/>
      <c r="IW1164" s="1"/>
      <c r="IX1164" s="1"/>
      <c r="IY1164" s="1"/>
      <c r="IZ1164" s="1"/>
      <c r="JA1164" s="1"/>
      <c r="JB1164" s="1"/>
      <c r="JC1164" s="1"/>
      <c r="JD1164" s="1"/>
    </row>
    <row r="1165" spans="1:264" s="347" customFormat="1" x14ac:dyDescent="0.2">
      <c r="A1165" s="411"/>
      <c r="B1165" s="348"/>
      <c r="BH1165" s="348"/>
      <c r="BI1165" s="490"/>
      <c r="BJ1165" s="490"/>
      <c r="BK1165" s="348"/>
      <c r="BL1165" s="490"/>
      <c r="BM1165" s="490"/>
      <c r="BN1165" s="490"/>
      <c r="BO1165" s="348"/>
      <c r="BP1165" s="490"/>
      <c r="BQ1165" s="490"/>
      <c r="BR1165" s="490"/>
      <c r="BT1165" s="490"/>
      <c r="BU1165" s="490"/>
      <c r="BV1165" s="490"/>
      <c r="BX1165" s="490"/>
      <c r="BY1165" s="490"/>
      <c r="BZ1165" s="490"/>
      <c r="CB1165" s="490"/>
      <c r="CC1165" s="490"/>
      <c r="CD1165" s="490"/>
      <c r="CF1165" s="490"/>
      <c r="CG1165" s="490"/>
      <c r="CH1165" s="490"/>
      <c r="CJ1165" s="490"/>
      <c r="CK1165" s="490"/>
      <c r="CL1165" s="490"/>
      <c r="CN1165" s="490"/>
      <c r="CO1165" s="490"/>
      <c r="CP1165" s="490"/>
      <c r="CR1165" s="490"/>
      <c r="CS1165" s="490"/>
      <c r="CT1165" s="490"/>
      <c r="CV1165" s="795"/>
      <c r="CW1165" s="490"/>
      <c r="CX1165" s="490"/>
      <c r="CZ1165" s="795"/>
      <c r="DA1165" s="795"/>
      <c r="DB1165" s="490"/>
      <c r="DD1165" s="795"/>
      <c r="DE1165" s="795"/>
      <c r="DF1165" s="490"/>
      <c r="DH1165" s="795"/>
      <c r="DI1165" s="795"/>
      <c r="DJ1165" s="490"/>
      <c r="DL1165" s="795"/>
      <c r="DM1165" s="795"/>
      <c r="DN1165" s="490"/>
      <c r="DP1165" s="795"/>
      <c r="DQ1165" s="795"/>
      <c r="DR1165" s="490"/>
      <c r="DT1165" s="1"/>
      <c r="DU1165" s="1"/>
      <c r="DV1165" s="1"/>
      <c r="DW1165" s="1"/>
      <c r="DX1165" s="1"/>
      <c r="DY1165" s="1"/>
      <c r="DZ1165" s="1"/>
      <c r="EA1165" s="1"/>
      <c r="EB1165" s="1"/>
      <c r="EC1165" s="1"/>
      <c r="ED1165" s="1"/>
      <c r="EE1165" s="1"/>
      <c r="EF1165" s="1"/>
      <c r="EG1165" s="1"/>
      <c r="EH1165" s="1"/>
      <c r="EI1165" s="1"/>
      <c r="EJ1165" s="1"/>
      <c r="EK1165" s="1"/>
      <c r="EL1165" s="1"/>
      <c r="EM1165" s="1"/>
      <c r="EN1165" s="1"/>
      <c r="EO1165" s="1"/>
      <c r="EP1165" s="1"/>
      <c r="EQ1165" s="1"/>
      <c r="ER1165" s="1"/>
      <c r="ES1165" s="1"/>
      <c r="ET1165" s="1"/>
      <c r="EU1165" s="1"/>
      <c r="EV1165" s="1"/>
      <c r="EW1165" s="1"/>
      <c r="EX1165" s="1"/>
      <c r="EY1165" s="1"/>
      <c r="EZ1165" s="1"/>
      <c r="FA1165" s="1"/>
      <c r="FB1165" s="1"/>
      <c r="FC1165" s="1"/>
      <c r="FD1165" s="1"/>
      <c r="FE1165" s="1"/>
      <c r="FF1165" s="1"/>
      <c r="FG1165" s="1"/>
      <c r="FH1165" s="1"/>
      <c r="FI1165" s="1"/>
      <c r="FJ1165" s="1"/>
      <c r="FK1165" s="1"/>
      <c r="FL1165" s="1"/>
      <c r="FM1165" s="1"/>
      <c r="FN1165" s="1"/>
      <c r="FO1165" s="1"/>
      <c r="FP1165" s="1"/>
      <c r="FQ1165" s="1"/>
      <c r="FR1165" s="1"/>
      <c r="FS1165" s="1"/>
      <c r="FT1165" s="1"/>
      <c r="FU1165" s="1"/>
      <c r="FV1165" s="1"/>
      <c r="FW1165" s="1"/>
      <c r="FX1165" s="1"/>
      <c r="FY1165" s="1"/>
      <c r="FZ1165" s="1"/>
      <c r="GA1165" s="1"/>
      <c r="GB1165" s="1"/>
      <c r="GC1165" s="1"/>
      <c r="GD1165" s="1"/>
      <c r="GE1165" s="1"/>
      <c r="GF1165" s="1"/>
      <c r="GG1165" s="1"/>
      <c r="GH1165" s="1"/>
      <c r="GI1165" s="1"/>
      <c r="GJ1165" s="1"/>
      <c r="GK1165" s="1"/>
      <c r="GL1165" s="1"/>
      <c r="GM1165" s="1"/>
      <c r="GN1165" s="1"/>
      <c r="GO1165" s="1"/>
      <c r="GP1165" s="1"/>
      <c r="GQ1165" s="1"/>
      <c r="GR1165" s="1"/>
      <c r="GS1165" s="1"/>
      <c r="GT1165" s="1"/>
      <c r="GU1165" s="1"/>
      <c r="GV1165" s="1"/>
      <c r="GW1165" s="1"/>
      <c r="GX1165" s="1"/>
      <c r="GY1165" s="1"/>
      <c r="GZ1165" s="1"/>
      <c r="HA1165" s="1"/>
      <c r="HB1165" s="1"/>
      <c r="HC1165" s="1"/>
      <c r="HD1165" s="1"/>
      <c r="HE1165" s="1"/>
      <c r="HF1165" s="1"/>
      <c r="HG1165" s="1"/>
      <c r="HH1165" s="1"/>
      <c r="HI1165" s="1"/>
      <c r="HJ1165" s="1"/>
      <c r="HK1165" s="1"/>
      <c r="HL1165" s="1"/>
      <c r="HM1165" s="1"/>
      <c r="HN1165" s="1"/>
      <c r="HO1165" s="1"/>
      <c r="HP1165" s="1"/>
      <c r="HQ1165" s="1"/>
      <c r="HR1165" s="1"/>
      <c r="HS1165" s="1"/>
      <c r="HT1165" s="1"/>
      <c r="HU1165" s="1"/>
      <c r="HV1165" s="1"/>
      <c r="HW1165" s="1"/>
      <c r="HX1165" s="1"/>
      <c r="HY1165" s="1"/>
      <c r="HZ1165" s="1"/>
      <c r="IA1165" s="1"/>
      <c r="IB1165" s="1"/>
      <c r="IC1165" s="1"/>
      <c r="ID1165" s="1"/>
      <c r="IE1165" s="1"/>
      <c r="IF1165" s="1"/>
      <c r="IG1165" s="1"/>
      <c r="IH1165" s="1"/>
      <c r="II1165" s="1"/>
      <c r="IJ1165" s="1"/>
      <c r="IK1165" s="1"/>
      <c r="IL1165" s="1"/>
      <c r="IM1165" s="1"/>
      <c r="IN1165" s="1"/>
      <c r="IO1165" s="1"/>
      <c r="IP1165" s="1"/>
      <c r="IQ1165" s="1"/>
      <c r="IR1165" s="1"/>
      <c r="IS1165" s="1"/>
      <c r="IT1165" s="1"/>
      <c r="IU1165" s="1"/>
      <c r="IV1165" s="1"/>
      <c r="IW1165" s="1"/>
      <c r="IX1165" s="1"/>
      <c r="IY1165" s="1"/>
      <c r="IZ1165" s="1"/>
      <c r="JA1165" s="1"/>
      <c r="JB1165" s="1"/>
      <c r="JC1165" s="1"/>
      <c r="JD1165" s="1"/>
    </row>
    <row r="1166" spans="1:264" s="347" customFormat="1" x14ac:dyDescent="0.2">
      <c r="A1166" s="411" t="s">
        <v>784</v>
      </c>
      <c r="B1166" s="348"/>
      <c r="BH1166" s="348"/>
      <c r="BI1166" s="490"/>
      <c r="BJ1166" s="490"/>
      <c r="BK1166" s="348"/>
      <c r="BL1166" s="490"/>
      <c r="BM1166" s="490"/>
      <c r="BN1166" s="490"/>
      <c r="BO1166" s="348"/>
      <c r="BP1166" s="490"/>
      <c r="BQ1166" s="490"/>
      <c r="BR1166" s="490"/>
      <c r="BT1166" s="490"/>
      <c r="BU1166" s="490"/>
      <c r="BV1166" s="490"/>
      <c r="BX1166" s="490"/>
      <c r="BY1166" s="490"/>
      <c r="BZ1166" s="490"/>
      <c r="CB1166" s="490"/>
      <c r="CC1166" s="490"/>
      <c r="CD1166" s="490"/>
      <c r="CF1166" s="490"/>
      <c r="CG1166" s="490"/>
      <c r="CH1166" s="490"/>
      <c r="CJ1166" s="490"/>
      <c r="CK1166" s="490"/>
      <c r="CL1166" s="490"/>
      <c r="CN1166" s="490"/>
      <c r="CO1166" s="490"/>
      <c r="CP1166" s="490"/>
      <c r="CR1166" s="490"/>
      <c r="CS1166" s="490"/>
      <c r="CT1166" s="490"/>
      <c r="CV1166" s="795"/>
      <c r="CW1166" s="490"/>
      <c r="CX1166" s="490"/>
      <c r="CZ1166" s="490">
        <f>CZ1073</f>
        <v>0.1156717186934372</v>
      </c>
      <c r="DA1166" s="490">
        <f>DE1073</f>
        <v>0.11411179769865663</v>
      </c>
      <c r="DB1166" s="490"/>
      <c r="DD1166" s="490">
        <f>DD1073</f>
        <v>0.1142397411411181</v>
      </c>
      <c r="DE1166" s="490">
        <f ca="1">DI1073</f>
        <v>0.11240558448982133</v>
      </c>
      <c r="DF1166" s="490"/>
      <c r="DH1166" s="490">
        <f>DH1073</f>
        <v>0.1147599759725713</v>
      </c>
      <c r="DI1166" s="490">
        <f t="shared" ref="DI1166" ca="1" si="899">DI1073</f>
        <v>0.11240558448982133</v>
      </c>
      <c r="DJ1166" s="490"/>
      <c r="DL1166" s="490">
        <f t="shared" ref="DL1166:DM1166" ca="1" si="900">DL1073</f>
        <v>0.11182227321835843</v>
      </c>
      <c r="DM1166" s="490">
        <f t="shared" ca="1" si="900"/>
        <v>0.10940794591282456</v>
      </c>
      <c r="DN1166" s="490"/>
      <c r="DP1166" s="490">
        <f t="shared" ref="DP1166:DQ1166" ca="1" si="901">DP1073</f>
        <v>0.10950072448437582</v>
      </c>
      <c r="DQ1166" s="490">
        <f t="shared" ca="1" si="901"/>
        <v>0.10787952876134008</v>
      </c>
      <c r="DR1166" s="490"/>
      <c r="DT1166" s="1"/>
      <c r="DU1166" s="1"/>
      <c r="DV1166" s="1"/>
      <c r="DW1166" s="1"/>
      <c r="DX1166" s="1"/>
      <c r="DY1166" s="1"/>
      <c r="DZ1166" s="1"/>
      <c r="EA1166" s="1"/>
      <c r="EB1166" s="1"/>
      <c r="EC1166" s="1"/>
      <c r="ED1166" s="1"/>
      <c r="EE1166" s="1"/>
      <c r="EF1166" s="1"/>
      <c r="EG1166" s="1"/>
      <c r="EH1166" s="1"/>
      <c r="EI1166" s="1"/>
      <c r="EJ1166" s="1"/>
      <c r="EK1166" s="1"/>
      <c r="EL1166" s="1"/>
      <c r="EM1166" s="1"/>
      <c r="EN1166" s="1"/>
      <c r="EO1166" s="1"/>
      <c r="EP1166" s="1"/>
      <c r="EQ1166" s="1"/>
      <c r="ER1166" s="1"/>
      <c r="ES1166" s="1"/>
      <c r="ET1166" s="1"/>
      <c r="EU1166" s="1"/>
      <c r="EV1166" s="1"/>
      <c r="EW1166" s="1"/>
      <c r="EX1166" s="1"/>
      <c r="EY1166" s="1"/>
      <c r="EZ1166" s="1"/>
      <c r="FA1166" s="1"/>
      <c r="FB1166" s="1"/>
      <c r="FC1166" s="1"/>
      <c r="FD1166" s="1"/>
      <c r="FE1166" s="1"/>
      <c r="FF1166" s="1"/>
      <c r="FG1166" s="1"/>
      <c r="FH1166" s="1"/>
      <c r="FI1166" s="1"/>
      <c r="FJ1166" s="1"/>
      <c r="FK1166" s="1"/>
      <c r="FL1166" s="1"/>
      <c r="FM1166" s="1"/>
      <c r="FN1166" s="1"/>
      <c r="FO1166" s="1"/>
      <c r="FP1166" s="1"/>
      <c r="FQ1166" s="1"/>
      <c r="FR1166" s="1"/>
      <c r="FS1166" s="1"/>
      <c r="FT1166" s="1"/>
      <c r="FU1166" s="1"/>
      <c r="FV1166" s="1"/>
      <c r="FW1166" s="1"/>
      <c r="FX1166" s="1"/>
      <c r="FY1166" s="1"/>
      <c r="FZ1166" s="1"/>
      <c r="GA1166" s="1"/>
      <c r="GB1166" s="1"/>
      <c r="GC1166" s="1"/>
      <c r="GD1166" s="1"/>
      <c r="GE1166" s="1"/>
      <c r="GF1166" s="1"/>
      <c r="GG1166" s="1"/>
      <c r="GH1166" s="1"/>
      <c r="GI1166" s="1"/>
      <c r="GJ1166" s="1"/>
      <c r="GK1166" s="1"/>
      <c r="GL1166" s="1"/>
      <c r="GM1166" s="1"/>
      <c r="GN1166" s="1"/>
      <c r="GO1166" s="1"/>
      <c r="GP1166" s="1"/>
      <c r="GQ1166" s="1"/>
      <c r="GR1166" s="1"/>
      <c r="GS1166" s="1"/>
      <c r="GT1166" s="1"/>
      <c r="GU1166" s="1"/>
      <c r="GV1166" s="1"/>
      <c r="GW1166" s="1"/>
      <c r="GX1166" s="1"/>
      <c r="GY1166" s="1"/>
      <c r="GZ1166" s="1"/>
      <c r="HA1166" s="1"/>
      <c r="HB1166" s="1"/>
      <c r="HC1166" s="1"/>
      <c r="HD1166" s="1"/>
      <c r="HE1166" s="1"/>
      <c r="HF1166" s="1"/>
      <c r="HG1166" s="1"/>
      <c r="HH1166" s="1"/>
      <c r="HI1166" s="1"/>
      <c r="HJ1166" s="1"/>
      <c r="HK1166" s="1"/>
      <c r="HL1166" s="1"/>
      <c r="HM1166" s="1"/>
      <c r="HN1166" s="1"/>
      <c r="HO1166" s="1"/>
      <c r="HP1166" s="1"/>
      <c r="HQ1166" s="1"/>
      <c r="HR1166" s="1"/>
      <c r="HS1166" s="1"/>
      <c r="HT1166" s="1"/>
      <c r="HU1166" s="1"/>
      <c r="HV1166" s="1"/>
      <c r="HW1166" s="1"/>
      <c r="HX1166" s="1"/>
      <c r="HY1166" s="1"/>
      <c r="HZ1166" s="1"/>
      <c r="IA1166" s="1"/>
      <c r="IB1166" s="1"/>
      <c r="IC1166" s="1"/>
      <c r="ID1166" s="1"/>
      <c r="IE1166" s="1"/>
      <c r="IF1166" s="1"/>
      <c r="IG1166" s="1"/>
      <c r="IH1166" s="1"/>
      <c r="II1166" s="1"/>
      <c r="IJ1166" s="1"/>
      <c r="IK1166" s="1"/>
      <c r="IL1166" s="1"/>
      <c r="IM1166" s="1"/>
      <c r="IN1166" s="1"/>
      <c r="IO1166" s="1"/>
      <c r="IP1166" s="1"/>
      <c r="IQ1166" s="1"/>
      <c r="IR1166" s="1"/>
      <c r="IS1166" s="1"/>
      <c r="IT1166" s="1"/>
      <c r="IU1166" s="1"/>
      <c r="IV1166" s="1"/>
      <c r="IW1166" s="1"/>
      <c r="IX1166" s="1"/>
      <c r="IY1166" s="1"/>
      <c r="IZ1166" s="1"/>
      <c r="JA1166" s="1"/>
      <c r="JB1166" s="1"/>
      <c r="JC1166" s="1"/>
      <c r="JD1166" s="1"/>
    </row>
    <row r="1167" spans="1:264" s="347" customFormat="1" x14ac:dyDescent="0.2">
      <c r="A1167" s="387" t="s">
        <v>782</v>
      </c>
      <c r="B1167" s="348"/>
      <c r="BH1167" s="348"/>
      <c r="BI1167" s="490"/>
      <c r="BJ1167" s="490"/>
      <c r="BK1167" s="348"/>
      <c r="BL1167" s="490"/>
      <c r="BM1167" s="490"/>
      <c r="BN1167" s="490"/>
      <c r="BO1167" s="348"/>
      <c r="BP1167" s="490"/>
      <c r="BQ1167" s="490"/>
      <c r="BR1167" s="490"/>
      <c r="BT1167" s="490"/>
      <c r="BU1167" s="490"/>
      <c r="BV1167" s="490"/>
      <c r="BX1167" s="490"/>
      <c r="BY1167" s="490"/>
      <c r="BZ1167" s="490"/>
      <c r="CB1167" s="490"/>
      <c r="CC1167" s="490"/>
      <c r="CD1167" s="490"/>
      <c r="CF1167" s="794"/>
      <c r="CG1167" s="490"/>
      <c r="CH1167" s="490"/>
      <c r="CJ1167" s="490"/>
      <c r="CK1167" s="490"/>
      <c r="CL1167" s="490"/>
      <c r="CN1167" s="490"/>
      <c r="CO1167" s="490"/>
      <c r="CP1167" s="490"/>
      <c r="CR1167" s="490"/>
      <c r="CS1167" s="490"/>
      <c r="CT1167" s="490"/>
      <c r="CV1167" s="490"/>
      <c r="CW1167" s="490"/>
      <c r="CX1167" s="490"/>
      <c r="CZ1167" s="794">
        <v>0.11</v>
      </c>
      <c r="DA1167" s="794">
        <v>0.11</v>
      </c>
      <c r="DB1167" s="490"/>
      <c r="DD1167" s="794">
        <v>0.11</v>
      </c>
      <c r="DE1167" s="794">
        <v>0.11</v>
      </c>
      <c r="DF1167" s="490"/>
      <c r="DH1167" s="794">
        <v>0.1125</v>
      </c>
      <c r="DI1167" s="794">
        <f>DH1167</f>
        <v>0.1125</v>
      </c>
      <c r="DJ1167" s="490"/>
      <c r="DL1167" s="794">
        <f>DI1167</f>
        <v>0.1125</v>
      </c>
      <c r="DM1167" s="794">
        <f>DL1167</f>
        <v>0.1125</v>
      </c>
      <c r="DN1167" s="490"/>
      <c r="DP1167" s="794">
        <f>DM1167</f>
        <v>0.1125</v>
      </c>
      <c r="DQ1167" s="794">
        <f>DP1167</f>
        <v>0.1125</v>
      </c>
      <c r="DR1167" s="490"/>
      <c r="DT1167" s="1"/>
      <c r="DU1167" s="1"/>
      <c r="DV1167" s="1"/>
      <c r="DW1167" s="1"/>
      <c r="DX1167" s="1"/>
      <c r="DY1167" s="1"/>
      <c r="DZ1167" s="1"/>
      <c r="EA1167" s="1"/>
      <c r="EB1167" s="1"/>
      <c r="EC1167" s="1"/>
      <c r="ED1167" s="1"/>
      <c r="EE1167" s="1"/>
      <c r="EF1167" s="1"/>
      <c r="EG1167" s="1"/>
      <c r="EH1167" s="1"/>
      <c r="EI1167" s="1"/>
      <c r="EJ1167" s="1"/>
      <c r="EK1167" s="1"/>
      <c r="EL1167" s="1"/>
      <c r="EM1167" s="1"/>
      <c r="EN1167" s="1"/>
      <c r="EO1167" s="1"/>
      <c r="EP1167" s="1"/>
      <c r="EQ1167" s="1"/>
      <c r="ER1167" s="1"/>
      <c r="ES1167" s="1"/>
      <c r="ET1167" s="1"/>
      <c r="EU1167" s="1"/>
      <c r="EV1167" s="1"/>
      <c r="EW1167" s="1"/>
      <c r="EX1167" s="1"/>
      <c r="EY1167" s="1"/>
      <c r="EZ1167" s="1"/>
      <c r="FA1167" s="1"/>
      <c r="FB1167" s="1"/>
      <c r="FC1167" s="1"/>
      <c r="FD1167" s="1"/>
      <c r="FE1167" s="1"/>
      <c r="FF1167" s="1"/>
      <c r="FG1167" s="1"/>
      <c r="FH1167" s="1"/>
      <c r="FI1167" s="1"/>
      <c r="FJ1167" s="1"/>
      <c r="FK1167" s="1"/>
      <c r="FL1167" s="1"/>
      <c r="FM1167" s="1"/>
      <c r="FN1167" s="1"/>
      <c r="FO1167" s="1"/>
      <c r="FP1167" s="1"/>
      <c r="FQ1167" s="1"/>
      <c r="FR1167" s="1"/>
      <c r="FS1167" s="1"/>
      <c r="FT1167" s="1"/>
      <c r="FU1167" s="1"/>
      <c r="FV1167" s="1"/>
      <c r="FW1167" s="1"/>
      <c r="FX1167" s="1"/>
      <c r="FY1167" s="1"/>
      <c r="FZ1167" s="1"/>
      <c r="GA1167" s="1"/>
      <c r="GB1167" s="1"/>
      <c r="GC1167" s="1"/>
      <c r="GD1167" s="1"/>
      <c r="GE1167" s="1"/>
      <c r="GF1167" s="1"/>
      <c r="GG1167" s="1"/>
      <c r="GH1167" s="1"/>
      <c r="GI1167" s="1"/>
      <c r="GJ1167" s="1"/>
      <c r="GK1167" s="1"/>
      <c r="GL1167" s="1"/>
      <c r="GM1167" s="1"/>
      <c r="GN1167" s="1"/>
      <c r="GO1167" s="1"/>
      <c r="GP1167" s="1"/>
      <c r="GQ1167" s="1"/>
      <c r="GR1167" s="1"/>
      <c r="GS1167" s="1"/>
      <c r="GT1167" s="1"/>
      <c r="GU1167" s="1"/>
      <c r="GV1167" s="1"/>
      <c r="GW1167" s="1"/>
      <c r="GX1167" s="1"/>
      <c r="GY1167" s="1"/>
      <c r="GZ1167" s="1"/>
      <c r="HA1167" s="1"/>
      <c r="HB1167" s="1"/>
      <c r="HC1167" s="1"/>
      <c r="HD1167" s="1"/>
      <c r="HE1167" s="1"/>
      <c r="HF1167" s="1"/>
      <c r="HG1167" s="1"/>
      <c r="HH1167" s="1"/>
      <c r="HI1167" s="1"/>
      <c r="HJ1167" s="1"/>
      <c r="HK1167" s="1"/>
      <c r="HL1167" s="1"/>
      <c r="HM1167" s="1"/>
      <c r="HN1167" s="1"/>
      <c r="HO1167" s="1"/>
      <c r="HP1167" s="1"/>
      <c r="HQ1167" s="1"/>
      <c r="HR1167" s="1"/>
      <c r="HS1167" s="1"/>
      <c r="HT1167" s="1"/>
      <c r="HU1167" s="1"/>
      <c r="HV1167" s="1"/>
      <c r="HW1167" s="1"/>
      <c r="HX1167" s="1"/>
      <c r="HY1167" s="1"/>
      <c r="HZ1167" s="1"/>
      <c r="IA1167" s="1"/>
      <c r="IB1167" s="1"/>
      <c r="IC1167" s="1"/>
      <c r="ID1167" s="1"/>
      <c r="IE1167" s="1"/>
      <c r="IF1167" s="1"/>
      <c r="IG1167" s="1"/>
      <c r="IH1167" s="1"/>
      <c r="II1167" s="1"/>
      <c r="IJ1167" s="1"/>
      <c r="IK1167" s="1"/>
      <c r="IL1167" s="1"/>
      <c r="IM1167" s="1"/>
      <c r="IN1167" s="1"/>
      <c r="IO1167" s="1"/>
      <c r="IP1167" s="1"/>
      <c r="IQ1167" s="1"/>
      <c r="IR1167" s="1"/>
      <c r="IS1167" s="1"/>
      <c r="IT1167" s="1"/>
      <c r="IU1167" s="1"/>
      <c r="IV1167" s="1"/>
      <c r="IW1167" s="1"/>
      <c r="IX1167" s="1"/>
      <c r="IY1167" s="1"/>
      <c r="IZ1167" s="1"/>
      <c r="JA1167" s="1"/>
      <c r="JB1167" s="1"/>
      <c r="JC1167" s="1"/>
      <c r="JD1167" s="1"/>
    </row>
    <row r="1168" spans="1:264" s="347" customFormat="1" x14ac:dyDescent="0.2">
      <c r="A1168" s="564" t="s">
        <v>783</v>
      </c>
      <c r="B1168" s="348"/>
      <c r="BH1168" s="348"/>
      <c r="BI1168" s="490"/>
      <c r="BJ1168" s="490"/>
      <c r="BK1168" s="348"/>
      <c r="BL1168" s="490"/>
      <c r="BM1168" s="490"/>
      <c r="BN1168" s="490"/>
      <c r="BO1168" s="348"/>
      <c r="BP1168" s="490"/>
      <c r="BQ1168" s="490"/>
      <c r="BR1168" s="490"/>
      <c r="BT1168" s="490"/>
      <c r="BU1168" s="490"/>
      <c r="BV1168" s="490"/>
      <c r="BX1168" s="490"/>
      <c r="BY1168" s="490"/>
      <c r="BZ1168" s="490"/>
      <c r="CB1168" s="490"/>
      <c r="CC1168" s="490"/>
      <c r="CD1168" s="490"/>
      <c r="CF1168" s="566"/>
      <c r="CG1168" s="490"/>
      <c r="CH1168" s="490"/>
      <c r="CJ1168" s="490"/>
      <c r="CK1168" s="490"/>
      <c r="CL1168" s="490"/>
      <c r="CN1168" s="490"/>
      <c r="CO1168" s="490"/>
      <c r="CP1168" s="490"/>
      <c r="CR1168" s="490"/>
      <c r="CS1168" s="490"/>
      <c r="CT1168" s="490"/>
      <c r="CV1168" s="490"/>
      <c r="CW1168" s="490"/>
      <c r="CX1168" s="490"/>
      <c r="CZ1168" s="566">
        <f>+(CZ1166-CZ1167)*CZ1310</f>
        <v>2629.6583418999985</v>
      </c>
      <c r="DA1168" s="566">
        <f>+(DA1166-DA1167)*DE1310</f>
        <v>2040.0478691999951</v>
      </c>
      <c r="DB1168" s="490"/>
      <c r="DD1168" s="566">
        <f>+(DD1166-DD1167)*DD1310</f>
        <v>2045.1196944999942</v>
      </c>
      <c r="DE1168" s="566">
        <f ca="1">+(DE1166-DE1167)*DI1310</f>
        <v>1255.0928764043767</v>
      </c>
      <c r="DF1168" s="490"/>
      <c r="DH1168" s="566">
        <f>+(DH1166-DH1167)*DH1310</f>
        <v>1141.9884587000029</v>
      </c>
      <c r="DI1168" s="566">
        <f ca="1">+(DI1166-DI1167)*DI1310</f>
        <v>-49.260474844574993</v>
      </c>
      <c r="DJ1168" s="490"/>
      <c r="DL1168" s="566">
        <f ca="1">+(DL1166-DL1167)*DL1310</f>
        <v>-363.4045217727903</v>
      </c>
      <c r="DM1168" s="566">
        <f ca="1">+(DM1166-DM1167)*DM1310</f>
        <v>-1711.8012750739495</v>
      </c>
      <c r="DN1168" s="490"/>
      <c r="DP1168" s="566">
        <f ca="1">+(DP1166-DP1167)*DP1310</f>
        <v>-1698.4497124923278</v>
      </c>
      <c r="DQ1168" s="566">
        <f ca="1">+(DQ1166-DQ1167)*DQ1310</f>
        <v>-2684.2206979156899</v>
      </c>
      <c r="DR1168" s="490"/>
      <c r="DT1168" s="1"/>
      <c r="DU1168" s="1"/>
      <c r="DV1168" s="1"/>
      <c r="DW1168" s="1"/>
      <c r="DX1168" s="1"/>
      <c r="DY1168" s="1"/>
      <c r="DZ1168" s="1"/>
      <c r="EA1168" s="1"/>
      <c r="EB1168" s="1"/>
      <c r="EC1168" s="1"/>
      <c r="ED1168" s="1"/>
      <c r="EE1168" s="1"/>
      <c r="EF1168" s="1"/>
      <c r="EG1168" s="1"/>
      <c r="EH1168" s="1"/>
      <c r="EI1168" s="1"/>
      <c r="EJ1168" s="1"/>
      <c r="EK1168" s="1"/>
      <c r="EL1168" s="1"/>
      <c r="EM1168" s="1"/>
      <c r="EN1168" s="1"/>
      <c r="EO1168" s="1"/>
      <c r="EP1168" s="1"/>
      <c r="EQ1168" s="1"/>
      <c r="ER1168" s="1"/>
      <c r="ES1168" s="1"/>
      <c r="ET1168" s="1"/>
      <c r="EU1168" s="1"/>
      <c r="EV1168" s="1"/>
      <c r="EW1168" s="1"/>
      <c r="EX1168" s="1"/>
      <c r="EY1168" s="1"/>
      <c r="EZ1168" s="1"/>
      <c r="FA1168" s="1"/>
      <c r="FB1168" s="1"/>
      <c r="FC1168" s="1"/>
      <c r="FD1168" s="1"/>
      <c r="FE1168" s="1"/>
      <c r="FF1168" s="1"/>
      <c r="FG1168" s="1"/>
      <c r="FH1168" s="1"/>
      <c r="FI1168" s="1"/>
      <c r="FJ1168" s="1"/>
      <c r="FK1168" s="1"/>
      <c r="FL1168" s="1"/>
      <c r="FM1168" s="1"/>
      <c r="FN1168" s="1"/>
      <c r="FO1168" s="1"/>
      <c r="FP1168" s="1"/>
      <c r="FQ1168" s="1"/>
      <c r="FR1168" s="1"/>
      <c r="FS1168" s="1"/>
      <c r="FT1168" s="1"/>
      <c r="FU1168" s="1"/>
      <c r="FV1168" s="1"/>
      <c r="FW1168" s="1"/>
      <c r="FX1168" s="1"/>
      <c r="FY1168" s="1"/>
      <c r="FZ1168" s="1"/>
      <c r="GA1168" s="1"/>
      <c r="GB1168" s="1"/>
      <c r="GC1168" s="1"/>
      <c r="GD1168" s="1"/>
      <c r="GE1168" s="1"/>
      <c r="GF1168" s="1"/>
      <c r="GG1168" s="1"/>
      <c r="GH1168" s="1"/>
      <c r="GI1168" s="1"/>
      <c r="GJ1168" s="1"/>
      <c r="GK1168" s="1"/>
      <c r="GL1168" s="1"/>
      <c r="GM1168" s="1"/>
      <c r="GN1168" s="1"/>
      <c r="GO1168" s="1"/>
      <c r="GP1168" s="1"/>
      <c r="GQ1168" s="1"/>
      <c r="GR1168" s="1"/>
      <c r="GS1168" s="1"/>
      <c r="GT1168" s="1"/>
      <c r="GU1168" s="1"/>
      <c r="GV1168" s="1"/>
      <c r="GW1168" s="1"/>
      <c r="GX1168" s="1"/>
      <c r="GY1168" s="1"/>
      <c r="GZ1168" s="1"/>
      <c r="HA1168" s="1"/>
      <c r="HB1168" s="1"/>
      <c r="HC1168" s="1"/>
      <c r="HD1168" s="1"/>
      <c r="HE1168" s="1"/>
      <c r="HF1168" s="1"/>
      <c r="HG1168" s="1"/>
      <c r="HH1168" s="1"/>
      <c r="HI1168" s="1"/>
      <c r="HJ1168" s="1"/>
      <c r="HK1168" s="1"/>
      <c r="HL1168" s="1"/>
      <c r="HM1168" s="1"/>
      <c r="HN1168" s="1"/>
      <c r="HO1168" s="1"/>
      <c r="HP1168" s="1"/>
      <c r="HQ1168" s="1"/>
      <c r="HR1168" s="1"/>
      <c r="HS1168" s="1"/>
      <c r="HT1168" s="1"/>
      <c r="HU1168" s="1"/>
      <c r="HV1168" s="1"/>
      <c r="HW1168" s="1"/>
      <c r="HX1168" s="1"/>
      <c r="HY1168" s="1"/>
      <c r="HZ1168" s="1"/>
      <c r="IA1168" s="1"/>
      <c r="IB1168" s="1"/>
      <c r="IC1168" s="1"/>
      <c r="ID1168" s="1"/>
      <c r="IE1168" s="1"/>
      <c r="IF1168" s="1"/>
      <c r="IG1168" s="1"/>
      <c r="IH1168" s="1"/>
      <c r="II1168" s="1"/>
      <c r="IJ1168" s="1"/>
      <c r="IK1168" s="1"/>
      <c r="IL1168" s="1"/>
      <c r="IM1168" s="1"/>
      <c r="IN1168" s="1"/>
      <c r="IO1168" s="1"/>
      <c r="IP1168" s="1"/>
      <c r="IQ1168" s="1"/>
      <c r="IR1168" s="1"/>
      <c r="IS1168" s="1"/>
      <c r="IT1168" s="1"/>
      <c r="IU1168" s="1"/>
      <c r="IV1168" s="1"/>
      <c r="IW1168" s="1"/>
      <c r="IX1168" s="1"/>
      <c r="IY1168" s="1"/>
      <c r="IZ1168" s="1"/>
      <c r="JA1168" s="1"/>
      <c r="JB1168" s="1"/>
      <c r="JC1168" s="1"/>
      <c r="JD1168" s="1"/>
    </row>
    <row r="1169" spans="1:264" s="347" customFormat="1" x14ac:dyDescent="0.2">
      <c r="B1169" s="348"/>
      <c r="BH1169" s="348"/>
      <c r="BI1169" s="348"/>
      <c r="BJ1169" s="348"/>
      <c r="BK1169" s="348"/>
      <c r="BL1169" s="348"/>
      <c r="BM1169" s="348"/>
      <c r="BN1169" s="348"/>
      <c r="BO1169" s="348"/>
      <c r="BP1169" s="649">
        <v>0.127</v>
      </c>
      <c r="BT1169" s="348"/>
      <c r="BX1169" s="348"/>
      <c r="CB1169" s="348"/>
      <c r="CF1169" s="348"/>
      <c r="CJ1169" s="348"/>
      <c r="CN1169" s="348"/>
      <c r="CR1169" s="348"/>
      <c r="CV1169" s="348"/>
      <c r="CZ1169" s="348"/>
      <c r="DD1169" s="348"/>
      <c r="DH1169" s="348"/>
      <c r="DL1169" s="348"/>
      <c r="DP1169" s="348"/>
      <c r="DT1169" s="1"/>
      <c r="DU1169" s="1"/>
      <c r="DV1169" s="1"/>
      <c r="DW1169" s="1"/>
      <c r="DX1169" s="1"/>
      <c r="DY1169" s="1"/>
      <c r="DZ1169" s="1"/>
      <c r="EA1169" s="1"/>
      <c r="EB1169" s="1"/>
      <c r="EC1169" s="1"/>
      <c r="ED1169" s="1"/>
      <c r="EE1169" s="1"/>
      <c r="EF1169" s="1"/>
      <c r="EG1169" s="1"/>
      <c r="EH1169" s="1"/>
      <c r="EI1169" s="1"/>
      <c r="EJ1169" s="1"/>
      <c r="EK1169" s="1"/>
      <c r="EL1169" s="1"/>
      <c r="EM1169" s="1"/>
      <c r="EN1169" s="1"/>
      <c r="EO1169" s="1"/>
      <c r="EP1169" s="1"/>
      <c r="EQ1169" s="1"/>
      <c r="ER1169" s="1"/>
      <c r="ES1169" s="1"/>
      <c r="ET1169" s="1"/>
      <c r="EU1169" s="1"/>
      <c r="EV1169" s="1"/>
      <c r="EW1169" s="1"/>
      <c r="EX1169" s="1"/>
      <c r="EY1169" s="1"/>
      <c r="EZ1169" s="1"/>
      <c r="FA1169" s="1"/>
      <c r="FB1169" s="1"/>
      <c r="FC1169" s="1"/>
      <c r="FD1169" s="1"/>
      <c r="FE1169" s="1"/>
      <c r="FF1169" s="1"/>
      <c r="FG1169" s="1"/>
      <c r="FH1169" s="1"/>
      <c r="FI1169" s="1"/>
      <c r="FJ1169" s="1"/>
      <c r="FK1169" s="1"/>
      <c r="FL1169" s="1"/>
      <c r="FM1169" s="1"/>
      <c r="FN1169" s="1"/>
      <c r="FO1169" s="1"/>
      <c r="FP1169" s="1"/>
      <c r="FQ1169" s="1"/>
      <c r="FR1169" s="1"/>
      <c r="FS1169" s="1"/>
      <c r="FT1169" s="1"/>
      <c r="FU1169" s="1"/>
      <c r="FV1169" s="1"/>
      <c r="FW1169" s="1"/>
      <c r="FX1169" s="1"/>
      <c r="FY1169" s="1"/>
      <c r="FZ1169" s="1"/>
      <c r="GA1169" s="1"/>
      <c r="GB1169" s="1"/>
      <c r="GC1169" s="1"/>
      <c r="GD1169" s="1"/>
      <c r="GE1169" s="1"/>
      <c r="GF1169" s="1"/>
      <c r="GG1169" s="1"/>
      <c r="GH1169" s="1"/>
      <c r="GI1169" s="1"/>
      <c r="GJ1169" s="1"/>
      <c r="GK1169" s="1"/>
      <c r="GL1169" s="1"/>
      <c r="GM1169" s="1"/>
      <c r="GN1169" s="1"/>
      <c r="GO1169" s="1"/>
      <c r="GP1169" s="1"/>
      <c r="GQ1169" s="1"/>
      <c r="GR1169" s="1"/>
      <c r="GS1169" s="1"/>
      <c r="GT1169" s="1"/>
      <c r="GU1169" s="1"/>
      <c r="GV1169" s="1"/>
      <c r="GW1169" s="1"/>
      <c r="GX1169" s="1"/>
      <c r="GY1169" s="1"/>
      <c r="GZ1169" s="1"/>
      <c r="HA1169" s="1"/>
      <c r="HB1169" s="1"/>
      <c r="HC1169" s="1"/>
      <c r="HD1169" s="1"/>
      <c r="HE1169" s="1"/>
      <c r="HF1169" s="1"/>
      <c r="HG1169" s="1"/>
      <c r="HH1169" s="1"/>
      <c r="HI1169" s="1"/>
      <c r="HJ1169" s="1"/>
      <c r="HK1169" s="1"/>
      <c r="HL1169" s="1"/>
      <c r="HM1169" s="1"/>
      <c r="HN1169" s="1"/>
      <c r="HO1169" s="1"/>
      <c r="HP1169" s="1"/>
      <c r="HQ1169" s="1"/>
      <c r="HR1169" s="1"/>
      <c r="HS1169" s="1"/>
      <c r="HT1169" s="1"/>
      <c r="HU1169" s="1"/>
      <c r="HV1169" s="1"/>
      <c r="HW1169" s="1"/>
      <c r="HX1169" s="1"/>
      <c r="HY1169" s="1"/>
      <c r="HZ1169" s="1"/>
      <c r="IA1169" s="1"/>
      <c r="IB1169" s="1"/>
      <c r="IC1169" s="1"/>
      <c r="ID1169" s="1"/>
      <c r="IE1169" s="1"/>
      <c r="IF1169" s="1"/>
      <c r="IG1169" s="1"/>
      <c r="IH1169" s="1"/>
      <c r="II1169" s="1"/>
      <c r="IJ1169" s="1"/>
      <c r="IK1169" s="1"/>
      <c r="IL1169" s="1"/>
      <c r="IM1169" s="1"/>
      <c r="IN1169" s="1"/>
      <c r="IO1169" s="1"/>
      <c r="IP1169" s="1"/>
      <c r="IQ1169" s="1"/>
      <c r="IR1169" s="1"/>
      <c r="IS1169" s="1"/>
      <c r="IT1169" s="1"/>
      <c r="IU1169" s="1"/>
      <c r="IV1169" s="1"/>
      <c r="IW1169" s="1"/>
      <c r="IX1169" s="1"/>
      <c r="IY1169" s="1"/>
      <c r="IZ1169" s="1"/>
      <c r="JA1169" s="1"/>
      <c r="JB1169" s="1"/>
      <c r="JC1169" s="1"/>
      <c r="JD1169" s="1"/>
    </row>
    <row r="1170" spans="1:264" s="347" customFormat="1" x14ac:dyDescent="0.2">
      <c r="A1170" s="347" t="s">
        <v>785</v>
      </c>
      <c r="B1170" s="348"/>
      <c r="BH1170" s="348"/>
      <c r="BI1170" s="348"/>
      <c r="BJ1170" s="348"/>
      <c r="BK1170" s="348"/>
      <c r="BL1170" s="348"/>
      <c r="BM1170" s="483">
        <f>BM1157</f>
        <v>9.3013339650296845E-2</v>
      </c>
      <c r="BN1170" s="483">
        <f>BN1157</f>
        <v>9.3013339650296845E-2</v>
      </c>
      <c r="BO1170" s="348"/>
      <c r="BP1170" s="483">
        <f>BP1157</f>
        <v>9.2296231673880041E-2</v>
      </c>
      <c r="BQ1170" s="483">
        <f>BQ1157</f>
        <v>9.0577970877709704E-2</v>
      </c>
      <c r="BR1170" s="483">
        <f>BR1157</f>
        <v>9.0577970877709704E-2</v>
      </c>
      <c r="BT1170" s="483">
        <f>BT1157</f>
        <v>0.10241887424808105</v>
      </c>
      <c r="BU1170" s="483">
        <f>BU1157</f>
        <v>0.10556494462420217</v>
      </c>
      <c r="BV1170" s="483">
        <f>BV1157</f>
        <v>0.10556494462420217</v>
      </c>
      <c r="BX1170" s="483">
        <f>BX1157</f>
        <v>9.9259761593288143E-2</v>
      </c>
      <c r="BY1170" s="483">
        <f>BY1157</f>
        <v>0.10103577745084805</v>
      </c>
      <c r="BZ1170" s="483">
        <f>BZ1157</f>
        <v>0.10103577745084805</v>
      </c>
      <c r="CB1170" s="483">
        <f>CB1157</f>
        <v>0.10421562667295775</v>
      </c>
      <c r="CC1170" s="483">
        <f>CC1157</f>
        <v>0.10132748379894116</v>
      </c>
      <c r="CD1170" s="483">
        <f>CD1157</f>
        <v>0.10132748379894116</v>
      </c>
      <c r="CF1170" s="483">
        <f>CF1157</f>
        <v>0.10788868321262333</v>
      </c>
      <c r="CG1170" s="483">
        <f>CG1157</f>
        <v>0.10682654463051228</v>
      </c>
      <c r="CH1170" s="483">
        <f>CH1157</f>
        <v>0.10682654463051228</v>
      </c>
      <c r="CJ1170" s="483">
        <f>CJ1157</f>
        <v>0.11661924417905663</v>
      </c>
      <c r="CK1170" s="483">
        <f>CK1157</f>
        <v>0.115509904428638</v>
      </c>
      <c r="CL1170" s="483">
        <f>CL1157</f>
        <v>0.115509904428638</v>
      </c>
      <c r="CN1170" s="483">
        <f>CN1157</f>
        <v>0.12582228140100879</v>
      </c>
      <c r="CO1170" s="483">
        <f>CO1157</f>
        <v>0.1305493920298216</v>
      </c>
      <c r="CP1170" s="483">
        <f>CP1157</f>
        <v>0.1305493920298216</v>
      </c>
      <c r="CR1170" s="483">
        <f>CR1157</f>
        <v>0.11752665136769035</v>
      </c>
      <c r="CS1170" s="483">
        <f>CS1157</f>
        <v>0.11452885364697565</v>
      </c>
      <c r="CT1170" s="483">
        <f>CT1157</f>
        <v>0.11452885364697565</v>
      </c>
      <c r="CV1170" s="483">
        <f>CV1157</f>
        <v>0.11410444506126333</v>
      </c>
      <c r="CW1170" s="483">
        <f>CW1157</f>
        <v>0.12160250602574403</v>
      </c>
      <c r="CX1170" s="483">
        <f>CX1157</f>
        <v>0.12160250602574403</v>
      </c>
      <c r="CZ1170" s="483">
        <f>CZ1157</f>
        <v>0.12343737867846882</v>
      </c>
      <c r="DA1170" s="483">
        <f>DA1157</f>
        <v>0.12338974785638358</v>
      </c>
      <c r="DB1170" s="483">
        <f>DB1157</f>
        <v>0.12338974785638358</v>
      </c>
      <c r="DD1170" s="483">
        <f>DD1157</f>
        <v>0.12204557092184613</v>
      </c>
      <c r="DE1170" s="483">
        <f>DE1157</f>
        <v>0.12288141571516391</v>
      </c>
      <c r="DF1170" s="483">
        <f>DF1157</f>
        <v>0.12288141571516391</v>
      </c>
      <c r="DH1170" s="483">
        <f>DH1157</f>
        <v>0.12254259761334627</v>
      </c>
      <c r="DI1170" s="483">
        <f ca="1">DI1157</f>
        <v>0.12137499376977245</v>
      </c>
      <c r="DJ1170" s="483">
        <f ca="1">DJ1157</f>
        <v>0.12137499376977245</v>
      </c>
      <c r="DL1170" s="483">
        <f ca="1">DL1157</f>
        <v>0.11993382355612094</v>
      </c>
      <c r="DM1170" s="483">
        <f ca="1">DM1157</f>
        <v>0.1184715426814056</v>
      </c>
      <c r="DN1170" s="483">
        <f ca="1">DN1157</f>
        <v>0.1184715426814056</v>
      </c>
      <c r="DP1170" s="483">
        <f ca="1">DP1157</f>
        <v>0.11746741994188369</v>
      </c>
      <c r="DQ1170" s="483">
        <f ca="1">DQ1157</f>
        <v>0.11696142567081413</v>
      </c>
      <c r="DR1170" s="483">
        <f ca="1">DR1157</f>
        <v>0.11696142567081413</v>
      </c>
      <c r="DT1170" s="1"/>
      <c r="DU1170" s="1"/>
      <c r="DV1170" s="1"/>
      <c r="DW1170" s="1"/>
      <c r="DX1170" s="1"/>
      <c r="DY1170" s="1"/>
      <c r="DZ1170" s="1"/>
      <c r="EA1170" s="1"/>
      <c r="EB1170" s="1"/>
      <c r="EC1170" s="1"/>
      <c r="ED1170" s="1"/>
      <c r="EE1170" s="1"/>
      <c r="EF1170" s="1"/>
      <c r="EG1170" s="1"/>
      <c r="EH1170" s="1"/>
      <c r="EI1170" s="1"/>
      <c r="EJ1170" s="1"/>
      <c r="EK1170" s="1"/>
      <c r="EL1170" s="1"/>
      <c r="EM1170" s="1"/>
      <c r="EN1170" s="1"/>
      <c r="EO1170" s="1"/>
      <c r="EP1170" s="1"/>
      <c r="EQ1170" s="1"/>
      <c r="ER1170" s="1"/>
      <c r="ES1170" s="1"/>
      <c r="ET1170" s="1"/>
      <c r="EU1170" s="1"/>
      <c r="EV1170" s="1"/>
      <c r="EW1170" s="1"/>
      <c r="EX1170" s="1"/>
      <c r="EY1170" s="1"/>
      <c r="EZ1170" s="1"/>
      <c r="FA1170" s="1"/>
      <c r="FB1170" s="1"/>
      <c r="FC1170" s="1"/>
      <c r="FD1170" s="1"/>
      <c r="FE1170" s="1"/>
      <c r="FF1170" s="1"/>
      <c r="FG1170" s="1"/>
      <c r="FH1170" s="1"/>
      <c r="FI1170" s="1"/>
      <c r="FJ1170" s="1"/>
      <c r="FK1170" s="1"/>
      <c r="FL1170" s="1"/>
      <c r="FM1170" s="1"/>
      <c r="FN1170" s="1"/>
      <c r="FO1170" s="1"/>
      <c r="FP1170" s="1"/>
      <c r="FQ1170" s="1"/>
      <c r="FR1170" s="1"/>
      <c r="FS1170" s="1"/>
      <c r="FT1170" s="1"/>
      <c r="FU1170" s="1"/>
      <c r="FV1170" s="1"/>
      <c r="FW1170" s="1"/>
      <c r="FX1170" s="1"/>
      <c r="FY1170" s="1"/>
      <c r="FZ1170" s="1"/>
      <c r="GA1170" s="1"/>
      <c r="GB1170" s="1"/>
      <c r="GC1170" s="1"/>
      <c r="GD1170" s="1"/>
      <c r="GE1170" s="1"/>
      <c r="GF1170" s="1"/>
      <c r="GG1170" s="1"/>
      <c r="GH1170" s="1"/>
      <c r="GI1170" s="1"/>
      <c r="GJ1170" s="1"/>
      <c r="GK1170" s="1"/>
      <c r="GL1170" s="1"/>
      <c r="GM1170" s="1"/>
      <c r="GN1170" s="1"/>
      <c r="GO1170" s="1"/>
      <c r="GP1170" s="1"/>
      <c r="GQ1170" s="1"/>
      <c r="GR1170" s="1"/>
      <c r="GS1170" s="1"/>
      <c r="GT1170" s="1"/>
      <c r="GU1170" s="1"/>
      <c r="GV1170" s="1"/>
      <c r="GW1170" s="1"/>
      <c r="GX1170" s="1"/>
      <c r="GY1170" s="1"/>
      <c r="GZ1170" s="1"/>
      <c r="HA1170" s="1"/>
      <c r="HB1170" s="1"/>
      <c r="HC1170" s="1"/>
      <c r="HD1170" s="1"/>
      <c r="HE1170" s="1"/>
      <c r="HF1170" s="1"/>
      <c r="HG1170" s="1"/>
      <c r="HH1170" s="1"/>
      <c r="HI1170" s="1"/>
      <c r="HJ1170" s="1"/>
      <c r="HK1170" s="1"/>
      <c r="HL1170" s="1"/>
      <c r="HM1170" s="1"/>
      <c r="HN1170" s="1"/>
      <c r="HO1170" s="1"/>
      <c r="HP1170" s="1"/>
      <c r="HQ1170" s="1"/>
      <c r="HR1170" s="1"/>
      <c r="HS1170" s="1"/>
      <c r="HT1170" s="1"/>
      <c r="HU1170" s="1"/>
      <c r="HV1170" s="1"/>
      <c r="HW1170" s="1"/>
      <c r="HX1170" s="1"/>
      <c r="HY1170" s="1"/>
      <c r="HZ1170" s="1"/>
      <c r="IA1170" s="1"/>
      <c r="IB1170" s="1"/>
      <c r="IC1170" s="1"/>
      <c r="ID1170" s="1"/>
      <c r="IE1170" s="1"/>
      <c r="IF1170" s="1"/>
      <c r="IG1170" s="1"/>
      <c r="IH1170" s="1"/>
      <c r="II1170" s="1"/>
      <c r="IJ1170" s="1"/>
      <c r="IK1170" s="1"/>
      <c r="IL1170" s="1"/>
      <c r="IM1170" s="1"/>
      <c r="IN1170" s="1"/>
      <c r="IO1170" s="1"/>
      <c r="IP1170" s="1"/>
      <c r="IQ1170" s="1"/>
      <c r="IR1170" s="1"/>
      <c r="IS1170" s="1"/>
      <c r="IT1170" s="1"/>
      <c r="IU1170" s="1"/>
      <c r="IV1170" s="1"/>
      <c r="IW1170" s="1"/>
      <c r="IX1170" s="1"/>
      <c r="IY1170" s="1"/>
      <c r="IZ1170" s="1"/>
      <c r="JA1170" s="1"/>
      <c r="JB1170" s="1"/>
      <c r="JC1170" s="1"/>
      <c r="JD1170" s="1"/>
    </row>
    <row r="1171" spans="1:264" s="347" customFormat="1" x14ac:dyDescent="0.2">
      <c r="A1171" s="447" t="s">
        <v>786</v>
      </c>
      <c r="B1171" s="446"/>
      <c r="C1171" s="447"/>
      <c r="D1171" s="447"/>
      <c r="E1171" s="447"/>
      <c r="F1171" s="447"/>
      <c r="G1171" s="447"/>
      <c r="H1171" s="447"/>
      <c r="I1171" s="447"/>
      <c r="J1171" s="447"/>
      <c r="K1171" s="447"/>
      <c r="L1171" s="447"/>
      <c r="M1171" s="447"/>
      <c r="N1171" s="447"/>
      <c r="O1171" s="447"/>
      <c r="P1171" s="447"/>
      <c r="Q1171" s="447"/>
      <c r="R1171" s="447"/>
      <c r="S1171" s="447"/>
      <c r="T1171" s="447"/>
      <c r="U1171" s="447"/>
      <c r="V1171" s="447"/>
      <c r="W1171" s="447"/>
      <c r="X1171" s="447"/>
      <c r="Y1171" s="447"/>
      <c r="Z1171" s="447"/>
      <c r="AA1171" s="447"/>
      <c r="AB1171" s="447"/>
      <c r="AC1171" s="447"/>
      <c r="AD1171" s="447"/>
      <c r="AE1171" s="447"/>
      <c r="AF1171" s="447"/>
      <c r="AG1171" s="447"/>
      <c r="AH1171" s="447"/>
      <c r="AI1171" s="447"/>
      <c r="AJ1171" s="447"/>
      <c r="AK1171" s="447"/>
      <c r="AL1171" s="447"/>
      <c r="AM1171" s="447"/>
      <c r="AN1171" s="447"/>
      <c r="AO1171" s="447"/>
      <c r="AP1171" s="447"/>
      <c r="AQ1171" s="447"/>
      <c r="AR1171" s="447"/>
      <c r="AS1171" s="447"/>
      <c r="AT1171" s="447"/>
      <c r="AU1171" s="447"/>
      <c r="AV1171" s="447"/>
      <c r="AW1171" s="447"/>
      <c r="AX1171" s="447"/>
      <c r="AY1171" s="447"/>
      <c r="AZ1171" s="447"/>
      <c r="BA1171" s="447"/>
      <c r="BB1171" s="447"/>
      <c r="BC1171" s="447"/>
      <c r="BD1171" s="447"/>
      <c r="BE1171" s="447"/>
      <c r="BF1171" s="447"/>
      <c r="BG1171" s="447"/>
      <c r="BH1171" s="446"/>
      <c r="BI1171" s="446"/>
      <c r="BJ1171" s="446"/>
      <c r="BK1171" s="446"/>
      <c r="BL1171" s="446"/>
      <c r="BM1171" s="796">
        <v>8.9999999999999993E-3</v>
      </c>
      <c r="BN1171" s="797">
        <f>BM1171</f>
        <v>8.9999999999999993E-3</v>
      </c>
      <c r="BO1171" s="446"/>
      <c r="BP1171" s="796">
        <v>0.01</v>
      </c>
      <c r="BQ1171" s="796">
        <v>0.01</v>
      </c>
      <c r="BR1171" s="797">
        <f>BQ1171</f>
        <v>0.01</v>
      </c>
      <c r="BS1171" s="447"/>
      <c r="BT1171" s="796">
        <v>8.9999999999999993E-3</v>
      </c>
      <c r="BU1171" s="796">
        <v>8.0000000000000002E-3</v>
      </c>
      <c r="BV1171" s="797">
        <f>BU1171</f>
        <v>8.0000000000000002E-3</v>
      </c>
      <c r="BW1171" s="798"/>
      <c r="BX1171" s="796">
        <v>7.0000000000000001E-3</v>
      </c>
      <c r="BY1171" s="796">
        <v>8.9999999999999993E-3</v>
      </c>
      <c r="BZ1171" s="797">
        <f>BY1171</f>
        <v>8.9999999999999993E-3</v>
      </c>
      <c r="CA1171" s="798"/>
      <c r="CB1171" s="796">
        <v>0.01</v>
      </c>
      <c r="CC1171" s="796">
        <v>0.01</v>
      </c>
      <c r="CD1171" s="797">
        <f>CC1171</f>
        <v>0.01</v>
      </c>
      <c r="CE1171" s="447"/>
      <c r="CF1171" s="799">
        <f>+CC1171*((3113+2887)/(2967+3474))</f>
        <v>9.3153237074988359E-3</v>
      </c>
      <c r="CG1171" s="796">
        <v>0.01</v>
      </c>
      <c r="CH1171" s="797">
        <f>CG1171</f>
        <v>0.01</v>
      </c>
      <c r="CI1171" s="605"/>
      <c r="CJ1171" s="796">
        <v>0.01</v>
      </c>
      <c r="CK1171" s="796">
        <v>8.0000000000000002E-3</v>
      </c>
      <c r="CL1171" s="797">
        <f>CK1171</f>
        <v>8.0000000000000002E-3</v>
      </c>
      <c r="CM1171" s="605"/>
      <c r="CN1171" s="796">
        <v>7.0000000000000001E-3</v>
      </c>
      <c r="CO1171" s="796">
        <v>8.0000000000000002E-3</v>
      </c>
      <c r="CP1171" s="797">
        <f>CO1171</f>
        <v>8.0000000000000002E-3</v>
      </c>
      <c r="CQ1171" s="605"/>
      <c r="CR1171" s="796">
        <v>8.0000000000000002E-3</v>
      </c>
      <c r="CS1171" s="796">
        <f>3.6/25*7.1%</f>
        <v>1.0224E-2</v>
      </c>
      <c r="CT1171" s="797">
        <f>CS1171</f>
        <v>1.0224E-2</v>
      </c>
      <c r="CU1171" s="447"/>
      <c r="CV1171" s="796">
        <v>4.0000000000000001E-3</v>
      </c>
      <c r="CW1171" s="796">
        <v>1.7999999999999999E-2</v>
      </c>
      <c r="CX1171" s="797">
        <f>CW1171</f>
        <v>1.7999999999999999E-2</v>
      </c>
      <c r="CY1171" s="447"/>
      <c r="CZ1171" s="796">
        <v>1.7000000000000001E-2</v>
      </c>
      <c r="DA1171" s="796">
        <v>0.01</v>
      </c>
      <c r="DB1171" s="797">
        <f>DA1171</f>
        <v>0.01</v>
      </c>
      <c r="DC1171" s="447"/>
      <c r="DD1171" s="796">
        <v>1.6E-2</v>
      </c>
      <c r="DE1171" s="796">
        <v>1.4999999999999999E-2</v>
      </c>
      <c r="DF1171" s="797">
        <f>DE1171</f>
        <v>1.4999999999999999E-2</v>
      </c>
      <c r="DG1171" s="447"/>
      <c r="DH1171" s="796">
        <v>1.4E-2</v>
      </c>
      <c r="DI1171" s="800">
        <f>DH1171</f>
        <v>1.4E-2</v>
      </c>
      <c r="DJ1171" s="797">
        <f>DI1171</f>
        <v>1.4E-2</v>
      </c>
      <c r="DK1171" s="447"/>
      <c r="DL1171" s="800">
        <f>DI1171</f>
        <v>1.4E-2</v>
      </c>
      <c r="DM1171" s="800">
        <f>DL1171</f>
        <v>1.4E-2</v>
      </c>
      <c r="DN1171" s="797">
        <f>DM1171</f>
        <v>1.4E-2</v>
      </c>
      <c r="DO1171" s="447"/>
      <c r="DP1171" s="800">
        <f>DM1171</f>
        <v>1.4E-2</v>
      </c>
      <c r="DQ1171" s="800">
        <f>DP1171</f>
        <v>1.4E-2</v>
      </c>
      <c r="DR1171" s="797">
        <f>DQ1171</f>
        <v>1.4E-2</v>
      </c>
      <c r="DS1171" s="447"/>
      <c r="DT1171" s="1"/>
      <c r="DU1171" s="1"/>
      <c r="DV1171" s="1"/>
      <c r="DW1171" s="1"/>
      <c r="DX1171" s="1"/>
      <c r="DY1171" s="1"/>
      <c r="DZ1171" s="1"/>
      <c r="EA1171" s="1"/>
      <c r="EB1171" s="1"/>
      <c r="EC1171" s="1"/>
      <c r="ED1171" s="1"/>
      <c r="EE1171" s="1"/>
      <c r="EF1171" s="1"/>
      <c r="EG1171" s="1"/>
      <c r="EH1171" s="1"/>
      <c r="EI1171" s="1"/>
      <c r="EJ1171" s="1"/>
      <c r="EK1171" s="1"/>
      <c r="EL1171" s="1"/>
      <c r="EM1171" s="1"/>
      <c r="EN1171" s="1"/>
      <c r="EO1171" s="1"/>
      <c r="EP1171" s="1"/>
      <c r="EQ1171" s="1"/>
      <c r="ER1171" s="1"/>
      <c r="ES1171" s="1"/>
      <c r="ET1171" s="1"/>
      <c r="EU1171" s="1"/>
      <c r="EV1171" s="1"/>
      <c r="EW1171" s="1"/>
      <c r="EX1171" s="1"/>
      <c r="EY1171" s="1"/>
      <c r="EZ1171" s="1"/>
      <c r="FA1171" s="1"/>
      <c r="FB1171" s="1"/>
      <c r="FC1171" s="1"/>
      <c r="FD1171" s="1"/>
      <c r="FE1171" s="1"/>
      <c r="FF1171" s="1"/>
      <c r="FG1171" s="1"/>
      <c r="FH1171" s="1"/>
      <c r="FI1171" s="1"/>
      <c r="FJ1171" s="1"/>
      <c r="FK1171" s="1"/>
      <c r="FL1171" s="1"/>
      <c r="FM1171" s="1"/>
      <c r="FN1171" s="1"/>
      <c r="FO1171" s="1"/>
      <c r="FP1171" s="1"/>
      <c r="FQ1171" s="1"/>
      <c r="FR1171" s="1"/>
      <c r="FS1171" s="1"/>
      <c r="FT1171" s="1"/>
      <c r="FU1171" s="1"/>
      <c r="FV1171" s="1"/>
      <c r="FW1171" s="1"/>
      <c r="FX1171" s="1"/>
      <c r="FY1171" s="1"/>
      <c r="FZ1171" s="1"/>
      <c r="GA1171" s="1"/>
      <c r="GB1171" s="1"/>
      <c r="GC1171" s="1"/>
      <c r="GD1171" s="1"/>
      <c r="GE1171" s="1"/>
      <c r="GF1171" s="1"/>
      <c r="GG1171" s="1"/>
      <c r="GH1171" s="1"/>
      <c r="GI1171" s="1"/>
      <c r="GJ1171" s="1"/>
      <c r="GK1171" s="1"/>
      <c r="GL1171" s="1"/>
      <c r="GM1171" s="1"/>
      <c r="GN1171" s="1"/>
      <c r="GO1171" s="1"/>
      <c r="GP1171" s="1"/>
      <c r="GQ1171" s="1"/>
      <c r="GR1171" s="1"/>
      <c r="GS1171" s="1"/>
      <c r="GT1171" s="1"/>
      <c r="GU1171" s="1"/>
      <c r="GV1171" s="1"/>
      <c r="GW1171" s="1"/>
      <c r="GX1171" s="1"/>
      <c r="GY1171" s="1"/>
      <c r="GZ1171" s="1"/>
      <c r="HA1171" s="1"/>
      <c r="HB1171" s="1"/>
      <c r="HC1171" s="1"/>
      <c r="HD1171" s="1"/>
      <c r="HE1171" s="1"/>
      <c r="HF1171" s="1"/>
      <c r="HG1171" s="1"/>
      <c r="HH1171" s="1"/>
      <c r="HI1171" s="1"/>
      <c r="HJ1171" s="1"/>
      <c r="HK1171" s="1"/>
      <c r="HL1171" s="1"/>
      <c r="HM1171" s="1"/>
      <c r="HN1171" s="1"/>
      <c r="HO1171" s="1"/>
      <c r="HP1171" s="1"/>
      <c r="HQ1171" s="1"/>
      <c r="HR1171" s="1"/>
      <c r="HS1171" s="1"/>
      <c r="HT1171" s="1"/>
      <c r="HU1171" s="1"/>
      <c r="HV1171" s="1"/>
      <c r="HW1171" s="1"/>
      <c r="HX1171" s="1"/>
      <c r="HY1171" s="1"/>
      <c r="HZ1171" s="1"/>
      <c r="IA1171" s="1"/>
      <c r="IB1171" s="1"/>
      <c r="IC1171" s="1"/>
      <c r="ID1171" s="1"/>
      <c r="IE1171" s="1"/>
      <c r="IF1171" s="1"/>
      <c r="IG1171" s="1"/>
      <c r="IH1171" s="1"/>
      <c r="II1171" s="1"/>
      <c r="IJ1171" s="1"/>
      <c r="IK1171" s="1"/>
      <c r="IL1171" s="1"/>
      <c r="IM1171" s="1"/>
      <c r="IN1171" s="1"/>
      <c r="IO1171" s="1"/>
      <c r="IP1171" s="1"/>
      <c r="IQ1171" s="1"/>
      <c r="IR1171" s="1"/>
      <c r="IS1171" s="1"/>
      <c r="IT1171" s="1"/>
      <c r="IU1171" s="1"/>
      <c r="IV1171" s="1"/>
      <c r="IW1171" s="1"/>
      <c r="IX1171" s="1"/>
      <c r="IY1171" s="1"/>
      <c r="IZ1171" s="1"/>
      <c r="JA1171" s="1"/>
      <c r="JB1171" s="1"/>
      <c r="JC1171" s="1"/>
      <c r="JD1171" s="1"/>
    </row>
    <row r="1172" spans="1:264" s="347" customFormat="1" x14ac:dyDescent="0.2">
      <c r="A1172" s="447" t="s">
        <v>787</v>
      </c>
      <c r="B1172" s="446"/>
      <c r="C1172" s="447"/>
      <c r="D1172" s="447"/>
      <c r="E1172" s="447"/>
      <c r="F1172" s="447"/>
      <c r="G1172" s="447"/>
      <c r="H1172" s="447"/>
      <c r="I1172" s="447"/>
      <c r="J1172" s="447"/>
      <c r="K1172" s="447"/>
      <c r="L1172" s="447"/>
      <c r="M1172" s="447"/>
      <c r="N1172" s="447"/>
      <c r="O1172" s="447"/>
      <c r="P1172" s="447"/>
      <c r="Q1172" s="447"/>
      <c r="R1172" s="447"/>
      <c r="S1172" s="447"/>
      <c r="T1172" s="447"/>
      <c r="U1172" s="447"/>
      <c r="V1172" s="447"/>
      <c r="W1172" s="447"/>
      <c r="X1172" s="447"/>
      <c r="Y1172" s="447"/>
      <c r="Z1172" s="447"/>
      <c r="AA1172" s="447"/>
      <c r="AB1172" s="447"/>
      <c r="AC1172" s="447"/>
      <c r="AD1172" s="447"/>
      <c r="AE1172" s="447"/>
      <c r="AF1172" s="447"/>
      <c r="AG1172" s="447"/>
      <c r="AH1172" s="447"/>
      <c r="AI1172" s="447"/>
      <c r="AJ1172" s="447"/>
      <c r="AK1172" s="447"/>
      <c r="AL1172" s="447"/>
      <c r="AM1172" s="447"/>
      <c r="AN1172" s="447"/>
      <c r="AO1172" s="447"/>
      <c r="AP1172" s="447"/>
      <c r="AQ1172" s="447"/>
      <c r="AR1172" s="447"/>
      <c r="AS1172" s="447"/>
      <c r="AT1172" s="447"/>
      <c r="AU1172" s="447"/>
      <c r="AV1172" s="447"/>
      <c r="AW1172" s="447"/>
      <c r="AX1172" s="447"/>
      <c r="AY1172" s="447"/>
      <c r="AZ1172" s="447"/>
      <c r="BA1172" s="447"/>
      <c r="BB1172" s="447"/>
      <c r="BC1172" s="447"/>
      <c r="BD1172" s="447"/>
      <c r="BE1172" s="447"/>
      <c r="BF1172" s="447"/>
      <c r="BG1172" s="447"/>
      <c r="BH1172" s="446"/>
      <c r="BI1172" s="446"/>
      <c r="BJ1172" s="446"/>
      <c r="BK1172" s="446"/>
      <c r="BL1172" s="446"/>
      <c r="BM1172" s="796">
        <v>3.0000000000000001E-3</v>
      </c>
      <c r="BN1172" s="797">
        <f>BM1172</f>
        <v>3.0000000000000001E-3</v>
      </c>
      <c r="BO1172" s="446"/>
      <c r="BP1172" s="796">
        <v>2E-3</v>
      </c>
      <c r="BQ1172" s="796">
        <v>2E-3</v>
      </c>
      <c r="BR1172" s="797">
        <f>BQ1172</f>
        <v>2E-3</v>
      </c>
      <c r="BS1172" s="447"/>
      <c r="BT1172" s="796">
        <v>2E-3</v>
      </c>
      <c r="BU1172" s="796">
        <v>3.0000000000000001E-3</v>
      </c>
      <c r="BV1172" s="797">
        <f>BU1172</f>
        <v>3.0000000000000001E-3</v>
      </c>
      <c r="BW1172" s="798"/>
      <c r="BX1172" s="796">
        <v>3.0000000000000001E-3</v>
      </c>
      <c r="BY1172" s="796">
        <v>3.0000000000000001E-3</v>
      </c>
      <c r="BZ1172" s="797">
        <f>BY1172</f>
        <v>3.0000000000000001E-3</v>
      </c>
      <c r="CA1172" s="798"/>
      <c r="CB1172" s="796">
        <v>3.0000000000000001E-3</v>
      </c>
      <c r="CC1172" s="796">
        <v>3.0000000000000001E-3</v>
      </c>
      <c r="CD1172" s="797">
        <f>CC1172</f>
        <v>3.0000000000000001E-3</v>
      </c>
      <c r="CE1172" s="447"/>
      <c r="CF1172" s="801">
        <f>+CC1172*(1191/2286)</f>
        <v>1.5629921259842519E-3</v>
      </c>
      <c r="CG1172" s="796">
        <v>4.0000000000000001E-3</v>
      </c>
      <c r="CH1172" s="797">
        <f>CG1172</f>
        <v>4.0000000000000001E-3</v>
      </c>
      <c r="CI1172" s="605"/>
      <c r="CJ1172" s="796">
        <v>4.0000000000000001E-3</v>
      </c>
      <c r="CK1172" s="796">
        <v>5.0000000000000001E-3</v>
      </c>
      <c r="CL1172" s="797">
        <f>CK1172</f>
        <v>5.0000000000000001E-3</v>
      </c>
      <c r="CM1172" s="605"/>
      <c r="CN1172" s="796">
        <v>5.0000000000000001E-3</v>
      </c>
      <c r="CO1172" s="796">
        <v>3.0000000000000001E-3</v>
      </c>
      <c r="CP1172" s="797">
        <f>CO1172</f>
        <v>3.0000000000000001E-3</v>
      </c>
      <c r="CQ1172" s="605"/>
      <c r="CR1172" s="796">
        <v>2E-3</v>
      </c>
      <c r="CS1172" s="796">
        <f>3.2/25*7.1%</f>
        <v>9.0879999999999989E-3</v>
      </c>
      <c r="CT1172" s="797">
        <f>CS1172</f>
        <v>9.0879999999999989E-3</v>
      </c>
      <c r="CU1172" s="447"/>
      <c r="CV1172" s="796">
        <v>3.0000000000000001E-3</v>
      </c>
      <c r="CW1172" s="796">
        <v>0</v>
      </c>
      <c r="CX1172" s="797">
        <f>CW1172</f>
        <v>0</v>
      </c>
      <c r="CY1172" s="447"/>
      <c r="CZ1172" s="796">
        <v>0</v>
      </c>
      <c r="DA1172" s="796">
        <v>0</v>
      </c>
      <c r="DB1172" s="797">
        <f>DA1172</f>
        <v>0</v>
      </c>
      <c r="DC1172" s="447"/>
      <c r="DD1172" s="796">
        <v>0</v>
      </c>
      <c r="DE1172" s="796">
        <v>0</v>
      </c>
      <c r="DF1172" s="797">
        <f>DE1172</f>
        <v>0</v>
      </c>
      <c r="DG1172" s="447"/>
      <c r="DH1172" s="796">
        <v>0</v>
      </c>
      <c r="DI1172" s="800">
        <f>DH1172</f>
        <v>0</v>
      </c>
      <c r="DJ1172" s="797">
        <f>DI1172</f>
        <v>0</v>
      </c>
      <c r="DK1172" s="447"/>
      <c r="DL1172" s="800">
        <f>DI1172</f>
        <v>0</v>
      </c>
      <c r="DM1172" s="800">
        <f>DL1172</f>
        <v>0</v>
      </c>
      <c r="DN1172" s="797">
        <f>DM1172</f>
        <v>0</v>
      </c>
      <c r="DO1172" s="447"/>
      <c r="DP1172" s="800">
        <f>DM1172</f>
        <v>0</v>
      </c>
      <c r="DQ1172" s="800">
        <f>DP1172</f>
        <v>0</v>
      </c>
      <c r="DR1172" s="797">
        <f>DQ1172</f>
        <v>0</v>
      </c>
      <c r="DS1172" s="447"/>
      <c r="DT1172" s="1"/>
      <c r="DU1172" s="1"/>
      <c r="DV1172" s="1"/>
      <c r="DW1172" s="1"/>
      <c r="DX1172" s="1"/>
      <c r="DY1172" s="1"/>
      <c r="DZ1172" s="1"/>
      <c r="EA1172" s="1"/>
      <c r="EB1172" s="1"/>
      <c r="EC1172" s="1"/>
      <c r="ED1172" s="1"/>
      <c r="EE1172" s="1"/>
      <c r="EF1172" s="1"/>
      <c r="EG1172" s="1"/>
      <c r="EH1172" s="1"/>
      <c r="EI1172" s="1"/>
      <c r="EJ1172" s="1"/>
      <c r="EK1172" s="1"/>
      <c r="EL1172" s="1"/>
      <c r="EM1172" s="1"/>
      <c r="EN1172" s="1"/>
      <c r="EO1172" s="1"/>
      <c r="EP1172" s="1"/>
      <c r="EQ1172" s="1"/>
      <c r="ER1172" s="1"/>
      <c r="ES1172" s="1"/>
      <c r="ET1172" s="1"/>
      <c r="EU1172" s="1"/>
      <c r="EV1172" s="1"/>
      <c r="EW1172" s="1"/>
      <c r="EX1172" s="1"/>
      <c r="EY1172" s="1"/>
      <c r="EZ1172" s="1"/>
      <c r="FA1172" s="1"/>
      <c r="FB1172" s="1"/>
      <c r="FC1172" s="1"/>
      <c r="FD1172" s="1"/>
      <c r="FE1172" s="1"/>
      <c r="FF1172" s="1"/>
      <c r="FG1172" s="1"/>
      <c r="FH1172" s="1"/>
      <c r="FI1172" s="1"/>
      <c r="FJ1172" s="1"/>
      <c r="FK1172" s="1"/>
      <c r="FL1172" s="1"/>
      <c r="FM1172" s="1"/>
      <c r="FN1172" s="1"/>
      <c r="FO1172" s="1"/>
      <c r="FP1172" s="1"/>
      <c r="FQ1172" s="1"/>
      <c r="FR1172" s="1"/>
      <c r="FS1172" s="1"/>
      <c r="FT1172" s="1"/>
      <c r="FU1172" s="1"/>
      <c r="FV1172" s="1"/>
      <c r="FW1172" s="1"/>
      <c r="FX1172" s="1"/>
      <c r="FY1172" s="1"/>
      <c r="FZ1172" s="1"/>
      <c r="GA1172" s="1"/>
      <c r="GB1172" s="1"/>
      <c r="GC1172" s="1"/>
      <c r="GD1172" s="1"/>
      <c r="GE1172" s="1"/>
      <c r="GF1172" s="1"/>
      <c r="GG1172" s="1"/>
      <c r="GH1172" s="1"/>
      <c r="GI1172" s="1"/>
      <c r="GJ1172" s="1"/>
      <c r="GK1172" s="1"/>
      <c r="GL1172" s="1"/>
      <c r="GM1172" s="1"/>
      <c r="GN1172" s="1"/>
      <c r="GO1172" s="1"/>
      <c r="GP1172" s="1"/>
      <c r="GQ1172" s="1"/>
      <c r="GR1172" s="1"/>
      <c r="GS1172" s="1"/>
      <c r="GT1172" s="1"/>
      <c r="GU1172" s="1"/>
      <c r="GV1172" s="1"/>
      <c r="GW1172" s="1"/>
      <c r="GX1172" s="1"/>
      <c r="GY1172" s="1"/>
      <c r="GZ1172" s="1"/>
      <c r="HA1172" s="1"/>
      <c r="HB1172" s="1"/>
      <c r="HC1172" s="1"/>
      <c r="HD1172" s="1"/>
      <c r="HE1172" s="1"/>
      <c r="HF1172" s="1"/>
      <c r="HG1172" s="1"/>
      <c r="HH1172" s="1"/>
      <c r="HI1172" s="1"/>
      <c r="HJ1172" s="1"/>
      <c r="HK1172" s="1"/>
      <c r="HL1172" s="1"/>
      <c r="HM1172" s="1"/>
      <c r="HN1172" s="1"/>
      <c r="HO1172" s="1"/>
      <c r="HP1172" s="1"/>
      <c r="HQ1172" s="1"/>
      <c r="HR1172" s="1"/>
      <c r="HS1172" s="1"/>
      <c r="HT1172" s="1"/>
      <c r="HU1172" s="1"/>
      <c r="HV1172" s="1"/>
      <c r="HW1172" s="1"/>
      <c r="HX1172" s="1"/>
      <c r="HY1172" s="1"/>
      <c r="HZ1172" s="1"/>
      <c r="IA1172" s="1"/>
      <c r="IB1172" s="1"/>
      <c r="IC1172" s="1"/>
      <c r="ID1172" s="1"/>
      <c r="IE1172" s="1"/>
      <c r="IF1172" s="1"/>
      <c r="IG1172" s="1"/>
      <c r="IH1172" s="1"/>
      <c r="II1172" s="1"/>
      <c r="IJ1172" s="1"/>
      <c r="IK1172" s="1"/>
      <c r="IL1172" s="1"/>
      <c r="IM1172" s="1"/>
      <c r="IN1172" s="1"/>
      <c r="IO1172" s="1"/>
      <c r="IP1172" s="1"/>
      <c r="IQ1172" s="1"/>
      <c r="IR1172" s="1"/>
      <c r="IS1172" s="1"/>
      <c r="IT1172" s="1"/>
      <c r="IU1172" s="1"/>
      <c r="IV1172" s="1"/>
      <c r="IW1172" s="1"/>
      <c r="IX1172" s="1"/>
      <c r="IY1172" s="1"/>
      <c r="IZ1172" s="1"/>
      <c r="JA1172" s="1"/>
      <c r="JB1172" s="1"/>
      <c r="JC1172" s="1"/>
      <c r="JD1172" s="1"/>
    </row>
    <row r="1173" spans="1:264" s="347" customFormat="1" x14ac:dyDescent="0.2">
      <c r="A1173" s="447" t="s">
        <v>788</v>
      </c>
      <c r="B1173" s="446"/>
      <c r="C1173" s="447"/>
      <c r="D1173" s="447"/>
      <c r="E1173" s="447"/>
      <c r="F1173" s="447"/>
      <c r="G1173" s="447"/>
      <c r="H1173" s="447"/>
      <c r="I1173" s="447"/>
      <c r="J1173" s="447"/>
      <c r="K1173" s="447"/>
      <c r="L1173" s="447"/>
      <c r="M1173" s="447"/>
      <c r="N1173" s="447"/>
      <c r="O1173" s="447"/>
      <c r="P1173" s="447"/>
      <c r="Q1173" s="447"/>
      <c r="R1173" s="447"/>
      <c r="S1173" s="447"/>
      <c r="T1173" s="447"/>
      <c r="U1173" s="447"/>
      <c r="V1173" s="447"/>
      <c r="W1173" s="447"/>
      <c r="X1173" s="447"/>
      <c r="Y1173" s="447"/>
      <c r="Z1173" s="447"/>
      <c r="AA1173" s="447"/>
      <c r="AB1173" s="447"/>
      <c r="AC1173" s="447"/>
      <c r="AD1173" s="447"/>
      <c r="AE1173" s="447"/>
      <c r="AF1173" s="447"/>
      <c r="AG1173" s="447"/>
      <c r="AH1173" s="447"/>
      <c r="AI1173" s="447"/>
      <c r="AJ1173" s="447"/>
      <c r="AK1173" s="447"/>
      <c r="AL1173" s="447"/>
      <c r="AM1173" s="447"/>
      <c r="AN1173" s="447"/>
      <c r="AO1173" s="447"/>
      <c r="AP1173" s="447"/>
      <c r="AQ1173" s="447"/>
      <c r="AR1173" s="447"/>
      <c r="AS1173" s="447"/>
      <c r="AT1173" s="447"/>
      <c r="AU1173" s="447"/>
      <c r="AV1173" s="447"/>
      <c r="AW1173" s="447"/>
      <c r="AX1173" s="447"/>
      <c r="AY1173" s="447"/>
      <c r="AZ1173" s="447"/>
      <c r="BA1173" s="447"/>
      <c r="BB1173" s="447"/>
      <c r="BC1173" s="447"/>
      <c r="BD1173" s="447"/>
      <c r="BE1173" s="447"/>
      <c r="BF1173" s="447"/>
      <c r="BG1173" s="447"/>
      <c r="BH1173" s="446"/>
      <c r="BI1173" s="446"/>
      <c r="BJ1173" s="446"/>
      <c r="BK1173" s="446"/>
      <c r="BL1173" s="446"/>
      <c r="BM1173" s="797">
        <f>+BQ1173/BQ1307*BM1307</f>
        <v>4.0827878676131654E-3</v>
      </c>
      <c r="BN1173" s="797">
        <f>BM1173</f>
        <v>4.0827878676131654E-3</v>
      </c>
      <c r="BO1173" s="446"/>
      <c r="BP1173" s="797">
        <f>+BQ1173/BQ1307*BP1307</f>
        <v>1.3402784179957594E-3</v>
      </c>
      <c r="BQ1173" s="796">
        <v>3.0000000000000001E-3</v>
      </c>
      <c r="BR1173" s="797">
        <f>BQ1173</f>
        <v>3.0000000000000001E-3</v>
      </c>
      <c r="BS1173" s="447"/>
      <c r="BT1173" s="796">
        <v>5.0000000000000001E-3</v>
      </c>
      <c r="BU1173" s="796">
        <v>2E-3</v>
      </c>
      <c r="BV1173" s="797">
        <f>BU1173</f>
        <v>2E-3</v>
      </c>
      <c r="BW1173" s="798"/>
      <c r="BX1173" s="796">
        <v>6.0000000000000001E-3</v>
      </c>
      <c r="BY1173" s="796">
        <v>5.0000000000000001E-3</v>
      </c>
      <c r="BZ1173" s="797">
        <f>BY1173</f>
        <v>5.0000000000000001E-3</v>
      </c>
      <c r="CA1173" s="798"/>
      <c r="CB1173" s="796">
        <v>7.0000000000000001E-3</v>
      </c>
      <c r="CC1173" s="796">
        <v>6.0000000000000001E-3</v>
      </c>
      <c r="CD1173" s="797">
        <f>CC1173</f>
        <v>6.0000000000000001E-3</v>
      </c>
      <c r="CE1173" s="447"/>
      <c r="CF1173" s="802">
        <f>CF1307/CC1307*CC1173</f>
        <v>3.4138058324104836E-3</v>
      </c>
      <c r="CG1173" s="796">
        <v>3.0000000000000001E-3</v>
      </c>
      <c r="CH1173" s="797">
        <f>CG1173</f>
        <v>3.0000000000000001E-3</v>
      </c>
      <c r="CI1173" s="605"/>
      <c r="CJ1173" s="796">
        <v>2E-3</v>
      </c>
      <c r="CK1173" s="796">
        <v>3.0000000000000001E-3</v>
      </c>
      <c r="CL1173" s="797">
        <f>CK1173</f>
        <v>3.0000000000000001E-3</v>
      </c>
      <c r="CM1173" s="605"/>
      <c r="CN1173" s="796">
        <v>4.0000000000000001E-3</v>
      </c>
      <c r="CO1173" s="796">
        <v>3.0000000000000001E-3</v>
      </c>
      <c r="CP1173" s="797">
        <f>CO1173</f>
        <v>3.0000000000000001E-3</v>
      </c>
      <c r="CQ1173" s="605"/>
      <c r="CR1173" s="796">
        <v>6.0000000000000001E-3</v>
      </c>
      <c r="CS1173" s="796">
        <f>0.2*7.1%</f>
        <v>1.4199999999999999E-2</v>
      </c>
      <c r="CT1173" s="797">
        <f>CS1173</f>
        <v>1.4199999999999999E-2</v>
      </c>
      <c r="CU1173" s="447"/>
      <c r="CV1173" s="796">
        <v>1.2E-2</v>
      </c>
      <c r="CW1173" s="796">
        <v>1.6E-2</v>
      </c>
      <c r="CX1173" s="797">
        <f>CW1173</f>
        <v>1.6E-2</v>
      </c>
      <c r="CY1173" s="447"/>
      <c r="CZ1173" s="796">
        <v>1.4E-2</v>
      </c>
      <c r="DA1173" s="796">
        <v>1.6E-2</v>
      </c>
      <c r="DB1173" s="797">
        <f>DA1173</f>
        <v>1.6E-2</v>
      </c>
      <c r="DC1173" s="447"/>
      <c r="DD1173" s="796">
        <v>1.4999999999999999E-2</v>
      </c>
      <c r="DE1173" s="796">
        <v>1.4E-2</v>
      </c>
      <c r="DF1173" s="797">
        <f>DE1173</f>
        <v>1.4E-2</v>
      </c>
      <c r="DG1173" s="447"/>
      <c r="DH1173" s="796">
        <v>1.0999999999999999E-2</v>
      </c>
      <c r="DI1173" s="800">
        <f ca="1">+DH1173/DH1307*DI1307</f>
        <v>1.1383929798880249E-2</v>
      </c>
      <c r="DJ1173" s="797">
        <f ca="1">DI1173</f>
        <v>1.1383929798880249E-2</v>
      </c>
      <c r="DK1173" s="447"/>
      <c r="DL1173" s="800">
        <f ca="1">+DI1173/DI1307*DL1307</f>
        <v>1.1718378434867989E-2</v>
      </c>
      <c r="DM1173" s="800">
        <f ca="1">+DL1173/DL1307*DM1307</f>
        <v>1.208290489866155E-2</v>
      </c>
      <c r="DN1173" s="797">
        <f ca="1">DM1173</f>
        <v>1.208290489866155E-2</v>
      </c>
      <c r="DO1173" s="447"/>
      <c r="DP1173" s="800">
        <f ca="1">+DM1173/DM1307*DP1307</f>
        <v>1.2364652936154861E-2</v>
      </c>
      <c r="DQ1173" s="800">
        <f ca="1">+DP1173/DP1307*DQ1307</f>
        <v>1.2673967200313038E-2</v>
      </c>
      <c r="DR1173" s="797">
        <f ca="1">DQ1173</f>
        <v>1.2673967200313038E-2</v>
      </c>
      <c r="DS1173" s="447"/>
      <c r="DT1173" s="1"/>
      <c r="DU1173" s="1"/>
      <c r="DV1173" s="1"/>
      <c r="DW1173" s="1"/>
      <c r="DX1173" s="1"/>
      <c r="DY1173" s="1"/>
      <c r="DZ1173" s="1"/>
      <c r="EA1173" s="1"/>
      <c r="EB1173" s="1"/>
      <c r="EC1173" s="1"/>
      <c r="ED1173" s="1"/>
      <c r="EE1173" s="1"/>
      <c r="EF1173" s="1"/>
      <c r="EG1173" s="1"/>
      <c r="EH1173" s="1"/>
      <c r="EI1173" s="1"/>
      <c r="EJ1173" s="1"/>
      <c r="EK1173" s="1"/>
      <c r="EL1173" s="1"/>
      <c r="EM1173" s="1"/>
      <c r="EN1173" s="1"/>
      <c r="EO1173" s="1"/>
      <c r="EP1173" s="1"/>
      <c r="EQ1173" s="1"/>
      <c r="ER1173" s="1"/>
      <c r="ES1173" s="1"/>
      <c r="ET1173" s="1"/>
      <c r="EU1173" s="1"/>
      <c r="EV1173" s="1"/>
      <c r="EW1173" s="1"/>
      <c r="EX1173" s="1"/>
      <c r="EY1173" s="1"/>
      <c r="EZ1173" s="1"/>
      <c r="FA1173" s="1"/>
      <c r="FB1173" s="1"/>
      <c r="FC1173" s="1"/>
      <c r="FD1173" s="1"/>
      <c r="FE1173" s="1"/>
      <c r="FF1173" s="1"/>
      <c r="FG1173" s="1"/>
      <c r="FH1173" s="1"/>
      <c r="FI1173" s="1"/>
      <c r="FJ1173" s="1"/>
      <c r="FK1173" s="1"/>
      <c r="FL1173" s="1"/>
      <c r="FM1173" s="1"/>
      <c r="FN1173" s="1"/>
      <c r="FO1173" s="1"/>
      <c r="FP1173" s="1"/>
      <c r="FQ1173" s="1"/>
      <c r="FR1173" s="1"/>
      <c r="FS1173" s="1"/>
      <c r="FT1173" s="1"/>
      <c r="FU1173" s="1"/>
      <c r="FV1173" s="1"/>
      <c r="FW1173" s="1"/>
      <c r="FX1173" s="1"/>
      <c r="FY1173" s="1"/>
      <c r="FZ1173" s="1"/>
      <c r="GA1173" s="1"/>
      <c r="GB1173" s="1"/>
      <c r="GC1173" s="1"/>
      <c r="GD1173" s="1"/>
      <c r="GE1173" s="1"/>
      <c r="GF1173" s="1"/>
      <c r="GG1173" s="1"/>
      <c r="GH1173" s="1"/>
      <c r="GI1173" s="1"/>
      <c r="GJ1173" s="1"/>
      <c r="GK1173" s="1"/>
      <c r="GL1173" s="1"/>
      <c r="GM1173" s="1"/>
      <c r="GN1173" s="1"/>
      <c r="GO1173" s="1"/>
      <c r="GP1173" s="1"/>
      <c r="GQ1173" s="1"/>
      <c r="GR1173" s="1"/>
      <c r="GS1173" s="1"/>
      <c r="GT1173" s="1"/>
      <c r="GU1173" s="1"/>
      <c r="GV1173" s="1"/>
      <c r="GW1173" s="1"/>
      <c r="GX1173" s="1"/>
      <c r="GY1173" s="1"/>
      <c r="GZ1173" s="1"/>
      <c r="HA1173" s="1"/>
      <c r="HB1173" s="1"/>
      <c r="HC1173" s="1"/>
      <c r="HD1173" s="1"/>
      <c r="HE1173" s="1"/>
      <c r="HF1173" s="1"/>
      <c r="HG1173" s="1"/>
      <c r="HH1173" s="1"/>
      <c r="HI1173" s="1"/>
      <c r="HJ1173" s="1"/>
      <c r="HK1173" s="1"/>
      <c r="HL1173" s="1"/>
      <c r="HM1173" s="1"/>
      <c r="HN1173" s="1"/>
      <c r="HO1173" s="1"/>
      <c r="HP1173" s="1"/>
      <c r="HQ1173" s="1"/>
      <c r="HR1173" s="1"/>
      <c r="HS1173" s="1"/>
      <c r="HT1173" s="1"/>
      <c r="HU1173" s="1"/>
      <c r="HV1173" s="1"/>
      <c r="HW1173" s="1"/>
      <c r="HX1173" s="1"/>
      <c r="HY1173" s="1"/>
      <c r="HZ1173" s="1"/>
      <c r="IA1173" s="1"/>
      <c r="IB1173" s="1"/>
      <c r="IC1173" s="1"/>
      <c r="ID1173" s="1"/>
      <c r="IE1173" s="1"/>
      <c r="IF1173" s="1"/>
      <c r="IG1173" s="1"/>
      <c r="IH1173" s="1"/>
      <c r="II1173" s="1"/>
      <c r="IJ1173" s="1"/>
      <c r="IK1173" s="1"/>
      <c r="IL1173" s="1"/>
      <c r="IM1173" s="1"/>
      <c r="IN1173" s="1"/>
      <c r="IO1173" s="1"/>
      <c r="IP1173" s="1"/>
      <c r="IQ1173" s="1"/>
      <c r="IR1173" s="1"/>
      <c r="IS1173" s="1"/>
      <c r="IT1173" s="1"/>
      <c r="IU1173" s="1"/>
      <c r="IV1173" s="1"/>
      <c r="IW1173" s="1"/>
      <c r="IX1173" s="1"/>
      <c r="IY1173" s="1"/>
      <c r="IZ1173" s="1"/>
      <c r="JA1173" s="1"/>
      <c r="JB1173" s="1"/>
      <c r="JC1173" s="1"/>
      <c r="JD1173" s="1"/>
    </row>
    <row r="1174" spans="1:264" s="347" customFormat="1" x14ac:dyDescent="0.2">
      <c r="A1174" s="447" t="s">
        <v>789</v>
      </c>
      <c r="B1174" s="446"/>
      <c r="C1174" s="447"/>
      <c r="D1174" s="447"/>
      <c r="E1174" s="447"/>
      <c r="F1174" s="447"/>
      <c r="G1174" s="447"/>
      <c r="H1174" s="447"/>
      <c r="I1174" s="447"/>
      <c r="J1174" s="447"/>
      <c r="K1174" s="447"/>
      <c r="L1174" s="447"/>
      <c r="M1174" s="447"/>
      <c r="N1174" s="447"/>
      <c r="O1174" s="447"/>
      <c r="P1174" s="447"/>
      <c r="Q1174" s="447"/>
      <c r="R1174" s="447"/>
      <c r="S1174" s="447"/>
      <c r="T1174" s="447"/>
      <c r="U1174" s="447"/>
      <c r="V1174" s="447"/>
      <c r="W1174" s="447"/>
      <c r="X1174" s="447"/>
      <c r="Y1174" s="447"/>
      <c r="Z1174" s="447"/>
      <c r="AA1174" s="447"/>
      <c r="AB1174" s="447"/>
      <c r="AC1174" s="447"/>
      <c r="AD1174" s="447"/>
      <c r="AE1174" s="447"/>
      <c r="AF1174" s="447"/>
      <c r="AG1174" s="447"/>
      <c r="AH1174" s="447"/>
      <c r="AI1174" s="447"/>
      <c r="AJ1174" s="447"/>
      <c r="AK1174" s="447"/>
      <c r="AL1174" s="447"/>
      <c r="AM1174" s="447"/>
      <c r="AN1174" s="447"/>
      <c r="AO1174" s="447"/>
      <c r="AP1174" s="447"/>
      <c r="AQ1174" s="447"/>
      <c r="AR1174" s="447"/>
      <c r="AS1174" s="447"/>
      <c r="AT1174" s="447"/>
      <c r="AU1174" s="447"/>
      <c r="AV1174" s="447"/>
      <c r="AW1174" s="447"/>
      <c r="AX1174" s="447"/>
      <c r="AY1174" s="447"/>
      <c r="AZ1174" s="447"/>
      <c r="BA1174" s="447"/>
      <c r="BB1174" s="447"/>
      <c r="BC1174" s="447"/>
      <c r="BD1174" s="447"/>
      <c r="BE1174" s="447"/>
      <c r="BF1174" s="447"/>
      <c r="BG1174" s="447"/>
      <c r="BH1174" s="446"/>
      <c r="BI1174" s="446"/>
      <c r="BJ1174" s="446"/>
      <c r="BK1174" s="446"/>
      <c r="BL1174" s="446"/>
      <c r="BM1174" s="796">
        <v>6.0000000000000001E-3</v>
      </c>
      <c r="BN1174" s="797">
        <f>BM1174</f>
        <v>6.0000000000000001E-3</v>
      </c>
      <c r="BO1174" s="446"/>
      <c r="BP1174" s="796">
        <v>6.0000000000000001E-3</v>
      </c>
      <c r="BQ1174" s="796">
        <v>6.0000000000000001E-3</v>
      </c>
      <c r="BR1174" s="797">
        <f>BQ1174</f>
        <v>6.0000000000000001E-3</v>
      </c>
      <c r="BS1174" s="447"/>
      <c r="BT1174" s="796">
        <v>7.0000000000000001E-3</v>
      </c>
      <c r="BU1174" s="796">
        <v>7.0000000000000001E-3</v>
      </c>
      <c r="BV1174" s="797">
        <f>BU1174</f>
        <v>7.0000000000000001E-3</v>
      </c>
      <c r="BW1174" s="798"/>
      <c r="BX1174" s="796">
        <v>1.7000000000000001E-2</v>
      </c>
      <c r="BY1174" s="796">
        <v>1.7999999999999999E-2</v>
      </c>
      <c r="BZ1174" s="797">
        <f>BY1174</f>
        <v>1.7999999999999999E-2</v>
      </c>
      <c r="CA1174" s="803"/>
      <c r="CB1174" s="796">
        <v>1.9E-2</v>
      </c>
      <c r="CC1174" s="796">
        <v>1.7999999999999999E-2</v>
      </c>
      <c r="CD1174" s="797">
        <f>CC1174</f>
        <v>1.7999999999999999E-2</v>
      </c>
      <c r="CE1174" s="447"/>
      <c r="CF1174" s="802">
        <f>+CD1174*CF1315/CC1315</f>
        <v>1.8598922875094938E-2</v>
      </c>
      <c r="CG1174" s="796">
        <v>2.1000000000000001E-2</v>
      </c>
      <c r="CH1174" s="797">
        <f>CG1174</f>
        <v>2.1000000000000001E-2</v>
      </c>
      <c r="CI1174" s="605"/>
      <c r="CJ1174" s="796">
        <v>2.3E-2</v>
      </c>
      <c r="CK1174" s="796">
        <v>2.3E-2</v>
      </c>
      <c r="CL1174" s="797">
        <f>CK1174</f>
        <v>2.3E-2</v>
      </c>
      <c r="CM1174" s="605"/>
      <c r="CN1174" s="796">
        <v>2.4E-2</v>
      </c>
      <c r="CO1174" s="796">
        <v>2.7E-2</v>
      </c>
      <c r="CP1174" s="797">
        <f>CO1174</f>
        <v>2.7E-2</v>
      </c>
      <c r="CQ1174" s="605"/>
      <c r="CR1174" s="796">
        <v>2.8000000000000001E-2</v>
      </c>
      <c r="CS1174" s="796">
        <f>7.9/25*7.1%</f>
        <v>2.2435999999999998E-2</v>
      </c>
      <c r="CT1174" s="797">
        <f>CS1174</f>
        <v>2.2435999999999998E-2</v>
      </c>
      <c r="CU1174" s="447"/>
      <c r="CV1174" s="796">
        <v>2.8000000000000001E-2</v>
      </c>
      <c r="CW1174" s="796">
        <v>1.4999999999999999E-2</v>
      </c>
      <c r="CX1174" s="797">
        <f>CW1174</f>
        <v>1.4999999999999999E-2</v>
      </c>
      <c r="CY1174" s="447"/>
      <c r="CZ1174" s="796">
        <v>1.4999999999999999E-2</v>
      </c>
      <c r="DA1174" s="796">
        <v>1.4999999999999999E-2</v>
      </c>
      <c r="DB1174" s="797">
        <f>DA1174</f>
        <v>1.4999999999999999E-2</v>
      </c>
      <c r="DC1174" s="447"/>
      <c r="DD1174" s="796">
        <v>1.4999999999999999E-2</v>
      </c>
      <c r="DE1174" s="796">
        <v>1.4999999999999999E-2</v>
      </c>
      <c r="DF1174" s="797">
        <f>DE1174</f>
        <v>1.4999999999999999E-2</v>
      </c>
      <c r="DG1174" s="447"/>
      <c r="DH1174" s="796">
        <v>1.4999999999999999E-2</v>
      </c>
      <c r="DI1174" s="800">
        <f>+DH1174/DH1347*DI1347</f>
        <v>1.5000000000000001E-2</v>
      </c>
      <c r="DJ1174" s="797">
        <f>DI1174</f>
        <v>1.5000000000000001E-2</v>
      </c>
      <c r="DK1174" s="447"/>
      <c r="DL1174" s="800">
        <f>+DI1174/DI1347*DL1347</f>
        <v>1.4999999999999999E-2</v>
      </c>
      <c r="DM1174" s="800">
        <f>+DL1174/DL1347*DM1347</f>
        <v>1.4999999999999999E-2</v>
      </c>
      <c r="DN1174" s="797">
        <f>DM1174</f>
        <v>1.4999999999999999E-2</v>
      </c>
      <c r="DO1174" s="447"/>
      <c r="DP1174" s="800">
        <f>+DM1174/DM1347*DP1347</f>
        <v>1.4999999999999999E-2</v>
      </c>
      <c r="DQ1174" s="800">
        <f>+DP1174/DP1347*DQ1347</f>
        <v>1.4999999999999999E-2</v>
      </c>
      <c r="DR1174" s="797">
        <f>DQ1174</f>
        <v>1.4999999999999999E-2</v>
      </c>
      <c r="DS1174" s="447"/>
      <c r="DT1174" s="1"/>
      <c r="DU1174" s="1"/>
      <c r="DV1174" s="1"/>
      <c r="DW1174" s="1"/>
      <c r="DX1174" s="1"/>
      <c r="DY1174" s="1"/>
      <c r="DZ1174" s="1"/>
      <c r="EA1174" s="1"/>
      <c r="EB1174" s="1"/>
      <c r="EC1174" s="1"/>
      <c r="ED1174" s="1"/>
      <c r="EE1174" s="1"/>
      <c r="EF1174" s="1"/>
      <c r="EG1174" s="1"/>
      <c r="EH1174" s="1"/>
      <c r="EI1174" s="1"/>
      <c r="EJ1174" s="1"/>
      <c r="EK1174" s="1"/>
      <c r="EL1174" s="1"/>
      <c r="EM1174" s="1"/>
      <c r="EN1174" s="1"/>
      <c r="EO1174" s="1"/>
      <c r="EP1174" s="1"/>
      <c r="EQ1174" s="1"/>
      <c r="ER1174" s="1"/>
      <c r="ES1174" s="1"/>
      <c r="ET1174" s="1"/>
      <c r="EU1174" s="1"/>
      <c r="EV1174" s="1"/>
      <c r="EW1174" s="1"/>
      <c r="EX1174" s="1"/>
      <c r="EY1174" s="1"/>
      <c r="EZ1174" s="1"/>
      <c r="FA1174" s="1"/>
      <c r="FB1174" s="1"/>
      <c r="FC1174" s="1"/>
      <c r="FD1174" s="1"/>
      <c r="FE1174" s="1"/>
      <c r="FF1174" s="1"/>
      <c r="FG1174" s="1"/>
      <c r="FH1174" s="1"/>
      <c r="FI1174" s="1"/>
      <c r="FJ1174" s="1"/>
      <c r="FK1174" s="1"/>
      <c r="FL1174" s="1"/>
      <c r="FM1174" s="1"/>
      <c r="FN1174" s="1"/>
      <c r="FO1174" s="1"/>
      <c r="FP1174" s="1"/>
      <c r="FQ1174" s="1"/>
      <c r="FR1174" s="1"/>
      <c r="FS1174" s="1"/>
      <c r="FT1174" s="1"/>
      <c r="FU1174" s="1"/>
      <c r="FV1174" s="1"/>
      <c r="FW1174" s="1"/>
      <c r="FX1174" s="1"/>
      <c r="FY1174" s="1"/>
      <c r="FZ1174" s="1"/>
      <c r="GA1174" s="1"/>
      <c r="GB1174" s="1"/>
      <c r="GC1174" s="1"/>
      <c r="GD1174" s="1"/>
      <c r="GE1174" s="1"/>
      <c r="GF1174" s="1"/>
      <c r="GG1174" s="1"/>
      <c r="GH1174" s="1"/>
      <c r="GI1174" s="1"/>
      <c r="GJ1174" s="1"/>
      <c r="GK1174" s="1"/>
      <c r="GL1174" s="1"/>
      <c r="GM1174" s="1"/>
      <c r="GN1174" s="1"/>
      <c r="GO1174" s="1"/>
      <c r="GP1174" s="1"/>
      <c r="GQ1174" s="1"/>
      <c r="GR1174" s="1"/>
      <c r="GS1174" s="1"/>
      <c r="GT1174" s="1"/>
      <c r="GU1174" s="1"/>
      <c r="GV1174" s="1"/>
      <c r="GW1174" s="1"/>
      <c r="GX1174" s="1"/>
      <c r="GY1174" s="1"/>
      <c r="GZ1174" s="1"/>
      <c r="HA1174" s="1"/>
      <c r="HB1174" s="1"/>
      <c r="HC1174" s="1"/>
      <c r="HD1174" s="1"/>
      <c r="HE1174" s="1"/>
      <c r="HF1174" s="1"/>
      <c r="HG1174" s="1"/>
      <c r="HH1174" s="1"/>
      <c r="HI1174" s="1"/>
      <c r="HJ1174" s="1"/>
      <c r="HK1174" s="1"/>
      <c r="HL1174" s="1"/>
      <c r="HM1174" s="1"/>
      <c r="HN1174" s="1"/>
      <c r="HO1174" s="1"/>
      <c r="HP1174" s="1"/>
      <c r="HQ1174" s="1"/>
      <c r="HR1174" s="1"/>
      <c r="HS1174" s="1"/>
      <c r="HT1174" s="1"/>
      <c r="HU1174" s="1"/>
      <c r="HV1174" s="1"/>
      <c r="HW1174" s="1"/>
      <c r="HX1174" s="1"/>
      <c r="HY1174" s="1"/>
      <c r="HZ1174" s="1"/>
      <c r="IA1174" s="1"/>
      <c r="IB1174" s="1"/>
      <c r="IC1174" s="1"/>
      <c r="ID1174" s="1"/>
      <c r="IE1174" s="1"/>
      <c r="IF1174" s="1"/>
      <c r="IG1174" s="1"/>
      <c r="IH1174" s="1"/>
      <c r="II1174" s="1"/>
      <c r="IJ1174" s="1"/>
      <c r="IK1174" s="1"/>
      <c r="IL1174" s="1"/>
      <c r="IM1174" s="1"/>
      <c r="IN1174" s="1"/>
      <c r="IO1174" s="1"/>
      <c r="IP1174" s="1"/>
      <c r="IQ1174" s="1"/>
      <c r="IR1174" s="1"/>
      <c r="IS1174" s="1"/>
      <c r="IT1174" s="1"/>
      <c r="IU1174" s="1"/>
      <c r="IV1174" s="1"/>
      <c r="IW1174" s="1"/>
      <c r="IX1174" s="1"/>
      <c r="IY1174" s="1"/>
      <c r="IZ1174" s="1"/>
      <c r="JA1174" s="1"/>
      <c r="JB1174" s="1"/>
      <c r="JC1174" s="1"/>
      <c r="JD1174" s="1"/>
    </row>
    <row r="1175" spans="1:264" s="347" customFormat="1" x14ac:dyDescent="0.2">
      <c r="A1175" s="447" t="s">
        <v>790</v>
      </c>
      <c r="B1175" s="446"/>
      <c r="C1175" s="447"/>
      <c r="D1175" s="447"/>
      <c r="E1175" s="447"/>
      <c r="F1175" s="447"/>
      <c r="G1175" s="447"/>
      <c r="H1175" s="447"/>
      <c r="I1175" s="447"/>
      <c r="J1175" s="447"/>
      <c r="K1175" s="447"/>
      <c r="L1175" s="447"/>
      <c r="M1175" s="447"/>
      <c r="N1175" s="447"/>
      <c r="O1175" s="447"/>
      <c r="P1175" s="447"/>
      <c r="Q1175" s="447"/>
      <c r="R1175" s="447"/>
      <c r="S1175" s="447"/>
      <c r="T1175" s="447"/>
      <c r="U1175" s="447"/>
      <c r="V1175" s="447"/>
      <c r="W1175" s="447"/>
      <c r="X1175" s="447"/>
      <c r="Y1175" s="447"/>
      <c r="Z1175" s="447"/>
      <c r="AA1175" s="447"/>
      <c r="AB1175" s="447"/>
      <c r="AC1175" s="447"/>
      <c r="AD1175" s="447"/>
      <c r="AE1175" s="447"/>
      <c r="AF1175" s="447"/>
      <c r="AG1175" s="447"/>
      <c r="AH1175" s="447"/>
      <c r="AI1175" s="447"/>
      <c r="AJ1175" s="447"/>
      <c r="AK1175" s="447"/>
      <c r="AL1175" s="447"/>
      <c r="AM1175" s="447"/>
      <c r="AN1175" s="447"/>
      <c r="AO1175" s="447"/>
      <c r="AP1175" s="447"/>
      <c r="AQ1175" s="447"/>
      <c r="AR1175" s="447"/>
      <c r="AS1175" s="447"/>
      <c r="AT1175" s="447"/>
      <c r="AU1175" s="447"/>
      <c r="AV1175" s="447"/>
      <c r="AW1175" s="447"/>
      <c r="AX1175" s="447"/>
      <c r="AY1175" s="447"/>
      <c r="AZ1175" s="447"/>
      <c r="BA1175" s="447"/>
      <c r="BB1175" s="447"/>
      <c r="BC1175" s="447"/>
      <c r="BD1175" s="447"/>
      <c r="BE1175" s="447"/>
      <c r="BF1175" s="447"/>
      <c r="BG1175" s="447"/>
      <c r="BH1175" s="446"/>
      <c r="BI1175" s="446"/>
      <c r="BJ1175" s="446"/>
      <c r="BK1175" s="446"/>
      <c r="BL1175" s="446"/>
      <c r="BM1175" s="796">
        <f>0.1%+0.5%+0.3%+0.5%+0.1%</f>
        <v>1.5000000000000003E-2</v>
      </c>
      <c r="BN1175" s="797">
        <f>BM1175</f>
        <v>1.5000000000000003E-2</v>
      </c>
      <c r="BO1175" s="446"/>
      <c r="BP1175" s="796">
        <f>0.1%+0.5%+0.3%+0.5%+0.1%</f>
        <v>1.5000000000000003E-2</v>
      </c>
      <c r="BQ1175" s="796">
        <f>0.1%+0.5%+0.3%+0.5%+0.1%</f>
        <v>1.5000000000000003E-2</v>
      </c>
      <c r="BR1175" s="797">
        <f>BQ1175</f>
        <v>1.5000000000000003E-2</v>
      </c>
      <c r="BS1175" s="447"/>
      <c r="BT1175" s="796">
        <f>0.1%+0.1%+0.6%+0.4%+0.5%+0.1%</f>
        <v>1.8000000000000002E-2</v>
      </c>
      <c r="BU1175" s="804">
        <f>3.8%-BU1174-BU1173-BU1172-BU1171</f>
        <v>1.7999999999999999E-2</v>
      </c>
      <c r="BV1175" s="797">
        <f>BU1175</f>
        <v>1.7999999999999999E-2</v>
      </c>
      <c r="BW1175" s="798"/>
      <c r="BX1175" s="796">
        <f>5.5%-1.7%-0.6%-0.3%-0.7%</f>
        <v>2.2000000000000002E-2</v>
      </c>
      <c r="BY1175" s="796">
        <f>5.5%-BY1174-BY1173-BY1172-BY1171</f>
        <v>2.0000000000000011E-2</v>
      </c>
      <c r="BZ1175" s="797">
        <f>BY1175</f>
        <v>2.0000000000000011E-2</v>
      </c>
      <c r="CA1175" s="798"/>
      <c r="CB1175" s="796">
        <f>5.9%-CB1171-CB1172-CB1173-CB1174</f>
        <v>0.02</v>
      </c>
      <c r="CC1175" s="796">
        <f>5.4%-CC1174-CC1173-CC1172-CC1171</f>
        <v>1.7000000000000008E-2</v>
      </c>
      <c r="CD1175" s="797">
        <f>CC1175</f>
        <v>1.7000000000000008E-2</v>
      </c>
      <c r="CE1175" s="447"/>
      <c r="CF1175" s="805">
        <f>+CF1176-CF1171-CF1172-CF1173-CF1174</f>
        <v>2.4220272246388161E-2</v>
      </c>
      <c r="CG1175" s="796">
        <f>5.5%-CG1174-CG1173-CG1172-CG1171</f>
        <v>1.7000000000000001E-2</v>
      </c>
      <c r="CH1175" s="797">
        <f>CG1175</f>
        <v>1.7000000000000001E-2</v>
      </c>
      <c r="CI1175" s="605"/>
      <c r="CJ1175" s="797">
        <f>+CJ1176-CJ1171-CJ1172-CJ1173-CJ1174</f>
        <v>1.9380755820943361E-2</v>
      </c>
      <c r="CK1175" s="797">
        <f ca="1">+CK1176-CK1171-CK1172-CK1173-CK1174</f>
        <v>1.5999999999999993E-2</v>
      </c>
      <c r="CL1175" s="797">
        <f ca="1">CK1175</f>
        <v>1.5999999999999993E-2</v>
      </c>
      <c r="CM1175" s="605"/>
      <c r="CN1175" s="797">
        <f>+CN1176-CN1171-CN1172-CN1173-CN1174</f>
        <v>2.1177718598991209E-2</v>
      </c>
      <c r="CO1175" s="797">
        <f>+CO1176-CO1171-CO1172-CO1173-CO1174</f>
        <v>2.2450607970178397E-2</v>
      </c>
      <c r="CP1175" s="797">
        <f>CO1175</f>
        <v>2.2450607970178397E-2</v>
      </c>
      <c r="CQ1175" s="605"/>
      <c r="CR1175" s="797">
        <f>+CR1176-CR1171-CR1172-CR1173-CR1174</f>
        <v>2.247334863230965E-2</v>
      </c>
      <c r="CS1175" s="797">
        <f>+CS1176-CS1171-CS1172-CS1173-CS1174</f>
        <v>1.5523146353024354E-2</v>
      </c>
      <c r="CT1175" s="797">
        <f>CS1175</f>
        <v>1.5523146353024354E-2</v>
      </c>
      <c r="CU1175" s="447"/>
      <c r="CV1175" s="797">
        <f>+CV1176-CV1171-CV1172-CV1173-CV1174</f>
        <v>2.3895554938736668E-2</v>
      </c>
      <c r="CW1175" s="797">
        <f>+CW1176-CW1171-CW1172-CW1173-CW1174</f>
        <v>2.039749397425597E-2</v>
      </c>
      <c r="CX1175" s="797">
        <f>CW1175</f>
        <v>2.039749397425597E-2</v>
      </c>
      <c r="CY1175" s="447"/>
      <c r="CZ1175" s="797">
        <f>+CZ1176-CZ1171-CZ1172-CZ1173-CZ1174</f>
        <v>2.056262132153118E-2</v>
      </c>
      <c r="DA1175" s="797">
        <f>+DA1176-DA1171-DA1172-DA1173-DA1174</f>
        <v>2.6610252143616418E-2</v>
      </c>
      <c r="DB1175" s="797">
        <f>DA1175</f>
        <v>2.6610252143616418E-2</v>
      </c>
      <c r="DC1175" s="447"/>
      <c r="DD1175" s="797">
        <f>+DD1176-DD1171-DD1172-DD1173-DD1174</f>
        <v>1.9954429078153868E-2</v>
      </c>
      <c r="DE1175" s="797">
        <f>+DE1176-DE1171-DE1172-DE1173-DE1174</f>
        <v>2.0118584284836094E-2</v>
      </c>
      <c r="DF1175" s="797">
        <f>DE1175</f>
        <v>2.0118584284836094E-2</v>
      </c>
      <c r="DG1175" s="447"/>
      <c r="DH1175" s="797">
        <f>+DH1176-DH1171-DH1172-DH1173-DH1174</f>
        <v>2.0457402386653736E-2</v>
      </c>
      <c r="DI1175" s="800">
        <f>DH1175</f>
        <v>2.0457402386653736E-2</v>
      </c>
      <c r="DJ1175" s="797">
        <f>DI1175</f>
        <v>2.0457402386653736E-2</v>
      </c>
      <c r="DK1175" s="447"/>
      <c r="DL1175" s="800">
        <f>DI1175</f>
        <v>2.0457402386653736E-2</v>
      </c>
      <c r="DM1175" s="800">
        <f>DL1175</f>
        <v>2.0457402386653736E-2</v>
      </c>
      <c r="DN1175" s="797">
        <f>DM1175</f>
        <v>2.0457402386653736E-2</v>
      </c>
      <c r="DO1175" s="447"/>
      <c r="DP1175" s="800">
        <f>DM1175</f>
        <v>2.0457402386653736E-2</v>
      </c>
      <c r="DQ1175" s="800">
        <f>DP1175</f>
        <v>2.0457402386653736E-2</v>
      </c>
      <c r="DR1175" s="797">
        <f>DQ1175</f>
        <v>2.0457402386653736E-2</v>
      </c>
      <c r="DS1175" s="447"/>
      <c r="DT1175" s="1"/>
      <c r="DU1175" s="1"/>
      <c r="DV1175" s="1"/>
      <c r="DW1175" s="1"/>
      <c r="DX1175" s="1"/>
      <c r="DY1175" s="1"/>
      <c r="DZ1175" s="1"/>
      <c r="EA1175" s="1"/>
      <c r="EB1175" s="1"/>
      <c r="EC1175" s="1"/>
      <c r="ED1175" s="1"/>
      <c r="EE1175" s="1"/>
      <c r="EF1175" s="1"/>
      <c r="EG1175" s="1"/>
      <c r="EH1175" s="1"/>
      <c r="EI1175" s="1"/>
      <c r="EJ1175" s="1"/>
      <c r="EK1175" s="1"/>
      <c r="EL1175" s="1"/>
      <c r="EM1175" s="1"/>
      <c r="EN1175" s="1"/>
      <c r="EO1175" s="1"/>
      <c r="EP1175" s="1"/>
      <c r="EQ1175" s="1"/>
      <c r="ER1175" s="1"/>
      <c r="ES1175" s="1"/>
      <c r="ET1175" s="1"/>
      <c r="EU1175" s="1"/>
      <c r="EV1175" s="1"/>
      <c r="EW1175" s="1"/>
      <c r="EX1175" s="1"/>
      <c r="EY1175" s="1"/>
      <c r="EZ1175" s="1"/>
      <c r="FA1175" s="1"/>
      <c r="FB1175" s="1"/>
      <c r="FC1175" s="1"/>
      <c r="FD1175" s="1"/>
      <c r="FE1175" s="1"/>
      <c r="FF1175" s="1"/>
      <c r="FG1175" s="1"/>
      <c r="FH1175" s="1"/>
      <c r="FI1175" s="1"/>
      <c r="FJ1175" s="1"/>
      <c r="FK1175" s="1"/>
      <c r="FL1175" s="1"/>
      <c r="FM1175" s="1"/>
      <c r="FN1175" s="1"/>
      <c r="FO1175" s="1"/>
      <c r="FP1175" s="1"/>
      <c r="FQ1175" s="1"/>
      <c r="FR1175" s="1"/>
      <c r="FS1175" s="1"/>
      <c r="FT1175" s="1"/>
      <c r="FU1175" s="1"/>
      <c r="FV1175" s="1"/>
      <c r="FW1175" s="1"/>
      <c r="FX1175" s="1"/>
      <c r="FY1175" s="1"/>
      <c r="FZ1175" s="1"/>
      <c r="GA1175" s="1"/>
      <c r="GB1175" s="1"/>
      <c r="GC1175" s="1"/>
      <c r="GD1175" s="1"/>
      <c r="GE1175" s="1"/>
      <c r="GF1175" s="1"/>
      <c r="GG1175" s="1"/>
      <c r="GH1175" s="1"/>
      <c r="GI1175" s="1"/>
      <c r="GJ1175" s="1"/>
      <c r="GK1175" s="1"/>
      <c r="GL1175" s="1"/>
      <c r="GM1175" s="1"/>
      <c r="GN1175" s="1"/>
      <c r="GO1175" s="1"/>
      <c r="GP1175" s="1"/>
      <c r="GQ1175" s="1"/>
      <c r="GR1175" s="1"/>
      <c r="GS1175" s="1"/>
      <c r="GT1175" s="1"/>
      <c r="GU1175" s="1"/>
      <c r="GV1175" s="1"/>
      <c r="GW1175" s="1"/>
      <c r="GX1175" s="1"/>
      <c r="GY1175" s="1"/>
      <c r="GZ1175" s="1"/>
      <c r="HA1175" s="1"/>
      <c r="HB1175" s="1"/>
      <c r="HC1175" s="1"/>
      <c r="HD1175" s="1"/>
      <c r="HE1175" s="1"/>
      <c r="HF1175" s="1"/>
      <c r="HG1175" s="1"/>
      <c r="HH1175" s="1"/>
      <c r="HI1175" s="1"/>
      <c r="HJ1175" s="1"/>
      <c r="HK1175" s="1"/>
      <c r="HL1175" s="1"/>
      <c r="HM1175" s="1"/>
      <c r="HN1175" s="1"/>
      <c r="HO1175" s="1"/>
      <c r="HP1175" s="1"/>
      <c r="HQ1175" s="1"/>
      <c r="HR1175" s="1"/>
      <c r="HS1175" s="1"/>
      <c r="HT1175" s="1"/>
      <c r="HU1175" s="1"/>
      <c r="HV1175" s="1"/>
      <c r="HW1175" s="1"/>
      <c r="HX1175" s="1"/>
      <c r="HY1175" s="1"/>
      <c r="HZ1175" s="1"/>
      <c r="IA1175" s="1"/>
      <c r="IB1175" s="1"/>
      <c r="IC1175" s="1"/>
      <c r="ID1175" s="1"/>
      <c r="IE1175" s="1"/>
      <c r="IF1175" s="1"/>
      <c r="IG1175" s="1"/>
      <c r="IH1175" s="1"/>
      <c r="II1175" s="1"/>
      <c r="IJ1175" s="1"/>
      <c r="IK1175" s="1"/>
      <c r="IL1175" s="1"/>
      <c r="IM1175" s="1"/>
      <c r="IN1175" s="1"/>
      <c r="IO1175" s="1"/>
      <c r="IP1175" s="1"/>
      <c r="IQ1175" s="1"/>
      <c r="IR1175" s="1"/>
      <c r="IS1175" s="1"/>
      <c r="IT1175" s="1"/>
      <c r="IU1175" s="1"/>
      <c r="IV1175" s="1"/>
      <c r="IW1175" s="1"/>
      <c r="IX1175" s="1"/>
      <c r="IY1175" s="1"/>
      <c r="IZ1175" s="1"/>
      <c r="JA1175" s="1"/>
      <c r="JB1175" s="1"/>
      <c r="JC1175" s="1"/>
      <c r="JD1175" s="1"/>
    </row>
    <row r="1176" spans="1:264" s="411" customFormat="1" x14ac:dyDescent="0.2">
      <c r="A1176" s="411" t="s">
        <v>791</v>
      </c>
      <c r="B1176" s="423"/>
      <c r="BH1176" s="423"/>
      <c r="BI1176" s="423"/>
      <c r="BJ1176" s="423"/>
      <c r="BK1176" s="423"/>
      <c r="BL1176" s="806"/>
      <c r="BM1176" s="806">
        <f>SUM(BM1171:BM1175)</f>
        <v>3.7082787867613168E-2</v>
      </c>
      <c r="BN1176" s="806">
        <f>SUM(BN1171:BN1175)</f>
        <v>3.7082787867613168E-2</v>
      </c>
      <c r="BO1176" s="423"/>
      <c r="BP1176" s="806">
        <f>SUM(BP1171:BP1175)</f>
        <v>3.4340278417995765E-2</v>
      </c>
      <c r="BQ1176" s="806">
        <f>SUM(BQ1171:BQ1175)</f>
        <v>3.6000000000000004E-2</v>
      </c>
      <c r="BR1176" s="806">
        <f>SUM(BR1171:BR1175)</f>
        <v>3.6000000000000004E-2</v>
      </c>
      <c r="BT1176" s="806">
        <f>SUM(BT1171:BT1175)</f>
        <v>4.1000000000000002E-2</v>
      </c>
      <c r="BU1176" s="806">
        <f>SUM(BU1171:BU1175)</f>
        <v>3.7999999999999999E-2</v>
      </c>
      <c r="BV1176" s="806">
        <f>SUM(BV1171:BV1175)</f>
        <v>3.7999999999999999E-2</v>
      </c>
      <c r="BX1176" s="806">
        <f>SUM(BX1171:BX1175)</f>
        <v>5.5000000000000007E-2</v>
      </c>
      <c r="BY1176" s="806">
        <f>SUM(BY1171:BY1175)</f>
        <v>5.5000000000000014E-2</v>
      </c>
      <c r="BZ1176" s="806">
        <f>SUM(BZ1171:BZ1175)</f>
        <v>5.5000000000000014E-2</v>
      </c>
      <c r="CB1176" s="806">
        <f>SUM(CB1171:CB1175)</f>
        <v>5.8999999999999997E-2</v>
      </c>
      <c r="CC1176" s="806">
        <f>SUM(CC1171:CC1175)</f>
        <v>5.4000000000000013E-2</v>
      </c>
      <c r="CD1176" s="806">
        <f>SUM(CD1171:CD1175)</f>
        <v>5.4000000000000013E-2</v>
      </c>
      <c r="CF1176" s="806">
        <f>+CF1177-CF1170</f>
        <v>5.7111316787376673E-2</v>
      </c>
      <c r="CG1176" s="806">
        <f>SUM(CG1171:CG1175)</f>
        <v>5.5000000000000007E-2</v>
      </c>
      <c r="CH1176" s="806">
        <f>SUM(CH1171:CH1175)</f>
        <v>5.5000000000000007E-2</v>
      </c>
      <c r="CJ1176" s="806">
        <f>+CJ1177-CJ1170</f>
        <v>5.8380755820943361E-2</v>
      </c>
      <c r="CK1176" s="806">
        <f ca="1">SUM(CK1171:CK1175)</f>
        <v>5.4999999999999993E-2</v>
      </c>
      <c r="CL1176" s="806">
        <f ca="1">SUM(CL1171:CL1175)</f>
        <v>5.4999999999999993E-2</v>
      </c>
      <c r="CN1176" s="806">
        <f>+CN1177-CN1170</f>
        <v>6.117771859899121E-2</v>
      </c>
      <c r="CO1176" s="806">
        <f>+CO1177-CO1170</f>
        <v>6.3450607970178402E-2</v>
      </c>
      <c r="CP1176" s="806">
        <f>SUM(CP1171:CP1175)</f>
        <v>6.3450607970178388E-2</v>
      </c>
      <c r="CR1176" s="806">
        <f>+CR1177-CR1170</f>
        <v>6.6473348632309651E-2</v>
      </c>
      <c r="CS1176" s="806">
        <f>+CS1177-CS1170</f>
        <v>7.1471146353024345E-2</v>
      </c>
      <c r="CT1176" s="806">
        <f>SUM(CT1171:CT1175)</f>
        <v>7.1471146353024345E-2</v>
      </c>
      <c r="CV1176" s="806">
        <f>+CV1177-CV1170</f>
        <v>7.0895554938736671E-2</v>
      </c>
      <c r="CW1176" s="806">
        <f>+CW1177-CW1170</f>
        <v>6.9397493974255972E-2</v>
      </c>
      <c r="CX1176" s="806">
        <f>SUM(CX1171:CX1175)</f>
        <v>6.9397493974255972E-2</v>
      </c>
      <c r="CZ1176" s="806">
        <f>+CZ1177-CZ1170</f>
        <v>6.6562621321531179E-2</v>
      </c>
      <c r="DA1176" s="806">
        <f>+DA1177-DA1170</f>
        <v>6.761025214361642E-2</v>
      </c>
      <c r="DB1176" s="806">
        <f>SUM(DB1171:DB1175)</f>
        <v>6.761025214361642E-2</v>
      </c>
      <c r="DD1176" s="806">
        <f>+DD1177-DD1170</f>
        <v>6.5954429078153867E-2</v>
      </c>
      <c r="DE1176" s="806">
        <f>+DE1177-DE1170</f>
        <v>6.4118584284836092E-2</v>
      </c>
      <c r="DF1176" s="806">
        <f>SUM(DF1171:DF1175)</f>
        <v>6.4118584284836092E-2</v>
      </c>
      <c r="DH1176" s="806">
        <f>+DH1177-DH1170</f>
        <v>6.045740238665373E-2</v>
      </c>
      <c r="DI1176" s="806">
        <f ca="1">SUM(DI1171:DI1175)</f>
        <v>6.0841332185533989E-2</v>
      </c>
      <c r="DJ1176" s="806">
        <f ca="1">SUM(DJ1171:DJ1175)</f>
        <v>6.0841332185533989E-2</v>
      </c>
      <c r="DL1176" s="806">
        <f ca="1">SUM(DL1171:DL1175)</f>
        <v>6.1175780821521725E-2</v>
      </c>
      <c r="DM1176" s="806">
        <f ca="1">SUM(DM1171:DM1175)</f>
        <v>6.1540307285315288E-2</v>
      </c>
      <c r="DN1176" s="806">
        <f ca="1">SUM(DN1171:DN1175)</f>
        <v>6.1540307285315288E-2</v>
      </c>
      <c r="DP1176" s="806">
        <f ca="1">SUM(DP1171:DP1175)</f>
        <v>6.18220553228086E-2</v>
      </c>
      <c r="DQ1176" s="806">
        <f ca="1">SUM(DQ1171:DQ1175)</f>
        <v>6.2131369586966773E-2</v>
      </c>
      <c r="DR1176" s="806">
        <f ca="1">SUM(DR1171:DR1175)</f>
        <v>6.2131369586966773E-2</v>
      </c>
      <c r="DT1176" s="1"/>
      <c r="DU1176" s="1"/>
      <c r="DV1176" s="1"/>
      <c r="DW1176" s="1"/>
      <c r="DX1176" s="1"/>
      <c r="DY1176" s="1"/>
      <c r="DZ1176" s="1"/>
      <c r="EA1176" s="1"/>
      <c r="EB1176" s="1"/>
      <c r="EC1176" s="1"/>
      <c r="ED1176" s="1"/>
      <c r="EE1176" s="1"/>
      <c r="EF1176" s="1"/>
      <c r="EG1176" s="1"/>
      <c r="EH1176" s="1"/>
      <c r="EI1176" s="1"/>
      <c r="EJ1176" s="1"/>
      <c r="EK1176" s="1"/>
      <c r="EL1176" s="1"/>
      <c r="EM1176" s="1"/>
      <c r="EN1176" s="1"/>
      <c r="EO1176" s="1"/>
      <c r="EP1176" s="1"/>
      <c r="EQ1176" s="1"/>
      <c r="ER1176" s="1"/>
      <c r="ES1176" s="1"/>
      <c r="ET1176" s="1"/>
      <c r="EU1176" s="1"/>
      <c r="EV1176" s="1"/>
      <c r="EW1176" s="1"/>
      <c r="EX1176" s="1"/>
      <c r="EY1176" s="1"/>
      <c r="EZ1176" s="1"/>
      <c r="FA1176" s="1"/>
      <c r="FB1176" s="1"/>
      <c r="FC1176" s="1"/>
      <c r="FD1176" s="1"/>
      <c r="FE1176" s="1"/>
      <c r="FF1176" s="1"/>
      <c r="FG1176" s="1"/>
      <c r="FH1176" s="1"/>
      <c r="FI1176" s="1"/>
      <c r="FJ1176" s="1"/>
      <c r="FK1176" s="1"/>
      <c r="FL1176" s="1"/>
      <c r="FM1176" s="1"/>
      <c r="FN1176" s="1"/>
      <c r="FO1176" s="1"/>
      <c r="FP1176" s="1"/>
      <c r="FQ1176" s="1"/>
      <c r="FR1176" s="1"/>
      <c r="FS1176" s="1"/>
      <c r="FT1176" s="1"/>
      <c r="FU1176" s="1"/>
      <c r="FV1176" s="1"/>
      <c r="FW1176" s="1"/>
      <c r="FX1176" s="1"/>
      <c r="FY1176" s="1"/>
      <c r="FZ1176" s="1"/>
      <c r="GA1176" s="1"/>
      <c r="GB1176" s="1"/>
      <c r="GC1176" s="1"/>
      <c r="GD1176" s="1"/>
      <c r="GE1176" s="1"/>
      <c r="GF1176" s="1"/>
      <c r="GG1176" s="1"/>
      <c r="GH1176" s="1"/>
      <c r="GI1176" s="1"/>
      <c r="GJ1176" s="1"/>
      <c r="GK1176" s="1"/>
      <c r="GL1176" s="1"/>
      <c r="GM1176" s="1"/>
      <c r="GN1176" s="1"/>
      <c r="GO1176" s="1"/>
      <c r="GP1176" s="1"/>
      <c r="GQ1176" s="1"/>
      <c r="GR1176" s="1"/>
      <c r="GS1176" s="1"/>
      <c r="GT1176" s="1"/>
      <c r="GU1176" s="1"/>
      <c r="GV1176" s="1"/>
      <c r="GW1176" s="1"/>
      <c r="GX1176" s="1"/>
      <c r="GY1176" s="1"/>
      <c r="GZ1176" s="1"/>
      <c r="HA1176" s="1"/>
      <c r="HB1176" s="1"/>
      <c r="HC1176" s="1"/>
      <c r="HD1176" s="1"/>
      <c r="HE1176" s="1"/>
      <c r="HF1176" s="1"/>
      <c r="HG1176" s="1"/>
      <c r="HH1176" s="1"/>
      <c r="HI1176" s="1"/>
      <c r="HJ1176" s="1"/>
      <c r="HK1176" s="1"/>
      <c r="HL1176" s="1"/>
      <c r="HM1176" s="1"/>
      <c r="HN1176" s="1"/>
      <c r="HO1176" s="1"/>
      <c r="HP1176" s="1"/>
      <c r="HQ1176" s="1"/>
      <c r="HR1176" s="1"/>
      <c r="HS1176" s="1"/>
      <c r="HT1176" s="1"/>
      <c r="HU1176" s="1"/>
      <c r="HV1176" s="1"/>
      <c r="HW1176" s="1"/>
      <c r="HX1176" s="1"/>
      <c r="HY1176" s="1"/>
      <c r="HZ1176" s="1"/>
      <c r="IA1176" s="1"/>
      <c r="IB1176" s="1"/>
      <c r="IC1176" s="1"/>
      <c r="ID1176" s="1"/>
      <c r="IE1176" s="1"/>
      <c r="IF1176" s="1"/>
      <c r="IG1176" s="1"/>
      <c r="IH1176" s="1"/>
      <c r="II1176" s="1"/>
      <c r="IJ1176" s="1"/>
      <c r="IK1176" s="1"/>
      <c r="IL1176" s="1"/>
      <c r="IM1176" s="1"/>
      <c r="IN1176" s="1"/>
      <c r="IO1176" s="1"/>
      <c r="IP1176" s="1"/>
      <c r="IQ1176" s="1"/>
      <c r="IR1176" s="1"/>
      <c r="IS1176" s="1"/>
      <c r="IT1176" s="1"/>
      <c r="IU1176" s="1"/>
      <c r="IV1176" s="1"/>
      <c r="IW1176" s="1"/>
      <c r="IX1176" s="1"/>
      <c r="IY1176" s="1"/>
      <c r="IZ1176" s="1"/>
      <c r="JA1176" s="1"/>
      <c r="JB1176" s="1"/>
      <c r="JC1176" s="1"/>
      <c r="JD1176" s="1"/>
    </row>
    <row r="1177" spans="1:264" s="411" customFormat="1" x14ac:dyDescent="0.2">
      <c r="A1177" s="411" t="s">
        <v>792</v>
      </c>
      <c r="B1177" s="423"/>
      <c r="BH1177" s="423"/>
      <c r="BI1177" s="423"/>
      <c r="BJ1177" s="423"/>
      <c r="BK1177" s="423"/>
      <c r="BL1177" s="423"/>
      <c r="BM1177" s="807">
        <f>+BM1176+BM1170</f>
        <v>0.13009612751791</v>
      </c>
      <c r="BN1177" s="621">
        <f>+BN1170+BN1176</f>
        <v>0.13009612751791</v>
      </c>
      <c r="BO1177" s="423"/>
      <c r="BP1177" s="621">
        <f>+BP1170+BP1176</f>
        <v>0.12663651009187582</v>
      </c>
      <c r="BQ1177" s="621">
        <f>+BQ1170+BQ1176</f>
        <v>0.12657797087770972</v>
      </c>
      <c r="BR1177" s="621">
        <f>+BR1170+BR1176</f>
        <v>0.12657797087770972</v>
      </c>
      <c r="BT1177" s="621">
        <f>+BT1170+BT1176</f>
        <v>0.14341887424808106</v>
      </c>
      <c r="BU1177" s="621">
        <f>+BU1170+BU1176</f>
        <v>0.14356494462420216</v>
      </c>
      <c r="BV1177" s="621">
        <f>+BV1170+BV1176</f>
        <v>0.14356494462420216</v>
      </c>
      <c r="BX1177" s="621">
        <f>+BX1170+BX1176</f>
        <v>0.15425976159328814</v>
      </c>
      <c r="BY1177" s="621">
        <f>+BY1170+BY1176</f>
        <v>0.15603577745084807</v>
      </c>
      <c r="BZ1177" s="621">
        <f>+BZ1170+BZ1176</f>
        <v>0.15603577745084807</v>
      </c>
      <c r="CB1177" s="621">
        <f>+CB1170+CB1176</f>
        <v>0.16321562667295775</v>
      </c>
      <c r="CC1177" s="621">
        <f>+CC1170+CC1176</f>
        <v>0.15532748379894118</v>
      </c>
      <c r="CD1177" s="621">
        <f>+CD1170+CD1176</f>
        <v>0.15532748379894118</v>
      </c>
      <c r="CF1177" s="808">
        <v>0.16500000000000001</v>
      </c>
      <c r="CG1177" s="621">
        <f>+CG1170+CG1176</f>
        <v>0.16182654463051227</v>
      </c>
      <c r="CH1177" s="621">
        <f>+CH1170+CH1176</f>
        <v>0.16182654463051227</v>
      </c>
      <c r="CJ1177" s="809">
        <v>0.17499999999999999</v>
      </c>
      <c r="CK1177" s="809">
        <v>0.17399999999999999</v>
      </c>
      <c r="CL1177" s="621">
        <f ca="1">+CL1170+CL1176</f>
        <v>0.170509904428638</v>
      </c>
      <c r="CN1177" s="809">
        <v>0.187</v>
      </c>
      <c r="CO1177" s="809">
        <v>0.19400000000000001</v>
      </c>
      <c r="CP1177" s="621">
        <f>+CP1170+CP1176</f>
        <v>0.19400000000000001</v>
      </c>
      <c r="CR1177" s="809">
        <v>0.184</v>
      </c>
      <c r="CS1177" s="809">
        <v>0.186</v>
      </c>
      <c r="CT1177" s="621">
        <f>+CT1170+CT1176</f>
        <v>0.186</v>
      </c>
      <c r="CV1177" s="809">
        <v>0.185</v>
      </c>
      <c r="CW1177" s="809">
        <v>0.191</v>
      </c>
      <c r="CX1177" s="621">
        <f>+CX1170+CX1176</f>
        <v>0.191</v>
      </c>
      <c r="CZ1177" s="809">
        <v>0.19</v>
      </c>
      <c r="DA1177" s="809">
        <v>0.191</v>
      </c>
      <c r="DB1177" s="621">
        <f>+DB1170+DB1176</f>
        <v>0.191</v>
      </c>
      <c r="DD1177" s="809">
        <v>0.188</v>
      </c>
      <c r="DE1177" s="809">
        <v>0.187</v>
      </c>
      <c r="DF1177" s="621">
        <f>+DF1170+DF1176</f>
        <v>0.187</v>
      </c>
      <c r="DH1177" s="809">
        <v>0.183</v>
      </c>
      <c r="DI1177" s="621">
        <f ca="1">+DI1170+DI1176</f>
        <v>0.18221632595530646</v>
      </c>
      <c r="DJ1177" s="621">
        <f ca="1">+DJ1170+DJ1176</f>
        <v>0.18221632595530646</v>
      </c>
      <c r="DL1177" s="621">
        <f ca="1">+DL1170+DL1176</f>
        <v>0.18110960437764267</v>
      </c>
      <c r="DM1177" s="621">
        <f ca="1">+DM1170+DM1176</f>
        <v>0.18001184996672087</v>
      </c>
      <c r="DN1177" s="621">
        <f ca="1">+DN1170+DN1176</f>
        <v>0.18001184996672087</v>
      </c>
      <c r="DP1177" s="621">
        <f ca="1">+DP1170+DP1176</f>
        <v>0.1792894752646923</v>
      </c>
      <c r="DQ1177" s="621">
        <f ca="1">+DQ1170+DQ1176</f>
        <v>0.17909279525778091</v>
      </c>
      <c r="DR1177" s="621">
        <f ca="1">+DR1170+DR1176</f>
        <v>0.17909279525778091</v>
      </c>
      <c r="DT1177" s="1"/>
      <c r="DU1177" s="1"/>
      <c r="DV1177" s="1"/>
      <c r="DW1177" s="1"/>
      <c r="DX1177" s="1"/>
      <c r="DY1177" s="1"/>
      <c r="DZ1177" s="1"/>
      <c r="EA1177" s="1"/>
      <c r="EB1177" s="1"/>
      <c r="EC1177" s="1"/>
      <c r="ED1177" s="1"/>
      <c r="EE1177" s="1"/>
      <c r="EF1177" s="1"/>
      <c r="EG1177" s="1"/>
      <c r="EH1177" s="1"/>
      <c r="EI1177" s="1"/>
      <c r="EJ1177" s="1"/>
      <c r="EK1177" s="1"/>
      <c r="EL1177" s="1"/>
      <c r="EM1177" s="1"/>
      <c r="EN1177" s="1"/>
      <c r="EO1177" s="1"/>
      <c r="EP1177" s="1"/>
      <c r="EQ1177" s="1"/>
      <c r="ER1177" s="1"/>
      <c r="ES1177" s="1"/>
      <c r="ET1177" s="1"/>
      <c r="EU1177" s="1"/>
      <c r="EV1177" s="1"/>
      <c r="EW1177" s="1"/>
      <c r="EX1177" s="1"/>
      <c r="EY1177" s="1"/>
      <c r="EZ1177" s="1"/>
      <c r="FA1177" s="1"/>
      <c r="FB1177" s="1"/>
      <c r="FC1177" s="1"/>
      <c r="FD1177" s="1"/>
      <c r="FE1177" s="1"/>
      <c r="FF1177" s="1"/>
      <c r="FG1177" s="1"/>
      <c r="FH1177" s="1"/>
      <c r="FI1177" s="1"/>
      <c r="FJ1177" s="1"/>
      <c r="FK1177" s="1"/>
      <c r="FL1177" s="1"/>
      <c r="FM1177" s="1"/>
      <c r="FN1177" s="1"/>
      <c r="FO1177" s="1"/>
      <c r="FP1177" s="1"/>
      <c r="FQ1177" s="1"/>
      <c r="FR1177" s="1"/>
      <c r="FS1177" s="1"/>
      <c r="FT1177" s="1"/>
      <c r="FU1177" s="1"/>
      <c r="FV1177" s="1"/>
      <c r="FW1177" s="1"/>
      <c r="FX1177" s="1"/>
      <c r="FY1177" s="1"/>
      <c r="FZ1177" s="1"/>
      <c r="GA1177" s="1"/>
      <c r="GB1177" s="1"/>
      <c r="GC1177" s="1"/>
      <c r="GD1177" s="1"/>
      <c r="GE1177" s="1"/>
      <c r="GF1177" s="1"/>
      <c r="GG1177" s="1"/>
      <c r="GH1177" s="1"/>
      <c r="GI1177" s="1"/>
      <c r="GJ1177" s="1"/>
      <c r="GK1177" s="1"/>
      <c r="GL1177" s="1"/>
      <c r="GM1177" s="1"/>
      <c r="GN1177" s="1"/>
      <c r="GO1177" s="1"/>
      <c r="GP1177" s="1"/>
      <c r="GQ1177" s="1"/>
      <c r="GR1177" s="1"/>
      <c r="GS1177" s="1"/>
      <c r="GT1177" s="1"/>
      <c r="GU1177" s="1"/>
      <c r="GV1177" s="1"/>
      <c r="GW1177" s="1"/>
      <c r="GX1177" s="1"/>
      <c r="GY1177" s="1"/>
      <c r="GZ1177" s="1"/>
      <c r="HA1177" s="1"/>
      <c r="HB1177" s="1"/>
      <c r="HC1177" s="1"/>
      <c r="HD1177" s="1"/>
      <c r="HE1177" s="1"/>
      <c r="HF1177" s="1"/>
      <c r="HG1177" s="1"/>
      <c r="HH1177" s="1"/>
      <c r="HI1177" s="1"/>
      <c r="HJ1177" s="1"/>
      <c r="HK1177" s="1"/>
      <c r="HL1177" s="1"/>
      <c r="HM1177" s="1"/>
      <c r="HN1177" s="1"/>
      <c r="HO1177" s="1"/>
      <c r="HP1177" s="1"/>
      <c r="HQ1177" s="1"/>
      <c r="HR1177" s="1"/>
      <c r="HS1177" s="1"/>
      <c r="HT1177" s="1"/>
      <c r="HU1177" s="1"/>
      <c r="HV1177" s="1"/>
      <c r="HW1177" s="1"/>
      <c r="HX1177" s="1"/>
      <c r="HY1177" s="1"/>
      <c r="HZ1177" s="1"/>
      <c r="IA1177" s="1"/>
      <c r="IB1177" s="1"/>
      <c r="IC1177" s="1"/>
      <c r="ID1177" s="1"/>
      <c r="IE1177" s="1"/>
      <c r="IF1177" s="1"/>
      <c r="IG1177" s="1"/>
      <c r="IH1177" s="1"/>
      <c r="II1177" s="1"/>
      <c r="IJ1177" s="1"/>
      <c r="IK1177" s="1"/>
      <c r="IL1177" s="1"/>
      <c r="IM1177" s="1"/>
      <c r="IN1177" s="1"/>
      <c r="IO1177" s="1"/>
      <c r="IP1177" s="1"/>
      <c r="IQ1177" s="1"/>
      <c r="IR1177" s="1"/>
      <c r="IS1177" s="1"/>
      <c r="IT1177" s="1"/>
      <c r="IU1177" s="1"/>
      <c r="IV1177" s="1"/>
      <c r="IW1177" s="1"/>
      <c r="IX1177" s="1"/>
      <c r="IY1177" s="1"/>
      <c r="IZ1177" s="1"/>
      <c r="JA1177" s="1"/>
      <c r="JB1177" s="1"/>
      <c r="JC1177" s="1"/>
      <c r="JD1177" s="1"/>
    </row>
    <row r="1178" spans="1:264" s="347" customFormat="1" x14ac:dyDescent="0.2">
      <c r="B1178" s="348"/>
      <c r="BH1178" s="348"/>
      <c r="BI1178" s="348"/>
      <c r="BJ1178" s="348"/>
      <c r="BK1178" s="348"/>
      <c r="BL1178" s="348"/>
      <c r="BM1178" s="348"/>
      <c r="BN1178" s="348"/>
      <c r="BO1178" s="348"/>
      <c r="BP1178" s="649"/>
      <c r="BT1178" s="348"/>
      <c r="BX1178" s="348"/>
      <c r="CB1178" s="348"/>
      <c r="CF1178" s="348"/>
      <c r="CJ1178" s="348"/>
      <c r="CN1178" s="348"/>
      <c r="CR1178" s="348"/>
      <c r="CV1178" s="348"/>
      <c r="CZ1178" s="348"/>
      <c r="DD1178" s="348"/>
      <c r="DH1178" s="348"/>
      <c r="DL1178" s="348"/>
      <c r="DP1178" s="348"/>
      <c r="DT1178" s="1"/>
      <c r="DU1178" s="1"/>
      <c r="DV1178" s="1"/>
      <c r="DW1178" s="1"/>
      <c r="DX1178" s="1"/>
      <c r="DY1178" s="1"/>
      <c r="DZ1178" s="1"/>
      <c r="EA1178" s="1"/>
      <c r="EB1178" s="1"/>
      <c r="EC1178" s="1"/>
      <c r="ED1178" s="1"/>
      <c r="EE1178" s="1"/>
      <c r="EF1178" s="1"/>
      <c r="EG1178" s="1"/>
      <c r="EH1178" s="1"/>
      <c r="EI1178" s="1"/>
      <c r="EJ1178" s="1"/>
      <c r="EK1178" s="1"/>
      <c r="EL1178" s="1"/>
      <c r="EM1178" s="1"/>
      <c r="EN1178" s="1"/>
      <c r="EO1178" s="1"/>
      <c r="EP1178" s="1"/>
      <c r="EQ1178" s="1"/>
      <c r="ER1178" s="1"/>
      <c r="ES1178" s="1"/>
      <c r="ET1178" s="1"/>
      <c r="EU1178" s="1"/>
      <c r="EV1178" s="1"/>
      <c r="EW1178" s="1"/>
      <c r="EX1178" s="1"/>
      <c r="EY1178" s="1"/>
      <c r="EZ1178" s="1"/>
      <c r="FA1178" s="1"/>
      <c r="FB1178" s="1"/>
      <c r="FC1178" s="1"/>
      <c r="FD1178" s="1"/>
      <c r="FE1178" s="1"/>
      <c r="FF1178" s="1"/>
      <c r="FG1178" s="1"/>
      <c r="FH1178" s="1"/>
      <c r="FI1178" s="1"/>
      <c r="FJ1178" s="1"/>
      <c r="FK1178" s="1"/>
      <c r="FL1178" s="1"/>
      <c r="FM1178" s="1"/>
      <c r="FN1178" s="1"/>
      <c r="FO1178" s="1"/>
      <c r="FP1178" s="1"/>
      <c r="FQ1178" s="1"/>
      <c r="FR1178" s="1"/>
      <c r="FS1178" s="1"/>
      <c r="FT1178" s="1"/>
      <c r="FU1178" s="1"/>
      <c r="FV1178" s="1"/>
      <c r="FW1178" s="1"/>
      <c r="FX1178" s="1"/>
      <c r="FY1178" s="1"/>
      <c r="FZ1178" s="1"/>
      <c r="GA1178" s="1"/>
      <c r="GB1178" s="1"/>
      <c r="GC1178" s="1"/>
      <c r="GD1178" s="1"/>
      <c r="GE1178" s="1"/>
      <c r="GF1178" s="1"/>
      <c r="GG1178" s="1"/>
      <c r="GH1178" s="1"/>
      <c r="GI1178" s="1"/>
      <c r="GJ1178" s="1"/>
      <c r="GK1178" s="1"/>
      <c r="GL1178" s="1"/>
      <c r="GM1178" s="1"/>
      <c r="GN1178" s="1"/>
      <c r="GO1178" s="1"/>
      <c r="GP1178" s="1"/>
      <c r="GQ1178" s="1"/>
      <c r="GR1178" s="1"/>
      <c r="GS1178" s="1"/>
      <c r="GT1178" s="1"/>
      <c r="GU1178" s="1"/>
      <c r="GV1178" s="1"/>
      <c r="GW1178" s="1"/>
      <c r="GX1178" s="1"/>
      <c r="GY1178" s="1"/>
      <c r="GZ1178" s="1"/>
      <c r="HA1178" s="1"/>
      <c r="HB1178" s="1"/>
      <c r="HC1178" s="1"/>
      <c r="HD1178" s="1"/>
      <c r="HE1178" s="1"/>
      <c r="HF1178" s="1"/>
      <c r="HG1178" s="1"/>
      <c r="HH1178" s="1"/>
      <c r="HI1178" s="1"/>
      <c r="HJ1178" s="1"/>
      <c r="HK1178" s="1"/>
      <c r="HL1178" s="1"/>
      <c r="HM1178" s="1"/>
      <c r="HN1178" s="1"/>
      <c r="HO1178" s="1"/>
      <c r="HP1178" s="1"/>
      <c r="HQ1178" s="1"/>
      <c r="HR1178" s="1"/>
      <c r="HS1178" s="1"/>
      <c r="HT1178" s="1"/>
      <c r="HU1178" s="1"/>
      <c r="HV1178" s="1"/>
      <c r="HW1178" s="1"/>
      <c r="HX1178" s="1"/>
      <c r="HY1178" s="1"/>
      <c r="HZ1178" s="1"/>
      <c r="IA1178" s="1"/>
      <c r="IB1178" s="1"/>
      <c r="IC1178" s="1"/>
      <c r="ID1178" s="1"/>
      <c r="IE1178" s="1"/>
      <c r="IF1178" s="1"/>
      <c r="IG1178" s="1"/>
      <c r="IH1178" s="1"/>
      <c r="II1178" s="1"/>
      <c r="IJ1178" s="1"/>
      <c r="IK1178" s="1"/>
      <c r="IL1178" s="1"/>
      <c r="IM1178" s="1"/>
      <c r="IN1178" s="1"/>
      <c r="IO1178" s="1"/>
      <c r="IP1178" s="1"/>
      <c r="IQ1178" s="1"/>
      <c r="IR1178" s="1"/>
      <c r="IS1178" s="1"/>
      <c r="IT1178" s="1"/>
      <c r="IU1178" s="1"/>
      <c r="IV1178" s="1"/>
      <c r="IW1178" s="1"/>
      <c r="IX1178" s="1"/>
      <c r="IY1178" s="1"/>
      <c r="IZ1178" s="1"/>
      <c r="JA1178" s="1"/>
      <c r="JB1178" s="1"/>
      <c r="JC1178" s="1"/>
      <c r="JD1178" s="1"/>
    </row>
    <row r="1179" spans="1:264" s="460" customFormat="1" x14ac:dyDescent="0.2">
      <c r="A1179" s="568" t="s">
        <v>793</v>
      </c>
      <c r="B1179" s="569"/>
      <c r="C1179" s="568"/>
      <c r="D1179" s="568"/>
      <c r="E1179" s="568"/>
      <c r="F1179" s="568"/>
      <c r="G1179" s="568"/>
      <c r="H1179" s="568"/>
      <c r="I1179" s="568"/>
      <c r="J1179" s="568"/>
      <c r="K1179" s="568"/>
      <c r="L1179" s="568"/>
      <c r="M1179" s="568"/>
      <c r="N1179" s="568"/>
      <c r="O1179" s="568"/>
      <c r="P1179" s="568"/>
      <c r="Q1179" s="568"/>
      <c r="R1179" s="568"/>
      <c r="S1179" s="568"/>
      <c r="T1179" s="568"/>
      <c r="U1179" s="568"/>
      <c r="V1179" s="568"/>
      <c r="W1179" s="568"/>
      <c r="X1179" s="568"/>
      <c r="Y1179" s="568"/>
      <c r="Z1179" s="568"/>
      <c r="AA1179" s="568"/>
      <c r="AB1179" s="568"/>
      <c r="AC1179" s="568"/>
      <c r="AD1179" s="568"/>
      <c r="AE1179" s="568"/>
      <c r="AF1179" s="568"/>
      <c r="AG1179" s="568"/>
      <c r="AH1179" s="568"/>
      <c r="AI1179" s="568"/>
      <c r="AJ1179" s="568"/>
      <c r="AK1179" s="568"/>
      <c r="AL1179" s="568"/>
      <c r="AM1179" s="568"/>
      <c r="AN1179" s="568"/>
      <c r="AO1179" s="568"/>
      <c r="AP1179" s="568"/>
      <c r="AQ1179" s="568"/>
      <c r="AR1179" s="568"/>
      <c r="AS1179" s="568"/>
      <c r="AT1179" s="568"/>
      <c r="AU1179" s="568"/>
      <c r="AV1179" s="568"/>
      <c r="AW1179" s="568"/>
      <c r="AX1179" s="568"/>
      <c r="AY1179" s="568"/>
      <c r="AZ1179" s="568"/>
      <c r="BA1179" s="568"/>
      <c r="BB1179" s="568"/>
      <c r="BC1179" s="568"/>
      <c r="BD1179" s="568"/>
      <c r="BE1179" s="568"/>
      <c r="BF1179" s="568"/>
      <c r="BG1179" s="568"/>
      <c r="BH1179" s="569"/>
      <c r="BI1179" s="569"/>
      <c r="BJ1179" s="569"/>
      <c r="BK1179" s="569"/>
      <c r="BL1179" s="569"/>
      <c r="BM1179" s="569"/>
      <c r="BN1179" s="569"/>
      <c r="BO1179" s="569"/>
      <c r="BP1179" s="569"/>
      <c r="BQ1179" s="568"/>
      <c r="BR1179" s="568"/>
      <c r="BS1179" s="568"/>
      <c r="BT1179" s="569"/>
      <c r="BU1179" s="568"/>
      <c r="BV1179" s="568"/>
      <c r="BW1179" s="568"/>
      <c r="BX1179" s="569"/>
      <c r="BY1179" s="568"/>
      <c r="BZ1179" s="568"/>
      <c r="CA1179" s="568"/>
      <c r="CB1179" s="569"/>
      <c r="CC1179" s="568"/>
      <c r="CD1179" s="568"/>
      <c r="CE1179" s="568"/>
      <c r="CF1179" s="569"/>
      <c r="CG1179" s="568"/>
      <c r="CH1179" s="568"/>
      <c r="CI1179" s="568"/>
      <c r="CJ1179" s="569"/>
      <c r="CK1179" s="568"/>
      <c r="CL1179" s="568"/>
      <c r="CM1179" s="568"/>
      <c r="CN1179" s="569"/>
      <c r="CO1179" s="568"/>
      <c r="CP1179" s="568"/>
      <c r="CQ1179" s="568"/>
      <c r="CR1179" s="569"/>
      <c r="CS1179" s="568"/>
      <c r="CT1179" s="568"/>
      <c r="CU1179" s="568"/>
      <c r="CV1179" s="569"/>
      <c r="CW1179" s="568"/>
      <c r="CX1179" s="568"/>
      <c r="CY1179" s="568"/>
      <c r="CZ1179" s="569"/>
      <c r="DA1179" s="568"/>
      <c r="DB1179" s="568"/>
      <c r="DC1179" s="568"/>
      <c r="DD1179" s="569"/>
      <c r="DE1179" s="568"/>
      <c r="DF1179" s="568"/>
      <c r="DG1179" s="568"/>
      <c r="DH1179" s="569"/>
      <c r="DI1179" s="568"/>
      <c r="DJ1179" s="568"/>
      <c r="DK1179" s="568"/>
      <c r="DL1179" s="569"/>
      <c r="DM1179" s="568"/>
      <c r="DN1179" s="568"/>
      <c r="DO1179" s="568"/>
      <c r="DP1179" s="569"/>
      <c r="DQ1179" s="568"/>
      <c r="DR1179" s="568"/>
      <c r="DS1179" s="568"/>
      <c r="DT1179" s="1"/>
      <c r="DU1179" s="1"/>
      <c r="DV1179" s="1"/>
      <c r="DW1179" s="1"/>
      <c r="DX1179" s="1"/>
      <c r="DY1179" s="1"/>
      <c r="DZ1179" s="1"/>
      <c r="EA1179" s="1"/>
      <c r="EB1179" s="1"/>
      <c r="EC1179" s="1"/>
      <c r="ED1179" s="1"/>
      <c r="EE1179" s="1"/>
      <c r="EF1179" s="1"/>
      <c r="EG1179" s="1"/>
      <c r="EH1179" s="1"/>
      <c r="EI1179" s="1"/>
      <c r="EJ1179" s="1"/>
      <c r="EK1179" s="1"/>
      <c r="EL1179" s="1"/>
      <c r="EM1179" s="1"/>
      <c r="EN1179" s="1"/>
      <c r="EO1179" s="1"/>
      <c r="EP1179" s="1"/>
      <c r="EQ1179" s="1"/>
      <c r="ER1179" s="1"/>
      <c r="ES1179" s="1"/>
      <c r="ET1179" s="1"/>
      <c r="EU1179" s="1"/>
      <c r="EV1179" s="1"/>
      <c r="EW1179" s="1"/>
      <c r="EX1179" s="1"/>
      <c r="EY1179" s="1"/>
      <c r="EZ1179" s="1"/>
      <c r="FA1179" s="1"/>
      <c r="FB1179" s="1"/>
      <c r="FC1179" s="1"/>
      <c r="FD1179" s="1"/>
      <c r="FE1179" s="1"/>
      <c r="FF1179" s="1"/>
      <c r="FG1179" s="1"/>
      <c r="FH1179" s="1"/>
      <c r="FI1179" s="1"/>
      <c r="FJ1179" s="1"/>
      <c r="FK1179" s="1"/>
      <c r="FL1179" s="1"/>
      <c r="FM1179" s="1"/>
      <c r="FN1179" s="1"/>
      <c r="FO1179" s="1"/>
      <c r="FP1179" s="1"/>
      <c r="FQ1179" s="1"/>
      <c r="FR1179" s="1"/>
      <c r="FS1179" s="1"/>
      <c r="FT1179" s="1"/>
      <c r="FU1179" s="1"/>
      <c r="FV1179" s="1"/>
      <c r="FW1179" s="1"/>
      <c r="FX1179" s="1"/>
      <c r="FY1179" s="1"/>
      <c r="FZ1179" s="1"/>
      <c r="GA1179" s="1"/>
      <c r="GB1179" s="1"/>
      <c r="GC1179" s="1"/>
      <c r="GD1179" s="1"/>
      <c r="GE1179" s="1"/>
      <c r="GF1179" s="1"/>
      <c r="GG1179" s="1"/>
      <c r="GH1179" s="1"/>
      <c r="GI1179" s="1"/>
      <c r="GJ1179" s="1"/>
      <c r="GK1179" s="1"/>
      <c r="GL1179" s="1"/>
      <c r="GM1179" s="1"/>
      <c r="GN1179" s="1"/>
      <c r="GO1179" s="1"/>
      <c r="GP1179" s="1"/>
      <c r="GQ1179" s="1"/>
      <c r="GR1179" s="1"/>
      <c r="GS1179" s="1"/>
      <c r="GT1179" s="1"/>
      <c r="GU1179" s="1"/>
      <c r="GV1179" s="1"/>
      <c r="GW1179" s="1"/>
      <c r="GX1179" s="1"/>
      <c r="GY1179" s="1"/>
      <c r="GZ1179" s="1"/>
      <c r="HA1179" s="1"/>
      <c r="HB1179" s="1"/>
      <c r="HC1179" s="1"/>
      <c r="HD1179" s="1"/>
      <c r="HE1179" s="1"/>
      <c r="HF1179" s="1"/>
      <c r="HG1179" s="1"/>
      <c r="HH1179" s="1"/>
      <c r="HI1179" s="1"/>
      <c r="HJ1179" s="1"/>
      <c r="HK1179" s="1"/>
      <c r="HL1179" s="1"/>
      <c r="HM1179" s="1"/>
      <c r="HN1179" s="1"/>
      <c r="HO1179" s="1"/>
      <c r="HP1179" s="1"/>
      <c r="HQ1179" s="1"/>
      <c r="HR1179" s="1"/>
      <c r="HS1179" s="1"/>
      <c r="HT1179" s="1"/>
      <c r="HU1179" s="1"/>
      <c r="HV1179" s="1"/>
      <c r="HW1179" s="1"/>
      <c r="HX1179" s="1"/>
      <c r="HY1179" s="1"/>
      <c r="HZ1179" s="1"/>
      <c r="IA1179" s="1"/>
      <c r="IB1179" s="1"/>
      <c r="IC1179" s="1"/>
      <c r="ID1179" s="1"/>
      <c r="IE1179" s="1"/>
      <c r="IF1179" s="1"/>
      <c r="IG1179" s="1"/>
      <c r="IH1179" s="1"/>
      <c r="II1179" s="1"/>
      <c r="IJ1179" s="1"/>
      <c r="IK1179" s="1"/>
      <c r="IL1179" s="1"/>
      <c r="IM1179" s="1"/>
      <c r="IN1179" s="1"/>
      <c r="IO1179" s="1"/>
      <c r="IP1179" s="1"/>
      <c r="IQ1179" s="1"/>
      <c r="IR1179" s="1"/>
      <c r="IS1179" s="1"/>
      <c r="IT1179" s="1"/>
      <c r="IU1179" s="1"/>
      <c r="IV1179" s="1"/>
      <c r="IW1179" s="1"/>
      <c r="IX1179" s="1"/>
      <c r="IY1179" s="1"/>
      <c r="IZ1179" s="1"/>
      <c r="JA1179" s="1"/>
      <c r="JB1179" s="1"/>
      <c r="JC1179" s="1"/>
      <c r="JD1179" s="1"/>
    </row>
    <row r="1180" spans="1:264" s="347" customFormat="1" x14ac:dyDescent="0.2">
      <c r="B1180" s="348"/>
      <c r="BH1180" s="348"/>
      <c r="BI1180" s="348"/>
      <c r="BJ1180" s="348"/>
      <c r="BK1180" s="348"/>
      <c r="BL1180" s="348"/>
      <c r="BM1180" s="351"/>
      <c r="BN1180" s="348"/>
      <c r="BO1180" s="348"/>
      <c r="BP1180" s="348"/>
      <c r="BT1180" s="348"/>
      <c r="BX1180" s="348"/>
      <c r="CB1180" s="348"/>
      <c r="CE1180" s="351"/>
      <c r="CF1180" s="348"/>
      <c r="CJ1180" s="348"/>
      <c r="CN1180" s="348"/>
      <c r="CR1180" s="348"/>
      <c r="CV1180" s="348"/>
      <c r="CZ1180" s="348"/>
      <c r="DD1180" s="348"/>
      <c r="DH1180" s="348"/>
      <c r="DL1180" s="348"/>
      <c r="DP1180" s="348"/>
      <c r="DT1180" s="1"/>
      <c r="DU1180" s="1"/>
      <c r="DV1180" s="1"/>
      <c r="DW1180" s="1"/>
      <c r="DX1180" s="1"/>
      <c r="DY1180" s="1"/>
      <c r="DZ1180" s="1"/>
      <c r="EA1180" s="1"/>
      <c r="EB1180" s="1"/>
      <c r="EC1180" s="1"/>
      <c r="ED1180" s="1"/>
      <c r="EE1180" s="1"/>
      <c r="EF1180" s="1"/>
      <c r="EG1180" s="1"/>
      <c r="EH1180" s="1"/>
      <c r="EI1180" s="1"/>
      <c r="EJ1180" s="1"/>
      <c r="EK1180" s="1"/>
      <c r="EL1180" s="1"/>
      <c r="EM1180" s="1"/>
      <c r="EN1180" s="1"/>
      <c r="EO1180" s="1"/>
      <c r="EP1180" s="1"/>
      <c r="EQ1180" s="1"/>
      <c r="ER1180" s="1"/>
      <c r="ES1180" s="1"/>
      <c r="ET1180" s="1"/>
      <c r="EU1180" s="1"/>
      <c r="EV1180" s="1"/>
      <c r="EW1180" s="1"/>
      <c r="EX1180" s="1"/>
      <c r="EY1180" s="1"/>
      <c r="EZ1180" s="1"/>
      <c r="FA1180" s="1"/>
      <c r="FB1180" s="1"/>
      <c r="FC1180" s="1"/>
      <c r="FD1180" s="1"/>
      <c r="FE1180" s="1"/>
      <c r="FF1180" s="1"/>
      <c r="FG1180" s="1"/>
      <c r="FH1180" s="1"/>
      <c r="FI1180" s="1"/>
      <c r="FJ1180" s="1"/>
      <c r="FK1180" s="1"/>
      <c r="FL1180" s="1"/>
      <c r="FM1180" s="1"/>
      <c r="FN1180" s="1"/>
      <c r="FO1180" s="1"/>
      <c r="FP1180" s="1"/>
      <c r="FQ1180" s="1"/>
      <c r="FR1180" s="1"/>
      <c r="FS1180" s="1"/>
      <c r="FT1180" s="1"/>
      <c r="FU1180" s="1"/>
      <c r="FV1180" s="1"/>
      <c r="FW1180" s="1"/>
      <c r="FX1180" s="1"/>
      <c r="FY1180" s="1"/>
      <c r="FZ1180" s="1"/>
      <c r="GA1180" s="1"/>
      <c r="GB1180" s="1"/>
      <c r="GC1180" s="1"/>
      <c r="GD1180" s="1"/>
      <c r="GE1180" s="1"/>
      <c r="GF1180" s="1"/>
      <c r="GG1180" s="1"/>
      <c r="GH1180" s="1"/>
      <c r="GI1180" s="1"/>
      <c r="GJ1180" s="1"/>
      <c r="GK1180" s="1"/>
      <c r="GL1180" s="1"/>
      <c r="GM1180" s="1"/>
      <c r="GN1180" s="1"/>
      <c r="GO1180" s="1"/>
      <c r="GP1180" s="1"/>
      <c r="GQ1180" s="1"/>
      <c r="GR1180" s="1"/>
      <c r="GS1180" s="1"/>
      <c r="GT1180" s="1"/>
      <c r="GU1180" s="1"/>
      <c r="GV1180" s="1"/>
      <c r="GW1180" s="1"/>
      <c r="GX1180" s="1"/>
      <c r="GY1180" s="1"/>
      <c r="GZ1180" s="1"/>
      <c r="HA1180" s="1"/>
      <c r="HB1180" s="1"/>
      <c r="HC1180" s="1"/>
      <c r="HD1180" s="1"/>
      <c r="HE1180" s="1"/>
      <c r="HF1180" s="1"/>
      <c r="HG1180" s="1"/>
      <c r="HH1180" s="1"/>
      <c r="HI1180" s="1"/>
      <c r="HJ1180" s="1"/>
      <c r="HK1180" s="1"/>
      <c r="HL1180" s="1"/>
      <c r="HM1180" s="1"/>
      <c r="HN1180" s="1"/>
      <c r="HO1180" s="1"/>
      <c r="HP1180" s="1"/>
      <c r="HQ1180" s="1"/>
      <c r="HR1180" s="1"/>
      <c r="HS1180" s="1"/>
      <c r="HT1180" s="1"/>
      <c r="HU1180" s="1"/>
      <c r="HV1180" s="1"/>
      <c r="HW1180" s="1"/>
      <c r="HX1180" s="1"/>
      <c r="HY1180" s="1"/>
      <c r="HZ1180" s="1"/>
      <c r="IA1180" s="1"/>
      <c r="IB1180" s="1"/>
      <c r="IC1180" s="1"/>
      <c r="ID1180" s="1"/>
      <c r="IE1180" s="1"/>
      <c r="IF1180" s="1"/>
      <c r="IG1180" s="1"/>
      <c r="IH1180" s="1"/>
      <c r="II1180" s="1"/>
      <c r="IJ1180" s="1"/>
      <c r="IK1180" s="1"/>
      <c r="IL1180" s="1"/>
      <c r="IM1180" s="1"/>
      <c r="IN1180" s="1"/>
      <c r="IO1180" s="1"/>
      <c r="IP1180" s="1"/>
      <c r="IQ1180" s="1"/>
      <c r="IR1180" s="1"/>
      <c r="IS1180" s="1"/>
      <c r="IT1180" s="1"/>
      <c r="IU1180" s="1"/>
      <c r="IV1180" s="1"/>
      <c r="IW1180" s="1"/>
      <c r="IX1180" s="1"/>
      <c r="IY1180" s="1"/>
      <c r="IZ1180" s="1"/>
      <c r="JA1180" s="1"/>
      <c r="JB1180" s="1"/>
      <c r="JC1180" s="1"/>
      <c r="JD1180" s="1"/>
    </row>
    <row r="1181" spans="1:264" s="347" customFormat="1" x14ac:dyDescent="0.2">
      <c r="A1181" s="411" t="s">
        <v>662</v>
      </c>
      <c r="B1181" s="423"/>
      <c r="C1181" s="411"/>
      <c r="D1181" s="411"/>
      <c r="E1181" s="411"/>
      <c r="F1181" s="411"/>
      <c r="G1181" s="411"/>
      <c r="H1181" s="411"/>
      <c r="I1181" s="411"/>
      <c r="J1181" s="411"/>
      <c r="K1181" s="411"/>
      <c r="L1181" s="411"/>
      <c r="M1181" s="411"/>
      <c r="N1181" s="411"/>
      <c r="O1181" s="411"/>
      <c r="P1181" s="411"/>
      <c r="Q1181" s="411"/>
      <c r="R1181" s="411"/>
      <c r="S1181" s="411"/>
      <c r="T1181" s="411"/>
      <c r="U1181" s="411"/>
      <c r="V1181" s="411"/>
      <c r="W1181" s="411"/>
      <c r="X1181" s="411"/>
      <c r="Y1181" s="411"/>
      <c r="Z1181" s="411"/>
      <c r="AA1181" s="411"/>
      <c r="AB1181" s="411"/>
      <c r="AC1181" s="411"/>
      <c r="AD1181" s="411"/>
      <c r="AE1181" s="411"/>
      <c r="AF1181" s="411"/>
      <c r="AG1181" s="411"/>
      <c r="AH1181" s="411"/>
      <c r="AI1181" s="411"/>
      <c r="AJ1181" s="411"/>
      <c r="AK1181" s="411"/>
      <c r="AL1181" s="411"/>
      <c r="AM1181" s="411"/>
      <c r="AN1181" s="411"/>
      <c r="AO1181" s="411"/>
      <c r="AP1181" s="411"/>
      <c r="AQ1181" s="411"/>
      <c r="AR1181" s="411"/>
      <c r="AS1181" s="411"/>
      <c r="AT1181" s="411"/>
      <c r="AU1181" s="411"/>
      <c r="AV1181" s="411"/>
      <c r="AW1181" s="411"/>
      <c r="AX1181" s="411"/>
      <c r="AY1181" s="411"/>
      <c r="AZ1181" s="411"/>
      <c r="BA1181" s="411"/>
      <c r="BB1181" s="411"/>
      <c r="BC1181" s="411"/>
      <c r="BD1181" s="411"/>
      <c r="BE1181" s="480"/>
      <c r="BF1181" s="411"/>
      <c r="BG1181" s="411"/>
      <c r="BH1181" s="480"/>
      <c r="BI1181" s="480">
        <f>BI944</f>
        <v>44061</v>
      </c>
      <c r="BJ1181" s="480">
        <f>BJ944</f>
        <v>44061</v>
      </c>
      <c r="BK1181" s="423"/>
      <c r="BL1181" s="480">
        <f>BL944</f>
        <v>45562</v>
      </c>
      <c r="BM1181" s="480">
        <f>BM944</f>
        <v>47872</v>
      </c>
      <c r="BN1181" s="480">
        <f>BN944</f>
        <v>47872</v>
      </c>
      <c r="BO1181" s="348"/>
      <c r="BP1181" s="480">
        <f>BP944</f>
        <v>49536</v>
      </c>
      <c r="BQ1181" s="480">
        <f>BQ944</f>
        <v>51492</v>
      </c>
      <c r="BR1181" s="480">
        <f>BR944</f>
        <v>51492</v>
      </c>
      <c r="BT1181" s="480">
        <f>BT944</f>
        <v>58171</v>
      </c>
      <c r="BU1181" s="480">
        <f>BU944</f>
        <v>60014</v>
      </c>
      <c r="BV1181" s="480">
        <f>BV944</f>
        <v>60014</v>
      </c>
      <c r="BX1181" s="480">
        <f>BX944</f>
        <v>61205</v>
      </c>
      <c r="BY1181" s="480">
        <f>BY944</f>
        <v>63114</v>
      </c>
      <c r="BZ1181" s="480">
        <f>BZ944</f>
        <v>63114</v>
      </c>
      <c r="CB1181" s="480">
        <f>CB944</f>
        <v>65537</v>
      </c>
      <c r="CC1181" s="480">
        <f>CC944</f>
        <v>67306</v>
      </c>
      <c r="CD1181" s="480">
        <f>CD944</f>
        <v>67306</v>
      </c>
      <c r="CF1181" s="480">
        <f>CF944</f>
        <v>68025</v>
      </c>
      <c r="CG1181" s="480">
        <f>CG944</f>
        <v>69594</v>
      </c>
      <c r="CH1181" s="480">
        <f>CH944</f>
        <v>69594</v>
      </c>
      <c r="CI1181" s="351">
        <f>CG1181-CF1181</f>
        <v>1569</v>
      </c>
      <c r="CJ1181" s="480">
        <f>CJ944</f>
        <v>71102</v>
      </c>
      <c r="CK1181" s="480">
        <f>CK944</f>
        <v>71933</v>
      </c>
      <c r="CL1181" s="480">
        <f>CL944</f>
        <v>71933</v>
      </c>
      <c r="CN1181" s="480">
        <f>CN944</f>
        <v>74915</v>
      </c>
      <c r="CO1181" s="480">
        <f>CO944</f>
        <v>78713</v>
      </c>
      <c r="CP1181" s="480">
        <f>CP944</f>
        <v>78713</v>
      </c>
      <c r="CR1181" s="480">
        <f>CR944</f>
        <v>74658</v>
      </c>
      <c r="CS1181" s="480">
        <f>CS944</f>
        <v>72833</v>
      </c>
      <c r="CT1181" s="480">
        <f>CT944</f>
        <v>72833</v>
      </c>
      <c r="CV1181" s="480">
        <f>CV944</f>
        <v>72316</v>
      </c>
      <c r="CW1181" s="480">
        <f>CW944</f>
        <v>71628</v>
      </c>
      <c r="CX1181" s="480">
        <f>CX944</f>
        <v>71628</v>
      </c>
      <c r="CZ1181" s="480">
        <f>CZ944</f>
        <v>72834</v>
      </c>
      <c r="DA1181" s="480">
        <f>DA944</f>
        <v>73088</v>
      </c>
      <c r="DB1181" s="480">
        <f>DB944</f>
        <v>73088</v>
      </c>
      <c r="DD1181" s="480">
        <f>DD944</f>
        <v>75264</v>
      </c>
      <c r="DE1181" s="480">
        <f>DE944</f>
        <v>78776</v>
      </c>
      <c r="DF1181" s="480">
        <f>DF944</f>
        <v>78776</v>
      </c>
      <c r="DH1181" s="480">
        <f>DH944</f>
        <v>77232</v>
      </c>
      <c r="DI1181" s="480">
        <f>DI944</f>
        <v>78924.016849578707</v>
      </c>
      <c r="DJ1181" s="480">
        <f>DJ944</f>
        <v>78924.016849578707</v>
      </c>
      <c r="DL1181" s="480">
        <f ca="1">DL944</f>
        <v>80170.057431028938</v>
      </c>
      <c r="DM1181" s="480">
        <f ca="1">DM944</f>
        <v>81696.111297174299</v>
      </c>
      <c r="DN1181" s="480">
        <f ca="1">DN944</f>
        <v>81696.111297174299</v>
      </c>
      <c r="DP1181" s="480">
        <f ca="1">DP944</f>
        <v>82816.391055714426</v>
      </c>
      <c r="DQ1181" s="480">
        <f ca="1">DQ944</f>
        <v>84425.659927121276</v>
      </c>
      <c r="DR1181" s="480">
        <f ca="1">DR944</f>
        <v>84425.659927121276</v>
      </c>
      <c r="DT1181" s="1"/>
      <c r="DU1181" s="1"/>
      <c r="DV1181" s="1"/>
      <c r="DW1181" s="1"/>
      <c r="DX1181" s="1"/>
      <c r="DY1181" s="1"/>
      <c r="DZ1181" s="1"/>
      <c r="EA1181" s="1"/>
      <c r="EB1181" s="1"/>
      <c r="EC1181" s="1"/>
      <c r="ED1181" s="1"/>
      <c r="EE1181" s="1"/>
      <c r="EF1181" s="1"/>
      <c r="EG1181" s="1"/>
      <c r="EH1181" s="1"/>
      <c r="EI1181" s="1"/>
      <c r="EJ1181" s="1"/>
      <c r="EK1181" s="1"/>
      <c r="EL1181" s="1"/>
      <c r="EM1181" s="1"/>
      <c r="EN1181" s="1"/>
      <c r="EO1181" s="1"/>
      <c r="EP1181" s="1"/>
      <c r="EQ1181" s="1"/>
      <c r="ER1181" s="1"/>
      <c r="ES1181" s="1"/>
      <c r="ET1181" s="1"/>
      <c r="EU1181" s="1"/>
      <c r="EV1181" s="1"/>
      <c r="EW1181" s="1"/>
      <c r="EX1181" s="1"/>
      <c r="EY1181" s="1"/>
      <c r="EZ1181" s="1"/>
      <c r="FA1181" s="1"/>
      <c r="FB1181" s="1"/>
      <c r="FC1181" s="1"/>
      <c r="FD1181" s="1"/>
      <c r="FE1181" s="1"/>
      <c r="FF1181" s="1"/>
      <c r="FG1181" s="1"/>
      <c r="FH1181" s="1"/>
      <c r="FI1181" s="1"/>
      <c r="FJ1181" s="1"/>
      <c r="FK1181" s="1"/>
      <c r="FL1181" s="1"/>
      <c r="FM1181" s="1"/>
      <c r="FN1181" s="1"/>
      <c r="FO1181" s="1"/>
      <c r="FP1181" s="1"/>
      <c r="FQ1181" s="1"/>
      <c r="FR1181" s="1"/>
      <c r="FS1181" s="1"/>
      <c r="FT1181" s="1"/>
      <c r="FU1181" s="1"/>
      <c r="FV1181" s="1"/>
      <c r="FW1181" s="1"/>
      <c r="FX1181" s="1"/>
      <c r="FY1181" s="1"/>
      <c r="FZ1181" s="1"/>
      <c r="GA1181" s="1"/>
      <c r="GB1181" s="1"/>
      <c r="GC1181" s="1"/>
      <c r="GD1181" s="1"/>
      <c r="GE1181" s="1"/>
      <c r="GF1181" s="1"/>
      <c r="GG1181" s="1"/>
      <c r="GH1181" s="1"/>
      <c r="GI1181" s="1"/>
      <c r="GJ1181" s="1"/>
      <c r="GK1181" s="1"/>
      <c r="GL1181" s="1"/>
      <c r="GM1181" s="1"/>
      <c r="GN1181" s="1"/>
      <c r="GO1181" s="1"/>
      <c r="GP1181" s="1"/>
      <c r="GQ1181" s="1"/>
      <c r="GR1181" s="1"/>
      <c r="GS1181" s="1"/>
      <c r="GT1181" s="1"/>
      <c r="GU1181" s="1"/>
      <c r="GV1181" s="1"/>
      <c r="GW1181" s="1"/>
      <c r="GX1181" s="1"/>
      <c r="GY1181" s="1"/>
      <c r="GZ1181" s="1"/>
      <c r="HA1181" s="1"/>
      <c r="HB1181" s="1"/>
      <c r="HC1181" s="1"/>
      <c r="HD1181" s="1"/>
      <c r="HE1181" s="1"/>
      <c r="HF1181" s="1"/>
      <c r="HG1181" s="1"/>
      <c r="HH1181" s="1"/>
      <c r="HI1181" s="1"/>
      <c r="HJ1181" s="1"/>
      <c r="HK1181" s="1"/>
      <c r="HL1181" s="1"/>
      <c r="HM1181" s="1"/>
      <c r="HN1181" s="1"/>
      <c r="HO1181" s="1"/>
      <c r="HP1181" s="1"/>
      <c r="HQ1181" s="1"/>
      <c r="HR1181" s="1"/>
      <c r="HS1181" s="1"/>
      <c r="HT1181" s="1"/>
      <c r="HU1181" s="1"/>
      <c r="HV1181" s="1"/>
      <c r="HW1181" s="1"/>
      <c r="HX1181" s="1"/>
      <c r="HY1181" s="1"/>
      <c r="HZ1181" s="1"/>
      <c r="IA1181" s="1"/>
      <c r="IB1181" s="1"/>
      <c r="IC1181" s="1"/>
      <c r="ID1181" s="1"/>
      <c r="IE1181" s="1"/>
      <c r="IF1181" s="1"/>
      <c r="IG1181" s="1"/>
      <c r="IH1181" s="1"/>
      <c r="II1181" s="1"/>
      <c r="IJ1181" s="1"/>
      <c r="IK1181" s="1"/>
      <c r="IL1181" s="1"/>
      <c r="IM1181" s="1"/>
      <c r="IN1181" s="1"/>
      <c r="IO1181" s="1"/>
      <c r="IP1181" s="1"/>
      <c r="IQ1181" s="1"/>
      <c r="IR1181" s="1"/>
      <c r="IS1181" s="1"/>
      <c r="IT1181" s="1"/>
      <c r="IU1181" s="1"/>
      <c r="IV1181" s="1"/>
      <c r="IW1181" s="1"/>
      <c r="IX1181" s="1"/>
      <c r="IY1181" s="1"/>
      <c r="IZ1181" s="1"/>
      <c r="JA1181" s="1"/>
      <c r="JB1181" s="1"/>
      <c r="JC1181" s="1"/>
      <c r="JD1181" s="1"/>
    </row>
    <row r="1182" spans="1:264" s="347" customFormat="1" x14ac:dyDescent="0.2">
      <c r="A1182" s="347" t="s">
        <v>794</v>
      </c>
      <c r="B1182" s="348"/>
      <c r="BE1182" s="398"/>
      <c r="BH1182" s="351"/>
      <c r="BI1182" s="398">
        <v>297</v>
      </c>
      <c r="BJ1182" s="351">
        <f>BI1182</f>
        <v>297</v>
      </c>
      <c r="BK1182" s="351"/>
      <c r="BL1182" s="398">
        <v>293</v>
      </c>
      <c r="BM1182" s="398">
        <v>291</v>
      </c>
      <c r="BN1182" s="351">
        <f>BM1182</f>
        <v>291</v>
      </c>
      <c r="BO1182" s="351"/>
      <c r="BP1182" s="398">
        <v>287</v>
      </c>
      <c r="BQ1182" s="398">
        <v>279</v>
      </c>
      <c r="BR1182" s="351">
        <f>BQ1182</f>
        <v>279</v>
      </c>
      <c r="BS1182" s="351"/>
      <c r="BT1182" s="398">
        <v>325</v>
      </c>
      <c r="BU1182" s="398">
        <v>284</v>
      </c>
      <c r="BV1182" s="351">
        <f>BU1182</f>
        <v>284</v>
      </c>
      <c r="BW1182" s="351"/>
      <c r="BX1182" s="398">
        <v>254</v>
      </c>
      <c r="BY1182" s="398">
        <v>295</v>
      </c>
      <c r="BZ1182" s="351">
        <f>BY1182</f>
        <v>295</v>
      </c>
      <c r="CA1182" s="351"/>
      <c r="CB1182" s="398">
        <v>226</v>
      </c>
      <c r="CC1182" s="398">
        <v>265</v>
      </c>
      <c r="CD1182" s="351">
        <f>CC1182</f>
        <v>265</v>
      </c>
      <c r="CE1182" s="351"/>
      <c r="CF1182" s="398">
        <v>268</v>
      </c>
      <c r="CG1182" s="398">
        <v>194</v>
      </c>
      <c r="CH1182" s="351">
        <f>CG1182</f>
        <v>194</v>
      </c>
      <c r="CI1182" s="351"/>
      <c r="CJ1182" s="398">
        <v>54</v>
      </c>
      <c r="CK1182" s="398">
        <v>51</v>
      </c>
      <c r="CL1182" s="351">
        <f>CK1182</f>
        <v>51</v>
      </c>
      <c r="CM1182" s="351"/>
      <c r="CN1182" s="398">
        <v>15</v>
      </c>
      <c r="CO1182" s="398">
        <v>12</v>
      </c>
      <c r="CP1182" s="351">
        <f>CO1182</f>
        <v>12</v>
      </c>
      <c r="CQ1182" s="351"/>
      <c r="CR1182" s="398">
        <v>9</v>
      </c>
      <c r="CS1182" s="398">
        <v>26</v>
      </c>
      <c r="CT1182" s="351">
        <f>CS1182</f>
        <v>26</v>
      </c>
      <c r="CU1182" s="351"/>
      <c r="CV1182" s="398">
        <v>137</v>
      </c>
      <c r="CW1182" s="398">
        <v>162</v>
      </c>
      <c r="CX1182" s="351">
        <f>CW1182</f>
        <v>162</v>
      </c>
      <c r="CY1182" s="351"/>
      <c r="CZ1182" s="398">
        <v>147</v>
      </c>
      <c r="DA1182" s="398">
        <v>158</v>
      </c>
      <c r="DB1182" s="351">
        <f>DA1182</f>
        <v>158</v>
      </c>
      <c r="DC1182" s="351"/>
      <c r="DD1182" s="398">
        <v>189</v>
      </c>
      <c r="DE1182" s="398">
        <v>215</v>
      </c>
      <c r="DF1182" s="351">
        <f>DE1182</f>
        <v>215</v>
      </c>
      <c r="DG1182" s="351"/>
      <c r="DH1182" s="398">
        <v>195</v>
      </c>
      <c r="DI1182" s="351">
        <f>DI1202</f>
        <v>195</v>
      </c>
      <c r="DJ1182" s="351">
        <f>DI1182</f>
        <v>195</v>
      </c>
      <c r="DK1182" s="351"/>
      <c r="DL1182" s="351">
        <f ca="1">DL1202</f>
        <v>195</v>
      </c>
      <c r="DM1182" s="351">
        <f ca="1">DM1202</f>
        <v>195</v>
      </c>
      <c r="DN1182" s="351">
        <f ca="1">DM1182</f>
        <v>195</v>
      </c>
      <c r="DO1182" s="351"/>
      <c r="DP1182" s="351">
        <f ca="1">DP1202</f>
        <v>195</v>
      </c>
      <c r="DQ1182" s="351">
        <f ca="1">DQ1202</f>
        <v>195</v>
      </c>
      <c r="DR1182" s="351">
        <f ca="1">DQ1182</f>
        <v>195</v>
      </c>
      <c r="DS1182" s="351"/>
      <c r="DT1182" s="1"/>
      <c r="DU1182" s="1"/>
      <c r="DV1182" s="1"/>
      <c r="DW1182" s="1"/>
      <c r="DX1182" s="1"/>
      <c r="DY1182" s="1"/>
      <c r="DZ1182" s="1"/>
      <c r="EA1182" s="1"/>
      <c r="EB1182" s="1"/>
      <c r="EC1182" s="1"/>
      <c r="ED1182" s="1"/>
      <c r="EE1182" s="1"/>
      <c r="EF1182" s="1"/>
      <c r="EG1182" s="1"/>
      <c r="EH1182" s="1"/>
      <c r="EI1182" s="1"/>
      <c r="EJ1182" s="1"/>
      <c r="EK1182" s="1"/>
      <c r="EL1182" s="1"/>
      <c r="EM1182" s="1"/>
      <c r="EN1182" s="1"/>
      <c r="EO1182" s="1"/>
      <c r="EP1182" s="1"/>
      <c r="EQ1182" s="1"/>
      <c r="ER1182" s="1"/>
      <c r="ES1182" s="1"/>
      <c r="ET1182" s="1"/>
      <c r="EU1182" s="1"/>
      <c r="EV1182" s="1"/>
      <c r="EW1182" s="1"/>
      <c r="EX1182" s="1"/>
      <c r="EY1182" s="1"/>
      <c r="EZ1182" s="1"/>
      <c r="FA1182" s="1"/>
      <c r="FB1182" s="1"/>
      <c r="FC1182" s="1"/>
      <c r="FD1182" s="1"/>
      <c r="FE1182" s="1"/>
      <c r="FF1182" s="1"/>
      <c r="FG1182" s="1"/>
      <c r="FH1182" s="1"/>
      <c r="FI1182" s="1"/>
      <c r="FJ1182" s="1"/>
      <c r="FK1182" s="1"/>
      <c r="FL1182" s="1"/>
      <c r="FM1182" s="1"/>
      <c r="FN1182" s="1"/>
      <c r="FO1182" s="1"/>
      <c r="FP1182" s="1"/>
      <c r="FQ1182" s="1"/>
      <c r="FR1182" s="1"/>
      <c r="FS1182" s="1"/>
      <c r="FT1182" s="1"/>
      <c r="FU1182" s="1"/>
      <c r="FV1182" s="1"/>
      <c r="FW1182" s="1"/>
      <c r="FX1182" s="1"/>
      <c r="FY1182" s="1"/>
      <c r="FZ1182" s="1"/>
      <c r="GA1182" s="1"/>
      <c r="GB1182" s="1"/>
      <c r="GC1182" s="1"/>
      <c r="GD1182" s="1"/>
      <c r="GE1182" s="1"/>
      <c r="GF1182" s="1"/>
      <c r="GG1182" s="1"/>
      <c r="GH1182" s="1"/>
      <c r="GI1182" s="1"/>
      <c r="GJ1182" s="1"/>
      <c r="GK1182" s="1"/>
      <c r="GL1182" s="1"/>
      <c r="GM1182" s="1"/>
      <c r="GN1182" s="1"/>
      <c r="GO1182" s="1"/>
      <c r="GP1182" s="1"/>
      <c r="GQ1182" s="1"/>
      <c r="GR1182" s="1"/>
      <c r="GS1182" s="1"/>
      <c r="GT1182" s="1"/>
      <c r="GU1182" s="1"/>
      <c r="GV1182" s="1"/>
      <c r="GW1182" s="1"/>
      <c r="GX1182" s="1"/>
      <c r="GY1182" s="1"/>
      <c r="GZ1182" s="1"/>
      <c r="HA1182" s="1"/>
      <c r="HB1182" s="1"/>
      <c r="HC1182" s="1"/>
      <c r="HD1182" s="1"/>
      <c r="HE1182" s="1"/>
      <c r="HF1182" s="1"/>
      <c r="HG1182" s="1"/>
      <c r="HH1182" s="1"/>
      <c r="HI1182" s="1"/>
      <c r="HJ1182" s="1"/>
      <c r="HK1182" s="1"/>
      <c r="HL1182" s="1"/>
      <c r="HM1182" s="1"/>
      <c r="HN1182" s="1"/>
      <c r="HO1182" s="1"/>
      <c r="HP1182" s="1"/>
      <c r="HQ1182" s="1"/>
      <c r="HR1182" s="1"/>
      <c r="HS1182" s="1"/>
      <c r="HT1182" s="1"/>
      <c r="HU1182" s="1"/>
      <c r="HV1182" s="1"/>
      <c r="HW1182" s="1"/>
      <c r="HX1182" s="1"/>
      <c r="HY1182" s="1"/>
      <c r="HZ1182" s="1"/>
      <c r="IA1182" s="1"/>
      <c r="IB1182" s="1"/>
      <c r="IC1182" s="1"/>
      <c r="ID1182" s="1"/>
      <c r="IE1182" s="1"/>
      <c r="IF1182" s="1"/>
      <c r="IG1182" s="1"/>
      <c r="IH1182" s="1"/>
      <c r="II1182" s="1"/>
      <c r="IJ1182" s="1"/>
      <c r="IK1182" s="1"/>
      <c r="IL1182" s="1"/>
      <c r="IM1182" s="1"/>
      <c r="IN1182" s="1"/>
      <c r="IO1182" s="1"/>
      <c r="IP1182" s="1"/>
      <c r="IQ1182" s="1"/>
      <c r="IR1182" s="1"/>
      <c r="IS1182" s="1"/>
      <c r="IT1182" s="1"/>
      <c r="IU1182" s="1"/>
      <c r="IV1182" s="1"/>
      <c r="IW1182" s="1"/>
      <c r="IX1182" s="1"/>
      <c r="IY1182" s="1"/>
      <c r="IZ1182" s="1"/>
      <c r="JA1182" s="1"/>
      <c r="JB1182" s="1"/>
      <c r="JC1182" s="1"/>
      <c r="JD1182" s="1"/>
    </row>
    <row r="1183" spans="1:264" s="347" customFormat="1" x14ac:dyDescent="0.2">
      <c r="A1183" s="347" t="s">
        <v>795</v>
      </c>
      <c r="B1183" s="348"/>
      <c r="BE1183" s="398"/>
      <c r="BH1183" s="351"/>
      <c r="BI1183" s="398">
        <f>56-345</f>
        <v>-289</v>
      </c>
      <c r="BJ1183" s="351">
        <f t="shared" ref="BJ1183:BJ1194" si="902">BI1183</f>
        <v>-289</v>
      </c>
      <c r="BK1183" s="351"/>
      <c r="BL1183" s="398">
        <f>-59-472</f>
        <v>-531</v>
      </c>
      <c r="BM1183" s="398">
        <f>-47-368</f>
        <v>-415</v>
      </c>
      <c r="BN1183" s="351">
        <f t="shared" ref="BN1183:BN1194" si="903">BM1183</f>
        <v>-415</v>
      </c>
      <c r="BO1183" s="351"/>
      <c r="BP1183" s="398">
        <f>-126-377</f>
        <v>-503</v>
      </c>
      <c r="BQ1183" s="398">
        <f>-93-529</f>
        <v>-622</v>
      </c>
      <c r="BR1183" s="351">
        <f>BQ1183</f>
        <v>-622</v>
      </c>
      <c r="BS1183" s="351"/>
      <c r="BT1183" s="398">
        <f>-181-298</f>
        <v>-479</v>
      </c>
      <c r="BU1183" s="398">
        <f>-143-259</f>
        <v>-402</v>
      </c>
      <c r="BV1183" s="351">
        <f>BU1183</f>
        <v>-402</v>
      </c>
      <c r="BW1183" s="351"/>
      <c r="BX1183" s="398">
        <f>-152-505</f>
        <v>-657</v>
      </c>
      <c r="BY1183" s="398">
        <f>-81-537</f>
        <v>-618</v>
      </c>
      <c r="BZ1183" s="351">
        <f>BY1183</f>
        <v>-618</v>
      </c>
      <c r="CA1183" s="351"/>
      <c r="CB1183" s="398">
        <f>-71-411</f>
        <v>-482</v>
      </c>
      <c r="CC1183" s="398">
        <f>-80-342</f>
        <v>-422</v>
      </c>
      <c r="CD1183" s="351">
        <f>CC1183</f>
        <v>-422</v>
      </c>
      <c r="CE1183" s="351"/>
      <c r="CF1183" s="398">
        <f>73-434</f>
        <v>-361</v>
      </c>
      <c r="CG1183" s="398">
        <f>52-437</f>
        <v>-385</v>
      </c>
      <c r="CH1183" s="351">
        <f>CG1183</f>
        <v>-385</v>
      </c>
      <c r="CI1183" s="351"/>
      <c r="CJ1183" s="398">
        <f>-7-258</f>
        <v>-265</v>
      </c>
      <c r="CK1183" s="398">
        <f>2-325</f>
        <v>-323</v>
      </c>
      <c r="CL1183" s="351">
        <f>CK1183</f>
        <v>-323</v>
      </c>
      <c r="CM1183" s="351"/>
      <c r="CN1183" s="398">
        <f>0-379</f>
        <v>-379</v>
      </c>
      <c r="CO1183" s="398">
        <v>-486</v>
      </c>
      <c r="CP1183" s="351">
        <f>CO1183</f>
        <v>-486</v>
      </c>
      <c r="CQ1183" s="351"/>
      <c r="CR1183" s="810">
        <v>-125</v>
      </c>
      <c r="CS1183" s="398">
        <v>-131</v>
      </c>
      <c r="CT1183" s="351">
        <f>CS1183</f>
        <v>-131</v>
      </c>
      <c r="CU1183" s="351"/>
      <c r="CV1183" s="810">
        <v>-28</v>
      </c>
      <c r="CW1183" s="398">
        <v>-45</v>
      </c>
      <c r="CX1183" s="351">
        <f>CW1183</f>
        <v>-45</v>
      </c>
      <c r="CY1183" s="351"/>
      <c r="CZ1183" s="810">
        <v>-45</v>
      </c>
      <c r="DA1183" s="398">
        <v>-54</v>
      </c>
      <c r="DB1183" s="351">
        <f>DA1183</f>
        <v>-54</v>
      </c>
      <c r="DC1183" s="351"/>
      <c r="DD1183" s="810">
        <v>-60</v>
      </c>
      <c r="DE1183" s="398">
        <v>-63</v>
      </c>
      <c r="DF1183" s="351">
        <f>DE1183</f>
        <v>-63</v>
      </c>
      <c r="DG1183" s="351"/>
      <c r="DH1183" s="810">
        <v>-66</v>
      </c>
      <c r="DI1183" s="351">
        <f>DH1183*(1+DI1263)</f>
        <v>-66</v>
      </c>
      <c r="DJ1183" s="351">
        <f>DI1183</f>
        <v>-66</v>
      </c>
      <c r="DK1183" s="351"/>
      <c r="DL1183" s="351">
        <f>DI1183*(1+DL1263)</f>
        <v>-66</v>
      </c>
      <c r="DM1183" s="351">
        <f>DL1183*(1+DM1263)</f>
        <v>-66</v>
      </c>
      <c r="DN1183" s="351">
        <f>DM1183</f>
        <v>-66</v>
      </c>
      <c r="DO1183" s="351"/>
      <c r="DP1183" s="351">
        <f>DM1183*(1+DP1263)</f>
        <v>-66</v>
      </c>
      <c r="DQ1183" s="351">
        <f>DP1183*(1+DQ1263)</f>
        <v>-66</v>
      </c>
      <c r="DR1183" s="351">
        <f>DQ1183</f>
        <v>-66</v>
      </c>
      <c r="DS1183" s="351"/>
      <c r="DT1183" s="1"/>
      <c r="DU1183" s="1"/>
      <c r="DV1183" s="1"/>
      <c r="DW1183" s="1"/>
      <c r="DX1183" s="1"/>
      <c r="DY1183" s="1"/>
      <c r="DZ1183" s="1"/>
      <c r="EA1183" s="1"/>
      <c r="EB1183" s="1"/>
      <c r="EC1183" s="1"/>
      <c r="ED1183" s="1"/>
      <c r="EE1183" s="1"/>
      <c r="EF1183" s="1"/>
      <c r="EG1183" s="1"/>
      <c r="EH1183" s="1"/>
      <c r="EI1183" s="1"/>
      <c r="EJ1183" s="1"/>
      <c r="EK1183" s="1"/>
      <c r="EL1183" s="1"/>
      <c r="EM1183" s="1"/>
      <c r="EN1183" s="1"/>
      <c r="EO1183" s="1"/>
      <c r="EP1183" s="1"/>
      <c r="EQ1183" s="1"/>
      <c r="ER1183" s="1"/>
      <c r="ES1183" s="1"/>
      <c r="ET1183" s="1"/>
      <c r="EU1183" s="1"/>
      <c r="EV1183" s="1"/>
      <c r="EW1183" s="1"/>
      <c r="EX1183" s="1"/>
      <c r="EY1183" s="1"/>
      <c r="EZ1183" s="1"/>
      <c r="FA1183" s="1"/>
      <c r="FB1183" s="1"/>
      <c r="FC1183" s="1"/>
      <c r="FD1183" s="1"/>
      <c r="FE1183" s="1"/>
      <c r="FF1183" s="1"/>
      <c r="FG1183" s="1"/>
      <c r="FH1183" s="1"/>
      <c r="FI1183" s="1"/>
      <c r="FJ1183" s="1"/>
      <c r="FK1183" s="1"/>
      <c r="FL1183" s="1"/>
      <c r="FM1183" s="1"/>
      <c r="FN1183" s="1"/>
      <c r="FO1183" s="1"/>
      <c r="FP1183" s="1"/>
      <c r="FQ1183" s="1"/>
      <c r="FR1183" s="1"/>
      <c r="FS1183" s="1"/>
      <c r="FT1183" s="1"/>
      <c r="FU1183" s="1"/>
      <c r="FV1183" s="1"/>
      <c r="FW1183" s="1"/>
      <c r="FX1183" s="1"/>
      <c r="FY1183" s="1"/>
      <c r="FZ1183" s="1"/>
      <c r="GA1183" s="1"/>
      <c r="GB1183" s="1"/>
      <c r="GC1183" s="1"/>
      <c r="GD1183" s="1"/>
      <c r="GE1183" s="1"/>
      <c r="GF1183" s="1"/>
      <c r="GG1183" s="1"/>
      <c r="GH1183" s="1"/>
      <c r="GI1183" s="1"/>
      <c r="GJ1183" s="1"/>
      <c r="GK1183" s="1"/>
      <c r="GL1183" s="1"/>
      <c r="GM1183" s="1"/>
      <c r="GN1183" s="1"/>
      <c r="GO1183" s="1"/>
      <c r="GP1183" s="1"/>
      <c r="GQ1183" s="1"/>
      <c r="GR1183" s="1"/>
      <c r="GS1183" s="1"/>
      <c r="GT1183" s="1"/>
      <c r="GU1183" s="1"/>
      <c r="GV1183" s="1"/>
      <c r="GW1183" s="1"/>
      <c r="GX1183" s="1"/>
      <c r="GY1183" s="1"/>
      <c r="GZ1183" s="1"/>
      <c r="HA1183" s="1"/>
      <c r="HB1183" s="1"/>
      <c r="HC1183" s="1"/>
      <c r="HD1183" s="1"/>
      <c r="HE1183" s="1"/>
      <c r="HF1183" s="1"/>
      <c r="HG1183" s="1"/>
      <c r="HH1183" s="1"/>
      <c r="HI1183" s="1"/>
      <c r="HJ1183" s="1"/>
      <c r="HK1183" s="1"/>
      <c r="HL1183" s="1"/>
      <c r="HM1183" s="1"/>
      <c r="HN1183" s="1"/>
      <c r="HO1183" s="1"/>
      <c r="HP1183" s="1"/>
      <c r="HQ1183" s="1"/>
      <c r="HR1183" s="1"/>
      <c r="HS1183" s="1"/>
      <c r="HT1183" s="1"/>
      <c r="HU1183" s="1"/>
      <c r="HV1183" s="1"/>
      <c r="HW1183" s="1"/>
      <c r="HX1183" s="1"/>
      <c r="HY1183" s="1"/>
      <c r="HZ1183" s="1"/>
      <c r="IA1183" s="1"/>
      <c r="IB1183" s="1"/>
      <c r="IC1183" s="1"/>
      <c r="ID1183" s="1"/>
      <c r="IE1183" s="1"/>
      <c r="IF1183" s="1"/>
      <c r="IG1183" s="1"/>
      <c r="IH1183" s="1"/>
      <c r="II1183" s="1"/>
      <c r="IJ1183" s="1"/>
      <c r="IK1183" s="1"/>
      <c r="IL1183" s="1"/>
      <c r="IM1183" s="1"/>
      <c r="IN1183" s="1"/>
      <c r="IO1183" s="1"/>
      <c r="IP1183" s="1"/>
      <c r="IQ1183" s="1"/>
      <c r="IR1183" s="1"/>
      <c r="IS1183" s="1"/>
      <c r="IT1183" s="1"/>
      <c r="IU1183" s="1"/>
      <c r="IV1183" s="1"/>
      <c r="IW1183" s="1"/>
      <c r="IX1183" s="1"/>
      <c r="IY1183" s="1"/>
      <c r="IZ1183" s="1"/>
      <c r="JA1183" s="1"/>
      <c r="JB1183" s="1"/>
      <c r="JC1183" s="1"/>
      <c r="JD1183" s="1"/>
    </row>
    <row r="1184" spans="1:264" s="347" customFormat="1" x14ac:dyDescent="0.2">
      <c r="A1184" s="347" t="s">
        <v>796</v>
      </c>
      <c r="B1184" s="348"/>
      <c r="BE1184" s="398"/>
      <c r="BH1184" s="351"/>
      <c r="BI1184" s="398">
        <f>536-505-31</f>
        <v>0</v>
      </c>
      <c r="BJ1184" s="351">
        <f t="shared" si="902"/>
        <v>0</v>
      </c>
      <c r="BK1184" s="351"/>
      <c r="BL1184" s="398">
        <f>536-505-31</f>
        <v>0</v>
      </c>
      <c r="BM1184" s="398">
        <f>536-505-31</f>
        <v>0</v>
      </c>
      <c r="BN1184" s="351">
        <f t="shared" si="903"/>
        <v>0</v>
      </c>
      <c r="BO1184" s="351"/>
      <c r="BP1184" s="398">
        <f>536-505-31</f>
        <v>0</v>
      </c>
      <c r="BQ1184" s="398">
        <v>0</v>
      </c>
      <c r="BR1184" s="351">
        <f>BQ1184</f>
        <v>0</v>
      </c>
      <c r="BS1184" s="351"/>
      <c r="BT1184" s="398">
        <v>0</v>
      </c>
      <c r="BU1184" s="398">
        <v>0</v>
      </c>
      <c r="BV1184" s="351">
        <f>BU1184</f>
        <v>0</v>
      </c>
      <c r="BW1184" s="351"/>
      <c r="BX1184" s="398">
        <v>0</v>
      </c>
      <c r="BY1184" s="398">
        <v>0</v>
      </c>
      <c r="BZ1184" s="351">
        <f>BY1184</f>
        <v>0</v>
      </c>
      <c r="CA1184" s="351"/>
      <c r="CB1184" s="398">
        <v>0</v>
      </c>
      <c r="CC1184" s="398">
        <v>0</v>
      </c>
      <c r="CD1184" s="351">
        <f>CC1184</f>
        <v>0</v>
      </c>
      <c r="CE1184" s="351"/>
      <c r="CF1184" s="398">
        <v>0</v>
      </c>
      <c r="CG1184" s="398">
        <f>55-55</f>
        <v>0</v>
      </c>
      <c r="CH1184" s="351">
        <f>CG1184</f>
        <v>0</v>
      </c>
      <c r="CI1184" s="351"/>
      <c r="CJ1184" s="398">
        <f>51-51</f>
        <v>0</v>
      </c>
      <c r="CK1184" s="398">
        <f>5-5</f>
        <v>0</v>
      </c>
      <c r="CL1184" s="351">
        <f>CK1184</f>
        <v>0</v>
      </c>
      <c r="CM1184" s="351"/>
      <c r="CN1184" s="398">
        <f>51-51</f>
        <v>0</v>
      </c>
      <c r="CO1184" s="398">
        <f>5-5</f>
        <v>0</v>
      </c>
      <c r="CP1184" s="351">
        <f>CO1184</f>
        <v>0</v>
      </c>
      <c r="CQ1184" s="351"/>
      <c r="CR1184" s="398">
        <f>51-51</f>
        <v>0</v>
      </c>
      <c r="CS1184" s="398">
        <f>5-5</f>
        <v>0</v>
      </c>
      <c r="CT1184" s="351">
        <f>CS1184</f>
        <v>0</v>
      </c>
      <c r="CU1184" s="351"/>
      <c r="CV1184" s="398">
        <f>51-51</f>
        <v>0</v>
      </c>
      <c r="CW1184" s="398">
        <f>5-5</f>
        <v>0</v>
      </c>
      <c r="CX1184" s="351">
        <f>CW1184</f>
        <v>0</v>
      </c>
      <c r="CY1184" s="351"/>
      <c r="CZ1184" s="398">
        <f>51-51</f>
        <v>0</v>
      </c>
      <c r="DA1184" s="398">
        <f>5-5</f>
        <v>0</v>
      </c>
      <c r="DB1184" s="351">
        <f>DA1184</f>
        <v>0</v>
      </c>
      <c r="DC1184" s="351"/>
      <c r="DD1184" s="398">
        <f>51-51</f>
        <v>0</v>
      </c>
      <c r="DE1184" s="398">
        <f>5-5</f>
        <v>0</v>
      </c>
      <c r="DF1184" s="351">
        <f>DE1184</f>
        <v>0</v>
      </c>
      <c r="DG1184" s="351"/>
      <c r="DH1184" s="398">
        <f>51-51</f>
        <v>0</v>
      </c>
      <c r="DI1184" s="351">
        <f>DH1184</f>
        <v>0</v>
      </c>
      <c r="DJ1184" s="351">
        <f>DI1184</f>
        <v>0</v>
      </c>
      <c r="DK1184" s="351"/>
      <c r="DL1184" s="351">
        <f>DI1184</f>
        <v>0</v>
      </c>
      <c r="DM1184" s="351">
        <f>DL1184</f>
        <v>0</v>
      </c>
      <c r="DN1184" s="351">
        <f>DM1184</f>
        <v>0</v>
      </c>
      <c r="DO1184" s="351"/>
      <c r="DP1184" s="351">
        <f>DM1184</f>
        <v>0</v>
      </c>
      <c r="DQ1184" s="351">
        <f>DP1184</f>
        <v>0</v>
      </c>
      <c r="DR1184" s="351">
        <f>DQ1184</f>
        <v>0</v>
      </c>
      <c r="DS1184" s="351"/>
      <c r="DT1184" s="1"/>
      <c r="DU1184" s="1"/>
      <c r="DV1184" s="1"/>
      <c r="DW1184" s="1"/>
      <c r="DX1184" s="1"/>
      <c r="DY1184" s="1"/>
      <c r="DZ1184" s="1"/>
      <c r="EA1184" s="1"/>
      <c r="EB1184" s="1"/>
      <c r="EC1184" s="1"/>
      <c r="ED1184" s="1"/>
      <c r="EE1184" s="1"/>
      <c r="EF1184" s="1"/>
      <c r="EG1184" s="1"/>
      <c r="EH1184" s="1"/>
      <c r="EI1184" s="1"/>
      <c r="EJ1184" s="1"/>
      <c r="EK1184" s="1"/>
      <c r="EL1184" s="1"/>
      <c r="EM1184" s="1"/>
      <c r="EN1184" s="1"/>
      <c r="EO1184" s="1"/>
      <c r="EP1184" s="1"/>
      <c r="EQ1184" s="1"/>
      <c r="ER1184" s="1"/>
      <c r="ES1184" s="1"/>
      <c r="ET1184" s="1"/>
      <c r="EU1184" s="1"/>
      <c r="EV1184" s="1"/>
      <c r="EW1184" s="1"/>
      <c r="EX1184" s="1"/>
      <c r="EY1184" s="1"/>
      <c r="EZ1184" s="1"/>
      <c r="FA1184" s="1"/>
      <c r="FB1184" s="1"/>
      <c r="FC1184" s="1"/>
      <c r="FD1184" s="1"/>
      <c r="FE1184" s="1"/>
      <c r="FF1184" s="1"/>
      <c r="FG1184" s="1"/>
      <c r="FH1184" s="1"/>
      <c r="FI1184" s="1"/>
      <c r="FJ1184" s="1"/>
      <c r="FK1184" s="1"/>
      <c r="FL1184" s="1"/>
      <c r="FM1184" s="1"/>
      <c r="FN1184" s="1"/>
      <c r="FO1184" s="1"/>
      <c r="FP1184" s="1"/>
      <c r="FQ1184" s="1"/>
      <c r="FR1184" s="1"/>
      <c r="FS1184" s="1"/>
      <c r="FT1184" s="1"/>
      <c r="FU1184" s="1"/>
      <c r="FV1184" s="1"/>
      <c r="FW1184" s="1"/>
      <c r="FX1184" s="1"/>
      <c r="FY1184" s="1"/>
      <c r="FZ1184" s="1"/>
      <c r="GA1184" s="1"/>
      <c r="GB1184" s="1"/>
      <c r="GC1184" s="1"/>
      <c r="GD1184" s="1"/>
      <c r="GE1184" s="1"/>
      <c r="GF1184" s="1"/>
      <c r="GG1184" s="1"/>
      <c r="GH1184" s="1"/>
      <c r="GI1184" s="1"/>
      <c r="GJ1184" s="1"/>
      <c r="GK1184" s="1"/>
      <c r="GL1184" s="1"/>
      <c r="GM1184" s="1"/>
      <c r="GN1184" s="1"/>
      <c r="GO1184" s="1"/>
      <c r="GP1184" s="1"/>
      <c r="GQ1184" s="1"/>
      <c r="GR1184" s="1"/>
      <c r="GS1184" s="1"/>
      <c r="GT1184" s="1"/>
      <c r="GU1184" s="1"/>
      <c r="GV1184" s="1"/>
      <c r="GW1184" s="1"/>
      <c r="GX1184" s="1"/>
      <c r="GY1184" s="1"/>
      <c r="GZ1184" s="1"/>
      <c r="HA1184" s="1"/>
      <c r="HB1184" s="1"/>
      <c r="HC1184" s="1"/>
      <c r="HD1184" s="1"/>
      <c r="HE1184" s="1"/>
      <c r="HF1184" s="1"/>
      <c r="HG1184" s="1"/>
      <c r="HH1184" s="1"/>
      <c r="HI1184" s="1"/>
      <c r="HJ1184" s="1"/>
      <c r="HK1184" s="1"/>
      <c r="HL1184" s="1"/>
      <c r="HM1184" s="1"/>
      <c r="HN1184" s="1"/>
      <c r="HO1184" s="1"/>
      <c r="HP1184" s="1"/>
      <c r="HQ1184" s="1"/>
      <c r="HR1184" s="1"/>
      <c r="HS1184" s="1"/>
      <c r="HT1184" s="1"/>
      <c r="HU1184" s="1"/>
      <c r="HV1184" s="1"/>
      <c r="HW1184" s="1"/>
      <c r="HX1184" s="1"/>
      <c r="HY1184" s="1"/>
      <c r="HZ1184" s="1"/>
      <c r="IA1184" s="1"/>
      <c r="IB1184" s="1"/>
      <c r="IC1184" s="1"/>
      <c r="ID1184" s="1"/>
      <c r="IE1184" s="1"/>
      <c r="IF1184" s="1"/>
      <c r="IG1184" s="1"/>
      <c r="IH1184" s="1"/>
      <c r="II1184" s="1"/>
      <c r="IJ1184" s="1"/>
      <c r="IK1184" s="1"/>
      <c r="IL1184" s="1"/>
      <c r="IM1184" s="1"/>
      <c r="IN1184" s="1"/>
      <c r="IO1184" s="1"/>
      <c r="IP1184" s="1"/>
      <c r="IQ1184" s="1"/>
      <c r="IR1184" s="1"/>
      <c r="IS1184" s="1"/>
      <c r="IT1184" s="1"/>
      <c r="IU1184" s="1"/>
      <c r="IV1184" s="1"/>
      <c r="IW1184" s="1"/>
      <c r="IX1184" s="1"/>
      <c r="IY1184" s="1"/>
      <c r="IZ1184" s="1"/>
      <c r="JA1184" s="1"/>
      <c r="JB1184" s="1"/>
      <c r="JC1184" s="1"/>
      <c r="JD1184" s="1"/>
    </row>
    <row r="1185" spans="1:264" s="347" customFormat="1" x14ac:dyDescent="0.2">
      <c r="A1185" s="411" t="s">
        <v>797</v>
      </c>
      <c r="B1185" s="348"/>
      <c r="BE1185" s="397"/>
      <c r="BH1185" s="351"/>
      <c r="BI1185" s="397">
        <f>SUM(BI1181:BI1184)</f>
        <v>44069</v>
      </c>
      <c r="BJ1185" s="397">
        <f>SUM(BJ1181:BJ1184)</f>
        <v>44069</v>
      </c>
      <c r="BK1185" s="351"/>
      <c r="BL1185" s="397">
        <f>SUM(BL1181:BL1184)</f>
        <v>45324</v>
      </c>
      <c r="BM1185" s="397">
        <f>SUM(BM1181:BM1184)</f>
        <v>47748</v>
      </c>
      <c r="BN1185" s="397">
        <f>SUM(BN1181:BN1184)</f>
        <v>47748</v>
      </c>
      <c r="BO1185" s="351"/>
      <c r="BP1185" s="397">
        <f>SUM(BP1181:BP1184)</f>
        <v>49320</v>
      </c>
      <c r="BQ1185" s="397">
        <f>SUM(BQ1181:BQ1184)</f>
        <v>51149</v>
      </c>
      <c r="BR1185" s="397">
        <f>SUM(BR1181:BR1184)</f>
        <v>51149</v>
      </c>
      <c r="BS1185" s="351"/>
      <c r="BT1185" s="397">
        <f>SUM(BT1181:BT1184)</f>
        <v>58017</v>
      </c>
      <c r="BU1185" s="397">
        <f>SUM(BU1181:BU1184)</f>
        <v>59896</v>
      </c>
      <c r="BV1185" s="397">
        <f>SUM(BV1181:BV1184)</f>
        <v>59896</v>
      </c>
      <c r="BW1185" s="351"/>
      <c r="BX1185" s="397">
        <f>SUM(BX1181:BX1184)</f>
        <v>60802</v>
      </c>
      <c r="BY1185" s="397">
        <f>SUM(BY1181:BY1184)</f>
        <v>62791</v>
      </c>
      <c r="BZ1185" s="397">
        <f>SUM(BZ1181:BZ1184)</f>
        <v>62791</v>
      </c>
      <c r="CA1185" s="351"/>
      <c r="CB1185" s="397">
        <f>SUM(CB1181:CB1184)</f>
        <v>65281</v>
      </c>
      <c r="CC1185" s="397">
        <f>SUM(CC1181:CC1184)</f>
        <v>67149</v>
      </c>
      <c r="CD1185" s="397">
        <f>SUM(CD1181:CD1184)</f>
        <v>67149</v>
      </c>
      <c r="CE1185" s="351"/>
      <c r="CF1185" s="397">
        <f>SUM(CF1181:CF1184)</f>
        <v>67932</v>
      </c>
      <c r="CG1185" s="397">
        <f>SUM(CG1181:CG1184)</f>
        <v>69403</v>
      </c>
      <c r="CH1185" s="397">
        <f>SUM(CH1181:CH1184)</f>
        <v>69403</v>
      </c>
      <c r="CI1185" s="351"/>
      <c r="CJ1185" s="397">
        <f>SUM(CJ1181:CJ1184)</f>
        <v>70891</v>
      </c>
      <c r="CK1185" s="397">
        <f>SUM(CK1181:CK1184)</f>
        <v>71661</v>
      </c>
      <c r="CL1185" s="397">
        <f>SUM(CL1181:CL1184)</f>
        <v>71661</v>
      </c>
      <c r="CM1185" s="351"/>
      <c r="CN1185" s="397">
        <f>SUM(CN1181:CN1184)</f>
        <v>74551</v>
      </c>
      <c r="CO1185" s="397">
        <f>SUM(CO1181:CO1184)</f>
        <v>78239</v>
      </c>
      <c r="CP1185" s="397">
        <f>SUM(CP1181:CP1184)</f>
        <v>78239</v>
      </c>
      <c r="CQ1185" s="351"/>
      <c r="CR1185" s="397">
        <f>SUM(CR1181:CR1184)</f>
        <v>74542</v>
      </c>
      <c r="CS1185" s="397">
        <f>SUM(CS1181:CS1184)</f>
        <v>72728</v>
      </c>
      <c r="CT1185" s="397">
        <f>SUM(CT1181:CT1184)</f>
        <v>72728</v>
      </c>
      <c r="CU1185" s="351"/>
      <c r="CV1185" s="397">
        <f>SUM(CV1181:CV1184)</f>
        <v>72425</v>
      </c>
      <c r="CW1185" s="397">
        <f>SUM(CW1181:CW1184)</f>
        <v>71745</v>
      </c>
      <c r="CX1185" s="397">
        <f>SUM(CX1181:CX1184)</f>
        <v>71745</v>
      </c>
      <c r="CY1185" s="351"/>
      <c r="CZ1185" s="397">
        <f>SUM(CZ1181:CZ1184)</f>
        <v>72936</v>
      </c>
      <c r="DA1185" s="397">
        <f>SUM(DA1181:DA1184)</f>
        <v>73192</v>
      </c>
      <c r="DB1185" s="397">
        <f>SUM(DB1181:DB1184)</f>
        <v>73192</v>
      </c>
      <c r="DC1185" s="351"/>
      <c r="DD1185" s="397">
        <f>SUM(DD1181:DD1184)</f>
        <v>75393</v>
      </c>
      <c r="DE1185" s="397">
        <f>SUM(DE1181:DE1184)</f>
        <v>78928</v>
      </c>
      <c r="DF1185" s="397">
        <f>SUM(DF1181:DF1184)</f>
        <v>78928</v>
      </c>
      <c r="DG1185" s="351"/>
      <c r="DH1185" s="397">
        <f>SUM(DH1181:DH1184)</f>
        <v>77361</v>
      </c>
      <c r="DI1185" s="397">
        <f>SUM(DI1181:DI1184)</f>
        <v>79053.016849578707</v>
      </c>
      <c r="DJ1185" s="397">
        <f>SUM(DJ1181:DJ1184)</f>
        <v>79053.016849578707</v>
      </c>
      <c r="DK1185" s="351"/>
      <c r="DL1185" s="397">
        <f ca="1">SUM(DL1181:DL1184)</f>
        <v>80299.057431028938</v>
      </c>
      <c r="DM1185" s="397">
        <f ca="1">SUM(DM1181:DM1184)</f>
        <v>81825.111297174299</v>
      </c>
      <c r="DN1185" s="397">
        <f ca="1">SUM(DN1181:DN1184)</f>
        <v>81825.111297174299</v>
      </c>
      <c r="DO1185" s="351"/>
      <c r="DP1185" s="397">
        <f ca="1">SUM(DP1181:DP1184)</f>
        <v>82945.391055714426</v>
      </c>
      <c r="DQ1185" s="397">
        <f ca="1">SUM(DQ1181:DQ1184)</f>
        <v>84554.659927121276</v>
      </c>
      <c r="DR1185" s="397">
        <f ca="1">SUM(DR1181:DR1184)</f>
        <v>84554.659927121276</v>
      </c>
      <c r="DS1185" s="351"/>
      <c r="DT1185" s="1"/>
      <c r="DU1185" s="1"/>
      <c r="DV1185" s="1"/>
      <c r="DW1185" s="1"/>
      <c r="DX1185" s="1"/>
      <c r="DY1185" s="1"/>
      <c r="DZ1185" s="1"/>
      <c r="EA1185" s="1"/>
      <c r="EB1185" s="1"/>
      <c r="EC1185" s="1"/>
      <c r="ED1185" s="1"/>
      <c r="EE1185" s="1"/>
      <c r="EF1185" s="1"/>
      <c r="EG1185" s="1"/>
      <c r="EH1185" s="1"/>
      <c r="EI1185" s="1"/>
      <c r="EJ1185" s="1"/>
      <c r="EK1185" s="1"/>
      <c r="EL1185" s="1"/>
      <c r="EM1185" s="1"/>
      <c r="EN1185" s="1"/>
      <c r="EO1185" s="1"/>
      <c r="EP1185" s="1"/>
      <c r="EQ1185" s="1"/>
      <c r="ER1185" s="1"/>
      <c r="ES1185" s="1"/>
      <c r="ET1185" s="1"/>
      <c r="EU1185" s="1"/>
      <c r="EV1185" s="1"/>
      <c r="EW1185" s="1"/>
      <c r="EX1185" s="1"/>
      <c r="EY1185" s="1"/>
      <c r="EZ1185" s="1"/>
      <c r="FA1185" s="1"/>
      <c r="FB1185" s="1"/>
      <c r="FC1185" s="1"/>
      <c r="FD1185" s="1"/>
      <c r="FE1185" s="1"/>
      <c r="FF1185" s="1"/>
      <c r="FG1185" s="1"/>
      <c r="FH1185" s="1"/>
      <c r="FI1185" s="1"/>
      <c r="FJ1185" s="1"/>
      <c r="FK1185" s="1"/>
      <c r="FL1185" s="1"/>
      <c r="FM1185" s="1"/>
      <c r="FN1185" s="1"/>
      <c r="FO1185" s="1"/>
      <c r="FP1185" s="1"/>
      <c r="FQ1185" s="1"/>
      <c r="FR1185" s="1"/>
      <c r="FS1185" s="1"/>
      <c r="FT1185" s="1"/>
      <c r="FU1185" s="1"/>
      <c r="FV1185" s="1"/>
      <c r="FW1185" s="1"/>
      <c r="FX1185" s="1"/>
      <c r="FY1185" s="1"/>
      <c r="FZ1185" s="1"/>
      <c r="GA1185" s="1"/>
      <c r="GB1185" s="1"/>
      <c r="GC1185" s="1"/>
      <c r="GD1185" s="1"/>
      <c r="GE1185" s="1"/>
      <c r="GF1185" s="1"/>
      <c r="GG1185" s="1"/>
      <c r="GH1185" s="1"/>
      <c r="GI1185" s="1"/>
      <c r="GJ1185" s="1"/>
      <c r="GK1185" s="1"/>
      <c r="GL1185" s="1"/>
      <c r="GM1185" s="1"/>
      <c r="GN1185" s="1"/>
      <c r="GO1185" s="1"/>
      <c r="GP1185" s="1"/>
      <c r="GQ1185" s="1"/>
      <c r="GR1185" s="1"/>
      <c r="GS1185" s="1"/>
      <c r="GT1185" s="1"/>
      <c r="GU1185" s="1"/>
      <c r="GV1185" s="1"/>
      <c r="GW1185" s="1"/>
      <c r="GX1185" s="1"/>
      <c r="GY1185" s="1"/>
      <c r="GZ1185" s="1"/>
      <c r="HA1185" s="1"/>
      <c r="HB1185" s="1"/>
      <c r="HC1185" s="1"/>
      <c r="HD1185" s="1"/>
      <c r="HE1185" s="1"/>
      <c r="HF1185" s="1"/>
      <c r="HG1185" s="1"/>
      <c r="HH1185" s="1"/>
      <c r="HI1185" s="1"/>
      <c r="HJ1185" s="1"/>
      <c r="HK1185" s="1"/>
      <c r="HL1185" s="1"/>
      <c r="HM1185" s="1"/>
      <c r="HN1185" s="1"/>
      <c r="HO1185" s="1"/>
      <c r="HP1185" s="1"/>
      <c r="HQ1185" s="1"/>
      <c r="HR1185" s="1"/>
      <c r="HS1185" s="1"/>
      <c r="HT1185" s="1"/>
      <c r="HU1185" s="1"/>
      <c r="HV1185" s="1"/>
      <c r="HW1185" s="1"/>
      <c r="HX1185" s="1"/>
      <c r="HY1185" s="1"/>
      <c r="HZ1185" s="1"/>
      <c r="IA1185" s="1"/>
      <c r="IB1185" s="1"/>
      <c r="IC1185" s="1"/>
      <c r="ID1185" s="1"/>
      <c r="IE1185" s="1"/>
      <c r="IF1185" s="1"/>
      <c r="IG1185" s="1"/>
      <c r="IH1185" s="1"/>
      <c r="II1185" s="1"/>
      <c r="IJ1185" s="1"/>
      <c r="IK1185" s="1"/>
      <c r="IL1185" s="1"/>
      <c r="IM1185" s="1"/>
      <c r="IN1185" s="1"/>
      <c r="IO1185" s="1"/>
      <c r="IP1185" s="1"/>
      <c r="IQ1185" s="1"/>
      <c r="IR1185" s="1"/>
      <c r="IS1185" s="1"/>
      <c r="IT1185" s="1"/>
      <c r="IU1185" s="1"/>
      <c r="IV1185" s="1"/>
      <c r="IW1185" s="1"/>
      <c r="IX1185" s="1"/>
      <c r="IY1185" s="1"/>
      <c r="IZ1185" s="1"/>
      <c r="JA1185" s="1"/>
      <c r="JB1185" s="1"/>
      <c r="JC1185" s="1"/>
      <c r="JD1185" s="1"/>
    </row>
    <row r="1186" spans="1:264" s="347" customFormat="1" x14ac:dyDescent="0.2">
      <c r="A1186" s="347" t="s">
        <v>798</v>
      </c>
      <c r="B1186" s="348"/>
      <c r="BE1186" s="398">
        <v>-7705</v>
      </c>
      <c r="BF1186" s="351">
        <f t="shared" ref="BF1186:BF1194" si="904">BE1186</f>
        <v>-7705</v>
      </c>
      <c r="BH1186" s="351"/>
      <c r="BI1186" s="398">
        <v>-7723</v>
      </c>
      <c r="BJ1186" s="351">
        <f t="shared" si="902"/>
        <v>-7723</v>
      </c>
      <c r="BK1186" s="351"/>
      <c r="BL1186" s="398">
        <v>-7694</v>
      </c>
      <c r="BM1186" s="398">
        <v>-7566</v>
      </c>
      <c r="BN1186" s="351">
        <f t="shared" si="903"/>
        <v>-7566</v>
      </c>
      <c r="BO1186" s="351"/>
      <c r="BP1186" s="398">
        <v>-7576</v>
      </c>
      <c r="BQ1186" s="398">
        <v>-7599</v>
      </c>
      <c r="BR1186" s="351">
        <f t="shared" ref="BR1186:BR1194" si="905">BQ1186</f>
        <v>-7599</v>
      </c>
      <c r="BS1186" s="351"/>
      <c r="BT1186" s="398">
        <v>-7597</v>
      </c>
      <c r="BU1186" s="398">
        <v>-7603</v>
      </c>
      <c r="BV1186" s="351">
        <f t="shared" ref="BV1186:BV1194" si="906">BU1186</f>
        <v>-7603</v>
      </c>
      <c r="BW1186" s="351"/>
      <c r="BX1186" s="398">
        <v>-7624</v>
      </c>
      <c r="BY1186" s="398">
        <v>-7620</v>
      </c>
      <c r="BZ1186" s="351">
        <f t="shared" ref="BZ1186:BZ1194" si="907">BY1186</f>
        <v>-7620</v>
      </c>
      <c r="CA1186" s="351"/>
      <c r="CB1186" s="398">
        <v>-8051</v>
      </c>
      <c r="CC1186" s="398">
        <v>-8021</v>
      </c>
      <c r="CD1186" s="351">
        <f t="shared" ref="CD1186:CD1194" si="908">CC1186</f>
        <v>-8021</v>
      </c>
      <c r="CE1186" s="351"/>
      <c r="CF1186" s="398">
        <v>-7504</v>
      </c>
      <c r="CG1186" s="398">
        <v>-7680</v>
      </c>
      <c r="CH1186" s="351">
        <f t="shared" ref="CH1186:CH1194" si="909">CG1186</f>
        <v>-7680</v>
      </c>
      <c r="CI1186" s="351">
        <f>+CJ1186-CF1186</f>
        <v>1497</v>
      </c>
      <c r="CJ1186" s="398">
        <v>-6007</v>
      </c>
      <c r="CK1186" s="398">
        <v>-5988</v>
      </c>
      <c r="CL1186" s="351">
        <f t="shared" ref="CL1186:CL1194" si="910">CK1186</f>
        <v>-5988</v>
      </c>
      <c r="CM1186" s="351"/>
      <c r="CN1186" s="398">
        <v>-5997</v>
      </c>
      <c r="CO1186" s="398">
        <v>-6017</v>
      </c>
      <c r="CP1186" s="351">
        <f t="shared" ref="CP1186:CP1194" si="911">CO1186</f>
        <v>-6017</v>
      </c>
      <c r="CQ1186" s="351"/>
      <c r="CR1186" s="398">
        <v>-5330</v>
      </c>
      <c r="CS1186" s="398">
        <v>-5330</v>
      </c>
      <c r="CT1186" s="351">
        <f t="shared" ref="CT1186:CT1194" si="912">CS1186</f>
        <v>-5330</v>
      </c>
      <c r="CU1186" s="351"/>
      <c r="CV1186" s="398">
        <v>-5299</v>
      </c>
      <c r="CW1186" s="398">
        <v>-5295</v>
      </c>
      <c r="CX1186" s="351">
        <f t="shared" ref="CX1186:CX1194" si="913">CW1186</f>
        <v>-5295</v>
      </c>
      <c r="CY1186" s="351"/>
      <c r="CZ1186" s="398">
        <v>-5289</v>
      </c>
      <c r="DA1186" s="398">
        <v>-5285</v>
      </c>
      <c r="DB1186" s="351">
        <f t="shared" ref="DB1186:DB1194" si="914">DA1186</f>
        <v>-5285</v>
      </c>
      <c r="DC1186" s="351"/>
      <c r="DD1186" s="398">
        <v>-5282</v>
      </c>
      <c r="DE1186" s="398">
        <v>-5289</v>
      </c>
      <c r="DF1186" s="351">
        <f t="shared" ref="DF1186:DF1194" si="915">DE1186</f>
        <v>-5289</v>
      </c>
      <c r="DG1186" s="351"/>
      <c r="DH1186" s="398">
        <v>-5270</v>
      </c>
      <c r="DI1186" s="351">
        <f>-DI1212</f>
        <v>-5296.1334246575343</v>
      </c>
      <c r="DJ1186" s="351">
        <f t="shared" ref="DJ1186:DJ1191" si="916">DI1186</f>
        <v>-5296.1334246575343</v>
      </c>
      <c r="DK1186" s="351"/>
      <c r="DL1186" s="351">
        <f>-DL1212</f>
        <v>-5322.8317410996433</v>
      </c>
      <c r="DM1186" s="351">
        <f>-DM1212</f>
        <v>-5349.2271532952336</v>
      </c>
      <c r="DN1186" s="351">
        <f t="shared" ref="DN1186:DN1191" si="917">DM1186</f>
        <v>-5349.2271532952336</v>
      </c>
      <c r="DO1186" s="351"/>
      <c r="DP1186" s="351">
        <f>-DP1212</f>
        <v>-5376.1194428090676</v>
      </c>
      <c r="DQ1186" s="351">
        <f>-DQ1212</f>
        <v>-5402.8531515137465</v>
      </c>
      <c r="DR1186" s="351">
        <f t="shared" ref="DR1186:DR1191" si="918">DQ1186</f>
        <v>-5402.8531515137465</v>
      </c>
      <c r="DS1186" s="351"/>
      <c r="DT1186" s="1"/>
      <c r="DU1186" s="1"/>
      <c r="DV1186" s="1"/>
      <c r="DW1186" s="1"/>
      <c r="DX1186" s="1"/>
      <c r="DY1186" s="1"/>
      <c r="DZ1186" s="1"/>
      <c r="EA1186" s="1"/>
      <c r="EB1186" s="1"/>
      <c r="EC1186" s="1"/>
      <c r="ED1186" s="1"/>
      <c r="EE1186" s="1"/>
      <c r="EF1186" s="1"/>
      <c r="EG1186" s="1"/>
      <c r="EH1186" s="1"/>
      <c r="EI1186" s="1"/>
      <c r="EJ1186" s="1"/>
      <c r="EK1186" s="1"/>
      <c r="EL1186" s="1"/>
      <c r="EM1186" s="1"/>
      <c r="EN1186" s="1"/>
      <c r="EO1186" s="1"/>
      <c r="EP1186" s="1"/>
      <c r="EQ1186" s="1"/>
      <c r="ER1186" s="1"/>
      <c r="ES1186" s="1"/>
      <c r="ET1186" s="1"/>
      <c r="EU1186" s="1"/>
      <c r="EV1186" s="1"/>
      <c r="EW1186" s="1"/>
      <c r="EX1186" s="1"/>
      <c r="EY1186" s="1"/>
      <c r="EZ1186" s="1"/>
      <c r="FA1186" s="1"/>
      <c r="FB1186" s="1"/>
      <c r="FC1186" s="1"/>
      <c r="FD1186" s="1"/>
      <c r="FE1186" s="1"/>
      <c r="FF1186" s="1"/>
      <c r="FG1186" s="1"/>
      <c r="FH1186" s="1"/>
      <c r="FI1186" s="1"/>
      <c r="FJ1186" s="1"/>
      <c r="FK1186" s="1"/>
      <c r="FL1186" s="1"/>
      <c r="FM1186" s="1"/>
      <c r="FN1186" s="1"/>
      <c r="FO1186" s="1"/>
      <c r="FP1186" s="1"/>
      <c r="FQ1186" s="1"/>
      <c r="FR1186" s="1"/>
      <c r="FS1186" s="1"/>
      <c r="FT1186" s="1"/>
      <c r="FU1186" s="1"/>
      <c r="FV1186" s="1"/>
      <c r="FW1186" s="1"/>
      <c r="FX1186" s="1"/>
      <c r="FY1186" s="1"/>
      <c r="FZ1186" s="1"/>
      <c r="GA1186" s="1"/>
      <c r="GB1186" s="1"/>
      <c r="GC1186" s="1"/>
      <c r="GD1186" s="1"/>
      <c r="GE1186" s="1"/>
      <c r="GF1186" s="1"/>
      <c r="GG1186" s="1"/>
      <c r="GH1186" s="1"/>
      <c r="GI1186" s="1"/>
      <c r="GJ1186" s="1"/>
      <c r="GK1186" s="1"/>
      <c r="GL1186" s="1"/>
      <c r="GM1186" s="1"/>
      <c r="GN1186" s="1"/>
      <c r="GO1186" s="1"/>
      <c r="GP1186" s="1"/>
      <c r="GQ1186" s="1"/>
      <c r="GR1186" s="1"/>
      <c r="GS1186" s="1"/>
      <c r="GT1186" s="1"/>
      <c r="GU1186" s="1"/>
      <c r="GV1186" s="1"/>
      <c r="GW1186" s="1"/>
      <c r="GX1186" s="1"/>
      <c r="GY1186" s="1"/>
      <c r="GZ1186" s="1"/>
      <c r="HA1186" s="1"/>
      <c r="HB1186" s="1"/>
      <c r="HC1186" s="1"/>
      <c r="HD1186" s="1"/>
      <c r="HE1186" s="1"/>
      <c r="HF1186" s="1"/>
      <c r="HG1186" s="1"/>
      <c r="HH1186" s="1"/>
      <c r="HI1186" s="1"/>
      <c r="HJ1186" s="1"/>
      <c r="HK1186" s="1"/>
      <c r="HL1186" s="1"/>
      <c r="HM1186" s="1"/>
      <c r="HN1186" s="1"/>
      <c r="HO1186" s="1"/>
      <c r="HP1186" s="1"/>
      <c r="HQ1186" s="1"/>
      <c r="HR1186" s="1"/>
      <c r="HS1186" s="1"/>
      <c r="HT1186" s="1"/>
      <c r="HU1186" s="1"/>
      <c r="HV1186" s="1"/>
      <c r="HW1186" s="1"/>
      <c r="HX1186" s="1"/>
      <c r="HY1186" s="1"/>
      <c r="HZ1186" s="1"/>
      <c r="IA1186" s="1"/>
      <c r="IB1186" s="1"/>
      <c r="IC1186" s="1"/>
      <c r="ID1186" s="1"/>
      <c r="IE1186" s="1"/>
      <c r="IF1186" s="1"/>
      <c r="IG1186" s="1"/>
      <c r="IH1186" s="1"/>
      <c r="II1186" s="1"/>
      <c r="IJ1186" s="1"/>
      <c r="IK1186" s="1"/>
      <c r="IL1186" s="1"/>
      <c r="IM1186" s="1"/>
      <c r="IN1186" s="1"/>
      <c r="IO1186" s="1"/>
      <c r="IP1186" s="1"/>
      <c r="IQ1186" s="1"/>
      <c r="IR1186" s="1"/>
      <c r="IS1186" s="1"/>
      <c r="IT1186" s="1"/>
      <c r="IU1186" s="1"/>
      <c r="IV1186" s="1"/>
      <c r="IW1186" s="1"/>
      <c r="IX1186" s="1"/>
      <c r="IY1186" s="1"/>
      <c r="IZ1186" s="1"/>
      <c r="JA1186" s="1"/>
      <c r="JB1186" s="1"/>
      <c r="JC1186" s="1"/>
      <c r="JD1186" s="1"/>
    </row>
    <row r="1187" spans="1:264" s="347" customFormat="1" x14ac:dyDescent="0.2">
      <c r="A1187" s="347" t="s">
        <v>799</v>
      </c>
      <c r="B1187" s="348"/>
      <c r="BE1187" s="398">
        <v>-876</v>
      </c>
      <c r="BF1187" s="351">
        <f t="shared" si="904"/>
        <v>-876</v>
      </c>
      <c r="BH1187" s="351"/>
      <c r="BI1187" s="398">
        <v>-682</v>
      </c>
      <c r="BJ1187" s="351">
        <f t="shared" si="902"/>
        <v>-682</v>
      </c>
      <c r="BK1187" s="351"/>
      <c r="BL1187" s="398">
        <v>-644</v>
      </c>
      <c r="BM1187" s="398">
        <v>-295</v>
      </c>
      <c r="BN1187" s="351">
        <f t="shared" si="903"/>
        <v>-295</v>
      </c>
      <c r="BO1187" s="351"/>
      <c r="BP1187" s="398">
        <v>-225</v>
      </c>
      <c r="BQ1187" s="398">
        <v>-164</v>
      </c>
      <c r="BR1187" s="351">
        <f t="shared" si="905"/>
        <v>-164</v>
      </c>
      <c r="BS1187" s="351"/>
      <c r="BT1187" s="398">
        <v>-111</v>
      </c>
      <c r="BU1187" s="398">
        <v>0</v>
      </c>
      <c r="BV1187" s="351">
        <f t="shared" si="906"/>
        <v>0</v>
      </c>
      <c r="BW1187" s="351"/>
      <c r="BX1187" s="398">
        <v>0</v>
      </c>
      <c r="BY1187" s="398">
        <v>0</v>
      </c>
      <c r="BZ1187" s="351">
        <f t="shared" si="907"/>
        <v>0</v>
      </c>
      <c r="CA1187" s="351"/>
      <c r="CB1187" s="398">
        <v>0</v>
      </c>
      <c r="CC1187" s="398">
        <v>0</v>
      </c>
      <c r="CD1187" s="351">
        <f t="shared" si="908"/>
        <v>0</v>
      </c>
      <c r="CE1187" s="351"/>
      <c r="CF1187" s="398">
        <v>0</v>
      </c>
      <c r="CG1187" s="398">
        <v>0</v>
      </c>
      <c r="CH1187" s="351">
        <f t="shared" si="909"/>
        <v>0</v>
      </c>
      <c r="CI1187" s="351">
        <f t="shared" ref="CI1187:CI1194" si="919">+CJ1187-CF1187</f>
        <v>0</v>
      </c>
      <c r="CJ1187" s="398">
        <v>0</v>
      </c>
      <c r="CK1187" s="398">
        <v>0</v>
      </c>
      <c r="CL1187" s="351">
        <f t="shared" si="910"/>
        <v>0</v>
      </c>
      <c r="CM1187" s="351"/>
      <c r="CN1187" s="398">
        <v>0</v>
      </c>
      <c r="CO1187" s="398">
        <v>0</v>
      </c>
      <c r="CP1187" s="351">
        <f t="shared" si="911"/>
        <v>0</v>
      </c>
      <c r="CQ1187" s="351"/>
      <c r="CR1187" s="398">
        <v>0</v>
      </c>
      <c r="CS1187" s="398">
        <v>0</v>
      </c>
      <c r="CT1187" s="351">
        <f t="shared" si="912"/>
        <v>0</v>
      </c>
      <c r="CU1187" s="351"/>
      <c r="CV1187" s="398">
        <v>0</v>
      </c>
      <c r="CW1187" s="398">
        <v>0</v>
      </c>
      <c r="CX1187" s="351">
        <f t="shared" si="913"/>
        <v>0</v>
      </c>
      <c r="CY1187" s="351"/>
      <c r="CZ1187" s="398">
        <v>0</v>
      </c>
      <c r="DA1187" s="398">
        <v>0</v>
      </c>
      <c r="DB1187" s="351">
        <f t="shared" si="914"/>
        <v>0</v>
      </c>
      <c r="DC1187" s="351"/>
      <c r="DD1187" s="398">
        <v>0</v>
      </c>
      <c r="DE1187" s="398">
        <v>0</v>
      </c>
      <c r="DF1187" s="351">
        <f t="shared" si="915"/>
        <v>0</v>
      </c>
      <c r="DG1187" s="351"/>
      <c r="DH1187" s="398">
        <v>0</v>
      </c>
      <c r="DI1187" s="351">
        <f>-DI1221</f>
        <v>0</v>
      </c>
      <c r="DJ1187" s="351">
        <f t="shared" si="916"/>
        <v>0</v>
      </c>
      <c r="DK1187" s="351"/>
      <c r="DL1187" s="351">
        <f>-DL1221</f>
        <v>0</v>
      </c>
      <c r="DM1187" s="351">
        <f>-DM1221</f>
        <v>0</v>
      </c>
      <c r="DN1187" s="351">
        <f t="shared" si="917"/>
        <v>0</v>
      </c>
      <c r="DO1187" s="351"/>
      <c r="DP1187" s="351">
        <f>-DP1221</f>
        <v>0</v>
      </c>
      <c r="DQ1187" s="351">
        <f>-DQ1221</f>
        <v>0</v>
      </c>
      <c r="DR1187" s="351">
        <f t="shared" si="918"/>
        <v>0</v>
      </c>
      <c r="DS1187" s="351"/>
      <c r="DT1187" s="1"/>
      <c r="DU1187" s="1"/>
      <c r="DV1187" s="1"/>
      <c r="DW1187" s="1"/>
      <c r="DX1187" s="1"/>
      <c r="DY1187" s="1"/>
      <c r="DZ1187" s="1"/>
      <c r="EA1187" s="1"/>
      <c r="EB1187" s="1"/>
      <c r="EC1187" s="1"/>
      <c r="ED1187" s="1"/>
      <c r="EE1187" s="1"/>
      <c r="EF1187" s="1"/>
      <c r="EG1187" s="1"/>
      <c r="EH1187" s="1"/>
      <c r="EI1187" s="1"/>
      <c r="EJ1187" s="1"/>
      <c r="EK1187" s="1"/>
      <c r="EL1187" s="1"/>
      <c r="EM1187" s="1"/>
      <c r="EN1187" s="1"/>
      <c r="EO1187" s="1"/>
      <c r="EP1187" s="1"/>
      <c r="EQ1187" s="1"/>
      <c r="ER1187" s="1"/>
      <c r="ES1187" s="1"/>
      <c r="ET1187" s="1"/>
      <c r="EU1187" s="1"/>
      <c r="EV1187" s="1"/>
      <c r="EW1187" s="1"/>
      <c r="EX1187" s="1"/>
      <c r="EY1187" s="1"/>
      <c r="EZ1187" s="1"/>
      <c r="FA1187" s="1"/>
      <c r="FB1187" s="1"/>
      <c r="FC1187" s="1"/>
      <c r="FD1187" s="1"/>
      <c r="FE1187" s="1"/>
      <c r="FF1187" s="1"/>
      <c r="FG1187" s="1"/>
      <c r="FH1187" s="1"/>
      <c r="FI1187" s="1"/>
      <c r="FJ1187" s="1"/>
      <c r="FK1187" s="1"/>
      <c r="FL1187" s="1"/>
      <c r="FM1187" s="1"/>
      <c r="FN1187" s="1"/>
      <c r="FO1187" s="1"/>
      <c r="FP1187" s="1"/>
      <c r="FQ1187" s="1"/>
      <c r="FR1187" s="1"/>
      <c r="FS1187" s="1"/>
      <c r="FT1187" s="1"/>
      <c r="FU1187" s="1"/>
      <c r="FV1187" s="1"/>
      <c r="FW1187" s="1"/>
      <c r="FX1187" s="1"/>
      <c r="FY1187" s="1"/>
      <c r="FZ1187" s="1"/>
      <c r="GA1187" s="1"/>
      <c r="GB1187" s="1"/>
      <c r="GC1187" s="1"/>
      <c r="GD1187" s="1"/>
      <c r="GE1187" s="1"/>
      <c r="GF1187" s="1"/>
      <c r="GG1187" s="1"/>
      <c r="GH1187" s="1"/>
      <c r="GI1187" s="1"/>
      <c r="GJ1187" s="1"/>
      <c r="GK1187" s="1"/>
      <c r="GL1187" s="1"/>
      <c r="GM1187" s="1"/>
      <c r="GN1187" s="1"/>
      <c r="GO1187" s="1"/>
      <c r="GP1187" s="1"/>
      <c r="GQ1187" s="1"/>
      <c r="GR1187" s="1"/>
      <c r="GS1187" s="1"/>
      <c r="GT1187" s="1"/>
      <c r="GU1187" s="1"/>
      <c r="GV1187" s="1"/>
      <c r="GW1187" s="1"/>
      <c r="GX1187" s="1"/>
      <c r="GY1187" s="1"/>
      <c r="GZ1187" s="1"/>
      <c r="HA1187" s="1"/>
      <c r="HB1187" s="1"/>
      <c r="HC1187" s="1"/>
      <c r="HD1187" s="1"/>
      <c r="HE1187" s="1"/>
      <c r="HF1187" s="1"/>
      <c r="HG1187" s="1"/>
      <c r="HH1187" s="1"/>
      <c r="HI1187" s="1"/>
      <c r="HJ1187" s="1"/>
      <c r="HK1187" s="1"/>
      <c r="HL1187" s="1"/>
      <c r="HM1187" s="1"/>
      <c r="HN1187" s="1"/>
      <c r="HO1187" s="1"/>
      <c r="HP1187" s="1"/>
      <c r="HQ1187" s="1"/>
      <c r="HR1187" s="1"/>
      <c r="HS1187" s="1"/>
      <c r="HT1187" s="1"/>
      <c r="HU1187" s="1"/>
      <c r="HV1187" s="1"/>
      <c r="HW1187" s="1"/>
      <c r="HX1187" s="1"/>
      <c r="HY1187" s="1"/>
      <c r="HZ1187" s="1"/>
      <c r="IA1187" s="1"/>
      <c r="IB1187" s="1"/>
      <c r="IC1187" s="1"/>
      <c r="ID1187" s="1"/>
      <c r="IE1187" s="1"/>
      <c r="IF1187" s="1"/>
      <c r="IG1187" s="1"/>
      <c r="IH1187" s="1"/>
      <c r="II1187" s="1"/>
      <c r="IJ1187" s="1"/>
      <c r="IK1187" s="1"/>
      <c r="IL1187" s="1"/>
      <c r="IM1187" s="1"/>
      <c r="IN1187" s="1"/>
      <c r="IO1187" s="1"/>
      <c r="IP1187" s="1"/>
      <c r="IQ1187" s="1"/>
      <c r="IR1187" s="1"/>
      <c r="IS1187" s="1"/>
      <c r="IT1187" s="1"/>
      <c r="IU1187" s="1"/>
      <c r="IV1187" s="1"/>
      <c r="IW1187" s="1"/>
      <c r="IX1187" s="1"/>
      <c r="IY1187" s="1"/>
      <c r="IZ1187" s="1"/>
      <c r="JA1187" s="1"/>
      <c r="JB1187" s="1"/>
      <c r="JC1187" s="1"/>
      <c r="JD1187" s="1"/>
    </row>
    <row r="1188" spans="1:264" s="347" customFormat="1" x14ac:dyDescent="0.2">
      <c r="A1188" s="347" t="s">
        <v>800</v>
      </c>
      <c r="B1188" s="348"/>
      <c r="BE1188" s="398">
        <v>-263</v>
      </c>
      <c r="BF1188" s="351">
        <f t="shared" si="904"/>
        <v>-263</v>
      </c>
      <c r="BH1188" s="351"/>
      <c r="BI1188" s="398">
        <v>-272</v>
      </c>
      <c r="BJ1188" s="351">
        <f t="shared" si="902"/>
        <v>-272</v>
      </c>
      <c r="BK1188" s="351"/>
      <c r="BL1188" s="398">
        <v>-275</v>
      </c>
      <c r="BM1188" s="398">
        <v>-285</v>
      </c>
      <c r="BN1188" s="351">
        <f t="shared" si="903"/>
        <v>-285</v>
      </c>
      <c r="BO1188" s="351"/>
      <c r="BP1188" s="398">
        <v>-341</v>
      </c>
      <c r="BQ1188" s="398">
        <v>-337</v>
      </c>
      <c r="BR1188" s="351">
        <f t="shared" si="905"/>
        <v>-337</v>
      </c>
      <c r="BS1188" s="351"/>
      <c r="BT1188" s="398">
        <v>-331</v>
      </c>
      <c r="BU1188" s="398">
        <v>-535</v>
      </c>
      <c r="BV1188" s="351">
        <f t="shared" si="906"/>
        <v>-535</v>
      </c>
      <c r="BW1188" s="351"/>
      <c r="BX1188" s="398">
        <v>-696</v>
      </c>
      <c r="BY1188" s="398">
        <v>-707</v>
      </c>
      <c r="BZ1188" s="351">
        <f t="shared" si="907"/>
        <v>-707</v>
      </c>
      <c r="CA1188" s="351"/>
      <c r="CB1188" s="398">
        <v>-652</v>
      </c>
      <c r="CC1188" s="398">
        <v>-714</v>
      </c>
      <c r="CD1188" s="351">
        <f t="shared" si="908"/>
        <v>-714</v>
      </c>
      <c r="CE1188" s="351"/>
      <c r="CF1188" s="398">
        <v>-741</v>
      </c>
      <c r="CG1188" s="398">
        <v>-720</v>
      </c>
      <c r="CH1188" s="351">
        <f t="shared" si="909"/>
        <v>-720</v>
      </c>
      <c r="CI1188" s="351">
        <f t="shared" si="919"/>
        <v>-27</v>
      </c>
      <c r="CJ1188" s="398">
        <v>-768</v>
      </c>
      <c r="CK1188" s="398">
        <v>-765</v>
      </c>
      <c r="CL1188" s="351">
        <f t="shared" si="910"/>
        <v>-765</v>
      </c>
      <c r="CM1188" s="351"/>
      <c r="CN1188" s="398">
        <v>-833</v>
      </c>
      <c r="CO1188" s="398">
        <v>-938</v>
      </c>
      <c r="CP1188" s="351">
        <f t="shared" si="911"/>
        <v>-938</v>
      </c>
      <c r="CQ1188" s="351"/>
      <c r="CR1188" s="398">
        <v>-984</v>
      </c>
      <c r="CS1188" s="398">
        <v>-1056</v>
      </c>
      <c r="CT1188" s="351">
        <f t="shared" si="912"/>
        <v>-1056</v>
      </c>
      <c r="CU1188" s="351"/>
      <c r="CV1188" s="398">
        <v>-1155</v>
      </c>
      <c r="CW1188" s="398">
        <v>-1230</v>
      </c>
      <c r="CX1188" s="351">
        <f t="shared" si="913"/>
        <v>-1230</v>
      </c>
      <c r="CY1188" s="351"/>
      <c r="CZ1188" s="398">
        <v>-1239</v>
      </c>
      <c r="DA1188" s="398">
        <v>-1231</v>
      </c>
      <c r="DB1188" s="351">
        <f t="shared" si="914"/>
        <v>-1231</v>
      </c>
      <c r="DC1188" s="351"/>
      <c r="DD1188" s="398">
        <v>-1250</v>
      </c>
      <c r="DE1188" s="398">
        <v>-1317</v>
      </c>
      <c r="DF1188" s="351">
        <f t="shared" si="915"/>
        <v>-1317</v>
      </c>
      <c r="DG1188" s="351"/>
      <c r="DH1188" s="398">
        <v>-1381</v>
      </c>
      <c r="DI1188" s="351">
        <f>DH1188*(1+DI1264)</f>
        <v>-1394.81</v>
      </c>
      <c r="DJ1188" s="351">
        <f t="shared" si="916"/>
        <v>-1394.81</v>
      </c>
      <c r="DK1188" s="351"/>
      <c r="DL1188" s="351">
        <f>DI1188*(1+DL1264)</f>
        <v>-1408.7581</v>
      </c>
      <c r="DM1188" s="351">
        <f>DL1188*(1+DM1264)</f>
        <v>-1422.845681</v>
      </c>
      <c r="DN1188" s="351">
        <f t="shared" si="917"/>
        <v>-1422.845681</v>
      </c>
      <c r="DO1188" s="351"/>
      <c r="DP1188" s="351">
        <f>DM1188*(1+DP1264)</f>
        <v>-1437.0741378100001</v>
      </c>
      <c r="DQ1188" s="351">
        <f>DP1188*(1+DQ1264)</f>
        <v>-1451.4448791881002</v>
      </c>
      <c r="DR1188" s="351">
        <f t="shared" si="918"/>
        <v>-1451.4448791881002</v>
      </c>
      <c r="DS1188" s="351"/>
      <c r="DT1188" s="1"/>
      <c r="DU1188" s="1"/>
      <c r="DV1188" s="1"/>
      <c r="DW1188" s="1"/>
      <c r="DX1188" s="1"/>
      <c r="DY1188" s="1"/>
      <c r="DZ1188" s="1"/>
      <c r="EA1188" s="1"/>
      <c r="EB1188" s="1"/>
      <c r="EC1188" s="1"/>
      <c r="ED1188" s="1"/>
      <c r="EE1188" s="1"/>
      <c r="EF1188" s="1"/>
      <c r="EG1188" s="1"/>
      <c r="EH1188" s="1"/>
      <c r="EI1188" s="1"/>
      <c r="EJ1188" s="1"/>
      <c r="EK1188" s="1"/>
      <c r="EL1188" s="1"/>
      <c r="EM1188" s="1"/>
      <c r="EN1188" s="1"/>
      <c r="EO1188" s="1"/>
      <c r="EP1188" s="1"/>
      <c r="EQ1188" s="1"/>
      <c r="ER1188" s="1"/>
      <c r="ES1188" s="1"/>
      <c r="ET1188" s="1"/>
      <c r="EU1188" s="1"/>
      <c r="EV1188" s="1"/>
      <c r="EW1188" s="1"/>
      <c r="EX1188" s="1"/>
      <c r="EY1188" s="1"/>
      <c r="EZ1188" s="1"/>
      <c r="FA1188" s="1"/>
      <c r="FB1188" s="1"/>
      <c r="FC1188" s="1"/>
      <c r="FD1188" s="1"/>
      <c r="FE1188" s="1"/>
      <c r="FF1188" s="1"/>
      <c r="FG1188" s="1"/>
      <c r="FH1188" s="1"/>
      <c r="FI1188" s="1"/>
      <c r="FJ1188" s="1"/>
      <c r="FK1188" s="1"/>
      <c r="FL1188" s="1"/>
      <c r="FM1188" s="1"/>
      <c r="FN1188" s="1"/>
      <c r="FO1188" s="1"/>
      <c r="FP1188" s="1"/>
      <c r="FQ1188" s="1"/>
      <c r="FR1188" s="1"/>
      <c r="FS1188" s="1"/>
      <c r="FT1188" s="1"/>
      <c r="FU1188" s="1"/>
      <c r="FV1188" s="1"/>
      <c r="FW1188" s="1"/>
      <c r="FX1188" s="1"/>
      <c r="FY1188" s="1"/>
      <c r="FZ1188" s="1"/>
      <c r="GA1188" s="1"/>
      <c r="GB1188" s="1"/>
      <c r="GC1188" s="1"/>
      <c r="GD1188" s="1"/>
      <c r="GE1188" s="1"/>
      <c r="GF1188" s="1"/>
      <c r="GG1188" s="1"/>
      <c r="GH1188" s="1"/>
      <c r="GI1188" s="1"/>
      <c r="GJ1188" s="1"/>
      <c r="GK1188" s="1"/>
      <c r="GL1188" s="1"/>
      <c r="GM1188" s="1"/>
      <c r="GN1188" s="1"/>
      <c r="GO1188" s="1"/>
      <c r="GP1188" s="1"/>
      <c r="GQ1188" s="1"/>
      <c r="GR1188" s="1"/>
      <c r="GS1188" s="1"/>
      <c r="GT1188" s="1"/>
      <c r="GU1188" s="1"/>
      <c r="GV1188" s="1"/>
      <c r="GW1188" s="1"/>
      <c r="GX1188" s="1"/>
      <c r="GY1188" s="1"/>
      <c r="GZ1188" s="1"/>
      <c r="HA1188" s="1"/>
      <c r="HB1188" s="1"/>
      <c r="HC1188" s="1"/>
      <c r="HD1188" s="1"/>
      <c r="HE1188" s="1"/>
      <c r="HF1188" s="1"/>
      <c r="HG1188" s="1"/>
      <c r="HH1188" s="1"/>
      <c r="HI1188" s="1"/>
      <c r="HJ1188" s="1"/>
      <c r="HK1188" s="1"/>
      <c r="HL1188" s="1"/>
      <c r="HM1188" s="1"/>
      <c r="HN1188" s="1"/>
      <c r="HO1188" s="1"/>
      <c r="HP1188" s="1"/>
      <c r="HQ1188" s="1"/>
      <c r="HR1188" s="1"/>
      <c r="HS1188" s="1"/>
      <c r="HT1188" s="1"/>
      <c r="HU1188" s="1"/>
      <c r="HV1188" s="1"/>
      <c r="HW1188" s="1"/>
      <c r="HX1188" s="1"/>
      <c r="HY1188" s="1"/>
      <c r="HZ1188" s="1"/>
      <c r="IA1188" s="1"/>
      <c r="IB1188" s="1"/>
      <c r="IC1188" s="1"/>
      <c r="ID1188" s="1"/>
      <c r="IE1188" s="1"/>
      <c r="IF1188" s="1"/>
      <c r="IG1188" s="1"/>
      <c r="IH1188" s="1"/>
      <c r="II1188" s="1"/>
      <c r="IJ1188" s="1"/>
      <c r="IK1188" s="1"/>
      <c r="IL1188" s="1"/>
      <c r="IM1188" s="1"/>
      <c r="IN1188" s="1"/>
      <c r="IO1188" s="1"/>
      <c r="IP1188" s="1"/>
      <c r="IQ1188" s="1"/>
      <c r="IR1188" s="1"/>
      <c r="IS1188" s="1"/>
      <c r="IT1188" s="1"/>
      <c r="IU1188" s="1"/>
      <c r="IV1188" s="1"/>
      <c r="IW1188" s="1"/>
      <c r="IX1188" s="1"/>
      <c r="IY1188" s="1"/>
      <c r="IZ1188" s="1"/>
      <c r="JA1188" s="1"/>
      <c r="JB1188" s="1"/>
      <c r="JC1188" s="1"/>
      <c r="JD1188" s="1"/>
    </row>
    <row r="1189" spans="1:264" s="347" customFormat="1" x14ac:dyDescent="0.2">
      <c r="A1189" s="347" t="s">
        <v>801</v>
      </c>
      <c r="B1189" s="348"/>
      <c r="BE1189" s="398">
        <v>-1700</v>
      </c>
      <c r="BF1189" s="351">
        <f t="shared" si="904"/>
        <v>-1700</v>
      </c>
      <c r="BH1189" s="351"/>
      <c r="BI1189" s="398">
        <v>-1923</v>
      </c>
      <c r="BJ1189" s="351">
        <f t="shared" si="902"/>
        <v>-1923</v>
      </c>
      <c r="BK1189" s="351"/>
      <c r="BL1189" s="398">
        <v>-1950</v>
      </c>
      <c r="BM1189" s="398">
        <v>-1854</v>
      </c>
      <c r="BN1189" s="351">
        <f t="shared" si="903"/>
        <v>-1854</v>
      </c>
      <c r="BO1189" s="351"/>
      <c r="BP1189" s="398">
        <v>-1979</v>
      </c>
      <c r="BQ1189" s="398">
        <v>-2089</v>
      </c>
      <c r="BR1189" s="351">
        <f t="shared" si="905"/>
        <v>-2089</v>
      </c>
      <c r="BS1189" s="351"/>
      <c r="BT1189" s="398">
        <v>-2183</v>
      </c>
      <c r="BU1189" s="398">
        <v>-2313</v>
      </c>
      <c r="BV1189" s="351">
        <f t="shared" si="906"/>
        <v>-2313</v>
      </c>
      <c r="BW1189" s="351"/>
      <c r="BX1189" s="398">
        <v>-2104</v>
      </c>
      <c r="BY1189" s="398">
        <v>-2144</v>
      </c>
      <c r="BZ1189" s="351">
        <f t="shared" si="907"/>
        <v>-2144</v>
      </c>
      <c r="CA1189" s="351"/>
      <c r="CB1189" s="398">
        <v>-2314</v>
      </c>
      <c r="CC1189" s="398">
        <v>-2124</v>
      </c>
      <c r="CD1189" s="351">
        <f t="shared" si="908"/>
        <v>-2124</v>
      </c>
      <c r="CE1189" s="351"/>
      <c r="CF1189" s="398">
        <v>-2108</v>
      </c>
      <c r="CG1189" s="398">
        <v>-2013</v>
      </c>
      <c r="CH1189" s="351">
        <f t="shared" si="909"/>
        <v>-2013</v>
      </c>
      <c r="CI1189" s="351">
        <f t="shared" si="919"/>
        <v>443</v>
      </c>
      <c r="CJ1189" s="398">
        <v>-1665</v>
      </c>
      <c r="CK1189" s="398">
        <v>-1541</v>
      </c>
      <c r="CL1189" s="351">
        <f t="shared" si="910"/>
        <v>-1541</v>
      </c>
      <c r="CM1189" s="351"/>
      <c r="CN1189" s="398">
        <v>-1579</v>
      </c>
      <c r="CO1189" s="398">
        <v>-1570</v>
      </c>
      <c r="CP1189" s="351">
        <f t="shared" si="911"/>
        <v>-1570</v>
      </c>
      <c r="CQ1189" s="351"/>
      <c r="CR1189" s="398">
        <v>-1722</v>
      </c>
      <c r="CS1189" s="398">
        <v>-1548</v>
      </c>
      <c r="CT1189" s="351">
        <f t="shared" si="912"/>
        <v>-1548</v>
      </c>
      <c r="CU1189" s="351"/>
      <c r="CV1189" s="398">
        <v>-1782</v>
      </c>
      <c r="CW1189" s="398">
        <v>-2042</v>
      </c>
      <c r="CX1189" s="351">
        <f t="shared" si="913"/>
        <v>-2042</v>
      </c>
      <c r="CY1189" s="351"/>
      <c r="CZ1189" s="398">
        <v>-2165</v>
      </c>
      <c r="DA1189" s="398">
        <v>-2259</v>
      </c>
      <c r="DB1189" s="351">
        <f t="shared" si="914"/>
        <v>-2259</v>
      </c>
      <c r="DC1189" s="351"/>
      <c r="DD1189" s="398">
        <v>-2446</v>
      </c>
      <c r="DE1189" s="398">
        <v>-2737</v>
      </c>
      <c r="DF1189" s="351">
        <f t="shared" si="915"/>
        <v>-2737</v>
      </c>
      <c r="DG1189" s="351"/>
      <c r="DH1189" s="398">
        <v>-2970</v>
      </c>
      <c r="DI1189" s="351">
        <f>-DI1217</f>
        <v>-3181.826773721752</v>
      </c>
      <c r="DJ1189" s="351">
        <f t="shared" si="916"/>
        <v>-3181.826773721752</v>
      </c>
      <c r="DK1189" s="351"/>
      <c r="DL1189" s="351">
        <f>-DL1217</f>
        <v>-3366.7945077203535</v>
      </c>
      <c r="DM1189" s="351">
        <f>-DM1217</f>
        <v>-3536.8473741171415</v>
      </c>
      <c r="DN1189" s="351">
        <f t="shared" si="917"/>
        <v>-3536.8473741171415</v>
      </c>
      <c r="DO1189" s="351"/>
      <c r="DP1189" s="351">
        <f>-DP1217</f>
        <v>-3644.1176283578197</v>
      </c>
      <c r="DQ1189" s="351">
        <f>-DQ1217</f>
        <v>-3744.7510139482924</v>
      </c>
      <c r="DR1189" s="351">
        <f t="shared" si="918"/>
        <v>-3744.7510139482924</v>
      </c>
      <c r="DS1189" s="351"/>
      <c r="DT1189" s="1"/>
      <c r="DU1189" s="1"/>
      <c r="DV1189" s="1"/>
      <c r="DW1189" s="1"/>
      <c r="DX1189" s="1"/>
      <c r="DY1189" s="1"/>
      <c r="DZ1189" s="1"/>
      <c r="EA1189" s="1"/>
      <c r="EB1189" s="1"/>
      <c r="EC1189" s="1"/>
      <c r="ED1189" s="1"/>
      <c r="EE1189" s="1"/>
      <c r="EF1189" s="1"/>
      <c r="EG1189" s="1"/>
      <c r="EH1189" s="1"/>
      <c r="EI1189" s="1"/>
      <c r="EJ1189" s="1"/>
      <c r="EK1189" s="1"/>
      <c r="EL1189" s="1"/>
      <c r="EM1189" s="1"/>
      <c r="EN1189" s="1"/>
      <c r="EO1189" s="1"/>
      <c r="EP1189" s="1"/>
      <c r="EQ1189" s="1"/>
      <c r="ER1189" s="1"/>
      <c r="ES1189" s="1"/>
      <c r="ET1189" s="1"/>
      <c r="EU1189" s="1"/>
      <c r="EV1189" s="1"/>
      <c r="EW1189" s="1"/>
      <c r="EX1189" s="1"/>
      <c r="EY1189" s="1"/>
      <c r="EZ1189" s="1"/>
      <c r="FA1189" s="1"/>
      <c r="FB1189" s="1"/>
      <c r="FC1189" s="1"/>
      <c r="FD1189" s="1"/>
      <c r="FE1189" s="1"/>
      <c r="FF1189" s="1"/>
      <c r="FG1189" s="1"/>
      <c r="FH1189" s="1"/>
      <c r="FI1189" s="1"/>
      <c r="FJ1189" s="1"/>
      <c r="FK1189" s="1"/>
      <c r="FL1189" s="1"/>
      <c r="FM1189" s="1"/>
      <c r="FN1189" s="1"/>
      <c r="FO1189" s="1"/>
      <c r="FP1189" s="1"/>
      <c r="FQ1189" s="1"/>
      <c r="FR1189" s="1"/>
      <c r="FS1189" s="1"/>
      <c r="FT1189" s="1"/>
      <c r="FU1189" s="1"/>
      <c r="FV1189" s="1"/>
      <c r="FW1189" s="1"/>
      <c r="FX1189" s="1"/>
      <c r="FY1189" s="1"/>
      <c r="FZ1189" s="1"/>
      <c r="GA1189" s="1"/>
      <c r="GB1189" s="1"/>
      <c r="GC1189" s="1"/>
      <c r="GD1189" s="1"/>
      <c r="GE1189" s="1"/>
      <c r="GF1189" s="1"/>
      <c r="GG1189" s="1"/>
      <c r="GH1189" s="1"/>
      <c r="GI1189" s="1"/>
      <c r="GJ1189" s="1"/>
      <c r="GK1189" s="1"/>
      <c r="GL1189" s="1"/>
      <c r="GM1189" s="1"/>
      <c r="GN1189" s="1"/>
      <c r="GO1189" s="1"/>
      <c r="GP1189" s="1"/>
      <c r="GQ1189" s="1"/>
      <c r="GR1189" s="1"/>
      <c r="GS1189" s="1"/>
      <c r="GT1189" s="1"/>
      <c r="GU1189" s="1"/>
      <c r="GV1189" s="1"/>
      <c r="GW1189" s="1"/>
      <c r="GX1189" s="1"/>
      <c r="GY1189" s="1"/>
      <c r="GZ1189" s="1"/>
      <c r="HA1189" s="1"/>
      <c r="HB1189" s="1"/>
      <c r="HC1189" s="1"/>
      <c r="HD1189" s="1"/>
      <c r="HE1189" s="1"/>
      <c r="HF1189" s="1"/>
      <c r="HG1189" s="1"/>
      <c r="HH1189" s="1"/>
      <c r="HI1189" s="1"/>
      <c r="HJ1189" s="1"/>
      <c r="HK1189" s="1"/>
      <c r="HL1189" s="1"/>
      <c r="HM1189" s="1"/>
      <c r="HN1189" s="1"/>
      <c r="HO1189" s="1"/>
      <c r="HP1189" s="1"/>
      <c r="HQ1189" s="1"/>
      <c r="HR1189" s="1"/>
      <c r="HS1189" s="1"/>
      <c r="HT1189" s="1"/>
      <c r="HU1189" s="1"/>
      <c r="HV1189" s="1"/>
      <c r="HW1189" s="1"/>
      <c r="HX1189" s="1"/>
      <c r="HY1189" s="1"/>
      <c r="HZ1189" s="1"/>
      <c r="IA1189" s="1"/>
      <c r="IB1189" s="1"/>
      <c r="IC1189" s="1"/>
      <c r="ID1189" s="1"/>
      <c r="IE1189" s="1"/>
      <c r="IF1189" s="1"/>
      <c r="IG1189" s="1"/>
      <c r="IH1189" s="1"/>
      <c r="II1189" s="1"/>
      <c r="IJ1189" s="1"/>
      <c r="IK1189" s="1"/>
      <c r="IL1189" s="1"/>
      <c r="IM1189" s="1"/>
      <c r="IN1189" s="1"/>
      <c r="IO1189" s="1"/>
      <c r="IP1189" s="1"/>
      <c r="IQ1189" s="1"/>
      <c r="IR1189" s="1"/>
      <c r="IS1189" s="1"/>
      <c r="IT1189" s="1"/>
      <c r="IU1189" s="1"/>
      <c r="IV1189" s="1"/>
      <c r="IW1189" s="1"/>
      <c r="IX1189" s="1"/>
      <c r="IY1189" s="1"/>
      <c r="IZ1189" s="1"/>
      <c r="JA1189" s="1"/>
      <c r="JB1189" s="1"/>
      <c r="JC1189" s="1"/>
      <c r="JD1189" s="1"/>
    </row>
    <row r="1190" spans="1:264" s="347" customFormat="1" x14ac:dyDescent="0.2">
      <c r="A1190" s="347" t="s">
        <v>802</v>
      </c>
      <c r="B1190" s="348"/>
      <c r="BE1190" s="398">
        <v>-612</v>
      </c>
      <c r="BF1190" s="351">
        <f t="shared" si="904"/>
        <v>-612</v>
      </c>
      <c r="BH1190" s="351"/>
      <c r="BI1190" s="398">
        <v>-2738</v>
      </c>
      <c r="BJ1190" s="351">
        <f t="shared" si="902"/>
        <v>-2738</v>
      </c>
      <c r="BK1190" s="351"/>
      <c r="BL1190" s="398">
        <v>-2924</v>
      </c>
      <c r="BM1190" s="398">
        <v>-2589</v>
      </c>
      <c r="BN1190" s="351">
        <f t="shared" si="903"/>
        <v>-2589</v>
      </c>
      <c r="BO1190" s="351"/>
      <c r="BP1190" s="398">
        <v>-2990</v>
      </c>
      <c r="BQ1190" s="398">
        <v>-3179</v>
      </c>
      <c r="BR1190" s="351">
        <f t="shared" si="905"/>
        <v>-3179</v>
      </c>
      <c r="BS1190" s="351"/>
      <c r="BT1190" s="398">
        <v>-3263</v>
      </c>
      <c r="BU1190" s="398">
        <v>-3120</v>
      </c>
      <c r="BV1190" s="351">
        <f t="shared" si="906"/>
        <v>-3120</v>
      </c>
      <c r="BW1190" s="351"/>
      <c r="BX1190" s="398">
        <v>-2741</v>
      </c>
      <c r="BY1190" s="398">
        <v>-2626</v>
      </c>
      <c r="BZ1190" s="351">
        <f t="shared" si="907"/>
        <v>-2626</v>
      </c>
      <c r="CA1190" s="351"/>
      <c r="CB1190" s="398">
        <v>-2683</v>
      </c>
      <c r="CC1190" s="398">
        <v>-2967</v>
      </c>
      <c r="CD1190" s="351">
        <f t="shared" si="908"/>
        <v>-2967</v>
      </c>
      <c r="CE1190" s="351"/>
      <c r="CF1190" s="398">
        <v>-3113</v>
      </c>
      <c r="CG1190" s="398">
        <v>-3088</v>
      </c>
      <c r="CH1190" s="351">
        <f t="shared" si="909"/>
        <v>-3088</v>
      </c>
      <c r="CI1190" s="351">
        <f t="shared" si="919"/>
        <v>-466</v>
      </c>
      <c r="CJ1190" s="398">
        <v>-3579</v>
      </c>
      <c r="CK1190" s="398">
        <v>-3648</v>
      </c>
      <c r="CL1190" s="351">
        <f t="shared" si="910"/>
        <v>-3648</v>
      </c>
      <c r="CM1190" s="351"/>
      <c r="CN1190" s="398">
        <v>-3924</v>
      </c>
      <c r="CO1190" s="398">
        <v>-6782</v>
      </c>
      <c r="CP1190" s="351">
        <f t="shared" si="911"/>
        <v>-6782</v>
      </c>
      <c r="CQ1190" s="351"/>
      <c r="CR1190" s="398">
        <v>-8017</v>
      </c>
      <c r="CS1190" s="398">
        <v>-4651</v>
      </c>
      <c r="CT1190" s="351">
        <f t="shared" si="912"/>
        <v>-4651</v>
      </c>
      <c r="CU1190" s="351"/>
      <c r="CV1190" s="398">
        <v>-4127</v>
      </c>
      <c r="CW1190" s="398">
        <v>-3947</v>
      </c>
      <c r="CX1190" s="351">
        <f t="shared" si="913"/>
        <v>-3947</v>
      </c>
      <c r="CY1190" s="351"/>
      <c r="CZ1190" s="398">
        <v>-4046</v>
      </c>
      <c r="DA1190" s="398">
        <v>-4214</v>
      </c>
      <c r="DB1190" s="351">
        <f t="shared" si="914"/>
        <v>-4214</v>
      </c>
      <c r="DC1190" s="351"/>
      <c r="DD1190" s="398">
        <v>-4225</v>
      </c>
      <c r="DE1190" s="398">
        <v>-3260</v>
      </c>
      <c r="DF1190" s="351">
        <f t="shared" si="915"/>
        <v>-3260</v>
      </c>
      <c r="DG1190" s="351"/>
      <c r="DH1190" s="398">
        <v>-3289</v>
      </c>
      <c r="DI1190" s="351">
        <f>-DI1259</f>
        <v>-3298.9500000000003</v>
      </c>
      <c r="DJ1190" s="351">
        <f t="shared" si="916"/>
        <v>-3298.9500000000003</v>
      </c>
      <c r="DK1190" s="351"/>
      <c r="DL1190" s="351">
        <f>-DL1259</f>
        <v>-3309.6573000000003</v>
      </c>
      <c r="DM1190" s="351">
        <f>-DM1259</f>
        <v>-3321.1314630000006</v>
      </c>
      <c r="DN1190" s="351">
        <f t="shared" si="917"/>
        <v>-3321.1314630000006</v>
      </c>
      <c r="DO1190" s="351"/>
      <c r="DP1190" s="351">
        <f>-DP1259</f>
        <v>-3333.3822990900007</v>
      </c>
      <c r="DQ1190" s="351">
        <f>-DQ1259</f>
        <v>-3346.4198698335008</v>
      </c>
      <c r="DR1190" s="351">
        <f t="shared" si="918"/>
        <v>-3346.4198698335008</v>
      </c>
      <c r="DS1190" s="351"/>
      <c r="DT1190" s="1"/>
      <c r="DU1190" s="1"/>
      <c r="DV1190" s="1"/>
      <c r="DW1190" s="1"/>
      <c r="DX1190" s="1"/>
      <c r="DY1190" s="1"/>
      <c r="DZ1190" s="1"/>
      <c r="EA1190" s="1"/>
      <c r="EB1190" s="1"/>
      <c r="EC1190" s="1"/>
      <c r="ED1190" s="1"/>
      <c r="EE1190" s="1"/>
      <c r="EF1190" s="1"/>
      <c r="EG1190" s="1"/>
      <c r="EH1190" s="1"/>
      <c r="EI1190" s="1"/>
      <c r="EJ1190" s="1"/>
      <c r="EK1190" s="1"/>
      <c r="EL1190" s="1"/>
      <c r="EM1190" s="1"/>
      <c r="EN1190" s="1"/>
      <c r="EO1190" s="1"/>
      <c r="EP1190" s="1"/>
      <c r="EQ1190" s="1"/>
      <c r="ER1190" s="1"/>
      <c r="ES1190" s="1"/>
      <c r="ET1190" s="1"/>
      <c r="EU1190" s="1"/>
      <c r="EV1190" s="1"/>
      <c r="EW1190" s="1"/>
      <c r="EX1190" s="1"/>
      <c r="EY1190" s="1"/>
      <c r="EZ1190" s="1"/>
      <c r="FA1190" s="1"/>
      <c r="FB1190" s="1"/>
      <c r="FC1190" s="1"/>
      <c r="FD1190" s="1"/>
      <c r="FE1190" s="1"/>
      <c r="FF1190" s="1"/>
      <c r="FG1190" s="1"/>
      <c r="FH1190" s="1"/>
      <c r="FI1190" s="1"/>
      <c r="FJ1190" s="1"/>
      <c r="FK1190" s="1"/>
      <c r="FL1190" s="1"/>
      <c r="FM1190" s="1"/>
      <c r="FN1190" s="1"/>
      <c r="FO1190" s="1"/>
      <c r="FP1190" s="1"/>
      <c r="FQ1190" s="1"/>
      <c r="FR1190" s="1"/>
      <c r="FS1190" s="1"/>
      <c r="FT1190" s="1"/>
      <c r="FU1190" s="1"/>
      <c r="FV1190" s="1"/>
      <c r="FW1190" s="1"/>
      <c r="FX1190" s="1"/>
      <c r="FY1190" s="1"/>
      <c r="FZ1190" s="1"/>
      <c r="GA1190" s="1"/>
      <c r="GB1190" s="1"/>
      <c r="GC1190" s="1"/>
      <c r="GD1190" s="1"/>
      <c r="GE1190" s="1"/>
      <c r="GF1190" s="1"/>
      <c r="GG1190" s="1"/>
      <c r="GH1190" s="1"/>
      <c r="GI1190" s="1"/>
      <c r="GJ1190" s="1"/>
      <c r="GK1190" s="1"/>
      <c r="GL1190" s="1"/>
      <c r="GM1190" s="1"/>
      <c r="GN1190" s="1"/>
      <c r="GO1190" s="1"/>
      <c r="GP1190" s="1"/>
      <c r="GQ1190" s="1"/>
      <c r="GR1190" s="1"/>
      <c r="GS1190" s="1"/>
      <c r="GT1190" s="1"/>
      <c r="GU1190" s="1"/>
      <c r="GV1190" s="1"/>
      <c r="GW1190" s="1"/>
      <c r="GX1190" s="1"/>
      <c r="GY1190" s="1"/>
      <c r="GZ1190" s="1"/>
      <c r="HA1190" s="1"/>
      <c r="HB1190" s="1"/>
      <c r="HC1190" s="1"/>
      <c r="HD1190" s="1"/>
      <c r="HE1190" s="1"/>
      <c r="HF1190" s="1"/>
      <c r="HG1190" s="1"/>
      <c r="HH1190" s="1"/>
      <c r="HI1190" s="1"/>
      <c r="HJ1190" s="1"/>
      <c r="HK1190" s="1"/>
      <c r="HL1190" s="1"/>
      <c r="HM1190" s="1"/>
      <c r="HN1190" s="1"/>
      <c r="HO1190" s="1"/>
      <c r="HP1190" s="1"/>
      <c r="HQ1190" s="1"/>
      <c r="HR1190" s="1"/>
      <c r="HS1190" s="1"/>
      <c r="HT1190" s="1"/>
      <c r="HU1190" s="1"/>
      <c r="HV1190" s="1"/>
      <c r="HW1190" s="1"/>
      <c r="HX1190" s="1"/>
      <c r="HY1190" s="1"/>
      <c r="HZ1190" s="1"/>
      <c r="IA1190" s="1"/>
      <c r="IB1190" s="1"/>
      <c r="IC1190" s="1"/>
      <c r="ID1190" s="1"/>
      <c r="IE1190" s="1"/>
      <c r="IF1190" s="1"/>
      <c r="IG1190" s="1"/>
      <c r="IH1190" s="1"/>
      <c r="II1190" s="1"/>
      <c r="IJ1190" s="1"/>
      <c r="IK1190" s="1"/>
      <c r="IL1190" s="1"/>
      <c r="IM1190" s="1"/>
      <c r="IN1190" s="1"/>
      <c r="IO1190" s="1"/>
      <c r="IP1190" s="1"/>
      <c r="IQ1190" s="1"/>
      <c r="IR1190" s="1"/>
      <c r="IS1190" s="1"/>
      <c r="IT1190" s="1"/>
      <c r="IU1190" s="1"/>
      <c r="IV1190" s="1"/>
      <c r="IW1190" s="1"/>
      <c r="IX1190" s="1"/>
      <c r="IY1190" s="1"/>
      <c r="IZ1190" s="1"/>
      <c r="JA1190" s="1"/>
      <c r="JB1190" s="1"/>
      <c r="JC1190" s="1"/>
      <c r="JD1190" s="1"/>
    </row>
    <row r="1191" spans="1:264" s="347" customFormat="1" x14ac:dyDescent="0.2">
      <c r="A1191" s="347" t="s">
        <v>803</v>
      </c>
      <c r="B1191" s="348"/>
      <c r="BE1191" s="398">
        <v>-629</v>
      </c>
      <c r="BF1191" s="351">
        <f t="shared" si="904"/>
        <v>-629</v>
      </c>
      <c r="BH1191" s="351"/>
      <c r="BI1191" s="398">
        <v>-1196</v>
      </c>
      <c r="BJ1191" s="351">
        <f t="shared" si="902"/>
        <v>-1196</v>
      </c>
      <c r="BK1191" s="351"/>
      <c r="BL1191" s="398">
        <v>-1218</v>
      </c>
      <c r="BM1191" s="398">
        <v>-1219</v>
      </c>
      <c r="BN1191" s="351">
        <f t="shared" si="903"/>
        <v>-1219</v>
      </c>
      <c r="BO1191" s="351"/>
      <c r="BP1191" s="398">
        <v>-1307</v>
      </c>
      <c r="BQ1191" s="398">
        <v>-1705</v>
      </c>
      <c r="BR1191" s="351">
        <f t="shared" si="905"/>
        <v>-1705</v>
      </c>
      <c r="BS1191" s="351"/>
      <c r="BT1191" s="398">
        <v>-1688</v>
      </c>
      <c r="BU1191" s="398">
        <v>-1458</v>
      </c>
      <c r="BV1191" s="351">
        <f t="shared" si="906"/>
        <v>-1458</v>
      </c>
      <c r="BW1191" s="351"/>
      <c r="BX1191" s="398">
        <v>-1632</v>
      </c>
      <c r="BY1191" s="398">
        <v>-2673</v>
      </c>
      <c r="BZ1191" s="351">
        <f t="shared" si="907"/>
        <v>-2673</v>
      </c>
      <c r="CA1191" s="351"/>
      <c r="CB1191" s="398">
        <v>-2999</v>
      </c>
      <c r="CC1191" s="398">
        <v>-3474</v>
      </c>
      <c r="CD1191" s="351">
        <f t="shared" si="908"/>
        <v>-3474</v>
      </c>
      <c r="CE1191" s="351"/>
      <c r="CF1191" s="398">
        <v>-2887</v>
      </c>
      <c r="CG1191" s="398">
        <v>-2906</v>
      </c>
      <c r="CH1191" s="351">
        <f t="shared" si="909"/>
        <v>-2906</v>
      </c>
      <c r="CI1191" s="351">
        <f t="shared" si="919"/>
        <v>202</v>
      </c>
      <c r="CJ1191" s="398">
        <v>-2685</v>
      </c>
      <c r="CK1191" s="398">
        <v>-1429</v>
      </c>
      <c r="CL1191" s="351">
        <f t="shared" si="910"/>
        <v>-1429</v>
      </c>
      <c r="CM1191" s="351"/>
      <c r="CN1191" s="398">
        <v>-670</v>
      </c>
      <c r="CO1191" s="398">
        <v>-545</v>
      </c>
      <c r="CP1191" s="351">
        <f t="shared" si="911"/>
        <v>-545</v>
      </c>
      <c r="CQ1191" s="351"/>
      <c r="CR1191" s="811">
        <v>-217</v>
      </c>
      <c r="CS1191" s="398">
        <v>-242</v>
      </c>
      <c r="CT1191" s="351">
        <f t="shared" si="912"/>
        <v>-242</v>
      </c>
      <c r="CU1191" s="351"/>
      <c r="CV1191" s="811">
        <v>-89</v>
      </c>
      <c r="CW1191" s="398">
        <v>-89</v>
      </c>
      <c r="CX1191" s="351">
        <f t="shared" si="913"/>
        <v>-89</v>
      </c>
      <c r="CY1191" s="351"/>
      <c r="CZ1191" s="811">
        <v>-89</v>
      </c>
      <c r="DA1191" s="398">
        <v>-89</v>
      </c>
      <c r="DB1191" s="351">
        <f t="shared" si="914"/>
        <v>-89</v>
      </c>
      <c r="DC1191" s="351"/>
      <c r="DD1191" s="811">
        <v>-89</v>
      </c>
      <c r="DE1191" s="398">
        <v>-89</v>
      </c>
      <c r="DF1191" s="351">
        <f t="shared" si="915"/>
        <v>-89</v>
      </c>
      <c r="DG1191" s="351"/>
      <c r="DH1191" s="811">
        <v>-89</v>
      </c>
      <c r="DI1191" s="351">
        <f>-DI1229</f>
        <v>-90.544698630136992</v>
      </c>
      <c r="DJ1191" s="351">
        <f t="shared" si="916"/>
        <v>-90.544698630136992</v>
      </c>
      <c r="DK1191" s="351"/>
      <c r="DL1191" s="351">
        <f>-DL1229</f>
        <v>-92.142254408707075</v>
      </c>
      <c r="DM1191" s="351">
        <f>-DM1229</f>
        <v>-93.741490522896555</v>
      </c>
      <c r="DN1191" s="351">
        <f t="shared" si="917"/>
        <v>-93.741490522896555</v>
      </c>
      <c r="DO1191" s="351"/>
      <c r="DP1191" s="351">
        <f>-DP1229</f>
        <v>-95.390930957233863</v>
      </c>
      <c r="DQ1191" s="351">
        <f>-DQ1229</f>
        <v>-97.051150165423977</v>
      </c>
      <c r="DR1191" s="351">
        <f t="shared" si="918"/>
        <v>-97.051150165423977</v>
      </c>
      <c r="DS1191" s="351"/>
      <c r="DT1191" s="1"/>
      <c r="DU1191" s="1"/>
      <c r="DV1191" s="1"/>
      <c r="DW1191" s="1"/>
      <c r="DX1191" s="1"/>
      <c r="DY1191" s="1"/>
      <c r="DZ1191" s="1"/>
      <c r="EA1191" s="1"/>
      <c r="EB1191" s="1"/>
      <c r="EC1191" s="1"/>
      <c r="ED1191" s="1"/>
      <c r="EE1191" s="1"/>
      <c r="EF1191" s="1"/>
      <c r="EG1191" s="1"/>
      <c r="EH1191" s="1"/>
      <c r="EI1191" s="1"/>
      <c r="EJ1191" s="1"/>
      <c r="EK1191" s="1"/>
      <c r="EL1191" s="1"/>
      <c r="EM1191" s="1"/>
      <c r="EN1191" s="1"/>
      <c r="EO1191" s="1"/>
      <c r="EP1191" s="1"/>
      <c r="EQ1191" s="1"/>
      <c r="ER1191" s="1"/>
      <c r="ES1191" s="1"/>
      <c r="ET1191" s="1"/>
      <c r="EU1191" s="1"/>
      <c r="EV1191" s="1"/>
      <c r="EW1191" s="1"/>
      <c r="EX1191" s="1"/>
      <c r="EY1191" s="1"/>
      <c r="EZ1191" s="1"/>
      <c r="FA1191" s="1"/>
      <c r="FB1191" s="1"/>
      <c r="FC1191" s="1"/>
      <c r="FD1191" s="1"/>
      <c r="FE1191" s="1"/>
      <c r="FF1191" s="1"/>
      <c r="FG1191" s="1"/>
      <c r="FH1191" s="1"/>
      <c r="FI1191" s="1"/>
      <c r="FJ1191" s="1"/>
      <c r="FK1191" s="1"/>
      <c r="FL1191" s="1"/>
      <c r="FM1191" s="1"/>
      <c r="FN1191" s="1"/>
      <c r="FO1191" s="1"/>
      <c r="FP1191" s="1"/>
      <c r="FQ1191" s="1"/>
      <c r="FR1191" s="1"/>
      <c r="FS1191" s="1"/>
      <c r="FT1191" s="1"/>
      <c r="FU1191" s="1"/>
      <c r="FV1191" s="1"/>
      <c r="FW1191" s="1"/>
      <c r="FX1191" s="1"/>
      <c r="FY1191" s="1"/>
      <c r="FZ1191" s="1"/>
      <c r="GA1191" s="1"/>
      <c r="GB1191" s="1"/>
      <c r="GC1191" s="1"/>
      <c r="GD1191" s="1"/>
      <c r="GE1191" s="1"/>
      <c r="GF1191" s="1"/>
      <c r="GG1191" s="1"/>
      <c r="GH1191" s="1"/>
      <c r="GI1191" s="1"/>
      <c r="GJ1191" s="1"/>
      <c r="GK1191" s="1"/>
      <c r="GL1191" s="1"/>
      <c r="GM1191" s="1"/>
      <c r="GN1191" s="1"/>
      <c r="GO1191" s="1"/>
      <c r="GP1191" s="1"/>
      <c r="GQ1191" s="1"/>
      <c r="GR1191" s="1"/>
      <c r="GS1191" s="1"/>
      <c r="GT1191" s="1"/>
      <c r="GU1191" s="1"/>
      <c r="GV1191" s="1"/>
      <c r="GW1191" s="1"/>
      <c r="GX1191" s="1"/>
      <c r="GY1191" s="1"/>
      <c r="GZ1191" s="1"/>
      <c r="HA1191" s="1"/>
      <c r="HB1191" s="1"/>
      <c r="HC1191" s="1"/>
      <c r="HD1191" s="1"/>
      <c r="HE1191" s="1"/>
      <c r="HF1191" s="1"/>
      <c r="HG1191" s="1"/>
      <c r="HH1191" s="1"/>
      <c r="HI1191" s="1"/>
      <c r="HJ1191" s="1"/>
      <c r="HK1191" s="1"/>
      <c r="HL1191" s="1"/>
      <c r="HM1191" s="1"/>
      <c r="HN1191" s="1"/>
      <c r="HO1191" s="1"/>
      <c r="HP1191" s="1"/>
      <c r="HQ1191" s="1"/>
      <c r="HR1191" s="1"/>
      <c r="HS1191" s="1"/>
      <c r="HT1191" s="1"/>
      <c r="HU1191" s="1"/>
      <c r="HV1191" s="1"/>
      <c r="HW1191" s="1"/>
      <c r="HX1191" s="1"/>
      <c r="HY1191" s="1"/>
      <c r="HZ1191" s="1"/>
      <c r="IA1191" s="1"/>
      <c r="IB1191" s="1"/>
      <c r="IC1191" s="1"/>
      <c r="ID1191" s="1"/>
      <c r="IE1191" s="1"/>
      <c r="IF1191" s="1"/>
      <c r="IG1191" s="1"/>
      <c r="IH1191" s="1"/>
      <c r="II1191" s="1"/>
      <c r="IJ1191" s="1"/>
      <c r="IK1191" s="1"/>
      <c r="IL1191" s="1"/>
      <c r="IM1191" s="1"/>
      <c r="IN1191" s="1"/>
      <c r="IO1191" s="1"/>
      <c r="IP1191" s="1"/>
      <c r="IQ1191" s="1"/>
      <c r="IR1191" s="1"/>
      <c r="IS1191" s="1"/>
      <c r="IT1191" s="1"/>
      <c r="IU1191" s="1"/>
      <c r="IV1191" s="1"/>
      <c r="IW1191" s="1"/>
      <c r="IX1191" s="1"/>
      <c r="IY1191" s="1"/>
      <c r="IZ1191" s="1"/>
      <c r="JA1191" s="1"/>
      <c r="JB1191" s="1"/>
      <c r="JC1191" s="1"/>
      <c r="JD1191" s="1"/>
    </row>
    <row r="1192" spans="1:264" s="347" customFormat="1" x14ac:dyDescent="0.2">
      <c r="A1192" s="347" t="s">
        <v>804</v>
      </c>
      <c r="B1192" s="348"/>
      <c r="BE1192" s="398">
        <v>-209</v>
      </c>
      <c r="BF1192" s="351">
        <f t="shared" si="904"/>
        <v>-209</v>
      </c>
      <c r="BH1192" s="398"/>
      <c r="BI1192" s="398">
        <v>-208</v>
      </c>
      <c r="BJ1192" s="351">
        <f t="shared" si="902"/>
        <v>-208</v>
      </c>
      <c r="BK1192" s="351"/>
      <c r="BL1192" s="398">
        <v>-198</v>
      </c>
      <c r="BM1192" s="398">
        <v>-214</v>
      </c>
      <c r="BN1192" s="351">
        <f t="shared" si="903"/>
        <v>-214</v>
      </c>
      <c r="BO1192" s="351"/>
      <c r="BP1192" s="398">
        <v>-225</v>
      </c>
      <c r="BQ1192" s="398">
        <v>-242</v>
      </c>
      <c r="BR1192" s="351">
        <f t="shared" si="905"/>
        <v>-242</v>
      </c>
      <c r="BS1192" s="351"/>
      <c r="BT1192" s="398">
        <v>-270</v>
      </c>
      <c r="BU1192" s="398">
        <v>-386</v>
      </c>
      <c r="BV1192" s="351">
        <f t="shared" si="906"/>
        <v>-386</v>
      </c>
      <c r="BW1192" s="351"/>
      <c r="BX1192" s="398">
        <v>-372</v>
      </c>
      <c r="BY1192" s="398">
        <v>-412</v>
      </c>
      <c r="BZ1192" s="351">
        <f t="shared" si="907"/>
        <v>-412</v>
      </c>
      <c r="CA1192" s="351"/>
      <c r="CB1192" s="398">
        <v>-388</v>
      </c>
      <c r="CC1192" s="398">
        <v>-412</v>
      </c>
      <c r="CD1192" s="351">
        <f t="shared" si="908"/>
        <v>-412</v>
      </c>
      <c r="CE1192" s="351"/>
      <c r="CF1192" s="398">
        <v>-378</v>
      </c>
      <c r="CG1192" s="398">
        <v>-360</v>
      </c>
      <c r="CH1192" s="351">
        <f t="shared" si="909"/>
        <v>-360</v>
      </c>
      <c r="CI1192" s="351">
        <f t="shared" si="919"/>
        <v>378</v>
      </c>
      <c r="CJ1192" s="398">
        <v>0</v>
      </c>
      <c r="CK1192" s="398">
        <v>0</v>
      </c>
      <c r="CL1192" s="351">
        <f t="shared" si="910"/>
        <v>0</v>
      </c>
      <c r="CM1192" s="351"/>
      <c r="CN1192" s="398">
        <v>0</v>
      </c>
      <c r="CO1192" s="398">
        <v>0</v>
      </c>
      <c r="CP1192" s="351">
        <f t="shared" si="911"/>
        <v>0</v>
      </c>
      <c r="CQ1192" s="351"/>
      <c r="CR1192" s="398">
        <v>0</v>
      </c>
      <c r="CS1192" s="398">
        <v>0</v>
      </c>
      <c r="CT1192" s="351">
        <f t="shared" si="912"/>
        <v>0</v>
      </c>
      <c r="CU1192" s="351"/>
      <c r="CV1192" s="398">
        <v>0</v>
      </c>
      <c r="CW1192" s="398">
        <v>0</v>
      </c>
      <c r="CX1192" s="351">
        <f t="shared" si="913"/>
        <v>0</v>
      </c>
      <c r="CY1192" s="351"/>
      <c r="CZ1192" s="398">
        <v>0</v>
      </c>
      <c r="DA1192" s="398">
        <v>0</v>
      </c>
      <c r="DB1192" s="351">
        <f t="shared" si="914"/>
        <v>0</v>
      </c>
      <c r="DC1192" s="351"/>
      <c r="DD1192" s="398">
        <v>0</v>
      </c>
      <c r="DE1192" s="398">
        <v>0</v>
      </c>
      <c r="DF1192" s="351">
        <f t="shared" si="915"/>
        <v>0</v>
      </c>
      <c r="DG1192" s="351"/>
      <c r="DH1192" s="398">
        <v>0</v>
      </c>
      <c r="DI1192" s="351">
        <f ca="1">-DI1233</f>
        <v>0</v>
      </c>
      <c r="DJ1192" s="351">
        <f ca="1">DI1192</f>
        <v>0</v>
      </c>
      <c r="DK1192" s="351"/>
      <c r="DL1192" s="351">
        <f ca="1">-DL1233</f>
        <v>0</v>
      </c>
      <c r="DM1192" s="351">
        <f ca="1">-DM1233</f>
        <v>0</v>
      </c>
      <c r="DN1192" s="351">
        <f ca="1">DM1192</f>
        <v>0</v>
      </c>
      <c r="DO1192" s="351"/>
      <c r="DP1192" s="351">
        <f ca="1">-DP1233</f>
        <v>0</v>
      </c>
      <c r="DQ1192" s="351">
        <f ca="1">-DQ1233</f>
        <v>0</v>
      </c>
      <c r="DR1192" s="351">
        <f ca="1">DQ1192</f>
        <v>0</v>
      </c>
      <c r="DS1192" s="351"/>
      <c r="DT1192" s="1"/>
      <c r="DU1192" s="1"/>
      <c r="DV1192" s="1"/>
      <c r="DW1192" s="1"/>
      <c r="DX1192" s="1"/>
      <c r="DY1192" s="1"/>
      <c r="DZ1192" s="1"/>
      <c r="EA1192" s="1"/>
      <c r="EB1192" s="1"/>
      <c r="EC1192" s="1"/>
      <c r="ED1192" s="1"/>
      <c r="EE1192" s="1"/>
      <c r="EF1192" s="1"/>
      <c r="EG1192" s="1"/>
      <c r="EH1192" s="1"/>
      <c r="EI1192" s="1"/>
      <c r="EJ1192" s="1"/>
      <c r="EK1192" s="1"/>
      <c r="EL1192" s="1"/>
      <c r="EM1192" s="1"/>
      <c r="EN1192" s="1"/>
      <c r="EO1192" s="1"/>
      <c r="EP1192" s="1"/>
      <c r="EQ1192" s="1"/>
      <c r="ER1192" s="1"/>
      <c r="ES1192" s="1"/>
      <c r="ET1192" s="1"/>
      <c r="EU1192" s="1"/>
      <c r="EV1192" s="1"/>
      <c r="EW1192" s="1"/>
      <c r="EX1192" s="1"/>
      <c r="EY1192" s="1"/>
      <c r="EZ1192" s="1"/>
      <c r="FA1192" s="1"/>
      <c r="FB1192" s="1"/>
      <c r="FC1192" s="1"/>
      <c r="FD1192" s="1"/>
      <c r="FE1192" s="1"/>
      <c r="FF1192" s="1"/>
      <c r="FG1192" s="1"/>
      <c r="FH1192" s="1"/>
      <c r="FI1192" s="1"/>
      <c r="FJ1192" s="1"/>
      <c r="FK1192" s="1"/>
      <c r="FL1192" s="1"/>
      <c r="FM1192" s="1"/>
      <c r="FN1192" s="1"/>
      <c r="FO1192" s="1"/>
      <c r="FP1192" s="1"/>
      <c r="FQ1192" s="1"/>
      <c r="FR1192" s="1"/>
      <c r="FS1192" s="1"/>
      <c r="FT1192" s="1"/>
      <c r="FU1192" s="1"/>
      <c r="FV1192" s="1"/>
      <c r="FW1192" s="1"/>
      <c r="FX1192" s="1"/>
      <c r="FY1192" s="1"/>
      <c r="FZ1192" s="1"/>
      <c r="GA1192" s="1"/>
      <c r="GB1192" s="1"/>
      <c r="GC1192" s="1"/>
      <c r="GD1192" s="1"/>
      <c r="GE1192" s="1"/>
      <c r="GF1192" s="1"/>
      <c r="GG1192" s="1"/>
      <c r="GH1192" s="1"/>
      <c r="GI1192" s="1"/>
      <c r="GJ1192" s="1"/>
      <c r="GK1192" s="1"/>
      <c r="GL1192" s="1"/>
      <c r="GM1192" s="1"/>
      <c r="GN1192" s="1"/>
      <c r="GO1192" s="1"/>
      <c r="GP1192" s="1"/>
      <c r="GQ1192" s="1"/>
      <c r="GR1192" s="1"/>
      <c r="GS1192" s="1"/>
      <c r="GT1192" s="1"/>
      <c r="GU1192" s="1"/>
      <c r="GV1192" s="1"/>
      <c r="GW1192" s="1"/>
      <c r="GX1192" s="1"/>
      <c r="GY1192" s="1"/>
      <c r="GZ1192" s="1"/>
      <c r="HA1192" s="1"/>
      <c r="HB1192" s="1"/>
      <c r="HC1192" s="1"/>
      <c r="HD1192" s="1"/>
      <c r="HE1192" s="1"/>
      <c r="HF1192" s="1"/>
      <c r="HG1192" s="1"/>
      <c r="HH1192" s="1"/>
      <c r="HI1192" s="1"/>
      <c r="HJ1192" s="1"/>
      <c r="HK1192" s="1"/>
      <c r="HL1192" s="1"/>
      <c r="HM1192" s="1"/>
      <c r="HN1192" s="1"/>
      <c r="HO1192" s="1"/>
      <c r="HP1192" s="1"/>
      <c r="HQ1192" s="1"/>
      <c r="HR1192" s="1"/>
      <c r="HS1192" s="1"/>
      <c r="HT1192" s="1"/>
      <c r="HU1192" s="1"/>
      <c r="HV1192" s="1"/>
      <c r="HW1192" s="1"/>
      <c r="HX1192" s="1"/>
      <c r="HY1192" s="1"/>
      <c r="HZ1192" s="1"/>
      <c r="IA1192" s="1"/>
      <c r="IB1192" s="1"/>
      <c r="IC1192" s="1"/>
      <c r="ID1192" s="1"/>
      <c r="IE1192" s="1"/>
      <c r="IF1192" s="1"/>
      <c r="IG1192" s="1"/>
      <c r="IH1192" s="1"/>
      <c r="II1192" s="1"/>
      <c r="IJ1192" s="1"/>
      <c r="IK1192" s="1"/>
      <c r="IL1192" s="1"/>
      <c r="IM1192" s="1"/>
      <c r="IN1192" s="1"/>
      <c r="IO1192" s="1"/>
      <c r="IP1192" s="1"/>
      <c r="IQ1192" s="1"/>
      <c r="IR1192" s="1"/>
      <c r="IS1192" s="1"/>
      <c r="IT1192" s="1"/>
      <c r="IU1192" s="1"/>
      <c r="IV1192" s="1"/>
      <c r="IW1192" s="1"/>
      <c r="IX1192" s="1"/>
      <c r="IY1192" s="1"/>
      <c r="IZ1192" s="1"/>
      <c r="JA1192" s="1"/>
      <c r="JB1192" s="1"/>
      <c r="JC1192" s="1"/>
      <c r="JD1192" s="1"/>
    </row>
    <row r="1193" spans="1:264" s="347" customFormat="1" x14ac:dyDescent="0.2">
      <c r="A1193" s="347" t="s">
        <v>805</v>
      </c>
      <c r="B1193" s="348"/>
      <c r="BE1193" s="398">
        <v>-630</v>
      </c>
      <c r="BF1193" s="351">
        <f t="shared" si="904"/>
        <v>-630</v>
      </c>
      <c r="BH1193" s="351"/>
      <c r="BI1193" s="398">
        <v>-271</v>
      </c>
      <c r="BJ1193" s="351">
        <f t="shared" si="902"/>
        <v>-271</v>
      </c>
      <c r="BK1193" s="351"/>
      <c r="BL1193" s="398">
        <v>-236</v>
      </c>
      <c r="BM1193" s="398">
        <v>-502</v>
      </c>
      <c r="BN1193" s="351">
        <f t="shared" si="903"/>
        <v>-502</v>
      </c>
      <c r="BO1193" s="351"/>
      <c r="BP1193" s="398">
        <v>-102</v>
      </c>
      <c r="BQ1193" s="398">
        <v>-134</v>
      </c>
      <c r="BR1193" s="351">
        <f t="shared" si="905"/>
        <v>-134</v>
      </c>
      <c r="BS1193" s="351"/>
      <c r="BT1193" s="398">
        <v>-245</v>
      </c>
      <c r="BU1193" s="398">
        <v>-314</v>
      </c>
      <c r="BV1193" s="351">
        <f t="shared" si="906"/>
        <v>-314</v>
      </c>
      <c r="BW1193" s="351"/>
      <c r="BX1193" s="398">
        <v>-220</v>
      </c>
      <c r="BY1193" s="398">
        <v>-218</v>
      </c>
      <c r="BZ1193" s="351">
        <f t="shared" si="907"/>
        <v>-218</v>
      </c>
      <c r="CA1193" s="351"/>
      <c r="CB1193" s="398">
        <v>-99</v>
      </c>
      <c r="CC1193" s="398">
        <v>-212</v>
      </c>
      <c r="CD1193" s="351">
        <f t="shared" si="908"/>
        <v>-212</v>
      </c>
      <c r="CE1193" s="489"/>
      <c r="CF1193" s="398">
        <v>0</v>
      </c>
      <c r="CG1193" s="398">
        <v>0</v>
      </c>
      <c r="CH1193" s="351">
        <f t="shared" si="909"/>
        <v>0</v>
      </c>
      <c r="CI1193" s="351">
        <f t="shared" si="919"/>
        <v>0</v>
      </c>
      <c r="CJ1193" s="398">
        <v>0</v>
      </c>
      <c r="CK1193" s="398">
        <v>0</v>
      </c>
      <c r="CL1193" s="351">
        <f t="shared" si="910"/>
        <v>0</v>
      </c>
      <c r="CM1193" s="351"/>
      <c r="CN1193" s="398">
        <v>0</v>
      </c>
      <c r="CO1193" s="398">
        <v>0</v>
      </c>
      <c r="CP1193" s="351">
        <f t="shared" si="911"/>
        <v>0</v>
      </c>
      <c r="CQ1193" s="351"/>
      <c r="CR1193" s="398">
        <v>0</v>
      </c>
      <c r="CS1193" s="398">
        <v>0</v>
      </c>
      <c r="CT1193" s="351">
        <f t="shared" si="912"/>
        <v>0</v>
      </c>
      <c r="CU1193" s="351"/>
      <c r="CV1193" s="398">
        <v>-6</v>
      </c>
      <c r="CW1193" s="398">
        <v>0</v>
      </c>
      <c r="CX1193" s="351">
        <f t="shared" si="913"/>
        <v>0</v>
      </c>
      <c r="CY1193" s="351"/>
      <c r="CZ1193" s="398">
        <v>0</v>
      </c>
      <c r="DA1193" s="398">
        <v>0</v>
      </c>
      <c r="DB1193" s="351">
        <f t="shared" si="914"/>
        <v>0</v>
      </c>
      <c r="DC1193" s="351"/>
      <c r="DD1193" s="398">
        <v>0</v>
      </c>
      <c r="DE1193" s="398">
        <v>0</v>
      </c>
      <c r="DF1193" s="351">
        <f t="shared" si="915"/>
        <v>0</v>
      </c>
      <c r="DG1193" s="351"/>
      <c r="DH1193" s="398">
        <v>0</v>
      </c>
      <c r="DI1193" s="351">
        <f ca="1">DI1250</f>
        <v>0</v>
      </c>
      <c r="DJ1193" s="351">
        <f ca="1">DI1193</f>
        <v>0</v>
      </c>
      <c r="DK1193" s="351"/>
      <c r="DL1193" s="351">
        <f ca="1">DL1250</f>
        <v>0</v>
      </c>
      <c r="DM1193" s="351">
        <f ca="1">DM1250</f>
        <v>0</v>
      </c>
      <c r="DN1193" s="351">
        <f ca="1">DM1193</f>
        <v>0</v>
      </c>
      <c r="DO1193" s="351"/>
      <c r="DP1193" s="351">
        <f ca="1">DP1250</f>
        <v>0</v>
      </c>
      <c r="DQ1193" s="351">
        <f ca="1">DQ1250</f>
        <v>0</v>
      </c>
      <c r="DR1193" s="351">
        <f ca="1">DQ1193</f>
        <v>0</v>
      </c>
      <c r="DS1193" s="351"/>
      <c r="DT1193" s="1"/>
      <c r="DU1193" s="1"/>
      <c r="DV1193" s="1"/>
      <c r="DW1193" s="1"/>
      <c r="DX1193" s="1"/>
      <c r="DY1193" s="1"/>
      <c r="DZ1193" s="1"/>
      <c r="EA1193" s="1"/>
      <c r="EB1193" s="1"/>
      <c r="EC1193" s="1"/>
      <c r="ED1193" s="1"/>
      <c r="EE1193" s="1"/>
      <c r="EF1193" s="1"/>
      <c r="EG1193" s="1"/>
      <c r="EH1193" s="1"/>
      <c r="EI1193" s="1"/>
      <c r="EJ1193" s="1"/>
      <c r="EK1193" s="1"/>
      <c r="EL1193" s="1"/>
      <c r="EM1193" s="1"/>
      <c r="EN1193" s="1"/>
      <c r="EO1193" s="1"/>
      <c r="EP1193" s="1"/>
      <c r="EQ1193" s="1"/>
      <c r="ER1193" s="1"/>
      <c r="ES1193" s="1"/>
      <c r="ET1193" s="1"/>
      <c r="EU1193" s="1"/>
      <c r="EV1193" s="1"/>
      <c r="EW1193" s="1"/>
      <c r="EX1193" s="1"/>
      <c r="EY1193" s="1"/>
      <c r="EZ1193" s="1"/>
      <c r="FA1193" s="1"/>
      <c r="FB1193" s="1"/>
      <c r="FC1193" s="1"/>
      <c r="FD1193" s="1"/>
      <c r="FE1193" s="1"/>
      <c r="FF1193" s="1"/>
      <c r="FG1193" s="1"/>
      <c r="FH1193" s="1"/>
      <c r="FI1193" s="1"/>
      <c r="FJ1193" s="1"/>
      <c r="FK1193" s="1"/>
      <c r="FL1193" s="1"/>
      <c r="FM1193" s="1"/>
      <c r="FN1193" s="1"/>
      <c r="FO1193" s="1"/>
      <c r="FP1193" s="1"/>
      <c r="FQ1193" s="1"/>
      <c r="FR1193" s="1"/>
      <c r="FS1193" s="1"/>
      <c r="FT1193" s="1"/>
      <c r="FU1193" s="1"/>
      <c r="FV1193" s="1"/>
      <c r="FW1193" s="1"/>
      <c r="FX1193" s="1"/>
      <c r="FY1193" s="1"/>
      <c r="FZ1193" s="1"/>
      <c r="GA1193" s="1"/>
      <c r="GB1193" s="1"/>
      <c r="GC1193" s="1"/>
      <c r="GD1193" s="1"/>
      <c r="GE1193" s="1"/>
      <c r="GF1193" s="1"/>
      <c r="GG1193" s="1"/>
      <c r="GH1193" s="1"/>
      <c r="GI1193" s="1"/>
      <c r="GJ1193" s="1"/>
      <c r="GK1193" s="1"/>
      <c r="GL1193" s="1"/>
      <c r="GM1193" s="1"/>
      <c r="GN1193" s="1"/>
      <c r="GO1193" s="1"/>
      <c r="GP1193" s="1"/>
      <c r="GQ1193" s="1"/>
      <c r="GR1193" s="1"/>
      <c r="GS1193" s="1"/>
      <c r="GT1193" s="1"/>
      <c r="GU1193" s="1"/>
      <c r="GV1193" s="1"/>
      <c r="GW1193" s="1"/>
      <c r="GX1193" s="1"/>
      <c r="GY1193" s="1"/>
      <c r="GZ1193" s="1"/>
      <c r="HA1193" s="1"/>
      <c r="HB1193" s="1"/>
      <c r="HC1193" s="1"/>
      <c r="HD1193" s="1"/>
      <c r="HE1193" s="1"/>
      <c r="HF1193" s="1"/>
      <c r="HG1193" s="1"/>
      <c r="HH1193" s="1"/>
      <c r="HI1193" s="1"/>
      <c r="HJ1193" s="1"/>
      <c r="HK1193" s="1"/>
      <c r="HL1193" s="1"/>
      <c r="HM1193" s="1"/>
      <c r="HN1193" s="1"/>
      <c r="HO1193" s="1"/>
      <c r="HP1193" s="1"/>
      <c r="HQ1193" s="1"/>
      <c r="HR1193" s="1"/>
      <c r="HS1193" s="1"/>
      <c r="HT1193" s="1"/>
      <c r="HU1193" s="1"/>
      <c r="HV1193" s="1"/>
      <c r="HW1193" s="1"/>
      <c r="HX1193" s="1"/>
      <c r="HY1193" s="1"/>
      <c r="HZ1193" s="1"/>
      <c r="IA1193" s="1"/>
      <c r="IB1193" s="1"/>
      <c r="IC1193" s="1"/>
      <c r="ID1193" s="1"/>
      <c r="IE1193" s="1"/>
      <c r="IF1193" s="1"/>
      <c r="IG1193" s="1"/>
      <c r="IH1193" s="1"/>
      <c r="II1193" s="1"/>
      <c r="IJ1193" s="1"/>
      <c r="IK1193" s="1"/>
      <c r="IL1193" s="1"/>
      <c r="IM1193" s="1"/>
      <c r="IN1193" s="1"/>
      <c r="IO1193" s="1"/>
      <c r="IP1193" s="1"/>
      <c r="IQ1193" s="1"/>
      <c r="IR1193" s="1"/>
      <c r="IS1193" s="1"/>
      <c r="IT1193" s="1"/>
      <c r="IU1193" s="1"/>
      <c r="IV1193" s="1"/>
      <c r="IW1193" s="1"/>
      <c r="IX1193" s="1"/>
      <c r="IY1193" s="1"/>
      <c r="IZ1193" s="1"/>
      <c r="JA1193" s="1"/>
      <c r="JB1193" s="1"/>
      <c r="JC1193" s="1"/>
      <c r="JD1193" s="1"/>
    </row>
    <row r="1194" spans="1:264" s="347" customFormat="1" x14ac:dyDescent="0.2">
      <c r="A1194" s="347" t="s">
        <v>806</v>
      </c>
      <c r="B1194" s="348"/>
      <c r="BE1194" s="398">
        <f>-548-644-136+149-20-113</f>
        <v>-1312</v>
      </c>
      <c r="BF1194" s="351">
        <f t="shared" si="904"/>
        <v>-1312</v>
      </c>
      <c r="BH1194" s="351"/>
      <c r="BI1194" s="398">
        <f>-1400-368-132+59-11-174</f>
        <v>-2026</v>
      </c>
      <c r="BJ1194" s="351">
        <f t="shared" si="902"/>
        <v>-2026</v>
      </c>
      <c r="BK1194" s="351"/>
      <c r="BL1194" s="398">
        <f>-1248-169-79+7-6-152</f>
        <v>-1647</v>
      </c>
      <c r="BM1194" s="398">
        <f>-1164-224-125-103-48-148</f>
        <v>-1812</v>
      </c>
      <c r="BN1194" s="351">
        <f t="shared" si="903"/>
        <v>-1812</v>
      </c>
      <c r="BO1194" s="351"/>
      <c r="BP1194" s="398">
        <f>-1024-459-79-145-113-170</f>
        <v>-1990</v>
      </c>
      <c r="BQ1194" s="398">
        <f>-1164-194-144-222-263-122-193</f>
        <v>-2302</v>
      </c>
      <c r="BR1194" s="351">
        <f t="shared" si="905"/>
        <v>-2302</v>
      </c>
      <c r="BS1194" s="351"/>
      <c r="BT1194" s="398">
        <f>-17801-BT1193-BT1192-BT1191-BT1190-BT1189-BT1188-BT1187-BT1186</f>
        <v>-2113</v>
      </c>
      <c r="BU1194" s="398">
        <f>-18233-BU1193-BU1192-BU1191-BU1190-BU1189-BU1188-BU1187-BU1186</f>
        <v>-2504</v>
      </c>
      <c r="BV1194" s="351">
        <f t="shared" si="906"/>
        <v>-2504</v>
      </c>
      <c r="BW1194" s="351"/>
      <c r="BX1194" s="398">
        <f>-17477-BX1193-BX1192-BX1191-BX1190-BX1189-BX1188-BX1187-BX1186</f>
        <v>-2088</v>
      </c>
      <c r="BY1194" s="398">
        <f>-18632-BY1193-BY1192-BY1191-BY1190-BY1189-BY1188-BY1187-BY1186</f>
        <v>-2232</v>
      </c>
      <c r="BZ1194" s="351">
        <f t="shared" si="907"/>
        <v>-2232</v>
      </c>
      <c r="CA1194" s="351"/>
      <c r="CB1194" s="398">
        <f>-19339-CB1193-CB1192-CB1191-CB1190-CB1189-CB1188-CB1187-CB1186</f>
        <v>-2153</v>
      </c>
      <c r="CC1194" s="398">
        <f>-20679-CC1193-CC1192-CC1191-CC1190-CC1189-CC1188-CC1187-CC1186</f>
        <v>-2755</v>
      </c>
      <c r="CD1194" s="351">
        <f t="shared" si="908"/>
        <v>-2755</v>
      </c>
      <c r="CE1194" s="351"/>
      <c r="CF1194" s="398">
        <f>-19906-CF1193-CF1192-CF1191-CF1190-CF1189-CF1188-CF1187-CF1186</f>
        <v>-3175</v>
      </c>
      <c r="CG1194" s="398">
        <f>-21036-CG1193-CG1192-CG1191-CG1190-CG1189-CG1188-CG1187-CG1186</f>
        <v>-4269</v>
      </c>
      <c r="CH1194" s="351">
        <f t="shared" si="909"/>
        <v>-4269</v>
      </c>
      <c r="CI1194" s="351">
        <f t="shared" si="919"/>
        <v>-632</v>
      </c>
      <c r="CJ1194" s="398">
        <f>-244-2463-548-96-34-422</f>
        <v>-3807</v>
      </c>
      <c r="CK1194" s="398">
        <f>-476-3176-1513-138-16-420</f>
        <v>-5739</v>
      </c>
      <c r="CL1194" s="351">
        <f t="shared" si="910"/>
        <v>-5739</v>
      </c>
      <c r="CM1194" s="351"/>
      <c r="CN1194" s="398">
        <f>-180-3041-994-64-9-185</f>
        <v>-4473</v>
      </c>
      <c r="CO1194" s="398">
        <f>-19403-SUM(CO1186:CO1193)</f>
        <v>-3551</v>
      </c>
      <c r="CP1194" s="351">
        <f t="shared" si="911"/>
        <v>-3551</v>
      </c>
      <c r="CQ1194" s="351"/>
      <c r="CR1194" s="398">
        <f>-325+41-55-25-14-77-2353</f>
        <v>-2808</v>
      </c>
      <c r="CS1194" s="398">
        <f>-406-3016+859-94-18-131-72</f>
        <v>-2878</v>
      </c>
      <c r="CT1194" s="351">
        <f t="shared" si="912"/>
        <v>-2878</v>
      </c>
      <c r="CU1194" s="351"/>
      <c r="CV1194" s="398">
        <f>-411+1236-60-94-91-2995</f>
        <v>-2415</v>
      </c>
      <c r="CW1194" s="398">
        <f>-453+1820-99-89-81-3331</f>
        <v>-2233</v>
      </c>
      <c r="CX1194" s="351">
        <f t="shared" si="913"/>
        <v>-2233</v>
      </c>
      <c r="CY1194" s="351"/>
      <c r="CZ1194" s="398">
        <f>-367-3155+936-79-48-164</f>
        <v>-2877</v>
      </c>
      <c r="DA1194" s="398">
        <f>-305+1510-117-41-150-3320</f>
        <v>-2423</v>
      </c>
      <c r="DB1194" s="351">
        <f t="shared" si="914"/>
        <v>-2423</v>
      </c>
      <c r="DC1194" s="351"/>
      <c r="DD1194" s="398">
        <f>-338-3165+590-89-60-168</f>
        <v>-3230</v>
      </c>
      <c r="DE1194" s="398">
        <f>-417-1162-158-42-157-3333</f>
        <v>-5269</v>
      </c>
      <c r="DF1194" s="351">
        <f t="shared" si="915"/>
        <v>-5269</v>
      </c>
      <c r="DG1194" s="351"/>
      <c r="DH1194" s="398">
        <f>-407-2890+1113-92-49-115</f>
        <v>-2440</v>
      </c>
      <c r="DI1194" s="351">
        <f>DH1194*(1+DI1267)</f>
        <v>-2464.4</v>
      </c>
      <c r="DJ1194" s="351">
        <f>DI1194</f>
        <v>-2464.4</v>
      </c>
      <c r="DK1194" s="351"/>
      <c r="DL1194" s="351">
        <f>DI1194*(1+DL1267)</f>
        <v>-2489.0440000000003</v>
      </c>
      <c r="DM1194" s="351">
        <f>DL1194*(1+DM1267)</f>
        <v>-2513.9344400000004</v>
      </c>
      <c r="DN1194" s="351">
        <f>DM1194</f>
        <v>-2513.9344400000004</v>
      </c>
      <c r="DO1194" s="351"/>
      <c r="DP1194" s="351">
        <f>DM1194*(1+DP1267)</f>
        <v>-2539.0737844000005</v>
      </c>
      <c r="DQ1194" s="351">
        <f>DP1194*(1+DQ1267)</f>
        <v>-2564.4645222440004</v>
      </c>
      <c r="DR1194" s="351">
        <f>DQ1194</f>
        <v>-2564.4645222440004</v>
      </c>
      <c r="DS1194" s="351"/>
      <c r="DT1194" s="1"/>
      <c r="DU1194" s="1"/>
      <c r="DV1194" s="1"/>
      <c r="DW1194" s="1"/>
      <c r="DX1194" s="1"/>
      <c r="DY1194" s="1"/>
      <c r="DZ1194" s="1"/>
      <c r="EA1194" s="1"/>
      <c r="EB1194" s="1"/>
      <c r="EC1194" s="1"/>
      <c r="ED1194" s="1"/>
      <c r="EE1194" s="1"/>
      <c r="EF1194" s="1"/>
      <c r="EG1194" s="1"/>
      <c r="EH1194" s="1"/>
      <c r="EI1194" s="1"/>
      <c r="EJ1194" s="1"/>
      <c r="EK1194" s="1"/>
      <c r="EL1194" s="1"/>
      <c r="EM1194" s="1"/>
      <c r="EN1194" s="1"/>
      <c r="EO1194" s="1"/>
      <c r="EP1194" s="1"/>
      <c r="EQ1194" s="1"/>
      <c r="ER1194" s="1"/>
      <c r="ES1194" s="1"/>
      <c r="ET1194" s="1"/>
      <c r="EU1194" s="1"/>
      <c r="EV1194" s="1"/>
      <c r="EW1194" s="1"/>
      <c r="EX1194" s="1"/>
      <c r="EY1194" s="1"/>
      <c r="EZ1194" s="1"/>
      <c r="FA1194" s="1"/>
      <c r="FB1194" s="1"/>
      <c r="FC1194" s="1"/>
      <c r="FD1194" s="1"/>
      <c r="FE1194" s="1"/>
      <c r="FF1194" s="1"/>
      <c r="FG1194" s="1"/>
      <c r="FH1194" s="1"/>
      <c r="FI1194" s="1"/>
      <c r="FJ1194" s="1"/>
      <c r="FK1194" s="1"/>
      <c r="FL1194" s="1"/>
      <c r="FM1194" s="1"/>
      <c r="FN1194" s="1"/>
      <c r="FO1194" s="1"/>
      <c r="FP1194" s="1"/>
      <c r="FQ1194" s="1"/>
      <c r="FR1194" s="1"/>
      <c r="FS1194" s="1"/>
      <c r="FT1194" s="1"/>
      <c r="FU1194" s="1"/>
      <c r="FV1194" s="1"/>
      <c r="FW1194" s="1"/>
      <c r="FX1194" s="1"/>
      <c r="FY1194" s="1"/>
      <c r="FZ1194" s="1"/>
      <c r="GA1194" s="1"/>
      <c r="GB1194" s="1"/>
      <c r="GC1194" s="1"/>
      <c r="GD1194" s="1"/>
      <c r="GE1194" s="1"/>
      <c r="GF1194" s="1"/>
      <c r="GG1194" s="1"/>
      <c r="GH1194" s="1"/>
      <c r="GI1194" s="1"/>
      <c r="GJ1194" s="1"/>
      <c r="GK1194" s="1"/>
      <c r="GL1194" s="1"/>
      <c r="GM1194" s="1"/>
      <c r="GN1194" s="1"/>
      <c r="GO1194" s="1"/>
      <c r="GP1194" s="1"/>
      <c r="GQ1194" s="1"/>
      <c r="GR1194" s="1"/>
      <c r="GS1194" s="1"/>
      <c r="GT1194" s="1"/>
      <c r="GU1194" s="1"/>
      <c r="GV1194" s="1"/>
      <c r="GW1194" s="1"/>
      <c r="GX1194" s="1"/>
      <c r="GY1194" s="1"/>
      <c r="GZ1194" s="1"/>
      <c r="HA1194" s="1"/>
      <c r="HB1194" s="1"/>
      <c r="HC1194" s="1"/>
      <c r="HD1194" s="1"/>
      <c r="HE1194" s="1"/>
      <c r="HF1194" s="1"/>
      <c r="HG1194" s="1"/>
      <c r="HH1194" s="1"/>
      <c r="HI1194" s="1"/>
      <c r="HJ1194" s="1"/>
      <c r="HK1194" s="1"/>
      <c r="HL1194" s="1"/>
      <c r="HM1194" s="1"/>
      <c r="HN1194" s="1"/>
      <c r="HO1194" s="1"/>
      <c r="HP1194" s="1"/>
      <c r="HQ1194" s="1"/>
      <c r="HR1194" s="1"/>
      <c r="HS1194" s="1"/>
      <c r="HT1194" s="1"/>
      <c r="HU1194" s="1"/>
      <c r="HV1194" s="1"/>
      <c r="HW1194" s="1"/>
      <c r="HX1194" s="1"/>
      <c r="HY1194" s="1"/>
      <c r="HZ1194" s="1"/>
      <c r="IA1194" s="1"/>
      <c r="IB1194" s="1"/>
      <c r="IC1194" s="1"/>
      <c r="ID1194" s="1"/>
      <c r="IE1194" s="1"/>
      <c r="IF1194" s="1"/>
      <c r="IG1194" s="1"/>
      <c r="IH1194" s="1"/>
      <c r="II1194" s="1"/>
      <c r="IJ1194" s="1"/>
      <c r="IK1194" s="1"/>
      <c r="IL1194" s="1"/>
      <c r="IM1194" s="1"/>
      <c r="IN1194" s="1"/>
      <c r="IO1194" s="1"/>
      <c r="IP1194" s="1"/>
      <c r="IQ1194" s="1"/>
      <c r="IR1194" s="1"/>
      <c r="IS1194" s="1"/>
      <c r="IT1194" s="1"/>
      <c r="IU1194" s="1"/>
      <c r="IV1194" s="1"/>
      <c r="IW1194" s="1"/>
      <c r="IX1194" s="1"/>
      <c r="IY1194" s="1"/>
      <c r="IZ1194" s="1"/>
      <c r="JA1194" s="1"/>
      <c r="JB1194" s="1"/>
      <c r="JC1194" s="1"/>
      <c r="JD1194" s="1"/>
    </row>
    <row r="1195" spans="1:264" s="347" customFormat="1" x14ac:dyDescent="0.2">
      <c r="A1195" s="411" t="s">
        <v>807</v>
      </c>
      <c r="B1195" s="348"/>
      <c r="BE1195" s="397">
        <f>SUM(BE1186:BE1194)</f>
        <v>-13936</v>
      </c>
      <c r="BF1195" s="397">
        <f>SUM(BF1186:BF1194)</f>
        <v>-13936</v>
      </c>
      <c r="BH1195" s="351"/>
      <c r="BI1195" s="397">
        <f>SUM(BI1186:BI1194)</f>
        <v>-17039</v>
      </c>
      <c r="BJ1195" s="397">
        <f>SUM(BJ1186:BJ1194)</f>
        <v>-17039</v>
      </c>
      <c r="BK1195" s="351"/>
      <c r="BL1195" s="397">
        <f>SUM(BL1186:BL1194)</f>
        <v>-16786</v>
      </c>
      <c r="BM1195" s="397">
        <f>SUM(BM1186:BM1194)</f>
        <v>-16336</v>
      </c>
      <c r="BN1195" s="397">
        <f>SUM(BN1186:BN1194)</f>
        <v>-16336</v>
      </c>
      <c r="BO1195" s="351"/>
      <c r="BP1195" s="397">
        <f>SUM(BP1186:BP1194)</f>
        <v>-16735</v>
      </c>
      <c r="BQ1195" s="397">
        <f>SUM(BQ1186:BQ1194)</f>
        <v>-17751</v>
      </c>
      <c r="BR1195" s="397">
        <f>SUM(BR1186:BR1194)</f>
        <v>-17751</v>
      </c>
      <c r="BS1195" s="351"/>
      <c r="BT1195" s="397">
        <f>SUM(BT1186:BT1194)</f>
        <v>-17801</v>
      </c>
      <c r="BU1195" s="397">
        <f>SUM(BU1186:BU1194)</f>
        <v>-18233</v>
      </c>
      <c r="BV1195" s="397">
        <f>SUM(BV1186:BV1194)</f>
        <v>-18233</v>
      </c>
      <c r="BW1195" s="351"/>
      <c r="BX1195" s="397">
        <f>SUM(BX1186:BX1194)</f>
        <v>-17477</v>
      </c>
      <c r="BY1195" s="397">
        <f>SUM(BY1186:BY1194)</f>
        <v>-18632</v>
      </c>
      <c r="BZ1195" s="397">
        <f>SUM(BZ1186:BZ1194)</f>
        <v>-18632</v>
      </c>
      <c r="CA1195" s="351"/>
      <c r="CB1195" s="397">
        <f>SUM(CB1186:CB1194)</f>
        <v>-19339</v>
      </c>
      <c r="CC1195" s="397">
        <f>SUM(CC1186:CC1194)</f>
        <v>-20679</v>
      </c>
      <c r="CD1195" s="397">
        <f>SUM(CD1186:CD1194)</f>
        <v>-20679</v>
      </c>
      <c r="CE1195" s="351"/>
      <c r="CF1195" s="397">
        <f>SUM(CF1186:CF1194)</f>
        <v>-19906</v>
      </c>
      <c r="CG1195" s="397">
        <f>SUM(CG1186:CG1194)</f>
        <v>-21036</v>
      </c>
      <c r="CH1195" s="397">
        <f>SUM(CH1186:CH1194)</f>
        <v>-21036</v>
      </c>
      <c r="CI1195" s="351"/>
      <c r="CJ1195" s="397">
        <f>SUM(CJ1186:CJ1194)</f>
        <v>-18511</v>
      </c>
      <c r="CK1195" s="397">
        <f>SUM(CK1186:CK1194)</f>
        <v>-19110</v>
      </c>
      <c r="CL1195" s="397">
        <f>SUM(CL1186:CL1194)</f>
        <v>-19110</v>
      </c>
      <c r="CM1195" s="351"/>
      <c r="CN1195" s="397">
        <f>SUM(CN1186:CN1194)</f>
        <v>-17476</v>
      </c>
      <c r="CO1195" s="397">
        <f>SUM(CO1186:CO1194)</f>
        <v>-19403</v>
      </c>
      <c r="CP1195" s="397">
        <f>SUM(CP1186:CP1194)</f>
        <v>-19403</v>
      </c>
      <c r="CQ1195" s="351"/>
      <c r="CR1195" s="397">
        <f>SUM(CR1186:CR1194)</f>
        <v>-19078</v>
      </c>
      <c r="CS1195" s="397">
        <f>SUM(CS1186:CS1194)</f>
        <v>-15705</v>
      </c>
      <c r="CT1195" s="397">
        <f>SUM(CT1186:CT1194)</f>
        <v>-15705</v>
      </c>
      <c r="CU1195" s="351"/>
      <c r="CV1195" s="397">
        <f>SUM(CV1186:CV1194)</f>
        <v>-14873</v>
      </c>
      <c r="CW1195" s="397">
        <f>SUM(CW1186:CW1194)</f>
        <v>-14836</v>
      </c>
      <c r="CX1195" s="397">
        <f>SUM(CX1186:CX1194)</f>
        <v>-14836</v>
      </c>
      <c r="CY1195" s="351"/>
      <c r="CZ1195" s="397">
        <f>SUM(CZ1186:CZ1194)</f>
        <v>-15705</v>
      </c>
      <c r="DA1195" s="397">
        <f>SUM(DA1186:DA1194)</f>
        <v>-15501</v>
      </c>
      <c r="DB1195" s="397">
        <f>SUM(DB1186:DB1194)</f>
        <v>-15501</v>
      </c>
      <c r="DC1195" s="351"/>
      <c r="DD1195" s="397">
        <f>SUM(DD1186:DD1194)</f>
        <v>-16522</v>
      </c>
      <c r="DE1195" s="397">
        <f>SUM(DE1186:DE1194)</f>
        <v>-17961</v>
      </c>
      <c r="DF1195" s="397">
        <f>SUM(DF1186:DF1194)</f>
        <v>-17961</v>
      </c>
      <c r="DG1195" s="351"/>
      <c r="DH1195" s="397">
        <f>SUM(DH1186:DH1194)</f>
        <v>-15439</v>
      </c>
      <c r="DI1195" s="397">
        <f ca="1">SUM(DI1186:DI1194)</f>
        <v>-15726.664897009425</v>
      </c>
      <c r="DJ1195" s="397">
        <f ca="1">SUM(DJ1186:DJ1194)</f>
        <v>-15726.664897009425</v>
      </c>
      <c r="DK1195" s="351"/>
      <c r="DL1195" s="397">
        <f ca="1">SUM(DL1186:DL1194)</f>
        <v>-15989.227903228704</v>
      </c>
      <c r="DM1195" s="397">
        <f ca="1">SUM(DM1186:DM1194)</f>
        <v>-16237.727601935274</v>
      </c>
      <c r="DN1195" s="397">
        <f ca="1">SUM(DN1186:DN1194)</f>
        <v>-16237.727601935274</v>
      </c>
      <c r="DO1195" s="351"/>
      <c r="DP1195" s="397">
        <f ca="1">SUM(DP1186:DP1194)</f>
        <v>-16425.158223424121</v>
      </c>
      <c r="DQ1195" s="397">
        <f ca="1">SUM(DQ1186:DQ1194)</f>
        <v>-16606.984586893064</v>
      </c>
      <c r="DR1195" s="397">
        <f ca="1">SUM(DR1186:DR1194)</f>
        <v>-16606.984586893064</v>
      </c>
      <c r="DS1195" s="351"/>
      <c r="DT1195" s="1"/>
      <c r="DU1195" s="1"/>
      <c r="DV1195" s="1"/>
      <c r="DW1195" s="1"/>
      <c r="DX1195" s="1"/>
      <c r="DY1195" s="1"/>
      <c r="DZ1195" s="1"/>
      <c r="EA1195" s="1"/>
      <c r="EB1195" s="1"/>
      <c r="EC1195" s="1"/>
      <c r="ED1195" s="1"/>
      <c r="EE1195" s="1"/>
      <c r="EF1195" s="1"/>
      <c r="EG1195" s="1"/>
      <c r="EH1195" s="1"/>
      <c r="EI1195" s="1"/>
      <c r="EJ1195" s="1"/>
      <c r="EK1195" s="1"/>
      <c r="EL1195" s="1"/>
      <c r="EM1195" s="1"/>
      <c r="EN1195" s="1"/>
      <c r="EO1195" s="1"/>
      <c r="EP1195" s="1"/>
      <c r="EQ1195" s="1"/>
      <c r="ER1195" s="1"/>
      <c r="ES1195" s="1"/>
      <c r="ET1195" s="1"/>
      <c r="EU1195" s="1"/>
      <c r="EV1195" s="1"/>
      <c r="EW1195" s="1"/>
      <c r="EX1195" s="1"/>
      <c r="EY1195" s="1"/>
      <c r="EZ1195" s="1"/>
      <c r="FA1195" s="1"/>
      <c r="FB1195" s="1"/>
      <c r="FC1195" s="1"/>
      <c r="FD1195" s="1"/>
      <c r="FE1195" s="1"/>
      <c r="FF1195" s="1"/>
      <c r="FG1195" s="1"/>
      <c r="FH1195" s="1"/>
      <c r="FI1195" s="1"/>
      <c r="FJ1195" s="1"/>
      <c r="FK1195" s="1"/>
      <c r="FL1195" s="1"/>
      <c r="FM1195" s="1"/>
      <c r="FN1195" s="1"/>
      <c r="FO1195" s="1"/>
      <c r="FP1195" s="1"/>
      <c r="FQ1195" s="1"/>
      <c r="FR1195" s="1"/>
      <c r="FS1195" s="1"/>
      <c r="FT1195" s="1"/>
      <c r="FU1195" s="1"/>
      <c r="FV1195" s="1"/>
      <c r="FW1195" s="1"/>
      <c r="FX1195" s="1"/>
      <c r="FY1195" s="1"/>
      <c r="FZ1195" s="1"/>
      <c r="GA1195" s="1"/>
      <c r="GB1195" s="1"/>
      <c r="GC1195" s="1"/>
      <c r="GD1195" s="1"/>
      <c r="GE1195" s="1"/>
      <c r="GF1195" s="1"/>
      <c r="GG1195" s="1"/>
      <c r="GH1195" s="1"/>
      <c r="GI1195" s="1"/>
      <c r="GJ1195" s="1"/>
      <c r="GK1195" s="1"/>
      <c r="GL1195" s="1"/>
      <c r="GM1195" s="1"/>
      <c r="GN1195" s="1"/>
      <c r="GO1195" s="1"/>
      <c r="GP1195" s="1"/>
      <c r="GQ1195" s="1"/>
      <c r="GR1195" s="1"/>
      <c r="GS1195" s="1"/>
      <c r="GT1195" s="1"/>
      <c r="GU1195" s="1"/>
      <c r="GV1195" s="1"/>
      <c r="GW1195" s="1"/>
      <c r="GX1195" s="1"/>
      <c r="GY1195" s="1"/>
      <c r="GZ1195" s="1"/>
      <c r="HA1195" s="1"/>
      <c r="HB1195" s="1"/>
      <c r="HC1195" s="1"/>
      <c r="HD1195" s="1"/>
      <c r="HE1195" s="1"/>
      <c r="HF1195" s="1"/>
      <c r="HG1195" s="1"/>
      <c r="HH1195" s="1"/>
      <c r="HI1195" s="1"/>
      <c r="HJ1195" s="1"/>
      <c r="HK1195" s="1"/>
      <c r="HL1195" s="1"/>
      <c r="HM1195" s="1"/>
      <c r="HN1195" s="1"/>
      <c r="HO1195" s="1"/>
      <c r="HP1195" s="1"/>
      <c r="HQ1195" s="1"/>
      <c r="HR1195" s="1"/>
      <c r="HS1195" s="1"/>
      <c r="HT1195" s="1"/>
      <c r="HU1195" s="1"/>
      <c r="HV1195" s="1"/>
      <c r="HW1195" s="1"/>
      <c r="HX1195" s="1"/>
      <c r="HY1195" s="1"/>
      <c r="HZ1195" s="1"/>
      <c r="IA1195" s="1"/>
      <c r="IB1195" s="1"/>
      <c r="IC1195" s="1"/>
      <c r="ID1195" s="1"/>
      <c r="IE1195" s="1"/>
      <c r="IF1195" s="1"/>
      <c r="IG1195" s="1"/>
      <c r="IH1195" s="1"/>
      <c r="II1195" s="1"/>
      <c r="IJ1195" s="1"/>
      <c r="IK1195" s="1"/>
      <c r="IL1195" s="1"/>
      <c r="IM1195" s="1"/>
      <c r="IN1195" s="1"/>
      <c r="IO1195" s="1"/>
      <c r="IP1195" s="1"/>
      <c r="IQ1195" s="1"/>
      <c r="IR1195" s="1"/>
      <c r="IS1195" s="1"/>
      <c r="IT1195" s="1"/>
      <c r="IU1195" s="1"/>
      <c r="IV1195" s="1"/>
      <c r="IW1195" s="1"/>
      <c r="IX1195" s="1"/>
      <c r="IY1195" s="1"/>
      <c r="IZ1195" s="1"/>
      <c r="JA1195" s="1"/>
      <c r="JB1195" s="1"/>
      <c r="JC1195" s="1"/>
      <c r="JD1195" s="1"/>
    </row>
    <row r="1196" spans="1:264" s="347" customFormat="1" x14ac:dyDescent="0.2">
      <c r="A1196" s="411" t="s">
        <v>808</v>
      </c>
      <c r="B1196" s="348"/>
      <c r="BE1196" s="397"/>
      <c r="BH1196" s="396">
        <v>25545</v>
      </c>
      <c r="BI1196" s="397">
        <f>+BI1185+BI1195</f>
        <v>27030</v>
      </c>
      <c r="BJ1196" s="397">
        <f>+BJ1185+BJ1195</f>
        <v>27030</v>
      </c>
      <c r="BK1196" s="351"/>
      <c r="BL1196" s="397">
        <f>+BL1185+BL1195</f>
        <v>28538</v>
      </c>
      <c r="BM1196" s="397">
        <f>+BM1185+BM1195</f>
        <v>31412</v>
      </c>
      <c r="BN1196" s="397">
        <f>+BN1185+BN1195</f>
        <v>31412</v>
      </c>
      <c r="BO1196" s="351"/>
      <c r="BP1196" s="397">
        <f>+BP1185+BP1195</f>
        <v>32585</v>
      </c>
      <c r="BQ1196" s="397">
        <f>+BQ1185+BQ1195</f>
        <v>33398</v>
      </c>
      <c r="BR1196" s="397">
        <f>+BR1185+BR1195</f>
        <v>33398</v>
      </c>
      <c r="BS1196" s="351"/>
      <c r="BT1196" s="397">
        <f>+BT1185+BT1195</f>
        <v>40216</v>
      </c>
      <c r="BU1196" s="397">
        <f>+BU1185+BU1195</f>
        <v>41663</v>
      </c>
      <c r="BV1196" s="397">
        <f>+BV1185+BV1195</f>
        <v>41663</v>
      </c>
      <c r="BW1196" s="351"/>
      <c r="BX1196" s="397">
        <f>+BX1185+BX1195</f>
        <v>43325</v>
      </c>
      <c r="BY1196" s="397">
        <f>+BY1185+BY1195</f>
        <v>44159</v>
      </c>
      <c r="BZ1196" s="397">
        <f>+BZ1185+BZ1195</f>
        <v>44159</v>
      </c>
      <c r="CA1196" s="351"/>
      <c r="CB1196" s="397">
        <f>+CB1185+CB1195</f>
        <v>45942</v>
      </c>
      <c r="CC1196" s="397">
        <f>+CC1185+CC1195</f>
        <v>46470</v>
      </c>
      <c r="CD1196" s="397">
        <f>+CD1185+CD1195</f>
        <v>46470</v>
      </c>
      <c r="CE1196" s="351"/>
      <c r="CF1196" s="397">
        <f>+CF1185+CF1195</f>
        <v>48026</v>
      </c>
      <c r="CG1196" s="397">
        <f>+CG1185+CG1195</f>
        <v>48367</v>
      </c>
      <c r="CH1196" s="397">
        <f>+CH1185+CH1195</f>
        <v>48367</v>
      </c>
      <c r="CI1196" s="351"/>
      <c r="CJ1196" s="397">
        <f>+CJ1185+CJ1195</f>
        <v>52380</v>
      </c>
      <c r="CK1196" s="397">
        <f>+CK1185+CK1195</f>
        <v>52551</v>
      </c>
      <c r="CL1196" s="397">
        <f>+CL1185+CL1195</f>
        <v>52551</v>
      </c>
      <c r="CM1196" s="351"/>
      <c r="CN1196" s="397">
        <f>+CN1185+CN1195</f>
        <v>57075</v>
      </c>
      <c r="CO1196" s="397">
        <f>+CO1185+CO1195</f>
        <v>58836</v>
      </c>
      <c r="CP1196" s="397">
        <f>+CP1185+CP1195</f>
        <v>58836</v>
      </c>
      <c r="CQ1196" s="351"/>
      <c r="CR1196" s="397">
        <f>+CR1185+CR1195</f>
        <v>55464</v>
      </c>
      <c r="CS1196" s="397">
        <f>+CS1185+CS1195</f>
        <v>57023</v>
      </c>
      <c r="CT1196" s="397">
        <f>+CT1185+CT1195</f>
        <v>57023</v>
      </c>
      <c r="CU1196" s="351"/>
      <c r="CV1196" s="397">
        <f>+CV1185+CV1195</f>
        <v>57552</v>
      </c>
      <c r="CW1196" s="397">
        <f>+CW1185+CW1195</f>
        <v>56909</v>
      </c>
      <c r="CX1196" s="397">
        <f>+CX1185+CX1195</f>
        <v>56909</v>
      </c>
      <c r="CY1196" s="351"/>
      <c r="CZ1196" s="397">
        <f>+CZ1185+CZ1195</f>
        <v>57231</v>
      </c>
      <c r="DA1196" s="397">
        <f>+DA1185+DA1195</f>
        <v>57691</v>
      </c>
      <c r="DB1196" s="397">
        <f>+DB1185+DB1195</f>
        <v>57691</v>
      </c>
      <c r="DC1196" s="351"/>
      <c r="DD1196" s="397">
        <f>+DD1185+DD1195</f>
        <v>58871</v>
      </c>
      <c r="DE1196" s="397">
        <f>+DE1185+DE1195</f>
        <v>60967</v>
      </c>
      <c r="DF1196" s="397">
        <f>+DF1185+DF1195</f>
        <v>60967</v>
      </c>
      <c r="DG1196" s="351"/>
      <c r="DH1196" s="397">
        <f>+DH1185+DH1195</f>
        <v>61922</v>
      </c>
      <c r="DI1196" s="397">
        <f ca="1">+DI1185+DI1195</f>
        <v>63326.351952569283</v>
      </c>
      <c r="DJ1196" s="397">
        <f ca="1">+DJ1185+DJ1195</f>
        <v>63326.351952569283</v>
      </c>
      <c r="DK1196" s="351"/>
      <c r="DL1196" s="397">
        <f ca="1">+DL1185+DL1195</f>
        <v>64309.829527800233</v>
      </c>
      <c r="DM1196" s="397">
        <f ca="1">+DM1185+DM1195</f>
        <v>65587.383695239027</v>
      </c>
      <c r="DN1196" s="397">
        <f ca="1">+DN1185+DN1195</f>
        <v>65587.383695239027</v>
      </c>
      <c r="DO1196" s="351"/>
      <c r="DP1196" s="397">
        <f ca="1">+DP1185+DP1195</f>
        <v>66520.232832290305</v>
      </c>
      <c r="DQ1196" s="397">
        <f ca="1">+DQ1185+DQ1195</f>
        <v>67947.675340228219</v>
      </c>
      <c r="DR1196" s="397">
        <f ca="1">+DR1185+DR1195</f>
        <v>67947.675340228219</v>
      </c>
      <c r="DS1196" s="351"/>
      <c r="DT1196" s="1"/>
      <c r="DU1196" s="1"/>
      <c r="DV1196" s="1"/>
      <c r="DW1196" s="1"/>
      <c r="DX1196" s="1"/>
      <c r="DY1196" s="1"/>
      <c r="DZ1196" s="1"/>
      <c r="EA1196" s="1"/>
      <c r="EB1196" s="1"/>
      <c r="EC1196" s="1"/>
      <c r="ED1196" s="1"/>
      <c r="EE1196" s="1"/>
      <c r="EF1196" s="1"/>
      <c r="EG1196" s="1"/>
      <c r="EH1196" s="1"/>
      <c r="EI1196" s="1"/>
      <c r="EJ1196" s="1"/>
      <c r="EK1196" s="1"/>
      <c r="EL1196" s="1"/>
      <c r="EM1196" s="1"/>
      <c r="EN1196" s="1"/>
      <c r="EO1196" s="1"/>
      <c r="EP1196" s="1"/>
      <c r="EQ1196" s="1"/>
      <c r="ER1196" s="1"/>
      <c r="ES1196" s="1"/>
      <c r="ET1196" s="1"/>
      <c r="EU1196" s="1"/>
      <c r="EV1196" s="1"/>
      <c r="EW1196" s="1"/>
      <c r="EX1196" s="1"/>
      <c r="EY1196" s="1"/>
      <c r="EZ1196" s="1"/>
      <c r="FA1196" s="1"/>
      <c r="FB1196" s="1"/>
      <c r="FC1196" s="1"/>
      <c r="FD1196" s="1"/>
      <c r="FE1196" s="1"/>
      <c r="FF1196" s="1"/>
      <c r="FG1196" s="1"/>
      <c r="FH1196" s="1"/>
      <c r="FI1196" s="1"/>
      <c r="FJ1196" s="1"/>
      <c r="FK1196" s="1"/>
      <c r="FL1196" s="1"/>
      <c r="FM1196" s="1"/>
      <c r="FN1196" s="1"/>
      <c r="FO1196" s="1"/>
      <c r="FP1196" s="1"/>
      <c r="FQ1196" s="1"/>
      <c r="FR1196" s="1"/>
      <c r="FS1196" s="1"/>
      <c r="FT1196" s="1"/>
      <c r="FU1196" s="1"/>
      <c r="FV1196" s="1"/>
      <c r="FW1196" s="1"/>
      <c r="FX1196" s="1"/>
      <c r="FY1196" s="1"/>
      <c r="FZ1196" s="1"/>
      <c r="GA1196" s="1"/>
      <c r="GB1196" s="1"/>
      <c r="GC1196" s="1"/>
      <c r="GD1196" s="1"/>
      <c r="GE1196" s="1"/>
      <c r="GF1196" s="1"/>
      <c r="GG1196" s="1"/>
      <c r="GH1196" s="1"/>
      <c r="GI1196" s="1"/>
      <c r="GJ1196" s="1"/>
      <c r="GK1196" s="1"/>
      <c r="GL1196" s="1"/>
      <c r="GM1196" s="1"/>
      <c r="GN1196" s="1"/>
      <c r="GO1196" s="1"/>
      <c r="GP1196" s="1"/>
      <c r="GQ1196" s="1"/>
      <c r="GR1196" s="1"/>
      <c r="GS1196" s="1"/>
      <c r="GT1196" s="1"/>
      <c r="GU1196" s="1"/>
      <c r="GV1196" s="1"/>
      <c r="GW1196" s="1"/>
      <c r="GX1196" s="1"/>
      <c r="GY1196" s="1"/>
      <c r="GZ1196" s="1"/>
      <c r="HA1196" s="1"/>
      <c r="HB1196" s="1"/>
      <c r="HC1196" s="1"/>
      <c r="HD1196" s="1"/>
      <c r="HE1196" s="1"/>
      <c r="HF1196" s="1"/>
      <c r="HG1196" s="1"/>
      <c r="HH1196" s="1"/>
      <c r="HI1196" s="1"/>
      <c r="HJ1196" s="1"/>
      <c r="HK1196" s="1"/>
      <c r="HL1196" s="1"/>
      <c r="HM1196" s="1"/>
      <c r="HN1196" s="1"/>
      <c r="HO1196" s="1"/>
      <c r="HP1196" s="1"/>
      <c r="HQ1196" s="1"/>
      <c r="HR1196" s="1"/>
      <c r="HS1196" s="1"/>
      <c r="HT1196" s="1"/>
      <c r="HU1196" s="1"/>
      <c r="HV1196" s="1"/>
      <c r="HW1196" s="1"/>
      <c r="HX1196" s="1"/>
      <c r="HY1196" s="1"/>
      <c r="HZ1196" s="1"/>
      <c r="IA1196" s="1"/>
      <c r="IB1196" s="1"/>
      <c r="IC1196" s="1"/>
      <c r="ID1196" s="1"/>
      <c r="IE1196" s="1"/>
      <c r="IF1196" s="1"/>
      <c r="IG1196" s="1"/>
      <c r="IH1196" s="1"/>
      <c r="II1196" s="1"/>
      <c r="IJ1196" s="1"/>
      <c r="IK1196" s="1"/>
      <c r="IL1196" s="1"/>
      <c r="IM1196" s="1"/>
      <c r="IN1196" s="1"/>
      <c r="IO1196" s="1"/>
      <c r="IP1196" s="1"/>
      <c r="IQ1196" s="1"/>
      <c r="IR1196" s="1"/>
      <c r="IS1196" s="1"/>
      <c r="IT1196" s="1"/>
      <c r="IU1196" s="1"/>
      <c r="IV1196" s="1"/>
      <c r="IW1196" s="1"/>
      <c r="IX1196" s="1"/>
      <c r="IY1196" s="1"/>
      <c r="IZ1196" s="1"/>
      <c r="JA1196" s="1"/>
      <c r="JB1196" s="1"/>
      <c r="JC1196" s="1"/>
      <c r="JD1196" s="1"/>
    </row>
    <row r="1197" spans="1:264" s="347" customFormat="1" x14ac:dyDescent="0.2">
      <c r="A1197" s="347" t="s">
        <v>809</v>
      </c>
      <c r="B1197" s="348"/>
      <c r="BE1197" s="398"/>
      <c r="BH1197" s="398">
        <v>2000</v>
      </c>
      <c r="BI1197" s="398">
        <v>2000</v>
      </c>
      <c r="BJ1197" s="351">
        <f>BI1197</f>
        <v>2000</v>
      </c>
      <c r="BK1197" s="351"/>
      <c r="BL1197" s="398">
        <v>2000</v>
      </c>
      <c r="BM1197" s="398">
        <v>2000</v>
      </c>
      <c r="BN1197" s="351">
        <f>BM1197</f>
        <v>2000</v>
      </c>
      <c r="BO1197" s="351"/>
      <c r="BP1197" s="398">
        <v>5000</v>
      </c>
      <c r="BQ1197" s="398">
        <v>5000</v>
      </c>
      <c r="BR1197" s="351">
        <f>BQ1197</f>
        <v>5000</v>
      </c>
      <c r="BS1197" s="351"/>
      <c r="BT1197" s="398">
        <v>5000</v>
      </c>
      <c r="BU1197" s="398">
        <v>6450</v>
      </c>
      <c r="BV1197" s="351">
        <f>BU1197</f>
        <v>6450</v>
      </c>
      <c r="BW1197" s="351"/>
      <c r="BX1197" s="398">
        <v>6450</v>
      </c>
      <c r="BY1197" s="398">
        <v>8090</v>
      </c>
      <c r="BZ1197" s="351">
        <f>BY1197</f>
        <v>8090</v>
      </c>
      <c r="CA1197" s="351"/>
      <c r="CB1197" s="398">
        <v>8090</v>
      </c>
      <c r="CC1197" s="398">
        <v>9455</v>
      </c>
      <c r="CD1197" s="351">
        <f>CC1197</f>
        <v>9455</v>
      </c>
      <c r="CE1197" s="351"/>
      <c r="CF1197" s="398">
        <v>9045</v>
      </c>
      <c r="CG1197" s="398">
        <v>9045</v>
      </c>
      <c r="CH1197" s="351">
        <f>CG1197</f>
        <v>9045</v>
      </c>
      <c r="CI1197" s="351"/>
      <c r="CJ1197" s="398">
        <v>10695</v>
      </c>
      <c r="CK1197" s="398">
        <v>10695</v>
      </c>
      <c r="CL1197" s="351">
        <f>CK1197</f>
        <v>10695</v>
      </c>
      <c r="CM1197" s="351"/>
      <c r="CN1197" s="398">
        <v>10695</v>
      </c>
      <c r="CO1197" s="398">
        <v>11875</v>
      </c>
      <c r="CP1197" s="351">
        <f>CO1197</f>
        <v>11875</v>
      </c>
      <c r="CQ1197" s="351"/>
      <c r="CR1197" s="398">
        <v>10425</v>
      </c>
      <c r="CS1197" s="398">
        <v>10535</v>
      </c>
      <c r="CT1197" s="351">
        <f>CS1197</f>
        <v>10535</v>
      </c>
      <c r="CU1197" s="351"/>
      <c r="CV1197" s="398">
        <v>9312</v>
      </c>
      <c r="CW1197" s="398">
        <v>10862</v>
      </c>
      <c r="CX1197" s="351">
        <f>CW1197</f>
        <v>10862</v>
      </c>
      <c r="CY1197" s="351"/>
      <c r="CZ1197" s="398">
        <v>10862</v>
      </c>
      <c r="DA1197" s="398">
        <v>9272</v>
      </c>
      <c r="DB1197" s="351">
        <f>DA1197</f>
        <v>9272</v>
      </c>
      <c r="DC1197" s="351"/>
      <c r="DD1197" s="398">
        <v>9272</v>
      </c>
      <c r="DE1197" s="398">
        <v>7907</v>
      </c>
      <c r="DF1197" s="351">
        <f>DE1197</f>
        <v>7907</v>
      </c>
      <c r="DG1197" s="351"/>
      <c r="DH1197" s="398">
        <v>7907</v>
      </c>
      <c r="DI1197" s="351">
        <f>DI1282</f>
        <v>7907</v>
      </c>
      <c r="DJ1197" s="351">
        <f>DI1197</f>
        <v>7907</v>
      </c>
      <c r="DK1197" s="351"/>
      <c r="DL1197" s="351">
        <f>DL1282</f>
        <v>7907</v>
      </c>
      <c r="DM1197" s="351">
        <f>DM1282</f>
        <v>7907</v>
      </c>
      <c r="DN1197" s="351">
        <f>DM1197</f>
        <v>7907</v>
      </c>
      <c r="DO1197" s="351"/>
      <c r="DP1197" s="351">
        <f>DP1282</f>
        <v>7907</v>
      </c>
      <c r="DQ1197" s="351">
        <f>DQ1282</f>
        <v>7907</v>
      </c>
      <c r="DR1197" s="351">
        <f>DQ1197</f>
        <v>7907</v>
      </c>
      <c r="DS1197" s="351"/>
      <c r="DT1197" s="1"/>
      <c r="DU1197" s="1"/>
      <c r="DV1197" s="1"/>
      <c r="DW1197" s="1"/>
      <c r="DX1197" s="1"/>
      <c r="DY1197" s="1"/>
      <c r="DZ1197" s="1"/>
      <c r="EA1197" s="1"/>
      <c r="EB1197" s="1"/>
      <c r="EC1197" s="1"/>
      <c r="ED1197" s="1"/>
      <c r="EE1197" s="1"/>
      <c r="EF1197" s="1"/>
      <c r="EG1197" s="1"/>
      <c r="EH1197" s="1"/>
      <c r="EI1197" s="1"/>
      <c r="EJ1197" s="1"/>
      <c r="EK1197" s="1"/>
      <c r="EL1197" s="1"/>
      <c r="EM1197" s="1"/>
      <c r="EN1197" s="1"/>
      <c r="EO1197" s="1"/>
      <c r="EP1197" s="1"/>
      <c r="EQ1197" s="1"/>
      <c r="ER1197" s="1"/>
      <c r="ES1197" s="1"/>
      <c r="ET1197" s="1"/>
      <c r="EU1197" s="1"/>
      <c r="EV1197" s="1"/>
      <c r="EW1197" s="1"/>
      <c r="EX1197" s="1"/>
      <c r="EY1197" s="1"/>
      <c r="EZ1197" s="1"/>
      <c r="FA1197" s="1"/>
      <c r="FB1197" s="1"/>
      <c r="FC1197" s="1"/>
      <c r="FD1197" s="1"/>
      <c r="FE1197" s="1"/>
      <c r="FF1197" s="1"/>
      <c r="FG1197" s="1"/>
      <c r="FH1197" s="1"/>
      <c r="FI1197" s="1"/>
      <c r="FJ1197" s="1"/>
      <c r="FK1197" s="1"/>
      <c r="FL1197" s="1"/>
      <c r="FM1197" s="1"/>
      <c r="FN1197" s="1"/>
      <c r="FO1197" s="1"/>
      <c r="FP1197" s="1"/>
      <c r="FQ1197" s="1"/>
      <c r="FR1197" s="1"/>
      <c r="FS1197" s="1"/>
      <c r="FT1197" s="1"/>
      <c r="FU1197" s="1"/>
      <c r="FV1197" s="1"/>
      <c r="FW1197" s="1"/>
      <c r="FX1197" s="1"/>
      <c r="FY1197" s="1"/>
      <c r="FZ1197" s="1"/>
      <c r="GA1197" s="1"/>
      <c r="GB1197" s="1"/>
      <c r="GC1197" s="1"/>
      <c r="GD1197" s="1"/>
      <c r="GE1197" s="1"/>
      <c r="GF1197" s="1"/>
      <c r="GG1197" s="1"/>
      <c r="GH1197" s="1"/>
      <c r="GI1197" s="1"/>
      <c r="GJ1197" s="1"/>
      <c r="GK1197" s="1"/>
      <c r="GL1197" s="1"/>
      <c r="GM1197" s="1"/>
      <c r="GN1197" s="1"/>
      <c r="GO1197" s="1"/>
      <c r="GP1197" s="1"/>
      <c r="GQ1197" s="1"/>
      <c r="GR1197" s="1"/>
      <c r="GS1197" s="1"/>
      <c r="GT1197" s="1"/>
      <c r="GU1197" s="1"/>
      <c r="GV1197" s="1"/>
      <c r="GW1197" s="1"/>
      <c r="GX1197" s="1"/>
      <c r="GY1197" s="1"/>
      <c r="GZ1197" s="1"/>
      <c r="HA1197" s="1"/>
      <c r="HB1197" s="1"/>
      <c r="HC1197" s="1"/>
      <c r="HD1197" s="1"/>
      <c r="HE1197" s="1"/>
      <c r="HF1197" s="1"/>
      <c r="HG1197" s="1"/>
      <c r="HH1197" s="1"/>
      <c r="HI1197" s="1"/>
      <c r="HJ1197" s="1"/>
      <c r="HK1197" s="1"/>
      <c r="HL1197" s="1"/>
      <c r="HM1197" s="1"/>
      <c r="HN1197" s="1"/>
      <c r="HO1197" s="1"/>
      <c r="HP1197" s="1"/>
      <c r="HQ1197" s="1"/>
      <c r="HR1197" s="1"/>
      <c r="HS1197" s="1"/>
      <c r="HT1197" s="1"/>
      <c r="HU1197" s="1"/>
      <c r="HV1197" s="1"/>
      <c r="HW1197" s="1"/>
      <c r="HX1197" s="1"/>
      <c r="HY1197" s="1"/>
      <c r="HZ1197" s="1"/>
      <c r="IA1197" s="1"/>
      <c r="IB1197" s="1"/>
      <c r="IC1197" s="1"/>
      <c r="ID1197" s="1"/>
      <c r="IE1197" s="1"/>
      <c r="IF1197" s="1"/>
      <c r="IG1197" s="1"/>
      <c r="IH1197" s="1"/>
      <c r="II1197" s="1"/>
      <c r="IJ1197" s="1"/>
      <c r="IK1197" s="1"/>
      <c r="IL1197" s="1"/>
      <c r="IM1197" s="1"/>
      <c r="IN1197" s="1"/>
      <c r="IO1197" s="1"/>
      <c r="IP1197" s="1"/>
      <c r="IQ1197" s="1"/>
      <c r="IR1197" s="1"/>
      <c r="IS1197" s="1"/>
      <c r="IT1197" s="1"/>
      <c r="IU1197" s="1"/>
      <c r="IV1197" s="1"/>
      <c r="IW1197" s="1"/>
      <c r="IX1197" s="1"/>
      <c r="IY1197" s="1"/>
      <c r="IZ1197" s="1"/>
      <c r="JA1197" s="1"/>
      <c r="JB1197" s="1"/>
      <c r="JC1197" s="1"/>
      <c r="JD1197" s="1"/>
    </row>
    <row r="1198" spans="1:264" s="347" customFormat="1" x14ac:dyDescent="0.2">
      <c r="A1198" s="347" t="s">
        <v>810</v>
      </c>
      <c r="B1198" s="348"/>
      <c r="BE1198" s="398"/>
      <c r="BH1198" s="398">
        <v>4720</v>
      </c>
      <c r="BI1198" s="398">
        <v>4720</v>
      </c>
      <c r="BJ1198" s="351">
        <f>BI1198</f>
        <v>4720</v>
      </c>
      <c r="BK1198" s="351"/>
      <c r="BL1198" s="398">
        <v>4720</v>
      </c>
      <c r="BM1198" s="398">
        <v>4196</v>
      </c>
      <c r="BN1198" s="351">
        <f>BM1198</f>
        <v>4196</v>
      </c>
      <c r="BO1198" s="351"/>
      <c r="BP1198" s="398">
        <v>3413</v>
      </c>
      <c r="BQ1198" s="398">
        <v>2749</v>
      </c>
      <c r="BR1198" s="351">
        <f>BQ1198</f>
        <v>2749</v>
      </c>
      <c r="BS1198" s="351"/>
      <c r="BT1198" s="398">
        <v>2756</v>
      </c>
      <c r="BU1198" s="398">
        <f>640-200</f>
        <v>440</v>
      </c>
      <c r="BV1198" s="351">
        <f>BU1198</f>
        <v>440</v>
      </c>
      <c r="BW1198" s="351"/>
      <c r="BX1198" s="398">
        <f>643-200</f>
        <v>443</v>
      </c>
      <c r="BY1198" s="398">
        <f>635-200</f>
        <v>435</v>
      </c>
      <c r="BZ1198" s="351">
        <f>BY1198</f>
        <v>435</v>
      </c>
      <c r="CA1198" s="351"/>
      <c r="CB1198" s="398">
        <f>633-200</f>
        <v>433</v>
      </c>
      <c r="CC1198" s="398">
        <f>640-200</f>
        <v>440</v>
      </c>
      <c r="CD1198" s="351">
        <f>CC1198</f>
        <v>440</v>
      </c>
      <c r="CE1198" s="351"/>
      <c r="CF1198" s="398">
        <f>647-200</f>
        <v>447</v>
      </c>
      <c r="CG1198" s="398">
        <f>143-200</f>
        <v>-57</v>
      </c>
      <c r="CH1198" s="351">
        <f>CG1198</f>
        <v>-57</v>
      </c>
      <c r="CI1198" s="351"/>
      <c r="CJ1198" s="398">
        <v>143</v>
      </c>
      <c r="CK1198" s="398">
        <v>146</v>
      </c>
      <c r="CL1198" s="351">
        <f>CK1198</f>
        <v>146</v>
      </c>
      <c r="CM1198" s="351"/>
      <c r="CN1198" s="398">
        <v>130</v>
      </c>
      <c r="CO1198" s="398">
        <v>133</v>
      </c>
      <c r="CP1198" s="351">
        <f>CO1198</f>
        <v>133</v>
      </c>
      <c r="CQ1198" s="351"/>
      <c r="CR1198" s="398">
        <v>138</v>
      </c>
      <c r="CS1198" s="398">
        <v>0</v>
      </c>
      <c r="CT1198" s="351">
        <f>CS1198</f>
        <v>0</v>
      </c>
      <c r="CU1198" s="351"/>
      <c r="CV1198" s="398">
        <v>0</v>
      </c>
      <c r="CW1198" s="398">
        <v>0</v>
      </c>
      <c r="CX1198" s="351">
        <f>CW1198</f>
        <v>0</v>
      </c>
      <c r="CY1198" s="351"/>
      <c r="CZ1198" s="398">
        <v>0</v>
      </c>
      <c r="DA1198" s="398">
        <v>0</v>
      </c>
      <c r="DB1198" s="351">
        <f>DA1198</f>
        <v>0</v>
      </c>
      <c r="DC1198" s="351"/>
      <c r="DD1198" s="398">
        <v>0</v>
      </c>
      <c r="DE1198" s="398">
        <v>0</v>
      </c>
      <c r="DF1198" s="351">
        <f>DE1198</f>
        <v>0</v>
      </c>
      <c r="DG1198" s="351"/>
      <c r="DH1198" s="398">
        <v>0</v>
      </c>
      <c r="DI1198" s="351">
        <f>+DI1296+DI1298</f>
        <v>0</v>
      </c>
      <c r="DJ1198" s="351">
        <f>+DJ1296+DJ1298</f>
        <v>0</v>
      </c>
      <c r="DK1198" s="351"/>
      <c r="DL1198" s="351">
        <f>+DL1296+DL1298</f>
        <v>0</v>
      </c>
      <c r="DM1198" s="351">
        <f>+DM1296+DM1298</f>
        <v>0</v>
      </c>
      <c r="DN1198" s="351">
        <f>+DN1296+DN1298</f>
        <v>0</v>
      </c>
      <c r="DO1198" s="351"/>
      <c r="DP1198" s="351">
        <f>+DP1296+DP1298</f>
        <v>0</v>
      </c>
      <c r="DQ1198" s="351">
        <f>+DQ1296+DQ1298</f>
        <v>0</v>
      </c>
      <c r="DR1198" s="351">
        <f>+DR1296+DR1298</f>
        <v>0</v>
      </c>
      <c r="DS1198" s="351"/>
      <c r="DT1198" s="1"/>
      <c r="DU1198" s="1"/>
      <c r="DV1198" s="1"/>
      <c r="DW1198" s="1"/>
      <c r="DX1198" s="1"/>
      <c r="DY1198" s="1"/>
      <c r="DZ1198" s="1"/>
      <c r="EA1198" s="1"/>
      <c r="EB1198" s="1"/>
      <c r="EC1198" s="1"/>
      <c r="ED1198" s="1"/>
      <c r="EE1198" s="1"/>
      <c r="EF1198" s="1"/>
      <c r="EG1198" s="1"/>
      <c r="EH1198" s="1"/>
      <c r="EI1198" s="1"/>
      <c r="EJ1198" s="1"/>
      <c r="EK1198" s="1"/>
      <c r="EL1198" s="1"/>
      <c r="EM1198" s="1"/>
      <c r="EN1198" s="1"/>
      <c r="EO1198" s="1"/>
      <c r="EP1198" s="1"/>
      <c r="EQ1198" s="1"/>
      <c r="ER1198" s="1"/>
      <c r="ES1198" s="1"/>
      <c r="ET1198" s="1"/>
      <c r="EU1198" s="1"/>
      <c r="EV1198" s="1"/>
      <c r="EW1198" s="1"/>
      <c r="EX1198" s="1"/>
      <c r="EY1198" s="1"/>
      <c r="EZ1198" s="1"/>
      <c r="FA1198" s="1"/>
      <c r="FB1198" s="1"/>
      <c r="FC1198" s="1"/>
      <c r="FD1198" s="1"/>
      <c r="FE1198" s="1"/>
      <c r="FF1198" s="1"/>
      <c r="FG1198" s="1"/>
      <c r="FH1198" s="1"/>
      <c r="FI1198" s="1"/>
      <c r="FJ1198" s="1"/>
      <c r="FK1198" s="1"/>
      <c r="FL1198" s="1"/>
      <c r="FM1198" s="1"/>
      <c r="FN1198" s="1"/>
      <c r="FO1198" s="1"/>
      <c r="FP1198" s="1"/>
      <c r="FQ1198" s="1"/>
      <c r="FR1198" s="1"/>
      <c r="FS1198" s="1"/>
      <c r="FT1198" s="1"/>
      <c r="FU1198" s="1"/>
      <c r="FV1198" s="1"/>
      <c r="FW1198" s="1"/>
      <c r="FX1198" s="1"/>
      <c r="FY1198" s="1"/>
      <c r="FZ1198" s="1"/>
      <c r="GA1198" s="1"/>
      <c r="GB1198" s="1"/>
      <c r="GC1198" s="1"/>
      <c r="GD1198" s="1"/>
      <c r="GE1198" s="1"/>
      <c r="GF1198" s="1"/>
      <c r="GG1198" s="1"/>
      <c r="GH1198" s="1"/>
      <c r="GI1198" s="1"/>
      <c r="GJ1198" s="1"/>
      <c r="GK1198" s="1"/>
      <c r="GL1198" s="1"/>
      <c r="GM1198" s="1"/>
      <c r="GN1198" s="1"/>
      <c r="GO1198" s="1"/>
      <c r="GP1198" s="1"/>
      <c r="GQ1198" s="1"/>
      <c r="GR1198" s="1"/>
      <c r="GS1198" s="1"/>
      <c r="GT1198" s="1"/>
      <c r="GU1198" s="1"/>
      <c r="GV1198" s="1"/>
      <c r="GW1198" s="1"/>
      <c r="GX1198" s="1"/>
      <c r="GY1198" s="1"/>
      <c r="GZ1198" s="1"/>
      <c r="HA1198" s="1"/>
      <c r="HB1198" s="1"/>
      <c r="HC1198" s="1"/>
      <c r="HD1198" s="1"/>
      <c r="HE1198" s="1"/>
      <c r="HF1198" s="1"/>
      <c r="HG1198" s="1"/>
      <c r="HH1198" s="1"/>
      <c r="HI1198" s="1"/>
      <c r="HJ1198" s="1"/>
      <c r="HK1198" s="1"/>
      <c r="HL1198" s="1"/>
      <c r="HM1198" s="1"/>
      <c r="HN1198" s="1"/>
      <c r="HO1198" s="1"/>
      <c r="HP1198" s="1"/>
      <c r="HQ1198" s="1"/>
      <c r="HR1198" s="1"/>
      <c r="HS1198" s="1"/>
      <c r="HT1198" s="1"/>
      <c r="HU1198" s="1"/>
      <c r="HV1198" s="1"/>
      <c r="HW1198" s="1"/>
      <c r="HX1198" s="1"/>
      <c r="HY1198" s="1"/>
      <c r="HZ1198" s="1"/>
      <c r="IA1198" s="1"/>
      <c r="IB1198" s="1"/>
      <c r="IC1198" s="1"/>
      <c r="ID1198" s="1"/>
      <c r="IE1198" s="1"/>
      <c r="IF1198" s="1"/>
      <c r="IG1198" s="1"/>
      <c r="IH1198" s="1"/>
      <c r="II1198" s="1"/>
      <c r="IJ1198" s="1"/>
      <c r="IK1198" s="1"/>
      <c r="IL1198" s="1"/>
      <c r="IM1198" s="1"/>
      <c r="IN1198" s="1"/>
      <c r="IO1198" s="1"/>
      <c r="IP1198" s="1"/>
      <c r="IQ1198" s="1"/>
      <c r="IR1198" s="1"/>
      <c r="IS1198" s="1"/>
      <c r="IT1198" s="1"/>
      <c r="IU1198" s="1"/>
      <c r="IV1198" s="1"/>
      <c r="IW1198" s="1"/>
      <c r="IX1198" s="1"/>
      <c r="IY1198" s="1"/>
      <c r="IZ1198" s="1"/>
      <c r="JA1198" s="1"/>
      <c r="JB1198" s="1"/>
      <c r="JC1198" s="1"/>
      <c r="JD1198" s="1"/>
    </row>
    <row r="1199" spans="1:264" s="347" customFormat="1" x14ac:dyDescent="0.2">
      <c r="A1199" s="411" t="s">
        <v>811</v>
      </c>
      <c r="B1199" s="348"/>
      <c r="BE1199" s="397"/>
      <c r="BH1199" s="397">
        <f>SUM(BH1197:BH1198)</f>
        <v>6720</v>
      </c>
      <c r="BI1199" s="397">
        <f>SUM(BI1197:BI1198)</f>
        <v>6720</v>
      </c>
      <c r="BJ1199" s="397">
        <f>SUM(BJ1197:BJ1198)</f>
        <v>6720</v>
      </c>
      <c r="BK1199" s="351"/>
      <c r="BL1199" s="397">
        <f>SUM(BL1197:BL1198)</f>
        <v>6720</v>
      </c>
      <c r="BM1199" s="397">
        <f>SUM(BM1197:BM1198)</f>
        <v>6196</v>
      </c>
      <c r="BN1199" s="397">
        <f>SUM(BN1197:BN1198)</f>
        <v>6196</v>
      </c>
      <c r="BO1199" s="351"/>
      <c r="BP1199" s="397">
        <f>SUM(BP1197:BP1198)</f>
        <v>8413</v>
      </c>
      <c r="BQ1199" s="397">
        <f>SUM(BQ1197:BQ1198)</f>
        <v>7749</v>
      </c>
      <c r="BR1199" s="397">
        <f>SUM(BR1197:BR1198)</f>
        <v>7749</v>
      </c>
      <c r="BS1199" s="351"/>
      <c r="BT1199" s="397">
        <f>SUM(BT1197:BT1198)</f>
        <v>7756</v>
      </c>
      <c r="BU1199" s="397">
        <f>SUM(BU1197:BU1198)</f>
        <v>6890</v>
      </c>
      <c r="BV1199" s="397">
        <f>SUM(BV1197:BV1198)</f>
        <v>6890</v>
      </c>
      <c r="BW1199" s="351"/>
      <c r="BX1199" s="397">
        <f>SUM(BX1197:BX1198)</f>
        <v>6893</v>
      </c>
      <c r="BY1199" s="397">
        <f>SUM(BY1197:BY1198)</f>
        <v>8525</v>
      </c>
      <c r="BZ1199" s="397">
        <f>SUM(BZ1197:BZ1198)</f>
        <v>8525</v>
      </c>
      <c r="CA1199" s="351"/>
      <c r="CB1199" s="397">
        <f>SUM(CB1197:CB1198)</f>
        <v>8523</v>
      </c>
      <c r="CC1199" s="397">
        <f>SUM(CC1197:CC1198)</f>
        <v>9895</v>
      </c>
      <c r="CD1199" s="397">
        <f>SUM(CD1197:CD1198)</f>
        <v>9895</v>
      </c>
      <c r="CE1199" s="351"/>
      <c r="CF1199" s="397">
        <f>SUM(CF1197:CF1198)</f>
        <v>9492</v>
      </c>
      <c r="CG1199" s="397">
        <f>SUM(CG1197:CG1198)</f>
        <v>8988</v>
      </c>
      <c r="CH1199" s="397">
        <f>SUM(CH1197:CH1198)</f>
        <v>8988</v>
      </c>
      <c r="CI1199" s="351"/>
      <c r="CJ1199" s="397">
        <f>SUM(CJ1197:CJ1198)</f>
        <v>10838</v>
      </c>
      <c r="CK1199" s="397">
        <f>SUM(CK1197:CK1198)</f>
        <v>10841</v>
      </c>
      <c r="CL1199" s="397">
        <f>SUM(CL1197:CL1198)</f>
        <v>10841</v>
      </c>
      <c r="CM1199" s="351"/>
      <c r="CN1199" s="397">
        <f>SUM(CN1197:CN1198)</f>
        <v>10825</v>
      </c>
      <c r="CO1199" s="397">
        <f>SUM(CO1197:CO1198)</f>
        <v>12008</v>
      </c>
      <c r="CP1199" s="397">
        <f>SUM(CP1197:CP1198)</f>
        <v>12008</v>
      </c>
      <c r="CQ1199" s="351"/>
      <c r="CR1199" s="397">
        <f>SUM(CR1197:CR1198)</f>
        <v>10563</v>
      </c>
      <c r="CS1199" s="397">
        <f>SUM(CS1197:CS1198)</f>
        <v>10535</v>
      </c>
      <c r="CT1199" s="397">
        <f>SUM(CT1197:CT1198)</f>
        <v>10535</v>
      </c>
      <c r="CU1199" s="351"/>
      <c r="CV1199" s="397">
        <f>SUM(CV1197:CV1198)</f>
        <v>9312</v>
      </c>
      <c r="CW1199" s="397">
        <f>SUM(CW1197:CW1198)</f>
        <v>10862</v>
      </c>
      <c r="CX1199" s="397">
        <f>SUM(CX1197:CX1198)</f>
        <v>10862</v>
      </c>
      <c r="CY1199" s="351"/>
      <c r="CZ1199" s="397">
        <f>SUM(CZ1197:CZ1198)</f>
        <v>10862</v>
      </c>
      <c r="DA1199" s="397">
        <f>SUM(DA1197:DA1198)</f>
        <v>9272</v>
      </c>
      <c r="DB1199" s="397">
        <f>SUM(DB1197:DB1198)</f>
        <v>9272</v>
      </c>
      <c r="DC1199" s="351"/>
      <c r="DD1199" s="397">
        <f>SUM(DD1197:DD1198)</f>
        <v>9272</v>
      </c>
      <c r="DE1199" s="397">
        <f>SUM(DE1197:DE1198)</f>
        <v>7907</v>
      </c>
      <c r="DF1199" s="397">
        <f>SUM(DF1197:DF1198)</f>
        <v>7907</v>
      </c>
      <c r="DG1199" s="351"/>
      <c r="DH1199" s="397">
        <f>SUM(DH1197:DH1198)</f>
        <v>7907</v>
      </c>
      <c r="DI1199" s="397">
        <f>SUM(DI1197:DI1198)</f>
        <v>7907</v>
      </c>
      <c r="DJ1199" s="397">
        <f>SUM(DJ1197:DJ1198)</f>
        <v>7907</v>
      </c>
      <c r="DK1199" s="351"/>
      <c r="DL1199" s="397">
        <f>SUM(DL1197:DL1198)</f>
        <v>7907</v>
      </c>
      <c r="DM1199" s="397">
        <f>SUM(DM1197:DM1198)</f>
        <v>7907</v>
      </c>
      <c r="DN1199" s="397">
        <f>SUM(DN1197:DN1198)</f>
        <v>7907</v>
      </c>
      <c r="DO1199" s="351"/>
      <c r="DP1199" s="397">
        <f>SUM(DP1197:DP1198)</f>
        <v>7907</v>
      </c>
      <c r="DQ1199" s="397">
        <f>SUM(DQ1197:DQ1198)</f>
        <v>7907</v>
      </c>
      <c r="DR1199" s="397">
        <f>SUM(DR1197:DR1198)</f>
        <v>7907</v>
      </c>
      <c r="DS1199" s="351"/>
      <c r="DT1199" s="1"/>
      <c r="DU1199" s="1"/>
      <c r="DV1199" s="1"/>
      <c r="DW1199" s="1"/>
      <c r="DX1199" s="1"/>
      <c r="DY1199" s="1"/>
      <c r="DZ1199" s="1"/>
      <c r="EA1199" s="1"/>
      <c r="EB1199" s="1"/>
      <c r="EC1199" s="1"/>
      <c r="ED1199" s="1"/>
      <c r="EE1199" s="1"/>
      <c r="EF1199" s="1"/>
      <c r="EG1199" s="1"/>
      <c r="EH1199" s="1"/>
      <c r="EI1199" s="1"/>
      <c r="EJ1199" s="1"/>
      <c r="EK1199" s="1"/>
      <c r="EL1199" s="1"/>
      <c r="EM1199" s="1"/>
      <c r="EN1199" s="1"/>
      <c r="EO1199" s="1"/>
      <c r="EP1199" s="1"/>
      <c r="EQ1199" s="1"/>
      <c r="ER1199" s="1"/>
      <c r="ES1199" s="1"/>
      <c r="ET1199" s="1"/>
      <c r="EU1199" s="1"/>
      <c r="EV1199" s="1"/>
      <c r="EW1199" s="1"/>
      <c r="EX1199" s="1"/>
      <c r="EY1199" s="1"/>
      <c r="EZ1199" s="1"/>
      <c r="FA1199" s="1"/>
      <c r="FB1199" s="1"/>
      <c r="FC1199" s="1"/>
      <c r="FD1199" s="1"/>
      <c r="FE1199" s="1"/>
      <c r="FF1199" s="1"/>
      <c r="FG1199" s="1"/>
      <c r="FH1199" s="1"/>
      <c r="FI1199" s="1"/>
      <c r="FJ1199" s="1"/>
      <c r="FK1199" s="1"/>
      <c r="FL1199" s="1"/>
      <c r="FM1199" s="1"/>
      <c r="FN1199" s="1"/>
      <c r="FO1199" s="1"/>
      <c r="FP1199" s="1"/>
      <c r="FQ1199" s="1"/>
      <c r="FR1199" s="1"/>
      <c r="FS1199" s="1"/>
      <c r="FT1199" s="1"/>
      <c r="FU1199" s="1"/>
      <c r="FV1199" s="1"/>
      <c r="FW1199" s="1"/>
      <c r="FX1199" s="1"/>
      <c r="FY1199" s="1"/>
      <c r="FZ1199" s="1"/>
      <c r="GA1199" s="1"/>
      <c r="GB1199" s="1"/>
      <c r="GC1199" s="1"/>
      <c r="GD1199" s="1"/>
      <c r="GE1199" s="1"/>
      <c r="GF1199" s="1"/>
      <c r="GG1199" s="1"/>
      <c r="GH1199" s="1"/>
      <c r="GI1199" s="1"/>
      <c r="GJ1199" s="1"/>
      <c r="GK1199" s="1"/>
      <c r="GL1199" s="1"/>
      <c r="GM1199" s="1"/>
      <c r="GN1199" s="1"/>
      <c r="GO1199" s="1"/>
      <c r="GP1199" s="1"/>
      <c r="GQ1199" s="1"/>
      <c r="GR1199" s="1"/>
      <c r="GS1199" s="1"/>
      <c r="GT1199" s="1"/>
      <c r="GU1199" s="1"/>
      <c r="GV1199" s="1"/>
      <c r="GW1199" s="1"/>
      <c r="GX1199" s="1"/>
      <c r="GY1199" s="1"/>
      <c r="GZ1199" s="1"/>
      <c r="HA1199" s="1"/>
      <c r="HB1199" s="1"/>
      <c r="HC1199" s="1"/>
      <c r="HD1199" s="1"/>
      <c r="HE1199" s="1"/>
      <c r="HF1199" s="1"/>
      <c r="HG1199" s="1"/>
      <c r="HH1199" s="1"/>
      <c r="HI1199" s="1"/>
      <c r="HJ1199" s="1"/>
      <c r="HK1199" s="1"/>
      <c r="HL1199" s="1"/>
      <c r="HM1199" s="1"/>
      <c r="HN1199" s="1"/>
      <c r="HO1199" s="1"/>
      <c r="HP1199" s="1"/>
      <c r="HQ1199" s="1"/>
      <c r="HR1199" s="1"/>
      <c r="HS1199" s="1"/>
      <c r="HT1199" s="1"/>
      <c r="HU1199" s="1"/>
      <c r="HV1199" s="1"/>
      <c r="HW1199" s="1"/>
      <c r="HX1199" s="1"/>
      <c r="HY1199" s="1"/>
      <c r="HZ1199" s="1"/>
      <c r="IA1199" s="1"/>
      <c r="IB1199" s="1"/>
      <c r="IC1199" s="1"/>
      <c r="ID1199" s="1"/>
      <c r="IE1199" s="1"/>
      <c r="IF1199" s="1"/>
      <c r="IG1199" s="1"/>
      <c r="IH1199" s="1"/>
      <c r="II1199" s="1"/>
      <c r="IJ1199" s="1"/>
      <c r="IK1199" s="1"/>
      <c r="IL1199" s="1"/>
      <c r="IM1199" s="1"/>
      <c r="IN1199" s="1"/>
      <c r="IO1199" s="1"/>
      <c r="IP1199" s="1"/>
      <c r="IQ1199" s="1"/>
      <c r="IR1199" s="1"/>
      <c r="IS1199" s="1"/>
      <c r="IT1199" s="1"/>
      <c r="IU1199" s="1"/>
      <c r="IV1199" s="1"/>
      <c r="IW1199" s="1"/>
      <c r="IX1199" s="1"/>
      <c r="IY1199" s="1"/>
      <c r="IZ1199" s="1"/>
      <c r="JA1199" s="1"/>
      <c r="JB1199" s="1"/>
      <c r="JC1199" s="1"/>
      <c r="JD1199" s="1"/>
    </row>
    <row r="1200" spans="1:264" s="347" customFormat="1" x14ac:dyDescent="0.2">
      <c r="A1200" s="411" t="s">
        <v>812</v>
      </c>
      <c r="B1200" s="348"/>
      <c r="BE1200" s="397"/>
      <c r="BH1200" s="397">
        <f>BH1199+BH1196</f>
        <v>32265</v>
      </c>
      <c r="BI1200" s="397">
        <f>+BI1199+BI1196</f>
        <v>33750</v>
      </c>
      <c r="BJ1200" s="397">
        <f>+BJ1199+BJ1196</f>
        <v>33750</v>
      </c>
      <c r="BK1200" s="351"/>
      <c r="BL1200" s="397">
        <f>+BL1199+BL1196</f>
        <v>35258</v>
      </c>
      <c r="BM1200" s="397">
        <f>+BM1199+BM1196</f>
        <v>37608</v>
      </c>
      <c r="BN1200" s="397">
        <f>+BN1199+BN1196</f>
        <v>37608</v>
      </c>
      <c r="BO1200" s="351"/>
      <c r="BP1200" s="397">
        <f>+BP1199+BP1196</f>
        <v>40998</v>
      </c>
      <c r="BQ1200" s="397">
        <f>+BQ1199+BQ1196</f>
        <v>41147</v>
      </c>
      <c r="BR1200" s="397">
        <f>+BR1199+BR1196</f>
        <v>41147</v>
      </c>
      <c r="BS1200" s="351"/>
      <c r="BT1200" s="397">
        <f>+BT1199+BT1196</f>
        <v>47972</v>
      </c>
      <c r="BU1200" s="397">
        <f>+BU1199+BU1196</f>
        <v>48553</v>
      </c>
      <c r="BV1200" s="397">
        <f>+BV1199+BV1196</f>
        <v>48553</v>
      </c>
      <c r="BW1200" s="351"/>
      <c r="BX1200" s="397">
        <f>+BX1199+BX1196</f>
        <v>50218</v>
      </c>
      <c r="BY1200" s="397">
        <f>+BY1199+BY1196</f>
        <v>52684</v>
      </c>
      <c r="BZ1200" s="397">
        <f>+BZ1199+BZ1196</f>
        <v>52684</v>
      </c>
      <c r="CA1200" s="351"/>
      <c r="CB1200" s="397">
        <f>+CB1199+CB1196</f>
        <v>54465</v>
      </c>
      <c r="CC1200" s="397">
        <f>+CC1199+CC1196</f>
        <v>56365</v>
      </c>
      <c r="CD1200" s="397">
        <f>+CD1199+CD1196</f>
        <v>56365</v>
      </c>
      <c r="CE1200" s="351"/>
      <c r="CF1200" s="397">
        <f>+CF1199+CF1196</f>
        <v>57518</v>
      </c>
      <c r="CG1200" s="397">
        <f>+CG1199+CG1196</f>
        <v>57355</v>
      </c>
      <c r="CH1200" s="397">
        <f>+CH1199+CH1196</f>
        <v>57355</v>
      </c>
      <c r="CI1200" s="351"/>
      <c r="CJ1200" s="397">
        <f>+CJ1199+CJ1196</f>
        <v>63218</v>
      </c>
      <c r="CK1200" s="397">
        <f>+CK1199+CK1196</f>
        <v>63392</v>
      </c>
      <c r="CL1200" s="397">
        <f>+CL1199+CL1196</f>
        <v>63392</v>
      </c>
      <c r="CM1200" s="351"/>
      <c r="CN1200" s="397">
        <f>+CN1199+CN1196</f>
        <v>67900</v>
      </c>
      <c r="CO1200" s="397">
        <f>+CO1199+CO1196</f>
        <v>70844</v>
      </c>
      <c r="CP1200" s="397">
        <f>+CP1199+CP1196</f>
        <v>70844</v>
      </c>
      <c r="CQ1200" s="351"/>
      <c r="CR1200" s="397">
        <f>+CR1199+CR1196</f>
        <v>66027</v>
      </c>
      <c r="CS1200" s="397">
        <f>+CS1199+CS1196</f>
        <v>67558</v>
      </c>
      <c r="CT1200" s="397">
        <f>+CT1199+CT1196</f>
        <v>67558</v>
      </c>
      <c r="CU1200" s="351"/>
      <c r="CV1200" s="397">
        <f>+CV1199+CV1196</f>
        <v>66864</v>
      </c>
      <c r="CW1200" s="397">
        <f>+CW1199+CW1196</f>
        <v>67771</v>
      </c>
      <c r="CX1200" s="397">
        <f>+CX1199+CX1196</f>
        <v>67771</v>
      </c>
      <c r="CY1200" s="351"/>
      <c r="CZ1200" s="397">
        <f>+CZ1199+CZ1196</f>
        <v>68093</v>
      </c>
      <c r="DA1200" s="397">
        <f>+DA1199+DA1196</f>
        <v>66963</v>
      </c>
      <c r="DB1200" s="397">
        <f>+DB1199+DB1196</f>
        <v>66963</v>
      </c>
      <c r="DC1200" s="351"/>
      <c r="DD1200" s="397">
        <f>+DD1199+DD1196</f>
        <v>68143</v>
      </c>
      <c r="DE1200" s="397">
        <f>+DE1199+DE1196</f>
        <v>68874</v>
      </c>
      <c r="DF1200" s="397">
        <f>+DF1199+DF1196</f>
        <v>68874</v>
      </c>
      <c r="DG1200" s="351"/>
      <c r="DH1200" s="397">
        <f>+DH1199+DH1196</f>
        <v>69829</v>
      </c>
      <c r="DI1200" s="397">
        <f ca="1">+DI1199+DI1196</f>
        <v>71233.351952569283</v>
      </c>
      <c r="DJ1200" s="397">
        <f ca="1">+DJ1199+DJ1196</f>
        <v>71233.351952569283</v>
      </c>
      <c r="DK1200" s="351"/>
      <c r="DL1200" s="397">
        <f ca="1">+DL1199+DL1196</f>
        <v>72216.829527800233</v>
      </c>
      <c r="DM1200" s="397">
        <f ca="1">+DM1199+DM1196</f>
        <v>73494.383695239027</v>
      </c>
      <c r="DN1200" s="397">
        <f ca="1">+DN1199+DN1196</f>
        <v>73494.383695239027</v>
      </c>
      <c r="DO1200" s="351"/>
      <c r="DP1200" s="397">
        <f ca="1">+DP1199+DP1196</f>
        <v>74427.232832290305</v>
      </c>
      <c r="DQ1200" s="397">
        <f ca="1">+DQ1199+DQ1196</f>
        <v>75854.675340228219</v>
      </c>
      <c r="DR1200" s="397">
        <f ca="1">+DR1199+DR1196</f>
        <v>75854.675340228219</v>
      </c>
      <c r="DS1200" s="351"/>
      <c r="DT1200" s="1"/>
      <c r="DU1200" s="1"/>
      <c r="DV1200" s="1"/>
      <c r="DW1200" s="1"/>
      <c r="DX1200" s="1"/>
      <c r="DY1200" s="1"/>
      <c r="DZ1200" s="1"/>
      <c r="EA1200" s="1"/>
      <c r="EB1200" s="1"/>
      <c r="EC1200" s="1"/>
      <c r="ED1200" s="1"/>
      <c r="EE1200" s="1"/>
      <c r="EF1200" s="1"/>
      <c r="EG1200" s="1"/>
      <c r="EH1200" s="1"/>
      <c r="EI1200" s="1"/>
      <c r="EJ1200" s="1"/>
      <c r="EK1200" s="1"/>
      <c r="EL1200" s="1"/>
      <c r="EM1200" s="1"/>
      <c r="EN1200" s="1"/>
      <c r="EO1200" s="1"/>
      <c r="EP1200" s="1"/>
      <c r="EQ1200" s="1"/>
      <c r="ER1200" s="1"/>
      <c r="ES1200" s="1"/>
      <c r="ET1200" s="1"/>
      <c r="EU1200" s="1"/>
      <c r="EV1200" s="1"/>
      <c r="EW1200" s="1"/>
      <c r="EX1200" s="1"/>
      <c r="EY1200" s="1"/>
      <c r="EZ1200" s="1"/>
      <c r="FA1200" s="1"/>
      <c r="FB1200" s="1"/>
      <c r="FC1200" s="1"/>
      <c r="FD1200" s="1"/>
      <c r="FE1200" s="1"/>
      <c r="FF1200" s="1"/>
      <c r="FG1200" s="1"/>
      <c r="FH1200" s="1"/>
      <c r="FI1200" s="1"/>
      <c r="FJ1200" s="1"/>
      <c r="FK1200" s="1"/>
      <c r="FL1200" s="1"/>
      <c r="FM1200" s="1"/>
      <c r="FN1200" s="1"/>
      <c r="FO1200" s="1"/>
      <c r="FP1200" s="1"/>
      <c r="FQ1200" s="1"/>
      <c r="FR1200" s="1"/>
      <c r="FS1200" s="1"/>
      <c r="FT1200" s="1"/>
      <c r="FU1200" s="1"/>
      <c r="FV1200" s="1"/>
      <c r="FW1200" s="1"/>
      <c r="FX1200" s="1"/>
      <c r="FY1200" s="1"/>
      <c r="FZ1200" s="1"/>
      <c r="GA1200" s="1"/>
      <c r="GB1200" s="1"/>
      <c r="GC1200" s="1"/>
      <c r="GD1200" s="1"/>
      <c r="GE1200" s="1"/>
      <c r="GF1200" s="1"/>
      <c r="GG1200" s="1"/>
      <c r="GH1200" s="1"/>
      <c r="GI1200" s="1"/>
      <c r="GJ1200" s="1"/>
      <c r="GK1200" s="1"/>
      <c r="GL1200" s="1"/>
      <c r="GM1200" s="1"/>
      <c r="GN1200" s="1"/>
      <c r="GO1200" s="1"/>
      <c r="GP1200" s="1"/>
      <c r="GQ1200" s="1"/>
      <c r="GR1200" s="1"/>
      <c r="GS1200" s="1"/>
      <c r="GT1200" s="1"/>
      <c r="GU1200" s="1"/>
      <c r="GV1200" s="1"/>
      <c r="GW1200" s="1"/>
      <c r="GX1200" s="1"/>
      <c r="GY1200" s="1"/>
      <c r="GZ1200" s="1"/>
      <c r="HA1200" s="1"/>
      <c r="HB1200" s="1"/>
      <c r="HC1200" s="1"/>
      <c r="HD1200" s="1"/>
      <c r="HE1200" s="1"/>
      <c r="HF1200" s="1"/>
      <c r="HG1200" s="1"/>
      <c r="HH1200" s="1"/>
      <c r="HI1200" s="1"/>
      <c r="HJ1200" s="1"/>
      <c r="HK1200" s="1"/>
      <c r="HL1200" s="1"/>
      <c r="HM1200" s="1"/>
      <c r="HN1200" s="1"/>
      <c r="HO1200" s="1"/>
      <c r="HP1200" s="1"/>
      <c r="HQ1200" s="1"/>
      <c r="HR1200" s="1"/>
      <c r="HS1200" s="1"/>
      <c r="HT1200" s="1"/>
      <c r="HU1200" s="1"/>
      <c r="HV1200" s="1"/>
      <c r="HW1200" s="1"/>
      <c r="HX1200" s="1"/>
      <c r="HY1200" s="1"/>
      <c r="HZ1200" s="1"/>
      <c r="IA1200" s="1"/>
      <c r="IB1200" s="1"/>
      <c r="IC1200" s="1"/>
      <c r="ID1200" s="1"/>
      <c r="IE1200" s="1"/>
      <c r="IF1200" s="1"/>
      <c r="IG1200" s="1"/>
      <c r="IH1200" s="1"/>
      <c r="II1200" s="1"/>
      <c r="IJ1200" s="1"/>
      <c r="IK1200" s="1"/>
      <c r="IL1200" s="1"/>
      <c r="IM1200" s="1"/>
      <c r="IN1200" s="1"/>
      <c r="IO1200" s="1"/>
      <c r="IP1200" s="1"/>
      <c r="IQ1200" s="1"/>
      <c r="IR1200" s="1"/>
      <c r="IS1200" s="1"/>
      <c r="IT1200" s="1"/>
      <c r="IU1200" s="1"/>
      <c r="IV1200" s="1"/>
      <c r="IW1200" s="1"/>
      <c r="IX1200" s="1"/>
      <c r="IY1200" s="1"/>
      <c r="IZ1200" s="1"/>
      <c r="JA1200" s="1"/>
      <c r="JB1200" s="1"/>
      <c r="JC1200" s="1"/>
      <c r="JD1200" s="1"/>
    </row>
    <row r="1201" spans="1:264" s="347" customFormat="1" x14ac:dyDescent="0.2">
      <c r="B1201" s="348"/>
      <c r="BE1201" s="398"/>
      <c r="BH1201" s="351"/>
      <c r="BI1201" s="398"/>
      <c r="BJ1201" s="351"/>
      <c r="BK1201" s="351"/>
      <c r="BL1201" s="398"/>
      <c r="BM1201" s="351"/>
      <c r="BN1201" s="351"/>
      <c r="BO1201" s="351"/>
      <c r="BP1201" s="398"/>
      <c r="BQ1201" s="351"/>
      <c r="BR1201" s="351"/>
      <c r="BS1201" s="351"/>
      <c r="BT1201" s="398"/>
      <c r="BU1201" s="351"/>
      <c r="BV1201" s="351"/>
      <c r="BW1201" s="351"/>
      <c r="BX1201" s="398"/>
      <c r="BY1201" s="351"/>
      <c r="BZ1201" s="351"/>
      <c r="CA1201" s="351"/>
      <c r="CB1201" s="398"/>
      <c r="CC1201" s="351"/>
      <c r="CD1201" s="351"/>
      <c r="CE1201" s="351"/>
      <c r="CF1201" s="351"/>
      <c r="CG1201" s="351"/>
      <c r="CH1201" s="351"/>
      <c r="CI1201" s="351"/>
      <c r="CJ1201" s="351"/>
      <c r="CK1201" s="351"/>
      <c r="CL1201" s="351"/>
      <c r="CM1201" s="351"/>
      <c r="CN1201" s="351"/>
      <c r="CO1201" s="351"/>
      <c r="CP1201" s="351"/>
      <c r="CQ1201" s="351"/>
      <c r="CR1201" s="351"/>
      <c r="CS1201" s="351"/>
      <c r="CT1201" s="351"/>
      <c r="CU1201" s="351"/>
      <c r="CV1201" s="351"/>
      <c r="CW1201" s="351"/>
      <c r="CX1201" s="351"/>
      <c r="CY1201" s="351"/>
      <c r="CZ1201" s="351"/>
      <c r="DA1201" s="351"/>
      <c r="DB1201" s="351"/>
      <c r="DC1201" s="351"/>
      <c r="DD1201" s="351"/>
      <c r="DE1201" s="351"/>
      <c r="DF1201" s="351"/>
      <c r="DG1201" s="351"/>
      <c r="DH1201" s="351"/>
      <c r="DI1201" s="351"/>
      <c r="DJ1201" s="351"/>
      <c r="DK1201" s="351"/>
      <c r="DL1201" s="351"/>
      <c r="DM1201" s="351"/>
      <c r="DN1201" s="351"/>
      <c r="DO1201" s="351"/>
      <c r="DP1201" s="351"/>
      <c r="DQ1201" s="351"/>
      <c r="DR1201" s="351"/>
      <c r="DS1201" s="351"/>
      <c r="DT1201" s="1"/>
      <c r="DU1201" s="1"/>
      <c r="DV1201" s="1"/>
      <c r="DW1201" s="1"/>
      <c r="DX1201" s="1"/>
      <c r="DY1201" s="1"/>
      <c r="DZ1201" s="1"/>
      <c r="EA1201" s="1"/>
      <c r="EB1201" s="1"/>
      <c r="EC1201" s="1"/>
      <c r="ED1201" s="1"/>
      <c r="EE1201" s="1"/>
      <c r="EF1201" s="1"/>
      <c r="EG1201" s="1"/>
      <c r="EH1201" s="1"/>
      <c r="EI1201" s="1"/>
      <c r="EJ1201" s="1"/>
      <c r="EK1201" s="1"/>
      <c r="EL1201" s="1"/>
      <c r="EM1201" s="1"/>
      <c r="EN1201" s="1"/>
      <c r="EO1201" s="1"/>
      <c r="EP1201" s="1"/>
      <c r="EQ1201" s="1"/>
      <c r="ER1201" s="1"/>
      <c r="ES1201" s="1"/>
      <c r="ET1201" s="1"/>
      <c r="EU1201" s="1"/>
      <c r="EV1201" s="1"/>
      <c r="EW1201" s="1"/>
      <c r="EX1201" s="1"/>
      <c r="EY1201" s="1"/>
      <c r="EZ1201" s="1"/>
      <c r="FA1201" s="1"/>
      <c r="FB1201" s="1"/>
      <c r="FC1201" s="1"/>
      <c r="FD1201" s="1"/>
      <c r="FE1201" s="1"/>
      <c r="FF1201" s="1"/>
      <c r="FG1201" s="1"/>
      <c r="FH1201" s="1"/>
      <c r="FI1201" s="1"/>
      <c r="FJ1201" s="1"/>
      <c r="FK1201" s="1"/>
      <c r="FL1201" s="1"/>
      <c r="FM1201" s="1"/>
      <c r="FN1201" s="1"/>
      <c r="FO1201" s="1"/>
      <c r="FP1201" s="1"/>
      <c r="FQ1201" s="1"/>
      <c r="FR1201" s="1"/>
      <c r="FS1201" s="1"/>
      <c r="FT1201" s="1"/>
      <c r="FU1201" s="1"/>
      <c r="FV1201" s="1"/>
      <c r="FW1201" s="1"/>
      <c r="FX1201" s="1"/>
      <c r="FY1201" s="1"/>
      <c r="FZ1201" s="1"/>
      <c r="GA1201" s="1"/>
      <c r="GB1201" s="1"/>
      <c r="GC1201" s="1"/>
      <c r="GD1201" s="1"/>
      <c r="GE1201" s="1"/>
      <c r="GF1201" s="1"/>
      <c r="GG1201" s="1"/>
      <c r="GH1201" s="1"/>
      <c r="GI1201" s="1"/>
      <c r="GJ1201" s="1"/>
      <c r="GK1201" s="1"/>
      <c r="GL1201" s="1"/>
      <c r="GM1201" s="1"/>
      <c r="GN1201" s="1"/>
      <c r="GO1201" s="1"/>
      <c r="GP1201" s="1"/>
      <c r="GQ1201" s="1"/>
      <c r="GR1201" s="1"/>
      <c r="GS1201" s="1"/>
      <c r="GT1201" s="1"/>
      <c r="GU1201" s="1"/>
      <c r="GV1201" s="1"/>
      <c r="GW1201" s="1"/>
      <c r="GX1201" s="1"/>
      <c r="GY1201" s="1"/>
      <c r="GZ1201" s="1"/>
      <c r="HA1201" s="1"/>
      <c r="HB1201" s="1"/>
      <c r="HC1201" s="1"/>
      <c r="HD1201" s="1"/>
      <c r="HE1201" s="1"/>
      <c r="HF1201" s="1"/>
      <c r="HG1201" s="1"/>
      <c r="HH1201" s="1"/>
      <c r="HI1201" s="1"/>
      <c r="HJ1201" s="1"/>
      <c r="HK1201" s="1"/>
      <c r="HL1201" s="1"/>
      <c r="HM1201" s="1"/>
      <c r="HN1201" s="1"/>
      <c r="HO1201" s="1"/>
      <c r="HP1201" s="1"/>
      <c r="HQ1201" s="1"/>
      <c r="HR1201" s="1"/>
      <c r="HS1201" s="1"/>
      <c r="HT1201" s="1"/>
      <c r="HU1201" s="1"/>
      <c r="HV1201" s="1"/>
      <c r="HW1201" s="1"/>
      <c r="HX1201" s="1"/>
      <c r="HY1201" s="1"/>
      <c r="HZ1201" s="1"/>
      <c r="IA1201" s="1"/>
      <c r="IB1201" s="1"/>
      <c r="IC1201" s="1"/>
      <c r="ID1201" s="1"/>
      <c r="IE1201" s="1"/>
      <c r="IF1201" s="1"/>
      <c r="IG1201" s="1"/>
      <c r="IH1201" s="1"/>
      <c r="II1201" s="1"/>
      <c r="IJ1201" s="1"/>
      <c r="IK1201" s="1"/>
      <c r="IL1201" s="1"/>
      <c r="IM1201" s="1"/>
      <c r="IN1201" s="1"/>
      <c r="IO1201" s="1"/>
      <c r="IP1201" s="1"/>
      <c r="IQ1201" s="1"/>
      <c r="IR1201" s="1"/>
      <c r="IS1201" s="1"/>
      <c r="IT1201" s="1"/>
      <c r="IU1201" s="1"/>
      <c r="IV1201" s="1"/>
      <c r="IW1201" s="1"/>
      <c r="IX1201" s="1"/>
      <c r="IY1201" s="1"/>
      <c r="IZ1201" s="1"/>
      <c r="JA1201" s="1"/>
      <c r="JB1201" s="1"/>
      <c r="JC1201" s="1"/>
      <c r="JD1201" s="1"/>
    </row>
    <row r="1202" spans="1:264" s="347" customFormat="1" x14ac:dyDescent="0.2">
      <c r="A1202" s="347" t="s">
        <v>685</v>
      </c>
      <c r="B1202" s="348"/>
      <c r="BE1202" s="351"/>
      <c r="BH1202" s="351"/>
      <c r="BI1202" s="351">
        <f>BI1182</f>
        <v>297</v>
      </c>
      <c r="BJ1202" s="351">
        <f>BJ1182</f>
        <v>297</v>
      </c>
      <c r="BK1202" s="351"/>
      <c r="BL1202" s="351">
        <f>BL1182</f>
        <v>293</v>
      </c>
      <c r="BM1202" s="351">
        <f>BM1182</f>
        <v>291</v>
      </c>
      <c r="BN1202" s="351">
        <f>BN1182</f>
        <v>291</v>
      </c>
      <c r="BO1202" s="351"/>
      <c r="BP1202" s="351">
        <f>BP1182</f>
        <v>287</v>
      </c>
      <c r="BQ1202" s="351">
        <f>BQ1182</f>
        <v>279</v>
      </c>
      <c r="BR1202" s="351">
        <f>BR1182</f>
        <v>279</v>
      </c>
      <c r="BS1202" s="351"/>
      <c r="BT1202" s="351">
        <f>BT1182</f>
        <v>325</v>
      </c>
      <c r="BU1202" s="351">
        <f>BU1182</f>
        <v>284</v>
      </c>
      <c r="BV1202" s="351">
        <f>BV1182</f>
        <v>284</v>
      </c>
      <c r="BW1202" s="351"/>
      <c r="BX1202" s="351">
        <f>BX1182</f>
        <v>254</v>
      </c>
      <c r="BY1202" s="351">
        <f>BY1182</f>
        <v>295</v>
      </c>
      <c r="BZ1202" s="351">
        <f>BZ1182</f>
        <v>295</v>
      </c>
      <c r="CA1202" s="351"/>
      <c r="CB1202" s="351">
        <f>CB1182</f>
        <v>226</v>
      </c>
      <c r="CC1202" s="351">
        <f>CC1182</f>
        <v>265</v>
      </c>
      <c r="CD1202" s="351">
        <f>CD1182</f>
        <v>265</v>
      </c>
      <c r="CE1202" s="351"/>
      <c r="CF1202" s="351">
        <f>CF1182</f>
        <v>268</v>
      </c>
      <c r="CG1202" s="351">
        <f>CG1182</f>
        <v>194</v>
      </c>
      <c r="CH1202" s="351">
        <f>CH1182</f>
        <v>194</v>
      </c>
      <c r="CI1202" s="351"/>
      <c r="CJ1202" s="351">
        <f>CJ1182</f>
        <v>54</v>
      </c>
      <c r="CK1202" s="351">
        <f>CK1182</f>
        <v>51</v>
      </c>
      <c r="CL1202" s="351">
        <f>CL1182</f>
        <v>51</v>
      </c>
      <c r="CM1202" s="351"/>
      <c r="CN1202" s="351">
        <f>CN1182</f>
        <v>15</v>
      </c>
      <c r="CO1202" s="351">
        <f>CO1182</f>
        <v>12</v>
      </c>
      <c r="CP1202" s="351">
        <f>CP1182</f>
        <v>12</v>
      </c>
      <c r="CQ1202" s="351"/>
      <c r="CR1202" s="351">
        <f>CR1182</f>
        <v>9</v>
      </c>
      <c r="CS1202" s="351">
        <f>CS1182</f>
        <v>26</v>
      </c>
      <c r="CT1202" s="351">
        <f>CT1182</f>
        <v>26</v>
      </c>
      <c r="CU1202" s="351"/>
      <c r="CV1202" s="351">
        <f>CV1182</f>
        <v>137</v>
      </c>
      <c r="CW1202" s="351">
        <f>CW1182</f>
        <v>162</v>
      </c>
      <c r="CX1202" s="351">
        <f>CX1182</f>
        <v>162</v>
      </c>
      <c r="CY1202" s="351"/>
      <c r="CZ1202" s="351">
        <f>CZ1182</f>
        <v>147</v>
      </c>
      <c r="DA1202" s="351">
        <f>DA1182</f>
        <v>158</v>
      </c>
      <c r="DB1202" s="351">
        <f>DB1182</f>
        <v>158</v>
      </c>
      <c r="DC1202" s="351"/>
      <c r="DD1202" s="351">
        <f>DD1182</f>
        <v>189</v>
      </c>
      <c r="DE1202" s="351">
        <f>DE1182</f>
        <v>215</v>
      </c>
      <c r="DF1202" s="351">
        <f>DF1182</f>
        <v>215</v>
      </c>
      <c r="DG1202" s="351"/>
      <c r="DH1202" s="351">
        <f>DH1182</f>
        <v>195</v>
      </c>
      <c r="DI1202" s="351">
        <f>+DI1203*DI1204</f>
        <v>195</v>
      </c>
      <c r="DJ1202" s="351">
        <f>DJ1182</f>
        <v>195</v>
      </c>
      <c r="DK1202" s="351"/>
      <c r="DL1202" s="351">
        <f ca="1">+DL1203*DL1204</f>
        <v>195</v>
      </c>
      <c r="DM1202" s="351">
        <f ca="1">+DM1203*DM1204</f>
        <v>195</v>
      </c>
      <c r="DN1202" s="351">
        <f ca="1">DN1182</f>
        <v>195</v>
      </c>
      <c r="DO1202" s="351"/>
      <c r="DP1202" s="351">
        <f ca="1">+DP1203*DP1204</f>
        <v>195</v>
      </c>
      <c r="DQ1202" s="351">
        <f ca="1">+DQ1203*DQ1204</f>
        <v>195</v>
      </c>
      <c r="DR1202" s="351">
        <f ca="1">DR1182</f>
        <v>195</v>
      </c>
      <c r="DS1202" s="351"/>
      <c r="DT1202" s="1"/>
      <c r="DU1202" s="1"/>
      <c r="DV1202" s="1"/>
      <c r="DW1202" s="1"/>
      <c r="DX1202" s="1"/>
      <c r="DY1202" s="1"/>
      <c r="DZ1202" s="1"/>
      <c r="EA1202" s="1"/>
      <c r="EB1202" s="1"/>
      <c r="EC1202" s="1"/>
      <c r="ED1202" s="1"/>
      <c r="EE1202" s="1"/>
      <c r="EF1202" s="1"/>
      <c r="EG1202" s="1"/>
      <c r="EH1202" s="1"/>
      <c r="EI1202" s="1"/>
      <c r="EJ1202" s="1"/>
      <c r="EK1202" s="1"/>
      <c r="EL1202" s="1"/>
      <c r="EM1202" s="1"/>
      <c r="EN1202" s="1"/>
      <c r="EO1202" s="1"/>
      <c r="EP1202" s="1"/>
      <c r="EQ1202" s="1"/>
      <c r="ER1202" s="1"/>
      <c r="ES1202" s="1"/>
      <c r="ET1202" s="1"/>
      <c r="EU1202" s="1"/>
      <c r="EV1202" s="1"/>
      <c r="EW1202" s="1"/>
      <c r="EX1202" s="1"/>
      <c r="EY1202" s="1"/>
      <c r="EZ1202" s="1"/>
      <c r="FA1202" s="1"/>
      <c r="FB1202" s="1"/>
      <c r="FC1202" s="1"/>
      <c r="FD1202" s="1"/>
      <c r="FE1202" s="1"/>
      <c r="FF1202" s="1"/>
      <c r="FG1202" s="1"/>
      <c r="FH1202" s="1"/>
      <c r="FI1202" s="1"/>
      <c r="FJ1202" s="1"/>
      <c r="FK1202" s="1"/>
      <c r="FL1202" s="1"/>
      <c r="FM1202" s="1"/>
      <c r="FN1202" s="1"/>
      <c r="FO1202" s="1"/>
      <c r="FP1202" s="1"/>
      <c r="FQ1202" s="1"/>
      <c r="FR1202" s="1"/>
      <c r="FS1202" s="1"/>
      <c r="FT1202" s="1"/>
      <c r="FU1202" s="1"/>
      <c r="FV1202" s="1"/>
      <c r="FW1202" s="1"/>
      <c r="FX1202" s="1"/>
      <c r="FY1202" s="1"/>
      <c r="FZ1202" s="1"/>
      <c r="GA1202" s="1"/>
      <c r="GB1202" s="1"/>
      <c r="GC1202" s="1"/>
      <c r="GD1202" s="1"/>
      <c r="GE1202" s="1"/>
      <c r="GF1202" s="1"/>
      <c r="GG1202" s="1"/>
      <c r="GH1202" s="1"/>
      <c r="GI1202" s="1"/>
      <c r="GJ1202" s="1"/>
      <c r="GK1202" s="1"/>
      <c r="GL1202" s="1"/>
      <c r="GM1202" s="1"/>
      <c r="GN1202" s="1"/>
      <c r="GO1202" s="1"/>
      <c r="GP1202" s="1"/>
      <c r="GQ1202" s="1"/>
      <c r="GR1202" s="1"/>
      <c r="GS1202" s="1"/>
      <c r="GT1202" s="1"/>
      <c r="GU1202" s="1"/>
      <c r="GV1202" s="1"/>
      <c r="GW1202" s="1"/>
      <c r="GX1202" s="1"/>
      <c r="GY1202" s="1"/>
      <c r="GZ1202" s="1"/>
      <c r="HA1202" s="1"/>
      <c r="HB1202" s="1"/>
      <c r="HC1202" s="1"/>
      <c r="HD1202" s="1"/>
      <c r="HE1202" s="1"/>
      <c r="HF1202" s="1"/>
      <c r="HG1202" s="1"/>
      <c r="HH1202" s="1"/>
      <c r="HI1202" s="1"/>
      <c r="HJ1202" s="1"/>
      <c r="HK1202" s="1"/>
      <c r="HL1202" s="1"/>
      <c r="HM1202" s="1"/>
      <c r="HN1202" s="1"/>
      <c r="HO1202" s="1"/>
      <c r="HP1202" s="1"/>
      <c r="HQ1202" s="1"/>
      <c r="HR1202" s="1"/>
      <c r="HS1202" s="1"/>
      <c r="HT1202" s="1"/>
      <c r="HU1202" s="1"/>
      <c r="HV1202" s="1"/>
      <c r="HW1202" s="1"/>
      <c r="HX1202" s="1"/>
      <c r="HY1202" s="1"/>
      <c r="HZ1202" s="1"/>
      <c r="IA1202" s="1"/>
      <c r="IB1202" s="1"/>
      <c r="IC1202" s="1"/>
      <c r="ID1202" s="1"/>
      <c r="IE1202" s="1"/>
      <c r="IF1202" s="1"/>
      <c r="IG1202" s="1"/>
      <c r="IH1202" s="1"/>
      <c r="II1202" s="1"/>
      <c r="IJ1202" s="1"/>
      <c r="IK1202" s="1"/>
      <c r="IL1202" s="1"/>
      <c r="IM1202" s="1"/>
      <c r="IN1202" s="1"/>
      <c r="IO1202" s="1"/>
      <c r="IP1202" s="1"/>
      <c r="IQ1202" s="1"/>
      <c r="IR1202" s="1"/>
      <c r="IS1202" s="1"/>
      <c r="IT1202" s="1"/>
      <c r="IU1202" s="1"/>
      <c r="IV1202" s="1"/>
      <c r="IW1202" s="1"/>
      <c r="IX1202" s="1"/>
      <c r="IY1202" s="1"/>
      <c r="IZ1202" s="1"/>
      <c r="JA1202" s="1"/>
      <c r="JB1202" s="1"/>
      <c r="JC1202" s="1"/>
      <c r="JD1202" s="1"/>
    </row>
    <row r="1203" spans="1:264" s="347" customFormat="1" x14ac:dyDescent="0.2">
      <c r="A1203" s="347" t="s">
        <v>659</v>
      </c>
      <c r="B1203" s="348"/>
      <c r="BE1203" s="351"/>
      <c r="BH1203" s="351"/>
      <c r="BI1203" s="351">
        <f>BI957</f>
        <v>26323</v>
      </c>
      <c r="BJ1203" s="351">
        <f>BJ957</f>
        <v>26323</v>
      </c>
      <c r="BK1203" s="351"/>
      <c r="BL1203" s="351">
        <f>BL957</f>
        <v>26327</v>
      </c>
      <c r="BM1203" s="351">
        <f>BM957</f>
        <v>27036</v>
      </c>
      <c r="BN1203" s="351">
        <f>BN957</f>
        <v>27036</v>
      </c>
      <c r="BO1203" s="351"/>
      <c r="BP1203" s="351">
        <f>BP957</f>
        <v>27039</v>
      </c>
      <c r="BQ1203" s="351">
        <f>BQ957</f>
        <v>27619</v>
      </c>
      <c r="BR1203" s="351">
        <f>BR957</f>
        <v>27619</v>
      </c>
      <c r="BS1203" s="351"/>
      <c r="BT1203" s="351">
        <f>BT957</f>
        <v>33252</v>
      </c>
      <c r="BU1203" s="351">
        <f>BU957</f>
        <v>33845</v>
      </c>
      <c r="BV1203" s="351">
        <f>BV957</f>
        <v>33845</v>
      </c>
      <c r="BW1203" s="351"/>
      <c r="BX1203" s="351">
        <f>BX957</f>
        <v>34455</v>
      </c>
      <c r="BY1203" s="351">
        <f>BY957</f>
        <v>34971</v>
      </c>
      <c r="BZ1203" s="351">
        <f>BZ957</f>
        <v>34971</v>
      </c>
      <c r="CA1203" s="351"/>
      <c r="CB1203" s="351">
        <f>CB957</f>
        <v>36776</v>
      </c>
      <c r="CC1203" s="351">
        <f>CC957</f>
        <v>37270</v>
      </c>
      <c r="CD1203" s="351">
        <f>CD957</f>
        <v>37270</v>
      </c>
      <c r="CE1203" s="351"/>
      <c r="CF1203" s="351">
        <f>CF957</f>
        <v>38015</v>
      </c>
      <c r="CG1203" s="351">
        <f>CG957</f>
        <v>38020</v>
      </c>
      <c r="CH1203" s="351">
        <f>CH957</f>
        <v>38020.000000000007</v>
      </c>
      <c r="CI1203" s="351"/>
      <c r="CJ1203" s="351">
        <f>CJ957</f>
        <v>38126</v>
      </c>
      <c r="CK1203" s="351">
        <f>CK957</f>
        <v>38131</v>
      </c>
      <c r="CL1203" s="351">
        <f>CL957</f>
        <v>38130.999999999993</v>
      </c>
      <c r="CM1203" s="351"/>
      <c r="CN1203" s="351">
        <f>CN957</f>
        <v>38417</v>
      </c>
      <c r="CO1203" s="351">
        <f>CO957</f>
        <v>38420</v>
      </c>
      <c r="CP1203" s="351">
        <f>CP957</f>
        <v>38419.999999999993</v>
      </c>
      <c r="CQ1203" s="351"/>
      <c r="CR1203" s="351">
        <f>CR957</f>
        <v>36949</v>
      </c>
      <c r="CS1203" s="351">
        <f>CS957</f>
        <v>36467</v>
      </c>
      <c r="CT1203" s="351">
        <f>CT957</f>
        <v>36467</v>
      </c>
      <c r="CU1203" s="351"/>
      <c r="CV1203" s="351">
        <f>CV957</f>
        <v>35140</v>
      </c>
      <c r="CW1203" s="351">
        <f>CW957</f>
        <v>33913</v>
      </c>
      <c r="CX1203" s="351">
        <f>CX957</f>
        <v>33913</v>
      </c>
      <c r="CY1203" s="351"/>
      <c r="CZ1203" s="351">
        <f>CZ957</f>
        <v>33774</v>
      </c>
      <c r="DA1203" s="351">
        <f>DA957</f>
        <v>33635</v>
      </c>
      <c r="DB1203" s="351">
        <f>DB957</f>
        <v>33635</v>
      </c>
      <c r="DC1203" s="351"/>
      <c r="DD1203" s="351">
        <f>DD957</f>
        <v>33586</v>
      </c>
      <c r="DE1203" s="351">
        <f>DE957</f>
        <v>33560</v>
      </c>
      <c r="DF1203" s="351">
        <f>DF957</f>
        <v>33560</v>
      </c>
      <c r="DG1203" s="351"/>
      <c r="DH1203" s="351">
        <f>DH957</f>
        <v>33580</v>
      </c>
      <c r="DI1203" s="351">
        <f>DI957</f>
        <v>33580</v>
      </c>
      <c r="DJ1203" s="351">
        <f>DJ957</f>
        <v>33580</v>
      </c>
      <c r="DK1203" s="351"/>
      <c r="DL1203" s="351">
        <f ca="1">DL957</f>
        <v>33580</v>
      </c>
      <c r="DM1203" s="351">
        <f ca="1">DM957</f>
        <v>33580</v>
      </c>
      <c r="DN1203" s="351">
        <f ca="1">DN957</f>
        <v>33580</v>
      </c>
      <c r="DO1203" s="351"/>
      <c r="DP1203" s="351">
        <f ca="1">DP957</f>
        <v>33580</v>
      </c>
      <c r="DQ1203" s="351">
        <f ca="1">DQ957</f>
        <v>33580</v>
      </c>
      <c r="DR1203" s="351">
        <f ca="1">DR957</f>
        <v>33580</v>
      </c>
      <c r="DS1203" s="351"/>
      <c r="DT1203" s="1"/>
      <c r="DU1203" s="1"/>
      <c r="DV1203" s="1"/>
      <c r="DW1203" s="1"/>
      <c r="DX1203" s="1"/>
      <c r="DY1203" s="1"/>
      <c r="DZ1203" s="1"/>
      <c r="EA1203" s="1"/>
      <c r="EB1203" s="1"/>
      <c r="EC1203" s="1"/>
      <c r="ED1203" s="1"/>
      <c r="EE1203" s="1"/>
      <c r="EF1203" s="1"/>
      <c r="EG1203" s="1"/>
      <c r="EH1203" s="1"/>
      <c r="EI1203" s="1"/>
      <c r="EJ1203" s="1"/>
      <c r="EK1203" s="1"/>
      <c r="EL1203" s="1"/>
      <c r="EM1203" s="1"/>
      <c r="EN1203" s="1"/>
      <c r="EO1203" s="1"/>
      <c r="EP1203" s="1"/>
      <c r="EQ1203" s="1"/>
      <c r="ER1203" s="1"/>
      <c r="ES1203" s="1"/>
      <c r="ET1203" s="1"/>
      <c r="EU1203" s="1"/>
      <c r="EV1203" s="1"/>
      <c r="EW1203" s="1"/>
      <c r="EX1203" s="1"/>
      <c r="EY1203" s="1"/>
      <c r="EZ1203" s="1"/>
      <c r="FA1203" s="1"/>
      <c r="FB1203" s="1"/>
      <c r="FC1203" s="1"/>
      <c r="FD1203" s="1"/>
      <c r="FE1203" s="1"/>
      <c r="FF1203" s="1"/>
      <c r="FG1203" s="1"/>
      <c r="FH1203" s="1"/>
      <c r="FI1203" s="1"/>
      <c r="FJ1203" s="1"/>
      <c r="FK1203" s="1"/>
      <c r="FL1203" s="1"/>
      <c r="FM1203" s="1"/>
      <c r="FN1203" s="1"/>
      <c r="FO1203" s="1"/>
      <c r="FP1203" s="1"/>
      <c r="FQ1203" s="1"/>
      <c r="FR1203" s="1"/>
      <c r="FS1203" s="1"/>
      <c r="FT1203" s="1"/>
      <c r="FU1203" s="1"/>
      <c r="FV1203" s="1"/>
      <c r="FW1203" s="1"/>
      <c r="FX1203" s="1"/>
      <c r="FY1203" s="1"/>
      <c r="FZ1203" s="1"/>
      <c r="GA1203" s="1"/>
      <c r="GB1203" s="1"/>
      <c r="GC1203" s="1"/>
      <c r="GD1203" s="1"/>
      <c r="GE1203" s="1"/>
      <c r="GF1203" s="1"/>
      <c r="GG1203" s="1"/>
      <c r="GH1203" s="1"/>
      <c r="GI1203" s="1"/>
      <c r="GJ1203" s="1"/>
      <c r="GK1203" s="1"/>
      <c r="GL1203" s="1"/>
      <c r="GM1203" s="1"/>
      <c r="GN1203" s="1"/>
      <c r="GO1203" s="1"/>
      <c r="GP1203" s="1"/>
      <c r="GQ1203" s="1"/>
      <c r="GR1203" s="1"/>
      <c r="GS1203" s="1"/>
      <c r="GT1203" s="1"/>
      <c r="GU1203" s="1"/>
      <c r="GV1203" s="1"/>
      <c r="GW1203" s="1"/>
      <c r="GX1203" s="1"/>
      <c r="GY1203" s="1"/>
      <c r="GZ1203" s="1"/>
      <c r="HA1203" s="1"/>
      <c r="HB1203" s="1"/>
      <c r="HC1203" s="1"/>
      <c r="HD1203" s="1"/>
      <c r="HE1203" s="1"/>
      <c r="HF1203" s="1"/>
      <c r="HG1203" s="1"/>
      <c r="HH1203" s="1"/>
      <c r="HI1203" s="1"/>
      <c r="HJ1203" s="1"/>
      <c r="HK1203" s="1"/>
      <c r="HL1203" s="1"/>
      <c r="HM1203" s="1"/>
      <c r="HN1203" s="1"/>
      <c r="HO1203" s="1"/>
      <c r="HP1203" s="1"/>
      <c r="HQ1203" s="1"/>
      <c r="HR1203" s="1"/>
      <c r="HS1203" s="1"/>
      <c r="HT1203" s="1"/>
      <c r="HU1203" s="1"/>
      <c r="HV1203" s="1"/>
      <c r="HW1203" s="1"/>
      <c r="HX1203" s="1"/>
      <c r="HY1203" s="1"/>
      <c r="HZ1203" s="1"/>
      <c r="IA1203" s="1"/>
      <c r="IB1203" s="1"/>
      <c r="IC1203" s="1"/>
      <c r="ID1203" s="1"/>
      <c r="IE1203" s="1"/>
      <c r="IF1203" s="1"/>
      <c r="IG1203" s="1"/>
      <c r="IH1203" s="1"/>
      <c r="II1203" s="1"/>
      <c r="IJ1203" s="1"/>
      <c r="IK1203" s="1"/>
      <c r="IL1203" s="1"/>
      <c r="IM1203" s="1"/>
      <c r="IN1203" s="1"/>
      <c r="IO1203" s="1"/>
      <c r="IP1203" s="1"/>
      <c r="IQ1203" s="1"/>
      <c r="IR1203" s="1"/>
      <c r="IS1203" s="1"/>
      <c r="IT1203" s="1"/>
      <c r="IU1203" s="1"/>
      <c r="IV1203" s="1"/>
      <c r="IW1203" s="1"/>
      <c r="IX1203" s="1"/>
      <c r="IY1203" s="1"/>
      <c r="IZ1203" s="1"/>
      <c r="JA1203" s="1"/>
      <c r="JB1203" s="1"/>
      <c r="JC1203" s="1"/>
      <c r="JD1203" s="1"/>
    </row>
    <row r="1204" spans="1:264" s="429" customFormat="1" x14ac:dyDescent="0.2">
      <c r="A1204" s="436" t="s">
        <v>813</v>
      </c>
      <c r="B1204" s="437"/>
      <c r="C1204" s="436"/>
      <c r="D1204" s="436"/>
      <c r="E1204" s="436"/>
      <c r="F1204" s="436"/>
      <c r="G1204" s="436"/>
      <c r="H1204" s="436"/>
      <c r="I1204" s="436"/>
      <c r="J1204" s="436"/>
      <c r="K1204" s="436"/>
      <c r="L1204" s="436"/>
      <c r="M1204" s="436"/>
      <c r="N1204" s="436"/>
      <c r="O1204" s="436"/>
      <c r="P1204" s="436"/>
      <c r="Q1204" s="436"/>
      <c r="R1204" s="436"/>
      <c r="S1204" s="436"/>
      <c r="T1204" s="436"/>
      <c r="U1204" s="436"/>
      <c r="V1204" s="436"/>
      <c r="W1204" s="436"/>
      <c r="X1204" s="436"/>
      <c r="Y1204" s="436"/>
      <c r="Z1204" s="436"/>
      <c r="AA1204" s="436"/>
      <c r="AB1204" s="436"/>
      <c r="AC1204" s="436"/>
      <c r="AD1204" s="436"/>
      <c r="AE1204" s="436"/>
      <c r="AF1204" s="436"/>
      <c r="AG1204" s="436"/>
      <c r="AH1204" s="436"/>
      <c r="AI1204" s="436"/>
      <c r="AJ1204" s="436"/>
      <c r="AK1204" s="436"/>
      <c r="AL1204" s="436"/>
      <c r="AM1204" s="436"/>
      <c r="AN1204" s="436"/>
      <c r="AO1204" s="436"/>
      <c r="AP1204" s="436"/>
      <c r="AQ1204" s="436"/>
      <c r="AR1204" s="436"/>
      <c r="AS1204" s="436"/>
      <c r="AT1204" s="436"/>
      <c r="AU1204" s="436"/>
      <c r="AV1204" s="436"/>
      <c r="AW1204" s="436"/>
      <c r="AX1204" s="436"/>
      <c r="AY1204" s="436"/>
      <c r="AZ1204" s="436"/>
      <c r="BA1204" s="436"/>
      <c r="BB1204" s="436"/>
      <c r="BC1204" s="436"/>
      <c r="BD1204" s="436"/>
      <c r="BE1204" s="465"/>
      <c r="BF1204" s="436"/>
      <c r="BG1204" s="436"/>
      <c r="BH1204" s="661"/>
      <c r="BI1204" s="465">
        <f>+BI1202/BI1203</f>
        <v>1.1282908483075638E-2</v>
      </c>
      <c r="BJ1204" s="465">
        <f>+BJ1202/BJ1203</f>
        <v>1.1282908483075638E-2</v>
      </c>
      <c r="BK1204" s="661"/>
      <c r="BL1204" s="465">
        <f>+BL1202/BL1203</f>
        <v>1.1129258935693394E-2</v>
      </c>
      <c r="BM1204" s="465">
        <f>+BM1202/BM1203</f>
        <v>1.0763426542387928E-2</v>
      </c>
      <c r="BN1204" s="465">
        <f>+BN1202/BN1203</f>
        <v>1.0763426542387928E-2</v>
      </c>
      <c r="BO1204" s="437"/>
      <c r="BP1204" s="465">
        <f>+BP1202/BP1203</f>
        <v>1.0614297866045341E-2</v>
      </c>
      <c r="BQ1204" s="465">
        <f>+BQ1202/BQ1203</f>
        <v>1.0101741554726819E-2</v>
      </c>
      <c r="BR1204" s="465">
        <f>+BR1202/BR1203</f>
        <v>1.0101741554726819E-2</v>
      </c>
      <c r="BS1204" s="661"/>
      <c r="BT1204" s="465">
        <f>+BT1202/BT1203</f>
        <v>9.7738481895825822E-3</v>
      </c>
      <c r="BU1204" s="465">
        <f>+BU1202/BU1203</f>
        <v>8.3911951543802626E-3</v>
      </c>
      <c r="BV1204" s="465">
        <f>+BV1202/BV1203</f>
        <v>8.3911951543802626E-3</v>
      </c>
      <c r="BW1204" s="661"/>
      <c r="BX1204" s="465">
        <f>+BX1202/BX1203</f>
        <v>7.3719344071977938E-3</v>
      </c>
      <c r="BY1204" s="465">
        <f>+BY1202/BY1203</f>
        <v>8.4355608933116017E-3</v>
      </c>
      <c r="BZ1204" s="465">
        <f>+BZ1202/BZ1203</f>
        <v>8.4355608933116017E-3</v>
      </c>
      <c r="CA1204" s="661"/>
      <c r="CB1204" s="465">
        <f>+CB1202/CB1203</f>
        <v>6.1453121601044158E-3</v>
      </c>
      <c r="CC1204" s="465">
        <f>+CC1202/CC1203</f>
        <v>7.110276361685001E-3</v>
      </c>
      <c r="CD1204" s="465">
        <f>+CD1202/CD1203</f>
        <v>7.110276361685001E-3</v>
      </c>
      <c r="CE1204" s="661"/>
      <c r="CF1204" s="465">
        <f>+CF1202/CF1203</f>
        <v>7.0498487439168752E-3</v>
      </c>
      <c r="CG1204" s="465">
        <f>+CG1202/CG1203</f>
        <v>5.1025775907417147E-3</v>
      </c>
      <c r="CH1204" s="465">
        <f>+CH1202/CH1203</f>
        <v>5.1025775907417139E-3</v>
      </c>
      <c r="CI1204" s="661"/>
      <c r="CJ1204" s="465">
        <f>+CJ1202/CJ1203</f>
        <v>1.4163562922939726E-3</v>
      </c>
      <c r="CK1204" s="465">
        <f>+CK1202/CK1203</f>
        <v>1.3374944271065537E-3</v>
      </c>
      <c r="CL1204" s="465">
        <f>+CL1202/CL1203</f>
        <v>1.337494427106554E-3</v>
      </c>
      <c r="CM1204" s="661"/>
      <c r="CN1204" s="465">
        <f>+CN1202/CN1203</f>
        <v>3.9045214358226826E-4</v>
      </c>
      <c r="CO1204" s="465">
        <f>+CO1202/CO1203</f>
        <v>3.1233732431025507E-4</v>
      </c>
      <c r="CP1204" s="465">
        <f>+CP1202/CP1203</f>
        <v>3.1233732431025513E-4</v>
      </c>
      <c r="CQ1204" s="661"/>
      <c r="CR1204" s="465">
        <f>+CR1202/CR1203</f>
        <v>2.4357898725269967E-4</v>
      </c>
      <c r="CS1204" s="465">
        <f>+CS1202/CS1203</f>
        <v>7.1297337318671676E-4</v>
      </c>
      <c r="CT1204" s="465">
        <f>+CT1202/CT1203</f>
        <v>7.1297337318671676E-4</v>
      </c>
      <c r="CU1204" s="661"/>
      <c r="CV1204" s="465">
        <f>+CV1202/CV1203</f>
        <v>3.8986909504837792E-3</v>
      </c>
      <c r="CW1204" s="465">
        <f>+CW1202/CW1203</f>
        <v>4.7769292011912833E-3</v>
      </c>
      <c r="CX1204" s="465">
        <f>+CX1202/CX1203</f>
        <v>4.7769292011912833E-3</v>
      </c>
      <c r="CY1204" s="661"/>
      <c r="CZ1204" s="465">
        <f>+CZ1202/CZ1203</f>
        <v>4.3524604725528517E-3</v>
      </c>
      <c r="DA1204" s="465">
        <f>+DA1202/DA1203</f>
        <v>4.6974877359892966E-3</v>
      </c>
      <c r="DB1204" s="465">
        <f>+DB1202/DB1203</f>
        <v>4.6974877359892966E-3</v>
      </c>
      <c r="DC1204" s="661"/>
      <c r="DD1204" s="465">
        <f>+DD1202/DD1203</f>
        <v>5.6273447269695707E-3</v>
      </c>
      <c r="DE1204" s="465">
        <f>+DE1202/DE1203</f>
        <v>6.4064362336114424E-3</v>
      </c>
      <c r="DF1204" s="465">
        <f>+DF1202/DF1203</f>
        <v>6.4064362336114424E-3</v>
      </c>
      <c r="DG1204" s="661"/>
      <c r="DH1204" s="465">
        <f>+DH1202/DH1203</f>
        <v>5.8070279928528886E-3</v>
      </c>
      <c r="DI1204" s="482">
        <f>DH1204</f>
        <v>5.8070279928528886E-3</v>
      </c>
      <c r="DJ1204" s="465">
        <f>+DJ1202/DJ1203</f>
        <v>5.8070279928528886E-3</v>
      </c>
      <c r="DK1204" s="661"/>
      <c r="DL1204" s="482">
        <f>DI1204</f>
        <v>5.8070279928528886E-3</v>
      </c>
      <c r="DM1204" s="482">
        <f>DL1204</f>
        <v>5.8070279928528886E-3</v>
      </c>
      <c r="DN1204" s="465">
        <f ca="1">+DN1202/DN1203</f>
        <v>5.8070279928528886E-3</v>
      </c>
      <c r="DO1204" s="661"/>
      <c r="DP1204" s="482">
        <f>DM1204</f>
        <v>5.8070279928528886E-3</v>
      </c>
      <c r="DQ1204" s="482">
        <f>DP1204</f>
        <v>5.8070279928528886E-3</v>
      </c>
      <c r="DR1204" s="465">
        <f ca="1">+DR1202/DR1203</f>
        <v>5.8070279928528886E-3</v>
      </c>
      <c r="DS1204" s="661"/>
      <c r="DT1204" s="1"/>
      <c r="DU1204" s="1"/>
      <c r="DV1204" s="1"/>
      <c r="DW1204" s="1"/>
      <c r="DX1204" s="1"/>
      <c r="DY1204" s="1"/>
      <c r="DZ1204" s="1"/>
      <c r="EA1204" s="1"/>
      <c r="EB1204" s="1"/>
      <c r="EC1204" s="1"/>
      <c r="ED1204" s="1"/>
      <c r="EE1204" s="1"/>
      <c r="EF1204" s="1"/>
      <c r="EG1204" s="1"/>
      <c r="EH1204" s="1"/>
      <c r="EI1204" s="1"/>
      <c r="EJ1204" s="1"/>
      <c r="EK1204" s="1"/>
      <c r="EL1204" s="1"/>
      <c r="EM1204" s="1"/>
      <c r="EN1204" s="1"/>
      <c r="EO1204" s="1"/>
      <c r="EP1204" s="1"/>
      <c r="EQ1204" s="1"/>
      <c r="ER1204" s="1"/>
      <c r="ES1204" s="1"/>
      <c r="ET1204" s="1"/>
      <c r="EU1204" s="1"/>
      <c r="EV1204" s="1"/>
      <c r="EW1204" s="1"/>
      <c r="EX1204" s="1"/>
      <c r="EY1204" s="1"/>
      <c r="EZ1204" s="1"/>
      <c r="FA1204" s="1"/>
      <c r="FB1204" s="1"/>
      <c r="FC1204" s="1"/>
      <c r="FD1204" s="1"/>
      <c r="FE1204" s="1"/>
      <c r="FF1204" s="1"/>
      <c r="FG1204" s="1"/>
      <c r="FH1204" s="1"/>
      <c r="FI1204" s="1"/>
      <c r="FJ1204" s="1"/>
      <c r="FK1204" s="1"/>
      <c r="FL1204" s="1"/>
      <c r="FM1204" s="1"/>
      <c r="FN1204" s="1"/>
      <c r="FO1204" s="1"/>
      <c r="FP1204" s="1"/>
      <c r="FQ1204" s="1"/>
      <c r="FR1204" s="1"/>
      <c r="FS1204" s="1"/>
      <c r="FT1204" s="1"/>
      <c r="FU1204" s="1"/>
      <c r="FV1204" s="1"/>
      <c r="FW1204" s="1"/>
      <c r="FX1204" s="1"/>
      <c r="FY1204" s="1"/>
      <c r="FZ1204" s="1"/>
      <c r="GA1204" s="1"/>
      <c r="GB1204" s="1"/>
      <c r="GC1204" s="1"/>
      <c r="GD1204" s="1"/>
      <c r="GE1204" s="1"/>
      <c r="GF1204" s="1"/>
      <c r="GG1204" s="1"/>
      <c r="GH1204" s="1"/>
      <c r="GI1204" s="1"/>
      <c r="GJ1204" s="1"/>
      <c r="GK1204" s="1"/>
      <c r="GL1204" s="1"/>
      <c r="GM1204" s="1"/>
      <c r="GN1204" s="1"/>
      <c r="GO1204" s="1"/>
      <c r="GP1204" s="1"/>
      <c r="GQ1204" s="1"/>
      <c r="GR1204" s="1"/>
      <c r="GS1204" s="1"/>
      <c r="GT1204" s="1"/>
      <c r="GU1204" s="1"/>
      <c r="GV1204" s="1"/>
      <c r="GW1204" s="1"/>
      <c r="GX1204" s="1"/>
      <c r="GY1204" s="1"/>
      <c r="GZ1204" s="1"/>
      <c r="HA1204" s="1"/>
      <c r="HB1204" s="1"/>
      <c r="HC1204" s="1"/>
      <c r="HD1204" s="1"/>
      <c r="HE1204" s="1"/>
      <c r="HF1204" s="1"/>
      <c r="HG1204" s="1"/>
      <c r="HH1204" s="1"/>
      <c r="HI1204" s="1"/>
      <c r="HJ1204" s="1"/>
      <c r="HK1204" s="1"/>
      <c r="HL1204" s="1"/>
      <c r="HM1204" s="1"/>
      <c r="HN1204" s="1"/>
      <c r="HO1204" s="1"/>
      <c r="HP1204" s="1"/>
      <c r="HQ1204" s="1"/>
      <c r="HR1204" s="1"/>
      <c r="HS1204" s="1"/>
      <c r="HT1204" s="1"/>
      <c r="HU1204" s="1"/>
      <c r="HV1204" s="1"/>
      <c r="HW1204" s="1"/>
      <c r="HX1204" s="1"/>
      <c r="HY1204" s="1"/>
      <c r="HZ1204" s="1"/>
      <c r="IA1204" s="1"/>
      <c r="IB1204" s="1"/>
      <c r="IC1204" s="1"/>
      <c r="ID1204" s="1"/>
      <c r="IE1204" s="1"/>
      <c r="IF1204" s="1"/>
      <c r="IG1204" s="1"/>
      <c r="IH1204" s="1"/>
      <c r="II1204" s="1"/>
      <c r="IJ1204" s="1"/>
      <c r="IK1204" s="1"/>
      <c r="IL1204" s="1"/>
      <c r="IM1204" s="1"/>
      <c r="IN1204" s="1"/>
      <c r="IO1204" s="1"/>
      <c r="IP1204" s="1"/>
      <c r="IQ1204" s="1"/>
      <c r="IR1204" s="1"/>
      <c r="IS1204" s="1"/>
      <c r="IT1204" s="1"/>
      <c r="IU1204" s="1"/>
      <c r="IV1204" s="1"/>
      <c r="IW1204" s="1"/>
      <c r="IX1204" s="1"/>
      <c r="IY1204" s="1"/>
      <c r="IZ1204" s="1"/>
      <c r="JA1204" s="1"/>
      <c r="JB1204" s="1"/>
      <c r="JC1204" s="1"/>
      <c r="JD1204" s="1"/>
    </row>
    <row r="1205" spans="1:264" s="347" customFormat="1" x14ac:dyDescent="0.2">
      <c r="A1205" s="411"/>
      <c r="B1205" s="348"/>
      <c r="BE1205" s="351"/>
      <c r="BH1205" s="351"/>
      <c r="BI1205" s="351"/>
      <c r="BJ1205" s="351"/>
      <c r="BK1205" s="351"/>
      <c r="BL1205" s="351"/>
      <c r="BM1205" s="351"/>
      <c r="BN1205" s="351"/>
      <c r="BO1205" s="351"/>
      <c r="BP1205" s="351"/>
      <c r="BQ1205" s="351"/>
      <c r="BR1205" s="351"/>
      <c r="BS1205" s="351"/>
      <c r="BT1205" s="351"/>
      <c r="BU1205" s="351"/>
      <c r="BV1205" s="351"/>
      <c r="BW1205" s="351"/>
      <c r="BX1205" s="351"/>
      <c r="BY1205" s="351"/>
      <c r="BZ1205" s="351"/>
      <c r="CA1205" s="351"/>
      <c r="CB1205" s="351"/>
      <c r="CC1205" s="351"/>
      <c r="CD1205" s="351"/>
      <c r="CE1205" s="351"/>
      <c r="CF1205" s="351"/>
      <c r="CG1205" s="351"/>
      <c r="CH1205" s="351"/>
      <c r="CI1205" s="351"/>
      <c r="CJ1205" s="351"/>
      <c r="CK1205" s="351"/>
      <c r="CL1205" s="351"/>
      <c r="CM1205" s="351"/>
      <c r="CN1205" s="351"/>
      <c r="CO1205" s="351"/>
      <c r="CP1205" s="351"/>
      <c r="CQ1205" s="351"/>
      <c r="CR1205" s="351"/>
      <c r="CS1205" s="351"/>
      <c r="CT1205" s="351"/>
      <c r="CU1205" s="351"/>
      <c r="CV1205" s="351"/>
      <c r="CW1205" s="351"/>
      <c r="CX1205" s="351"/>
      <c r="CY1205" s="351"/>
      <c r="CZ1205" s="351"/>
      <c r="DA1205" s="351"/>
      <c r="DB1205" s="351"/>
      <c r="DC1205" s="351"/>
      <c r="DD1205" s="351"/>
      <c r="DE1205" s="351"/>
      <c r="DF1205" s="351"/>
      <c r="DG1205" s="351"/>
      <c r="DH1205" s="351"/>
      <c r="DI1205" s="351"/>
      <c r="DJ1205" s="351"/>
      <c r="DK1205" s="351"/>
      <c r="DL1205" s="351"/>
      <c r="DM1205" s="351"/>
      <c r="DN1205" s="351"/>
      <c r="DO1205" s="351"/>
      <c r="DP1205" s="351"/>
      <c r="DQ1205" s="351"/>
      <c r="DR1205" s="351"/>
      <c r="DS1205" s="351"/>
      <c r="DT1205" s="1"/>
      <c r="DU1205" s="1"/>
      <c r="DV1205" s="1"/>
      <c r="DW1205" s="1"/>
      <c r="DX1205" s="1"/>
      <c r="DY1205" s="1"/>
      <c r="DZ1205" s="1"/>
      <c r="EA1205" s="1"/>
      <c r="EB1205" s="1"/>
      <c r="EC1205" s="1"/>
      <c r="ED1205" s="1"/>
      <c r="EE1205" s="1"/>
      <c r="EF1205" s="1"/>
      <c r="EG1205" s="1"/>
      <c r="EH1205" s="1"/>
      <c r="EI1205" s="1"/>
      <c r="EJ1205" s="1"/>
      <c r="EK1205" s="1"/>
      <c r="EL1205" s="1"/>
      <c r="EM1205" s="1"/>
      <c r="EN1205" s="1"/>
      <c r="EO1205" s="1"/>
      <c r="EP1205" s="1"/>
      <c r="EQ1205" s="1"/>
      <c r="ER1205" s="1"/>
      <c r="ES1205" s="1"/>
      <c r="ET1205" s="1"/>
      <c r="EU1205" s="1"/>
      <c r="EV1205" s="1"/>
      <c r="EW1205" s="1"/>
      <c r="EX1205" s="1"/>
      <c r="EY1205" s="1"/>
      <c r="EZ1205" s="1"/>
      <c r="FA1205" s="1"/>
      <c r="FB1205" s="1"/>
      <c r="FC1205" s="1"/>
      <c r="FD1205" s="1"/>
      <c r="FE1205" s="1"/>
      <c r="FF1205" s="1"/>
      <c r="FG1205" s="1"/>
      <c r="FH1205" s="1"/>
      <c r="FI1205" s="1"/>
      <c r="FJ1205" s="1"/>
      <c r="FK1205" s="1"/>
      <c r="FL1205" s="1"/>
      <c r="FM1205" s="1"/>
      <c r="FN1205" s="1"/>
      <c r="FO1205" s="1"/>
      <c r="FP1205" s="1"/>
      <c r="FQ1205" s="1"/>
      <c r="FR1205" s="1"/>
      <c r="FS1205" s="1"/>
      <c r="FT1205" s="1"/>
      <c r="FU1205" s="1"/>
      <c r="FV1205" s="1"/>
      <c r="FW1205" s="1"/>
      <c r="FX1205" s="1"/>
      <c r="FY1205" s="1"/>
      <c r="FZ1205" s="1"/>
      <c r="GA1205" s="1"/>
      <c r="GB1205" s="1"/>
      <c r="GC1205" s="1"/>
      <c r="GD1205" s="1"/>
      <c r="GE1205" s="1"/>
      <c r="GF1205" s="1"/>
      <c r="GG1205" s="1"/>
      <c r="GH1205" s="1"/>
      <c r="GI1205" s="1"/>
      <c r="GJ1205" s="1"/>
      <c r="GK1205" s="1"/>
      <c r="GL1205" s="1"/>
      <c r="GM1205" s="1"/>
      <c r="GN1205" s="1"/>
      <c r="GO1205" s="1"/>
      <c r="GP1205" s="1"/>
      <c r="GQ1205" s="1"/>
      <c r="GR1205" s="1"/>
      <c r="GS1205" s="1"/>
      <c r="GT1205" s="1"/>
      <c r="GU1205" s="1"/>
      <c r="GV1205" s="1"/>
      <c r="GW1205" s="1"/>
      <c r="GX1205" s="1"/>
      <c r="GY1205" s="1"/>
      <c r="GZ1205" s="1"/>
      <c r="HA1205" s="1"/>
      <c r="HB1205" s="1"/>
      <c r="HC1205" s="1"/>
      <c r="HD1205" s="1"/>
      <c r="HE1205" s="1"/>
      <c r="HF1205" s="1"/>
      <c r="HG1205" s="1"/>
      <c r="HH1205" s="1"/>
      <c r="HI1205" s="1"/>
      <c r="HJ1205" s="1"/>
      <c r="HK1205" s="1"/>
      <c r="HL1205" s="1"/>
      <c r="HM1205" s="1"/>
      <c r="HN1205" s="1"/>
      <c r="HO1205" s="1"/>
      <c r="HP1205" s="1"/>
      <c r="HQ1205" s="1"/>
      <c r="HR1205" s="1"/>
      <c r="HS1205" s="1"/>
      <c r="HT1205" s="1"/>
      <c r="HU1205" s="1"/>
      <c r="HV1205" s="1"/>
      <c r="HW1205" s="1"/>
      <c r="HX1205" s="1"/>
      <c r="HY1205" s="1"/>
      <c r="HZ1205" s="1"/>
      <c r="IA1205" s="1"/>
      <c r="IB1205" s="1"/>
      <c r="IC1205" s="1"/>
      <c r="ID1205" s="1"/>
      <c r="IE1205" s="1"/>
      <c r="IF1205" s="1"/>
      <c r="IG1205" s="1"/>
      <c r="IH1205" s="1"/>
      <c r="II1205" s="1"/>
      <c r="IJ1205" s="1"/>
      <c r="IK1205" s="1"/>
      <c r="IL1205" s="1"/>
      <c r="IM1205" s="1"/>
      <c r="IN1205" s="1"/>
      <c r="IO1205" s="1"/>
      <c r="IP1205" s="1"/>
      <c r="IQ1205" s="1"/>
      <c r="IR1205" s="1"/>
      <c r="IS1205" s="1"/>
      <c r="IT1205" s="1"/>
      <c r="IU1205" s="1"/>
      <c r="IV1205" s="1"/>
      <c r="IW1205" s="1"/>
      <c r="IX1205" s="1"/>
      <c r="IY1205" s="1"/>
      <c r="IZ1205" s="1"/>
      <c r="JA1205" s="1"/>
      <c r="JB1205" s="1"/>
      <c r="JC1205" s="1"/>
      <c r="JD1205" s="1"/>
    </row>
    <row r="1206" spans="1:264" s="347" customFormat="1" x14ac:dyDescent="0.2">
      <c r="A1206" s="347" t="s">
        <v>814</v>
      </c>
      <c r="B1206" s="348"/>
      <c r="BE1206" s="351"/>
      <c r="BH1206" s="351"/>
      <c r="BI1206" s="351">
        <f>BI415</f>
        <v>7723</v>
      </c>
      <c r="BJ1206" s="351">
        <f>BJ415</f>
        <v>7723</v>
      </c>
      <c r="BK1206" s="351"/>
      <c r="BL1206" s="351">
        <f>BL415</f>
        <v>7567</v>
      </c>
      <c r="BM1206" s="351">
        <f>BM415</f>
        <v>7566</v>
      </c>
      <c r="BN1206" s="351">
        <f>BN415</f>
        <v>7566</v>
      </c>
      <c r="BO1206" s="351"/>
      <c r="BP1206" s="351">
        <f>BP415</f>
        <v>7576</v>
      </c>
      <c r="BQ1206" s="351">
        <f>BQ415</f>
        <v>7599</v>
      </c>
      <c r="BR1206" s="351">
        <f>BR415</f>
        <v>7599</v>
      </c>
      <c r="BS1206" s="351"/>
      <c r="BT1206" s="351">
        <f>BT415</f>
        <v>7597</v>
      </c>
      <c r="BU1206" s="351">
        <f>BU415</f>
        <v>7925</v>
      </c>
      <c r="BV1206" s="351">
        <f>BV415</f>
        <v>7925</v>
      </c>
      <c r="BW1206" s="351"/>
      <c r="BX1206" s="351">
        <f>BX415</f>
        <v>7880</v>
      </c>
      <c r="BY1206" s="351">
        <f>BY415</f>
        <v>7872</v>
      </c>
      <c r="BZ1206" s="351">
        <f>BZ415</f>
        <v>7872</v>
      </c>
      <c r="CA1206" s="351"/>
      <c r="CB1206" s="351">
        <f>CB415</f>
        <v>6868</v>
      </c>
      <c r="CC1206" s="351">
        <f>CC415</f>
        <v>6941</v>
      </c>
      <c r="CD1206" s="351">
        <f>CD415</f>
        <v>6941</v>
      </c>
      <c r="CE1206" s="351"/>
      <c r="CF1206" s="351">
        <f>CF415</f>
        <v>6022</v>
      </c>
      <c r="CG1206" s="351">
        <f>CG415</f>
        <v>5974</v>
      </c>
      <c r="CH1206" s="351">
        <f>CH415</f>
        <v>5974</v>
      </c>
      <c r="CI1206" s="351"/>
      <c r="CJ1206" s="351">
        <f>CJ415</f>
        <v>5997</v>
      </c>
      <c r="CK1206" s="351">
        <f>CK415</f>
        <v>5284</v>
      </c>
      <c r="CL1206" s="351">
        <f>CL415</f>
        <v>5284</v>
      </c>
      <c r="CM1206" s="351"/>
      <c r="CN1206" s="351">
        <f>CN415</f>
        <v>5269</v>
      </c>
      <c r="CO1206" s="351">
        <f>CO415</f>
        <v>5317</v>
      </c>
      <c r="CP1206" s="351">
        <f>CP415</f>
        <v>5317</v>
      </c>
      <c r="CQ1206" s="351"/>
      <c r="CR1206" s="351">
        <f>CR415</f>
        <v>5295</v>
      </c>
      <c r="CS1206" s="351">
        <f>CS415</f>
        <v>5295</v>
      </c>
      <c r="CT1206" s="351">
        <f>CT415</f>
        <v>5295</v>
      </c>
      <c r="CU1206" s="351"/>
      <c r="CV1206" s="351">
        <f>CV415</f>
        <v>5299</v>
      </c>
      <c r="CW1206" s="351">
        <f>CW415</f>
        <v>5295</v>
      </c>
      <c r="CX1206" s="351">
        <f>CX415</f>
        <v>5295</v>
      </c>
      <c r="CY1206" s="351"/>
      <c r="CZ1206" s="351">
        <f>CZ415</f>
        <v>5289</v>
      </c>
      <c r="DA1206" s="351">
        <f>DA415</f>
        <v>5285</v>
      </c>
      <c r="DB1206" s="351">
        <f>DB415</f>
        <v>5285</v>
      </c>
      <c r="DC1206" s="351"/>
      <c r="DD1206" s="351">
        <f>DD415</f>
        <v>5282</v>
      </c>
      <c r="DE1206" s="351">
        <f>DE415</f>
        <v>5289</v>
      </c>
      <c r="DF1206" s="351">
        <f>DF415</f>
        <v>5289</v>
      </c>
      <c r="DG1206" s="351"/>
      <c r="DH1206" s="351">
        <f>DH415</f>
        <v>5270</v>
      </c>
      <c r="DI1206" s="351">
        <f>DI415</f>
        <v>5270</v>
      </c>
      <c r="DJ1206" s="351">
        <f>DJ415</f>
        <v>5270</v>
      </c>
      <c r="DK1206" s="351"/>
      <c r="DL1206" s="351">
        <f>DL415</f>
        <v>5270</v>
      </c>
      <c r="DM1206" s="351">
        <f>DM415</f>
        <v>5270</v>
      </c>
      <c r="DN1206" s="351">
        <f>DN415</f>
        <v>5270</v>
      </c>
      <c r="DO1206" s="351"/>
      <c r="DP1206" s="351">
        <f>DP415</f>
        <v>5270</v>
      </c>
      <c r="DQ1206" s="351">
        <f>DQ415</f>
        <v>5270</v>
      </c>
      <c r="DR1206" s="351">
        <f>DR415</f>
        <v>5270</v>
      </c>
      <c r="DS1206" s="351"/>
      <c r="DT1206" s="1"/>
      <c r="DU1206" s="1"/>
      <c r="DV1206" s="1"/>
      <c r="DW1206" s="1"/>
      <c r="DX1206" s="1"/>
      <c r="DY1206" s="1"/>
      <c r="DZ1206" s="1"/>
      <c r="EA1206" s="1"/>
      <c r="EB1206" s="1"/>
      <c r="EC1206" s="1"/>
      <c r="ED1206" s="1"/>
      <c r="EE1206" s="1"/>
      <c r="EF1206" s="1"/>
      <c r="EG1206" s="1"/>
      <c r="EH1206" s="1"/>
      <c r="EI1206" s="1"/>
      <c r="EJ1206" s="1"/>
      <c r="EK1206" s="1"/>
      <c r="EL1206" s="1"/>
      <c r="EM1206" s="1"/>
      <c r="EN1206" s="1"/>
      <c r="EO1206" s="1"/>
      <c r="EP1206" s="1"/>
      <c r="EQ1206" s="1"/>
      <c r="ER1206" s="1"/>
      <c r="ES1206" s="1"/>
      <c r="ET1206" s="1"/>
      <c r="EU1206" s="1"/>
      <c r="EV1206" s="1"/>
      <c r="EW1206" s="1"/>
      <c r="EX1206" s="1"/>
      <c r="EY1206" s="1"/>
      <c r="EZ1206" s="1"/>
      <c r="FA1206" s="1"/>
      <c r="FB1206" s="1"/>
      <c r="FC1206" s="1"/>
      <c r="FD1206" s="1"/>
      <c r="FE1206" s="1"/>
      <c r="FF1206" s="1"/>
      <c r="FG1206" s="1"/>
      <c r="FH1206" s="1"/>
      <c r="FI1206" s="1"/>
      <c r="FJ1206" s="1"/>
      <c r="FK1206" s="1"/>
      <c r="FL1206" s="1"/>
      <c r="FM1206" s="1"/>
      <c r="FN1206" s="1"/>
      <c r="FO1206" s="1"/>
      <c r="FP1206" s="1"/>
      <c r="FQ1206" s="1"/>
      <c r="FR1206" s="1"/>
      <c r="FS1206" s="1"/>
      <c r="FT1206" s="1"/>
      <c r="FU1206" s="1"/>
      <c r="FV1206" s="1"/>
      <c r="FW1206" s="1"/>
      <c r="FX1206" s="1"/>
      <c r="FY1206" s="1"/>
      <c r="FZ1206" s="1"/>
      <c r="GA1206" s="1"/>
      <c r="GB1206" s="1"/>
      <c r="GC1206" s="1"/>
      <c r="GD1206" s="1"/>
      <c r="GE1206" s="1"/>
      <c r="GF1206" s="1"/>
      <c r="GG1206" s="1"/>
      <c r="GH1206" s="1"/>
      <c r="GI1206" s="1"/>
      <c r="GJ1206" s="1"/>
      <c r="GK1206" s="1"/>
      <c r="GL1206" s="1"/>
      <c r="GM1206" s="1"/>
      <c r="GN1206" s="1"/>
      <c r="GO1206" s="1"/>
      <c r="GP1206" s="1"/>
      <c r="GQ1206" s="1"/>
      <c r="GR1206" s="1"/>
      <c r="GS1206" s="1"/>
      <c r="GT1206" s="1"/>
      <c r="GU1206" s="1"/>
      <c r="GV1206" s="1"/>
      <c r="GW1206" s="1"/>
      <c r="GX1206" s="1"/>
      <c r="GY1206" s="1"/>
      <c r="GZ1206" s="1"/>
      <c r="HA1206" s="1"/>
      <c r="HB1206" s="1"/>
      <c r="HC1206" s="1"/>
      <c r="HD1206" s="1"/>
      <c r="HE1206" s="1"/>
      <c r="HF1206" s="1"/>
      <c r="HG1206" s="1"/>
      <c r="HH1206" s="1"/>
      <c r="HI1206" s="1"/>
      <c r="HJ1206" s="1"/>
      <c r="HK1206" s="1"/>
      <c r="HL1206" s="1"/>
      <c r="HM1206" s="1"/>
      <c r="HN1206" s="1"/>
      <c r="HO1206" s="1"/>
      <c r="HP1206" s="1"/>
      <c r="HQ1206" s="1"/>
      <c r="HR1206" s="1"/>
      <c r="HS1206" s="1"/>
      <c r="HT1206" s="1"/>
      <c r="HU1206" s="1"/>
      <c r="HV1206" s="1"/>
      <c r="HW1206" s="1"/>
      <c r="HX1206" s="1"/>
      <c r="HY1206" s="1"/>
      <c r="HZ1206" s="1"/>
      <c r="IA1206" s="1"/>
      <c r="IB1206" s="1"/>
      <c r="IC1206" s="1"/>
      <c r="ID1206" s="1"/>
      <c r="IE1206" s="1"/>
      <c r="IF1206" s="1"/>
      <c r="IG1206" s="1"/>
      <c r="IH1206" s="1"/>
      <c r="II1206" s="1"/>
      <c r="IJ1206" s="1"/>
      <c r="IK1206" s="1"/>
      <c r="IL1206" s="1"/>
      <c r="IM1206" s="1"/>
      <c r="IN1206" s="1"/>
      <c r="IO1206" s="1"/>
      <c r="IP1206" s="1"/>
      <c r="IQ1206" s="1"/>
      <c r="IR1206" s="1"/>
      <c r="IS1206" s="1"/>
      <c r="IT1206" s="1"/>
      <c r="IU1206" s="1"/>
      <c r="IV1206" s="1"/>
      <c r="IW1206" s="1"/>
      <c r="IX1206" s="1"/>
      <c r="IY1206" s="1"/>
      <c r="IZ1206" s="1"/>
      <c r="JA1206" s="1"/>
      <c r="JB1206" s="1"/>
      <c r="JC1206" s="1"/>
      <c r="JD1206" s="1"/>
    </row>
    <row r="1207" spans="1:264" s="347" customFormat="1" x14ac:dyDescent="0.2">
      <c r="A1207" s="411" t="s">
        <v>815</v>
      </c>
      <c r="B1207" s="348"/>
      <c r="BE1207" s="351"/>
      <c r="BH1207" s="351"/>
      <c r="BI1207" s="351"/>
      <c r="BJ1207" s="351"/>
      <c r="BK1207" s="351"/>
      <c r="BL1207" s="351"/>
      <c r="BM1207" s="351"/>
      <c r="BN1207" s="351"/>
      <c r="BO1207" s="351"/>
      <c r="BP1207" s="351"/>
      <c r="BQ1207" s="351"/>
      <c r="BR1207" s="351"/>
      <c r="BS1207" s="351"/>
      <c r="BT1207" s="351"/>
      <c r="BU1207" s="351"/>
      <c r="BV1207" s="351"/>
      <c r="BW1207" s="351"/>
      <c r="BX1207" s="351"/>
      <c r="BY1207" s="351"/>
      <c r="BZ1207" s="351"/>
      <c r="CA1207" s="351"/>
      <c r="CB1207" s="351"/>
      <c r="CC1207" s="351"/>
      <c r="CD1207" s="351"/>
      <c r="CE1207" s="351"/>
      <c r="CF1207" s="351"/>
      <c r="CG1207" s="351"/>
      <c r="CH1207" s="351"/>
      <c r="CI1207" s="351"/>
      <c r="CJ1207" s="351"/>
      <c r="CK1207" s="351"/>
      <c r="CL1207" s="351"/>
      <c r="CM1207" s="351"/>
      <c r="CN1207" s="351"/>
      <c r="CO1207" s="351"/>
      <c r="CP1207" s="351"/>
      <c r="CQ1207" s="351"/>
      <c r="CR1207" s="351"/>
      <c r="CS1207" s="351"/>
      <c r="CT1207" s="351"/>
      <c r="CU1207" s="351"/>
      <c r="CV1207" s="351"/>
      <c r="CW1207" s="351"/>
      <c r="CX1207" s="351"/>
      <c r="CY1207" s="351"/>
      <c r="CZ1207" s="351"/>
      <c r="DA1207" s="351"/>
      <c r="DB1207" s="351"/>
      <c r="DC1207" s="351"/>
      <c r="DD1207" s="351"/>
      <c r="DE1207" s="351"/>
      <c r="DF1207" s="351"/>
      <c r="DG1207" s="351"/>
      <c r="DH1207" s="351"/>
      <c r="DI1207" s="351"/>
      <c r="DJ1207" s="351"/>
      <c r="DK1207" s="351"/>
      <c r="DL1207" s="351"/>
      <c r="DM1207" s="351"/>
      <c r="DN1207" s="351"/>
      <c r="DO1207" s="351"/>
      <c r="DP1207" s="351"/>
      <c r="DQ1207" s="351"/>
      <c r="DR1207" s="351"/>
      <c r="DS1207" s="351"/>
      <c r="DT1207" s="1"/>
      <c r="DU1207" s="1"/>
      <c r="DV1207" s="1"/>
      <c r="DW1207" s="1"/>
      <c r="DX1207" s="1"/>
      <c r="DY1207" s="1"/>
      <c r="DZ1207" s="1"/>
      <c r="EA1207" s="1"/>
      <c r="EB1207" s="1"/>
      <c r="EC1207" s="1"/>
      <c r="ED1207" s="1"/>
      <c r="EE1207" s="1"/>
      <c r="EF1207" s="1"/>
      <c r="EG1207" s="1"/>
      <c r="EH1207" s="1"/>
      <c r="EI1207" s="1"/>
      <c r="EJ1207" s="1"/>
      <c r="EK1207" s="1"/>
      <c r="EL1207" s="1"/>
      <c r="EM1207" s="1"/>
      <c r="EN1207" s="1"/>
      <c r="EO1207" s="1"/>
      <c r="EP1207" s="1"/>
      <c r="EQ1207" s="1"/>
      <c r="ER1207" s="1"/>
      <c r="ES1207" s="1"/>
      <c r="ET1207" s="1"/>
      <c r="EU1207" s="1"/>
      <c r="EV1207" s="1"/>
      <c r="EW1207" s="1"/>
      <c r="EX1207" s="1"/>
      <c r="EY1207" s="1"/>
      <c r="EZ1207" s="1"/>
      <c r="FA1207" s="1"/>
      <c r="FB1207" s="1"/>
      <c r="FC1207" s="1"/>
      <c r="FD1207" s="1"/>
      <c r="FE1207" s="1"/>
      <c r="FF1207" s="1"/>
      <c r="FG1207" s="1"/>
      <c r="FH1207" s="1"/>
      <c r="FI1207" s="1"/>
      <c r="FJ1207" s="1"/>
      <c r="FK1207" s="1"/>
      <c r="FL1207" s="1"/>
      <c r="FM1207" s="1"/>
      <c r="FN1207" s="1"/>
      <c r="FO1207" s="1"/>
      <c r="FP1207" s="1"/>
      <c r="FQ1207" s="1"/>
      <c r="FR1207" s="1"/>
      <c r="FS1207" s="1"/>
      <c r="FT1207" s="1"/>
      <c r="FU1207" s="1"/>
      <c r="FV1207" s="1"/>
      <c r="FW1207" s="1"/>
      <c r="FX1207" s="1"/>
      <c r="FY1207" s="1"/>
      <c r="FZ1207" s="1"/>
      <c r="GA1207" s="1"/>
      <c r="GB1207" s="1"/>
      <c r="GC1207" s="1"/>
      <c r="GD1207" s="1"/>
      <c r="GE1207" s="1"/>
      <c r="GF1207" s="1"/>
      <c r="GG1207" s="1"/>
      <c r="GH1207" s="1"/>
      <c r="GI1207" s="1"/>
      <c r="GJ1207" s="1"/>
      <c r="GK1207" s="1"/>
      <c r="GL1207" s="1"/>
      <c r="GM1207" s="1"/>
      <c r="GN1207" s="1"/>
      <c r="GO1207" s="1"/>
      <c r="GP1207" s="1"/>
      <c r="GQ1207" s="1"/>
      <c r="GR1207" s="1"/>
      <c r="GS1207" s="1"/>
      <c r="GT1207" s="1"/>
      <c r="GU1207" s="1"/>
      <c r="GV1207" s="1"/>
      <c r="GW1207" s="1"/>
      <c r="GX1207" s="1"/>
      <c r="GY1207" s="1"/>
      <c r="GZ1207" s="1"/>
      <c r="HA1207" s="1"/>
      <c r="HB1207" s="1"/>
      <c r="HC1207" s="1"/>
      <c r="HD1207" s="1"/>
      <c r="HE1207" s="1"/>
      <c r="HF1207" s="1"/>
      <c r="HG1207" s="1"/>
      <c r="HH1207" s="1"/>
      <c r="HI1207" s="1"/>
      <c r="HJ1207" s="1"/>
      <c r="HK1207" s="1"/>
      <c r="HL1207" s="1"/>
      <c r="HM1207" s="1"/>
      <c r="HN1207" s="1"/>
      <c r="HO1207" s="1"/>
      <c r="HP1207" s="1"/>
      <c r="HQ1207" s="1"/>
      <c r="HR1207" s="1"/>
      <c r="HS1207" s="1"/>
      <c r="HT1207" s="1"/>
      <c r="HU1207" s="1"/>
      <c r="HV1207" s="1"/>
      <c r="HW1207" s="1"/>
      <c r="HX1207" s="1"/>
      <c r="HY1207" s="1"/>
      <c r="HZ1207" s="1"/>
      <c r="IA1207" s="1"/>
      <c r="IB1207" s="1"/>
      <c r="IC1207" s="1"/>
      <c r="ID1207" s="1"/>
      <c r="IE1207" s="1"/>
      <c r="IF1207" s="1"/>
      <c r="IG1207" s="1"/>
      <c r="IH1207" s="1"/>
      <c r="II1207" s="1"/>
      <c r="IJ1207" s="1"/>
      <c r="IK1207" s="1"/>
      <c r="IL1207" s="1"/>
      <c r="IM1207" s="1"/>
      <c r="IN1207" s="1"/>
      <c r="IO1207" s="1"/>
      <c r="IP1207" s="1"/>
      <c r="IQ1207" s="1"/>
      <c r="IR1207" s="1"/>
      <c r="IS1207" s="1"/>
      <c r="IT1207" s="1"/>
      <c r="IU1207" s="1"/>
      <c r="IV1207" s="1"/>
      <c r="IW1207" s="1"/>
      <c r="IX1207" s="1"/>
      <c r="IY1207" s="1"/>
      <c r="IZ1207" s="1"/>
      <c r="JA1207" s="1"/>
      <c r="JB1207" s="1"/>
      <c r="JC1207" s="1"/>
      <c r="JD1207" s="1"/>
    </row>
    <row r="1208" spans="1:264" s="347" customFormat="1" x14ac:dyDescent="0.2">
      <c r="A1208" s="347" t="s">
        <v>313</v>
      </c>
      <c r="B1208" s="348"/>
      <c r="BE1208" s="351"/>
      <c r="BH1208" s="351"/>
      <c r="BI1208" s="351"/>
      <c r="BJ1208" s="351"/>
      <c r="BK1208" s="351"/>
      <c r="BL1208" s="351">
        <f>BI1212</f>
        <v>7723</v>
      </c>
      <c r="BM1208" s="351">
        <f>BL1212</f>
        <v>7694</v>
      </c>
      <c r="BN1208" s="351">
        <f>BL1208</f>
        <v>7723</v>
      </c>
      <c r="BO1208" s="351"/>
      <c r="BP1208" s="351">
        <f>BM1212</f>
        <v>7566</v>
      </c>
      <c r="BQ1208" s="351">
        <f>BP1212</f>
        <v>7576</v>
      </c>
      <c r="BR1208" s="351">
        <f>BP1208</f>
        <v>7566</v>
      </c>
      <c r="BS1208" s="351"/>
      <c r="BT1208" s="351">
        <f>BQ1212</f>
        <v>7599</v>
      </c>
      <c r="BU1208" s="351">
        <f>BT1212</f>
        <v>7597</v>
      </c>
      <c r="BV1208" s="351">
        <f>BT1208</f>
        <v>7599</v>
      </c>
      <c r="BW1208" s="351"/>
      <c r="BX1208" s="351">
        <f>BU1212</f>
        <v>7603</v>
      </c>
      <c r="BY1208" s="351">
        <f>BX1212</f>
        <v>7624</v>
      </c>
      <c r="BZ1208" s="351">
        <f>BX1208</f>
        <v>7603</v>
      </c>
      <c r="CA1208" s="351"/>
      <c r="CB1208" s="351">
        <f>BY1212</f>
        <v>7620</v>
      </c>
      <c r="CC1208" s="351">
        <f>CB1212</f>
        <v>8051</v>
      </c>
      <c r="CD1208" s="351">
        <f>CB1208</f>
        <v>7620</v>
      </c>
      <c r="CE1208" s="351"/>
      <c r="CF1208" s="351">
        <f>CC1212</f>
        <v>8021</v>
      </c>
      <c r="CG1208" s="351">
        <f>CF1212</f>
        <v>7504</v>
      </c>
      <c r="CH1208" s="351">
        <f>CF1208</f>
        <v>8021</v>
      </c>
      <c r="CI1208" s="351"/>
      <c r="CJ1208" s="351">
        <f>CG1212</f>
        <v>7680</v>
      </c>
      <c r="CK1208" s="351">
        <f>CJ1212</f>
        <v>6007</v>
      </c>
      <c r="CL1208" s="351">
        <f>CJ1208</f>
        <v>7680</v>
      </c>
      <c r="CM1208" s="351"/>
      <c r="CN1208" s="351">
        <f>CK1212</f>
        <v>5988</v>
      </c>
      <c r="CO1208" s="351">
        <f>CN1212</f>
        <v>5997</v>
      </c>
      <c r="CP1208" s="351">
        <f>CN1208</f>
        <v>5988</v>
      </c>
      <c r="CQ1208" s="351"/>
      <c r="CR1208" s="351">
        <f>CO1212</f>
        <v>6017</v>
      </c>
      <c r="CS1208" s="351">
        <f>CR1212</f>
        <v>5330</v>
      </c>
      <c r="CT1208" s="351">
        <f>CR1208</f>
        <v>6017</v>
      </c>
      <c r="CU1208" s="351"/>
      <c r="CV1208" s="351">
        <f>CS1212</f>
        <v>5330</v>
      </c>
      <c r="CW1208" s="351">
        <f>CV1212</f>
        <v>5299</v>
      </c>
      <c r="CX1208" s="351">
        <f>CV1208</f>
        <v>5330</v>
      </c>
      <c r="CY1208" s="351"/>
      <c r="CZ1208" s="351">
        <f>CW1212</f>
        <v>5295</v>
      </c>
      <c r="DA1208" s="351">
        <f>CZ1212</f>
        <v>5289</v>
      </c>
      <c r="DB1208" s="351">
        <f>CZ1208</f>
        <v>5295</v>
      </c>
      <c r="DC1208" s="351"/>
      <c r="DD1208" s="351">
        <f>DA1212</f>
        <v>5285</v>
      </c>
      <c r="DE1208" s="351">
        <f>DD1212</f>
        <v>5282</v>
      </c>
      <c r="DF1208" s="351">
        <f>DD1208</f>
        <v>5285</v>
      </c>
      <c r="DG1208" s="351"/>
      <c r="DH1208" s="351">
        <f>DE1212</f>
        <v>5289</v>
      </c>
      <c r="DI1208" s="351">
        <f>DH1212</f>
        <v>5270</v>
      </c>
      <c r="DJ1208" s="351">
        <f>DH1208</f>
        <v>5289</v>
      </c>
      <c r="DK1208" s="351"/>
      <c r="DL1208" s="351">
        <f>DI1212</f>
        <v>5296.1334246575343</v>
      </c>
      <c r="DM1208" s="351">
        <f>DL1212</f>
        <v>5322.8317410996433</v>
      </c>
      <c r="DN1208" s="351">
        <f>DL1208</f>
        <v>5296.1334246575343</v>
      </c>
      <c r="DO1208" s="351"/>
      <c r="DP1208" s="351">
        <f>DM1212</f>
        <v>5349.2271532952336</v>
      </c>
      <c r="DQ1208" s="351">
        <f>DP1212</f>
        <v>5376.1194428090676</v>
      </c>
      <c r="DR1208" s="351">
        <f>DP1208</f>
        <v>5349.2271532952336</v>
      </c>
      <c r="DS1208" s="351"/>
      <c r="DT1208" s="1"/>
      <c r="DU1208" s="1"/>
      <c r="DV1208" s="1"/>
      <c r="DW1208" s="1"/>
      <c r="DX1208" s="1"/>
      <c r="DY1208" s="1"/>
      <c r="DZ1208" s="1"/>
      <c r="EA1208" s="1"/>
      <c r="EB1208" s="1"/>
      <c r="EC1208" s="1"/>
      <c r="ED1208" s="1"/>
      <c r="EE1208" s="1"/>
      <c r="EF1208" s="1"/>
      <c r="EG1208" s="1"/>
      <c r="EH1208" s="1"/>
      <c r="EI1208" s="1"/>
      <c r="EJ1208" s="1"/>
      <c r="EK1208" s="1"/>
      <c r="EL1208" s="1"/>
      <c r="EM1208" s="1"/>
      <c r="EN1208" s="1"/>
      <c r="EO1208" s="1"/>
      <c r="EP1208" s="1"/>
      <c r="EQ1208" s="1"/>
      <c r="ER1208" s="1"/>
      <c r="ES1208" s="1"/>
      <c r="ET1208" s="1"/>
      <c r="EU1208" s="1"/>
      <c r="EV1208" s="1"/>
      <c r="EW1208" s="1"/>
      <c r="EX1208" s="1"/>
      <c r="EY1208" s="1"/>
      <c r="EZ1208" s="1"/>
      <c r="FA1208" s="1"/>
      <c r="FB1208" s="1"/>
      <c r="FC1208" s="1"/>
      <c r="FD1208" s="1"/>
      <c r="FE1208" s="1"/>
      <c r="FF1208" s="1"/>
      <c r="FG1208" s="1"/>
      <c r="FH1208" s="1"/>
      <c r="FI1208" s="1"/>
      <c r="FJ1208" s="1"/>
      <c r="FK1208" s="1"/>
      <c r="FL1208" s="1"/>
      <c r="FM1208" s="1"/>
      <c r="FN1208" s="1"/>
      <c r="FO1208" s="1"/>
      <c r="FP1208" s="1"/>
      <c r="FQ1208" s="1"/>
      <c r="FR1208" s="1"/>
      <c r="FS1208" s="1"/>
      <c r="FT1208" s="1"/>
      <c r="FU1208" s="1"/>
      <c r="FV1208" s="1"/>
      <c r="FW1208" s="1"/>
      <c r="FX1208" s="1"/>
      <c r="FY1208" s="1"/>
      <c r="FZ1208" s="1"/>
      <c r="GA1208" s="1"/>
      <c r="GB1208" s="1"/>
      <c r="GC1208" s="1"/>
      <c r="GD1208" s="1"/>
      <c r="GE1208" s="1"/>
      <c r="GF1208" s="1"/>
      <c r="GG1208" s="1"/>
      <c r="GH1208" s="1"/>
      <c r="GI1208" s="1"/>
      <c r="GJ1208" s="1"/>
      <c r="GK1208" s="1"/>
      <c r="GL1208" s="1"/>
      <c r="GM1208" s="1"/>
      <c r="GN1208" s="1"/>
      <c r="GO1208" s="1"/>
      <c r="GP1208" s="1"/>
      <c r="GQ1208" s="1"/>
      <c r="GR1208" s="1"/>
      <c r="GS1208" s="1"/>
      <c r="GT1208" s="1"/>
      <c r="GU1208" s="1"/>
      <c r="GV1208" s="1"/>
      <c r="GW1208" s="1"/>
      <c r="GX1208" s="1"/>
      <c r="GY1208" s="1"/>
      <c r="GZ1208" s="1"/>
      <c r="HA1208" s="1"/>
      <c r="HB1208" s="1"/>
      <c r="HC1208" s="1"/>
      <c r="HD1208" s="1"/>
      <c r="HE1208" s="1"/>
      <c r="HF1208" s="1"/>
      <c r="HG1208" s="1"/>
      <c r="HH1208" s="1"/>
      <c r="HI1208" s="1"/>
      <c r="HJ1208" s="1"/>
      <c r="HK1208" s="1"/>
      <c r="HL1208" s="1"/>
      <c r="HM1208" s="1"/>
      <c r="HN1208" s="1"/>
      <c r="HO1208" s="1"/>
      <c r="HP1208" s="1"/>
      <c r="HQ1208" s="1"/>
      <c r="HR1208" s="1"/>
      <c r="HS1208" s="1"/>
      <c r="HT1208" s="1"/>
      <c r="HU1208" s="1"/>
      <c r="HV1208" s="1"/>
      <c r="HW1208" s="1"/>
      <c r="HX1208" s="1"/>
      <c r="HY1208" s="1"/>
      <c r="HZ1208" s="1"/>
      <c r="IA1208" s="1"/>
      <c r="IB1208" s="1"/>
      <c r="IC1208" s="1"/>
      <c r="ID1208" s="1"/>
      <c r="IE1208" s="1"/>
      <c r="IF1208" s="1"/>
      <c r="IG1208" s="1"/>
      <c r="IH1208" s="1"/>
      <c r="II1208" s="1"/>
      <c r="IJ1208" s="1"/>
      <c r="IK1208" s="1"/>
      <c r="IL1208" s="1"/>
      <c r="IM1208" s="1"/>
      <c r="IN1208" s="1"/>
      <c r="IO1208" s="1"/>
      <c r="IP1208" s="1"/>
      <c r="IQ1208" s="1"/>
      <c r="IR1208" s="1"/>
      <c r="IS1208" s="1"/>
      <c r="IT1208" s="1"/>
      <c r="IU1208" s="1"/>
      <c r="IV1208" s="1"/>
      <c r="IW1208" s="1"/>
      <c r="IX1208" s="1"/>
      <c r="IY1208" s="1"/>
      <c r="IZ1208" s="1"/>
      <c r="JA1208" s="1"/>
      <c r="JB1208" s="1"/>
      <c r="JC1208" s="1"/>
      <c r="JD1208" s="1"/>
    </row>
    <row r="1209" spans="1:264" s="347" customFormat="1" x14ac:dyDescent="0.2">
      <c r="A1209" s="447" t="s">
        <v>816</v>
      </c>
      <c r="B1209" s="446"/>
      <c r="C1209" s="447"/>
      <c r="D1209" s="447"/>
      <c r="E1209" s="447"/>
      <c r="F1209" s="447"/>
      <c r="G1209" s="447"/>
      <c r="H1209" s="447"/>
      <c r="I1209" s="447"/>
      <c r="J1209" s="447"/>
      <c r="K1209" s="447"/>
      <c r="L1209" s="447"/>
      <c r="M1209" s="447"/>
      <c r="N1209" s="447"/>
      <c r="O1209" s="447"/>
      <c r="P1209" s="447"/>
      <c r="Q1209" s="447"/>
      <c r="R1209" s="447"/>
      <c r="S1209" s="447"/>
      <c r="T1209" s="447"/>
      <c r="U1209" s="447"/>
      <c r="V1209" s="447"/>
      <c r="W1209" s="447"/>
      <c r="X1209" s="447"/>
      <c r="Y1209" s="447"/>
      <c r="Z1209" s="447"/>
      <c r="AA1209" s="447"/>
      <c r="AB1209" s="447"/>
      <c r="AC1209" s="447"/>
      <c r="AD1209" s="447"/>
      <c r="AE1209" s="447"/>
      <c r="AF1209" s="447"/>
      <c r="AG1209" s="447"/>
      <c r="AH1209" s="447"/>
      <c r="AI1209" s="447"/>
      <c r="AJ1209" s="447"/>
      <c r="AK1209" s="447"/>
      <c r="AL1209" s="447"/>
      <c r="AM1209" s="447"/>
      <c r="AN1209" s="447"/>
      <c r="AO1209" s="447"/>
      <c r="AP1209" s="447"/>
      <c r="AQ1209" s="447"/>
      <c r="AR1209" s="447"/>
      <c r="AS1209" s="447"/>
      <c r="AT1209" s="447"/>
      <c r="AU1209" s="447"/>
      <c r="AV1209" s="447"/>
      <c r="AW1209" s="447"/>
      <c r="AX1209" s="447"/>
      <c r="AY1209" s="447"/>
      <c r="AZ1209" s="447"/>
      <c r="BA1209" s="447"/>
      <c r="BB1209" s="447"/>
      <c r="BC1209" s="447"/>
      <c r="BD1209" s="447"/>
      <c r="BE1209" s="449"/>
      <c r="BF1209" s="447"/>
      <c r="BG1209" s="447"/>
      <c r="BH1209" s="449"/>
      <c r="BI1209" s="449"/>
      <c r="BJ1209" s="449"/>
      <c r="BK1209" s="449"/>
      <c r="BL1209" s="448">
        <v>0</v>
      </c>
      <c r="BM1209" s="448">
        <v>0</v>
      </c>
      <c r="BN1209" s="449">
        <f>+BL1209+BM1209</f>
        <v>0</v>
      </c>
      <c r="BO1209" s="449"/>
      <c r="BP1209" s="448">
        <v>0</v>
      </c>
      <c r="BQ1209" s="448">
        <v>0</v>
      </c>
      <c r="BR1209" s="449">
        <f>+BP1209+BQ1209</f>
        <v>0</v>
      </c>
      <c r="BS1209" s="449"/>
      <c r="BT1209" s="448">
        <v>0</v>
      </c>
      <c r="BU1209" s="448">
        <v>0</v>
      </c>
      <c r="BV1209" s="449">
        <f>+BT1209+BU1209</f>
        <v>0</v>
      </c>
      <c r="BW1209" s="449"/>
      <c r="BX1209" s="448">
        <v>0</v>
      </c>
      <c r="BY1209" s="448">
        <v>0</v>
      </c>
      <c r="BZ1209" s="449">
        <f>+BX1209+BY1209</f>
        <v>0</v>
      </c>
      <c r="CA1209" s="449"/>
      <c r="CB1209" s="448">
        <v>0</v>
      </c>
      <c r="CC1209" s="448">
        <v>0</v>
      </c>
      <c r="CD1209" s="449">
        <f>+CB1209+CC1209</f>
        <v>0</v>
      </c>
      <c r="CE1209" s="449"/>
      <c r="CF1209" s="448">
        <v>0</v>
      </c>
      <c r="CG1209" s="448">
        <v>0</v>
      </c>
      <c r="CH1209" s="449">
        <f>+CF1209+CG1209</f>
        <v>0</v>
      </c>
      <c r="CI1209" s="449"/>
      <c r="CJ1209" s="448">
        <v>0</v>
      </c>
      <c r="CK1209" s="448">
        <v>0</v>
      </c>
      <c r="CL1209" s="449">
        <f>+CJ1209+CK1209</f>
        <v>0</v>
      </c>
      <c r="CM1209" s="449"/>
      <c r="CN1209" s="448">
        <v>0</v>
      </c>
      <c r="CO1209" s="448">
        <v>0</v>
      </c>
      <c r="CP1209" s="449">
        <f>+CN1209+CO1209</f>
        <v>0</v>
      </c>
      <c r="CQ1209" s="449"/>
      <c r="CR1209" s="448">
        <v>0</v>
      </c>
      <c r="CS1209" s="448">
        <v>0</v>
      </c>
      <c r="CT1209" s="449">
        <f>+CR1209+CS1209</f>
        <v>0</v>
      </c>
      <c r="CU1209" s="449"/>
      <c r="CV1209" s="448">
        <v>0</v>
      </c>
      <c r="CW1209" s="448">
        <v>0</v>
      </c>
      <c r="CX1209" s="449">
        <f>+CV1209+CW1209</f>
        <v>0</v>
      </c>
      <c r="CY1209" s="449"/>
      <c r="CZ1209" s="448">
        <v>0</v>
      </c>
      <c r="DA1209" s="448">
        <v>0</v>
      </c>
      <c r="DB1209" s="449">
        <f>+CZ1209+DA1209</f>
        <v>0</v>
      </c>
      <c r="DC1209" s="449"/>
      <c r="DD1209" s="448">
        <v>0</v>
      </c>
      <c r="DE1209" s="448">
        <v>0</v>
      </c>
      <c r="DF1209" s="449">
        <f>+DD1209+DE1209</f>
        <v>0</v>
      </c>
      <c r="DG1209" s="449"/>
      <c r="DH1209" s="448">
        <v>0</v>
      </c>
      <c r="DI1209" s="448">
        <v>0</v>
      </c>
      <c r="DJ1209" s="449">
        <f>+DH1209+DI1209</f>
        <v>0</v>
      </c>
      <c r="DK1209" s="449"/>
      <c r="DL1209" s="448">
        <v>0</v>
      </c>
      <c r="DM1209" s="448">
        <v>0</v>
      </c>
      <c r="DN1209" s="449">
        <f>+DL1209+DM1209</f>
        <v>0</v>
      </c>
      <c r="DO1209" s="449"/>
      <c r="DP1209" s="448">
        <v>0</v>
      </c>
      <c r="DQ1209" s="448">
        <v>0</v>
      </c>
      <c r="DR1209" s="449">
        <f>+DP1209+DQ1209</f>
        <v>0</v>
      </c>
      <c r="DS1209" s="449"/>
      <c r="DT1209" s="1"/>
      <c r="DU1209" s="1"/>
      <c r="DV1209" s="1"/>
      <c r="DW1209" s="1"/>
      <c r="DX1209" s="1"/>
      <c r="DY1209" s="1"/>
      <c r="DZ1209" s="1"/>
      <c r="EA1209" s="1"/>
      <c r="EB1209" s="1"/>
      <c r="EC1209" s="1"/>
      <c r="ED1209" s="1"/>
      <c r="EE1209" s="1"/>
      <c r="EF1209" s="1"/>
      <c r="EG1209" s="1"/>
      <c r="EH1209" s="1"/>
      <c r="EI1209" s="1"/>
      <c r="EJ1209" s="1"/>
      <c r="EK1209" s="1"/>
      <c r="EL1209" s="1"/>
      <c r="EM1209" s="1"/>
      <c r="EN1209" s="1"/>
      <c r="EO1209" s="1"/>
      <c r="EP1209" s="1"/>
      <c r="EQ1209" s="1"/>
      <c r="ER1209" s="1"/>
      <c r="ES1209" s="1"/>
      <c r="ET1209" s="1"/>
      <c r="EU1209" s="1"/>
      <c r="EV1209" s="1"/>
      <c r="EW1209" s="1"/>
      <c r="EX1209" s="1"/>
      <c r="EY1209" s="1"/>
      <c r="EZ1209" s="1"/>
      <c r="FA1209" s="1"/>
      <c r="FB1209" s="1"/>
      <c r="FC1209" s="1"/>
      <c r="FD1209" s="1"/>
      <c r="FE1209" s="1"/>
      <c r="FF1209" s="1"/>
      <c r="FG1209" s="1"/>
      <c r="FH1209" s="1"/>
      <c r="FI1209" s="1"/>
      <c r="FJ1209" s="1"/>
      <c r="FK1209" s="1"/>
      <c r="FL1209" s="1"/>
      <c r="FM1209" s="1"/>
      <c r="FN1209" s="1"/>
      <c r="FO1209" s="1"/>
      <c r="FP1209" s="1"/>
      <c r="FQ1209" s="1"/>
      <c r="FR1209" s="1"/>
      <c r="FS1209" s="1"/>
      <c r="FT1209" s="1"/>
      <c r="FU1209" s="1"/>
      <c r="FV1209" s="1"/>
      <c r="FW1209" s="1"/>
      <c r="FX1209" s="1"/>
      <c r="FY1209" s="1"/>
      <c r="FZ1209" s="1"/>
      <c r="GA1209" s="1"/>
      <c r="GB1209" s="1"/>
      <c r="GC1209" s="1"/>
      <c r="GD1209" s="1"/>
      <c r="GE1209" s="1"/>
      <c r="GF1209" s="1"/>
      <c r="GG1209" s="1"/>
      <c r="GH1209" s="1"/>
      <c r="GI1209" s="1"/>
      <c r="GJ1209" s="1"/>
      <c r="GK1209" s="1"/>
      <c r="GL1209" s="1"/>
      <c r="GM1209" s="1"/>
      <c r="GN1209" s="1"/>
      <c r="GO1209" s="1"/>
      <c r="GP1209" s="1"/>
      <c r="GQ1209" s="1"/>
      <c r="GR1209" s="1"/>
      <c r="GS1209" s="1"/>
      <c r="GT1209" s="1"/>
      <c r="GU1209" s="1"/>
      <c r="GV1209" s="1"/>
      <c r="GW1209" s="1"/>
      <c r="GX1209" s="1"/>
      <c r="GY1209" s="1"/>
      <c r="GZ1209" s="1"/>
      <c r="HA1209" s="1"/>
      <c r="HB1209" s="1"/>
      <c r="HC1209" s="1"/>
      <c r="HD1209" s="1"/>
      <c r="HE1209" s="1"/>
      <c r="HF1209" s="1"/>
      <c r="HG1209" s="1"/>
      <c r="HH1209" s="1"/>
      <c r="HI1209" s="1"/>
      <c r="HJ1209" s="1"/>
      <c r="HK1209" s="1"/>
      <c r="HL1209" s="1"/>
      <c r="HM1209" s="1"/>
      <c r="HN1209" s="1"/>
      <c r="HO1209" s="1"/>
      <c r="HP1209" s="1"/>
      <c r="HQ1209" s="1"/>
      <c r="HR1209" s="1"/>
      <c r="HS1209" s="1"/>
      <c r="HT1209" s="1"/>
      <c r="HU1209" s="1"/>
      <c r="HV1209" s="1"/>
      <c r="HW1209" s="1"/>
      <c r="HX1209" s="1"/>
      <c r="HY1209" s="1"/>
      <c r="HZ1209" s="1"/>
      <c r="IA1209" s="1"/>
      <c r="IB1209" s="1"/>
      <c r="IC1209" s="1"/>
      <c r="ID1209" s="1"/>
      <c r="IE1209" s="1"/>
      <c r="IF1209" s="1"/>
      <c r="IG1209" s="1"/>
      <c r="IH1209" s="1"/>
      <c r="II1209" s="1"/>
      <c r="IJ1209" s="1"/>
      <c r="IK1209" s="1"/>
      <c r="IL1209" s="1"/>
      <c r="IM1209" s="1"/>
      <c r="IN1209" s="1"/>
      <c r="IO1209" s="1"/>
      <c r="IP1209" s="1"/>
      <c r="IQ1209" s="1"/>
      <c r="IR1209" s="1"/>
      <c r="IS1209" s="1"/>
      <c r="IT1209" s="1"/>
      <c r="IU1209" s="1"/>
      <c r="IV1209" s="1"/>
      <c r="IW1209" s="1"/>
      <c r="IX1209" s="1"/>
      <c r="IY1209" s="1"/>
      <c r="IZ1209" s="1"/>
      <c r="JA1209" s="1"/>
      <c r="JB1209" s="1"/>
      <c r="JC1209" s="1"/>
      <c r="JD1209" s="1"/>
    </row>
    <row r="1210" spans="1:264" s="347" customFormat="1" x14ac:dyDescent="0.2">
      <c r="A1210" s="447" t="s">
        <v>535</v>
      </c>
      <c r="B1210" s="446"/>
      <c r="C1210" s="447"/>
      <c r="D1210" s="447"/>
      <c r="E1210" s="447"/>
      <c r="F1210" s="447"/>
      <c r="G1210" s="447"/>
      <c r="H1210" s="447"/>
      <c r="I1210" s="447"/>
      <c r="J1210" s="447"/>
      <c r="K1210" s="447"/>
      <c r="L1210" s="447"/>
      <c r="M1210" s="447"/>
      <c r="N1210" s="447"/>
      <c r="O1210" s="447"/>
      <c r="P1210" s="447"/>
      <c r="Q1210" s="447"/>
      <c r="R1210" s="447"/>
      <c r="S1210" s="447"/>
      <c r="T1210" s="447"/>
      <c r="U1210" s="447"/>
      <c r="V1210" s="447"/>
      <c r="W1210" s="447"/>
      <c r="X1210" s="447"/>
      <c r="Y1210" s="447"/>
      <c r="Z1210" s="447"/>
      <c r="AA1210" s="447"/>
      <c r="AB1210" s="447"/>
      <c r="AC1210" s="447"/>
      <c r="AD1210" s="447"/>
      <c r="AE1210" s="447"/>
      <c r="AF1210" s="447"/>
      <c r="AG1210" s="447"/>
      <c r="AH1210" s="447"/>
      <c r="AI1210" s="447"/>
      <c r="AJ1210" s="447"/>
      <c r="AK1210" s="447"/>
      <c r="AL1210" s="447"/>
      <c r="AM1210" s="447"/>
      <c r="AN1210" s="447"/>
      <c r="AO1210" s="447"/>
      <c r="AP1210" s="447"/>
      <c r="AQ1210" s="447"/>
      <c r="AR1210" s="447"/>
      <c r="AS1210" s="447"/>
      <c r="AT1210" s="447"/>
      <c r="AU1210" s="447"/>
      <c r="AV1210" s="447"/>
      <c r="AW1210" s="447"/>
      <c r="AX1210" s="447"/>
      <c r="AY1210" s="447"/>
      <c r="AZ1210" s="447"/>
      <c r="BA1210" s="447"/>
      <c r="BB1210" s="447"/>
      <c r="BC1210" s="447"/>
      <c r="BD1210" s="447"/>
      <c r="BE1210" s="449"/>
      <c r="BF1210" s="447"/>
      <c r="BG1210" s="447"/>
      <c r="BH1210" s="449"/>
      <c r="BI1210" s="449"/>
      <c r="BJ1210" s="449"/>
      <c r="BK1210" s="449"/>
      <c r="BL1210" s="448">
        <v>0</v>
      </c>
      <c r="BM1210" s="448">
        <v>0</v>
      </c>
      <c r="BN1210" s="449">
        <f>+BL1210+BM1210</f>
        <v>0</v>
      </c>
      <c r="BO1210" s="449"/>
      <c r="BP1210" s="448">
        <v>0</v>
      </c>
      <c r="BQ1210" s="448">
        <v>0</v>
      </c>
      <c r="BR1210" s="449">
        <f>+BP1210+BQ1210</f>
        <v>0</v>
      </c>
      <c r="BS1210" s="449"/>
      <c r="BT1210" s="448">
        <v>0</v>
      </c>
      <c r="BU1210" s="448">
        <v>0</v>
      </c>
      <c r="BV1210" s="449">
        <f>+BT1210+BU1210</f>
        <v>0</v>
      </c>
      <c r="BW1210" s="449"/>
      <c r="BX1210" s="448">
        <v>0</v>
      </c>
      <c r="BY1210" s="448">
        <v>0</v>
      </c>
      <c r="BZ1210" s="449">
        <f>+BX1210+BY1210</f>
        <v>0</v>
      </c>
      <c r="CA1210" s="449"/>
      <c r="CB1210" s="448">
        <v>0</v>
      </c>
      <c r="CC1210" s="448">
        <v>0</v>
      </c>
      <c r="CD1210" s="449">
        <f>+CB1210+CC1210</f>
        <v>0</v>
      </c>
      <c r="CE1210" s="449"/>
      <c r="CF1210" s="448">
        <v>-500</v>
      </c>
      <c r="CG1210" s="448">
        <v>0</v>
      </c>
      <c r="CH1210" s="449">
        <f>+CF1210+CG1210</f>
        <v>-500</v>
      </c>
      <c r="CI1210" s="449"/>
      <c r="CJ1210" s="448">
        <v>-1650</v>
      </c>
      <c r="CK1210" s="448">
        <v>0</v>
      </c>
      <c r="CL1210" s="449">
        <f>+CJ1210+CK1210</f>
        <v>-1650</v>
      </c>
      <c r="CM1210" s="449"/>
      <c r="CN1210" s="448">
        <v>0</v>
      </c>
      <c r="CO1210" s="448">
        <v>0</v>
      </c>
      <c r="CP1210" s="449">
        <f>+CN1210+CO1210</f>
        <v>0</v>
      </c>
      <c r="CQ1210" s="449"/>
      <c r="CR1210" s="812">
        <v>-700</v>
      </c>
      <c r="CS1210" s="448">
        <v>0</v>
      </c>
      <c r="CT1210" s="449">
        <f>+CR1210+CS1210</f>
        <v>-700</v>
      </c>
      <c r="CU1210" s="449"/>
      <c r="CV1210" s="812">
        <v>0</v>
      </c>
      <c r="CW1210" s="448">
        <v>0</v>
      </c>
      <c r="CX1210" s="449">
        <f>+CV1210+CW1210</f>
        <v>0</v>
      </c>
      <c r="CY1210" s="449"/>
      <c r="CZ1210" s="812">
        <v>0</v>
      </c>
      <c r="DA1210" s="448">
        <v>0</v>
      </c>
      <c r="DB1210" s="449">
        <f>+CZ1210+DA1210</f>
        <v>0</v>
      </c>
      <c r="DC1210" s="449"/>
      <c r="DD1210" s="812">
        <v>0</v>
      </c>
      <c r="DE1210" s="448">
        <v>0</v>
      </c>
      <c r="DF1210" s="449">
        <f>+DD1210+DE1210</f>
        <v>0</v>
      </c>
      <c r="DG1210" s="449"/>
      <c r="DH1210" s="812">
        <v>0</v>
      </c>
      <c r="DI1210" s="448">
        <v>0</v>
      </c>
      <c r="DJ1210" s="449">
        <f>+DH1210+DI1210</f>
        <v>0</v>
      </c>
      <c r="DK1210" s="449"/>
      <c r="DL1210" s="448">
        <v>0</v>
      </c>
      <c r="DM1210" s="448">
        <v>0</v>
      </c>
      <c r="DN1210" s="449">
        <f>+DL1210+DM1210</f>
        <v>0</v>
      </c>
      <c r="DO1210" s="449"/>
      <c r="DP1210" s="448">
        <v>0</v>
      </c>
      <c r="DQ1210" s="448">
        <v>0</v>
      </c>
      <c r="DR1210" s="449">
        <f>+DP1210+DQ1210</f>
        <v>0</v>
      </c>
      <c r="DS1210" s="449"/>
      <c r="DT1210" s="1"/>
      <c r="DU1210" s="1"/>
      <c r="DV1210" s="1"/>
      <c r="DW1210" s="1"/>
      <c r="DX1210" s="1"/>
      <c r="DY1210" s="1"/>
      <c r="DZ1210" s="1"/>
      <c r="EA1210" s="1"/>
      <c r="EB1210" s="1"/>
      <c r="EC1210" s="1"/>
      <c r="ED1210" s="1"/>
      <c r="EE1210" s="1"/>
      <c r="EF1210" s="1"/>
      <c r="EG1210" s="1"/>
      <c r="EH1210" s="1"/>
      <c r="EI1210" s="1"/>
      <c r="EJ1210" s="1"/>
      <c r="EK1210" s="1"/>
      <c r="EL1210" s="1"/>
      <c r="EM1210" s="1"/>
      <c r="EN1210" s="1"/>
      <c r="EO1210" s="1"/>
      <c r="EP1210" s="1"/>
      <c r="EQ1210" s="1"/>
      <c r="ER1210" s="1"/>
      <c r="ES1210" s="1"/>
      <c r="ET1210" s="1"/>
      <c r="EU1210" s="1"/>
      <c r="EV1210" s="1"/>
      <c r="EW1210" s="1"/>
      <c r="EX1210" s="1"/>
      <c r="EY1210" s="1"/>
      <c r="EZ1210" s="1"/>
      <c r="FA1210" s="1"/>
      <c r="FB1210" s="1"/>
      <c r="FC1210" s="1"/>
      <c r="FD1210" s="1"/>
      <c r="FE1210" s="1"/>
      <c r="FF1210" s="1"/>
      <c r="FG1210" s="1"/>
      <c r="FH1210" s="1"/>
      <c r="FI1210" s="1"/>
      <c r="FJ1210" s="1"/>
      <c r="FK1210" s="1"/>
      <c r="FL1210" s="1"/>
      <c r="FM1210" s="1"/>
      <c r="FN1210" s="1"/>
      <c r="FO1210" s="1"/>
      <c r="FP1210" s="1"/>
      <c r="FQ1210" s="1"/>
      <c r="FR1210" s="1"/>
      <c r="FS1210" s="1"/>
      <c r="FT1210" s="1"/>
      <c r="FU1210" s="1"/>
      <c r="FV1210" s="1"/>
      <c r="FW1210" s="1"/>
      <c r="FX1210" s="1"/>
      <c r="FY1210" s="1"/>
      <c r="FZ1210" s="1"/>
      <c r="GA1210" s="1"/>
      <c r="GB1210" s="1"/>
      <c r="GC1210" s="1"/>
      <c r="GD1210" s="1"/>
      <c r="GE1210" s="1"/>
      <c r="GF1210" s="1"/>
      <c r="GG1210" s="1"/>
      <c r="GH1210" s="1"/>
      <c r="GI1210" s="1"/>
      <c r="GJ1210" s="1"/>
      <c r="GK1210" s="1"/>
      <c r="GL1210" s="1"/>
      <c r="GM1210" s="1"/>
      <c r="GN1210" s="1"/>
      <c r="GO1210" s="1"/>
      <c r="GP1210" s="1"/>
      <c r="GQ1210" s="1"/>
      <c r="GR1210" s="1"/>
      <c r="GS1210" s="1"/>
      <c r="GT1210" s="1"/>
      <c r="GU1210" s="1"/>
      <c r="GV1210" s="1"/>
      <c r="GW1210" s="1"/>
      <c r="GX1210" s="1"/>
      <c r="GY1210" s="1"/>
      <c r="GZ1210" s="1"/>
      <c r="HA1210" s="1"/>
      <c r="HB1210" s="1"/>
      <c r="HC1210" s="1"/>
      <c r="HD1210" s="1"/>
      <c r="HE1210" s="1"/>
      <c r="HF1210" s="1"/>
      <c r="HG1210" s="1"/>
      <c r="HH1210" s="1"/>
      <c r="HI1210" s="1"/>
      <c r="HJ1210" s="1"/>
      <c r="HK1210" s="1"/>
      <c r="HL1210" s="1"/>
      <c r="HM1210" s="1"/>
      <c r="HN1210" s="1"/>
      <c r="HO1210" s="1"/>
      <c r="HP1210" s="1"/>
      <c r="HQ1210" s="1"/>
      <c r="HR1210" s="1"/>
      <c r="HS1210" s="1"/>
      <c r="HT1210" s="1"/>
      <c r="HU1210" s="1"/>
      <c r="HV1210" s="1"/>
      <c r="HW1210" s="1"/>
      <c r="HX1210" s="1"/>
      <c r="HY1210" s="1"/>
      <c r="HZ1210" s="1"/>
      <c r="IA1210" s="1"/>
      <c r="IB1210" s="1"/>
      <c r="IC1210" s="1"/>
      <c r="ID1210" s="1"/>
      <c r="IE1210" s="1"/>
      <c r="IF1210" s="1"/>
      <c r="IG1210" s="1"/>
      <c r="IH1210" s="1"/>
      <c r="II1210" s="1"/>
      <c r="IJ1210" s="1"/>
      <c r="IK1210" s="1"/>
      <c r="IL1210" s="1"/>
      <c r="IM1210" s="1"/>
      <c r="IN1210" s="1"/>
      <c r="IO1210" s="1"/>
      <c r="IP1210" s="1"/>
      <c r="IQ1210" s="1"/>
      <c r="IR1210" s="1"/>
      <c r="IS1210" s="1"/>
      <c r="IT1210" s="1"/>
      <c r="IU1210" s="1"/>
      <c r="IV1210" s="1"/>
      <c r="IW1210" s="1"/>
      <c r="IX1210" s="1"/>
      <c r="IY1210" s="1"/>
      <c r="IZ1210" s="1"/>
      <c r="JA1210" s="1"/>
      <c r="JB1210" s="1"/>
      <c r="JC1210" s="1"/>
      <c r="JD1210" s="1"/>
    </row>
    <row r="1211" spans="1:264" s="347" customFormat="1" x14ac:dyDescent="0.2">
      <c r="A1211" s="347" t="s">
        <v>377</v>
      </c>
      <c r="B1211" s="348"/>
      <c r="BE1211" s="351"/>
      <c r="BH1211" s="351"/>
      <c r="BI1211" s="351"/>
      <c r="BJ1211" s="351"/>
      <c r="BK1211" s="351"/>
      <c r="BL1211" s="351">
        <f>+BL1212-BL1208-BL1209-BL1210</f>
        <v>-29</v>
      </c>
      <c r="BM1211" s="351">
        <f>+BM1212-BM1208-BM1209-BM1210</f>
        <v>-128</v>
      </c>
      <c r="BN1211" s="351">
        <f>+BL1211+BM1211</f>
        <v>-157</v>
      </c>
      <c r="BO1211" s="351"/>
      <c r="BP1211" s="351">
        <f>+BP1212-BP1208-BP1209-BP1210</f>
        <v>10</v>
      </c>
      <c r="BQ1211" s="351">
        <f>+BQ1212-BQ1208-BQ1209-BQ1210</f>
        <v>23</v>
      </c>
      <c r="BR1211" s="351">
        <f>+BP1211+BQ1211</f>
        <v>33</v>
      </c>
      <c r="BS1211" s="351"/>
      <c r="BT1211" s="351">
        <f>+BT1212-BT1208-BT1209-BT1210</f>
        <v>-2</v>
      </c>
      <c r="BU1211" s="351">
        <f>+BU1212-BU1208-BU1209-BU1210</f>
        <v>6</v>
      </c>
      <c r="BV1211" s="351">
        <f>+BT1211+BU1211</f>
        <v>4</v>
      </c>
      <c r="BW1211" s="351"/>
      <c r="BX1211" s="351">
        <f>+BX1212-BX1208-BX1209-BX1210</f>
        <v>21</v>
      </c>
      <c r="BY1211" s="351">
        <f>+BY1212-BY1208-BY1209-BY1210</f>
        <v>-4</v>
      </c>
      <c r="BZ1211" s="351">
        <f>+BX1211+BY1211</f>
        <v>17</v>
      </c>
      <c r="CA1211" s="351"/>
      <c r="CB1211" s="351">
        <f>+CB1212-CB1208-CB1209-CB1210</f>
        <v>431</v>
      </c>
      <c r="CC1211" s="351">
        <f>+CC1212-CC1208-CC1209-CC1210</f>
        <v>-30</v>
      </c>
      <c r="CD1211" s="351">
        <f>+CB1211+CC1211</f>
        <v>401</v>
      </c>
      <c r="CE1211" s="351"/>
      <c r="CF1211" s="351">
        <f>+CF1212-CF1208-CF1209-CF1210</f>
        <v>-17</v>
      </c>
      <c r="CG1211" s="351">
        <f>+CG1212-CG1208-CG1209-CG1210</f>
        <v>176</v>
      </c>
      <c r="CH1211" s="351">
        <f>+CF1211+CG1211</f>
        <v>159</v>
      </c>
      <c r="CI1211" s="351"/>
      <c r="CJ1211" s="351">
        <f>+CJ1212-CJ1208-CJ1209-CJ1210</f>
        <v>-23</v>
      </c>
      <c r="CK1211" s="351">
        <f>+CK1212-CK1208-CK1209-CK1210</f>
        <v>-19</v>
      </c>
      <c r="CL1211" s="351">
        <f>+CJ1211+CK1211</f>
        <v>-42</v>
      </c>
      <c r="CM1211" s="351"/>
      <c r="CN1211" s="351">
        <f>+CN1212-CN1208-CN1209-CN1210</f>
        <v>9</v>
      </c>
      <c r="CO1211" s="351">
        <f>+CO1212-CO1208-CO1209-CO1210</f>
        <v>20</v>
      </c>
      <c r="CP1211" s="351">
        <f>+CN1211+CO1211</f>
        <v>29</v>
      </c>
      <c r="CQ1211" s="351"/>
      <c r="CR1211" s="351">
        <f>+CR1212-CR1208-CR1209-CR1210</f>
        <v>13</v>
      </c>
      <c r="CS1211" s="351">
        <f>+CS1212-CS1208-CS1209-CS1210</f>
        <v>0</v>
      </c>
      <c r="CT1211" s="351">
        <f>+CR1211+CS1211</f>
        <v>13</v>
      </c>
      <c r="CU1211" s="351"/>
      <c r="CV1211" s="351">
        <f>+CV1212-CV1208-CV1209-CV1210</f>
        <v>-31</v>
      </c>
      <c r="CW1211" s="351">
        <f>+CW1212-CW1208-CW1209-CW1210</f>
        <v>-4</v>
      </c>
      <c r="CX1211" s="351">
        <f>+CV1211+CW1211</f>
        <v>-35</v>
      </c>
      <c r="CY1211" s="351"/>
      <c r="CZ1211" s="351">
        <f>+CZ1212-CZ1208-CZ1209-CZ1210</f>
        <v>-6</v>
      </c>
      <c r="DA1211" s="351">
        <f>+DA1212-DA1208-DA1209-DA1210</f>
        <v>-4</v>
      </c>
      <c r="DB1211" s="351">
        <f>+CZ1211+DA1211</f>
        <v>-10</v>
      </c>
      <c r="DC1211" s="351"/>
      <c r="DD1211" s="351">
        <f>+DD1212-DD1208-DD1209-DD1210</f>
        <v>-3</v>
      </c>
      <c r="DE1211" s="351">
        <f>+DE1212-DE1208-DE1209-DE1210</f>
        <v>7</v>
      </c>
      <c r="DF1211" s="351">
        <f>+DD1211+DE1211</f>
        <v>4</v>
      </c>
      <c r="DG1211" s="351"/>
      <c r="DH1211" s="351">
        <f>+DH1212-DH1208-DH1209-DH1210</f>
        <v>-19</v>
      </c>
      <c r="DI1211" s="351">
        <f>DI1208*DI1213*DI3/DI4</f>
        <v>26.133424657534249</v>
      </c>
      <c r="DJ1211" s="351">
        <f>+DH1211+DI1211</f>
        <v>7.133424657534249</v>
      </c>
      <c r="DK1211" s="351"/>
      <c r="DL1211" s="351">
        <f>DL1208*DL1213*DL3/DL4</f>
        <v>26.698316442109213</v>
      </c>
      <c r="DM1211" s="351">
        <f>DM1208*DM1213*DM3/DM4</f>
        <v>26.395412195590012</v>
      </c>
      <c r="DN1211" s="351">
        <f>+DL1211+DM1211</f>
        <v>53.093728637699229</v>
      </c>
      <c r="DO1211" s="351"/>
      <c r="DP1211" s="351">
        <f>DP1208*DP1213*DP3/DP4</f>
        <v>26.892289513833958</v>
      </c>
      <c r="DQ1211" s="351">
        <f>DQ1208*DQ1213*DQ3/DQ4</f>
        <v>26.733708704678971</v>
      </c>
      <c r="DR1211" s="351">
        <f>+DP1211+DQ1211</f>
        <v>53.625998218512933</v>
      </c>
      <c r="DS1211" s="351"/>
      <c r="DT1211" s="1"/>
      <c r="DU1211" s="1"/>
      <c r="DV1211" s="1"/>
      <c r="DW1211" s="1"/>
      <c r="DX1211" s="1"/>
      <c r="DY1211" s="1"/>
      <c r="DZ1211" s="1"/>
      <c r="EA1211" s="1"/>
      <c r="EB1211" s="1"/>
      <c r="EC1211" s="1"/>
      <c r="ED1211" s="1"/>
      <c r="EE1211" s="1"/>
      <c r="EF1211" s="1"/>
      <c r="EG1211" s="1"/>
      <c r="EH1211" s="1"/>
      <c r="EI1211" s="1"/>
      <c r="EJ1211" s="1"/>
      <c r="EK1211" s="1"/>
      <c r="EL1211" s="1"/>
      <c r="EM1211" s="1"/>
      <c r="EN1211" s="1"/>
      <c r="EO1211" s="1"/>
      <c r="EP1211" s="1"/>
      <c r="EQ1211" s="1"/>
      <c r="ER1211" s="1"/>
      <c r="ES1211" s="1"/>
      <c r="ET1211" s="1"/>
      <c r="EU1211" s="1"/>
      <c r="EV1211" s="1"/>
      <c r="EW1211" s="1"/>
      <c r="EX1211" s="1"/>
      <c r="EY1211" s="1"/>
      <c r="EZ1211" s="1"/>
      <c r="FA1211" s="1"/>
      <c r="FB1211" s="1"/>
      <c r="FC1211" s="1"/>
      <c r="FD1211" s="1"/>
      <c r="FE1211" s="1"/>
      <c r="FF1211" s="1"/>
      <c r="FG1211" s="1"/>
      <c r="FH1211" s="1"/>
      <c r="FI1211" s="1"/>
      <c r="FJ1211" s="1"/>
      <c r="FK1211" s="1"/>
      <c r="FL1211" s="1"/>
      <c r="FM1211" s="1"/>
      <c r="FN1211" s="1"/>
      <c r="FO1211" s="1"/>
      <c r="FP1211" s="1"/>
      <c r="FQ1211" s="1"/>
      <c r="FR1211" s="1"/>
      <c r="FS1211" s="1"/>
      <c r="FT1211" s="1"/>
      <c r="FU1211" s="1"/>
      <c r="FV1211" s="1"/>
      <c r="FW1211" s="1"/>
      <c r="FX1211" s="1"/>
      <c r="FY1211" s="1"/>
      <c r="FZ1211" s="1"/>
      <c r="GA1211" s="1"/>
      <c r="GB1211" s="1"/>
      <c r="GC1211" s="1"/>
      <c r="GD1211" s="1"/>
      <c r="GE1211" s="1"/>
      <c r="GF1211" s="1"/>
      <c r="GG1211" s="1"/>
      <c r="GH1211" s="1"/>
      <c r="GI1211" s="1"/>
      <c r="GJ1211" s="1"/>
      <c r="GK1211" s="1"/>
      <c r="GL1211" s="1"/>
      <c r="GM1211" s="1"/>
      <c r="GN1211" s="1"/>
      <c r="GO1211" s="1"/>
      <c r="GP1211" s="1"/>
      <c r="GQ1211" s="1"/>
      <c r="GR1211" s="1"/>
      <c r="GS1211" s="1"/>
      <c r="GT1211" s="1"/>
      <c r="GU1211" s="1"/>
      <c r="GV1211" s="1"/>
      <c r="GW1211" s="1"/>
      <c r="GX1211" s="1"/>
      <c r="GY1211" s="1"/>
      <c r="GZ1211" s="1"/>
      <c r="HA1211" s="1"/>
      <c r="HB1211" s="1"/>
      <c r="HC1211" s="1"/>
      <c r="HD1211" s="1"/>
      <c r="HE1211" s="1"/>
      <c r="HF1211" s="1"/>
      <c r="HG1211" s="1"/>
      <c r="HH1211" s="1"/>
      <c r="HI1211" s="1"/>
      <c r="HJ1211" s="1"/>
      <c r="HK1211" s="1"/>
      <c r="HL1211" s="1"/>
      <c r="HM1211" s="1"/>
      <c r="HN1211" s="1"/>
      <c r="HO1211" s="1"/>
      <c r="HP1211" s="1"/>
      <c r="HQ1211" s="1"/>
      <c r="HR1211" s="1"/>
      <c r="HS1211" s="1"/>
      <c r="HT1211" s="1"/>
      <c r="HU1211" s="1"/>
      <c r="HV1211" s="1"/>
      <c r="HW1211" s="1"/>
      <c r="HX1211" s="1"/>
      <c r="HY1211" s="1"/>
      <c r="HZ1211" s="1"/>
      <c r="IA1211" s="1"/>
      <c r="IB1211" s="1"/>
      <c r="IC1211" s="1"/>
      <c r="ID1211" s="1"/>
      <c r="IE1211" s="1"/>
      <c r="IF1211" s="1"/>
      <c r="IG1211" s="1"/>
      <c r="IH1211" s="1"/>
      <c r="II1211" s="1"/>
      <c r="IJ1211" s="1"/>
      <c r="IK1211" s="1"/>
      <c r="IL1211" s="1"/>
      <c r="IM1211" s="1"/>
      <c r="IN1211" s="1"/>
      <c r="IO1211" s="1"/>
      <c r="IP1211" s="1"/>
      <c r="IQ1211" s="1"/>
      <c r="IR1211" s="1"/>
      <c r="IS1211" s="1"/>
      <c r="IT1211" s="1"/>
      <c r="IU1211" s="1"/>
      <c r="IV1211" s="1"/>
      <c r="IW1211" s="1"/>
      <c r="IX1211" s="1"/>
      <c r="IY1211" s="1"/>
      <c r="IZ1211" s="1"/>
      <c r="JA1211" s="1"/>
      <c r="JB1211" s="1"/>
      <c r="JC1211" s="1"/>
      <c r="JD1211" s="1"/>
    </row>
    <row r="1212" spans="1:264" s="347" customFormat="1" x14ac:dyDescent="0.2">
      <c r="A1212" s="347" t="s">
        <v>319</v>
      </c>
      <c r="B1212" s="348"/>
      <c r="BE1212" s="351"/>
      <c r="BH1212" s="351"/>
      <c r="BI1212" s="351">
        <f>-BI1186</f>
        <v>7723</v>
      </c>
      <c r="BJ1212" s="351">
        <f>-BJ1186</f>
        <v>7723</v>
      </c>
      <c r="BK1212" s="351"/>
      <c r="BL1212" s="351">
        <f>-BL1186</f>
        <v>7694</v>
      </c>
      <c r="BM1212" s="351">
        <f>-BM1186</f>
        <v>7566</v>
      </c>
      <c r="BN1212" s="351">
        <f>-BN1186</f>
        <v>7566</v>
      </c>
      <c r="BO1212" s="351"/>
      <c r="BP1212" s="351">
        <f>-BP1186</f>
        <v>7576</v>
      </c>
      <c r="BQ1212" s="351">
        <f>-BQ1186</f>
        <v>7599</v>
      </c>
      <c r="BR1212" s="351">
        <f>-BR1186</f>
        <v>7599</v>
      </c>
      <c r="BS1212" s="351"/>
      <c r="BT1212" s="351">
        <f>-BT1186</f>
        <v>7597</v>
      </c>
      <c r="BU1212" s="351">
        <f>-BU1186</f>
        <v>7603</v>
      </c>
      <c r="BV1212" s="351">
        <f>-BV1186</f>
        <v>7603</v>
      </c>
      <c r="BW1212" s="351"/>
      <c r="BX1212" s="351">
        <f>-BX1186</f>
        <v>7624</v>
      </c>
      <c r="BY1212" s="351">
        <f>-BY1186</f>
        <v>7620</v>
      </c>
      <c r="BZ1212" s="351">
        <f>-BZ1186</f>
        <v>7620</v>
      </c>
      <c r="CA1212" s="351"/>
      <c r="CB1212" s="351">
        <f>-CB1186</f>
        <v>8051</v>
      </c>
      <c r="CC1212" s="351">
        <f>-CC1186</f>
        <v>8021</v>
      </c>
      <c r="CD1212" s="351">
        <f>-CD1186</f>
        <v>8021</v>
      </c>
      <c r="CE1212" s="351"/>
      <c r="CF1212" s="351">
        <f>-CF1186</f>
        <v>7504</v>
      </c>
      <c r="CG1212" s="351">
        <f>-CG1186</f>
        <v>7680</v>
      </c>
      <c r="CH1212" s="351">
        <f>-CH1186</f>
        <v>7680</v>
      </c>
      <c r="CI1212" s="351"/>
      <c r="CJ1212" s="351">
        <f>-CJ1186</f>
        <v>6007</v>
      </c>
      <c r="CK1212" s="351">
        <f>-CK1186</f>
        <v>5988</v>
      </c>
      <c r="CL1212" s="351">
        <f>-CL1186</f>
        <v>5988</v>
      </c>
      <c r="CM1212" s="351"/>
      <c r="CN1212" s="351">
        <f>-CN1186</f>
        <v>5997</v>
      </c>
      <c r="CO1212" s="351">
        <f>-CO1186</f>
        <v>6017</v>
      </c>
      <c r="CP1212" s="351">
        <f>-CP1186</f>
        <v>6017</v>
      </c>
      <c r="CQ1212" s="351"/>
      <c r="CR1212" s="351">
        <f>-CR1186</f>
        <v>5330</v>
      </c>
      <c r="CS1212" s="351">
        <f>-CS1186</f>
        <v>5330</v>
      </c>
      <c r="CT1212" s="351">
        <f>-CT1186</f>
        <v>5330</v>
      </c>
      <c r="CU1212" s="351"/>
      <c r="CV1212" s="351">
        <f>-CV1186</f>
        <v>5299</v>
      </c>
      <c r="CW1212" s="351">
        <f>-CW1186</f>
        <v>5295</v>
      </c>
      <c r="CX1212" s="351">
        <f>-CX1186</f>
        <v>5295</v>
      </c>
      <c r="CY1212" s="351"/>
      <c r="CZ1212" s="351">
        <f>-CZ1186</f>
        <v>5289</v>
      </c>
      <c r="DA1212" s="351">
        <f>-DA1186</f>
        <v>5285</v>
      </c>
      <c r="DB1212" s="351">
        <f>-DB1186</f>
        <v>5285</v>
      </c>
      <c r="DC1212" s="351"/>
      <c r="DD1212" s="351">
        <f>-DD1186</f>
        <v>5282</v>
      </c>
      <c r="DE1212" s="351">
        <f>-DE1186</f>
        <v>5289</v>
      </c>
      <c r="DF1212" s="351">
        <f>-DF1186</f>
        <v>5289</v>
      </c>
      <c r="DG1212" s="351"/>
      <c r="DH1212" s="351">
        <f>-DH1186</f>
        <v>5270</v>
      </c>
      <c r="DI1212" s="351">
        <f>SUM(DI1208:DI1211)</f>
        <v>5296.1334246575343</v>
      </c>
      <c r="DJ1212" s="351">
        <f>-DJ1186</f>
        <v>5296.1334246575343</v>
      </c>
      <c r="DK1212" s="351"/>
      <c r="DL1212" s="351">
        <f>SUM(DL1208:DL1211)</f>
        <v>5322.8317410996433</v>
      </c>
      <c r="DM1212" s="351">
        <f>SUM(DM1208:DM1211)</f>
        <v>5349.2271532952336</v>
      </c>
      <c r="DN1212" s="351">
        <f>-DN1186</f>
        <v>5349.2271532952336</v>
      </c>
      <c r="DO1212" s="351"/>
      <c r="DP1212" s="351">
        <f>SUM(DP1208:DP1211)</f>
        <v>5376.1194428090676</v>
      </c>
      <c r="DQ1212" s="351">
        <f>SUM(DQ1208:DQ1211)</f>
        <v>5402.8531515137465</v>
      </c>
      <c r="DR1212" s="351">
        <f>-DR1186</f>
        <v>5402.8531515137465</v>
      </c>
      <c r="DS1212" s="351"/>
      <c r="DT1212" s="1"/>
      <c r="DU1212" s="1"/>
      <c r="DV1212" s="1"/>
      <c r="DW1212" s="1"/>
      <c r="DX1212" s="1"/>
      <c r="DY1212" s="1"/>
      <c r="DZ1212" s="1"/>
      <c r="EA1212" s="1"/>
      <c r="EB1212" s="1"/>
      <c r="EC1212" s="1"/>
      <c r="ED1212" s="1"/>
      <c r="EE1212" s="1"/>
      <c r="EF1212" s="1"/>
      <c r="EG1212" s="1"/>
      <c r="EH1212" s="1"/>
      <c r="EI1212" s="1"/>
      <c r="EJ1212" s="1"/>
      <c r="EK1212" s="1"/>
      <c r="EL1212" s="1"/>
      <c r="EM1212" s="1"/>
      <c r="EN1212" s="1"/>
      <c r="EO1212" s="1"/>
      <c r="EP1212" s="1"/>
      <c r="EQ1212" s="1"/>
      <c r="ER1212" s="1"/>
      <c r="ES1212" s="1"/>
      <c r="ET1212" s="1"/>
      <c r="EU1212" s="1"/>
      <c r="EV1212" s="1"/>
      <c r="EW1212" s="1"/>
      <c r="EX1212" s="1"/>
      <c r="EY1212" s="1"/>
      <c r="EZ1212" s="1"/>
      <c r="FA1212" s="1"/>
      <c r="FB1212" s="1"/>
      <c r="FC1212" s="1"/>
      <c r="FD1212" s="1"/>
      <c r="FE1212" s="1"/>
      <c r="FF1212" s="1"/>
      <c r="FG1212" s="1"/>
      <c r="FH1212" s="1"/>
      <c r="FI1212" s="1"/>
      <c r="FJ1212" s="1"/>
      <c r="FK1212" s="1"/>
      <c r="FL1212" s="1"/>
      <c r="FM1212" s="1"/>
      <c r="FN1212" s="1"/>
      <c r="FO1212" s="1"/>
      <c r="FP1212" s="1"/>
      <c r="FQ1212" s="1"/>
      <c r="FR1212" s="1"/>
      <c r="FS1212" s="1"/>
      <c r="FT1212" s="1"/>
      <c r="FU1212" s="1"/>
      <c r="FV1212" s="1"/>
      <c r="FW1212" s="1"/>
      <c r="FX1212" s="1"/>
      <c r="FY1212" s="1"/>
      <c r="FZ1212" s="1"/>
      <c r="GA1212" s="1"/>
      <c r="GB1212" s="1"/>
      <c r="GC1212" s="1"/>
      <c r="GD1212" s="1"/>
      <c r="GE1212" s="1"/>
      <c r="GF1212" s="1"/>
      <c r="GG1212" s="1"/>
      <c r="GH1212" s="1"/>
      <c r="GI1212" s="1"/>
      <c r="GJ1212" s="1"/>
      <c r="GK1212" s="1"/>
      <c r="GL1212" s="1"/>
      <c r="GM1212" s="1"/>
      <c r="GN1212" s="1"/>
      <c r="GO1212" s="1"/>
      <c r="GP1212" s="1"/>
      <c r="GQ1212" s="1"/>
      <c r="GR1212" s="1"/>
      <c r="GS1212" s="1"/>
      <c r="GT1212" s="1"/>
      <c r="GU1212" s="1"/>
      <c r="GV1212" s="1"/>
      <c r="GW1212" s="1"/>
      <c r="GX1212" s="1"/>
      <c r="GY1212" s="1"/>
      <c r="GZ1212" s="1"/>
      <c r="HA1212" s="1"/>
      <c r="HB1212" s="1"/>
      <c r="HC1212" s="1"/>
      <c r="HD1212" s="1"/>
      <c r="HE1212" s="1"/>
      <c r="HF1212" s="1"/>
      <c r="HG1212" s="1"/>
      <c r="HH1212" s="1"/>
      <c r="HI1212" s="1"/>
      <c r="HJ1212" s="1"/>
      <c r="HK1212" s="1"/>
      <c r="HL1212" s="1"/>
      <c r="HM1212" s="1"/>
      <c r="HN1212" s="1"/>
      <c r="HO1212" s="1"/>
      <c r="HP1212" s="1"/>
      <c r="HQ1212" s="1"/>
      <c r="HR1212" s="1"/>
      <c r="HS1212" s="1"/>
      <c r="HT1212" s="1"/>
      <c r="HU1212" s="1"/>
      <c r="HV1212" s="1"/>
      <c r="HW1212" s="1"/>
      <c r="HX1212" s="1"/>
      <c r="HY1212" s="1"/>
      <c r="HZ1212" s="1"/>
      <c r="IA1212" s="1"/>
      <c r="IB1212" s="1"/>
      <c r="IC1212" s="1"/>
      <c r="ID1212" s="1"/>
      <c r="IE1212" s="1"/>
      <c r="IF1212" s="1"/>
      <c r="IG1212" s="1"/>
      <c r="IH1212" s="1"/>
      <c r="II1212" s="1"/>
      <c r="IJ1212" s="1"/>
      <c r="IK1212" s="1"/>
      <c r="IL1212" s="1"/>
      <c r="IM1212" s="1"/>
      <c r="IN1212" s="1"/>
      <c r="IO1212" s="1"/>
      <c r="IP1212" s="1"/>
      <c r="IQ1212" s="1"/>
      <c r="IR1212" s="1"/>
      <c r="IS1212" s="1"/>
      <c r="IT1212" s="1"/>
      <c r="IU1212" s="1"/>
      <c r="IV1212" s="1"/>
      <c r="IW1212" s="1"/>
      <c r="IX1212" s="1"/>
      <c r="IY1212" s="1"/>
      <c r="IZ1212" s="1"/>
      <c r="JA1212" s="1"/>
      <c r="JB1212" s="1"/>
      <c r="JC1212" s="1"/>
      <c r="JD1212" s="1"/>
    </row>
    <row r="1213" spans="1:264" s="429" customFormat="1" x14ac:dyDescent="0.2">
      <c r="A1213" s="477" t="s">
        <v>817</v>
      </c>
      <c r="B1213" s="540"/>
      <c r="C1213" s="477"/>
      <c r="D1213" s="477"/>
      <c r="E1213" s="477"/>
      <c r="F1213" s="477"/>
      <c r="G1213" s="477"/>
      <c r="H1213" s="477"/>
      <c r="I1213" s="477"/>
      <c r="J1213" s="477"/>
      <c r="K1213" s="477"/>
      <c r="L1213" s="477"/>
      <c r="M1213" s="477"/>
      <c r="N1213" s="477"/>
      <c r="O1213" s="477"/>
      <c r="P1213" s="477"/>
      <c r="Q1213" s="477"/>
      <c r="R1213" s="477"/>
      <c r="S1213" s="477"/>
      <c r="T1213" s="477"/>
      <c r="U1213" s="477"/>
      <c r="V1213" s="477"/>
      <c r="W1213" s="477"/>
      <c r="X1213" s="477"/>
      <c r="Y1213" s="477"/>
      <c r="Z1213" s="477"/>
      <c r="AA1213" s="477"/>
      <c r="AB1213" s="477"/>
      <c r="AC1213" s="477"/>
      <c r="AD1213" s="477"/>
      <c r="AE1213" s="477"/>
      <c r="AF1213" s="477"/>
      <c r="AG1213" s="477"/>
      <c r="AH1213" s="477"/>
      <c r="AI1213" s="477"/>
      <c r="AJ1213" s="477"/>
      <c r="AK1213" s="477"/>
      <c r="AL1213" s="477"/>
      <c r="AM1213" s="477"/>
      <c r="AN1213" s="477"/>
      <c r="AO1213" s="477"/>
      <c r="AP1213" s="477"/>
      <c r="AQ1213" s="477"/>
      <c r="AR1213" s="477"/>
      <c r="AS1213" s="477"/>
      <c r="AT1213" s="477"/>
      <c r="AU1213" s="477"/>
      <c r="AV1213" s="477"/>
      <c r="AW1213" s="477"/>
      <c r="AX1213" s="477"/>
      <c r="AY1213" s="477"/>
      <c r="AZ1213" s="477"/>
      <c r="BA1213" s="477"/>
      <c r="BB1213" s="477"/>
      <c r="BC1213" s="477"/>
      <c r="BD1213" s="477"/>
      <c r="BE1213" s="541"/>
      <c r="BF1213" s="477"/>
      <c r="BG1213" s="477"/>
      <c r="BH1213" s="541"/>
      <c r="BI1213" s="541"/>
      <c r="BJ1213" s="541"/>
      <c r="BK1213" s="541"/>
      <c r="BL1213" s="478">
        <f>BL1211*(BL$4/BL$3)/BL1208</f>
        <v>-7.4488118494164804E-3</v>
      </c>
      <c r="BM1213" s="478">
        <f>BM1211*(BM$4/BM$3)/BM1208</f>
        <v>-3.3548420452472832E-2</v>
      </c>
      <c r="BN1213" s="478">
        <f>BN1211*(BN$4/BN$3)/BN1208</f>
        <v>-2.0328887737925676E-2</v>
      </c>
      <c r="BO1213" s="541"/>
      <c r="BP1213" s="478">
        <f>BP1211*(BP$4/BP$3)/BP1208</f>
        <v>2.6218552103805357E-3</v>
      </c>
      <c r="BQ1213" s="478">
        <f>BQ1211*(BQ$4/BQ$3)/BQ1208</f>
        <v>6.1221245340038625E-3</v>
      </c>
      <c r="BR1213" s="478">
        <f>BR1211*(BR$4/BR$3)/BR1208</f>
        <v>4.3616177636796195E-3</v>
      </c>
      <c r="BS1213" s="541"/>
      <c r="BT1213" s="478">
        <f>BT1211*(BT$4/BT$3)/BT1208</f>
        <v>-5.2352426234573198E-4</v>
      </c>
      <c r="BU1213" s="478">
        <f>BU1211*(BU$4/BU$3)/BU1208</f>
        <v>1.5882498441403272E-3</v>
      </c>
      <c r="BV1213" s="478">
        <f>BV1211*(BV$4/BV$3)/BV1208</f>
        <v>5.2638505066456118E-4</v>
      </c>
      <c r="BW1213" s="541"/>
      <c r="BX1213" s="478">
        <f>BX1211*(BX$4/BX$3)/BX1208</f>
        <v>5.4791014988362719E-3</v>
      </c>
      <c r="BY1213" s="478">
        <f>BY1211*(BY$4/BY$3)/BY1208</f>
        <v>-1.0580139483921088E-3</v>
      </c>
      <c r="BZ1213" s="478">
        <f>BZ1211*(BZ$4/BZ$3)/BZ1208</f>
        <v>2.2359594896751282E-3</v>
      </c>
      <c r="CA1213" s="541"/>
      <c r="CB1213" s="478">
        <f>CB1211*(CB$4/CB$3)/CB1208</f>
        <v>0.11220115827912815</v>
      </c>
      <c r="CC1213" s="478">
        <f>CC1211*(CC$4/CC$3)/CC1208</f>
        <v>-7.5142513438157706E-3</v>
      </c>
      <c r="CD1213" s="478">
        <f>CD1211*(CD$4/CD$3)/CD1208</f>
        <v>5.2624671916010501E-2</v>
      </c>
      <c r="CE1213" s="541"/>
      <c r="CF1213" s="478">
        <f>CF1211*(CF$4/CF$3)/CF1208</f>
        <v>-4.2043169289311209E-3</v>
      </c>
      <c r="CG1213" s="478">
        <f>CG1211*(CG$4/CG$3)/CG1208</f>
        <v>4.7297058511703516E-2</v>
      </c>
      <c r="CH1213" s="478">
        <f>CH1211*(CH$4/CH$3)/CH1208</f>
        <v>1.9822964717616257E-2</v>
      </c>
      <c r="CI1213" s="541"/>
      <c r="CJ1213" s="478">
        <f>CJ1211*(CJ$4/CJ$3)/CJ1208</f>
        <v>-5.9570312499999997E-3</v>
      </c>
      <c r="CK1213" s="478">
        <f>CK1211*(CK$4/CK$3)/CK1208</f>
        <v>-6.3607110385868505E-3</v>
      </c>
      <c r="CL1213" s="478">
        <f>CL1211*(CL$4/CL$3)/CL1208</f>
        <v>-5.4687499999999997E-3</v>
      </c>
      <c r="CM1213" s="541"/>
      <c r="CN1213" s="478">
        <f>CN1211*(CN$4/CN$3)/CN1208</f>
        <v>2.9815064912433564E-3</v>
      </c>
      <c r="CO1213" s="478">
        <f>CO1211*(CO$4/CO$3)/CO1208</f>
        <v>6.7252779244134043E-3</v>
      </c>
      <c r="CP1213" s="478">
        <f>CP1211*(CP$4/CP$3)/CP1208</f>
        <v>4.8430193720774882E-3</v>
      </c>
      <c r="CQ1213" s="541"/>
      <c r="CR1213" s="478">
        <f>CR1211*(CR$4/CR$3)/CR1208</f>
        <v>4.2858639651422422E-3</v>
      </c>
      <c r="CS1213" s="478">
        <f>CS1211*(CS$4/CS$3)/CS1208</f>
        <v>0</v>
      </c>
      <c r="CT1213" s="478">
        <f>CT1211*(CT$4/CT$3)/CT1208</f>
        <v>2.1605451221538975E-3</v>
      </c>
      <c r="CU1213" s="541"/>
      <c r="CV1213" s="478">
        <f>CV1211*(CV$4/CV$3)/CV1208</f>
        <v>-1.1537441879435516E-2</v>
      </c>
      <c r="CW1213" s="478">
        <f>CW1211*(CW$4/CW$3)/CW1208</f>
        <v>-1.5222302967619243E-3</v>
      </c>
      <c r="CX1213" s="478">
        <f>CX1211*(CX$4/CX$3)/CX1208</f>
        <v>-6.5666041275797378E-3</v>
      </c>
      <c r="CY1213" s="541"/>
      <c r="CZ1213" s="478">
        <f>CZ1211*(CZ$4/CZ$3)/CZ1208</f>
        <v>-2.2539721640596135E-3</v>
      </c>
      <c r="DA1213" s="478">
        <f>DA1211*(DA$4/DA$3)/DA1208</f>
        <v>-1.520884107384391E-3</v>
      </c>
      <c r="DB1213" s="478">
        <f>DB1211*(DB$4/DB$3)/DB1208</f>
        <v>-1.8885741265344666E-3</v>
      </c>
      <c r="DC1213" s="541"/>
      <c r="DD1213" s="478">
        <f>DD1211*(DD$4/DD$3)/DD1208</f>
        <v>-1.1260334827855704E-3</v>
      </c>
      <c r="DE1213" s="478">
        <f>DE1211*(DE$4/DE$3)/DE1208</f>
        <v>2.6724767321937739E-3</v>
      </c>
      <c r="DF1213" s="478">
        <f>DF1211*(DF$4/DF$3)/DF1208</f>
        <v>7.5685903500473037E-4</v>
      </c>
      <c r="DG1213" s="541"/>
      <c r="DH1213" s="478">
        <f>DH1211*(DH$4/DH$3)/DH1208</f>
        <v>-7.1261518985260642E-3</v>
      </c>
      <c r="DI1213" s="474">
        <v>0.01</v>
      </c>
      <c r="DJ1213" s="478">
        <f>DJ1211*(DJ$4/DJ$3)/DJ1208</f>
        <v>1.3487284283483171E-3</v>
      </c>
      <c r="DK1213" s="541"/>
      <c r="DL1213" s="474">
        <v>0.01</v>
      </c>
      <c r="DM1213" s="474">
        <v>0.01</v>
      </c>
      <c r="DN1213" s="478">
        <f>DN1211*(DN$4/DN$3)/DN1208</f>
        <v>1.0024998311127792E-2</v>
      </c>
      <c r="DO1213" s="541"/>
      <c r="DP1213" s="474">
        <v>0.01</v>
      </c>
      <c r="DQ1213" s="474">
        <v>0.01</v>
      </c>
      <c r="DR1213" s="478">
        <f>DR1211*(DR$4/DR$3)/DR1208</f>
        <v>1.002499925348622E-2</v>
      </c>
      <c r="DS1213" s="541"/>
      <c r="DT1213" s="457"/>
      <c r="DU1213" s="457"/>
      <c r="DV1213" s="457"/>
      <c r="DW1213" s="457"/>
      <c r="DX1213" s="457"/>
      <c r="DY1213" s="457"/>
      <c r="DZ1213" s="457"/>
      <c r="EA1213" s="457"/>
      <c r="EB1213" s="457"/>
      <c r="EC1213" s="457"/>
      <c r="ED1213" s="457"/>
      <c r="EE1213" s="457"/>
      <c r="EF1213" s="457"/>
      <c r="EG1213" s="457"/>
      <c r="EH1213" s="457"/>
      <c r="EI1213" s="457"/>
      <c r="EJ1213" s="457"/>
      <c r="EK1213" s="457"/>
      <c r="EL1213" s="457"/>
      <c r="EM1213" s="457"/>
      <c r="EN1213" s="457"/>
      <c r="EO1213" s="457"/>
      <c r="EP1213" s="457"/>
      <c r="EQ1213" s="457"/>
      <c r="ER1213" s="457"/>
      <c r="ES1213" s="457"/>
      <c r="ET1213" s="457"/>
      <c r="EU1213" s="457"/>
      <c r="EV1213" s="457"/>
      <c r="EW1213" s="457"/>
      <c r="EX1213" s="457"/>
      <c r="EY1213" s="457"/>
      <c r="EZ1213" s="457"/>
      <c r="FA1213" s="457"/>
      <c r="FB1213" s="457"/>
      <c r="FC1213" s="457"/>
      <c r="FD1213" s="457"/>
      <c r="FE1213" s="457"/>
      <c r="FF1213" s="457"/>
      <c r="FG1213" s="457"/>
      <c r="FH1213" s="457"/>
      <c r="FI1213" s="457"/>
      <c r="FJ1213" s="457"/>
      <c r="FK1213" s="457"/>
      <c r="FL1213" s="457"/>
      <c r="FM1213" s="457"/>
      <c r="FN1213" s="457"/>
      <c r="FO1213" s="457"/>
      <c r="FP1213" s="457"/>
      <c r="FQ1213" s="457"/>
      <c r="FR1213" s="457"/>
      <c r="FS1213" s="457"/>
      <c r="FT1213" s="457"/>
      <c r="FU1213" s="457"/>
      <c r="FV1213" s="457"/>
      <c r="FW1213" s="457"/>
      <c r="FX1213" s="457"/>
      <c r="FY1213" s="457"/>
      <c r="FZ1213" s="457"/>
      <c r="GA1213" s="457"/>
      <c r="GB1213" s="457"/>
      <c r="GC1213" s="457"/>
      <c r="GD1213" s="457"/>
      <c r="GE1213" s="457"/>
      <c r="GF1213" s="457"/>
      <c r="GG1213" s="457"/>
      <c r="GH1213" s="457"/>
      <c r="GI1213" s="457"/>
      <c r="GJ1213" s="457"/>
      <c r="GK1213" s="457"/>
      <c r="GL1213" s="457"/>
      <c r="GM1213" s="457"/>
      <c r="GN1213" s="457"/>
      <c r="GO1213" s="457"/>
      <c r="GP1213" s="457"/>
      <c r="GQ1213" s="457"/>
      <c r="GR1213" s="457"/>
      <c r="GS1213" s="457"/>
      <c r="GT1213" s="457"/>
      <c r="GU1213" s="457"/>
      <c r="GV1213" s="457"/>
      <c r="GW1213" s="457"/>
      <c r="GX1213" s="457"/>
      <c r="GY1213" s="457"/>
      <c r="GZ1213" s="457"/>
      <c r="HA1213" s="457"/>
      <c r="HB1213" s="457"/>
      <c r="HC1213" s="457"/>
      <c r="HD1213" s="457"/>
      <c r="HE1213" s="457"/>
      <c r="HF1213" s="457"/>
      <c r="HG1213" s="457"/>
      <c r="HH1213" s="457"/>
      <c r="HI1213" s="457"/>
      <c r="HJ1213" s="457"/>
      <c r="HK1213" s="457"/>
      <c r="HL1213" s="457"/>
      <c r="HM1213" s="457"/>
      <c r="HN1213" s="457"/>
      <c r="HO1213" s="457"/>
      <c r="HP1213" s="457"/>
      <c r="HQ1213" s="457"/>
      <c r="HR1213" s="457"/>
      <c r="HS1213" s="457"/>
      <c r="HT1213" s="457"/>
      <c r="HU1213" s="457"/>
      <c r="HV1213" s="457"/>
      <c r="HW1213" s="457"/>
      <c r="HX1213" s="457"/>
      <c r="HY1213" s="457"/>
      <c r="HZ1213" s="457"/>
      <c r="IA1213" s="457"/>
      <c r="IB1213" s="457"/>
      <c r="IC1213" s="457"/>
      <c r="ID1213" s="457"/>
      <c r="IE1213" s="457"/>
      <c r="IF1213" s="457"/>
      <c r="IG1213" s="457"/>
      <c r="IH1213" s="457"/>
      <c r="II1213" s="457"/>
      <c r="IJ1213" s="457"/>
      <c r="IK1213" s="457"/>
      <c r="IL1213" s="457"/>
      <c r="IM1213" s="457"/>
      <c r="IN1213" s="457"/>
      <c r="IO1213" s="457"/>
      <c r="IP1213" s="457"/>
      <c r="IQ1213" s="457"/>
      <c r="IR1213" s="457"/>
      <c r="IS1213" s="457"/>
      <c r="IT1213" s="457"/>
      <c r="IU1213" s="457"/>
      <c r="IV1213" s="457"/>
      <c r="IW1213" s="457"/>
      <c r="IX1213" s="457"/>
      <c r="IY1213" s="457"/>
      <c r="IZ1213" s="457"/>
      <c r="JA1213" s="457"/>
      <c r="JB1213" s="457"/>
      <c r="JC1213" s="457"/>
      <c r="JD1213" s="457"/>
    </row>
    <row r="1214" spans="1:264" s="429" customFormat="1" x14ac:dyDescent="0.2">
      <c r="A1214" s="429" t="s">
        <v>818</v>
      </c>
      <c r="B1214" s="408"/>
      <c r="BE1214" s="394"/>
      <c r="BH1214" s="456"/>
      <c r="BI1214" s="394">
        <f>BI1212/BI1206</f>
        <v>1</v>
      </c>
      <c r="BJ1214" s="394">
        <f>BJ1212/BJ1206</f>
        <v>1</v>
      </c>
      <c r="BK1214" s="456"/>
      <c r="BL1214" s="394">
        <f>BL1212/BL1206</f>
        <v>1.0167834016122639</v>
      </c>
      <c r="BM1214" s="394">
        <f>BM1212/BM1206</f>
        <v>1</v>
      </c>
      <c r="BN1214" s="394">
        <f>BN1212/BN1206</f>
        <v>1</v>
      </c>
      <c r="BO1214" s="408"/>
      <c r="BP1214" s="394">
        <f>BP1212/BP1206</f>
        <v>1</v>
      </c>
      <c r="BQ1214" s="394">
        <f>BQ1212/BQ1206</f>
        <v>1</v>
      </c>
      <c r="BR1214" s="394">
        <f>BR1212/BR1206</f>
        <v>1</v>
      </c>
      <c r="BS1214" s="456"/>
      <c r="BT1214" s="394">
        <f>BT1212/BT1206</f>
        <v>1</v>
      </c>
      <c r="BU1214" s="394">
        <f>BU1212/BU1206</f>
        <v>0.95936908517350161</v>
      </c>
      <c r="BV1214" s="394">
        <f>BV1212/BV1206</f>
        <v>0.95936908517350161</v>
      </c>
      <c r="BW1214" s="456"/>
      <c r="BX1214" s="394">
        <f>BX1212/BX1206</f>
        <v>0.96751269035532994</v>
      </c>
      <c r="BY1214" s="394">
        <f>BY1212/BY1206</f>
        <v>0.96798780487804881</v>
      </c>
      <c r="BZ1214" s="394">
        <f>BZ1212/BZ1206</f>
        <v>0.96798780487804881</v>
      </c>
      <c r="CA1214" s="456"/>
      <c r="CB1214" s="394">
        <f>CB1212/CB1206</f>
        <v>1.1722481071636575</v>
      </c>
      <c r="CC1214" s="394">
        <f>CC1212/CC1206</f>
        <v>1.1555971761993948</v>
      </c>
      <c r="CD1214" s="394">
        <f>CD1212/CD1206</f>
        <v>1.1555971761993948</v>
      </c>
      <c r="CE1214" s="456"/>
      <c r="CF1214" s="394">
        <f>CF1212/CF1206</f>
        <v>1.2460976419794088</v>
      </c>
      <c r="CG1214" s="394">
        <f>CG1212/CG1206</f>
        <v>1.285570806829595</v>
      </c>
      <c r="CH1214" s="394">
        <f>CH1212/CH1206</f>
        <v>1.285570806829595</v>
      </c>
      <c r="CI1214" s="456"/>
      <c r="CJ1214" s="394">
        <f>CJ1212/CJ1206</f>
        <v>1.0016675004168751</v>
      </c>
      <c r="CK1214" s="394">
        <f>CK1212/CK1206</f>
        <v>1.1332323996971991</v>
      </c>
      <c r="CL1214" s="394">
        <f>CL1212/CL1206</f>
        <v>1.1332323996971991</v>
      </c>
      <c r="CM1214" s="456"/>
      <c r="CN1214" s="394">
        <f>CN1212/CN1206</f>
        <v>1.138166635035111</v>
      </c>
      <c r="CO1214" s="394">
        <f>CO1212/CO1206</f>
        <v>1.1316531878879068</v>
      </c>
      <c r="CP1214" s="394">
        <f>CP1212/CP1206</f>
        <v>1.1316531878879068</v>
      </c>
      <c r="CQ1214" s="456"/>
      <c r="CR1214" s="394">
        <f>CR1212/CR1206</f>
        <v>1.0066100094428707</v>
      </c>
      <c r="CS1214" s="394">
        <f>CS1212/CS1206</f>
        <v>1.0066100094428707</v>
      </c>
      <c r="CT1214" s="394">
        <f>CT1212/CT1206</f>
        <v>1.0066100094428707</v>
      </c>
      <c r="CU1214" s="456"/>
      <c r="CV1214" s="394">
        <f>CV1212/CV1206</f>
        <v>1</v>
      </c>
      <c r="CW1214" s="394">
        <f>CW1212/CW1206</f>
        <v>1</v>
      </c>
      <c r="CX1214" s="394">
        <f>CX1212/CX1206</f>
        <v>1</v>
      </c>
      <c r="CY1214" s="456"/>
      <c r="CZ1214" s="394">
        <f>CZ1212/CZ1206</f>
        <v>1</v>
      </c>
      <c r="DA1214" s="394">
        <f>DA1212/DA1206</f>
        <v>1</v>
      </c>
      <c r="DB1214" s="394">
        <f>DB1212/DB1206</f>
        <v>1</v>
      </c>
      <c r="DC1214" s="456"/>
      <c r="DD1214" s="394">
        <f>DD1212/DD1206</f>
        <v>1</v>
      </c>
      <c r="DE1214" s="394">
        <f>DE1212/DE1206</f>
        <v>1</v>
      </c>
      <c r="DF1214" s="394">
        <f>DF1212/DF1206</f>
        <v>1</v>
      </c>
      <c r="DG1214" s="456"/>
      <c r="DH1214" s="394">
        <f>DH1212/DH1206</f>
        <v>1</v>
      </c>
      <c r="DI1214" s="394">
        <f>DI1212/DI1206</f>
        <v>1.004958904109589</v>
      </c>
      <c r="DJ1214" s="394">
        <f>DJ1212/DJ1206</f>
        <v>1.004958904109589</v>
      </c>
      <c r="DK1214" s="456"/>
      <c r="DL1214" s="394">
        <f>DL1212/DL1206</f>
        <v>1.0100249983111278</v>
      </c>
      <c r="DM1214" s="394">
        <f>DM1212/DM1206</f>
        <v>1.0150336154260404</v>
      </c>
      <c r="DN1214" s="394">
        <f>DN1212/DN1206</f>
        <v>1.0150336154260404</v>
      </c>
      <c r="DO1214" s="456"/>
      <c r="DP1214" s="394">
        <f>DP1212/DP1206</f>
        <v>1.0201365166620622</v>
      </c>
      <c r="DQ1214" s="394">
        <f>DQ1212/DQ1206</f>
        <v>1.0252093266629501</v>
      </c>
      <c r="DR1214" s="394">
        <f>DR1212/DR1206</f>
        <v>1.0252093266629501</v>
      </c>
      <c r="DS1214" s="456"/>
      <c r="DT1214" s="1"/>
      <c r="DU1214" s="1"/>
      <c r="DV1214" s="1"/>
      <c r="DW1214" s="1"/>
      <c r="DX1214" s="1"/>
      <c r="DY1214" s="1"/>
      <c r="DZ1214" s="1"/>
      <c r="EA1214" s="1"/>
      <c r="EB1214" s="1"/>
      <c r="EC1214" s="1"/>
      <c r="ED1214" s="1"/>
      <c r="EE1214" s="1"/>
      <c r="EF1214" s="1"/>
      <c r="EG1214" s="1"/>
      <c r="EH1214" s="1"/>
      <c r="EI1214" s="1"/>
      <c r="EJ1214" s="1"/>
      <c r="EK1214" s="1"/>
      <c r="EL1214" s="1"/>
      <c r="EM1214" s="1"/>
      <c r="EN1214" s="1"/>
      <c r="EO1214" s="1"/>
      <c r="EP1214" s="1"/>
      <c r="EQ1214" s="1"/>
      <c r="ER1214" s="1"/>
      <c r="ES1214" s="1"/>
      <c r="ET1214" s="1"/>
      <c r="EU1214" s="1"/>
      <c r="EV1214" s="1"/>
      <c r="EW1214" s="1"/>
      <c r="EX1214" s="1"/>
      <c r="EY1214" s="1"/>
      <c r="EZ1214" s="1"/>
      <c r="FA1214" s="1"/>
      <c r="FB1214" s="1"/>
      <c r="FC1214" s="1"/>
      <c r="FD1214" s="1"/>
      <c r="FE1214" s="1"/>
      <c r="FF1214" s="1"/>
      <c r="FG1214" s="1"/>
      <c r="FH1214" s="1"/>
      <c r="FI1214" s="1"/>
      <c r="FJ1214" s="1"/>
      <c r="FK1214" s="1"/>
      <c r="FL1214" s="1"/>
      <c r="FM1214" s="1"/>
      <c r="FN1214" s="1"/>
      <c r="FO1214" s="1"/>
      <c r="FP1214" s="1"/>
      <c r="FQ1214" s="1"/>
      <c r="FR1214" s="1"/>
      <c r="FS1214" s="1"/>
      <c r="FT1214" s="1"/>
      <c r="FU1214" s="1"/>
      <c r="FV1214" s="1"/>
      <c r="FW1214" s="1"/>
      <c r="FX1214" s="1"/>
      <c r="FY1214" s="1"/>
      <c r="FZ1214" s="1"/>
      <c r="GA1214" s="1"/>
      <c r="GB1214" s="1"/>
      <c r="GC1214" s="1"/>
      <c r="GD1214" s="1"/>
      <c r="GE1214" s="1"/>
      <c r="GF1214" s="1"/>
      <c r="GG1214" s="1"/>
      <c r="GH1214" s="1"/>
      <c r="GI1214" s="1"/>
      <c r="GJ1214" s="1"/>
      <c r="GK1214" s="1"/>
      <c r="GL1214" s="1"/>
      <c r="GM1214" s="1"/>
      <c r="GN1214" s="1"/>
      <c r="GO1214" s="1"/>
      <c r="GP1214" s="1"/>
      <c r="GQ1214" s="1"/>
      <c r="GR1214" s="1"/>
      <c r="GS1214" s="1"/>
      <c r="GT1214" s="1"/>
      <c r="GU1214" s="1"/>
      <c r="GV1214" s="1"/>
      <c r="GW1214" s="1"/>
      <c r="GX1214" s="1"/>
      <c r="GY1214" s="1"/>
      <c r="GZ1214" s="1"/>
      <c r="HA1214" s="1"/>
      <c r="HB1214" s="1"/>
      <c r="HC1214" s="1"/>
      <c r="HD1214" s="1"/>
      <c r="HE1214" s="1"/>
      <c r="HF1214" s="1"/>
      <c r="HG1214" s="1"/>
      <c r="HH1214" s="1"/>
      <c r="HI1214" s="1"/>
      <c r="HJ1214" s="1"/>
      <c r="HK1214" s="1"/>
      <c r="HL1214" s="1"/>
      <c r="HM1214" s="1"/>
      <c r="HN1214" s="1"/>
      <c r="HO1214" s="1"/>
      <c r="HP1214" s="1"/>
      <c r="HQ1214" s="1"/>
      <c r="HR1214" s="1"/>
      <c r="HS1214" s="1"/>
      <c r="HT1214" s="1"/>
      <c r="HU1214" s="1"/>
      <c r="HV1214" s="1"/>
      <c r="HW1214" s="1"/>
      <c r="HX1214" s="1"/>
      <c r="HY1214" s="1"/>
      <c r="HZ1214" s="1"/>
      <c r="IA1214" s="1"/>
      <c r="IB1214" s="1"/>
      <c r="IC1214" s="1"/>
      <c r="ID1214" s="1"/>
      <c r="IE1214" s="1"/>
      <c r="IF1214" s="1"/>
      <c r="IG1214" s="1"/>
      <c r="IH1214" s="1"/>
      <c r="II1214" s="1"/>
      <c r="IJ1214" s="1"/>
      <c r="IK1214" s="1"/>
      <c r="IL1214" s="1"/>
      <c r="IM1214" s="1"/>
      <c r="IN1214" s="1"/>
      <c r="IO1214" s="1"/>
      <c r="IP1214" s="1"/>
      <c r="IQ1214" s="1"/>
      <c r="IR1214" s="1"/>
      <c r="IS1214" s="1"/>
      <c r="IT1214" s="1"/>
      <c r="IU1214" s="1"/>
      <c r="IV1214" s="1"/>
      <c r="IW1214" s="1"/>
      <c r="IX1214" s="1"/>
      <c r="IY1214" s="1"/>
      <c r="IZ1214" s="1"/>
      <c r="JA1214" s="1"/>
      <c r="JB1214" s="1"/>
      <c r="JC1214" s="1"/>
      <c r="JD1214" s="1"/>
    </row>
    <row r="1215" spans="1:264" s="347" customFormat="1" x14ac:dyDescent="0.2">
      <c r="A1215" s="411"/>
      <c r="B1215" s="348"/>
      <c r="BE1215" s="351"/>
      <c r="BH1215" s="351"/>
      <c r="BI1215" s="351"/>
      <c r="BJ1215" s="351"/>
      <c r="BK1215" s="351"/>
      <c r="BL1215" s="351"/>
      <c r="BM1215" s="351"/>
      <c r="BN1215" s="351"/>
      <c r="BO1215" s="351"/>
      <c r="BP1215" s="351"/>
      <c r="BQ1215" s="351"/>
      <c r="BR1215" s="351"/>
      <c r="BS1215" s="351"/>
      <c r="BT1215" s="351"/>
      <c r="BU1215" s="351"/>
      <c r="BV1215" s="351"/>
      <c r="BW1215" s="351"/>
      <c r="BX1215" s="351"/>
      <c r="BY1215" s="351"/>
      <c r="BZ1215" s="351"/>
      <c r="CA1215" s="351"/>
      <c r="CB1215" s="351"/>
      <c r="CC1215" s="351"/>
      <c r="CD1215" s="351"/>
      <c r="CE1215" s="351"/>
      <c r="CF1215" s="351"/>
      <c r="CG1215" s="351"/>
      <c r="CH1215" s="351"/>
      <c r="CI1215" s="351"/>
      <c r="CJ1215" s="351"/>
      <c r="CK1215" s="351"/>
      <c r="CL1215" s="351"/>
      <c r="CM1215" s="351"/>
      <c r="CN1215" s="351"/>
      <c r="CO1215" s="351"/>
      <c r="CP1215" s="351"/>
      <c r="CQ1215" s="351"/>
      <c r="CR1215" s="351"/>
      <c r="CS1215" s="351"/>
      <c r="CT1215" s="351"/>
      <c r="CU1215" s="351"/>
      <c r="CV1215" s="351"/>
      <c r="CW1215" s="351"/>
      <c r="CX1215" s="351"/>
      <c r="CY1215" s="351"/>
      <c r="CZ1215" s="351"/>
      <c r="DA1215" s="351"/>
      <c r="DB1215" s="351"/>
      <c r="DC1215" s="351"/>
      <c r="DD1215" s="351"/>
      <c r="DE1215" s="351"/>
      <c r="DF1215" s="351"/>
      <c r="DG1215" s="351"/>
      <c r="DH1215" s="351"/>
      <c r="DI1215" s="351"/>
      <c r="DJ1215" s="351"/>
      <c r="DK1215" s="351"/>
      <c r="DL1215" s="351"/>
      <c r="DM1215" s="351"/>
      <c r="DN1215" s="351"/>
      <c r="DO1215" s="351"/>
      <c r="DP1215" s="351"/>
      <c r="DQ1215" s="351"/>
      <c r="DR1215" s="351"/>
      <c r="DS1215" s="351"/>
      <c r="DT1215" s="1"/>
      <c r="DU1215" s="1"/>
      <c r="DV1215" s="1"/>
      <c r="DW1215" s="1"/>
      <c r="DX1215" s="1"/>
      <c r="DY1215" s="1"/>
      <c r="DZ1215" s="1"/>
      <c r="EA1215" s="1"/>
      <c r="EB1215" s="1"/>
      <c r="EC1215" s="1"/>
      <c r="ED1215" s="1"/>
      <c r="EE1215" s="1"/>
      <c r="EF1215" s="1"/>
      <c r="EG1215" s="1"/>
      <c r="EH1215" s="1"/>
      <c r="EI1215" s="1"/>
      <c r="EJ1215" s="1"/>
      <c r="EK1215" s="1"/>
      <c r="EL1215" s="1"/>
      <c r="EM1215" s="1"/>
      <c r="EN1215" s="1"/>
      <c r="EO1215" s="1"/>
      <c r="EP1215" s="1"/>
      <c r="EQ1215" s="1"/>
      <c r="ER1215" s="1"/>
      <c r="ES1215" s="1"/>
      <c r="ET1215" s="1"/>
      <c r="EU1215" s="1"/>
      <c r="EV1215" s="1"/>
      <c r="EW1215" s="1"/>
      <c r="EX1215" s="1"/>
      <c r="EY1215" s="1"/>
      <c r="EZ1215" s="1"/>
      <c r="FA1215" s="1"/>
      <c r="FB1215" s="1"/>
      <c r="FC1215" s="1"/>
      <c r="FD1215" s="1"/>
      <c r="FE1215" s="1"/>
      <c r="FF1215" s="1"/>
      <c r="FG1215" s="1"/>
      <c r="FH1215" s="1"/>
      <c r="FI1215" s="1"/>
      <c r="FJ1215" s="1"/>
      <c r="FK1215" s="1"/>
      <c r="FL1215" s="1"/>
      <c r="FM1215" s="1"/>
      <c r="FN1215" s="1"/>
      <c r="FO1215" s="1"/>
      <c r="FP1215" s="1"/>
      <c r="FQ1215" s="1"/>
      <c r="FR1215" s="1"/>
      <c r="FS1215" s="1"/>
      <c r="FT1215" s="1"/>
      <c r="FU1215" s="1"/>
      <c r="FV1215" s="1"/>
      <c r="FW1215" s="1"/>
      <c r="FX1215" s="1"/>
      <c r="FY1215" s="1"/>
      <c r="FZ1215" s="1"/>
      <c r="GA1215" s="1"/>
      <c r="GB1215" s="1"/>
      <c r="GC1215" s="1"/>
      <c r="GD1215" s="1"/>
      <c r="GE1215" s="1"/>
      <c r="GF1215" s="1"/>
      <c r="GG1215" s="1"/>
      <c r="GH1215" s="1"/>
      <c r="GI1215" s="1"/>
      <c r="GJ1215" s="1"/>
      <c r="GK1215" s="1"/>
      <c r="GL1215" s="1"/>
      <c r="GM1215" s="1"/>
      <c r="GN1215" s="1"/>
      <c r="GO1215" s="1"/>
      <c r="GP1215" s="1"/>
      <c r="GQ1215" s="1"/>
      <c r="GR1215" s="1"/>
      <c r="GS1215" s="1"/>
      <c r="GT1215" s="1"/>
      <c r="GU1215" s="1"/>
      <c r="GV1215" s="1"/>
      <c r="GW1215" s="1"/>
      <c r="GX1215" s="1"/>
      <c r="GY1215" s="1"/>
      <c r="GZ1215" s="1"/>
      <c r="HA1215" s="1"/>
      <c r="HB1215" s="1"/>
      <c r="HC1215" s="1"/>
      <c r="HD1215" s="1"/>
      <c r="HE1215" s="1"/>
      <c r="HF1215" s="1"/>
      <c r="HG1215" s="1"/>
      <c r="HH1215" s="1"/>
      <c r="HI1215" s="1"/>
      <c r="HJ1215" s="1"/>
      <c r="HK1215" s="1"/>
      <c r="HL1215" s="1"/>
      <c r="HM1215" s="1"/>
      <c r="HN1215" s="1"/>
      <c r="HO1215" s="1"/>
      <c r="HP1215" s="1"/>
      <c r="HQ1215" s="1"/>
      <c r="HR1215" s="1"/>
      <c r="HS1215" s="1"/>
      <c r="HT1215" s="1"/>
      <c r="HU1215" s="1"/>
      <c r="HV1215" s="1"/>
      <c r="HW1215" s="1"/>
      <c r="HX1215" s="1"/>
      <c r="HY1215" s="1"/>
      <c r="HZ1215" s="1"/>
      <c r="IA1215" s="1"/>
      <c r="IB1215" s="1"/>
      <c r="IC1215" s="1"/>
      <c r="ID1215" s="1"/>
      <c r="IE1215" s="1"/>
      <c r="IF1215" s="1"/>
      <c r="IG1215" s="1"/>
      <c r="IH1215" s="1"/>
      <c r="II1215" s="1"/>
      <c r="IJ1215" s="1"/>
      <c r="IK1215" s="1"/>
      <c r="IL1215" s="1"/>
      <c r="IM1215" s="1"/>
      <c r="IN1215" s="1"/>
      <c r="IO1215" s="1"/>
      <c r="IP1215" s="1"/>
      <c r="IQ1215" s="1"/>
      <c r="IR1215" s="1"/>
      <c r="IS1215" s="1"/>
      <c r="IT1215" s="1"/>
      <c r="IU1215" s="1"/>
      <c r="IV1215" s="1"/>
      <c r="IW1215" s="1"/>
      <c r="IX1215" s="1"/>
      <c r="IY1215" s="1"/>
      <c r="IZ1215" s="1"/>
      <c r="JA1215" s="1"/>
      <c r="JB1215" s="1"/>
      <c r="JC1215" s="1"/>
      <c r="JD1215" s="1"/>
    </row>
    <row r="1216" spans="1:264" s="347" customFormat="1" x14ac:dyDescent="0.2">
      <c r="A1216" s="347" t="s">
        <v>819</v>
      </c>
      <c r="B1216" s="348"/>
      <c r="BE1216" s="351"/>
      <c r="BH1216" s="351"/>
      <c r="BI1216" s="351">
        <f>BI416</f>
        <v>1923</v>
      </c>
      <c r="BJ1216" s="351">
        <f>BJ416</f>
        <v>1923</v>
      </c>
      <c r="BK1216" s="351"/>
      <c r="BL1216" s="351">
        <f>BL416</f>
        <v>1950</v>
      </c>
      <c r="BM1216" s="351">
        <f>BM416</f>
        <v>1854</v>
      </c>
      <c r="BN1216" s="351">
        <f>BN416</f>
        <v>1854</v>
      </c>
      <c r="BO1216" s="351"/>
      <c r="BP1216" s="351">
        <f>BP416</f>
        <v>1979</v>
      </c>
      <c r="BQ1216" s="351">
        <f>BQ416</f>
        <v>2089</v>
      </c>
      <c r="BR1216" s="351">
        <f>BR416</f>
        <v>2089</v>
      </c>
      <c r="BS1216" s="351"/>
      <c r="BT1216" s="351">
        <f>BT416</f>
        <v>2183</v>
      </c>
      <c r="BU1216" s="351">
        <f>BU416</f>
        <v>2228</v>
      </c>
      <c r="BV1216" s="351">
        <f>BV416</f>
        <v>2228</v>
      </c>
      <c r="BW1216" s="351"/>
      <c r="BX1216" s="351">
        <f>BX416</f>
        <v>1897</v>
      </c>
      <c r="BY1216" s="351">
        <f>BY416</f>
        <v>1934</v>
      </c>
      <c r="BZ1216" s="351">
        <f>BZ416</f>
        <v>1934</v>
      </c>
      <c r="CA1216" s="351"/>
      <c r="CB1216" s="351">
        <f>CB416</f>
        <v>1896</v>
      </c>
      <c r="CC1216" s="351">
        <f>CC416</f>
        <v>1819</v>
      </c>
      <c r="CD1216" s="351">
        <f>CD416</f>
        <v>1819</v>
      </c>
      <c r="CE1216" s="351"/>
      <c r="CF1216" s="351">
        <f>CF416</f>
        <v>1782</v>
      </c>
      <c r="CG1216" s="351">
        <f>CG416</f>
        <v>1712</v>
      </c>
      <c r="CH1216" s="351">
        <f>CH416</f>
        <v>1712</v>
      </c>
      <c r="CI1216" s="351"/>
      <c r="CJ1216" s="351">
        <f>CJ416</f>
        <v>1418</v>
      </c>
      <c r="CK1216" s="351">
        <f>CK416</f>
        <v>1296</v>
      </c>
      <c r="CL1216" s="351">
        <f>CL416</f>
        <v>1296</v>
      </c>
      <c r="CM1216" s="351"/>
      <c r="CN1216" s="351">
        <f>CN416</f>
        <v>1334</v>
      </c>
      <c r="CO1216" s="351">
        <f>CO416</f>
        <v>1427</v>
      </c>
      <c r="CP1216" s="351">
        <f>CP416</f>
        <v>1427</v>
      </c>
      <c r="CQ1216" s="351"/>
      <c r="CR1216" s="351">
        <f>CR416</f>
        <v>1585</v>
      </c>
      <c r="CS1216" s="351">
        <f>CS416</f>
        <v>1409</v>
      </c>
      <c r="CT1216" s="351">
        <f>CT416</f>
        <v>1409</v>
      </c>
      <c r="CU1216" s="351"/>
      <c r="CV1216" s="351">
        <f>CV416</f>
        <v>1643</v>
      </c>
      <c r="CW1216" s="351">
        <f>CW416</f>
        <v>1912</v>
      </c>
      <c r="CX1216" s="351">
        <f>CX416</f>
        <v>1912</v>
      </c>
      <c r="CY1216" s="351"/>
      <c r="CZ1216" s="351">
        <f>CZ416</f>
        <v>2035</v>
      </c>
      <c r="DA1216" s="351">
        <f>DA416</f>
        <v>2129</v>
      </c>
      <c r="DB1216" s="351">
        <f>DB416</f>
        <v>2129</v>
      </c>
      <c r="DC1216" s="351"/>
      <c r="DD1216" s="351">
        <f>DD416</f>
        <v>2315</v>
      </c>
      <c r="DE1216" s="351">
        <f>DE416</f>
        <v>2607</v>
      </c>
      <c r="DF1216" s="351">
        <f>DF416</f>
        <v>2607</v>
      </c>
      <c r="DG1216" s="351"/>
      <c r="DH1216" s="351">
        <f>DH416</f>
        <v>2840</v>
      </c>
      <c r="DI1216" s="351">
        <f>DI416</f>
        <v>3042.5548947372981</v>
      </c>
      <c r="DJ1216" s="351">
        <f>DJ416</f>
        <v>3042.5548947372981</v>
      </c>
      <c r="DK1216" s="351"/>
      <c r="DL1216" s="351">
        <f>DL416</f>
        <v>3219.4263979548159</v>
      </c>
      <c r="DM1216" s="351">
        <f>DM416</f>
        <v>3382.0358728931587</v>
      </c>
      <c r="DN1216" s="351">
        <f>DN416</f>
        <v>3382.0358728931587</v>
      </c>
      <c r="DO1216" s="351"/>
      <c r="DP1216" s="351">
        <f>DP416</f>
        <v>3484.6107961401372</v>
      </c>
      <c r="DQ1216" s="351">
        <f>DQ416</f>
        <v>3580.8393534051011</v>
      </c>
      <c r="DR1216" s="351">
        <f>DR416</f>
        <v>3580.8393534051015</v>
      </c>
      <c r="DS1216" s="351"/>
      <c r="DT1216" s="1"/>
      <c r="DU1216" s="1"/>
      <c r="DV1216" s="1"/>
      <c r="DW1216" s="1"/>
      <c r="DX1216" s="1"/>
      <c r="DY1216" s="1"/>
      <c r="DZ1216" s="1"/>
      <c r="EA1216" s="1"/>
      <c r="EB1216" s="1"/>
      <c r="EC1216" s="1"/>
      <c r="ED1216" s="1"/>
      <c r="EE1216" s="1"/>
      <c r="EF1216" s="1"/>
      <c r="EG1216" s="1"/>
      <c r="EH1216" s="1"/>
      <c r="EI1216" s="1"/>
      <c r="EJ1216" s="1"/>
      <c r="EK1216" s="1"/>
      <c r="EL1216" s="1"/>
      <c r="EM1216" s="1"/>
      <c r="EN1216" s="1"/>
      <c r="EO1216" s="1"/>
      <c r="EP1216" s="1"/>
      <c r="EQ1216" s="1"/>
      <c r="ER1216" s="1"/>
      <c r="ES1216" s="1"/>
      <c r="ET1216" s="1"/>
      <c r="EU1216" s="1"/>
      <c r="EV1216" s="1"/>
      <c r="EW1216" s="1"/>
      <c r="EX1216" s="1"/>
      <c r="EY1216" s="1"/>
      <c r="EZ1216" s="1"/>
      <c r="FA1216" s="1"/>
      <c r="FB1216" s="1"/>
      <c r="FC1216" s="1"/>
      <c r="FD1216" s="1"/>
      <c r="FE1216" s="1"/>
      <c r="FF1216" s="1"/>
      <c r="FG1216" s="1"/>
      <c r="FH1216" s="1"/>
      <c r="FI1216" s="1"/>
      <c r="FJ1216" s="1"/>
      <c r="FK1216" s="1"/>
      <c r="FL1216" s="1"/>
      <c r="FM1216" s="1"/>
      <c r="FN1216" s="1"/>
      <c r="FO1216" s="1"/>
      <c r="FP1216" s="1"/>
      <c r="FQ1216" s="1"/>
      <c r="FR1216" s="1"/>
      <c r="FS1216" s="1"/>
      <c r="FT1216" s="1"/>
      <c r="FU1216" s="1"/>
      <c r="FV1216" s="1"/>
      <c r="FW1216" s="1"/>
      <c r="FX1216" s="1"/>
      <c r="FY1216" s="1"/>
      <c r="FZ1216" s="1"/>
      <c r="GA1216" s="1"/>
      <c r="GB1216" s="1"/>
      <c r="GC1216" s="1"/>
      <c r="GD1216" s="1"/>
      <c r="GE1216" s="1"/>
      <c r="GF1216" s="1"/>
      <c r="GG1216" s="1"/>
      <c r="GH1216" s="1"/>
      <c r="GI1216" s="1"/>
      <c r="GJ1216" s="1"/>
      <c r="GK1216" s="1"/>
      <c r="GL1216" s="1"/>
      <c r="GM1216" s="1"/>
      <c r="GN1216" s="1"/>
      <c r="GO1216" s="1"/>
      <c r="GP1216" s="1"/>
      <c r="GQ1216" s="1"/>
      <c r="GR1216" s="1"/>
      <c r="GS1216" s="1"/>
      <c r="GT1216" s="1"/>
      <c r="GU1216" s="1"/>
      <c r="GV1216" s="1"/>
      <c r="GW1216" s="1"/>
      <c r="GX1216" s="1"/>
      <c r="GY1216" s="1"/>
      <c r="GZ1216" s="1"/>
      <c r="HA1216" s="1"/>
      <c r="HB1216" s="1"/>
      <c r="HC1216" s="1"/>
      <c r="HD1216" s="1"/>
      <c r="HE1216" s="1"/>
      <c r="HF1216" s="1"/>
      <c r="HG1216" s="1"/>
      <c r="HH1216" s="1"/>
      <c r="HI1216" s="1"/>
      <c r="HJ1216" s="1"/>
      <c r="HK1216" s="1"/>
      <c r="HL1216" s="1"/>
      <c r="HM1216" s="1"/>
      <c r="HN1216" s="1"/>
      <c r="HO1216" s="1"/>
      <c r="HP1216" s="1"/>
      <c r="HQ1216" s="1"/>
      <c r="HR1216" s="1"/>
      <c r="HS1216" s="1"/>
      <c r="HT1216" s="1"/>
      <c r="HU1216" s="1"/>
      <c r="HV1216" s="1"/>
      <c r="HW1216" s="1"/>
      <c r="HX1216" s="1"/>
      <c r="HY1216" s="1"/>
      <c r="HZ1216" s="1"/>
      <c r="IA1216" s="1"/>
      <c r="IB1216" s="1"/>
      <c r="IC1216" s="1"/>
      <c r="ID1216" s="1"/>
      <c r="IE1216" s="1"/>
      <c r="IF1216" s="1"/>
      <c r="IG1216" s="1"/>
      <c r="IH1216" s="1"/>
      <c r="II1216" s="1"/>
      <c r="IJ1216" s="1"/>
      <c r="IK1216" s="1"/>
      <c r="IL1216" s="1"/>
      <c r="IM1216" s="1"/>
      <c r="IN1216" s="1"/>
      <c r="IO1216" s="1"/>
      <c r="IP1216" s="1"/>
      <c r="IQ1216" s="1"/>
      <c r="IR1216" s="1"/>
      <c r="IS1216" s="1"/>
      <c r="IT1216" s="1"/>
      <c r="IU1216" s="1"/>
      <c r="IV1216" s="1"/>
      <c r="IW1216" s="1"/>
      <c r="IX1216" s="1"/>
      <c r="IY1216" s="1"/>
      <c r="IZ1216" s="1"/>
      <c r="JA1216" s="1"/>
      <c r="JB1216" s="1"/>
      <c r="JC1216" s="1"/>
      <c r="JD1216" s="1"/>
    </row>
    <row r="1217" spans="1:264" s="347" customFormat="1" x14ac:dyDescent="0.2">
      <c r="A1217" s="347" t="s">
        <v>820</v>
      </c>
      <c r="B1217" s="348"/>
      <c r="BE1217" s="351"/>
      <c r="BH1217" s="351"/>
      <c r="BI1217" s="351">
        <f>-BI1189</f>
        <v>1923</v>
      </c>
      <c r="BJ1217" s="351">
        <f>-BJ1189</f>
        <v>1923</v>
      </c>
      <c r="BK1217" s="351"/>
      <c r="BL1217" s="351">
        <f>-BL1189</f>
        <v>1950</v>
      </c>
      <c r="BM1217" s="351">
        <f>-BM1189</f>
        <v>1854</v>
      </c>
      <c r="BN1217" s="351">
        <f>-BN1189</f>
        <v>1854</v>
      </c>
      <c r="BO1217" s="351"/>
      <c r="BP1217" s="351">
        <f>-BP1189</f>
        <v>1979</v>
      </c>
      <c r="BQ1217" s="351">
        <f>-BQ1189</f>
        <v>2089</v>
      </c>
      <c r="BR1217" s="351">
        <f>-BR1189</f>
        <v>2089</v>
      </c>
      <c r="BS1217" s="351"/>
      <c r="BT1217" s="351">
        <f>-BT1189</f>
        <v>2183</v>
      </c>
      <c r="BU1217" s="351">
        <f>-BU1189</f>
        <v>2313</v>
      </c>
      <c r="BV1217" s="351">
        <f>-BV1189</f>
        <v>2313</v>
      </c>
      <c r="BW1217" s="351"/>
      <c r="BX1217" s="351">
        <f>-BX1189</f>
        <v>2104</v>
      </c>
      <c r="BY1217" s="351">
        <f>-BY1189</f>
        <v>2144</v>
      </c>
      <c r="BZ1217" s="351">
        <f>-BZ1189</f>
        <v>2144</v>
      </c>
      <c r="CA1217" s="351"/>
      <c r="CB1217" s="351">
        <f>-CB1189</f>
        <v>2314</v>
      </c>
      <c r="CC1217" s="351">
        <f>-CC1189</f>
        <v>2124</v>
      </c>
      <c r="CD1217" s="351">
        <f>-CD1189</f>
        <v>2124</v>
      </c>
      <c r="CE1217" s="351"/>
      <c r="CF1217" s="351">
        <f>-CF1189</f>
        <v>2108</v>
      </c>
      <c r="CG1217" s="351">
        <f>-CG1189</f>
        <v>2013</v>
      </c>
      <c r="CH1217" s="351">
        <f>-CH1189</f>
        <v>2013</v>
      </c>
      <c r="CI1217" s="351"/>
      <c r="CJ1217" s="351">
        <f>-CJ1189</f>
        <v>1665</v>
      </c>
      <c r="CK1217" s="351">
        <f>-CK1189</f>
        <v>1541</v>
      </c>
      <c r="CL1217" s="351">
        <f>-CL1189</f>
        <v>1541</v>
      </c>
      <c r="CM1217" s="351"/>
      <c r="CN1217" s="351">
        <f>-CN1189</f>
        <v>1579</v>
      </c>
      <c r="CO1217" s="351">
        <f>-CO1189</f>
        <v>1570</v>
      </c>
      <c r="CP1217" s="351">
        <f>-CP1189</f>
        <v>1570</v>
      </c>
      <c r="CQ1217" s="351"/>
      <c r="CR1217" s="351">
        <f>-CR1189</f>
        <v>1722</v>
      </c>
      <c r="CS1217" s="351">
        <f>-CS1189</f>
        <v>1548</v>
      </c>
      <c r="CT1217" s="351">
        <f>-CT1189</f>
        <v>1548</v>
      </c>
      <c r="CU1217" s="351"/>
      <c r="CV1217" s="351">
        <f>-CV1189</f>
        <v>1782</v>
      </c>
      <c r="CW1217" s="351">
        <f>-CW1189</f>
        <v>2042</v>
      </c>
      <c r="CX1217" s="351">
        <f>-CX1189</f>
        <v>2042</v>
      </c>
      <c r="CY1217" s="351"/>
      <c r="CZ1217" s="351">
        <f>-CZ1189</f>
        <v>2165</v>
      </c>
      <c r="DA1217" s="351">
        <f>-DA1189</f>
        <v>2259</v>
      </c>
      <c r="DB1217" s="351">
        <f>-DB1189</f>
        <v>2259</v>
      </c>
      <c r="DC1217" s="351"/>
      <c r="DD1217" s="351">
        <f>-DD1189</f>
        <v>2446</v>
      </c>
      <c r="DE1217" s="351">
        <f>-DE1189</f>
        <v>2737</v>
      </c>
      <c r="DF1217" s="351">
        <f>-DF1189</f>
        <v>2737</v>
      </c>
      <c r="DG1217" s="351"/>
      <c r="DH1217" s="351">
        <f>-DH1189</f>
        <v>2970</v>
      </c>
      <c r="DI1217" s="351">
        <f>+DI1218*DI1216</f>
        <v>3181.826773721752</v>
      </c>
      <c r="DJ1217" s="351">
        <f>-DJ1189</f>
        <v>3181.826773721752</v>
      </c>
      <c r="DK1217" s="351"/>
      <c r="DL1217" s="351">
        <f>+DL1218*DL1216</f>
        <v>3366.7945077203535</v>
      </c>
      <c r="DM1217" s="351">
        <f>+DM1218*DM1216</f>
        <v>3536.8473741171415</v>
      </c>
      <c r="DN1217" s="351">
        <f>-DN1189</f>
        <v>3536.8473741171415</v>
      </c>
      <c r="DO1217" s="351"/>
      <c r="DP1217" s="351">
        <f>+DP1218*DP1216</f>
        <v>3644.1176283578197</v>
      </c>
      <c r="DQ1217" s="351">
        <f>+DQ1218*DQ1216</f>
        <v>3744.7510139482924</v>
      </c>
      <c r="DR1217" s="351">
        <f>-DR1189</f>
        <v>3744.7510139482924</v>
      </c>
      <c r="DS1217" s="351"/>
      <c r="DT1217" s="1"/>
      <c r="DU1217" s="1"/>
      <c r="DV1217" s="1"/>
      <c r="DW1217" s="1"/>
      <c r="DX1217" s="1"/>
      <c r="DY1217" s="1"/>
      <c r="DZ1217" s="1"/>
      <c r="EA1217" s="1"/>
      <c r="EB1217" s="1"/>
      <c r="EC1217" s="1"/>
      <c r="ED1217" s="1"/>
      <c r="EE1217" s="1"/>
      <c r="EF1217" s="1"/>
      <c r="EG1217" s="1"/>
      <c r="EH1217" s="1"/>
      <c r="EI1217" s="1"/>
      <c r="EJ1217" s="1"/>
      <c r="EK1217" s="1"/>
      <c r="EL1217" s="1"/>
      <c r="EM1217" s="1"/>
      <c r="EN1217" s="1"/>
      <c r="EO1217" s="1"/>
      <c r="EP1217" s="1"/>
      <c r="EQ1217" s="1"/>
      <c r="ER1217" s="1"/>
      <c r="ES1217" s="1"/>
      <c r="ET1217" s="1"/>
      <c r="EU1217" s="1"/>
      <c r="EV1217" s="1"/>
      <c r="EW1217" s="1"/>
      <c r="EX1217" s="1"/>
      <c r="EY1217" s="1"/>
      <c r="EZ1217" s="1"/>
      <c r="FA1217" s="1"/>
      <c r="FB1217" s="1"/>
      <c r="FC1217" s="1"/>
      <c r="FD1217" s="1"/>
      <c r="FE1217" s="1"/>
      <c r="FF1217" s="1"/>
      <c r="FG1217" s="1"/>
      <c r="FH1217" s="1"/>
      <c r="FI1217" s="1"/>
      <c r="FJ1217" s="1"/>
      <c r="FK1217" s="1"/>
      <c r="FL1217" s="1"/>
      <c r="FM1217" s="1"/>
      <c r="FN1217" s="1"/>
      <c r="FO1217" s="1"/>
      <c r="FP1217" s="1"/>
      <c r="FQ1217" s="1"/>
      <c r="FR1217" s="1"/>
      <c r="FS1217" s="1"/>
      <c r="FT1217" s="1"/>
      <c r="FU1217" s="1"/>
      <c r="FV1217" s="1"/>
      <c r="FW1217" s="1"/>
      <c r="FX1217" s="1"/>
      <c r="FY1217" s="1"/>
      <c r="FZ1217" s="1"/>
      <c r="GA1217" s="1"/>
      <c r="GB1217" s="1"/>
      <c r="GC1217" s="1"/>
      <c r="GD1217" s="1"/>
      <c r="GE1217" s="1"/>
      <c r="GF1217" s="1"/>
      <c r="GG1217" s="1"/>
      <c r="GH1217" s="1"/>
      <c r="GI1217" s="1"/>
      <c r="GJ1217" s="1"/>
      <c r="GK1217" s="1"/>
      <c r="GL1217" s="1"/>
      <c r="GM1217" s="1"/>
      <c r="GN1217" s="1"/>
      <c r="GO1217" s="1"/>
      <c r="GP1217" s="1"/>
      <c r="GQ1217" s="1"/>
      <c r="GR1217" s="1"/>
      <c r="GS1217" s="1"/>
      <c r="GT1217" s="1"/>
      <c r="GU1217" s="1"/>
      <c r="GV1217" s="1"/>
      <c r="GW1217" s="1"/>
      <c r="GX1217" s="1"/>
      <c r="GY1217" s="1"/>
      <c r="GZ1217" s="1"/>
      <c r="HA1217" s="1"/>
      <c r="HB1217" s="1"/>
      <c r="HC1217" s="1"/>
      <c r="HD1217" s="1"/>
      <c r="HE1217" s="1"/>
      <c r="HF1217" s="1"/>
      <c r="HG1217" s="1"/>
      <c r="HH1217" s="1"/>
      <c r="HI1217" s="1"/>
      <c r="HJ1217" s="1"/>
      <c r="HK1217" s="1"/>
      <c r="HL1217" s="1"/>
      <c r="HM1217" s="1"/>
      <c r="HN1217" s="1"/>
      <c r="HO1217" s="1"/>
      <c r="HP1217" s="1"/>
      <c r="HQ1217" s="1"/>
      <c r="HR1217" s="1"/>
      <c r="HS1217" s="1"/>
      <c r="HT1217" s="1"/>
      <c r="HU1217" s="1"/>
      <c r="HV1217" s="1"/>
      <c r="HW1217" s="1"/>
      <c r="HX1217" s="1"/>
      <c r="HY1217" s="1"/>
      <c r="HZ1217" s="1"/>
      <c r="IA1217" s="1"/>
      <c r="IB1217" s="1"/>
      <c r="IC1217" s="1"/>
      <c r="ID1217" s="1"/>
      <c r="IE1217" s="1"/>
      <c r="IF1217" s="1"/>
      <c r="IG1217" s="1"/>
      <c r="IH1217" s="1"/>
      <c r="II1217" s="1"/>
      <c r="IJ1217" s="1"/>
      <c r="IK1217" s="1"/>
      <c r="IL1217" s="1"/>
      <c r="IM1217" s="1"/>
      <c r="IN1217" s="1"/>
      <c r="IO1217" s="1"/>
      <c r="IP1217" s="1"/>
      <c r="IQ1217" s="1"/>
      <c r="IR1217" s="1"/>
      <c r="IS1217" s="1"/>
      <c r="IT1217" s="1"/>
      <c r="IU1217" s="1"/>
      <c r="IV1217" s="1"/>
      <c r="IW1217" s="1"/>
      <c r="IX1217" s="1"/>
      <c r="IY1217" s="1"/>
      <c r="IZ1217" s="1"/>
      <c r="JA1217" s="1"/>
      <c r="JB1217" s="1"/>
      <c r="JC1217" s="1"/>
      <c r="JD1217" s="1"/>
    </row>
    <row r="1218" spans="1:264" s="429" customFormat="1" x14ac:dyDescent="0.2">
      <c r="A1218" s="436" t="s">
        <v>334</v>
      </c>
      <c r="B1218" s="437"/>
      <c r="C1218" s="436"/>
      <c r="D1218" s="436"/>
      <c r="E1218" s="436"/>
      <c r="F1218" s="436"/>
      <c r="G1218" s="436"/>
      <c r="H1218" s="436"/>
      <c r="I1218" s="436"/>
      <c r="J1218" s="436"/>
      <c r="K1218" s="436"/>
      <c r="L1218" s="436"/>
      <c r="M1218" s="436"/>
      <c r="N1218" s="436"/>
      <c r="O1218" s="436"/>
      <c r="P1218" s="436"/>
      <c r="Q1218" s="436"/>
      <c r="R1218" s="436"/>
      <c r="S1218" s="436"/>
      <c r="T1218" s="436"/>
      <c r="U1218" s="436"/>
      <c r="V1218" s="436"/>
      <c r="W1218" s="436"/>
      <c r="X1218" s="436"/>
      <c r="Y1218" s="436"/>
      <c r="Z1218" s="436"/>
      <c r="AA1218" s="436"/>
      <c r="AB1218" s="436"/>
      <c r="AC1218" s="436"/>
      <c r="AD1218" s="436"/>
      <c r="AE1218" s="436"/>
      <c r="AF1218" s="436"/>
      <c r="AG1218" s="436"/>
      <c r="AH1218" s="436"/>
      <c r="AI1218" s="436"/>
      <c r="AJ1218" s="436"/>
      <c r="AK1218" s="436"/>
      <c r="AL1218" s="436"/>
      <c r="AM1218" s="436"/>
      <c r="AN1218" s="436"/>
      <c r="AO1218" s="436"/>
      <c r="AP1218" s="436"/>
      <c r="AQ1218" s="436"/>
      <c r="AR1218" s="436"/>
      <c r="AS1218" s="436"/>
      <c r="AT1218" s="436"/>
      <c r="AU1218" s="436"/>
      <c r="AV1218" s="436"/>
      <c r="AW1218" s="436"/>
      <c r="AX1218" s="436"/>
      <c r="AY1218" s="436"/>
      <c r="AZ1218" s="436"/>
      <c r="BA1218" s="436"/>
      <c r="BB1218" s="436"/>
      <c r="BC1218" s="436"/>
      <c r="BD1218" s="436"/>
      <c r="BE1218" s="465"/>
      <c r="BF1218" s="436"/>
      <c r="BG1218" s="436"/>
      <c r="BH1218" s="661"/>
      <c r="BI1218" s="465">
        <f>BI1217/BI1216</f>
        <v>1</v>
      </c>
      <c r="BJ1218" s="465">
        <f>BJ1217/BJ1216</f>
        <v>1</v>
      </c>
      <c r="BK1218" s="661"/>
      <c r="BL1218" s="465">
        <f>BL1217/BL1216</f>
        <v>1</v>
      </c>
      <c r="BM1218" s="465">
        <f>BM1217/BM1216</f>
        <v>1</v>
      </c>
      <c r="BN1218" s="465">
        <f>BN1217/BN1216</f>
        <v>1</v>
      </c>
      <c r="BO1218" s="437"/>
      <c r="BP1218" s="465">
        <f>BP1217/BP1216</f>
        <v>1</v>
      </c>
      <c r="BQ1218" s="465">
        <f>BQ1217/BQ1216</f>
        <v>1</v>
      </c>
      <c r="BR1218" s="465">
        <f>BR1217/BR1216</f>
        <v>1</v>
      </c>
      <c r="BS1218" s="661"/>
      <c r="BT1218" s="465">
        <f>BT1217/BT1216</f>
        <v>1</v>
      </c>
      <c r="BU1218" s="465">
        <f>BU1217/BU1216</f>
        <v>1.0381508078994615</v>
      </c>
      <c r="BV1218" s="465">
        <f>BV1217/BV1216</f>
        <v>1.0381508078994615</v>
      </c>
      <c r="BW1218" s="661"/>
      <c r="BX1218" s="465">
        <f>BX1217/BX1216</f>
        <v>1.1091196626251978</v>
      </c>
      <c r="BY1218" s="465">
        <f>BY1217/BY1216</f>
        <v>1.108583247156153</v>
      </c>
      <c r="BZ1218" s="465">
        <f>BZ1217/BZ1216</f>
        <v>1.108583247156153</v>
      </c>
      <c r="CA1218" s="661"/>
      <c r="CB1218" s="465">
        <f>CB1217/CB1216</f>
        <v>1.220464135021097</v>
      </c>
      <c r="CC1218" s="465">
        <f>CC1217/CC1216</f>
        <v>1.1676745464540956</v>
      </c>
      <c r="CD1218" s="465">
        <f>CD1217/CD1216</f>
        <v>1.1676745464540956</v>
      </c>
      <c r="CE1218" s="661"/>
      <c r="CF1218" s="465">
        <f>CF1217/CF1216</f>
        <v>1.1829405162738496</v>
      </c>
      <c r="CG1218" s="465">
        <f>CG1217/CG1216</f>
        <v>1.1758177570093458</v>
      </c>
      <c r="CH1218" s="465">
        <f>CH1217/CH1216</f>
        <v>1.1758177570093458</v>
      </c>
      <c r="CI1218" s="661"/>
      <c r="CJ1218" s="465">
        <f>CJ1217/CJ1216</f>
        <v>1.1741889985895628</v>
      </c>
      <c r="CK1218" s="465">
        <f>CK1217/CK1216</f>
        <v>1.1890432098765431</v>
      </c>
      <c r="CL1218" s="465">
        <f>CL1217/CL1216</f>
        <v>1.1890432098765431</v>
      </c>
      <c r="CM1218" s="661"/>
      <c r="CN1218" s="465">
        <f>CN1217/CN1216</f>
        <v>1.1836581709145426</v>
      </c>
      <c r="CO1218" s="465">
        <f>CO1217/CO1216</f>
        <v>1.1002102312543798</v>
      </c>
      <c r="CP1218" s="465">
        <f>CP1217/CP1216</f>
        <v>1.1002102312543798</v>
      </c>
      <c r="CQ1218" s="661"/>
      <c r="CR1218" s="465">
        <f>CR1217/CR1216</f>
        <v>1.0864353312302839</v>
      </c>
      <c r="CS1218" s="465">
        <f>CS1217/CS1216</f>
        <v>1.098651525904897</v>
      </c>
      <c r="CT1218" s="465">
        <f>CT1217/CT1216</f>
        <v>1.098651525904897</v>
      </c>
      <c r="CU1218" s="661"/>
      <c r="CV1218" s="465">
        <f>CV1217/CV1216</f>
        <v>1.0846013390139988</v>
      </c>
      <c r="CW1218" s="465">
        <f>CW1217/CW1216</f>
        <v>1.0679916317991631</v>
      </c>
      <c r="CX1218" s="465">
        <f>CX1217/CX1216</f>
        <v>1.0679916317991631</v>
      </c>
      <c r="CY1218" s="661"/>
      <c r="CZ1218" s="465">
        <f>CZ1217/CZ1216</f>
        <v>1.0638820638820639</v>
      </c>
      <c r="DA1218" s="465">
        <f>DA1217/DA1216</f>
        <v>1.0610615312353218</v>
      </c>
      <c r="DB1218" s="465">
        <f>DB1217/DB1216</f>
        <v>1.0610615312353218</v>
      </c>
      <c r="DC1218" s="661"/>
      <c r="DD1218" s="465">
        <f>DD1217/DD1216</f>
        <v>1.0565874730021598</v>
      </c>
      <c r="DE1218" s="465">
        <f>DE1217/DE1216</f>
        <v>1.0498657460682776</v>
      </c>
      <c r="DF1218" s="465">
        <f>DF1217/DF1216</f>
        <v>1.0498657460682776</v>
      </c>
      <c r="DG1218" s="661"/>
      <c r="DH1218" s="465">
        <f>DH1217/DH1216</f>
        <v>1.045774647887324</v>
      </c>
      <c r="DI1218" s="482">
        <f>DH1218</f>
        <v>1.045774647887324</v>
      </c>
      <c r="DJ1218" s="465">
        <f>DJ1217/DJ1216</f>
        <v>1.045774647887324</v>
      </c>
      <c r="DK1218" s="661"/>
      <c r="DL1218" s="482">
        <f>DI1218</f>
        <v>1.045774647887324</v>
      </c>
      <c r="DM1218" s="482">
        <f>DL1218</f>
        <v>1.045774647887324</v>
      </c>
      <c r="DN1218" s="465">
        <f>DN1217/DN1216</f>
        <v>1.045774647887324</v>
      </c>
      <c r="DO1218" s="661"/>
      <c r="DP1218" s="482">
        <f>DM1218</f>
        <v>1.045774647887324</v>
      </c>
      <c r="DQ1218" s="482">
        <f>DP1218</f>
        <v>1.045774647887324</v>
      </c>
      <c r="DR1218" s="465">
        <f>DR1217/DR1216</f>
        <v>1.0457746478873238</v>
      </c>
      <c r="DS1218" s="661"/>
      <c r="DT1218" s="1"/>
      <c r="DU1218" s="1"/>
      <c r="DV1218" s="1"/>
      <c r="DW1218" s="1"/>
      <c r="DX1218" s="1"/>
      <c r="DY1218" s="1"/>
      <c r="DZ1218" s="1"/>
      <c r="EA1218" s="1"/>
      <c r="EB1218" s="1"/>
      <c r="EC1218" s="1"/>
      <c r="ED1218" s="1"/>
      <c r="EE1218" s="1"/>
      <c r="EF1218" s="1"/>
      <c r="EG1218" s="1"/>
      <c r="EH1218" s="1"/>
      <c r="EI1218" s="1"/>
      <c r="EJ1218" s="1"/>
      <c r="EK1218" s="1"/>
      <c r="EL1218" s="1"/>
      <c r="EM1218" s="1"/>
      <c r="EN1218" s="1"/>
      <c r="EO1218" s="1"/>
      <c r="EP1218" s="1"/>
      <c r="EQ1218" s="1"/>
      <c r="ER1218" s="1"/>
      <c r="ES1218" s="1"/>
      <c r="ET1218" s="1"/>
      <c r="EU1218" s="1"/>
      <c r="EV1218" s="1"/>
      <c r="EW1218" s="1"/>
      <c r="EX1218" s="1"/>
      <c r="EY1218" s="1"/>
      <c r="EZ1218" s="1"/>
      <c r="FA1218" s="1"/>
      <c r="FB1218" s="1"/>
      <c r="FC1218" s="1"/>
      <c r="FD1218" s="1"/>
      <c r="FE1218" s="1"/>
      <c r="FF1218" s="1"/>
      <c r="FG1218" s="1"/>
      <c r="FH1218" s="1"/>
      <c r="FI1218" s="1"/>
      <c r="FJ1218" s="1"/>
      <c r="FK1218" s="1"/>
      <c r="FL1218" s="1"/>
      <c r="FM1218" s="1"/>
      <c r="FN1218" s="1"/>
      <c r="FO1218" s="1"/>
      <c r="FP1218" s="1"/>
      <c r="FQ1218" s="1"/>
      <c r="FR1218" s="1"/>
      <c r="FS1218" s="1"/>
      <c r="FT1218" s="1"/>
      <c r="FU1218" s="1"/>
      <c r="FV1218" s="1"/>
      <c r="FW1218" s="1"/>
      <c r="FX1218" s="1"/>
      <c r="FY1218" s="1"/>
      <c r="FZ1218" s="1"/>
      <c r="GA1218" s="1"/>
      <c r="GB1218" s="1"/>
      <c r="GC1218" s="1"/>
      <c r="GD1218" s="1"/>
      <c r="GE1218" s="1"/>
      <c r="GF1218" s="1"/>
      <c r="GG1218" s="1"/>
      <c r="GH1218" s="1"/>
      <c r="GI1218" s="1"/>
      <c r="GJ1218" s="1"/>
      <c r="GK1218" s="1"/>
      <c r="GL1218" s="1"/>
      <c r="GM1218" s="1"/>
      <c r="GN1218" s="1"/>
      <c r="GO1218" s="1"/>
      <c r="GP1218" s="1"/>
      <c r="GQ1218" s="1"/>
      <c r="GR1218" s="1"/>
      <c r="GS1218" s="1"/>
      <c r="GT1218" s="1"/>
      <c r="GU1218" s="1"/>
      <c r="GV1218" s="1"/>
      <c r="GW1218" s="1"/>
      <c r="GX1218" s="1"/>
      <c r="GY1218" s="1"/>
      <c r="GZ1218" s="1"/>
      <c r="HA1218" s="1"/>
      <c r="HB1218" s="1"/>
      <c r="HC1218" s="1"/>
      <c r="HD1218" s="1"/>
      <c r="HE1218" s="1"/>
      <c r="HF1218" s="1"/>
      <c r="HG1218" s="1"/>
      <c r="HH1218" s="1"/>
      <c r="HI1218" s="1"/>
      <c r="HJ1218" s="1"/>
      <c r="HK1218" s="1"/>
      <c r="HL1218" s="1"/>
      <c r="HM1218" s="1"/>
      <c r="HN1218" s="1"/>
      <c r="HO1218" s="1"/>
      <c r="HP1218" s="1"/>
      <c r="HQ1218" s="1"/>
      <c r="HR1218" s="1"/>
      <c r="HS1218" s="1"/>
      <c r="HT1218" s="1"/>
      <c r="HU1218" s="1"/>
      <c r="HV1218" s="1"/>
      <c r="HW1218" s="1"/>
      <c r="HX1218" s="1"/>
      <c r="HY1218" s="1"/>
      <c r="HZ1218" s="1"/>
      <c r="IA1218" s="1"/>
      <c r="IB1218" s="1"/>
      <c r="IC1218" s="1"/>
      <c r="ID1218" s="1"/>
      <c r="IE1218" s="1"/>
      <c r="IF1218" s="1"/>
      <c r="IG1218" s="1"/>
      <c r="IH1218" s="1"/>
      <c r="II1218" s="1"/>
      <c r="IJ1218" s="1"/>
      <c r="IK1218" s="1"/>
      <c r="IL1218" s="1"/>
      <c r="IM1218" s="1"/>
      <c r="IN1218" s="1"/>
      <c r="IO1218" s="1"/>
      <c r="IP1218" s="1"/>
      <c r="IQ1218" s="1"/>
      <c r="IR1218" s="1"/>
      <c r="IS1218" s="1"/>
      <c r="IT1218" s="1"/>
      <c r="IU1218" s="1"/>
      <c r="IV1218" s="1"/>
      <c r="IW1218" s="1"/>
      <c r="IX1218" s="1"/>
      <c r="IY1218" s="1"/>
      <c r="IZ1218" s="1"/>
      <c r="JA1218" s="1"/>
      <c r="JB1218" s="1"/>
      <c r="JC1218" s="1"/>
      <c r="JD1218" s="1"/>
    </row>
    <row r="1219" spans="1:264" s="347" customFormat="1" x14ac:dyDescent="0.2">
      <c r="A1219" s="411"/>
      <c r="B1219" s="348"/>
      <c r="BE1219" s="351"/>
      <c r="BH1219" s="351"/>
      <c r="BI1219" s="351"/>
      <c r="BJ1219" s="351"/>
      <c r="BK1219" s="351"/>
      <c r="BL1219" s="351"/>
      <c r="BM1219" s="351"/>
      <c r="BN1219" s="351"/>
      <c r="BO1219" s="351"/>
      <c r="BP1219" s="351"/>
      <c r="BQ1219" s="351"/>
      <c r="BR1219" s="351"/>
      <c r="BS1219" s="351"/>
      <c r="BT1219" s="351"/>
      <c r="BU1219" s="351"/>
      <c r="BV1219" s="351"/>
      <c r="BW1219" s="351"/>
      <c r="BX1219" s="351"/>
      <c r="BY1219" s="351"/>
      <c r="BZ1219" s="351"/>
      <c r="CA1219" s="351"/>
      <c r="CB1219" s="351"/>
      <c r="CC1219" s="351"/>
      <c r="CD1219" s="351"/>
      <c r="CE1219" s="351"/>
      <c r="CF1219" s="351"/>
      <c r="CG1219" s="351"/>
      <c r="CH1219" s="351"/>
      <c r="CI1219" s="351"/>
      <c r="CJ1219" s="351"/>
      <c r="CK1219" s="351"/>
      <c r="CL1219" s="351"/>
      <c r="CM1219" s="351"/>
      <c r="CN1219" s="351"/>
      <c r="CO1219" s="351"/>
      <c r="CP1219" s="351"/>
      <c r="CQ1219" s="351"/>
      <c r="CR1219" s="351"/>
      <c r="CS1219" s="351"/>
      <c r="CT1219" s="351"/>
      <c r="CU1219" s="351"/>
      <c r="CV1219" s="351"/>
      <c r="CW1219" s="351"/>
      <c r="CX1219" s="351"/>
      <c r="CY1219" s="351"/>
      <c r="CZ1219" s="351"/>
      <c r="DA1219" s="351"/>
      <c r="DB1219" s="351"/>
      <c r="DC1219" s="351"/>
      <c r="DD1219" s="351"/>
      <c r="DE1219" s="351"/>
      <c r="DF1219" s="351"/>
      <c r="DG1219" s="351"/>
      <c r="DH1219" s="351"/>
      <c r="DI1219" s="351"/>
      <c r="DJ1219" s="351"/>
      <c r="DK1219" s="351"/>
      <c r="DL1219" s="351"/>
      <c r="DM1219" s="351"/>
      <c r="DN1219" s="351"/>
      <c r="DO1219" s="351"/>
      <c r="DP1219" s="351"/>
      <c r="DQ1219" s="351"/>
      <c r="DR1219" s="351"/>
      <c r="DS1219" s="351"/>
      <c r="DT1219" s="1"/>
      <c r="DU1219" s="1"/>
      <c r="DV1219" s="1"/>
      <c r="DW1219" s="1"/>
      <c r="DX1219" s="1"/>
      <c r="DY1219" s="1"/>
      <c r="DZ1219" s="1"/>
      <c r="EA1219" s="1"/>
      <c r="EB1219" s="1"/>
      <c r="EC1219" s="1"/>
      <c r="ED1219" s="1"/>
      <c r="EE1219" s="1"/>
      <c r="EF1219" s="1"/>
      <c r="EG1219" s="1"/>
      <c r="EH1219" s="1"/>
      <c r="EI1219" s="1"/>
      <c r="EJ1219" s="1"/>
      <c r="EK1219" s="1"/>
      <c r="EL1219" s="1"/>
      <c r="EM1219" s="1"/>
      <c r="EN1219" s="1"/>
      <c r="EO1219" s="1"/>
      <c r="EP1219" s="1"/>
      <c r="EQ1219" s="1"/>
      <c r="ER1219" s="1"/>
      <c r="ES1219" s="1"/>
      <c r="ET1219" s="1"/>
      <c r="EU1219" s="1"/>
      <c r="EV1219" s="1"/>
      <c r="EW1219" s="1"/>
      <c r="EX1219" s="1"/>
      <c r="EY1219" s="1"/>
      <c r="EZ1219" s="1"/>
      <c r="FA1219" s="1"/>
      <c r="FB1219" s="1"/>
      <c r="FC1219" s="1"/>
      <c r="FD1219" s="1"/>
      <c r="FE1219" s="1"/>
      <c r="FF1219" s="1"/>
      <c r="FG1219" s="1"/>
      <c r="FH1219" s="1"/>
      <c r="FI1219" s="1"/>
      <c r="FJ1219" s="1"/>
      <c r="FK1219" s="1"/>
      <c r="FL1219" s="1"/>
      <c r="FM1219" s="1"/>
      <c r="FN1219" s="1"/>
      <c r="FO1219" s="1"/>
      <c r="FP1219" s="1"/>
      <c r="FQ1219" s="1"/>
      <c r="FR1219" s="1"/>
      <c r="FS1219" s="1"/>
      <c r="FT1219" s="1"/>
      <c r="FU1219" s="1"/>
      <c r="FV1219" s="1"/>
      <c r="FW1219" s="1"/>
      <c r="FX1219" s="1"/>
      <c r="FY1219" s="1"/>
      <c r="FZ1219" s="1"/>
      <c r="GA1219" s="1"/>
      <c r="GB1219" s="1"/>
      <c r="GC1219" s="1"/>
      <c r="GD1219" s="1"/>
      <c r="GE1219" s="1"/>
      <c r="GF1219" s="1"/>
      <c r="GG1219" s="1"/>
      <c r="GH1219" s="1"/>
      <c r="GI1219" s="1"/>
      <c r="GJ1219" s="1"/>
      <c r="GK1219" s="1"/>
      <c r="GL1219" s="1"/>
      <c r="GM1219" s="1"/>
      <c r="GN1219" s="1"/>
      <c r="GO1219" s="1"/>
      <c r="GP1219" s="1"/>
      <c r="GQ1219" s="1"/>
      <c r="GR1219" s="1"/>
      <c r="GS1219" s="1"/>
      <c r="GT1219" s="1"/>
      <c r="GU1219" s="1"/>
      <c r="GV1219" s="1"/>
      <c r="GW1219" s="1"/>
      <c r="GX1219" s="1"/>
      <c r="GY1219" s="1"/>
      <c r="GZ1219" s="1"/>
      <c r="HA1219" s="1"/>
      <c r="HB1219" s="1"/>
      <c r="HC1219" s="1"/>
      <c r="HD1219" s="1"/>
      <c r="HE1219" s="1"/>
      <c r="HF1219" s="1"/>
      <c r="HG1219" s="1"/>
      <c r="HH1219" s="1"/>
      <c r="HI1219" s="1"/>
      <c r="HJ1219" s="1"/>
      <c r="HK1219" s="1"/>
      <c r="HL1219" s="1"/>
      <c r="HM1219" s="1"/>
      <c r="HN1219" s="1"/>
      <c r="HO1219" s="1"/>
      <c r="HP1219" s="1"/>
      <c r="HQ1219" s="1"/>
      <c r="HR1219" s="1"/>
      <c r="HS1219" s="1"/>
      <c r="HT1219" s="1"/>
      <c r="HU1219" s="1"/>
      <c r="HV1219" s="1"/>
      <c r="HW1219" s="1"/>
      <c r="HX1219" s="1"/>
      <c r="HY1219" s="1"/>
      <c r="HZ1219" s="1"/>
      <c r="IA1219" s="1"/>
      <c r="IB1219" s="1"/>
      <c r="IC1219" s="1"/>
      <c r="ID1219" s="1"/>
      <c r="IE1219" s="1"/>
      <c r="IF1219" s="1"/>
      <c r="IG1219" s="1"/>
      <c r="IH1219" s="1"/>
      <c r="II1219" s="1"/>
      <c r="IJ1219" s="1"/>
      <c r="IK1219" s="1"/>
      <c r="IL1219" s="1"/>
      <c r="IM1219" s="1"/>
      <c r="IN1219" s="1"/>
      <c r="IO1219" s="1"/>
      <c r="IP1219" s="1"/>
      <c r="IQ1219" s="1"/>
      <c r="IR1219" s="1"/>
      <c r="IS1219" s="1"/>
      <c r="IT1219" s="1"/>
      <c r="IU1219" s="1"/>
      <c r="IV1219" s="1"/>
      <c r="IW1219" s="1"/>
      <c r="IX1219" s="1"/>
      <c r="IY1219" s="1"/>
      <c r="IZ1219" s="1"/>
      <c r="JA1219" s="1"/>
      <c r="JB1219" s="1"/>
      <c r="JC1219" s="1"/>
      <c r="JD1219" s="1"/>
    </row>
    <row r="1220" spans="1:264" s="347" customFormat="1" x14ac:dyDescent="0.2">
      <c r="A1220" s="347" t="s">
        <v>821</v>
      </c>
      <c r="B1220" s="348"/>
      <c r="BE1220" s="351"/>
      <c r="BH1220" s="351"/>
      <c r="BI1220" s="351">
        <f>+BI421-BI1206-BI1216</f>
        <v>777</v>
      </c>
      <c r="BJ1220" s="351">
        <f>+BJ421-BJ1206-BJ1216</f>
        <v>777</v>
      </c>
      <c r="BK1220" s="351"/>
      <c r="BL1220" s="351">
        <f>+BL421-BL1206-BL1216</f>
        <v>425</v>
      </c>
      <c r="BM1220" s="351">
        <f>+BM421-BM1206-BM1216</f>
        <v>372</v>
      </c>
      <c r="BN1220" s="351">
        <f>+BN421-BN1206-BN1216</f>
        <v>372</v>
      </c>
      <c r="BO1220" s="351"/>
      <c r="BP1220" s="351">
        <f>+BP421-BP1206-BP1216</f>
        <v>326</v>
      </c>
      <c r="BQ1220" s="351">
        <f>+BQ421-BQ1206-BQ1216</f>
        <v>282</v>
      </c>
      <c r="BR1220" s="351">
        <f>+BR421-BR1206-BR1216</f>
        <v>282</v>
      </c>
      <c r="BS1220" s="351"/>
      <c r="BT1220" s="351">
        <f>+BT421-BT1206-BT1216</f>
        <v>238</v>
      </c>
      <c r="BU1220" s="351">
        <f>+BU421-BU1206-BU1216</f>
        <v>231</v>
      </c>
      <c r="BV1220" s="351">
        <f>+BV421-BV1206-BV1216</f>
        <v>231</v>
      </c>
      <c r="BW1220" s="351"/>
      <c r="BX1220" s="351">
        <f>+BX421-BX1206-BX1216</f>
        <v>223</v>
      </c>
      <c r="BY1220" s="351">
        <f>+BY421-BY1206-BY1216</f>
        <v>218</v>
      </c>
      <c r="BZ1220" s="351">
        <f>+BZ421-BZ1206-BZ1216</f>
        <v>218</v>
      </c>
      <c r="CA1220" s="351"/>
      <c r="CB1220" s="351">
        <f>+CB421-CB1206-CB1216</f>
        <v>376</v>
      </c>
      <c r="CC1220" s="351">
        <f>+CC421-CC1206-CC1216</f>
        <v>330</v>
      </c>
      <c r="CD1220" s="351">
        <f>+CD421-CD1206-CD1216</f>
        <v>330</v>
      </c>
      <c r="CE1220" s="351"/>
      <c r="CF1220" s="351">
        <f>+CF421-CF1206-CF1216</f>
        <v>357</v>
      </c>
      <c r="CG1220" s="351">
        <f>+CG421-CG1206-CG1216</f>
        <v>279</v>
      </c>
      <c r="CH1220" s="351">
        <f>+CH421-CH1206-CH1216</f>
        <v>279</v>
      </c>
      <c r="CI1220" s="351"/>
      <c r="CJ1220" s="351">
        <f>+CJ421-CJ1206-CJ1216</f>
        <v>314</v>
      </c>
      <c r="CK1220" s="351">
        <f>+CK421-CK1206-CK1216</f>
        <v>311</v>
      </c>
      <c r="CL1220" s="351">
        <f>+CL421-CL1206-CL1216</f>
        <v>311</v>
      </c>
      <c r="CM1220" s="351"/>
      <c r="CN1220" s="351">
        <f>+CN421-CN1206-CN1216</f>
        <v>277</v>
      </c>
      <c r="CO1220" s="351">
        <f>+CO421-CO1206-CO1216</f>
        <v>198</v>
      </c>
      <c r="CP1220" s="351">
        <f>+CP421-CP1206-CP1216</f>
        <v>198</v>
      </c>
      <c r="CQ1220" s="351"/>
      <c r="CR1220" s="351">
        <f>+CR421-CR1206-CR1216</f>
        <v>193</v>
      </c>
      <c r="CS1220" s="351">
        <f>+CS421-CS1206-CS1216</f>
        <v>195</v>
      </c>
      <c r="CT1220" s="351">
        <f>+CT421-CT1206-CT1216</f>
        <v>195</v>
      </c>
      <c r="CU1220" s="351"/>
      <c r="CV1220" s="351">
        <f>+CV421-CV1206-CV1216</f>
        <v>194</v>
      </c>
      <c r="CW1220" s="351">
        <f>+CW421-CW1206-CW1216</f>
        <v>186</v>
      </c>
      <c r="CX1220" s="351">
        <f>+CX421-CX1206-CX1216</f>
        <v>186</v>
      </c>
      <c r="CY1220" s="351"/>
      <c r="CZ1220" s="351">
        <f>+CZ421-CZ1206-CZ1216</f>
        <v>186</v>
      </c>
      <c r="DA1220" s="351">
        <f>+DA421-DA1206-DA1216</f>
        <v>186</v>
      </c>
      <c r="DB1220" s="351">
        <f>+DB421-DB1206-DB1216</f>
        <v>186</v>
      </c>
      <c r="DC1220" s="351"/>
      <c r="DD1220" s="351">
        <f>+DD421-DD1206-DD1216</f>
        <v>186</v>
      </c>
      <c r="DE1220" s="351">
        <f>+DE421-DE1206-DE1216</f>
        <v>186</v>
      </c>
      <c r="DF1220" s="351">
        <f>+DF421-DF1206-DF1216</f>
        <v>186</v>
      </c>
      <c r="DG1220" s="351"/>
      <c r="DH1220" s="351">
        <f>+DH421-DH1206-DH1216</f>
        <v>186</v>
      </c>
      <c r="DI1220" s="351">
        <f>+DI421-DI1206-DI1216</f>
        <v>186.00000000000091</v>
      </c>
      <c r="DJ1220" s="351">
        <f>+DJ421-DJ1206-DJ1216</f>
        <v>186.00000000000091</v>
      </c>
      <c r="DK1220" s="351"/>
      <c r="DL1220" s="351">
        <f>+DL421-DL1206-DL1216</f>
        <v>186</v>
      </c>
      <c r="DM1220" s="351">
        <f>+DM421-DM1206-DM1216</f>
        <v>186</v>
      </c>
      <c r="DN1220" s="351">
        <f>+DN421-DN1206-DN1216</f>
        <v>186</v>
      </c>
      <c r="DO1220" s="351"/>
      <c r="DP1220" s="351">
        <f>+DP421-DP1206-DP1216</f>
        <v>186.00000000000045</v>
      </c>
      <c r="DQ1220" s="351">
        <f>+DQ421-DQ1206-DQ1216</f>
        <v>186</v>
      </c>
      <c r="DR1220" s="351">
        <f>+DR421-DR1206-DR1216</f>
        <v>185.99999999999955</v>
      </c>
      <c r="DS1220" s="351"/>
      <c r="DT1220" s="1"/>
      <c r="DU1220" s="1"/>
      <c r="DV1220" s="1"/>
      <c r="DW1220" s="1"/>
      <c r="DX1220" s="1"/>
      <c r="DY1220" s="1"/>
      <c r="DZ1220" s="1"/>
      <c r="EA1220" s="1"/>
      <c r="EB1220" s="1"/>
      <c r="EC1220" s="1"/>
      <c r="ED1220" s="1"/>
      <c r="EE1220" s="1"/>
      <c r="EF1220" s="1"/>
      <c r="EG1220" s="1"/>
      <c r="EH1220" s="1"/>
      <c r="EI1220" s="1"/>
      <c r="EJ1220" s="1"/>
      <c r="EK1220" s="1"/>
      <c r="EL1220" s="1"/>
      <c r="EM1220" s="1"/>
      <c r="EN1220" s="1"/>
      <c r="EO1220" s="1"/>
      <c r="EP1220" s="1"/>
      <c r="EQ1220" s="1"/>
      <c r="ER1220" s="1"/>
      <c r="ES1220" s="1"/>
      <c r="ET1220" s="1"/>
      <c r="EU1220" s="1"/>
      <c r="EV1220" s="1"/>
      <c r="EW1220" s="1"/>
      <c r="EX1220" s="1"/>
      <c r="EY1220" s="1"/>
      <c r="EZ1220" s="1"/>
      <c r="FA1220" s="1"/>
      <c r="FB1220" s="1"/>
      <c r="FC1220" s="1"/>
      <c r="FD1220" s="1"/>
      <c r="FE1220" s="1"/>
      <c r="FF1220" s="1"/>
      <c r="FG1220" s="1"/>
      <c r="FH1220" s="1"/>
      <c r="FI1220" s="1"/>
      <c r="FJ1220" s="1"/>
      <c r="FK1220" s="1"/>
      <c r="FL1220" s="1"/>
      <c r="FM1220" s="1"/>
      <c r="FN1220" s="1"/>
      <c r="FO1220" s="1"/>
      <c r="FP1220" s="1"/>
      <c r="FQ1220" s="1"/>
      <c r="FR1220" s="1"/>
      <c r="FS1220" s="1"/>
      <c r="FT1220" s="1"/>
      <c r="FU1220" s="1"/>
      <c r="FV1220" s="1"/>
      <c r="FW1220" s="1"/>
      <c r="FX1220" s="1"/>
      <c r="FY1220" s="1"/>
      <c r="FZ1220" s="1"/>
      <c r="GA1220" s="1"/>
      <c r="GB1220" s="1"/>
      <c r="GC1220" s="1"/>
      <c r="GD1220" s="1"/>
      <c r="GE1220" s="1"/>
      <c r="GF1220" s="1"/>
      <c r="GG1220" s="1"/>
      <c r="GH1220" s="1"/>
      <c r="GI1220" s="1"/>
      <c r="GJ1220" s="1"/>
      <c r="GK1220" s="1"/>
      <c r="GL1220" s="1"/>
      <c r="GM1220" s="1"/>
      <c r="GN1220" s="1"/>
      <c r="GO1220" s="1"/>
      <c r="GP1220" s="1"/>
      <c r="GQ1220" s="1"/>
      <c r="GR1220" s="1"/>
      <c r="GS1220" s="1"/>
      <c r="GT1220" s="1"/>
      <c r="GU1220" s="1"/>
      <c r="GV1220" s="1"/>
      <c r="GW1220" s="1"/>
      <c r="GX1220" s="1"/>
      <c r="GY1220" s="1"/>
      <c r="GZ1220" s="1"/>
      <c r="HA1220" s="1"/>
      <c r="HB1220" s="1"/>
      <c r="HC1220" s="1"/>
      <c r="HD1220" s="1"/>
      <c r="HE1220" s="1"/>
      <c r="HF1220" s="1"/>
      <c r="HG1220" s="1"/>
      <c r="HH1220" s="1"/>
      <c r="HI1220" s="1"/>
      <c r="HJ1220" s="1"/>
      <c r="HK1220" s="1"/>
      <c r="HL1220" s="1"/>
      <c r="HM1220" s="1"/>
      <c r="HN1220" s="1"/>
      <c r="HO1220" s="1"/>
      <c r="HP1220" s="1"/>
      <c r="HQ1220" s="1"/>
      <c r="HR1220" s="1"/>
      <c r="HS1220" s="1"/>
      <c r="HT1220" s="1"/>
      <c r="HU1220" s="1"/>
      <c r="HV1220" s="1"/>
      <c r="HW1220" s="1"/>
      <c r="HX1220" s="1"/>
      <c r="HY1220" s="1"/>
      <c r="HZ1220" s="1"/>
      <c r="IA1220" s="1"/>
      <c r="IB1220" s="1"/>
      <c r="IC1220" s="1"/>
      <c r="ID1220" s="1"/>
      <c r="IE1220" s="1"/>
      <c r="IF1220" s="1"/>
      <c r="IG1220" s="1"/>
      <c r="IH1220" s="1"/>
      <c r="II1220" s="1"/>
      <c r="IJ1220" s="1"/>
      <c r="IK1220" s="1"/>
      <c r="IL1220" s="1"/>
      <c r="IM1220" s="1"/>
      <c r="IN1220" s="1"/>
      <c r="IO1220" s="1"/>
      <c r="IP1220" s="1"/>
      <c r="IQ1220" s="1"/>
      <c r="IR1220" s="1"/>
      <c r="IS1220" s="1"/>
      <c r="IT1220" s="1"/>
      <c r="IU1220" s="1"/>
      <c r="IV1220" s="1"/>
      <c r="IW1220" s="1"/>
      <c r="IX1220" s="1"/>
      <c r="IY1220" s="1"/>
      <c r="IZ1220" s="1"/>
      <c r="JA1220" s="1"/>
      <c r="JB1220" s="1"/>
      <c r="JC1220" s="1"/>
      <c r="JD1220" s="1"/>
    </row>
    <row r="1221" spans="1:264" s="347" customFormat="1" x14ac:dyDescent="0.2">
      <c r="A1221" s="347" t="s">
        <v>820</v>
      </c>
      <c r="B1221" s="348"/>
      <c r="BE1221" s="351"/>
      <c r="BH1221" s="351"/>
      <c r="BI1221" s="351">
        <f>-BI1187</f>
        <v>682</v>
      </c>
      <c r="BJ1221" s="351">
        <f>-BJ1187</f>
        <v>682</v>
      </c>
      <c r="BK1221" s="351"/>
      <c r="BL1221" s="351">
        <f>-BL1187</f>
        <v>644</v>
      </c>
      <c r="BM1221" s="351">
        <f>-BM1187</f>
        <v>295</v>
      </c>
      <c r="BN1221" s="351">
        <f>-BN1187</f>
        <v>295</v>
      </c>
      <c r="BO1221" s="351"/>
      <c r="BP1221" s="351">
        <f>-BP1187</f>
        <v>225</v>
      </c>
      <c r="BQ1221" s="351">
        <f>-BQ1187</f>
        <v>164</v>
      </c>
      <c r="BR1221" s="351">
        <f>-BR1187</f>
        <v>164</v>
      </c>
      <c r="BS1221" s="351"/>
      <c r="BT1221" s="351">
        <f>-BT1187</f>
        <v>111</v>
      </c>
      <c r="BU1221" s="351">
        <f>-BU1187</f>
        <v>0</v>
      </c>
      <c r="BV1221" s="351">
        <f>-BV1187</f>
        <v>0</v>
      </c>
      <c r="BW1221" s="351"/>
      <c r="BX1221" s="351">
        <f>-BX1187</f>
        <v>0</v>
      </c>
      <c r="BY1221" s="351">
        <f>-BY1187</f>
        <v>0</v>
      </c>
      <c r="BZ1221" s="351">
        <f>-BZ1187</f>
        <v>0</v>
      </c>
      <c r="CA1221" s="351"/>
      <c r="CB1221" s="351">
        <f>-CB1187</f>
        <v>0</v>
      </c>
      <c r="CC1221" s="351">
        <f>-CC1187</f>
        <v>0</v>
      </c>
      <c r="CD1221" s="351">
        <f>-CD1187</f>
        <v>0</v>
      </c>
      <c r="CE1221" s="351"/>
      <c r="CF1221" s="351">
        <f>-CF1187</f>
        <v>0</v>
      </c>
      <c r="CG1221" s="351">
        <f>-CG1187</f>
        <v>0</v>
      </c>
      <c r="CH1221" s="351">
        <f>-CH1187</f>
        <v>0</v>
      </c>
      <c r="CI1221" s="351"/>
      <c r="CJ1221" s="351">
        <f>-CJ1187</f>
        <v>0</v>
      </c>
      <c r="CK1221" s="351">
        <f>-CK1187</f>
        <v>0</v>
      </c>
      <c r="CL1221" s="351">
        <f>-CL1187</f>
        <v>0</v>
      </c>
      <c r="CM1221" s="351"/>
      <c r="CN1221" s="351">
        <f>-CN1187</f>
        <v>0</v>
      </c>
      <c r="CO1221" s="351">
        <f>-CO1187</f>
        <v>0</v>
      </c>
      <c r="CP1221" s="351">
        <f>-CP1187</f>
        <v>0</v>
      </c>
      <c r="CQ1221" s="351"/>
      <c r="CR1221" s="351">
        <f>-CR1187</f>
        <v>0</v>
      </c>
      <c r="CS1221" s="351">
        <f>-CS1187</f>
        <v>0</v>
      </c>
      <c r="CT1221" s="351">
        <f>-CT1187</f>
        <v>0</v>
      </c>
      <c r="CU1221" s="351"/>
      <c r="CV1221" s="351">
        <f>-CV1187</f>
        <v>0</v>
      </c>
      <c r="CW1221" s="351">
        <f>-CW1187</f>
        <v>0</v>
      </c>
      <c r="CX1221" s="351">
        <f>-CX1187</f>
        <v>0</v>
      </c>
      <c r="CY1221" s="351"/>
      <c r="CZ1221" s="351">
        <f>-CZ1187</f>
        <v>0</v>
      </c>
      <c r="DA1221" s="351">
        <f>-DA1187</f>
        <v>0</v>
      </c>
      <c r="DB1221" s="351">
        <f>-DB1187</f>
        <v>0</v>
      </c>
      <c r="DC1221" s="351"/>
      <c r="DD1221" s="351">
        <f>-DD1187</f>
        <v>0</v>
      </c>
      <c r="DE1221" s="351">
        <f>-DE1187</f>
        <v>0</v>
      </c>
      <c r="DF1221" s="351">
        <f>-DF1187</f>
        <v>0</v>
      </c>
      <c r="DG1221" s="351"/>
      <c r="DH1221" s="351">
        <f>-DH1187</f>
        <v>0</v>
      </c>
      <c r="DI1221" s="351">
        <f>+DI1222*DI1220</f>
        <v>0</v>
      </c>
      <c r="DJ1221" s="351">
        <f>-DJ1187</f>
        <v>0</v>
      </c>
      <c r="DK1221" s="351"/>
      <c r="DL1221" s="351">
        <f>+DL1222*DL1220</f>
        <v>0</v>
      </c>
      <c r="DM1221" s="351">
        <f>+DM1222*DM1220</f>
        <v>0</v>
      </c>
      <c r="DN1221" s="351">
        <f>-DN1187</f>
        <v>0</v>
      </c>
      <c r="DO1221" s="351"/>
      <c r="DP1221" s="351">
        <f>+DP1222*DP1220</f>
        <v>0</v>
      </c>
      <c r="DQ1221" s="351">
        <f>+DQ1222*DQ1220</f>
        <v>0</v>
      </c>
      <c r="DR1221" s="351">
        <f>-DR1187</f>
        <v>0</v>
      </c>
      <c r="DS1221" s="351"/>
      <c r="DT1221" s="1"/>
      <c r="DU1221" s="1"/>
      <c r="DV1221" s="1"/>
      <c r="DW1221" s="1"/>
      <c r="DX1221" s="1"/>
      <c r="DY1221" s="1"/>
      <c r="DZ1221" s="1"/>
      <c r="EA1221" s="1"/>
      <c r="EB1221" s="1"/>
      <c r="EC1221" s="1"/>
      <c r="ED1221" s="1"/>
      <c r="EE1221" s="1"/>
      <c r="EF1221" s="1"/>
      <c r="EG1221" s="1"/>
      <c r="EH1221" s="1"/>
      <c r="EI1221" s="1"/>
      <c r="EJ1221" s="1"/>
      <c r="EK1221" s="1"/>
      <c r="EL1221" s="1"/>
      <c r="EM1221" s="1"/>
      <c r="EN1221" s="1"/>
      <c r="EO1221" s="1"/>
      <c r="EP1221" s="1"/>
      <c r="EQ1221" s="1"/>
      <c r="ER1221" s="1"/>
      <c r="ES1221" s="1"/>
      <c r="ET1221" s="1"/>
      <c r="EU1221" s="1"/>
      <c r="EV1221" s="1"/>
      <c r="EW1221" s="1"/>
      <c r="EX1221" s="1"/>
      <c r="EY1221" s="1"/>
      <c r="EZ1221" s="1"/>
      <c r="FA1221" s="1"/>
      <c r="FB1221" s="1"/>
      <c r="FC1221" s="1"/>
      <c r="FD1221" s="1"/>
      <c r="FE1221" s="1"/>
      <c r="FF1221" s="1"/>
      <c r="FG1221" s="1"/>
      <c r="FH1221" s="1"/>
      <c r="FI1221" s="1"/>
      <c r="FJ1221" s="1"/>
      <c r="FK1221" s="1"/>
      <c r="FL1221" s="1"/>
      <c r="FM1221" s="1"/>
      <c r="FN1221" s="1"/>
      <c r="FO1221" s="1"/>
      <c r="FP1221" s="1"/>
      <c r="FQ1221" s="1"/>
      <c r="FR1221" s="1"/>
      <c r="FS1221" s="1"/>
      <c r="FT1221" s="1"/>
      <c r="FU1221" s="1"/>
      <c r="FV1221" s="1"/>
      <c r="FW1221" s="1"/>
      <c r="FX1221" s="1"/>
      <c r="FY1221" s="1"/>
      <c r="FZ1221" s="1"/>
      <c r="GA1221" s="1"/>
      <c r="GB1221" s="1"/>
      <c r="GC1221" s="1"/>
      <c r="GD1221" s="1"/>
      <c r="GE1221" s="1"/>
      <c r="GF1221" s="1"/>
      <c r="GG1221" s="1"/>
      <c r="GH1221" s="1"/>
      <c r="GI1221" s="1"/>
      <c r="GJ1221" s="1"/>
      <c r="GK1221" s="1"/>
      <c r="GL1221" s="1"/>
      <c r="GM1221" s="1"/>
      <c r="GN1221" s="1"/>
      <c r="GO1221" s="1"/>
      <c r="GP1221" s="1"/>
      <c r="GQ1221" s="1"/>
      <c r="GR1221" s="1"/>
      <c r="GS1221" s="1"/>
      <c r="GT1221" s="1"/>
      <c r="GU1221" s="1"/>
      <c r="GV1221" s="1"/>
      <c r="GW1221" s="1"/>
      <c r="GX1221" s="1"/>
      <c r="GY1221" s="1"/>
      <c r="GZ1221" s="1"/>
      <c r="HA1221" s="1"/>
      <c r="HB1221" s="1"/>
      <c r="HC1221" s="1"/>
      <c r="HD1221" s="1"/>
      <c r="HE1221" s="1"/>
      <c r="HF1221" s="1"/>
      <c r="HG1221" s="1"/>
      <c r="HH1221" s="1"/>
      <c r="HI1221" s="1"/>
      <c r="HJ1221" s="1"/>
      <c r="HK1221" s="1"/>
      <c r="HL1221" s="1"/>
      <c r="HM1221" s="1"/>
      <c r="HN1221" s="1"/>
      <c r="HO1221" s="1"/>
      <c r="HP1221" s="1"/>
      <c r="HQ1221" s="1"/>
      <c r="HR1221" s="1"/>
      <c r="HS1221" s="1"/>
      <c r="HT1221" s="1"/>
      <c r="HU1221" s="1"/>
      <c r="HV1221" s="1"/>
      <c r="HW1221" s="1"/>
      <c r="HX1221" s="1"/>
      <c r="HY1221" s="1"/>
      <c r="HZ1221" s="1"/>
      <c r="IA1221" s="1"/>
      <c r="IB1221" s="1"/>
      <c r="IC1221" s="1"/>
      <c r="ID1221" s="1"/>
      <c r="IE1221" s="1"/>
      <c r="IF1221" s="1"/>
      <c r="IG1221" s="1"/>
      <c r="IH1221" s="1"/>
      <c r="II1221" s="1"/>
      <c r="IJ1221" s="1"/>
      <c r="IK1221" s="1"/>
      <c r="IL1221" s="1"/>
      <c r="IM1221" s="1"/>
      <c r="IN1221" s="1"/>
      <c r="IO1221" s="1"/>
      <c r="IP1221" s="1"/>
      <c r="IQ1221" s="1"/>
      <c r="IR1221" s="1"/>
      <c r="IS1221" s="1"/>
      <c r="IT1221" s="1"/>
      <c r="IU1221" s="1"/>
      <c r="IV1221" s="1"/>
      <c r="IW1221" s="1"/>
      <c r="IX1221" s="1"/>
      <c r="IY1221" s="1"/>
      <c r="IZ1221" s="1"/>
      <c r="JA1221" s="1"/>
      <c r="JB1221" s="1"/>
      <c r="JC1221" s="1"/>
      <c r="JD1221" s="1"/>
    </row>
    <row r="1222" spans="1:264" s="429" customFormat="1" x14ac:dyDescent="0.2">
      <c r="A1222" s="436" t="s">
        <v>334</v>
      </c>
      <c r="B1222" s="437"/>
      <c r="C1222" s="436"/>
      <c r="D1222" s="436"/>
      <c r="E1222" s="436"/>
      <c r="F1222" s="436"/>
      <c r="G1222" s="436"/>
      <c r="H1222" s="436"/>
      <c r="I1222" s="436"/>
      <c r="J1222" s="436"/>
      <c r="K1222" s="436"/>
      <c r="L1222" s="436"/>
      <c r="M1222" s="436"/>
      <c r="N1222" s="436"/>
      <c r="O1222" s="436"/>
      <c r="P1222" s="436"/>
      <c r="Q1222" s="436"/>
      <c r="R1222" s="436"/>
      <c r="S1222" s="436"/>
      <c r="T1222" s="436"/>
      <c r="U1222" s="436"/>
      <c r="V1222" s="436"/>
      <c r="W1222" s="436"/>
      <c r="X1222" s="436"/>
      <c r="Y1222" s="436"/>
      <c r="Z1222" s="436"/>
      <c r="AA1222" s="436"/>
      <c r="AB1222" s="436"/>
      <c r="AC1222" s="436"/>
      <c r="AD1222" s="436"/>
      <c r="AE1222" s="436"/>
      <c r="AF1222" s="436"/>
      <c r="AG1222" s="436"/>
      <c r="AH1222" s="436"/>
      <c r="AI1222" s="436"/>
      <c r="AJ1222" s="436"/>
      <c r="AK1222" s="436"/>
      <c r="AL1222" s="436"/>
      <c r="AM1222" s="436"/>
      <c r="AN1222" s="436"/>
      <c r="AO1222" s="436"/>
      <c r="AP1222" s="436"/>
      <c r="AQ1222" s="436"/>
      <c r="AR1222" s="436"/>
      <c r="AS1222" s="436"/>
      <c r="AT1222" s="436"/>
      <c r="AU1222" s="436"/>
      <c r="AV1222" s="436"/>
      <c r="AW1222" s="436"/>
      <c r="AX1222" s="436"/>
      <c r="AY1222" s="436"/>
      <c r="AZ1222" s="436"/>
      <c r="BA1222" s="436"/>
      <c r="BB1222" s="436"/>
      <c r="BC1222" s="436"/>
      <c r="BD1222" s="436"/>
      <c r="BE1222" s="465"/>
      <c r="BF1222" s="436"/>
      <c r="BG1222" s="436"/>
      <c r="BH1222" s="661"/>
      <c r="BI1222" s="465">
        <f>BI1221/BI1220</f>
        <v>0.87773487773487768</v>
      </c>
      <c r="BJ1222" s="465">
        <f>BJ1221/BJ1220</f>
        <v>0.87773487773487768</v>
      </c>
      <c r="BK1222" s="661"/>
      <c r="BL1222" s="465">
        <f>BL1221/BL1220</f>
        <v>1.5152941176470589</v>
      </c>
      <c r="BM1222" s="465">
        <f>BM1221/BM1220</f>
        <v>0.793010752688172</v>
      </c>
      <c r="BN1222" s="465">
        <f>BN1221/BN1220</f>
        <v>0.793010752688172</v>
      </c>
      <c r="BO1222" s="437"/>
      <c r="BP1222" s="465">
        <f>BP1221/BP1220</f>
        <v>0.69018404907975461</v>
      </c>
      <c r="BQ1222" s="465">
        <f>BQ1221/BQ1220</f>
        <v>0.58156028368794321</v>
      </c>
      <c r="BR1222" s="465">
        <f>BR1221/BR1220</f>
        <v>0.58156028368794321</v>
      </c>
      <c r="BS1222" s="661"/>
      <c r="BT1222" s="465">
        <f>BT1221/BT1220</f>
        <v>0.46638655462184875</v>
      </c>
      <c r="BU1222" s="465">
        <f>BU1221/BU1220</f>
        <v>0</v>
      </c>
      <c r="BV1222" s="465">
        <f>BV1221/BV1220</f>
        <v>0</v>
      </c>
      <c r="BW1222" s="661"/>
      <c r="BX1222" s="465">
        <f>BX1221/BX1220</f>
        <v>0</v>
      </c>
      <c r="BY1222" s="465">
        <f>BY1221/BY1220</f>
        <v>0</v>
      </c>
      <c r="BZ1222" s="465">
        <f>BZ1221/BZ1220</f>
        <v>0</v>
      </c>
      <c r="CA1222" s="661"/>
      <c r="CB1222" s="465">
        <f>CB1221/CB1220</f>
        <v>0</v>
      </c>
      <c r="CC1222" s="465">
        <f>CC1221/CC1220</f>
        <v>0</v>
      </c>
      <c r="CD1222" s="465">
        <f>CD1221/CD1220</f>
        <v>0</v>
      </c>
      <c r="CE1222" s="661"/>
      <c r="CF1222" s="465">
        <f>CF1221/CF1220</f>
        <v>0</v>
      </c>
      <c r="CG1222" s="465">
        <f>CG1221/CG1220</f>
        <v>0</v>
      </c>
      <c r="CH1222" s="465">
        <f>CH1221/CH1220</f>
        <v>0</v>
      </c>
      <c r="CI1222" s="661"/>
      <c r="CJ1222" s="465">
        <f>CJ1221/CJ1220</f>
        <v>0</v>
      </c>
      <c r="CK1222" s="465">
        <f>CK1221/CK1220</f>
        <v>0</v>
      </c>
      <c r="CL1222" s="465">
        <f>CL1221/CL1220</f>
        <v>0</v>
      </c>
      <c r="CM1222" s="661"/>
      <c r="CN1222" s="465">
        <f>CN1221/CN1220</f>
        <v>0</v>
      </c>
      <c r="CO1222" s="465">
        <f>CO1221/CO1220</f>
        <v>0</v>
      </c>
      <c r="CP1222" s="465">
        <f>CP1221/CP1220</f>
        <v>0</v>
      </c>
      <c r="CQ1222" s="661"/>
      <c r="CR1222" s="465">
        <f>CR1221/CR1220</f>
        <v>0</v>
      </c>
      <c r="CS1222" s="465">
        <f>CS1221/CS1220</f>
        <v>0</v>
      </c>
      <c r="CT1222" s="465">
        <f>CT1221/CT1220</f>
        <v>0</v>
      </c>
      <c r="CU1222" s="661"/>
      <c r="CV1222" s="465">
        <f>CV1221/CV1220</f>
        <v>0</v>
      </c>
      <c r="CW1222" s="465">
        <f>CW1221/CW1220</f>
        <v>0</v>
      </c>
      <c r="CX1222" s="465">
        <f>CX1221/CX1220</f>
        <v>0</v>
      </c>
      <c r="CY1222" s="661"/>
      <c r="CZ1222" s="465">
        <f>CZ1221/CZ1220</f>
        <v>0</v>
      </c>
      <c r="DA1222" s="465">
        <f>DA1221/DA1220</f>
        <v>0</v>
      </c>
      <c r="DB1222" s="465">
        <f>DB1221/DB1220</f>
        <v>0</v>
      </c>
      <c r="DC1222" s="661"/>
      <c r="DD1222" s="465">
        <f>DD1221/DD1220</f>
        <v>0</v>
      </c>
      <c r="DE1222" s="465">
        <f>DE1221/DE1220</f>
        <v>0</v>
      </c>
      <c r="DF1222" s="465">
        <f>DF1221/DF1220</f>
        <v>0</v>
      </c>
      <c r="DG1222" s="661"/>
      <c r="DH1222" s="465">
        <f>DH1221/DH1220</f>
        <v>0</v>
      </c>
      <c r="DI1222" s="482">
        <f>DH1222</f>
        <v>0</v>
      </c>
      <c r="DJ1222" s="465">
        <f>DJ1221/DJ1220</f>
        <v>0</v>
      </c>
      <c r="DK1222" s="661"/>
      <c r="DL1222" s="482">
        <f>DI1222</f>
        <v>0</v>
      </c>
      <c r="DM1222" s="482">
        <f>DL1222</f>
        <v>0</v>
      </c>
      <c r="DN1222" s="465">
        <f>DN1221/DN1220</f>
        <v>0</v>
      </c>
      <c r="DO1222" s="661"/>
      <c r="DP1222" s="482">
        <f>DM1222</f>
        <v>0</v>
      </c>
      <c r="DQ1222" s="482">
        <f>DP1222</f>
        <v>0</v>
      </c>
      <c r="DR1222" s="465">
        <f>DR1221/DR1220</f>
        <v>0</v>
      </c>
      <c r="DS1222" s="661"/>
      <c r="DT1222" s="1"/>
      <c r="DU1222" s="1"/>
      <c r="DV1222" s="1"/>
      <c r="DW1222" s="1"/>
      <c r="DX1222" s="1"/>
      <c r="DY1222" s="1"/>
      <c r="DZ1222" s="1"/>
      <c r="EA1222" s="1"/>
      <c r="EB1222" s="1"/>
      <c r="EC1222" s="1"/>
      <c r="ED1222" s="1"/>
      <c r="EE1222" s="1"/>
      <c r="EF1222" s="1"/>
      <c r="EG1222" s="1"/>
      <c r="EH1222" s="1"/>
      <c r="EI1222" s="1"/>
      <c r="EJ1222" s="1"/>
      <c r="EK1222" s="1"/>
      <c r="EL1222" s="1"/>
      <c r="EM1222" s="1"/>
      <c r="EN1222" s="1"/>
      <c r="EO1222" s="1"/>
      <c r="EP1222" s="1"/>
      <c r="EQ1222" s="1"/>
      <c r="ER1222" s="1"/>
      <c r="ES1222" s="1"/>
      <c r="ET1222" s="1"/>
      <c r="EU1222" s="1"/>
      <c r="EV1222" s="1"/>
      <c r="EW1222" s="1"/>
      <c r="EX1222" s="1"/>
      <c r="EY1222" s="1"/>
      <c r="EZ1222" s="1"/>
      <c r="FA1222" s="1"/>
      <c r="FB1222" s="1"/>
      <c r="FC1222" s="1"/>
      <c r="FD1222" s="1"/>
      <c r="FE1222" s="1"/>
      <c r="FF1222" s="1"/>
      <c r="FG1222" s="1"/>
      <c r="FH1222" s="1"/>
      <c r="FI1222" s="1"/>
      <c r="FJ1222" s="1"/>
      <c r="FK1222" s="1"/>
      <c r="FL1222" s="1"/>
      <c r="FM1222" s="1"/>
      <c r="FN1222" s="1"/>
      <c r="FO1222" s="1"/>
      <c r="FP1222" s="1"/>
      <c r="FQ1222" s="1"/>
      <c r="FR1222" s="1"/>
      <c r="FS1222" s="1"/>
      <c r="FT1222" s="1"/>
      <c r="FU1222" s="1"/>
      <c r="FV1222" s="1"/>
      <c r="FW1222" s="1"/>
      <c r="FX1222" s="1"/>
      <c r="FY1222" s="1"/>
      <c r="FZ1222" s="1"/>
      <c r="GA1222" s="1"/>
      <c r="GB1222" s="1"/>
      <c r="GC1222" s="1"/>
      <c r="GD1222" s="1"/>
      <c r="GE1222" s="1"/>
      <c r="GF1222" s="1"/>
      <c r="GG1222" s="1"/>
      <c r="GH1222" s="1"/>
      <c r="GI1222" s="1"/>
      <c r="GJ1222" s="1"/>
      <c r="GK1222" s="1"/>
      <c r="GL1222" s="1"/>
      <c r="GM1222" s="1"/>
      <c r="GN1222" s="1"/>
      <c r="GO1222" s="1"/>
      <c r="GP1222" s="1"/>
      <c r="GQ1222" s="1"/>
      <c r="GR1222" s="1"/>
      <c r="GS1222" s="1"/>
      <c r="GT1222" s="1"/>
      <c r="GU1222" s="1"/>
      <c r="GV1222" s="1"/>
      <c r="GW1222" s="1"/>
      <c r="GX1222" s="1"/>
      <c r="GY1222" s="1"/>
      <c r="GZ1222" s="1"/>
      <c r="HA1222" s="1"/>
      <c r="HB1222" s="1"/>
      <c r="HC1222" s="1"/>
      <c r="HD1222" s="1"/>
      <c r="HE1222" s="1"/>
      <c r="HF1222" s="1"/>
      <c r="HG1222" s="1"/>
      <c r="HH1222" s="1"/>
      <c r="HI1222" s="1"/>
      <c r="HJ1222" s="1"/>
      <c r="HK1222" s="1"/>
      <c r="HL1222" s="1"/>
      <c r="HM1222" s="1"/>
      <c r="HN1222" s="1"/>
      <c r="HO1222" s="1"/>
      <c r="HP1222" s="1"/>
      <c r="HQ1222" s="1"/>
      <c r="HR1222" s="1"/>
      <c r="HS1222" s="1"/>
      <c r="HT1222" s="1"/>
      <c r="HU1222" s="1"/>
      <c r="HV1222" s="1"/>
      <c r="HW1222" s="1"/>
      <c r="HX1222" s="1"/>
      <c r="HY1222" s="1"/>
      <c r="HZ1222" s="1"/>
      <c r="IA1222" s="1"/>
      <c r="IB1222" s="1"/>
      <c r="IC1222" s="1"/>
      <c r="ID1222" s="1"/>
      <c r="IE1222" s="1"/>
      <c r="IF1222" s="1"/>
      <c r="IG1222" s="1"/>
      <c r="IH1222" s="1"/>
      <c r="II1222" s="1"/>
      <c r="IJ1222" s="1"/>
      <c r="IK1222" s="1"/>
      <c r="IL1222" s="1"/>
      <c r="IM1222" s="1"/>
      <c r="IN1222" s="1"/>
      <c r="IO1222" s="1"/>
      <c r="IP1222" s="1"/>
      <c r="IQ1222" s="1"/>
      <c r="IR1222" s="1"/>
      <c r="IS1222" s="1"/>
      <c r="IT1222" s="1"/>
      <c r="IU1222" s="1"/>
      <c r="IV1222" s="1"/>
      <c r="IW1222" s="1"/>
      <c r="IX1222" s="1"/>
      <c r="IY1222" s="1"/>
      <c r="IZ1222" s="1"/>
      <c r="JA1222" s="1"/>
      <c r="JB1222" s="1"/>
      <c r="JC1222" s="1"/>
      <c r="JD1222" s="1"/>
    </row>
    <row r="1223" spans="1:264" s="347" customFormat="1" x14ac:dyDescent="0.2">
      <c r="A1223" s="411"/>
      <c r="B1223" s="348"/>
      <c r="BH1223" s="351"/>
      <c r="BI1223" s="351"/>
      <c r="BJ1223" s="351"/>
      <c r="BK1223" s="351"/>
      <c r="BL1223" s="351"/>
      <c r="BM1223" s="351"/>
      <c r="BN1223" s="351"/>
      <c r="BO1223" s="351"/>
      <c r="BP1223" s="351"/>
      <c r="BQ1223" s="351"/>
      <c r="BR1223" s="351"/>
      <c r="BS1223" s="351"/>
      <c r="BT1223" s="351"/>
      <c r="BU1223" s="351"/>
      <c r="BV1223" s="351"/>
      <c r="BW1223" s="351"/>
      <c r="BX1223" s="351"/>
      <c r="BY1223" s="351"/>
      <c r="BZ1223" s="351"/>
      <c r="CA1223" s="351"/>
      <c r="CB1223" s="351"/>
      <c r="CC1223" s="351"/>
      <c r="CD1223" s="351"/>
      <c r="CE1223" s="489"/>
      <c r="CF1223" s="351"/>
      <c r="CG1223" s="351"/>
      <c r="CH1223" s="351"/>
      <c r="CI1223" s="351"/>
      <c r="CJ1223" s="351"/>
      <c r="CK1223" s="351"/>
      <c r="CL1223" s="351"/>
      <c r="CM1223" s="351"/>
      <c r="CN1223" s="351"/>
      <c r="CO1223" s="351"/>
      <c r="CP1223" s="351"/>
      <c r="CQ1223" s="351"/>
      <c r="CR1223" s="351"/>
      <c r="CS1223" s="351"/>
      <c r="CT1223" s="351"/>
      <c r="CU1223" s="351"/>
      <c r="CV1223" s="351"/>
      <c r="CW1223" s="351"/>
      <c r="CX1223" s="351"/>
      <c r="CY1223" s="351"/>
      <c r="CZ1223" s="351"/>
      <c r="DA1223" s="351"/>
      <c r="DB1223" s="351"/>
      <c r="DC1223" s="351"/>
      <c r="DD1223" s="351"/>
      <c r="DE1223" s="351"/>
      <c r="DF1223" s="351"/>
      <c r="DG1223" s="351"/>
      <c r="DH1223" s="351"/>
      <c r="DI1223" s="351"/>
      <c r="DJ1223" s="351"/>
      <c r="DK1223" s="351"/>
      <c r="DL1223" s="351"/>
      <c r="DM1223" s="351"/>
      <c r="DN1223" s="351"/>
      <c r="DO1223" s="351"/>
      <c r="DP1223" s="351"/>
      <c r="DQ1223" s="351"/>
      <c r="DR1223" s="351"/>
      <c r="DS1223" s="351"/>
      <c r="DT1223" s="1"/>
      <c r="DU1223" s="1"/>
      <c r="DV1223" s="1"/>
      <c r="DW1223" s="1"/>
      <c r="DX1223" s="1"/>
      <c r="DY1223" s="1"/>
      <c r="DZ1223" s="1"/>
      <c r="EA1223" s="1"/>
      <c r="EB1223" s="1"/>
      <c r="EC1223" s="1"/>
      <c r="ED1223" s="1"/>
      <c r="EE1223" s="1"/>
      <c r="EF1223" s="1"/>
      <c r="EG1223" s="1"/>
      <c r="EH1223" s="1"/>
      <c r="EI1223" s="1"/>
      <c r="EJ1223" s="1"/>
      <c r="EK1223" s="1"/>
      <c r="EL1223" s="1"/>
      <c r="EM1223" s="1"/>
      <c r="EN1223" s="1"/>
      <c r="EO1223" s="1"/>
      <c r="EP1223" s="1"/>
      <c r="EQ1223" s="1"/>
      <c r="ER1223" s="1"/>
      <c r="ES1223" s="1"/>
      <c r="ET1223" s="1"/>
      <c r="EU1223" s="1"/>
      <c r="EV1223" s="1"/>
      <c r="EW1223" s="1"/>
      <c r="EX1223" s="1"/>
      <c r="EY1223" s="1"/>
      <c r="EZ1223" s="1"/>
      <c r="FA1223" s="1"/>
      <c r="FB1223" s="1"/>
      <c r="FC1223" s="1"/>
      <c r="FD1223" s="1"/>
      <c r="FE1223" s="1"/>
      <c r="FF1223" s="1"/>
      <c r="FG1223" s="1"/>
      <c r="FH1223" s="1"/>
      <c r="FI1223" s="1"/>
      <c r="FJ1223" s="1"/>
      <c r="FK1223" s="1"/>
      <c r="FL1223" s="1"/>
      <c r="FM1223" s="1"/>
      <c r="FN1223" s="1"/>
      <c r="FO1223" s="1"/>
      <c r="FP1223" s="1"/>
      <c r="FQ1223" s="1"/>
      <c r="FR1223" s="1"/>
      <c r="FS1223" s="1"/>
      <c r="FT1223" s="1"/>
      <c r="FU1223" s="1"/>
      <c r="FV1223" s="1"/>
      <c r="FW1223" s="1"/>
      <c r="FX1223" s="1"/>
      <c r="FY1223" s="1"/>
      <c r="FZ1223" s="1"/>
      <c r="GA1223" s="1"/>
      <c r="GB1223" s="1"/>
      <c r="GC1223" s="1"/>
      <c r="GD1223" s="1"/>
      <c r="GE1223" s="1"/>
      <c r="GF1223" s="1"/>
      <c r="GG1223" s="1"/>
      <c r="GH1223" s="1"/>
      <c r="GI1223" s="1"/>
      <c r="GJ1223" s="1"/>
      <c r="GK1223" s="1"/>
      <c r="GL1223" s="1"/>
      <c r="GM1223" s="1"/>
      <c r="GN1223" s="1"/>
      <c r="GO1223" s="1"/>
      <c r="GP1223" s="1"/>
      <c r="GQ1223" s="1"/>
      <c r="GR1223" s="1"/>
      <c r="GS1223" s="1"/>
      <c r="GT1223" s="1"/>
      <c r="GU1223" s="1"/>
      <c r="GV1223" s="1"/>
      <c r="GW1223" s="1"/>
      <c r="GX1223" s="1"/>
      <c r="GY1223" s="1"/>
      <c r="GZ1223" s="1"/>
      <c r="HA1223" s="1"/>
      <c r="HB1223" s="1"/>
      <c r="HC1223" s="1"/>
      <c r="HD1223" s="1"/>
      <c r="HE1223" s="1"/>
      <c r="HF1223" s="1"/>
      <c r="HG1223" s="1"/>
      <c r="HH1223" s="1"/>
      <c r="HI1223" s="1"/>
      <c r="HJ1223" s="1"/>
      <c r="HK1223" s="1"/>
      <c r="HL1223" s="1"/>
      <c r="HM1223" s="1"/>
      <c r="HN1223" s="1"/>
      <c r="HO1223" s="1"/>
      <c r="HP1223" s="1"/>
      <c r="HQ1223" s="1"/>
      <c r="HR1223" s="1"/>
      <c r="HS1223" s="1"/>
      <c r="HT1223" s="1"/>
      <c r="HU1223" s="1"/>
      <c r="HV1223" s="1"/>
      <c r="HW1223" s="1"/>
      <c r="HX1223" s="1"/>
      <c r="HY1223" s="1"/>
      <c r="HZ1223" s="1"/>
      <c r="IA1223" s="1"/>
      <c r="IB1223" s="1"/>
      <c r="IC1223" s="1"/>
      <c r="ID1223" s="1"/>
      <c r="IE1223" s="1"/>
      <c r="IF1223" s="1"/>
      <c r="IG1223" s="1"/>
      <c r="IH1223" s="1"/>
      <c r="II1223" s="1"/>
      <c r="IJ1223" s="1"/>
      <c r="IK1223" s="1"/>
      <c r="IL1223" s="1"/>
      <c r="IM1223" s="1"/>
      <c r="IN1223" s="1"/>
      <c r="IO1223" s="1"/>
      <c r="IP1223" s="1"/>
      <c r="IQ1223" s="1"/>
      <c r="IR1223" s="1"/>
      <c r="IS1223" s="1"/>
      <c r="IT1223" s="1"/>
      <c r="IU1223" s="1"/>
      <c r="IV1223" s="1"/>
      <c r="IW1223" s="1"/>
      <c r="IX1223" s="1"/>
      <c r="IY1223" s="1"/>
      <c r="IZ1223" s="1"/>
      <c r="JA1223" s="1"/>
      <c r="JB1223" s="1"/>
      <c r="JC1223" s="1"/>
      <c r="JD1223" s="1"/>
    </row>
    <row r="1224" spans="1:264" s="347" customFormat="1" x14ac:dyDescent="0.2">
      <c r="A1224" s="411" t="s">
        <v>822</v>
      </c>
      <c r="B1224" s="348"/>
      <c r="BH1224" s="351"/>
      <c r="BI1224" s="351"/>
      <c r="BJ1224" s="351"/>
      <c r="BK1224" s="351"/>
      <c r="BL1224" s="351"/>
      <c r="BM1224" s="351"/>
      <c r="BN1224" s="351"/>
      <c r="BO1224" s="351"/>
      <c r="BP1224" s="351"/>
      <c r="BQ1224" s="489"/>
      <c r="BR1224" s="351"/>
      <c r="BS1224" s="351"/>
      <c r="BT1224" s="351"/>
      <c r="BU1224" s="489"/>
      <c r="BV1224" s="351"/>
      <c r="BW1224" s="351"/>
      <c r="BX1224" s="351"/>
      <c r="BY1224" s="351"/>
      <c r="BZ1224" s="351"/>
      <c r="CA1224" s="351"/>
      <c r="CB1224" s="351"/>
      <c r="CC1224" s="351"/>
      <c r="CD1224" s="351"/>
      <c r="CF1224" s="351"/>
      <c r="CG1224" s="351"/>
      <c r="CH1224" s="351"/>
      <c r="CI1224" s="813"/>
      <c r="CJ1224" s="351"/>
      <c r="CK1224" s="351"/>
      <c r="CL1224" s="351"/>
      <c r="CM1224" s="351"/>
      <c r="CN1224" s="351"/>
      <c r="CO1224" s="351"/>
      <c r="CP1224" s="351"/>
      <c r="CQ1224" s="351"/>
      <c r="CR1224" s="351"/>
      <c r="CS1224" s="351"/>
      <c r="CT1224" s="351"/>
      <c r="CU1224" s="351"/>
      <c r="CV1224" s="351"/>
      <c r="CW1224" s="351"/>
      <c r="CX1224" s="351"/>
      <c r="CY1224" s="351"/>
      <c r="CZ1224" s="351"/>
      <c r="DA1224" s="351"/>
      <c r="DB1224" s="351"/>
      <c r="DC1224" s="351"/>
      <c r="DD1224" s="351"/>
      <c r="DE1224" s="351"/>
      <c r="DF1224" s="351"/>
      <c r="DG1224" s="351"/>
      <c r="DH1224" s="351"/>
      <c r="DI1224" s="351"/>
      <c r="DJ1224" s="351"/>
      <c r="DK1224" s="351"/>
      <c r="DL1224" s="351"/>
      <c r="DM1224" s="351"/>
      <c r="DN1224" s="351"/>
      <c r="DO1224" s="351"/>
      <c r="DP1224" s="351"/>
      <c r="DQ1224" s="351"/>
      <c r="DR1224" s="351"/>
      <c r="DS1224" s="351"/>
      <c r="DT1224" s="1"/>
      <c r="DU1224" s="1"/>
      <c r="DV1224" s="1"/>
      <c r="DW1224" s="1"/>
      <c r="DX1224" s="1"/>
      <c r="DY1224" s="1"/>
      <c r="DZ1224" s="1"/>
      <c r="EA1224" s="1"/>
      <c r="EB1224" s="1"/>
      <c r="EC1224" s="1"/>
      <c r="ED1224" s="1"/>
      <c r="EE1224" s="1"/>
      <c r="EF1224" s="1"/>
      <c r="EG1224" s="1"/>
      <c r="EH1224" s="1"/>
      <c r="EI1224" s="1"/>
      <c r="EJ1224" s="1"/>
      <c r="EK1224" s="1"/>
      <c r="EL1224" s="1"/>
      <c r="EM1224" s="1"/>
      <c r="EN1224" s="1"/>
      <c r="EO1224" s="1"/>
      <c r="EP1224" s="1"/>
      <c r="EQ1224" s="1"/>
      <c r="ER1224" s="1"/>
      <c r="ES1224" s="1"/>
      <c r="ET1224" s="1"/>
      <c r="EU1224" s="1"/>
      <c r="EV1224" s="1"/>
      <c r="EW1224" s="1"/>
      <c r="EX1224" s="1"/>
      <c r="EY1224" s="1"/>
      <c r="EZ1224" s="1"/>
      <c r="FA1224" s="1"/>
      <c r="FB1224" s="1"/>
      <c r="FC1224" s="1"/>
      <c r="FD1224" s="1"/>
      <c r="FE1224" s="1"/>
      <c r="FF1224" s="1"/>
      <c r="FG1224" s="1"/>
      <c r="FH1224" s="1"/>
      <c r="FI1224" s="1"/>
      <c r="FJ1224" s="1"/>
      <c r="FK1224" s="1"/>
      <c r="FL1224" s="1"/>
      <c r="FM1224" s="1"/>
      <c r="FN1224" s="1"/>
      <c r="FO1224" s="1"/>
      <c r="FP1224" s="1"/>
      <c r="FQ1224" s="1"/>
      <c r="FR1224" s="1"/>
      <c r="FS1224" s="1"/>
      <c r="FT1224" s="1"/>
      <c r="FU1224" s="1"/>
      <c r="FV1224" s="1"/>
      <c r="FW1224" s="1"/>
      <c r="FX1224" s="1"/>
      <c r="FY1224" s="1"/>
      <c r="FZ1224" s="1"/>
      <c r="GA1224" s="1"/>
      <c r="GB1224" s="1"/>
      <c r="GC1224" s="1"/>
      <c r="GD1224" s="1"/>
      <c r="GE1224" s="1"/>
      <c r="GF1224" s="1"/>
      <c r="GG1224" s="1"/>
      <c r="GH1224" s="1"/>
      <c r="GI1224" s="1"/>
      <c r="GJ1224" s="1"/>
      <c r="GK1224" s="1"/>
      <c r="GL1224" s="1"/>
      <c r="GM1224" s="1"/>
      <c r="GN1224" s="1"/>
      <c r="GO1224" s="1"/>
      <c r="GP1224" s="1"/>
      <c r="GQ1224" s="1"/>
      <c r="GR1224" s="1"/>
      <c r="GS1224" s="1"/>
      <c r="GT1224" s="1"/>
      <c r="GU1224" s="1"/>
      <c r="GV1224" s="1"/>
      <c r="GW1224" s="1"/>
      <c r="GX1224" s="1"/>
      <c r="GY1224" s="1"/>
      <c r="GZ1224" s="1"/>
      <c r="HA1224" s="1"/>
      <c r="HB1224" s="1"/>
      <c r="HC1224" s="1"/>
      <c r="HD1224" s="1"/>
      <c r="HE1224" s="1"/>
      <c r="HF1224" s="1"/>
      <c r="HG1224" s="1"/>
      <c r="HH1224" s="1"/>
      <c r="HI1224" s="1"/>
      <c r="HJ1224" s="1"/>
      <c r="HK1224" s="1"/>
      <c r="HL1224" s="1"/>
      <c r="HM1224" s="1"/>
      <c r="HN1224" s="1"/>
      <c r="HO1224" s="1"/>
      <c r="HP1224" s="1"/>
      <c r="HQ1224" s="1"/>
      <c r="HR1224" s="1"/>
      <c r="HS1224" s="1"/>
      <c r="HT1224" s="1"/>
      <c r="HU1224" s="1"/>
      <c r="HV1224" s="1"/>
      <c r="HW1224" s="1"/>
      <c r="HX1224" s="1"/>
      <c r="HY1224" s="1"/>
      <c r="HZ1224" s="1"/>
      <c r="IA1224" s="1"/>
      <c r="IB1224" s="1"/>
      <c r="IC1224" s="1"/>
      <c r="ID1224" s="1"/>
      <c r="IE1224" s="1"/>
      <c r="IF1224" s="1"/>
      <c r="IG1224" s="1"/>
      <c r="IH1224" s="1"/>
      <c r="II1224" s="1"/>
      <c r="IJ1224" s="1"/>
      <c r="IK1224" s="1"/>
      <c r="IL1224" s="1"/>
      <c r="IM1224" s="1"/>
      <c r="IN1224" s="1"/>
      <c r="IO1224" s="1"/>
      <c r="IP1224" s="1"/>
      <c r="IQ1224" s="1"/>
      <c r="IR1224" s="1"/>
      <c r="IS1224" s="1"/>
      <c r="IT1224" s="1"/>
      <c r="IU1224" s="1"/>
      <c r="IV1224" s="1"/>
      <c r="IW1224" s="1"/>
      <c r="IX1224" s="1"/>
      <c r="IY1224" s="1"/>
      <c r="IZ1224" s="1"/>
      <c r="JA1224" s="1"/>
      <c r="JB1224" s="1"/>
      <c r="JC1224" s="1"/>
      <c r="JD1224" s="1"/>
    </row>
    <row r="1225" spans="1:264" s="347" customFormat="1" x14ac:dyDescent="0.2">
      <c r="A1225" s="347" t="s">
        <v>313</v>
      </c>
      <c r="B1225" s="348"/>
      <c r="BH1225" s="398"/>
      <c r="BI1225" s="398">
        <v>1264</v>
      </c>
      <c r="BJ1225" s="351"/>
      <c r="BK1225" s="351"/>
      <c r="BL1225" s="351">
        <f>BI1229</f>
        <v>1196</v>
      </c>
      <c r="BM1225" s="351">
        <f>BL1229</f>
        <v>1218</v>
      </c>
      <c r="BN1225" s="351">
        <f>BL1225</f>
        <v>1196</v>
      </c>
      <c r="BO1225" s="351"/>
      <c r="BP1225" s="351">
        <f>BM1229</f>
        <v>1219</v>
      </c>
      <c r="BQ1225" s="351">
        <f>BP1229</f>
        <v>1307</v>
      </c>
      <c r="BR1225" s="351">
        <f>BP1225</f>
        <v>1219</v>
      </c>
      <c r="BS1225" s="351"/>
      <c r="BT1225" s="351">
        <f>BQ1229</f>
        <v>1705</v>
      </c>
      <c r="BU1225" s="351">
        <f>BT1229</f>
        <v>1688</v>
      </c>
      <c r="BV1225" s="351">
        <f>BT1225</f>
        <v>1705</v>
      </c>
      <c r="BW1225" s="351"/>
      <c r="BX1225" s="351">
        <f>BU1229</f>
        <v>1458</v>
      </c>
      <c r="BY1225" s="351">
        <f>BX1229</f>
        <v>1632</v>
      </c>
      <c r="BZ1225" s="351">
        <f>BX1225</f>
        <v>1458</v>
      </c>
      <c r="CA1225" s="351"/>
      <c r="CB1225" s="351">
        <f>BY1229</f>
        <v>2673</v>
      </c>
      <c r="CC1225" s="351">
        <f>CB1229</f>
        <v>2999</v>
      </c>
      <c r="CD1225" s="351">
        <f>CB1225</f>
        <v>2673</v>
      </c>
      <c r="CE1225" s="351"/>
      <c r="CF1225" s="351">
        <f>CC1229</f>
        <v>3474</v>
      </c>
      <c r="CG1225" s="351">
        <f>CF1229</f>
        <v>2887</v>
      </c>
      <c r="CH1225" s="351">
        <f>CF1225</f>
        <v>3474</v>
      </c>
      <c r="CI1225" s="813"/>
      <c r="CJ1225" s="351">
        <f>CG1229</f>
        <v>2906</v>
      </c>
      <c r="CK1225" s="351">
        <f>CJ1229</f>
        <v>2685</v>
      </c>
      <c r="CL1225" s="351">
        <f>CJ1225</f>
        <v>2906</v>
      </c>
      <c r="CM1225" s="351"/>
      <c r="CN1225" s="351">
        <f>CK1229</f>
        <v>1429</v>
      </c>
      <c r="CO1225" s="351">
        <f>CN1229</f>
        <v>670</v>
      </c>
      <c r="CP1225" s="351">
        <f>CN1225</f>
        <v>1429</v>
      </c>
      <c r="CQ1225" s="351"/>
      <c r="CR1225" s="351">
        <f>CO1229</f>
        <v>545</v>
      </c>
      <c r="CS1225" s="351">
        <f>CR1229</f>
        <v>217</v>
      </c>
      <c r="CT1225" s="351">
        <f>CR1225</f>
        <v>545</v>
      </c>
      <c r="CU1225" s="351"/>
      <c r="CV1225" s="351">
        <f>CS1229</f>
        <v>242</v>
      </c>
      <c r="CW1225" s="351">
        <f>CV1229</f>
        <v>89</v>
      </c>
      <c r="CX1225" s="351">
        <f>CV1225</f>
        <v>242</v>
      </c>
      <c r="CY1225" s="351"/>
      <c r="CZ1225" s="351">
        <f>CW1229</f>
        <v>89</v>
      </c>
      <c r="DA1225" s="351">
        <f>CZ1229</f>
        <v>89</v>
      </c>
      <c r="DB1225" s="351">
        <f>CZ1225</f>
        <v>89</v>
      </c>
      <c r="DC1225" s="351"/>
      <c r="DD1225" s="351">
        <f>DA1229</f>
        <v>89</v>
      </c>
      <c r="DE1225" s="351">
        <f>DD1229</f>
        <v>89</v>
      </c>
      <c r="DF1225" s="351">
        <f>DD1225</f>
        <v>89</v>
      </c>
      <c r="DG1225" s="351"/>
      <c r="DH1225" s="351">
        <f>DE1229</f>
        <v>89</v>
      </c>
      <c r="DI1225" s="351">
        <f>DH1229</f>
        <v>89</v>
      </c>
      <c r="DJ1225" s="351">
        <f>DH1225</f>
        <v>89</v>
      </c>
      <c r="DK1225" s="351"/>
      <c r="DL1225" s="351">
        <f>DI1229</f>
        <v>90.544698630136992</v>
      </c>
      <c r="DM1225" s="351">
        <f>DL1229</f>
        <v>92.142254408707075</v>
      </c>
      <c r="DN1225" s="351">
        <f>DL1225</f>
        <v>90.544698630136992</v>
      </c>
      <c r="DO1225" s="351"/>
      <c r="DP1225" s="351">
        <f>DM1229</f>
        <v>93.741490522896555</v>
      </c>
      <c r="DQ1225" s="351">
        <f>DP1229</f>
        <v>95.390930957233863</v>
      </c>
      <c r="DR1225" s="351">
        <f>DP1225</f>
        <v>93.741490522896555</v>
      </c>
      <c r="DS1225" s="351"/>
      <c r="DT1225" s="1"/>
      <c r="DU1225" s="1"/>
      <c r="DV1225" s="1"/>
      <c r="DW1225" s="1"/>
      <c r="DX1225" s="1"/>
      <c r="DY1225" s="1"/>
      <c r="DZ1225" s="1"/>
      <c r="EA1225" s="1"/>
      <c r="EB1225" s="1"/>
      <c r="EC1225" s="1"/>
      <c r="ED1225" s="1"/>
      <c r="EE1225" s="1"/>
      <c r="EF1225" s="1"/>
      <c r="EG1225" s="1"/>
      <c r="EH1225" s="1"/>
      <c r="EI1225" s="1"/>
      <c r="EJ1225" s="1"/>
      <c r="EK1225" s="1"/>
      <c r="EL1225" s="1"/>
      <c r="EM1225" s="1"/>
      <c r="EN1225" s="1"/>
      <c r="EO1225" s="1"/>
      <c r="EP1225" s="1"/>
      <c r="EQ1225" s="1"/>
      <c r="ER1225" s="1"/>
      <c r="ES1225" s="1"/>
      <c r="ET1225" s="1"/>
      <c r="EU1225" s="1"/>
      <c r="EV1225" s="1"/>
      <c r="EW1225" s="1"/>
      <c r="EX1225" s="1"/>
      <c r="EY1225" s="1"/>
      <c r="EZ1225" s="1"/>
      <c r="FA1225" s="1"/>
      <c r="FB1225" s="1"/>
      <c r="FC1225" s="1"/>
      <c r="FD1225" s="1"/>
      <c r="FE1225" s="1"/>
      <c r="FF1225" s="1"/>
      <c r="FG1225" s="1"/>
      <c r="FH1225" s="1"/>
      <c r="FI1225" s="1"/>
      <c r="FJ1225" s="1"/>
      <c r="FK1225" s="1"/>
      <c r="FL1225" s="1"/>
      <c r="FM1225" s="1"/>
      <c r="FN1225" s="1"/>
      <c r="FO1225" s="1"/>
      <c r="FP1225" s="1"/>
      <c r="FQ1225" s="1"/>
      <c r="FR1225" s="1"/>
      <c r="FS1225" s="1"/>
      <c r="FT1225" s="1"/>
      <c r="FU1225" s="1"/>
      <c r="FV1225" s="1"/>
      <c r="FW1225" s="1"/>
      <c r="FX1225" s="1"/>
      <c r="FY1225" s="1"/>
      <c r="FZ1225" s="1"/>
      <c r="GA1225" s="1"/>
      <c r="GB1225" s="1"/>
      <c r="GC1225" s="1"/>
      <c r="GD1225" s="1"/>
      <c r="GE1225" s="1"/>
      <c r="GF1225" s="1"/>
      <c r="GG1225" s="1"/>
      <c r="GH1225" s="1"/>
      <c r="GI1225" s="1"/>
      <c r="GJ1225" s="1"/>
      <c r="GK1225" s="1"/>
      <c r="GL1225" s="1"/>
      <c r="GM1225" s="1"/>
      <c r="GN1225" s="1"/>
      <c r="GO1225" s="1"/>
      <c r="GP1225" s="1"/>
      <c r="GQ1225" s="1"/>
      <c r="GR1225" s="1"/>
      <c r="GS1225" s="1"/>
      <c r="GT1225" s="1"/>
      <c r="GU1225" s="1"/>
      <c r="GV1225" s="1"/>
      <c r="GW1225" s="1"/>
      <c r="GX1225" s="1"/>
      <c r="GY1225" s="1"/>
      <c r="GZ1225" s="1"/>
      <c r="HA1225" s="1"/>
      <c r="HB1225" s="1"/>
      <c r="HC1225" s="1"/>
      <c r="HD1225" s="1"/>
      <c r="HE1225" s="1"/>
      <c r="HF1225" s="1"/>
      <c r="HG1225" s="1"/>
      <c r="HH1225" s="1"/>
      <c r="HI1225" s="1"/>
      <c r="HJ1225" s="1"/>
      <c r="HK1225" s="1"/>
      <c r="HL1225" s="1"/>
      <c r="HM1225" s="1"/>
      <c r="HN1225" s="1"/>
      <c r="HO1225" s="1"/>
      <c r="HP1225" s="1"/>
      <c r="HQ1225" s="1"/>
      <c r="HR1225" s="1"/>
      <c r="HS1225" s="1"/>
      <c r="HT1225" s="1"/>
      <c r="HU1225" s="1"/>
      <c r="HV1225" s="1"/>
      <c r="HW1225" s="1"/>
      <c r="HX1225" s="1"/>
      <c r="HY1225" s="1"/>
      <c r="HZ1225" s="1"/>
      <c r="IA1225" s="1"/>
      <c r="IB1225" s="1"/>
      <c r="IC1225" s="1"/>
      <c r="ID1225" s="1"/>
      <c r="IE1225" s="1"/>
      <c r="IF1225" s="1"/>
      <c r="IG1225" s="1"/>
      <c r="IH1225" s="1"/>
      <c r="II1225" s="1"/>
      <c r="IJ1225" s="1"/>
      <c r="IK1225" s="1"/>
      <c r="IL1225" s="1"/>
      <c r="IM1225" s="1"/>
      <c r="IN1225" s="1"/>
      <c r="IO1225" s="1"/>
      <c r="IP1225" s="1"/>
      <c r="IQ1225" s="1"/>
      <c r="IR1225" s="1"/>
      <c r="IS1225" s="1"/>
      <c r="IT1225" s="1"/>
      <c r="IU1225" s="1"/>
      <c r="IV1225" s="1"/>
      <c r="IW1225" s="1"/>
      <c r="IX1225" s="1"/>
      <c r="IY1225" s="1"/>
      <c r="IZ1225" s="1"/>
      <c r="JA1225" s="1"/>
      <c r="JB1225" s="1"/>
      <c r="JC1225" s="1"/>
      <c r="JD1225" s="1"/>
    </row>
    <row r="1226" spans="1:264" s="347" customFormat="1" x14ac:dyDescent="0.2">
      <c r="A1226" s="347" t="s">
        <v>381</v>
      </c>
      <c r="B1226" s="348"/>
      <c r="BH1226" s="351"/>
      <c r="BI1226" s="351">
        <f>+BI1229-BI1228-BI1225</f>
        <v>-68</v>
      </c>
      <c r="BJ1226" s="351"/>
      <c r="BK1226" s="351"/>
      <c r="BL1226" s="351">
        <f>+BL1229-BL1228-BL1225</f>
        <v>22</v>
      </c>
      <c r="BM1226" s="351">
        <f>+BM1229-BM1228-BM1225</f>
        <v>1</v>
      </c>
      <c r="BN1226" s="351">
        <f>+BM1226+BL1226</f>
        <v>23</v>
      </c>
      <c r="BO1226" s="351"/>
      <c r="BP1226" s="351">
        <f>+BP1229-BP1228-BP1225</f>
        <v>-227</v>
      </c>
      <c r="BQ1226" s="351">
        <f>+BQ1229-BQ1228-BQ1225</f>
        <v>48</v>
      </c>
      <c r="BR1226" s="351">
        <f>+BQ1226+BP1226</f>
        <v>-179</v>
      </c>
      <c r="BS1226" s="351"/>
      <c r="BT1226" s="351">
        <f>+BT1229-BT1228-BT1225</f>
        <v>-17</v>
      </c>
      <c r="BU1226" s="351">
        <f>+BU1229-BU1228-BU1225</f>
        <v>-230</v>
      </c>
      <c r="BV1226" s="351">
        <f>+BU1226+BT1226</f>
        <v>-247</v>
      </c>
      <c r="BW1226" s="351"/>
      <c r="BX1226" s="351">
        <f>+BX1229-BX1228-BX1225</f>
        <v>-26</v>
      </c>
      <c r="BY1226" s="351">
        <f>+BY1229-BY1228-BY1225</f>
        <v>41</v>
      </c>
      <c r="BZ1226" s="351">
        <f>+BY1226+BX1226</f>
        <v>15</v>
      </c>
      <c r="CA1226" s="351"/>
      <c r="CB1226" s="351">
        <f>+CB1229-CB1228-CB1225</f>
        <v>-24</v>
      </c>
      <c r="CC1226" s="351">
        <f>+CC1229-CC1228-CC1225</f>
        <v>160</v>
      </c>
      <c r="CD1226" s="351">
        <f>+CC1226+CB1226</f>
        <v>136</v>
      </c>
      <c r="CE1226" s="351"/>
      <c r="CF1226" s="351">
        <f>+CF1229-CF1228-CF1225-CF1227</f>
        <v>513</v>
      </c>
      <c r="CG1226" s="351">
        <f>+CG1229-CG1228-CG1225</f>
        <v>19</v>
      </c>
      <c r="CH1226" s="351">
        <f>+CG1226+CF1226</f>
        <v>532</v>
      </c>
      <c r="CI1226" s="813"/>
      <c r="CJ1226" s="351">
        <f>+CJ1229-CJ1228-CJ1225-CJ1227</f>
        <v>-1</v>
      </c>
      <c r="CK1226" s="351">
        <f>+CK1229-CK1228-CK1225-CK1227</f>
        <v>0</v>
      </c>
      <c r="CL1226" s="351">
        <f>+CK1226+CJ1226</f>
        <v>-1</v>
      </c>
      <c r="CM1226" s="351"/>
      <c r="CN1226" s="351">
        <f>+CN1229-CN1228-CN1225-CN1227</f>
        <v>-18</v>
      </c>
      <c r="CO1226" s="351">
        <f>+CO1229-CO1228-CO1225-CO1227</f>
        <v>-125</v>
      </c>
      <c r="CP1226" s="351">
        <f>+CO1226+CN1226</f>
        <v>-143</v>
      </c>
      <c r="CQ1226" s="351"/>
      <c r="CR1226" s="351">
        <f>+CR1229-CR1228-CR1225-CR1227</f>
        <v>-328</v>
      </c>
      <c r="CS1226" s="351">
        <f>+CS1229-CS1228-CS1225-CS1227</f>
        <v>25</v>
      </c>
      <c r="CT1226" s="351">
        <f>+CS1226+CR1226</f>
        <v>-303</v>
      </c>
      <c r="CU1226" s="351"/>
      <c r="CV1226" s="351">
        <f>+CV1229-CV1228-CV1225-CV1227</f>
        <v>157</v>
      </c>
      <c r="CW1226" s="351">
        <f>+CW1229-CW1228-CW1225-CW1227</f>
        <v>0</v>
      </c>
      <c r="CX1226" s="351">
        <f>+CW1226+CV1226</f>
        <v>157</v>
      </c>
      <c r="CY1226" s="351"/>
      <c r="CZ1226" s="351">
        <f>+CZ1229-CZ1228-CZ1225-CZ1227</f>
        <v>0</v>
      </c>
      <c r="DA1226" s="351">
        <f>+DA1229-DA1228-DA1225-DA1227</f>
        <v>0</v>
      </c>
      <c r="DB1226" s="351">
        <f>+DA1226+CZ1226</f>
        <v>0</v>
      </c>
      <c r="DC1226" s="351"/>
      <c r="DD1226" s="351">
        <f>+DD1229-DD1228-DD1225-DD1227</f>
        <v>0</v>
      </c>
      <c r="DE1226" s="351">
        <f>+DE1229-DE1228-DE1225-DE1227</f>
        <v>0</v>
      </c>
      <c r="DF1226" s="351">
        <f>+DE1226+DD1226</f>
        <v>0</v>
      </c>
      <c r="DG1226" s="351"/>
      <c r="DH1226" s="351">
        <f>+DH1229-DH1228-DH1225-DH1227</f>
        <v>0</v>
      </c>
      <c r="DI1226" s="351">
        <f>+DI1225*DI1230*(DI$3/DI$4)</f>
        <v>1.5446986301369865</v>
      </c>
      <c r="DJ1226" s="351">
        <f>+DI1226+DH1226</f>
        <v>1.5446986301369865</v>
      </c>
      <c r="DK1226" s="351"/>
      <c r="DL1226" s="351">
        <f>+DL1225*DL1230*(DL$3/DL$4)</f>
        <v>1.5975557785700887</v>
      </c>
      <c r="DM1226" s="351">
        <f>+DM1225*DM1230*(DM$3/DM$4)</f>
        <v>1.599236114189478</v>
      </c>
      <c r="DN1226" s="351">
        <f>+DM1226+DL1226</f>
        <v>3.1967918927595669</v>
      </c>
      <c r="DO1226" s="351"/>
      <c r="DP1226" s="351">
        <f>+DP1225*DP1230*(DP$3/DP$4)</f>
        <v>1.6494404343373057</v>
      </c>
      <c r="DQ1226" s="351">
        <f>+DQ1225*DQ1230*(DQ$3/DQ$4)</f>
        <v>1.6602192081901088</v>
      </c>
      <c r="DR1226" s="351">
        <f>+DQ1226+DP1226</f>
        <v>3.3096596425274143</v>
      </c>
      <c r="DS1226" s="351"/>
      <c r="DT1226" s="1"/>
      <c r="DU1226" s="1"/>
      <c r="DV1226" s="1"/>
      <c r="DW1226" s="1"/>
      <c r="DX1226" s="1"/>
      <c r="DY1226" s="1"/>
      <c r="DZ1226" s="1"/>
      <c r="EA1226" s="1"/>
      <c r="EB1226" s="1"/>
      <c r="EC1226" s="1"/>
      <c r="ED1226" s="1"/>
      <c r="EE1226" s="1"/>
      <c r="EF1226" s="1"/>
      <c r="EG1226" s="1"/>
      <c r="EH1226" s="1"/>
      <c r="EI1226" s="1"/>
      <c r="EJ1226" s="1"/>
      <c r="EK1226" s="1"/>
      <c r="EL1226" s="1"/>
      <c r="EM1226" s="1"/>
      <c r="EN1226" s="1"/>
      <c r="EO1226" s="1"/>
      <c r="EP1226" s="1"/>
      <c r="EQ1226" s="1"/>
      <c r="ER1226" s="1"/>
      <c r="ES1226" s="1"/>
      <c r="ET1226" s="1"/>
      <c r="EU1226" s="1"/>
      <c r="EV1226" s="1"/>
      <c r="EW1226" s="1"/>
      <c r="EX1226" s="1"/>
      <c r="EY1226" s="1"/>
      <c r="EZ1226" s="1"/>
      <c r="FA1226" s="1"/>
      <c r="FB1226" s="1"/>
      <c r="FC1226" s="1"/>
      <c r="FD1226" s="1"/>
      <c r="FE1226" s="1"/>
      <c r="FF1226" s="1"/>
      <c r="FG1226" s="1"/>
      <c r="FH1226" s="1"/>
      <c r="FI1226" s="1"/>
      <c r="FJ1226" s="1"/>
      <c r="FK1226" s="1"/>
      <c r="FL1226" s="1"/>
      <c r="FM1226" s="1"/>
      <c r="FN1226" s="1"/>
      <c r="FO1226" s="1"/>
      <c r="FP1226" s="1"/>
      <c r="FQ1226" s="1"/>
      <c r="FR1226" s="1"/>
      <c r="FS1226" s="1"/>
      <c r="FT1226" s="1"/>
      <c r="FU1226" s="1"/>
      <c r="FV1226" s="1"/>
      <c r="FW1226" s="1"/>
      <c r="FX1226" s="1"/>
      <c r="FY1226" s="1"/>
      <c r="FZ1226" s="1"/>
      <c r="GA1226" s="1"/>
      <c r="GB1226" s="1"/>
      <c r="GC1226" s="1"/>
      <c r="GD1226" s="1"/>
      <c r="GE1226" s="1"/>
      <c r="GF1226" s="1"/>
      <c r="GG1226" s="1"/>
      <c r="GH1226" s="1"/>
      <c r="GI1226" s="1"/>
      <c r="GJ1226" s="1"/>
      <c r="GK1226" s="1"/>
      <c r="GL1226" s="1"/>
      <c r="GM1226" s="1"/>
      <c r="GN1226" s="1"/>
      <c r="GO1226" s="1"/>
      <c r="GP1226" s="1"/>
      <c r="GQ1226" s="1"/>
      <c r="GR1226" s="1"/>
      <c r="GS1226" s="1"/>
      <c r="GT1226" s="1"/>
      <c r="GU1226" s="1"/>
      <c r="GV1226" s="1"/>
      <c r="GW1226" s="1"/>
      <c r="GX1226" s="1"/>
      <c r="GY1226" s="1"/>
      <c r="GZ1226" s="1"/>
      <c r="HA1226" s="1"/>
      <c r="HB1226" s="1"/>
      <c r="HC1226" s="1"/>
      <c r="HD1226" s="1"/>
      <c r="HE1226" s="1"/>
      <c r="HF1226" s="1"/>
      <c r="HG1226" s="1"/>
      <c r="HH1226" s="1"/>
      <c r="HI1226" s="1"/>
      <c r="HJ1226" s="1"/>
      <c r="HK1226" s="1"/>
      <c r="HL1226" s="1"/>
      <c r="HM1226" s="1"/>
      <c r="HN1226" s="1"/>
      <c r="HO1226" s="1"/>
      <c r="HP1226" s="1"/>
      <c r="HQ1226" s="1"/>
      <c r="HR1226" s="1"/>
      <c r="HS1226" s="1"/>
      <c r="HT1226" s="1"/>
      <c r="HU1226" s="1"/>
      <c r="HV1226" s="1"/>
      <c r="HW1226" s="1"/>
      <c r="HX1226" s="1"/>
      <c r="HY1226" s="1"/>
      <c r="HZ1226" s="1"/>
      <c r="IA1226" s="1"/>
      <c r="IB1226" s="1"/>
      <c r="IC1226" s="1"/>
      <c r="ID1226" s="1"/>
      <c r="IE1226" s="1"/>
      <c r="IF1226" s="1"/>
      <c r="IG1226" s="1"/>
      <c r="IH1226" s="1"/>
      <c r="II1226" s="1"/>
      <c r="IJ1226" s="1"/>
      <c r="IK1226" s="1"/>
      <c r="IL1226" s="1"/>
      <c r="IM1226" s="1"/>
      <c r="IN1226" s="1"/>
      <c r="IO1226" s="1"/>
      <c r="IP1226" s="1"/>
      <c r="IQ1226" s="1"/>
      <c r="IR1226" s="1"/>
      <c r="IS1226" s="1"/>
      <c r="IT1226" s="1"/>
      <c r="IU1226" s="1"/>
      <c r="IV1226" s="1"/>
      <c r="IW1226" s="1"/>
      <c r="IX1226" s="1"/>
      <c r="IY1226" s="1"/>
      <c r="IZ1226" s="1"/>
      <c r="JA1226" s="1"/>
      <c r="JB1226" s="1"/>
      <c r="JC1226" s="1"/>
      <c r="JD1226" s="1"/>
    </row>
    <row r="1227" spans="1:264" s="347" customFormat="1" x14ac:dyDescent="0.2">
      <c r="A1227" s="347" t="s">
        <v>823</v>
      </c>
      <c r="B1227" s="348"/>
      <c r="BH1227" s="351"/>
      <c r="BI1227" s="464">
        <v>0</v>
      </c>
      <c r="BJ1227" s="485"/>
      <c r="BK1227" s="485"/>
      <c r="BL1227" s="464">
        <v>0</v>
      </c>
      <c r="BM1227" s="464">
        <v>0</v>
      </c>
      <c r="BN1227" s="485">
        <f>+BM1227+BL1227</f>
        <v>0</v>
      </c>
      <c r="BO1227" s="485"/>
      <c r="BP1227" s="464">
        <v>0</v>
      </c>
      <c r="BQ1227" s="464">
        <v>0</v>
      </c>
      <c r="BR1227" s="485">
        <f>+BQ1227+BP1227</f>
        <v>0</v>
      </c>
      <c r="BS1227" s="485"/>
      <c r="BT1227" s="464">
        <v>0</v>
      </c>
      <c r="BU1227" s="464">
        <v>0</v>
      </c>
      <c r="BV1227" s="485">
        <f>+BU1227+BT1227</f>
        <v>0</v>
      </c>
      <c r="BW1227" s="485"/>
      <c r="BX1227" s="464">
        <v>0</v>
      </c>
      <c r="BY1227" s="464">
        <v>0</v>
      </c>
      <c r="BZ1227" s="485">
        <f>+BY1227+BX1227</f>
        <v>0</v>
      </c>
      <c r="CA1227" s="514"/>
      <c r="CB1227" s="464">
        <v>0</v>
      </c>
      <c r="CC1227" s="464">
        <v>0</v>
      </c>
      <c r="CD1227" s="485">
        <f>+CC1227+CB1227</f>
        <v>0</v>
      </c>
      <c r="CE1227" s="814"/>
      <c r="CF1227" s="448">
        <v>-1100</v>
      </c>
      <c r="CG1227" s="464">
        <v>0</v>
      </c>
      <c r="CH1227" s="485">
        <f>+CG1227+CF1227</f>
        <v>-1100</v>
      </c>
      <c r="CI1227" s="815"/>
      <c r="CJ1227" s="464">
        <v>-220</v>
      </c>
      <c r="CK1227" s="464">
        <v>-1256</v>
      </c>
      <c r="CL1227" s="485">
        <f>+CK1227+CJ1227</f>
        <v>-1476</v>
      </c>
      <c r="CM1227" s="514"/>
      <c r="CN1227" s="464">
        <v>-741</v>
      </c>
      <c r="CO1227" s="464">
        <v>0</v>
      </c>
      <c r="CP1227" s="485">
        <f>+CO1227+CN1227</f>
        <v>-741</v>
      </c>
      <c r="CQ1227" s="514"/>
      <c r="CR1227" s="464">
        <v>0</v>
      </c>
      <c r="CS1227" s="464">
        <v>0</v>
      </c>
      <c r="CT1227" s="485">
        <f>+CS1227+CR1227</f>
        <v>0</v>
      </c>
      <c r="CU1227" s="514"/>
      <c r="CV1227" s="464">
        <v>-310</v>
      </c>
      <c r="CW1227" s="464">
        <v>0</v>
      </c>
      <c r="CX1227" s="485">
        <f>+CW1227+CV1227</f>
        <v>-310</v>
      </c>
      <c r="CY1227" s="514"/>
      <c r="CZ1227" s="464">
        <v>0</v>
      </c>
      <c r="DA1227" s="464">
        <v>0</v>
      </c>
      <c r="DB1227" s="485">
        <f>+DA1227+CZ1227</f>
        <v>0</v>
      </c>
      <c r="DC1227" s="514"/>
      <c r="DD1227" s="464">
        <v>0</v>
      </c>
      <c r="DE1227" s="464">
        <v>0</v>
      </c>
      <c r="DF1227" s="485">
        <f>+DE1227+DD1227</f>
        <v>0</v>
      </c>
      <c r="DG1227" s="514"/>
      <c r="DH1227" s="464">
        <v>0</v>
      </c>
      <c r="DI1227" s="514">
        <v>0</v>
      </c>
      <c r="DJ1227" s="485">
        <f>+DI1227+DH1227</f>
        <v>0</v>
      </c>
      <c r="DK1227" s="514"/>
      <c r="DL1227" s="514">
        <v>0</v>
      </c>
      <c r="DM1227" s="514">
        <v>0</v>
      </c>
      <c r="DN1227" s="485">
        <f>+DM1227+DL1227</f>
        <v>0</v>
      </c>
      <c r="DO1227" s="514"/>
      <c r="DP1227" s="514">
        <v>0</v>
      </c>
      <c r="DQ1227" s="514">
        <v>0</v>
      </c>
      <c r="DR1227" s="485">
        <f>+DQ1227+DP1227</f>
        <v>0</v>
      </c>
      <c r="DS1227" s="514"/>
      <c r="DT1227" s="1"/>
      <c r="DU1227" s="1"/>
      <c r="DV1227" s="1"/>
      <c r="DW1227" s="1"/>
      <c r="DX1227" s="1"/>
      <c r="DY1227" s="1"/>
      <c r="DZ1227" s="1"/>
      <c r="EA1227" s="1"/>
      <c r="EB1227" s="1"/>
      <c r="EC1227" s="1"/>
      <c r="ED1227" s="1"/>
      <c r="EE1227" s="1"/>
      <c r="EF1227" s="1"/>
      <c r="EG1227" s="1"/>
      <c r="EH1227" s="1"/>
      <c r="EI1227" s="1"/>
      <c r="EJ1227" s="1"/>
      <c r="EK1227" s="1"/>
      <c r="EL1227" s="1"/>
      <c r="EM1227" s="1"/>
      <c r="EN1227" s="1"/>
      <c r="EO1227" s="1"/>
      <c r="EP1227" s="1"/>
      <c r="EQ1227" s="1"/>
      <c r="ER1227" s="1"/>
      <c r="ES1227" s="1"/>
      <c r="ET1227" s="1"/>
      <c r="EU1227" s="1"/>
      <c r="EV1227" s="1"/>
      <c r="EW1227" s="1"/>
      <c r="EX1227" s="1"/>
      <c r="EY1227" s="1"/>
      <c r="EZ1227" s="1"/>
      <c r="FA1227" s="1"/>
      <c r="FB1227" s="1"/>
      <c r="FC1227" s="1"/>
      <c r="FD1227" s="1"/>
      <c r="FE1227" s="1"/>
      <c r="FF1227" s="1"/>
      <c r="FG1227" s="1"/>
      <c r="FH1227" s="1"/>
      <c r="FI1227" s="1"/>
      <c r="FJ1227" s="1"/>
      <c r="FK1227" s="1"/>
      <c r="FL1227" s="1"/>
      <c r="FM1227" s="1"/>
      <c r="FN1227" s="1"/>
      <c r="FO1227" s="1"/>
      <c r="FP1227" s="1"/>
      <c r="FQ1227" s="1"/>
      <c r="FR1227" s="1"/>
      <c r="FS1227" s="1"/>
      <c r="FT1227" s="1"/>
      <c r="FU1227" s="1"/>
      <c r="FV1227" s="1"/>
      <c r="FW1227" s="1"/>
      <c r="FX1227" s="1"/>
      <c r="FY1227" s="1"/>
      <c r="FZ1227" s="1"/>
      <c r="GA1227" s="1"/>
      <c r="GB1227" s="1"/>
      <c r="GC1227" s="1"/>
      <c r="GD1227" s="1"/>
      <c r="GE1227" s="1"/>
      <c r="GF1227" s="1"/>
      <c r="GG1227" s="1"/>
      <c r="GH1227" s="1"/>
      <c r="GI1227" s="1"/>
      <c r="GJ1227" s="1"/>
      <c r="GK1227" s="1"/>
      <c r="GL1227" s="1"/>
      <c r="GM1227" s="1"/>
      <c r="GN1227" s="1"/>
      <c r="GO1227" s="1"/>
      <c r="GP1227" s="1"/>
      <c r="GQ1227" s="1"/>
      <c r="GR1227" s="1"/>
      <c r="GS1227" s="1"/>
      <c r="GT1227" s="1"/>
      <c r="GU1227" s="1"/>
      <c r="GV1227" s="1"/>
      <c r="GW1227" s="1"/>
      <c r="GX1227" s="1"/>
      <c r="GY1227" s="1"/>
      <c r="GZ1227" s="1"/>
      <c r="HA1227" s="1"/>
      <c r="HB1227" s="1"/>
      <c r="HC1227" s="1"/>
      <c r="HD1227" s="1"/>
      <c r="HE1227" s="1"/>
      <c r="HF1227" s="1"/>
      <c r="HG1227" s="1"/>
      <c r="HH1227" s="1"/>
      <c r="HI1227" s="1"/>
      <c r="HJ1227" s="1"/>
      <c r="HK1227" s="1"/>
      <c r="HL1227" s="1"/>
      <c r="HM1227" s="1"/>
      <c r="HN1227" s="1"/>
      <c r="HO1227" s="1"/>
      <c r="HP1227" s="1"/>
      <c r="HQ1227" s="1"/>
      <c r="HR1227" s="1"/>
      <c r="HS1227" s="1"/>
      <c r="HT1227" s="1"/>
      <c r="HU1227" s="1"/>
      <c r="HV1227" s="1"/>
      <c r="HW1227" s="1"/>
      <c r="HX1227" s="1"/>
      <c r="HY1227" s="1"/>
      <c r="HZ1227" s="1"/>
      <c r="IA1227" s="1"/>
      <c r="IB1227" s="1"/>
      <c r="IC1227" s="1"/>
      <c r="ID1227" s="1"/>
      <c r="IE1227" s="1"/>
      <c r="IF1227" s="1"/>
      <c r="IG1227" s="1"/>
      <c r="IH1227" s="1"/>
      <c r="II1227" s="1"/>
      <c r="IJ1227" s="1"/>
      <c r="IK1227" s="1"/>
      <c r="IL1227" s="1"/>
      <c r="IM1227" s="1"/>
      <c r="IN1227" s="1"/>
      <c r="IO1227" s="1"/>
      <c r="IP1227" s="1"/>
      <c r="IQ1227" s="1"/>
      <c r="IR1227" s="1"/>
      <c r="IS1227" s="1"/>
      <c r="IT1227" s="1"/>
      <c r="IU1227" s="1"/>
      <c r="IV1227" s="1"/>
      <c r="IW1227" s="1"/>
      <c r="IX1227" s="1"/>
      <c r="IY1227" s="1"/>
      <c r="IZ1227" s="1"/>
      <c r="JA1227" s="1"/>
      <c r="JB1227" s="1"/>
      <c r="JC1227" s="1"/>
      <c r="JD1227" s="1"/>
    </row>
    <row r="1228" spans="1:264" s="347" customFormat="1" x14ac:dyDescent="0.2">
      <c r="A1228" s="463" t="s">
        <v>824</v>
      </c>
      <c r="B1228" s="466"/>
      <c r="C1228" s="463"/>
      <c r="D1228" s="463"/>
      <c r="E1228" s="463"/>
      <c r="F1228" s="463"/>
      <c r="G1228" s="463"/>
      <c r="H1228" s="463"/>
      <c r="I1228" s="463"/>
      <c r="J1228" s="463"/>
      <c r="K1228" s="463"/>
      <c r="L1228" s="463"/>
      <c r="M1228" s="463"/>
      <c r="N1228" s="463"/>
      <c r="O1228" s="463"/>
      <c r="P1228" s="463"/>
      <c r="Q1228" s="463"/>
      <c r="R1228" s="463"/>
      <c r="S1228" s="463"/>
      <c r="T1228" s="463"/>
      <c r="U1228" s="463"/>
      <c r="V1228" s="463"/>
      <c r="W1228" s="463"/>
      <c r="X1228" s="463"/>
      <c r="Y1228" s="463"/>
      <c r="Z1228" s="463"/>
      <c r="AA1228" s="463"/>
      <c r="AB1228" s="463"/>
      <c r="AC1228" s="463"/>
      <c r="AD1228" s="463"/>
      <c r="AE1228" s="463"/>
      <c r="AF1228" s="463"/>
      <c r="AG1228" s="463"/>
      <c r="AH1228" s="463"/>
      <c r="AI1228" s="463"/>
      <c r="AJ1228" s="463"/>
      <c r="AK1228" s="463"/>
      <c r="AL1228" s="463"/>
      <c r="AM1228" s="463"/>
      <c r="AN1228" s="463"/>
      <c r="AO1228" s="463"/>
      <c r="AP1228" s="463"/>
      <c r="AQ1228" s="463"/>
      <c r="AR1228" s="463"/>
      <c r="AS1228" s="463"/>
      <c r="AT1228" s="463"/>
      <c r="AU1228" s="463"/>
      <c r="AV1228" s="463"/>
      <c r="AW1228" s="463"/>
      <c r="AX1228" s="463"/>
      <c r="AY1228" s="463"/>
      <c r="AZ1228" s="463"/>
      <c r="BA1228" s="463"/>
      <c r="BB1228" s="463"/>
      <c r="BC1228" s="463"/>
      <c r="BD1228" s="463"/>
      <c r="BE1228" s="463"/>
      <c r="BF1228" s="463"/>
      <c r="BG1228" s="463"/>
      <c r="BH1228" s="464"/>
      <c r="BI1228" s="464">
        <v>0</v>
      </c>
      <c r="BJ1228" s="485"/>
      <c r="BK1228" s="485"/>
      <c r="BL1228" s="464">
        <v>0</v>
      </c>
      <c r="BM1228" s="464">
        <v>0</v>
      </c>
      <c r="BN1228" s="485">
        <f>+BM1228+BL1228</f>
        <v>0</v>
      </c>
      <c r="BO1228" s="485"/>
      <c r="BP1228" s="464">
        <v>315</v>
      </c>
      <c r="BQ1228" s="464">
        <v>350</v>
      </c>
      <c r="BR1228" s="485">
        <f>+BQ1228+BP1228</f>
        <v>665</v>
      </c>
      <c r="BS1228" s="487">
        <f>BR1228/BR1310</f>
        <v>1.8035316675752127E-3</v>
      </c>
      <c r="BT1228" s="464">
        <v>0</v>
      </c>
      <c r="BU1228" s="721">
        <v>0</v>
      </c>
      <c r="BV1228" s="485">
        <f>+BU1228+BT1228</f>
        <v>0</v>
      </c>
      <c r="BW1228" s="487"/>
      <c r="BX1228" s="464">
        <v>200</v>
      </c>
      <c r="BY1228" s="464">
        <v>1000</v>
      </c>
      <c r="BZ1228" s="485">
        <f>+BY1228+BX1228</f>
        <v>1200</v>
      </c>
      <c r="CA1228" s="487"/>
      <c r="CB1228" s="464">
        <v>350</v>
      </c>
      <c r="CC1228" s="464">
        <v>315</v>
      </c>
      <c r="CD1228" s="485">
        <f>+CC1228+CB1228</f>
        <v>665</v>
      </c>
      <c r="CE1228" s="514"/>
      <c r="CF1228" s="464">
        <v>0</v>
      </c>
      <c r="CG1228" s="464">
        <v>0</v>
      </c>
      <c r="CH1228" s="485">
        <f>+CG1228+CF1228</f>
        <v>0</v>
      </c>
      <c r="CI1228" s="816"/>
      <c r="CJ1228" s="464">
        <v>0</v>
      </c>
      <c r="CK1228" s="464">
        <v>0</v>
      </c>
      <c r="CL1228" s="485">
        <f>+CK1228+CJ1228</f>
        <v>0</v>
      </c>
      <c r="CM1228" s="487">
        <f>CL1228/CL1310</f>
        <v>0</v>
      </c>
      <c r="CN1228" s="464">
        <v>0</v>
      </c>
      <c r="CO1228" s="464">
        <v>0</v>
      </c>
      <c r="CP1228" s="485">
        <f>+CO1228+CN1228</f>
        <v>0</v>
      </c>
      <c r="CQ1228" s="487">
        <f>CP1228/CP1310</f>
        <v>0</v>
      </c>
      <c r="CR1228" s="464">
        <v>0</v>
      </c>
      <c r="CS1228" s="464">
        <v>0</v>
      </c>
      <c r="CT1228" s="485">
        <f>+CS1228+CR1228</f>
        <v>0</v>
      </c>
      <c r="CU1228" s="487">
        <f>CT1228/CT1310</f>
        <v>0</v>
      </c>
      <c r="CV1228" s="464">
        <v>0</v>
      </c>
      <c r="CW1228" s="464">
        <v>0</v>
      </c>
      <c r="CX1228" s="485">
        <f>+CW1228+CV1228</f>
        <v>0</v>
      </c>
      <c r="CY1228" s="487">
        <f>CX1228/CX1310</f>
        <v>0</v>
      </c>
      <c r="CZ1228" s="464">
        <v>0</v>
      </c>
      <c r="DA1228" s="464">
        <v>0</v>
      </c>
      <c r="DB1228" s="485">
        <f>+DA1228+CZ1228</f>
        <v>0</v>
      </c>
      <c r="DC1228" s="487">
        <f>DB1228/DB1310</f>
        <v>0</v>
      </c>
      <c r="DD1228" s="464">
        <v>0</v>
      </c>
      <c r="DE1228" s="464">
        <v>0</v>
      </c>
      <c r="DF1228" s="485">
        <f>+DE1228+DD1228</f>
        <v>0</v>
      </c>
      <c r="DG1228" s="487">
        <f>DF1228/DF1310</f>
        <v>0</v>
      </c>
      <c r="DH1228" s="464">
        <v>0</v>
      </c>
      <c r="DI1228" s="514">
        <v>0</v>
      </c>
      <c r="DJ1228" s="485">
        <f>+DI1228+DH1228</f>
        <v>0</v>
      </c>
      <c r="DK1228" s="487">
        <f ca="1">DJ1228/DJ1310</f>
        <v>0</v>
      </c>
      <c r="DL1228" s="514">
        <v>0</v>
      </c>
      <c r="DM1228" s="514">
        <v>0</v>
      </c>
      <c r="DN1228" s="485">
        <f>+DM1228+DL1228</f>
        <v>0</v>
      </c>
      <c r="DO1228" s="487">
        <f ca="1">DN1228/DN1310</f>
        <v>0</v>
      </c>
      <c r="DP1228" s="514">
        <v>0</v>
      </c>
      <c r="DQ1228" s="514">
        <v>0</v>
      </c>
      <c r="DR1228" s="485">
        <f>+DQ1228+DP1228</f>
        <v>0</v>
      </c>
      <c r="DS1228" s="487">
        <f ca="1">DR1228/DR1310</f>
        <v>0</v>
      </c>
      <c r="DT1228" s="1"/>
      <c r="DU1228" s="1"/>
      <c r="DV1228" s="1"/>
      <c r="DW1228" s="1"/>
      <c r="DX1228" s="1"/>
      <c r="DY1228" s="1"/>
      <c r="DZ1228" s="1"/>
      <c r="EA1228" s="1"/>
      <c r="EB1228" s="1"/>
      <c r="EC1228" s="1"/>
      <c r="ED1228" s="1"/>
      <c r="EE1228" s="1"/>
      <c r="EF1228" s="1"/>
      <c r="EG1228" s="1"/>
      <c r="EH1228" s="1"/>
      <c r="EI1228" s="1"/>
      <c r="EJ1228" s="1"/>
      <c r="EK1228" s="1"/>
      <c r="EL1228" s="1"/>
      <c r="EM1228" s="1"/>
      <c r="EN1228" s="1"/>
      <c r="EO1228" s="1"/>
      <c r="EP1228" s="1"/>
      <c r="EQ1228" s="1"/>
      <c r="ER1228" s="1"/>
      <c r="ES1228" s="1"/>
      <c r="ET1228" s="1"/>
      <c r="EU1228" s="1"/>
      <c r="EV1228" s="1"/>
      <c r="EW1228" s="1"/>
      <c r="EX1228" s="1"/>
      <c r="EY1228" s="1"/>
      <c r="EZ1228" s="1"/>
      <c r="FA1228" s="1"/>
      <c r="FB1228" s="1"/>
      <c r="FC1228" s="1"/>
      <c r="FD1228" s="1"/>
      <c r="FE1228" s="1"/>
      <c r="FF1228" s="1"/>
      <c r="FG1228" s="1"/>
      <c r="FH1228" s="1"/>
      <c r="FI1228" s="1"/>
      <c r="FJ1228" s="1"/>
      <c r="FK1228" s="1"/>
      <c r="FL1228" s="1"/>
      <c r="FM1228" s="1"/>
      <c r="FN1228" s="1"/>
      <c r="FO1228" s="1"/>
      <c r="FP1228" s="1"/>
      <c r="FQ1228" s="1"/>
      <c r="FR1228" s="1"/>
      <c r="FS1228" s="1"/>
      <c r="FT1228" s="1"/>
      <c r="FU1228" s="1"/>
      <c r="FV1228" s="1"/>
      <c r="FW1228" s="1"/>
      <c r="FX1228" s="1"/>
      <c r="FY1228" s="1"/>
      <c r="FZ1228" s="1"/>
      <c r="GA1228" s="1"/>
      <c r="GB1228" s="1"/>
      <c r="GC1228" s="1"/>
      <c r="GD1228" s="1"/>
      <c r="GE1228" s="1"/>
      <c r="GF1228" s="1"/>
      <c r="GG1228" s="1"/>
      <c r="GH1228" s="1"/>
      <c r="GI1228" s="1"/>
      <c r="GJ1228" s="1"/>
      <c r="GK1228" s="1"/>
      <c r="GL1228" s="1"/>
      <c r="GM1228" s="1"/>
      <c r="GN1228" s="1"/>
      <c r="GO1228" s="1"/>
      <c r="GP1228" s="1"/>
      <c r="GQ1228" s="1"/>
      <c r="GR1228" s="1"/>
      <c r="GS1228" s="1"/>
      <c r="GT1228" s="1"/>
      <c r="GU1228" s="1"/>
      <c r="GV1228" s="1"/>
      <c r="GW1228" s="1"/>
      <c r="GX1228" s="1"/>
      <c r="GY1228" s="1"/>
      <c r="GZ1228" s="1"/>
      <c r="HA1228" s="1"/>
      <c r="HB1228" s="1"/>
      <c r="HC1228" s="1"/>
      <c r="HD1228" s="1"/>
      <c r="HE1228" s="1"/>
      <c r="HF1228" s="1"/>
      <c r="HG1228" s="1"/>
      <c r="HH1228" s="1"/>
      <c r="HI1228" s="1"/>
      <c r="HJ1228" s="1"/>
      <c r="HK1228" s="1"/>
      <c r="HL1228" s="1"/>
      <c r="HM1228" s="1"/>
      <c r="HN1228" s="1"/>
      <c r="HO1228" s="1"/>
      <c r="HP1228" s="1"/>
      <c r="HQ1228" s="1"/>
      <c r="HR1228" s="1"/>
      <c r="HS1228" s="1"/>
      <c r="HT1228" s="1"/>
      <c r="HU1228" s="1"/>
      <c r="HV1228" s="1"/>
      <c r="HW1228" s="1"/>
      <c r="HX1228" s="1"/>
      <c r="HY1228" s="1"/>
      <c r="HZ1228" s="1"/>
      <c r="IA1228" s="1"/>
      <c r="IB1228" s="1"/>
      <c r="IC1228" s="1"/>
      <c r="ID1228" s="1"/>
      <c r="IE1228" s="1"/>
      <c r="IF1228" s="1"/>
      <c r="IG1228" s="1"/>
      <c r="IH1228" s="1"/>
      <c r="II1228" s="1"/>
      <c r="IJ1228" s="1"/>
      <c r="IK1228" s="1"/>
      <c r="IL1228" s="1"/>
      <c r="IM1228" s="1"/>
      <c r="IN1228" s="1"/>
      <c r="IO1228" s="1"/>
      <c r="IP1228" s="1"/>
      <c r="IQ1228" s="1"/>
      <c r="IR1228" s="1"/>
      <c r="IS1228" s="1"/>
      <c r="IT1228" s="1"/>
      <c r="IU1228" s="1"/>
      <c r="IV1228" s="1"/>
      <c r="IW1228" s="1"/>
      <c r="IX1228" s="1"/>
      <c r="IY1228" s="1"/>
      <c r="IZ1228" s="1"/>
      <c r="JA1228" s="1"/>
      <c r="JB1228" s="1"/>
      <c r="JC1228" s="1"/>
      <c r="JD1228" s="1"/>
    </row>
    <row r="1229" spans="1:264" s="347" customFormat="1" x14ac:dyDescent="0.2">
      <c r="A1229" s="347" t="s">
        <v>319</v>
      </c>
      <c r="B1229" s="348"/>
      <c r="BH1229" s="398"/>
      <c r="BI1229" s="351">
        <f>-BI1191</f>
        <v>1196</v>
      </c>
      <c r="BJ1229" s="351"/>
      <c r="BK1229" s="351"/>
      <c r="BL1229" s="351">
        <f>-BL1191</f>
        <v>1218</v>
      </c>
      <c r="BM1229" s="351">
        <f>-BM1191</f>
        <v>1219</v>
      </c>
      <c r="BN1229" s="351">
        <f>SUM(BN1225:BN1228)</f>
        <v>1219</v>
      </c>
      <c r="BO1229" s="351"/>
      <c r="BP1229" s="351">
        <f>-BP1191</f>
        <v>1307</v>
      </c>
      <c r="BQ1229" s="351">
        <f>-BQ1191</f>
        <v>1705</v>
      </c>
      <c r="BR1229" s="351">
        <f>SUM(BR1225:BR1228)</f>
        <v>1705</v>
      </c>
      <c r="BS1229" s="351"/>
      <c r="BT1229" s="351">
        <f>-BT1191</f>
        <v>1688</v>
      </c>
      <c r="BU1229" s="351">
        <f>-BU1191</f>
        <v>1458</v>
      </c>
      <c r="BV1229" s="351">
        <f>SUM(BV1225:BV1228)</f>
        <v>1458</v>
      </c>
      <c r="BW1229" s="351"/>
      <c r="BX1229" s="351">
        <f>-BX1191</f>
        <v>1632</v>
      </c>
      <c r="BY1229" s="351">
        <f>-BY1191</f>
        <v>2673</v>
      </c>
      <c r="BZ1229" s="351">
        <f>SUM(BZ1225:BZ1228)</f>
        <v>2673</v>
      </c>
      <c r="CA1229" s="351"/>
      <c r="CB1229" s="351">
        <f>-CB1191</f>
        <v>2999</v>
      </c>
      <c r="CC1229" s="351">
        <f>-CC1191</f>
        <v>3474</v>
      </c>
      <c r="CD1229" s="351">
        <f>SUM(CD1225:CD1228)</f>
        <v>3474</v>
      </c>
      <c r="CE1229" s="351"/>
      <c r="CF1229" s="351">
        <f>-CF1191</f>
        <v>2887</v>
      </c>
      <c r="CG1229" s="351">
        <f>-CG1191</f>
        <v>2906</v>
      </c>
      <c r="CH1229" s="351">
        <f>SUM(CH1225:CH1228)</f>
        <v>2906</v>
      </c>
      <c r="CI1229" s="813"/>
      <c r="CJ1229" s="351">
        <f>-CJ1191</f>
        <v>2685</v>
      </c>
      <c r="CK1229" s="351">
        <f>-CK1191</f>
        <v>1429</v>
      </c>
      <c r="CL1229" s="351">
        <f>SUM(CL1225:CL1228)</f>
        <v>1429</v>
      </c>
      <c r="CM1229" s="351"/>
      <c r="CN1229" s="351">
        <f>-CN1191</f>
        <v>670</v>
      </c>
      <c r="CO1229" s="351">
        <f>-CO1191</f>
        <v>545</v>
      </c>
      <c r="CP1229" s="351">
        <f>SUM(CP1225:CP1228)</f>
        <v>545</v>
      </c>
      <c r="CQ1229" s="351"/>
      <c r="CR1229" s="351">
        <f>-CR1191</f>
        <v>217</v>
      </c>
      <c r="CS1229" s="351">
        <f>-CS1191</f>
        <v>242</v>
      </c>
      <c r="CT1229" s="351">
        <f>SUM(CT1225:CT1228)</f>
        <v>242</v>
      </c>
      <c r="CU1229" s="351"/>
      <c r="CV1229" s="351">
        <f>-CV1191</f>
        <v>89</v>
      </c>
      <c r="CW1229" s="351">
        <f>-CW1191</f>
        <v>89</v>
      </c>
      <c r="CX1229" s="351">
        <f>SUM(CX1225:CX1228)</f>
        <v>89</v>
      </c>
      <c r="CY1229" s="351"/>
      <c r="CZ1229" s="351">
        <f>-CZ1191</f>
        <v>89</v>
      </c>
      <c r="DA1229" s="351">
        <f>-DA1191</f>
        <v>89</v>
      </c>
      <c r="DB1229" s="351">
        <f>SUM(DB1225:DB1228)</f>
        <v>89</v>
      </c>
      <c r="DC1229" s="351"/>
      <c r="DD1229" s="351">
        <f>-DD1191</f>
        <v>89</v>
      </c>
      <c r="DE1229" s="351">
        <f>-DE1191</f>
        <v>89</v>
      </c>
      <c r="DF1229" s="351">
        <f>SUM(DF1225:DF1228)</f>
        <v>89</v>
      </c>
      <c r="DG1229" s="351"/>
      <c r="DH1229" s="351">
        <f>-DH1191</f>
        <v>89</v>
      </c>
      <c r="DI1229" s="351">
        <f>SUM(DI1225:DI1228)</f>
        <v>90.544698630136992</v>
      </c>
      <c r="DJ1229" s="351">
        <f>SUM(DJ1225:DJ1228)</f>
        <v>90.544698630136992</v>
      </c>
      <c r="DK1229" s="351"/>
      <c r="DL1229" s="351">
        <f>SUM(DL1225:DL1228)</f>
        <v>92.142254408707075</v>
      </c>
      <c r="DM1229" s="351">
        <f>SUM(DM1225:DM1228)</f>
        <v>93.741490522896555</v>
      </c>
      <c r="DN1229" s="351">
        <f>SUM(DN1225:DN1228)</f>
        <v>93.741490522896555</v>
      </c>
      <c r="DO1229" s="351"/>
      <c r="DP1229" s="351">
        <f>SUM(DP1225:DP1228)</f>
        <v>95.390930957233863</v>
      </c>
      <c r="DQ1229" s="351">
        <f>SUM(DQ1225:DQ1228)</f>
        <v>97.051150165423977</v>
      </c>
      <c r="DR1229" s="351">
        <f>SUM(DR1225:DR1228)</f>
        <v>97.051150165423962</v>
      </c>
      <c r="DS1229" s="351"/>
      <c r="DT1229" s="1"/>
      <c r="DU1229" s="1"/>
      <c r="DV1229" s="1"/>
      <c r="DW1229" s="1"/>
      <c r="DX1229" s="1"/>
      <c r="DY1229" s="1"/>
      <c r="DZ1229" s="1"/>
      <c r="EA1229" s="1"/>
      <c r="EB1229" s="1"/>
      <c r="EC1229" s="1"/>
      <c r="ED1229" s="1"/>
      <c r="EE1229" s="1"/>
      <c r="EF1229" s="1"/>
      <c r="EG1229" s="1"/>
      <c r="EH1229" s="1"/>
      <c r="EI1229" s="1"/>
      <c r="EJ1229" s="1"/>
      <c r="EK1229" s="1"/>
      <c r="EL1229" s="1"/>
      <c r="EM1229" s="1"/>
      <c r="EN1229" s="1"/>
      <c r="EO1229" s="1"/>
      <c r="EP1229" s="1"/>
      <c r="EQ1229" s="1"/>
      <c r="ER1229" s="1"/>
      <c r="ES1229" s="1"/>
      <c r="ET1229" s="1"/>
      <c r="EU1229" s="1"/>
      <c r="EV1229" s="1"/>
      <c r="EW1229" s="1"/>
      <c r="EX1229" s="1"/>
      <c r="EY1229" s="1"/>
      <c r="EZ1229" s="1"/>
      <c r="FA1229" s="1"/>
      <c r="FB1229" s="1"/>
      <c r="FC1229" s="1"/>
      <c r="FD1229" s="1"/>
      <c r="FE1229" s="1"/>
      <c r="FF1229" s="1"/>
      <c r="FG1229" s="1"/>
      <c r="FH1229" s="1"/>
      <c r="FI1229" s="1"/>
      <c r="FJ1229" s="1"/>
      <c r="FK1229" s="1"/>
      <c r="FL1229" s="1"/>
      <c r="FM1229" s="1"/>
      <c r="FN1229" s="1"/>
      <c r="FO1229" s="1"/>
      <c r="FP1229" s="1"/>
      <c r="FQ1229" s="1"/>
      <c r="FR1229" s="1"/>
      <c r="FS1229" s="1"/>
      <c r="FT1229" s="1"/>
      <c r="FU1229" s="1"/>
      <c r="FV1229" s="1"/>
      <c r="FW1229" s="1"/>
      <c r="FX1229" s="1"/>
      <c r="FY1229" s="1"/>
      <c r="FZ1229" s="1"/>
      <c r="GA1229" s="1"/>
      <c r="GB1229" s="1"/>
      <c r="GC1229" s="1"/>
      <c r="GD1229" s="1"/>
      <c r="GE1229" s="1"/>
      <c r="GF1229" s="1"/>
      <c r="GG1229" s="1"/>
      <c r="GH1229" s="1"/>
      <c r="GI1229" s="1"/>
      <c r="GJ1229" s="1"/>
      <c r="GK1229" s="1"/>
      <c r="GL1229" s="1"/>
      <c r="GM1229" s="1"/>
      <c r="GN1229" s="1"/>
      <c r="GO1229" s="1"/>
      <c r="GP1229" s="1"/>
      <c r="GQ1229" s="1"/>
      <c r="GR1229" s="1"/>
      <c r="GS1229" s="1"/>
      <c r="GT1229" s="1"/>
      <c r="GU1229" s="1"/>
      <c r="GV1229" s="1"/>
      <c r="GW1229" s="1"/>
      <c r="GX1229" s="1"/>
      <c r="GY1229" s="1"/>
      <c r="GZ1229" s="1"/>
      <c r="HA1229" s="1"/>
      <c r="HB1229" s="1"/>
      <c r="HC1229" s="1"/>
      <c r="HD1229" s="1"/>
      <c r="HE1229" s="1"/>
      <c r="HF1229" s="1"/>
      <c r="HG1229" s="1"/>
      <c r="HH1229" s="1"/>
      <c r="HI1229" s="1"/>
      <c r="HJ1229" s="1"/>
      <c r="HK1229" s="1"/>
      <c r="HL1229" s="1"/>
      <c r="HM1229" s="1"/>
      <c r="HN1229" s="1"/>
      <c r="HO1229" s="1"/>
      <c r="HP1229" s="1"/>
      <c r="HQ1229" s="1"/>
      <c r="HR1229" s="1"/>
      <c r="HS1229" s="1"/>
      <c r="HT1229" s="1"/>
      <c r="HU1229" s="1"/>
      <c r="HV1229" s="1"/>
      <c r="HW1229" s="1"/>
      <c r="HX1229" s="1"/>
      <c r="HY1229" s="1"/>
      <c r="HZ1229" s="1"/>
      <c r="IA1229" s="1"/>
      <c r="IB1229" s="1"/>
      <c r="IC1229" s="1"/>
      <c r="ID1229" s="1"/>
      <c r="IE1229" s="1"/>
      <c r="IF1229" s="1"/>
      <c r="IG1229" s="1"/>
      <c r="IH1229" s="1"/>
      <c r="II1229" s="1"/>
      <c r="IJ1229" s="1"/>
      <c r="IK1229" s="1"/>
      <c r="IL1229" s="1"/>
      <c r="IM1229" s="1"/>
      <c r="IN1229" s="1"/>
      <c r="IO1229" s="1"/>
      <c r="IP1229" s="1"/>
      <c r="IQ1229" s="1"/>
      <c r="IR1229" s="1"/>
      <c r="IS1229" s="1"/>
      <c r="IT1229" s="1"/>
      <c r="IU1229" s="1"/>
      <c r="IV1229" s="1"/>
      <c r="IW1229" s="1"/>
      <c r="IX1229" s="1"/>
      <c r="IY1229" s="1"/>
      <c r="IZ1229" s="1"/>
      <c r="JA1229" s="1"/>
      <c r="JB1229" s="1"/>
      <c r="JC1229" s="1"/>
      <c r="JD1229" s="1"/>
    </row>
    <row r="1230" spans="1:264" s="347" customFormat="1" x14ac:dyDescent="0.2">
      <c r="A1230" s="436" t="s">
        <v>384</v>
      </c>
      <c r="B1230" s="437"/>
      <c r="C1230" s="436"/>
      <c r="D1230" s="436"/>
      <c r="E1230" s="436"/>
      <c r="F1230" s="436"/>
      <c r="G1230" s="436"/>
      <c r="H1230" s="436"/>
      <c r="I1230" s="436"/>
      <c r="J1230" s="436"/>
      <c r="K1230" s="436"/>
      <c r="L1230" s="436"/>
      <c r="M1230" s="436"/>
      <c r="N1230" s="436"/>
      <c r="O1230" s="436"/>
      <c r="P1230" s="436"/>
      <c r="Q1230" s="436"/>
      <c r="R1230" s="436"/>
      <c r="S1230" s="436"/>
      <c r="T1230" s="436"/>
      <c r="U1230" s="436"/>
      <c r="V1230" s="436"/>
      <c r="W1230" s="436"/>
      <c r="X1230" s="436"/>
      <c r="Y1230" s="436"/>
      <c r="Z1230" s="436"/>
      <c r="AA1230" s="436"/>
      <c r="AB1230" s="436"/>
      <c r="AC1230" s="436"/>
      <c r="AD1230" s="436"/>
      <c r="AE1230" s="436"/>
      <c r="AF1230" s="436"/>
      <c r="AG1230" s="436"/>
      <c r="AH1230" s="436"/>
      <c r="AI1230" s="436"/>
      <c r="AJ1230" s="436"/>
      <c r="AK1230" s="436"/>
      <c r="AL1230" s="436"/>
      <c r="AM1230" s="436"/>
      <c r="AN1230" s="436"/>
      <c r="AO1230" s="436"/>
      <c r="AP1230" s="436"/>
      <c r="AQ1230" s="436"/>
      <c r="AR1230" s="436"/>
      <c r="AS1230" s="436"/>
      <c r="AT1230" s="436"/>
      <c r="AU1230" s="436"/>
      <c r="AV1230" s="436"/>
      <c r="AW1230" s="436"/>
      <c r="AX1230" s="436"/>
      <c r="AY1230" s="436"/>
      <c r="AZ1230" s="436"/>
      <c r="BA1230" s="436"/>
      <c r="BB1230" s="436"/>
      <c r="BC1230" s="436"/>
      <c r="BD1230" s="436"/>
      <c r="BE1230" s="436"/>
      <c r="BF1230" s="436"/>
      <c r="BG1230" s="436"/>
      <c r="BH1230" s="465"/>
      <c r="BI1230" s="465">
        <f>+BI1226*(BI$4/BI$3)/BI1225</f>
        <v>-0.1084866074550668</v>
      </c>
      <c r="BJ1230" s="465"/>
      <c r="BK1230" s="661"/>
      <c r="BL1230" s="465">
        <f>+BL1226*(BL$4/BL$3)/BL1225</f>
        <v>3.6489384906209101E-2</v>
      </c>
      <c r="BM1230" s="465">
        <f>+BM1226*(BM$4/BM$3)/BM1225</f>
        <v>1.6556441589781275E-3</v>
      </c>
      <c r="BN1230" s="465">
        <f>+BN1226*(BN$4/BN$3)/BN1225</f>
        <v>1.9230769230769232E-2</v>
      </c>
      <c r="BO1230" s="661"/>
      <c r="BP1230" s="465">
        <f>+BP1226*(BP$4/BP$3)/BP1225</f>
        <v>-0.36940025680350963</v>
      </c>
      <c r="BQ1230" s="465">
        <f>+BQ1226*(BQ$4/BQ$3)/BQ1225</f>
        <v>7.4059357391352137E-2</v>
      </c>
      <c r="BR1230" s="465">
        <f>+BR1226*(BR$4/BR$3)/BR1225</f>
        <v>-0.1468416735028712</v>
      </c>
      <c r="BS1230" s="661"/>
      <c r="BT1230" s="465">
        <f>+BT1226*(BT$4/BT$3)/BT1225</f>
        <v>-1.9832972077011346E-2</v>
      </c>
      <c r="BU1230" s="465">
        <f>+BU1226*(BU$4/BU$3)/BU1225</f>
        <v>-0.27400916618926097</v>
      </c>
      <c r="BV1230" s="465">
        <f>+BV1226*(BV$4/BV$3)/BV1225</f>
        <v>-0.14486803519061583</v>
      </c>
      <c r="BW1230" s="661"/>
      <c r="BX1230" s="465">
        <f>+BX1226*(BX$4/BX$3)/BX1225</f>
        <v>-3.5374545237669232E-2</v>
      </c>
      <c r="BY1230" s="465">
        <f>+BY1226*(BY$4/BY$3)/BY1225</f>
        <v>5.0661493879319681E-2</v>
      </c>
      <c r="BZ1230" s="465">
        <f>+BZ1226*(BZ$4/BZ$3)/BZ1225</f>
        <v>1.0288065843621399E-2</v>
      </c>
      <c r="CA1230" s="661"/>
      <c r="CB1230" s="465">
        <f>+CB1226*(CB$4/CB$3)/CB1225</f>
        <v>-1.7810959839945347E-2</v>
      </c>
      <c r="CC1230" s="465">
        <f>+CC1226*(CC$4/CC$3)/CC1225</f>
        <v>0.1075865067361312</v>
      </c>
      <c r="CD1230" s="465">
        <f>+CD1226*(CD$4/CD$3)/CD1225</f>
        <v>5.0879161990273099E-2</v>
      </c>
      <c r="CE1230" s="661"/>
      <c r="CF1230" s="465">
        <f>+CF1226*(CF$4/CF$3)/CF1225</f>
        <v>0.29292915070961928</v>
      </c>
      <c r="CG1230" s="465">
        <f>+CG1226*(CG$4/CG$3)/CG1225</f>
        <v>1.3271533469716599E-2</v>
      </c>
      <c r="CH1230" s="465">
        <f>+CH1226*(CH$4/CH$3)/CH1225</f>
        <v>0.15313759355210133</v>
      </c>
      <c r="CI1230" s="661"/>
      <c r="CJ1230" s="465">
        <f>+CJ1226*(CJ$4/CJ$3)/CJ1225</f>
        <v>-6.8449085849367128E-4</v>
      </c>
      <c r="CK1230" s="465">
        <f>+CK1226*(CK$4/CK$3)/CK1225</f>
        <v>0</v>
      </c>
      <c r="CL1230" s="465">
        <f>+CL1226*(CL$4/CL$3)/CL1225</f>
        <v>-3.4411562284927734E-4</v>
      </c>
      <c r="CM1230" s="661"/>
      <c r="CN1230" s="465">
        <f>+CN1226*(CN$4/CN$3)/CN1225</f>
        <v>-2.4987069096662307E-2</v>
      </c>
      <c r="CO1230" s="465">
        <f>+CO1226*(CO$4/CO$3)/CO1225</f>
        <v>-0.37622660179764167</v>
      </c>
      <c r="CP1230" s="465">
        <f>+CP1226*(CP$4/CP$3)/CP1225</f>
        <v>-0.1000699790062981</v>
      </c>
      <c r="CQ1230" s="661"/>
      <c r="CR1230" s="465">
        <f>+CR1226*(CR$4/CR$3)/CR1225</f>
        <v>-1.1938571998404468</v>
      </c>
      <c r="CS1230" s="465">
        <f>+CS1226*(CS$4/CS$3)/CS1225</f>
        <v>0.23232426101789852</v>
      </c>
      <c r="CT1230" s="465">
        <f>+CT1226*(CT$4/CT$3)/CT1225</f>
        <v>-0.55596330275229355</v>
      </c>
      <c r="CU1230" s="661"/>
      <c r="CV1230" s="465">
        <f>+CV1226*(CV$4/CV$3)/CV1225</f>
        <v>1.2869430470715058</v>
      </c>
      <c r="CW1230" s="465">
        <f>+CW1226*(CW$4/CW$3)/CW1225</f>
        <v>0</v>
      </c>
      <c r="CX1230" s="465">
        <f>+CX1226*(CX$4/CX$3)/CX1225</f>
        <v>0.64876033057851235</v>
      </c>
      <c r="CY1230" s="661"/>
      <c r="CZ1230" s="465">
        <f>+CZ1226*(CZ$4/CZ$3)/CZ1225</f>
        <v>0</v>
      </c>
      <c r="DA1230" s="465">
        <f>+DA1226*(DA$4/DA$3)/DA1225</f>
        <v>0</v>
      </c>
      <c r="DB1230" s="465">
        <f>+DB1226*(DB$4/DB$3)/DB1225</f>
        <v>0</v>
      </c>
      <c r="DC1230" s="661"/>
      <c r="DD1230" s="465">
        <f>+DD1226*(DD$4/DD$3)/DD1225</f>
        <v>0</v>
      </c>
      <c r="DE1230" s="465">
        <f>+DE1226*(DE$4/DE$3)/DE1225</f>
        <v>0</v>
      </c>
      <c r="DF1230" s="465">
        <f>+DF1226*(DF$4/DF$3)/DF1225</f>
        <v>0</v>
      </c>
      <c r="DG1230" s="661"/>
      <c r="DH1230" s="465">
        <f>+DH1226*(DH$4/DH$3)/DH1225</f>
        <v>0</v>
      </c>
      <c r="DI1230" s="482">
        <v>3.5000000000000003E-2</v>
      </c>
      <c r="DJ1230" s="465">
        <f>+DJ1226*(DJ$4/DJ$3)/DJ1225</f>
        <v>1.7356164383561645E-2</v>
      </c>
      <c r="DK1230" s="661"/>
      <c r="DL1230" s="482">
        <v>3.5000000000000003E-2</v>
      </c>
      <c r="DM1230" s="482">
        <v>3.5000000000000003E-2</v>
      </c>
      <c r="DN1230" s="465">
        <f>+DN1226*(DN$4/DN$3)/DN1225</f>
        <v>3.5306229311315454E-2</v>
      </c>
      <c r="DO1230" s="661"/>
      <c r="DP1230" s="482">
        <v>3.5000000000000003E-2</v>
      </c>
      <c r="DQ1230" s="482">
        <v>3.5000000000000003E-2</v>
      </c>
      <c r="DR1230" s="465">
        <f>+DR1226*(DR$4/DR$3)/DR1225</f>
        <v>3.5306240855206193E-2</v>
      </c>
      <c r="DS1230" s="661"/>
      <c r="DT1230" s="1"/>
      <c r="DU1230" s="1"/>
      <c r="DV1230" s="1"/>
      <c r="DW1230" s="1"/>
      <c r="DX1230" s="1"/>
      <c r="DY1230" s="1"/>
      <c r="DZ1230" s="1"/>
      <c r="EA1230" s="1"/>
      <c r="EB1230" s="1"/>
      <c r="EC1230" s="1"/>
      <c r="ED1230" s="1"/>
      <c r="EE1230" s="1"/>
      <c r="EF1230" s="1"/>
      <c r="EG1230" s="1"/>
      <c r="EH1230" s="1"/>
      <c r="EI1230" s="1"/>
      <c r="EJ1230" s="1"/>
      <c r="EK1230" s="1"/>
      <c r="EL1230" s="1"/>
      <c r="EM1230" s="1"/>
      <c r="EN1230" s="1"/>
      <c r="EO1230" s="1"/>
      <c r="EP1230" s="1"/>
      <c r="EQ1230" s="1"/>
      <c r="ER1230" s="1"/>
      <c r="ES1230" s="1"/>
      <c r="ET1230" s="1"/>
      <c r="EU1230" s="1"/>
      <c r="EV1230" s="1"/>
      <c r="EW1230" s="1"/>
      <c r="EX1230" s="1"/>
      <c r="EY1230" s="1"/>
      <c r="EZ1230" s="1"/>
      <c r="FA1230" s="1"/>
      <c r="FB1230" s="1"/>
      <c r="FC1230" s="1"/>
      <c r="FD1230" s="1"/>
      <c r="FE1230" s="1"/>
      <c r="FF1230" s="1"/>
      <c r="FG1230" s="1"/>
      <c r="FH1230" s="1"/>
      <c r="FI1230" s="1"/>
      <c r="FJ1230" s="1"/>
      <c r="FK1230" s="1"/>
      <c r="FL1230" s="1"/>
      <c r="FM1230" s="1"/>
      <c r="FN1230" s="1"/>
      <c r="FO1230" s="1"/>
      <c r="FP1230" s="1"/>
      <c r="FQ1230" s="1"/>
      <c r="FR1230" s="1"/>
      <c r="FS1230" s="1"/>
      <c r="FT1230" s="1"/>
      <c r="FU1230" s="1"/>
      <c r="FV1230" s="1"/>
      <c r="FW1230" s="1"/>
      <c r="FX1230" s="1"/>
      <c r="FY1230" s="1"/>
      <c r="FZ1230" s="1"/>
      <c r="GA1230" s="1"/>
      <c r="GB1230" s="1"/>
      <c r="GC1230" s="1"/>
      <c r="GD1230" s="1"/>
      <c r="GE1230" s="1"/>
      <c r="GF1230" s="1"/>
      <c r="GG1230" s="1"/>
      <c r="GH1230" s="1"/>
      <c r="GI1230" s="1"/>
      <c r="GJ1230" s="1"/>
      <c r="GK1230" s="1"/>
      <c r="GL1230" s="1"/>
      <c r="GM1230" s="1"/>
      <c r="GN1230" s="1"/>
      <c r="GO1230" s="1"/>
      <c r="GP1230" s="1"/>
      <c r="GQ1230" s="1"/>
      <c r="GR1230" s="1"/>
      <c r="GS1230" s="1"/>
      <c r="GT1230" s="1"/>
      <c r="GU1230" s="1"/>
      <c r="GV1230" s="1"/>
      <c r="GW1230" s="1"/>
      <c r="GX1230" s="1"/>
      <c r="GY1230" s="1"/>
      <c r="GZ1230" s="1"/>
      <c r="HA1230" s="1"/>
      <c r="HB1230" s="1"/>
      <c r="HC1230" s="1"/>
      <c r="HD1230" s="1"/>
      <c r="HE1230" s="1"/>
      <c r="HF1230" s="1"/>
      <c r="HG1230" s="1"/>
      <c r="HH1230" s="1"/>
      <c r="HI1230" s="1"/>
      <c r="HJ1230" s="1"/>
      <c r="HK1230" s="1"/>
      <c r="HL1230" s="1"/>
      <c r="HM1230" s="1"/>
      <c r="HN1230" s="1"/>
      <c r="HO1230" s="1"/>
      <c r="HP1230" s="1"/>
      <c r="HQ1230" s="1"/>
      <c r="HR1230" s="1"/>
      <c r="HS1230" s="1"/>
      <c r="HT1230" s="1"/>
      <c r="HU1230" s="1"/>
      <c r="HV1230" s="1"/>
      <c r="HW1230" s="1"/>
      <c r="HX1230" s="1"/>
      <c r="HY1230" s="1"/>
      <c r="HZ1230" s="1"/>
      <c r="IA1230" s="1"/>
      <c r="IB1230" s="1"/>
      <c r="IC1230" s="1"/>
      <c r="ID1230" s="1"/>
      <c r="IE1230" s="1"/>
      <c r="IF1230" s="1"/>
      <c r="IG1230" s="1"/>
      <c r="IH1230" s="1"/>
      <c r="II1230" s="1"/>
      <c r="IJ1230" s="1"/>
      <c r="IK1230" s="1"/>
      <c r="IL1230" s="1"/>
      <c r="IM1230" s="1"/>
      <c r="IN1230" s="1"/>
      <c r="IO1230" s="1"/>
      <c r="IP1230" s="1"/>
      <c r="IQ1230" s="1"/>
      <c r="IR1230" s="1"/>
      <c r="IS1230" s="1"/>
      <c r="IT1230" s="1"/>
      <c r="IU1230" s="1"/>
      <c r="IV1230" s="1"/>
      <c r="IW1230" s="1"/>
      <c r="IX1230" s="1"/>
      <c r="IY1230" s="1"/>
      <c r="IZ1230" s="1"/>
      <c r="JA1230" s="1"/>
      <c r="JB1230" s="1"/>
      <c r="JC1230" s="1"/>
      <c r="JD1230" s="1"/>
    </row>
    <row r="1231" spans="1:264" s="347" customFormat="1" x14ac:dyDescent="0.2">
      <c r="A1231" s="347" t="s">
        <v>825</v>
      </c>
      <c r="B1231" s="348"/>
      <c r="BH1231" s="499"/>
      <c r="BI1231" s="499">
        <f>BI1229/BI1310</f>
        <v>3.633513388706943E-3</v>
      </c>
      <c r="BJ1231" s="499"/>
      <c r="BK1231" s="351"/>
      <c r="BL1231" s="499">
        <f>BL1229/BL1310</f>
        <v>3.6445569529349455E-3</v>
      </c>
      <c r="BM1231" s="499">
        <f>BM1229/BM1310</f>
        <v>3.6095524332647351E-3</v>
      </c>
      <c r="BN1231" s="499">
        <f>BN1229/BN1310</f>
        <v>3.6095524332647351E-3</v>
      </c>
      <c r="BO1231" s="351"/>
      <c r="BP1231" s="499">
        <f>BP1229/BP1310</f>
        <v>3.7020461806893112E-3</v>
      </c>
      <c r="BQ1231" s="499">
        <f>BQ1229/BQ1310</f>
        <v>4.6240924710011094E-3</v>
      </c>
      <c r="BR1231" s="499">
        <f>BR1229/BR1310</f>
        <v>4.6240924710011094E-3</v>
      </c>
      <c r="BS1231" s="351"/>
      <c r="BT1231" s="499">
        <f>BT1229/BT1310</f>
        <v>4.2988626350398051E-3</v>
      </c>
      <c r="BU1231" s="499">
        <f>BU1229/BU1310</f>
        <v>3.6942536366101042E-3</v>
      </c>
      <c r="BV1231" s="499">
        <f>BV1229/BV1310</f>
        <v>3.6942536366101042E-3</v>
      </c>
      <c r="BW1231" s="351"/>
      <c r="BX1231" s="499">
        <f>BX1229/BX1310</f>
        <v>3.7389943663068952E-3</v>
      </c>
      <c r="BY1231" s="499">
        <f>BY1229/BY1310</f>
        <v>6.1158231193214705E-3</v>
      </c>
      <c r="BZ1231" s="499">
        <f>BZ1229/BZ1310</f>
        <v>6.1158231193214705E-3</v>
      </c>
      <c r="CA1231" s="351"/>
      <c r="CB1231" s="499">
        <f>CB1229/CB1310</f>
        <v>6.8029834224065189E-3</v>
      </c>
      <c r="CC1231" s="499">
        <f>CC1229/CC1310</f>
        <v>7.5750307449434376E-3</v>
      </c>
      <c r="CD1231" s="499">
        <f>CD1229/CD1310</f>
        <v>7.5750307449434376E-3</v>
      </c>
      <c r="CE1231" s="351"/>
      <c r="CF1231" s="499">
        <f>CF1229/CF1310</f>
        <v>6.4855417572740508E-3</v>
      </c>
      <c r="CG1231" s="499">
        <f>CG1229/CG1310</f>
        <v>6.4183831681987446E-3</v>
      </c>
      <c r="CH1231" s="499">
        <f>CH1229/CH1310</f>
        <v>6.4183831681987446E-3</v>
      </c>
      <c r="CI1231" s="351"/>
      <c r="CJ1231" s="499">
        <f>CJ1229/CJ1310</f>
        <v>5.9779051283078855E-3</v>
      </c>
      <c r="CK1231" s="499">
        <f>CK1229/CK1310</f>
        <v>3.1410183141809614E-3</v>
      </c>
      <c r="CL1231" s="499">
        <f>CL1229/CL1310</f>
        <v>3.1410183141809614E-3</v>
      </c>
      <c r="CM1231" s="351"/>
      <c r="CN1231" s="499">
        <f>CN1229/CN1310</f>
        <v>1.4770202109273042E-3</v>
      </c>
      <c r="CO1231" s="499">
        <f>CO1229/CO1310</f>
        <v>1.2092837490015088E-3</v>
      </c>
      <c r="CP1231" s="499">
        <f>CP1229/CP1310</f>
        <v>1.2092837490015088E-3</v>
      </c>
      <c r="CQ1231" s="351"/>
      <c r="CR1231" s="499">
        <f>CR1229/CR1310</f>
        <v>4.5981687845789707E-4</v>
      </c>
      <c r="CS1231" s="499">
        <f>CS1229/CS1310</f>
        <v>4.8604918335703323E-4</v>
      </c>
      <c r="CT1231" s="499">
        <f>CT1229/CT1310</f>
        <v>4.8604918335703323E-4</v>
      </c>
      <c r="CU1231" s="351"/>
      <c r="CV1231" s="499">
        <f>CV1229/CV1310</f>
        <v>1.7645426067647407E-4</v>
      </c>
      <c r="CW1231" s="499">
        <f>CW1229/CW1310</f>
        <v>1.9017419101181217E-4</v>
      </c>
      <c r="CX1231" s="499">
        <f>CX1229/CX1310</f>
        <v>1.9017419101181217E-4</v>
      </c>
      <c r="CY1231" s="351"/>
      <c r="CZ1231" s="499">
        <f>CZ1229/CZ1310</f>
        <v>1.9195762265876405E-4</v>
      </c>
      <c r="DA1231" s="499">
        <f>DA1229/DA1310</f>
        <v>1.9035356570727043E-4</v>
      </c>
      <c r="DB1231" s="499">
        <f>DB1229/DB1310</f>
        <v>1.9035356570727043E-4</v>
      </c>
      <c r="DC1231" s="351"/>
      <c r="DD1231" s="499">
        <f>DD1229/DD1310</f>
        <v>1.845060524204499E-4</v>
      </c>
      <c r="DE1231" s="499">
        <f>DE1229/DE1310</f>
        <v>1.7938304326356206E-4</v>
      </c>
      <c r="DF1231" s="499">
        <f>DF1229/DF1310</f>
        <v>1.7938304326356206E-4</v>
      </c>
      <c r="DG1231" s="351"/>
      <c r="DH1231" s="499">
        <f>DH1229/DH1310</f>
        <v>1.7612950466050544E-4</v>
      </c>
      <c r="DI1231" s="499">
        <f ca="1">DI1229/DI1310</f>
        <v>1.7354327058583896E-4</v>
      </c>
      <c r="DJ1231" s="499">
        <f ca="1">DJ1229/DJ1310</f>
        <v>1.7354327058583896E-4</v>
      </c>
      <c r="DK1231" s="351"/>
      <c r="DL1231" s="499">
        <f ca="1">DL1229/DL1310</f>
        <v>1.7183956112867474E-4</v>
      </c>
      <c r="DM1231" s="499">
        <f ca="1">DM1229/DM1310</f>
        <v>1.693267572176092E-4</v>
      </c>
      <c r="DN1231" s="499">
        <f ca="1">DN1229/DN1310</f>
        <v>1.693267572176092E-4</v>
      </c>
      <c r="DO1231" s="351"/>
      <c r="DP1231" s="499">
        <f ca="1">DP1229/DP1310</f>
        <v>1.6844989965160382E-4</v>
      </c>
      <c r="DQ1231" s="499">
        <f ca="1">DQ1229/DQ1310</f>
        <v>1.670585613047425E-4</v>
      </c>
      <c r="DR1231" s="499">
        <f ca="1">DR1229/DR1310</f>
        <v>1.670585613047425E-4</v>
      </c>
      <c r="DS1231" s="351"/>
      <c r="DT1231" s="1"/>
      <c r="DU1231" s="1"/>
      <c r="DV1231" s="1"/>
      <c r="DW1231" s="1"/>
      <c r="DX1231" s="1"/>
      <c r="DY1231" s="1"/>
      <c r="DZ1231" s="1"/>
      <c r="EA1231" s="1"/>
      <c r="EB1231" s="1"/>
      <c r="EC1231" s="1"/>
      <c r="ED1231" s="1"/>
      <c r="EE1231" s="1"/>
      <c r="EF1231" s="1"/>
      <c r="EG1231" s="1"/>
      <c r="EH1231" s="1"/>
      <c r="EI1231" s="1"/>
      <c r="EJ1231" s="1"/>
      <c r="EK1231" s="1"/>
      <c r="EL1231" s="1"/>
      <c r="EM1231" s="1"/>
      <c r="EN1231" s="1"/>
      <c r="EO1231" s="1"/>
      <c r="EP1231" s="1"/>
      <c r="EQ1231" s="1"/>
      <c r="ER1231" s="1"/>
      <c r="ES1231" s="1"/>
      <c r="ET1231" s="1"/>
      <c r="EU1231" s="1"/>
      <c r="EV1231" s="1"/>
      <c r="EW1231" s="1"/>
      <c r="EX1231" s="1"/>
      <c r="EY1231" s="1"/>
      <c r="EZ1231" s="1"/>
      <c r="FA1231" s="1"/>
      <c r="FB1231" s="1"/>
      <c r="FC1231" s="1"/>
      <c r="FD1231" s="1"/>
      <c r="FE1231" s="1"/>
      <c r="FF1231" s="1"/>
      <c r="FG1231" s="1"/>
      <c r="FH1231" s="1"/>
      <c r="FI1231" s="1"/>
      <c r="FJ1231" s="1"/>
      <c r="FK1231" s="1"/>
      <c r="FL1231" s="1"/>
      <c r="FM1231" s="1"/>
      <c r="FN1231" s="1"/>
      <c r="FO1231" s="1"/>
      <c r="FP1231" s="1"/>
      <c r="FQ1231" s="1"/>
      <c r="FR1231" s="1"/>
      <c r="FS1231" s="1"/>
      <c r="FT1231" s="1"/>
      <c r="FU1231" s="1"/>
      <c r="FV1231" s="1"/>
      <c r="FW1231" s="1"/>
      <c r="FX1231" s="1"/>
      <c r="FY1231" s="1"/>
      <c r="FZ1231" s="1"/>
      <c r="GA1231" s="1"/>
      <c r="GB1231" s="1"/>
      <c r="GC1231" s="1"/>
      <c r="GD1231" s="1"/>
      <c r="GE1231" s="1"/>
      <c r="GF1231" s="1"/>
      <c r="GG1231" s="1"/>
      <c r="GH1231" s="1"/>
      <c r="GI1231" s="1"/>
      <c r="GJ1231" s="1"/>
      <c r="GK1231" s="1"/>
      <c r="GL1231" s="1"/>
      <c r="GM1231" s="1"/>
      <c r="GN1231" s="1"/>
      <c r="GO1231" s="1"/>
      <c r="GP1231" s="1"/>
      <c r="GQ1231" s="1"/>
      <c r="GR1231" s="1"/>
      <c r="GS1231" s="1"/>
      <c r="GT1231" s="1"/>
      <c r="GU1231" s="1"/>
      <c r="GV1231" s="1"/>
      <c r="GW1231" s="1"/>
      <c r="GX1231" s="1"/>
      <c r="GY1231" s="1"/>
      <c r="GZ1231" s="1"/>
      <c r="HA1231" s="1"/>
      <c r="HB1231" s="1"/>
      <c r="HC1231" s="1"/>
      <c r="HD1231" s="1"/>
      <c r="HE1231" s="1"/>
      <c r="HF1231" s="1"/>
      <c r="HG1231" s="1"/>
      <c r="HH1231" s="1"/>
      <c r="HI1231" s="1"/>
      <c r="HJ1231" s="1"/>
      <c r="HK1231" s="1"/>
      <c r="HL1231" s="1"/>
      <c r="HM1231" s="1"/>
      <c r="HN1231" s="1"/>
      <c r="HO1231" s="1"/>
      <c r="HP1231" s="1"/>
      <c r="HQ1231" s="1"/>
      <c r="HR1231" s="1"/>
      <c r="HS1231" s="1"/>
      <c r="HT1231" s="1"/>
      <c r="HU1231" s="1"/>
      <c r="HV1231" s="1"/>
      <c r="HW1231" s="1"/>
      <c r="HX1231" s="1"/>
      <c r="HY1231" s="1"/>
      <c r="HZ1231" s="1"/>
      <c r="IA1231" s="1"/>
      <c r="IB1231" s="1"/>
      <c r="IC1231" s="1"/>
      <c r="ID1231" s="1"/>
      <c r="IE1231" s="1"/>
      <c r="IF1231" s="1"/>
      <c r="IG1231" s="1"/>
      <c r="IH1231" s="1"/>
      <c r="II1231" s="1"/>
      <c r="IJ1231" s="1"/>
      <c r="IK1231" s="1"/>
      <c r="IL1231" s="1"/>
      <c r="IM1231" s="1"/>
      <c r="IN1231" s="1"/>
      <c r="IO1231" s="1"/>
      <c r="IP1231" s="1"/>
      <c r="IQ1231" s="1"/>
      <c r="IR1231" s="1"/>
      <c r="IS1231" s="1"/>
      <c r="IT1231" s="1"/>
      <c r="IU1231" s="1"/>
      <c r="IV1231" s="1"/>
      <c r="IW1231" s="1"/>
      <c r="IX1231" s="1"/>
      <c r="IY1231" s="1"/>
      <c r="IZ1231" s="1"/>
      <c r="JA1231" s="1"/>
      <c r="JB1231" s="1"/>
      <c r="JC1231" s="1"/>
      <c r="JD1231" s="1"/>
    </row>
    <row r="1232" spans="1:264" s="347" customFormat="1" x14ac:dyDescent="0.2">
      <c r="A1232" s="411"/>
      <c r="B1232" s="348"/>
      <c r="BH1232" s="351"/>
      <c r="BI1232" s="351"/>
      <c r="BJ1232" s="351"/>
      <c r="BK1232" s="351"/>
      <c r="BL1232" s="351"/>
      <c r="BM1232" s="351"/>
      <c r="BN1232" s="351"/>
      <c r="BO1232" s="351"/>
      <c r="BP1232" s="351"/>
      <c r="BQ1232" s="351"/>
      <c r="BR1232" s="351"/>
      <c r="BS1232" s="351"/>
      <c r="BT1232" s="351"/>
      <c r="BU1232" s="351"/>
      <c r="BV1232" s="351"/>
      <c r="BW1232" s="351"/>
      <c r="BX1232" s="351"/>
      <c r="BY1232" s="351"/>
      <c r="BZ1232" s="351"/>
      <c r="CA1232" s="351"/>
      <c r="CB1232" s="351"/>
      <c r="CC1232" s="351"/>
      <c r="CD1232" s="351"/>
      <c r="CE1232" s="351"/>
      <c r="CF1232" s="351"/>
      <c r="CG1232" s="351"/>
      <c r="CH1232" s="351"/>
      <c r="CI1232" s="351"/>
      <c r="CJ1232" s="351"/>
      <c r="CK1232" s="351"/>
      <c r="CL1232" s="351"/>
      <c r="CM1232" s="351"/>
      <c r="CN1232" s="351"/>
      <c r="CO1232" s="351"/>
      <c r="CP1232" s="351"/>
      <c r="CQ1232" s="351"/>
      <c r="CR1232" s="351"/>
      <c r="CS1232" s="351"/>
      <c r="CT1232" s="351"/>
      <c r="CU1232" s="351"/>
      <c r="CV1232" s="351"/>
      <c r="CW1232" s="351"/>
      <c r="CX1232" s="351"/>
      <c r="CY1232" s="351"/>
      <c r="CZ1232" s="351"/>
      <c r="DA1232" s="351"/>
      <c r="DB1232" s="351"/>
      <c r="DC1232" s="351"/>
      <c r="DD1232" s="351"/>
      <c r="DE1232" s="351"/>
      <c r="DF1232" s="351"/>
      <c r="DG1232" s="351"/>
      <c r="DH1232" s="351"/>
      <c r="DI1232" s="351"/>
      <c r="DJ1232" s="351"/>
      <c r="DK1232" s="351"/>
      <c r="DL1232" s="351"/>
      <c r="DM1232" s="351"/>
      <c r="DN1232" s="351"/>
      <c r="DO1232" s="351"/>
      <c r="DP1232" s="351"/>
      <c r="DQ1232" s="351"/>
      <c r="DR1232" s="351"/>
      <c r="DS1232" s="351"/>
      <c r="DT1232" s="1"/>
      <c r="DU1232" s="1"/>
      <c r="DV1232" s="1"/>
      <c r="DW1232" s="1"/>
      <c r="DX1232" s="1"/>
      <c r="DY1232" s="1"/>
      <c r="DZ1232" s="1"/>
      <c r="EA1232" s="1"/>
      <c r="EB1232" s="1"/>
      <c r="EC1232" s="1"/>
      <c r="ED1232" s="1"/>
      <c r="EE1232" s="1"/>
      <c r="EF1232" s="1"/>
      <c r="EG1232" s="1"/>
      <c r="EH1232" s="1"/>
      <c r="EI1232" s="1"/>
      <c r="EJ1232" s="1"/>
      <c r="EK1232" s="1"/>
      <c r="EL1232" s="1"/>
      <c r="EM1232" s="1"/>
      <c r="EN1232" s="1"/>
      <c r="EO1232" s="1"/>
      <c r="EP1232" s="1"/>
      <c r="EQ1232" s="1"/>
      <c r="ER1232" s="1"/>
      <c r="ES1232" s="1"/>
      <c r="ET1232" s="1"/>
      <c r="EU1232" s="1"/>
      <c r="EV1232" s="1"/>
      <c r="EW1232" s="1"/>
      <c r="EX1232" s="1"/>
      <c r="EY1232" s="1"/>
      <c r="EZ1232" s="1"/>
      <c r="FA1232" s="1"/>
      <c r="FB1232" s="1"/>
      <c r="FC1232" s="1"/>
      <c r="FD1232" s="1"/>
      <c r="FE1232" s="1"/>
      <c r="FF1232" s="1"/>
      <c r="FG1232" s="1"/>
      <c r="FH1232" s="1"/>
      <c r="FI1232" s="1"/>
      <c r="FJ1232" s="1"/>
      <c r="FK1232" s="1"/>
      <c r="FL1232" s="1"/>
      <c r="FM1232" s="1"/>
      <c r="FN1232" s="1"/>
      <c r="FO1232" s="1"/>
      <c r="FP1232" s="1"/>
      <c r="FQ1232" s="1"/>
      <c r="FR1232" s="1"/>
      <c r="FS1232" s="1"/>
      <c r="FT1232" s="1"/>
      <c r="FU1232" s="1"/>
      <c r="FV1232" s="1"/>
      <c r="FW1232" s="1"/>
      <c r="FX1232" s="1"/>
      <c r="FY1232" s="1"/>
      <c r="FZ1232" s="1"/>
      <c r="GA1232" s="1"/>
      <c r="GB1232" s="1"/>
      <c r="GC1232" s="1"/>
      <c r="GD1232" s="1"/>
      <c r="GE1232" s="1"/>
      <c r="GF1232" s="1"/>
      <c r="GG1232" s="1"/>
      <c r="GH1232" s="1"/>
      <c r="GI1232" s="1"/>
      <c r="GJ1232" s="1"/>
      <c r="GK1232" s="1"/>
      <c r="GL1232" s="1"/>
      <c r="GM1232" s="1"/>
      <c r="GN1232" s="1"/>
      <c r="GO1232" s="1"/>
      <c r="GP1232" s="1"/>
      <c r="GQ1232" s="1"/>
      <c r="GR1232" s="1"/>
      <c r="GS1232" s="1"/>
      <c r="GT1232" s="1"/>
      <c r="GU1232" s="1"/>
      <c r="GV1232" s="1"/>
      <c r="GW1232" s="1"/>
      <c r="GX1232" s="1"/>
      <c r="GY1232" s="1"/>
      <c r="GZ1232" s="1"/>
      <c r="HA1232" s="1"/>
      <c r="HB1232" s="1"/>
      <c r="HC1232" s="1"/>
      <c r="HD1232" s="1"/>
      <c r="HE1232" s="1"/>
      <c r="HF1232" s="1"/>
      <c r="HG1232" s="1"/>
      <c r="HH1232" s="1"/>
      <c r="HI1232" s="1"/>
      <c r="HJ1232" s="1"/>
      <c r="HK1232" s="1"/>
      <c r="HL1232" s="1"/>
      <c r="HM1232" s="1"/>
      <c r="HN1232" s="1"/>
      <c r="HO1232" s="1"/>
      <c r="HP1232" s="1"/>
      <c r="HQ1232" s="1"/>
      <c r="HR1232" s="1"/>
      <c r="HS1232" s="1"/>
      <c r="HT1232" s="1"/>
      <c r="HU1232" s="1"/>
      <c r="HV1232" s="1"/>
      <c r="HW1232" s="1"/>
      <c r="HX1232" s="1"/>
      <c r="HY1232" s="1"/>
      <c r="HZ1232" s="1"/>
      <c r="IA1232" s="1"/>
      <c r="IB1232" s="1"/>
      <c r="IC1232" s="1"/>
      <c r="ID1232" s="1"/>
      <c r="IE1232" s="1"/>
      <c r="IF1232" s="1"/>
      <c r="IG1232" s="1"/>
      <c r="IH1232" s="1"/>
      <c r="II1232" s="1"/>
      <c r="IJ1232" s="1"/>
      <c r="IK1232" s="1"/>
      <c r="IL1232" s="1"/>
      <c r="IM1232" s="1"/>
      <c r="IN1232" s="1"/>
      <c r="IO1232" s="1"/>
      <c r="IP1232" s="1"/>
      <c r="IQ1232" s="1"/>
      <c r="IR1232" s="1"/>
      <c r="IS1232" s="1"/>
      <c r="IT1232" s="1"/>
      <c r="IU1232" s="1"/>
      <c r="IV1232" s="1"/>
      <c r="IW1232" s="1"/>
      <c r="IX1232" s="1"/>
      <c r="IY1232" s="1"/>
      <c r="IZ1232" s="1"/>
      <c r="JA1232" s="1"/>
      <c r="JB1232" s="1"/>
      <c r="JC1232" s="1"/>
      <c r="JD1232" s="1"/>
    </row>
    <row r="1233" spans="1:264" s="347" customFormat="1" x14ac:dyDescent="0.2">
      <c r="A1233" s="347" t="s">
        <v>826</v>
      </c>
      <c r="B1233" s="348"/>
      <c r="BH1233" s="351">
        <f>-BH1192</f>
        <v>0</v>
      </c>
      <c r="BI1233" s="351">
        <f>-BI1192</f>
        <v>208</v>
      </c>
      <c r="BJ1233" s="351">
        <f>-BJ1192</f>
        <v>208</v>
      </c>
      <c r="BK1233" s="351"/>
      <c r="BL1233" s="351">
        <f>-BL1192</f>
        <v>198</v>
      </c>
      <c r="BM1233" s="351">
        <f>-BM1192</f>
        <v>214</v>
      </c>
      <c r="BN1233" s="351">
        <f>-BN1192</f>
        <v>214</v>
      </c>
      <c r="BO1233" s="351"/>
      <c r="BP1233" s="351">
        <f>-BP1192</f>
        <v>225</v>
      </c>
      <c r="BQ1233" s="351">
        <f>-BQ1192</f>
        <v>242</v>
      </c>
      <c r="BR1233" s="351">
        <f>-BR1192</f>
        <v>242</v>
      </c>
      <c r="BS1233" s="351"/>
      <c r="BT1233" s="351">
        <f>-BT1192</f>
        <v>270</v>
      </c>
      <c r="BU1233" s="351">
        <f>-BU1192</f>
        <v>386</v>
      </c>
      <c r="BV1233" s="351">
        <f>-BV1192</f>
        <v>386</v>
      </c>
      <c r="BW1233" s="351"/>
      <c r="BX1233" s="351">
        <f>-BX1192</f>
        <v>372</v>
      </c>
      <c r="BY1233" s="351">
        <f>-BY1192</f>
        <v>412</v>
      </c>
      <c r="BZ1233" s="351">
        <f>-BZ1192</f>
        <v>412</v>
      </c>
      <c r="CA1233" s="351"/>
      <c r="CB1233" s="351">
        <f>-CB1192</f>
        <v>388</v>
      </c>
      <c r="CC1233" s="351">
        <f>-CC1192</f>
        <v>412</v>
      </c>
      <c r="CD1233" s="351">
        <f>-CD1192</f>
        <v>412</v>
      </c>
      <c r="CE1233" s="351"/>
      <c r="CF1233" s="351">
        <f>-CF1192</f>
        <v>378</v>
      </c>
      <c r="CG1233" s="351">
        <f>-CG1192</f>
        <v>360</v>
      </c>
      <c r="CH1233" s="351">
        <f>-CH1192</f>
        <v>360</v>
      </c>
      <c r="CI1233" s="351"/>
      <c r="CJ1233" s="351">
        <f>-CJ1192</f>
        <v>0</v>
      </c>
      <c r="CK1233" s="351">
        <f>-CK1192</f>
        <v>0</v>
      </c>
      <c r="CL1233" s="351">
        <f>-CL1192</f>
        <v>0</v>
      </c>
      <c r="CM1233" s="351"/>
      <c r="CN1233" s="351">
        <f>-CN1192</f>
        <v>0</v>
      </c>
      <c r="CO1233" s="351">
        <f>-CO1192</f>
        <v>0</v>
      </c>
      <c r="CP1233" s="351">
        <f>-CP1192</f>
        <v>0</v>
      </c>
      <c r="CQ1233" s="351"/>
      <c r="CR1233" s="351">
        <f>-CR1192</f>
        <v>0</v>
      </c>
      <c r="CS1233" s="351">
        <f>-CS1192</f>
        <v>0</v>
      </c>
      <c r="CT1233" s="351">
        <f>-CT1192</f>
        <v>0</v>
      </c>
      <c r="CU1233" s="351"/>
      <c r="CV1233" s="351">
        <f>-CV1192</f>
        <v>0</v>
      </c>
      <c r="CW1233" s="351">
        <f>-CW1192</f>
        <v>0</v>
      </c>
      <c r="CX1233" s="351">
        <f>-CX1192</f>
        <v>0</v>
      </c>
      <c r="CY1233" s="351"/>
      <c r="CZ1233" s="351">
        <f>-CZ1192</f>
        <v>0</v>
      </c>
      <c r="DA1233" s="351">
        <f>-DA1192</f>
        <v>0</v>
      </c>
      <c r="DB1233" s="351">
        <f>-DB1192</f>
        <v>0</v>
      </c>
      <c r="DC1233" s="351"/>
      <c r="DD1233" s="351">
        <f>-DD1192</f>
        <v>0</v>
      </c>
      <c r="DE1233" s="351">
        <f>-DE1192</f>
        <v>0</v>
      </c>
      <c r="DF1233" s="351">
        <f>-DF1192</f>
        <v>0</v>
      </c>
      <c r="DG1233" s="351"/>
      <c r="DH1233" s="351">
        <f>-DH1192</f>
        <v>0</v>
      </c>
      <c r="DI1233" s="351">
        <f ca="1">+DI1234*0.7</f>
        <v>0</v>
      </c>
      <c r="DJ1233" s="351">
        <f ca="1">-DJ1192</f>
        <v>0</v>
      </c>
      <c r="DK1233" s="351"/>
      <c r="DL1233" s="351">
        <f ca="1">+DL1234*0.7</f>
        <v>0</v>
      </c>
      <c r="DM1233" s="351">
        <f ca="1">+DM1234*0.7</f>
        <v>0</v>
      </c>
      <c r="DN1233" s="351">
        <f ca="1">-DN1192</f>
        <v>0</v>
      </c>
      <c r="DO1233" s="351"/>
      <c r="DP1233" s="351">
        <f ca="1">+DP1234*0.7</f>
        <v>0</v>
      </c>
      <c r="DQ1233" s="351">
        <f ca="1">+DQ1234*0.7</f>
        <v>0</v>
      </c>
      <c r="DR1233" s="351">
        <f ca="1">-DR1192</f>
        <v>0</v>
      </c>
      <c r="DS1233" s="351"/>
      <c r="DT1233" s="1"/>
      <c r="DU1233" s="1"/>
      <c r="DV1233" s="1"/>
      <c r="DW1233" s="1"/>
      <c r="DX1233" s="1"/>
      <c r="DY1233" s="1"/>
      <c r="DZ1233" s="1"/>
      <c r="EA1233" s="1"/>
      <c r="EB1233" s="1"/>
      <c r="EC1233" s="1"/>
      <c r="ED1233" s="1"/>
      <c r="EE1233" s="1"/>
      <c r="EF1233" s="1"/>
      <c r="EG1233" s="1"/>
      <c r="EH1233" s="1"/>
      <c r="EI1233" s="1"/>
      <c r="EJ1233" s="1"/>
      <c r="EK1233" s="1"/>
      <c r="EL1233" s="1"/>
      <c r="EM1233" s="1"/>
      <c r="EN1233" s="1"/>
      <c r="EO1233" s="1"/>
      <c r="EP1233" s="1"/>
      <c r="EQ1233" s="1"/>
      <c r="ER1233" s="1"/>
      <c r="ES1233" s="1"/>
      <c r="ET1233" s="1"/>
      <c r="EU1233" s="1"/>
      <c r="EV1233" s="1"/>
      <c r="EW1233" s="1"/>
      <c r="EX1233" s="1"/>
      <c r="EY1233" s="1"/>
      <c r="EZ1233" s="1"/>
      <c r="FA1233" s="1"/>
      <c r="FB1233" s="1"/>
      <c r="FC1233" s="1"/>
      <c r="FD1233" s="1"/>
      <c r="FE1233" s="1"/>
      <c r="FF1233" s="1"/>
      <c r="FG1233" s="1"/>
      <c r="FH1233" s="1"/>
      <c r="FI1233" s="1"/>
      <c r="FJ1233" s="1"/>
      <c r="FK1233" s="1"/>
      <c r="FL1233" s="1"/>
      <c r="FM1233" s="1"/>
      <c r="FN1233" s="1"/>
      <c r="FO1233" s="1"/>
      <c r="FP1233" s="1"/>
      <c r="FQ1233" s="1"/>
      <c r="FR1233" s="1"/>
      <c r="FS1233" s="1"/>
      <c r="FT1233" s="1"/>
      <c r="FU1233" s="1"/>
      <c r="FV1233" s="1"/>
      <c r="FW1233" s="1"/>
      <c r="FX1233" s="1"/>
      <c r="FY1233" s="1"/>
      <c r="FZ1233" s="1"/>
      <c r="GA1233" s="1"/>
      <c r="GB1233" s="1"/>
      <c r="GC1233" s="1"/>
      <c r="GD1233" s="1"/>
      <c r="GE1233" s="1"/>
      <c r="GF1233" s="1"/>
      <c r="GG1233" s="1"/>
      <c r="GH1233" s="1"/>
      <c r="GI1233" s="1"/>
      <c r="GJ1233" s="1"/>
      <c r="GK1233" s="1"/>
      <c r="GL1233" s="1"/>
      <c r="GM1233" s="1"/>
      <c r="GN1233" s="1"/>
      <c r="GO1233" s="1"/>
      <c r="GP1233" s="1"/>
      <c r="GQ1233" s="1"/>
      <c r="GR1233" s="1"/>
      <c r="GS1233" s="1"/>
      <c r="GT1233" s="1"/>
      <c r="GU1233" s="1"/>
      <c r="GV1233" s="1"/>
      <c r="GW1233" s="1"/>
      <c r="GX1233" s="1"/>
      <c r="GY1233" s="1"/>
      <c r="GZ1233" s="1"/>
      <c r="HA1233" s="1"/>
      <c r="HB1233" s="1"/>
      <c r="HC1233" s="1"/>
      <c r="HD1233" s="1"/>
      <c r="HE1233" s="1"/>
      <c r="HF1233" s="1"/>
      <c r="HG1233" s="1"/>
      <c r="HH1233" s="1"/>
      <c r="HI1233" s="1"/>
      <c r="HJ1233" s="1"/>
      <c r="HK1233" s="1"/>
      <c r="HL1233" s="1"/>
      <c r="HM1233" s="1"/>
      <c r="HN1233" s="1"/>
      <c r="HO1233" s="1"/>
      <c r="HP1233" s="1"/>
      <c r="HQ1233" s="1"/>
      <c r="HR1233" s="1"/>
      <c r="HS1233" s="1"/>
      <c r="HT1233" s="1"/>
      <c r="HU1233" s="1"/>
      <c r="HV1233" s="1"/>
      <c r="HW1233" s="1"/>
      <c r="HX1233" s="1"/>
      <c r="HY1233" s="1"/>
      <c r="HZ1233" s="1"/>
      <c r="IA1233" s="1"/>
      <c r="IB1233" s="1"/>
      <c r="IC1233" s="1"/>
      <c r="ID1233" s="1"/>
      <c r="IE1233" s="1"/>
      <c r="IF1233" s="1"/>
      <c r="IG1233" s="1"/>
      <c r="IH1233" s="1"/>
      <c r="II1233" s="1"/>
      <c r="IJ1233" s="1"/>
      <c r="IK1233" s="1"/>
      <c r="IL1233" s="1"/>
      <c r="IM1233" s="1"/>
      <c r="IN1233" s="1"/>
      <c r="IO1233" s="1"/>
      <c r="IP1233" s="1"/>
      <c r="IQ1233" s="1"/>
      <c r="IR1233" s="1"/>
      <c r="IS1233" s="1"/>
      <c r="IT1233" s="1"/>
      <c r="IU1233" s="1"/>
      <c r="IV1233" s="1"/>
      <c r="IW1233" s="1"/>
      <c r="IX1233" s="1"/>
      <c r="IY1233" s="1"/>
      <c r="IZ1233" s="1"/>
      <c r="JA1233" s="1"/>
      <c r="JB1233" s="1"/>
      <c r="JC1233" s="1"/>
      <c r="JD1233" s="1"/>
    </row>
    <row r="1234" spans="1:264" s="347" customFormat="1" x14ac:dyDescent="0.2">
      <c r="A1234" s="347" t="s">
        <v>827</v>
      </c>
      <c r="B1234" s="348"/>
      <c r="BH1234" s="351">
        <f>+BH1233/0.7</f>
        <v>0</v>
      </c>
      <c r="BI1234" s="351">
        <f>+BI1233/0.7</f>
        <v>297.14285714285717</v>
      </c>
      <c r="BJ1234" s="351">
        <f>+BJ1233/0.7</f>
        <v>297.14285714285717</v>
      </c>
      <c r="BK1234" s="351"/>
      <c r="BL1234" s="351">
        <f>+BL1233/0.7</f>
        <v>282.85714285714289</v>
      </c>
      <c r="BM1234" s="351">
        <f>+BM1233/0.7</f>
        <v>305.71428571428572</v>
      </c>
      <c r="BN1234" s="351">
        <f>+BN1233/0.7</f>
        <v>305.71428571428572</v>
      </c>
      <c r="BO1234" s="351"/>
      <c r="BP1234" s="351">
        <f>+BP1233/0.7</f>
        <v>321.42857142857144</v>
      </c>
      <c r="BQ1234" s="351">
        <f>+BQ1233/0.7</f>
        <v>345.71428571428572</v>
      </c>
      <c r="BR1234" s="351">
        <f>+BR1233/0.7</f>
        <v>345.71428571428572</v>
      </c>
      <c r="BS1234" s="351"/>
      <c r="BT1234" s="351">
        <f>+BT1233/0.7</f>
        <v>385.71428571428572</v>
      </c>
      <c r="BU1234" s="351">
        <f>+BU1233/0.7</f>
        <v>551.42857142857144</v>
      </c>
      <c r="BV1234" s="351">
        <f>+BV1233/0.7</f>
        <v>551.42857142857144</v>
      </c>
      <c r="BW1234" s="351"/>
      <c r="BX1234" s="351">
        <f>+BX1233/0.7</f>
        <v>531.42857142857144</v>
      </c>
      <c r="BY1234" s="351">
        <f>+BY1233/0.7</f>
        <v>588.57142857142856</v>
      </c>
      <c r="BZ1234" s="351">
        <f>+BZ1233/0.7</f>
        <v>588.57142857142856</v>
      </c>
      <c r="CA1234" s="351"/>
      <c r="CB1234" s="351">
        <f>+CB1233/0.7</f>
        <v>554.28571428571433</v>
      </c>
      <c r="CC1234" s="351">
        <f>+CC1233/0.7</f>
        <v>588.57142857142856</v>
      </c>
      <c r="CD1234" s="351">
        <f>+CD1233/0.7</f>
        <v>588.57142857142856</v>
      </c>
      <c r="CE1234" s="351"/>
      <c r="CF1234" s="351">
        <f>+CF1233/0.7</f>
        <v>540</v>
      </c>
      <c r="CG1234" s="351">
        <f>+CG1233/0.7</f>
        <v>514.28571428571433</v>
      </c>
      <c r="CH1234" s="351">
        <f>+CH1233/0.7</f>
        <v>514.28571428571433</v>
      </c>
      <c r="CI1234" s="351"/>
      <c r="CJ1234" s="351">
        <f>+CJ1233/0.7</f>
        <v>0</v>
      </c>
      <c r="CK1234" s="351">
        <f>+CK1233/0.7</f>
        <v>0</v>
      </c>
      <c r="CL1234" s="351">
        <f>+CL1233/0.7</f>
        <v>0</v>
      </c>
      <c r="CM1234" s="351"/>
      <c r="CN1234" s="351">
        <f>+CN1233/0.7</f>
        <v>0</v>
      </c>
      <c r="CO1234" s="351">
        <f>+CO1233/0.7</f>
        <v>0</v>
      </c>
      <c r="CP1234" s="351">
        <f>+CP1233/0.7</f>
        <v>0</v>
      </c>
      <c r="CQ1234" s="351"/>
      <c r="CR1234" s="351">
        <f>+CR1233/0.7</f>
        <v>0</v>
      </c>
      <c r="CS1234" s="351">
        <f>+CS1233/0.7</f>
        <v>0</v>
      </c>
      <c r="CT1234" s="351">
        <f>+CT1233/0.7</f>
        <v>0</v>
      </c>
      <c r="CU1234" s="351"/>
      <c r="CV1234" s="351">
        <f>+CV1233/0.7</f>
        <v>0</v>
      </c>
      <c r="CW1234" s="351">
        <f>+CW1233/0.7</f>
        <v>0</v>
      </c>
      <c r="CX1234" s="351">
        <f>+CX1233/0.7</f>
        <v>0</v>
      </c>
      <c r="CY1234" s="351"/>
      <c r="CZ1234" s="351">
        <f>+CZ1233/0.7</f>
        <v>0</v>
      </c>
      <c r="DA1234" s="351">
        <f>+DA1233/0.7</f>
        <v>0</v>
      </c>
      <c r="DB1234" s="351">
        <f>+DB1233/0.7</f>
        <v>0</v>
      </c>
      <c r="DC1234" s="351"/>
      <c r="DD1234" s="351">
        <f>+DD1233/0.7</f>
        <v>0</v>
      </c>
      <c r="DE1234" s="351">
        <f>+DE1233/0.7</f>
        <v>0</v>
      </c>
      <c r="DF1234" s="351">
        <f>+DF1233/0.7</f>
        <v>0</v>
      </c>
      <c r="DG1234" s="351"/>
      <c r="DH1234" s="351">
        <f>+DH1233/0.7</f>
        <v>0</v>
      </c>
      <c r="DI1234" s="351">
        <f ca="1">+DI1237*DI1238</f>
        <v>0</v>
      </c>
      <c r="DJ1234" s="351">
        <f ca="1">+DJ1233/0.7</f>
        <v>0</v>
      </c>
      <c r="DK1234" s="351"/>
      <c r="DL1234" s="351">
        <f ca="1">+DL1237*DL1238</f>
        <v>0</v>
      </c>
      <c r="DM1234" s="351">
        <f ca="1">+DM1237*DM1238</f>
        <v>0</v>
      </c>
      <c r="DN1234" s="351">
        <f ca="1">+DN1233/0.7</f>
        <v>0</v>
      </c>
      <c r="DO1234" s="351"/>
      <c r="DP1234" s="351">
        <f ca="1">+DP1237*DP1238</f>
        <v>0</v>
      </c>
      <c r="DQ1234" s="351">
        <f ca="1">+DQ1237*DQ1238</f>
        <v>0</v>
      </c>
      <c r="DR1234" s="351">
        <f ca="1">+DR1233/0.7</f>
        <v>0</v>
      </c>
      <c r="DS1234" s="351"/>
      <c r="DT1234" s="1"/>
      <c r="DU1234" s="1"/>
      <c r="DV1234" s="1"/>
      <c r="DW1234" s="1"/>
      <c r="DX1234" s="1"/>
      <c r="DY1234" s="1"/>
      <c r="DZ1234" s="1"/>
      <c r="EA1234" s="1"/>
      <c r="EB1234" s="1"/>
      <c r="EC1234" s="1"/>
      <c r="ED1234" s="1"/>
      <c r="EE1234" s="1"/>
      <c r="EF1234" s="1"/>
      <c r="EG1234" s="1"/>
      <c r="EH1234" s="1"/>
      <c r="EI1234" s="1"/>
      <c r="EJ1234" s="1"/>
      <c r="EK1234" s="1"/>
      <c r="EL1234" s="1"/>
      <c r="EM1234" s="1"/>
      <c r="EN1234" s="1"/>
      <c r="EO1234" s="1"/>
      <c r="EP1234" s="1"/>
      <c r="EQ1234" s="1"/>
      <c r="ER1234" s="1"/>
      <c r="ES1234" s="1"/>
      <c r="ET1234" s="1"/>
      <c r="EU1234" s="1"/>
      <c r="EV1234" s="1"/>
      <c r="EW1234" s="1"/>
      <c r="EX1234" s="1"/>
      <c r="EY1234" s="1"/>
      <c r="EZ1234" s="1"/>
      <c r="FA1234" s="1"/>
      <c r="FB1234" s="1"/>
      <c r="FC1234" s="1"/>
      <c r="FD1234" s="1"/>
      <c r="FE1234" s="1"/>
      <c r="FF1234" s="1"/>
      <c r="FG1234" s="1"/>
      <c r="FH1234" s="1"/>
      <c r="FI1234" s="1"/>
      <c r="FJ1234" s="1"/>
      <c r="FK1234" s="1"/>
      <c r="FL1234" s="1"/>
      <c r="FM1234" s="1"/>
      <c r="FN1234" s="1"/>
      <c r="FO1234" s="1"/>
      <c r="FP1234" s="1"/>
      <c r="FQ1234" s="1"/>
      <c r="FR1234" s="1"/>
      <c r="FS1234" s="1"/>
      <c r="FT1234" s="1"/>
      <c r="FU1234" s="1"/>
      <c r="FV1234" s="1"/>
      <c r="FW1234" s="1"/>
      <c r="FX1234" s="1"/>
      <c r="FY1234" s="1"/>
      <c r="FZ1234" s="1"/>
      <c r="GA1234" s="1"/>
      <c r="GB1234" s="1"/>
      <c r="GC1234" s="1"/>
      <c r="GD1234" s="1"/>
      <c r="GE1234" s="1"/>
      <c r="GF1234" s="1"/>
      <c r="GG1234" s="1"/>
      <c r="GH1234" s="1"/>
      <c r="GI1234" s="1"/>
      <c r="GJ1234" s="1"/>
      <c r="GK1234" s="1"/>
      <c r="GL1234" s="1"/>
      <c r="GM1234" s="1"/>
      <c r="GN1234" s="1"/>
      <c r="GO1234" s="1"/>
      <c r="GP1234" s="1"/>
      <c r="GQ1234" s="1"/>
      <c r="GR1234" s="1"/>
      <c r="GS1234" s="1"/>
      <c r="GT1234" s="1"/>
      <c r="GU1234" s="1"/>
      <c r="GV1234" s="1"/>
      <c r="GW1234" s="1"/>
      <c r="GX1234" s="1"/>
      <c r="GY1234" s="1"/>
      <c r="GZ1234" s="1"/>
      <c r="HA1234" s="1"/>
      <c r="HB1234" s="1"/>
      <c r="HC1234" s="1"/>
      <c r="HD1234" s="1"/>
      <c r="HE1234" s="1"/>
      <c r="HF1234" s="1"/>
      <c r="HG1234" s="1"/>
      <c r="HH1234" s="1"/>
      <c r="HI1234" s="1"/>
      <c r="HJ1234" s="1"/>
      <c r="HK1234" s="1"/>
      <c r="HL1234" s="1"/>
      <c r="HM1234" s="1"/>
      <c r="HN1234" s="1"/>
      <c r="HO1234" s="1"/>
      <c r="HP1234" s="1"/>
      <c r="HQ1234" s="1"/>
      <c r="HR1234" s="1"/>
      <c r="HS1234" s="1"/>
      <c r="HT1234" s="1"/>
      <c r="HU1234" s="1"/>
      <c r="HV1234" s="1"/>
      <c r="HW1234" s="1"/>
      <c r="HX1234" s="1"/>
      <c r="HY1234" s="1"/>
      <c r="HZ1234" s="1"/>
      <c r="IA1234" s="1"/>
      <c r="IB1234" s="1"/>
      <c r="IC1234" s="1"/>
      <c r="ID1234" s="1"/>
      <c r="IE1234" s="1"/>
      <c r="IF1234" s="1"/>
      <c r="IG1234" s="1"/>
      <c r="IH1234" s="1"/>
      <c r="II1234" s="1"/>
      <c r="IJ1234" s="1"/>
      <c r="IK1234" s="1"/>
      <c r="IL1234" s="1"/>
      <c r="IM1234" s="1"/>
      <c r="IN1234" s="1"/>
      <c r="IO1234" s="1"/>
      <c r="IP1234" s="1"/>
      <c r="IQ1234" s="1"/>
      <c r="IR1234" s="1"/>
      <c r="IS1234" s="1"/>
      <c r="IT1234" s="1"/>
      <c r="IU1234" s="1"/>
      <c r="IV1234" s="1"/>
      <c r="IW1234" s="1"/>
      <c r="IX1234" s="1"/>
      <c r="IY1234" s="1"/>
      <c r="IZ1234" s="1"/>
      <c r="JA1234" s="1"/>
      <c r="JB1234" s="1"/>
      <c r="JC1234" s="1"/>
      <c r="JD1234" s="1"/>
    </row>
    <row r="1235" spans="1:264" s="347" customFormat="1" x14ac:dyDescent="0.2">
      <c r="A1235" s="347" t="s">
        <v>304</v>
      </c>
      <c r="B1235" s="348"/>
      <c r="BH1235" s="351">
        <f>-BH251</f>
        <v>2858</v>
      </c>
      <c r="BI1235" s="351">
        <f>-BI251</f>
        <v>2858</v>
      </c>
      <c r="BJ1235" s="351">
        <f>-BJ251</f>
        <v>2858</v>
      </c>
      <c r="BK1235" s="351"/>
      <c r="BL1235" s="351">
        <f>-BL251</f>
        <v>2870</v>
      </c>
      <c r="BM1235" s="351">
        <f>-BM251</f>
        <v>2779</v>
      </c>
      <c r="BN1235" s="351">
        <f>-BN251</f>
        <v>2779</v>
      </c>
      <c r="BO1235" s="351"/>
      <c r="BP1235" s="351">
        <f>-BP251</f>
        <v>2763</v>
      </c>
      <c r="BQ1235" s="351">
        <f>-BQ251</f>
        <v>2762</v>
      </c>
      <c r="BR1235" s="351">
        <f>-BR251</f>
        <v>2762</v>
      </c>
      <c r="BS1235" s="351"/>
      <c r="BT1235" s="351">
        <f>-BT251</f>
        <v>2801</v>
      </c>
      <c r="BU1235" s="351">
        <f>-BU251</f>
        <v>2818</v>
      </c>
      <c r="BV1235" s="351">
        <f>-BV251</f>
        <v>2818</v>
      </c>
      <c r="BW1235" s="351"/>
      <c r="BX1235" s="351">
        <f>-BX251</f>
        <v>2807</v>
      </c>
      <c r="BY1235" s="351">
        <f>-BY251</f>
        <v>2747</v>
      </c>
      <c r="BZ1235" s="351">
        <f>-BZ251</f>
        <v>2747</v>
      </c>
      <c r="CA1235" s="351"/>
      <c r="CB1235" s="351">
        <f>-CB251</f>
        <v>2772</v>
      </c>
      <c r="CC1235" s="351">
        <f>-CC251</f>
        <v>2763</v>
      </c>
      <c r="CD1235" s="351">
        <f>-CD251</f>
        <v>2763</v>
      </c>
      <c r="CE1235" s="351"/>
      <c r="CF1235" s="351">
        <f>-CF251</f>
        <v>3814</v>
      </c>
      <c r="CG1235" s="351">
        <f>-CG251</f>
        <v>3904</v>
      </c>
      <c r="CH1235" s="351">
        <f>-CH251</f>
        <v>3904</v>
      </c>
      <c r="CI1235" s="351"/>
      <c r="CJ1235" s="351">
        <f>-CJ251</f>
        <v>4067</v>
      </c>
      <c r="CK1235" s="351">
        <f>-CK251</f>
        <v>5396</v>
      </c>
      <c r="CL1235" s="351">
        <f>-CL251</f>
        <v>5396</v>
      </c>
      <c r="CM1235" s="351"/>
      <c r="CN1235" s="351">
        <f>-CN251</f>
        <v>5943</v>
      </c>
      <c r="CO1235" s="351">
        <f>-CO251</f>
        <v>5311</v>
      </c>
      <c r="CP1235" s="351">
        <f>-CP251</f>
        <v>5311</v>
      </c>
      <c r="CQ1235" s="351"/>
      <c r="CR1235" s="351">
        <f>-CR251</f>
        <v>5062</v>
      </c>
      <c r="CS1235" s="351">
        <f>-CS251</f>
        <v>4611</v>
      </c>
      <c r="CT1235" s="351">
        <f>-CT251</f>
        <v>4611</v>
      </c>
      <c r="CU1235" s="351"/>
      <c r="CV1235" s="351">
        <f>-CV251</f>
        <v>4900</v>
      </c>
      <c r="CW1235" s="351">
        <f>-CW251</f>
        <v>5196</v>
      </c>
      <c r="CX1235" s="351">
        <f>-CX251</f>
        <v>5196</v>
      </c>
      <c r="CY1235" s="351"/>
      <c r="CZ1235" s="351">
        <f>-CZ251</f>
        <v>5330</v>
      </c>
      <c r="DA1235" s="351">
        <f>-DA251</f>
        <v>5423</v>
      </c>
      <c r="DB1235" s="351">
        <f>-DB251</f>
        <v>5423</v>
      </c>
      <c r="DC1235" s="351"/>
      <c r="DD1235" s="351">
        <f>-DD251</f>
        <v>5492</v>
      </c>
      <c r="DE1235" s="351">
        <f>-DE251</f>
        <v>5561</v>
      </c>
      <c r="DF1235" s="351">
        <f>-DF251</f>
        <v>5561</v>
      </c>
      <c r="DG1235" s="351"/>
      <c r="DH1235" s="351">
        <f>-DH251</f>
        <v>5542</v>
      </c>
      <c r="DI1235" s="351">
        <f ca="1">-DI251</f>
        <v>5561.3038849236655</v>
      </c>
      <c r="DJ1235" s="351">
        <f ca="1">-DJ251</f>
        <v>5561.3038849236655</v>
      </c>
      <c r="DK1235" s="351"/>
      <c r="DL1235" s="351">
        <f ca="1">-DL251</f>
        <v>5583.0200919583986</v>
      </c>
      <c r="DM1235" s="351">
        <f ca="1">-DM251</f>
        <v>5631.3131545897095</v>
      </c>
      <c r="DN1235" s="351">
        <f ca="1">-DN251</f>
        <v>5631.3131545897095</v>
      </c>
      <c r="DO1235" s="351"/>
      <c r="DP1235" s="351">
        <f ca="1">-DP251</f>
        <v>5759.6700243500791</v>
      </c>
      <c r="DQ1235" s="351">
        <f ca="1">-DQ251</f>
        <v>5909.8765641355576</v>
      </c>
      <c r="DR1235" s="351">
        <f ca="1">-DR251</f>
        <v>5909.8765641355576</v>
      </c>
      <c r="DS1235" s="351"/>
      <c r="DT1235" s="1"/>
      <c r="DU1235" s="1"/>
      <c r="DV1235" s="1"/>
      <c r="DW1235" s="1"/>
      <c r="DX1235" s="1"/>
      <c r="DY1235" s="1"/>
      <c r="DZ1235" s="1"/>
      <c r="EA1235" s="1"/>
      <c r="EB1235" s="1"/>
      <c r="EC1235" s="1"/>
      <c r="ED1235" s="1"/>
      <c r="EE1235" s="1"/>
      <c r="EF1235" s="1"/>
      <c r="EG1235" s="1"/>
      <c r="EH1235" s="1"/>
      <c r="EI1235" s="1"/>
      <c r="EJ1235" s="1"/>
      <c r="EK1235" s="1"/>
      <c r="EL1235" s="1"/>
      <c r="EM1235" s="1"/>
      <c r="EN1235" s="1"/>
      <c r="EO1235" s="1"/>
      <c r="EP1235" s="1"/>
      <c r="EQ1235" s="1"/>
      <c r="ER1235" s="1"/>
      <c r="ES1235" s="1"/>
      <c r="ET1235" s="1"/>
      <c r="EU1235" s="1"/>
      <c r="EV1235" s="1"/>
      <c r="EW1235" s="1"/>
      <c r="EX1235" s="1"/>
      <c r="EY1235" s="1"/>
      <c r="EZ1235" s="1"/>
      <c r="FA1235" s="1"/>
      <c r="FB1235" s="1"/>
      <c r="FC1235" s="1"/>
      <c r="FD1235" s="1"/>
      <c r="FE1235" s="1"/>
      <c r="FF1235" s="1"/>
      <c r="FG1235" s="1"/>
      <c r="FH1235" s="1"/>
      <c r="FI1235" s="1"/>
      <c r="FJ1235" s="1"/>
      <c r="FK1235" s="1"/>
      <c r="FL1235" s="1"/>
      <c r="FM1235" s="1"/>
      <c r="FN1235" s="1"/>
      <c r="FO1235" s="1"/>
      <c r="FP1235" s="1"/>
      <c r="FQ1235" s="1"/>
      <c r="FR1235" s="1"/>
      <c r="FS1235" s="1"/>
      <c r="FT1235" s="1"/>
      <c r="FU1235" s="1"/>
      <c r="FV1235" s="1"/>
      <c r="FW1235" s="1"/>
      <c r="FX1235" s="1"/>
      <c r="FY1235" s="1"/>
      <c r="FZ1235" s="1"/>
      <c r="GA1235" s="1"/>
      <c r="GB1235" s="1"/>
      <c r="GC1235" s="1"/>
      <c r="GD1235" s="1"/>
      <c r="GE1235" s="1"/>
      <c r="GF1235" s="1"/>
      <c r="GG1235" s="1"/>
      <c r="GH1235" s="1"/>
      <c r="GI1235" s="1"/>
      <c r="GJ1235" s="1"/>
      <c r="GK1235" s="1"/>
      <c r="GL1235" s="1"/>
      <c r="GM1235" s="1"/>
      <c r="GN1235" s="1"/>
      <c r="GO1235" s="1"/>
      <c r="GP1235" s="1"/>
      <c r="GQ1235" s="1"/>
      <c r="GR1235" s="1"/>
      <c r="GS1235" s="1"/>
      <c r="GT1235" s="1"/>
      <c r="GU1235" s="1"/>
      <c r="GV1235" s="1"/>
      <c r="GW1235" s="1"/>
      <c r="GX1235" s="1"/>
      <c r="GY1235" s="1"/>
      <c r="GZ1235" s="1"/>
      <c r="HA1235" s="1"/>
      <c r="HB1235" s="1"/>
      <c r="HC1235" s="1"/>
      <c r="HD1235" s="1"/>
      <c r="HE1235" s="1"/>
      <c r="HF1235" s="1"/>
      <c r="HG1235" s="1"/>
      <c r="HH1235" s="1"/>
      <c r="HI1235" s="1"/>
      <c r="HJ1235" s="1"/>
      <c r="HK1235" s="1"/>
      <c r="HL1235" s="1"/>
      <c r="HM1235" s="1"/>
      <c r="HN1235" s="1"/>
      <c r="HO1235" s="1"/>
      <c r="HP1235" s="1"/>
      <c r="HQ1235" s="1"/>
      <c r="HR1235" s="1"/>
      <c r="HS1235" s="1"/>
      <c r="HT1235" s="1"/>
      <c r="HU1235" s="1"/>
      <c r="HV1235" s="1"/>
      <c r="HW1235" s="1"/>
      <c r="HX1235" s="1"/>
      <c r="HY1235" s="1"/>
      <c r="HZ1235" s="1"/>
      <c r="IA1235" s="1"/>
      <c r="IB1235" s="1"/>
      <c r="IC1235" s="1"/>
      <c r="ID1235" s="1"/>
      <c r="IE1235" s="1"/>
      <c r="IF1235" s="1"/>
      <c r="IG1235" s="1"/>
      <c r="IH1235" s="1"/>
      <c r="II1235" s="1"/>
      <c r="IJ1235" s="1"/>
      <c r="IK1235" s="1"/>
      <c r="IL1235" s="1"/>
      <c r="IM1235" s="1"/>
      <c r="IN1235" s="1"/>
      <c r="IO1235" s="1"/>
      <c r="IP1235" s="1"/>
      <c r="IQ1235" s="1"/>
      <c r="IR1235" s="1"/>
      <c r="IS1235" s="1"/>
      <c r="IT1235" s="1"/>
      <c r="IU1235" s="1"/>
      <c r="IV1235" s="1"/>
      <c r="IW1235" s="1"/>
      <c r="IX1235" s="1"/>
      <c r="IY1235" s="1"/>
      <c r="IZ1235" s="1"/>
      <c r="JA1235" s="1"/>
      <c r="JB1235" s="1"/>
      <c r="JC1235" s="1"/>
      <c r="JD1235" s="1"/>
    </row>
    <row r="1236" spans="1:264" s="347" customFormat="1" x14ac:dyDescent="0.2">
      <c r="A1236" s="347" t="s">
        <v>828</v>
      </c>
      <c r="B1236" s="348"/>
      <c r="BH1236" s="351">
        <f>+BH1234+BH1235</f>
        <v>2858</v>
      </c>
      <c r="BI1236" s="351">
        <f>+BI1234+BI1235</f>
        <v>3155.1428571428573</v>
      </c>
      <c r="BJ1236" s="351">
        <f>+BJ1234+BJ1235</f>
        <v>3155.1428571428573</v>
      </c>
      <c r="BK1236" s="351"/>
      <c r="BL1236" s="351">
        <f>+BL1234+BL1235</f>
        <v>3152.8571428571431</v>
      </c>
      <c r="BM1236" s="351">
        <f>+BM1234+BM1235</f>
        <v>3084.7142857142858</v>
      </c>
      <c r="BN1236" s="351">
        <f>+BN1234+BN1235</f>
        <v>3084.7142857142858</v>
      </c>
      <c r="BO1236" s="351"/>
      <c r="BP1236" s="351">
        <f>+BP1234+BP1235</f>
        <v>3084.4285714285716</v>
      </c>
      <c r="BQ1236" s="351">
        <f>+BQ1234+BQ1235</f>
        <v>3107.7142857142858</v>
      </c>
      <c r="BR1236" s="351">
        <f>+BR1234+BR1235</f>
        <v>3107.7142857142858</v>
      </c>
      <c r="BS1236" s="351"/>
      <c r="BT1236" s="351">
        <f>+BT1234+BT1235</f>
        <v>3186.7142857142858</v>
      </c>
      <c r="BU1236" s="351">
        <f>+BU1234+BU1235</f>
        <v>3369.4285714285716</v>
      </c>
      <c r="BV1236" s="351">
        <f>+BV1234+BV1235</f>
        <v>3369.4285714285716</v>
      </c>
      <c r="BW1236" s="351"/>
      <c r="BX1236" s="351">
        <f>+BX1234+BX1235</f>
        <v>3338.4285714285716</v>
      </c>
      <c r="BY1236" s="351">
        <f>+BY1234+BY1235</f>
        <v>3335.5714285714284</v>
      </c>
      <c r="BZ1236" s="351">
        <f>+BZ1234+BZ1235</f>
        <v>3335.5714285714284</v>
      </c>
      <c r="CA1236" s="351"/>
      <c r="CB1236" s="351">
        <f>+CB1234+CB1235</f>
        <v>3326.2857142857142</v>
      </c>
      <c r="CC1236" s="351">
        <f>+CC1234+CC1235</f>
        <v>3351.5714285714284</v>
      </c>
      <c r="CD1236" s="351">
        <f>+CD1234+CD1235</f>
        <v>3351.5714285714284</v>
      </c>
      <c r="CE1236" s="351"/>
      <c r="CF1236" s="351">
        <f>+CF1234+CF1235</f>
        <v>4354</v>
      </c>
      <c r="CG1236" s="351">
        <f>+CG1234+CG1235</f>
        <v>4418.2857142857147</v>
      </c>
      <c r="CH1236" s="351">
        <f>+CH1234+CH1235</f>
        <v>4418.2857142857147</v>
      </c>
      <c r="CI1236" s="351"/>
      <c r="CJ1236" s="351">
        <f>+CJ1234+CJ1235</f>
        <v>4067</v>
      </c>
      <c r="CK1236" s="351">
        <f>+CK1234+CK1235</f>
        <v>5396</v>
      </c>
      <c r="CL1236" s="351">
        <f>+CL1234+CL1235</f>
        <v>5396</v>
      </c>
      <c r="CM1236" s="351"/>
      <c r="CN1236" s="351">
        <f>+CN1234+CN1235</f>
        <v>5943</v>
      </c>
      <c r="CO1236" s="351">
        <f>+CO1234+CO1235</f>
        <v>5311</v>
      </c>
      <c r="CP1236" s="351">
        <f>+CP1234+CP1235</f>
        <v>5311</v>
      </c>
      <c r="CQ1236" s="351"/>
      <c r="CR1236" s="351">
        <f>+CR1234+CR1235</f>
        <v>5062</v>
      </c>
      <c r="CS1236" s="351">
        <f>+CS1234+CS1235</f>
        <v>4611</v>
      </c>
      <c r="CT1236" s="351">
        <f>+CT1234+CT1235</f>
        <v>4611</v>
      </c>
      <c r="CU1236" s="351"/>
      <c r="CV1236" s="351">
        <f>+CV1234+CV1235</f>
        <v>4900</v>
      </c>
      <c r="CW1236" s="351">
        <f>+CW1234+CW1235</f>
        <v>5196</v>
      </c>
      <c r="CX1236" s="351">
        <f>+CX1234+CX1235</f>
        <v>5196</v>
      </c>
      <c r="CY1236" s="351"/>
      <c r="CZ1236" s="351">
        <f>+CZ1234+CZ1235</f>
        <v>5330</v>
      </c>
      <c r="DA1236" s="351">
        <f>+DA1234+DA1235</f>
        <v>5423</v>
      </c>
      <c r="DB1236" s="351">
        <f>+DB1234+DB1235</f>
        <v>5423</v>
      </c>
      <c r="DC1236" s="351"/>
      <c r="DD1236" s="351">
        <f>+DD1234+DD1235</f>
        <v>5492</v>
      </c>
      <c r="DE1236" s="351">
        <f>+DE1234+DE1235</f>
        <v>5561</v>
      </c>
      <c r="DF1236" s="351">
        <f>+DF1234+DF1235</f>
        <v>5561</v>
      </c>
      <c r="DG1236" s="351"/>
      <c r="DH1236" s="351">
        <f>+DH1234+DH1235</f>
        <v>5542</v>
      </c>
      <c r="DI1236" s="351">
        <f ca="1">+DI1234+DI1235</f>
        <v>5561.3038849236655</v>
      </c>
      <c r="DJ1236" s="351">
        <f ca="1">+DJ1234+DJ1235</f>
        <v>5561.3038849236655</v>
      </c>
      <c r="DK1236" s="351"/>
      <c r="DL1236" s="351">
        <f ca="1">+DL1234+DL1235</f>
        <v>5583.0200919583986</v>
      </c>
      <c r="DM1236" s="351">
        <f ca="1">+DM1234+DM1235</f>
        <v>5631.3131545897095</v>
      </c>
      <c r="DN1236" s="351">
        <f ca="1">+DN1234+DN1235</f>
        <v>5631.3131545897095</v>
      </c>
      <c r="DO1236" s="351"/>
      <c r="DP1236" s="351">
        <f ca="1">+DP1234+DP1235</f>
        <v>5759.6700243500791</v>
      </c>
      <c r="DQ1236" s="351">
        <f ca="1">+DQ1234+DQ1235</f>
        <v>5909.8765641355576</v>
      </c>
      <c r="DR1236" s="351">
        <f ca="1">+DR1234+DR1235</f>
        <v>5909.8765641355576</v>
      </c>
      <c r="DS1236" s="351"/>
      <c r="DT1236" s="1"/>
      <c r="DU1236" s="1"/>
      <c r="DV1236" s="1"/>
      <c r="DW1236" s="1"/>
      <c r="DX1236" s="1"/>
      <c r="DY1236" s="1"/>
      <c r="DZ1236" s="1"/>
      <c r="EA1236" s="1"/>
      <c r="EB1236" s="1"/>
      <c r="EC1236" s="1"/>
      <c r="ED1236" s="1"/>
      <c r="EE1236" s="1"/>
      <c r="EF1236" s="1"/>
      <c r="EG1236" s="1"/>
      <c r="EH1236" s="1"/>
      <c r="EI1236" s="1"/>
      <c r="EJ1236" s="1"/>
      <c r="EK1236" s="1"/>
      <c r="EL1236" s="1"/>
      <c r="EM1236" s="1"/>
      <c r="EN1236" s="1"/>
      <c r="EO1236" s="1"/>
      <c r="EP1236" s="1"/>
      <c r="EQ1236" s="1"/>
      <c r="ER1236" s="1"/>
      <c r="ES1236" s="1"/>
      <c r="ET1236" s="1"/>
      <c r="EU1236" s="1"/>
      <c r="EV1236" s="1"/>
      <c r="EW1236" s="1"/>
      <c r="EX1236" s="1"/>
      <c r="EY1236" s="1"/>
      <c r="EZ1236" s="1"/>
      <c r="FA1236" s="1"/>
      <c r="FB1236" s="1"/>
      <c r="FC1236" s="1"/>
      <c r="FD1236" s="1"/>
      <c r="FE1236" s="1"/>
      <c r="FF1236" s="1"/>
      <c r="FG1236" s="1"/>
      <c r="FH1236" s="1"/>
      <c r="FI1236" s="1"/>
      <c r="FJ1236" s="1"/>
      <c r="FK1236" s="1"/>
      <c r="FL1236" s="1"/>
      <c r="FM1236" s="1"/>
      <c r="FN1236" s="1"/>
      <c r="FO1236" s="1"/>
      <c r="FP1236" s="1"/>
      <c r="FQ1236" s="1"/>
      <c r="FR1236" s="1"/>
      <c r="FS1236" s="1"/>
      <c r="FT1236" s="1"/>
      <c r="FU1236" s="1"/>
      <c r="FV1236" s="1"/>
      <c r="FW1236" s="1"/>
      <c r="FX1236" s="1"/>
      <c r="FY1236" s="1"/>
      <c r="FZ1236" s="1"/>
      <c r="GA1236" s="1"/>
      <c r="GB1236" s="1"/>
      <c r="GC1236" s="1"/>
      <c r="GD1236" s="1"/>
      <c r="GE1236" s="1"/>
      <c r="GF1236" s="1"/>
      <c r="GG1236" s="1"/>
      <c r="GH1236" s="1"/>
      <c r="GI1236" s="1"/>
      <c r="GJ1236" s="1"/>
      <c r="GK1236" s="1"/>
      <c r="GL1236" s="1"/>
      <c r="GM1236" s="1"/>
      <c r="GN1236" s="1"/>
      <c r="GO1236" s="1"/>
      <c r="GP1236" s="1"/>
      <c r="GQ1236" s="1"/>
      <c r="GR1236" s="1"/>
      <c r="GS1236" s="1"/>
      <c r="GT1236" s="1"/>
      <c r="GU1236" s="1"/>
      <c r="GV1236" s="1"/>
      <c r="GW1236" s="1"/>
      <c r="GX1236" s="1"/>
      <c r="GY1236" s="1"/>
      <c r="GZ1236" s="1"/>
      <c r="HA1236" s="1"/>
      <c r="HB1236" s="1"/>
      <c r="HC1236" s="1"/>
      <c r="HD1236" s="1"/>
      <c r="HE1236" s="1"/>
      <c r="HF1236" s="1"/>
      <c r="HG1236" s="1"/>
      <c r="HH1236" s="1"/>
      <c r="HI1236" s="1"/>
      <c r="HJ1236" s="1"/>
      <c r="HK1236" s="1"/>
      <c r="HL1236" s="1"/>
      <c r="HM1236" s="1"/>
      <c r="HN1236" s="1"/>
      <c r="HO1236" s="1"/>
      <c r="HP1236" s="1"/>
      <c r="HQ1236" s="1"/>
      <c r="HR1236" s="1"/>
      <c r="HS1236" s="1"/>
      <c r="HT1236" s="1"/>
      <c r="HU1236" s="1"/>
      <c r="HV1236" s="1"/>
      <c r="HW1236" s="1"/>
      <c r="HX1236" s="1"/>
      <c r="HY1236" s="1"/>
      <c r="HZ1236" s="1"/>
      <c r="IA1236" s="1"/>
      <c r="IB1236" s="1"/>
      <c r="IC1236" s="1"/>
      <c r="ID1236" s="1"/>
      <c r="IE1236" s="1"/>
      <c r="IF1236" s="1"/>
      <c r="IG1236" s="1"/>
      <c r="IH1236" s="1"/>
      <c r="II1236" s="1"/>
      <c r="IJ1236" s="1"/>
      <c r="IK1236" s="1"/>
      <c r="IL1236" s="1"/>
      <c r="IM1236" s="1"/>
      <c r="IN1236" s="1"/>
      <c r="IO1236" s="1"/>
      <c r="IP1236" s="1"/>
      <c r="IQ1236" s="1"/>
      <c r="IR1236" s="1"/>
      <c r="IS1236" s="1"/>
      <c r="IT1236" s="1"/>
      <c r="IU1236" s="1"/>
      <c r="IV1236" s="1"/>
      <c r="IW1236" s="1"/>
      <c r="IX1236" s="1"/>
      <c r="IY1236" s="1"/>
      <c r="IZ1236" s="1"/>
      <c r="JA1236" s="1"/>
      <c r="JB1236" s="1"/>
      <c r="JC1236" s="1"/>
      <c r="JD1236" s="1"/>
    </row>
    <row r="1237" spans="1:264" s="347" customFormat="1" x14ac:dyDescent="0.2">
      <c r="A1237" s="347" t="s">
        <v>324</v>
      </c>
      <c r="B1237" s="348"/>
      <c r="BH1237" s="351">
        <f>BH1310</f>
        <v>314942</v>
      </c>
      <c r="BI1237" s="351">
        <f>BI1310</f>
        <v>329158</v>
      </c>
      <c r="BJ1237" s="351">
        <f>BJ1310</f>
        <v>329158</v>
      </c>
      <c r="BK1237" s="351"/>
      <c r="BL1237" s="351">
        <f>BL1310</f>
        <v>334197</v>
      </c>
      <c r="BM1237" s="351">
        <f>BM1310</f>
        <v>337715</v>
      </c>
      <c r="BN1237" s="351">
        <f>BN1310</f>
        <v>337715</v>
      </c>
      <c r="BO1237" s="351"/>
      <c r="BP1237" s="351">
        <f>BP1310</f>
        <v>353048</v>
      </c>
      <c r="BQ1237" s="351">
        <f>BQ1310</f>
        <v>368721</v>
      </c>
      <c r="BR1237" s="351">
        <f>BR1310</f>
        <v>368721</v>
      </c>
      <c r="BS1237" s="351"/>
      <c r="BT1237" s="351">
        <f>BT1310</f>
        <v>392662</v>
      </c>
      <c r="BU1237" s="351">
        <f>BU1310</f>
        <v>394667</v>
      </c>
      <c r="BV1237" s="351">
        <f>BV1310</f>
        <v>394667</v>
      </c>
      <c r="BW1237" s="351"/>
      <c r="BX1237" s="351">
        <f>BX1310</f>
        <v>436481</v>
      </c>
      <c r="BY1237" s="351">
        <f>BY1310</f>
        <v>437063</v>
      </c>
      <c r="BZ1237" s="351">
        <f>BZ1310</f>
        <v>437063</v>
      </c>
      <c r="CA1237" s="351"/>
      <c r="CB1237" s="351">
        <f>CB1310</f>
        <v>440836</v>
      </c>
      <c r="CC1237" s="351">
        <f>CC1310</f>
        <v>458612</v>
      </c>
      <c r="CD1237" s="351">
        <f>CD1310</f>
        <v>458612</v>
      </c>
      <c r="CE1237" s="351"/>
      <c r="CF1237" s="351">
        <f>CF1310</f>
        <v>445144</v>
      </c>
      <c r="CG1237" s="351">
        <f>CG1310</f>
        <v>452762</v>
      </c>
      <c r="CH1237" s="351">
        <f>CH1310</f>
        <v>452762</v>
      </c>
      <c r="CI1237" s="351"/>
      <c r="CJ1237" s="351">
        <f>CJ1310</f>
        <v>449154</v>
      </c>
      <c r="CK1237" s="351">
        <f>CK1310</f>
        <v>454948</v>
      </c>
      <c r="CL1237" s="351">
        <f>CL1310</f>
        <v>454948</v>
      </c>
      <c r="CM1237" s="351"/>
      <c r="CN1237" s="351">
        <f>CN1310</f>
        <v>453616</v>
      </c>
      <c r="CO1237" s="351">
        <f>CO1310</f>
        <v>450680</v>
      </c>
      <c r="CP1237" s="351">
        <f>CP1310</f>
        <v>450680</v>
      </c>
      <c r="CQ1237" s="351"/>
      <c r="CR1237" s="351">
        <f>CR1310</f>
        <v>471927</v>
      </c>
      <c r="CS1237" s="351">
        <f>CS1310</f>
        <v>497892</v>
      </c>
      <c r="CT1237" s="351">
        <f>CT1310</f>
        <v>497892</v>
      </c>
      <c r="CU1237" s="351"/>
      <c r="CV1237" s="351">
        <f>CV1310</f>
        <v>504380</v>
      </c>
      <c r="CW1237" s="351">
        <f>CW1310</f>
        <v>467992</v>
      </c>
      <c r="CX1237" s="351">
        <f>CX1310</f>
        <v>467992</v>
      </c>
      <c r="CY1237" s="351"/>
      <c r="CZ1237" s="351">
        <f>CZ1310</f>
        <v>463644</v>
      </c>
      <c r="DA1237" s="351">
        <f>DA1310</f>
        <v>467551</v>
      </c>
      <c r="DB1237" s="351">
        <f>DB1310</f>
        <v>467551</v>
      </c>
      <c r="DC1237" s="351"/>
      <c r="DD1237" s="351">
        <f>DD1310</f>
        <v>482369</v>
      </c>
      <c r="DE1237" s="351">
        <f>DE1310</f>
        <v>496145</v>
      </c>
      <c r="DF1237" s="351">
        <f>DF1310</f>
        <v>496145</v>
      </c>
      <c r="DG1237" s="351"/>
      <c r="DH1237" s="351">
        <f>DH1310</f>
        <v>505310</v>
      </c>
      <c r="DI1237" s="351">
        <f ca="1">DI1310</f>
        <v>521741.34049958026</v>
      </c>
      <c r="DJ1237" s="351">
        <f ca="1">DJ1310</f>
        <v>521741.34049958026</v>
      </c>
      <c r="DK1237" s="351"/>
      <c r="DL1237" s="351">
        <f ca="1">DL1310</f>
        <v>536210.95051395218</v>
      </c>
      <c r="DM1237" s="351">
        <f ca="1">DM1310</f>
        <v>553612.97920815484</v>
      </c>
      <c r="DN1237" s="351">
        <f ca="1">DN1310</f>
        <v>553612.97920815484</v>
      </c>
      <c r="DO1237" s="351"/>
      <c r="DP1237" s="351">
        <f ca="1">DP1310</f>
        <v>566286.65944311023</v>
      </c>
      <c r="DQ1237" s="351">
        <f ca="1">DQ1310</f>
        <v>580940.89526119281</v>
      </c>
      <c r="DR1237" s="351">
        <f ca="1">DR1310</f>
        <v>580940.89526119281</v>
      </c>
      <c r="DS1237" s="351"/>
      <c r="DT1237" s="1"/>
      <c r="DU1237" s="1"/>
      <c r="DV1237" s="1"/>
      <c r="DW1237" s="1"/>
      <c r="DX1237" s="1"/>
      <c r="DY1237" s="1"/>
      <c r="DZ1237" s="1"/>
      <c r="EA1237" s="1"/>
      <c r="EB1237" s="1"/>
      <c r="EC1237" s="1"/>
      <c r="ED1237" s="1"/>
      <c r="EE1237" s="1"/>
      <c r="EF1237" s="1"/>
      <c r="EG1237" s="1"/>
      <c r="EH1237" s="1"/>
      <c r="EI1237" s="1"/>
      <c r="EJ1237" s="1"/>
      <c r="EK1237" s="1"/>
      <c r="EL1237" s="1"/>
      <c r="EM1237" s="1"/>
      <c r="EN1237" s="1"/>
      <c r="EO1237" s="1"/>
      <c r="EP1237" s="1"/>
      <c r="EQ1237" s="1"/>
      <c r="ER1237" s="1"/>
      <c r="ES1237" s="1"/>
      <c r="ET1237" s="1"/>
      <c r="EU1237" s="1"/>
      <c r="EV1237" s="1"/>
      <c r="EW1237" s="1"/>
      <c r="EX1237" s="1"/>
      <c r="EY1237" s="1"/>
      <c r="EZ1237" s="1"/>
      <c r="FA1237" s="1"/>
      <c r="FB1237" s="1"/>
      <c r="FC1237" s="1"/>
      <c r="FD1237" s="1"/>
      <c r="FE1237" s="1"/>
      <c r="FF1237" s="1"/>
      <c r="FG1237" s="1"/>
      <c r="FH1237" s="1"/>
      <c r="FI1237" s="1"/>
      <c r="FJ1237" s="1"/>
      <c r="FK1237" s="1"/>
      <c r="FL1237" s="1"/>
      <c r="FM1237" s="1"/>
      <c r="FN1237" s="1"/>
      <c r="FO1237" s="1"/>
      <c r="FP1237" s="1"/>
      <c r="FQ1237" s="1"/>
      <c r="FR1237" s="1"/>
      <c r="FS1237" s="1"/>
      <c r="FT1237" s="1"/>
      <c r="FU1237" s="1"/>
      <c r="FV1237" s="1"/>
      <c r="FW1237" s="1"/>
      <c r="FX1237" s="1"/>
      <c r="FY1237" s="1"/>
      <c r="FZ1237" s="1"/>
      <c r="GA1237" s="1"/>
      <c r="GB1237" s="1"/>
      <c r="GC1237" s="1"/>
      <c r="GD1237" s="1"/>
      <c r="GE1237" s="1"/>
      <c r="GF1237" s="1"/>
      <c r="GG1237" s="1"/>
      <c r="GH1237" s="1"/>
      <c r="GI1237" s="1"/>
      <c r="GJ1237" s="1"/>
      <c r="GK1237" s="1"/>
      <c r="GL1237" s="1"/>
      <c r="GM1237" s="1"/>
      <c r="GN1237" s="1"/>
      <c r="GO1237" s="1"/>
      <c r="GP1237" s="1"/>
      <c r="GQ1237" s="1"/>
      <c r="GR1237" s="1"/>
      <c r="GS1237" s="1"/>
      <c r="GT1237" s="1"/>
      <c r="GU1237" s="1"/>
      <c r="GV1237" s="1"/>
      <c r="GW1237" s="1"/>
      <c r="GX1237" s="1"/>
      <c r="GY1237" s="1"/>
      <c r="GZ1237" s="1"/>
      <c r="HA1237" s="1"/>
      <c r="HB1237" s="1"/>
      <c r="HC1237" s="1"/>
      <c r="HD1237" s="1"/>
      <c r="HE1237" s="1"/>
      <c r="HF1237" s="1"/>
      <c r="HG1237" s="1"/>
      <c r="HH1237" s="1"/>
      <c r="HI1237" s="1"/>
      <c r="HJ1237" s="1"/>
      <c r="HK1237" s="1"/>
      <c r="HL1237" s="1"/>
      <c r="HM1237" s="1"/>
      <c r="HN1237" s="1"/>
      <c r="HO1237" s="1"/>
      <c r="HP1237" s="1"/>
      <c r="HQ1237" s="1"/>
      <c r="HR1237" s="1"/>
      <c r="HS1237" s="1"/>
      <c r="HT1237" s="1"/>
      <c r="HU1237" s="1"/>
      <c r="HV1237" s="1"/>
      <c r="HW1237" s="1"/>
      <c r="HX1237" s="1"/>
      <c r="HY1237" s="1"/>
      <c r="HZ1237" s="1"/>
      <c r="IA1237" s="1"/>
      <c r="IB1237" s="1"/>
      <c r="IC1237" s="1"/>
      <c r="ID1237" s="1"/>
      <c r="IE1237" s="1"/>
      <c r="IF1237" s="1"/>
      <c r="IG1237" s="1"/>
      <c r="IH1237" s="1"/>
      <c r="II1237" s="1"/>
      <c r="IJ1237" s="1"/>
      <c r="IK1237" s="1"/>
      <c r="IL1237" s="1"/>
      <c r="IM1237" s="1"/>
      <c r="IN1237" s="1"/>
      <c r="IO1237" s="1"/>
      <c r="IP1237" s="1"/>
      <c r="IQ1237" s="1"/>
      <c r="IR1237" s="1"/>
      <c r="IS1237" s="1"/>
      <c r="IT1237" s="1"/>
      <c r="IU1237" s="1"/>
      <c r="IV1237" s="1"/>
      <c r="IW1237" s="1"/>
      <c r="IX1237" s="1"/>
      <c r="IY1237" s="1"/>
      <c r="IZ1237" s="1"/>
      <c r="JA1237" s="1"/>
      <c r="JB1237" s="1"/>
      <c r="JC1237" s="1"/>
      <c r="JD1237" s="1"/>
    </row>
    <row r="1238" spans="1:264" s="347" customFormat="1" x14ac:dyDescent="0.2">
      <c r="A1238" s="477" t="s">
        <v>829</v>
      </c>
      <c r="B1238" s="446"/>
      <c r="C1238" s="447"/>
      <c r="D1238" s="447"/>
      <c r="E1238" s="447"/>
      <c r="F1238" s="447"/>
      <c r="G1238" s="447"/>
      <c r="H1238" s="447"/>
      <c r="I1238" s="447"/>
      <c r="J1238" s="447"/>
      <c r="K1238" s="447"/>
      <c r="L1238" s="447"/>
      <c r="M1238" s="447"/>
      <c r="N1238" s="447"/>
      <c r="O1238" s="447"/>
      <c r="P1238" s="447"/>
      <c r="Q1238" s="447"/>
      <c r="R1238" s="447"/>
      <c r="S1238" s="447"/>
      <c r="T1238" s="447"/>
      <c r="U1238" s="447"/>
      <c r="V1238" s="447"/>
      <c r="W1238" s="447"/>
      <c r="X1238" s="447"/>
      <c r="Y1238" s="447"/>
      <c r="Z1238" s="447"/>
      <c r="AA1238" s="447"/>
      <c r="AB1238" s="447"/>
      <c r="AC1238" s="447"/>
      <c r="AD1238" s="447"/>
      <c r="AE1238" s="447"/>
      <c r="AF1238" s="447"/>
      <c r="AG1238" s="447"/>
      <c r="AH1238" s="447"/>
      <c r="AI1238" s="447"/>
      <c r="AJ1238" s="447"/>
      <c r="AK1238" s="447"/>
      <c r="AL1238" s="447"/>
      <c r="AM1238" s="447"/>
      <c r="AN1238" s="447"/>
      <c r="AO1238" s="447"/>
      <c r="AP1238" s="447"/>
      <c r="AQ1238" s="447"/>
      <c r="AR1238" s="447"/>
      <c r="AS1238" s="447"/>
      <c r="AT1238" s="447"/>
      <c r="AU1238" s="447"/>
      <c r="AV1238" s="447"/>
      <c r="AW1238" s="447"/>
      <c r="AX1238" s="447"/>
      <c r="AY1238" s="447"/>
      <c r="AZ1238" s="447"/>
      <c r="BA1238" s="447"/>
      <c r="BB1238" s="447"/>
      <c r="BC1238" s="447"/>
      <c r="BD1238" s="447"/>
      <c r="BE1238" s="447"/>
      <c r="BF1238" s="447"/>
      <c r="BG1238" s="447"/>
      <c r="BH1238" s="449"/>
      <c r="BI1238" s="449"/>
      <c r="BJ1238" s="449"/>
      <c r="BK1238" s="449"/>
      <c r="BL1238" s="573">
        <f>+BL1234/BL1237</f>
        <v>8.4637846197644772E-4</v>
      </c>
      <c r="BM1238" s="573">
        <f>+BM1234/BM1237</f>
        <v>9.0524343222624321E-4</v>
      </c>
      <c r="BN1238" s="573">
        <f>+BN1234/BN1237</f>
        <v>9.0524343222624321E-4</v>
      </c>
      <c r="BO1238" s="449"/>
      <c r="BP1238" s="573">
        <f>+BP1234/BP1237</f>
        <v>9.1043872625980442E-4</v>
      </c>
      <c r="BQ1238" s="573">
        <f>+BQ1234/BQ1237</f>
        <v>9.3760400333663043E-4</v>
      </c>
      <c r="BR1238" s="573">
        <f>+BR1234/BR1237</f>
        <v>9.3760400333663043E-4</v>
      </c>
      <c r="BS1238" s="449"/>
      <c r="BT1238" s="573">
        <f>+BT1234/BT1237</f>
        <v>9.8230612005818156E-4</v>
      </c>
      <c r="BU1238" s="573">
        <f>+BU1234/BU1237</f>
        <v>1.3971995921335492E-3</v>
      </c>
      <c r="BV1238" s="573">
        <f>+BV1234/BV1237</f>
        <v>1.3971995921335492E-3</v>
      </c>
      <c r="BW1238" s="449"/>
      <c r="BX1238" s="573">
        <f>+BX1234/BX1237</f>
        <v>1.2175296781041362E-3</v>
      </c>
      <c r="BY1238" s="573">
        <f>+BY1234/BY1237</f>
        <v>1.3466512346536508E-3</v>
      </c>
      <c r="BZ1238" s="573">
        <f>+BZ1234/BZ1237</f>
        <v>1.3466512346536508E-3</v>
      </c>
      <c r="CA1238" s="449"/>
      <c r="CB1238" s="573">
        <f>+CB1234/CB1237</f>
        <v>1.2573512922849186E-3</v>
      </c>
      <c r="CC1238" s="573">
        <f>+CC1234/CC1237</f>
        <v>1.2833755518203373E-3</v>
      </c>
      <c r="CD1238" s="573">
        <f>+CD1234/CD1237</f>
        <v>1.2833755518203373E-3</v>
      </c>
      <c r="CE1238" s="449"/>
      <c r="CF1238" s="573">
        <f>+CF1234/CF1237</f>
        <v>1.213090595402836E-3</v>
      </c>
      <c r="CG1238" s="573">
        <f>+CG1234/CG1237</f>
        <v>1.1358853311137294E-3</v>
      </c>
      <c r="CH1238" s="573">
        <f>+CH1234/CH1237</f>
        <v>1.1358853311137294E-3</v>
      </c>
      <c r="CI1238" s="449"/>
      <c r="CJ1238" s="573">
        <f>+CJ1234/CJ1237</f>
        <v>0</v>
      </c>
      <c r="CK1238" s="573">
        <f>+CK1234/CK1237</f>
        <v>0</v>
      </c>
      <c r="CL1238" s="573">
        <f>+CL1234/CL1237</f>
        <v>0</v>
      </c>
      <c r="CM1238" s="449"/>
      <c r="CN1238" s="573">
        <f>+CN1234/CN1237</f>
        <v>0</v>
      </c>
      <c r="CO1238" s="573">
        <f>+CO1234/CO1237</f>
        <v>0</v>
      </c>
      <c r="CP1238" s="573">
        <f>+CP1234/CP1237</f>
        <v>0</v>
      </c>
      <c r="CQ1238" s="449"/>
      <c r="CR1238" s="573">
        <f>+CR1234/CR1237</f>
        <v>0</v>
      </c>
      <c r="CS1238" s="573">
        <f>+CS1234/CS1237</f>
        <v>0</v>
      </c>
      <c r="CT1238" s="573">
        <f>+CT1234/CT1237</f>
        <v>0</v>
      </c>
      <c r="CU1238" s="449"/>
      <c r="CV1238" s="573">
        <f>+CV1234/CV1237</f>
        <v>0</v>
      </c>
      <c r="CW1238" s="573">
        <f>+CW1234/CW1237</f>
        <v>0</v>
      </c>
      <c r="CX1238" s="573">
        <f>+CX1234/CX1237</f>
        <v>0</v>
      </c>
      <c r="CY1238" s="449"/>
      <c r="CZ1238" s="573">
        <f>+CZ1234/CZ1237</f>
        <v>0</v>
      </c>
      <c r="DA1238" s="573">
        <f>+DA1234/DA1237</f>
        <v>0</v>
      </c>
      <c r="DB1238" s="573">
        <f>+DB1234/DB1237</f>
        <v>0</v>
      </c>
      <c r="DC1238" s="449"/>
      <c r="DD1238" s="573">
        <f>+DD1234/DD1237</f>
        <v>0</v>
      </c>
      <c r="DE1238" s="573">
        <f>+DE1234/DE1237</f>
        <v>0</v>
      </c>
      <c r="DF1238" s="573">
        <f>+DF1234/DF1237</f>
        <v>0</v>
      </c>
      <c r="DG1238" s="449"/>
      <c r="DH1238" s="573">
        <f>+DH1234/DH1237</f>
        <v>0</v>
      </c>
      <c r="DI1238" s="817">
        <v>0</v>
      </c>
      <c r="DJ1238" s="573">
        <f ca="1">+DJ1234/DJ1237</f>
        <v>0</v>
      </c>
      <c r="DK1238" s="449"/>
      <c r="DL1238" s="817">
        <v>0</v>
      </c>
      <c r="DM1238" s="817">
        <v>0</v>
      </c>
      <c r="DN1238" s="573">
        <f ca="1">+DN1234/DN1237</f>
        <v>0</v>
      </c>
      <c r="DO1238" s="449"/>
      <c r="DP1238" s="817">
        <v>0</v>
      </c>
      <c r="DQ1238" s="817">
        <v>0</v>
      </c>
      <c r="DR1238" s="573">
        <f ca="1">+DR1234/DR1237</f>
        <v>0</v>
      </c>
      <c r="DS1238" s="449"/>
      <c r="DT1238" s="1"/>
      <c r="DU1238" s="1"/>
      <c r="DV1238" s="1"/>
      <c r="DW1238" s="1"/>
      <c r="DX1238" s="1"/>
      <c r="DY1238" s="1"/>
      <c r="DZ1238" s="1"/>
      <c r="EA1238" s="1"/>
      <c r="EB1238" s="1"/>
      <c r="EC1238" s="1"/>
      <c r="ED1238" s="1"/>
      <c r="EE1238" s="1"/>
      <c r="EF1238" s="1"/>
      <c r="EG1238" s="1"/>
      <c r="EH1238" s="1"/>
      <c r="EI1238" s="1"/>
      <c r="EJ1238" s="1"/>
      <c r="EK1238" s="1"/>
      <c r="EL1238" s="1"/>
      <c r="EM1238" s="1"/>
      <c r="EN1238" s="1"/>
      <c r="EO1238" s="1"/>
      <c r="EP1238" s="1"/>
      <c r="EQ1238" s="1"/>
      <c r="ER1238" s="1"/>
      <c r="ES1238" s="1"/>
      <c r="ET1238" s="1"/>
      <c r="EU1238" s="1"/>
      <c r="EV1238" s="1"/>
      <c r="EW1238" s="1"/>
      <c r="EX1238" s="1"/>
      <c r="EY1238" s="1"/>
      <c r="EZ1238" s="1"/>
      <c r="FA1238" s="1"/>
      <c r="FB1238" s="1"/>
      <c r="FC1238" s="1"/>
      <c r="FD1238" s="1"/>
      <c r="FE1238" s="1"/>
      <c r="FF1238" s="1"/>
      <c r="FG1238" s="1"/>
      <c r="FH1238" s="1"/>
      <c r="FI1238" s="1"/>
      <c r="FJ1238" s="1"/>
      <c r="FK1238" s="1"/>
      <c r="FL1238" s="1"/>
      <c r="FM1238" s="1"/>
      <c r="FN1238" s="1"/>
      <c r="FO1238" s="1"/>
      <c r="FP1238" s="1"/>
      <c r="FQ1238" s="1"/>
      <c r="FR1238" s="1"/>
      <c r="FS1238" s="1"/>
      <c r="FT1238" s="1"/>
      <c r="FU1238" s="1"/>
      <c r="FV1238" s="1"/>
      <c r="FW1238" s="1"/>
      <c r="FX1238" s="1"/>
      <c r="FY1238" s="1"/>
      <c r="FZ1238" s="1"/>
      <c r="GA1238" s="1"/>
      <c r="GB1238" s="1"/>
      <c r="GC1238" s="1"/>
      <c r="GD1238" s="1"/>
      <c r="GE1238" s="1"/>
      <c r="GF1238" s="1"/>
      <c r="GG1238" s="1"/>
      <c r="GH1238" s="1"/>
      <c r="GI1238" s="1"/>
      <c r="GJ1238" s="1"/>
      <c r="GK1238" s="1"/>
      <c r="GL1238" s="1"/>
      <c r="GM1238" s="1"/>
      <c r="GN1238" s="1"/>
      <c r="GO1238" s="1"/>
      <c r="GP1238" s="1"/>
      <c r="GQ1238" s="1"/>
      <c r="GR1238" s="1"/>
      <c r="GS1238" s="1"/>
      <c r="GT1238" s="1"/>
      <c r="GU1238" s="1"/>
      <c r="GV1238" s="1"/>
      <c r="GW1238" s="1"/>
      <c r="GX1238" s="1"/>
      <c r="GY1238" s="1"/>
      <c r="GZ1238" s="1"/>
      <c r="HA1238" s="1"/>
      <c r="HB1238" s="1"/>
      <c r="HC1238" s="1"/>
      <c r="HD1238" s="1"/>
      <c r="HE1238" s="1"/>
      <c r="HF1238" s="1"/>
      <c r="HG1238" s="1"/>
      <c r="HH1238" s="1"/>
      <c r="HI1238" s="1"/>
      <c r="HJ1238" s="1"/>
      <c r="HK1238" s="1"/>
      <c r="HL1238" s="1"/>
      <c r="HM1238" s="1"/>
      <c r="HN1238" s="1"/>
      <c r="HO1238" s="1"/>
      <c r="HP1238" s="1"/>
      <c r="HQ1238" s="1"/>
      <c r="HR1238" s="1"/>
      <c r="HS1238" s="1"/>
      <c r="HT1238" s="1"/>
      <c r="HU1238" s="1"/>
      <c r="HV1238" s="1"/>
      <c r="HW1238" s="1"/>
      <c r="HX1238" s="1"/>
      <c r="HY1238" s="1"/>
      <c r="HZ1238" s="1"/>
      <c r="IA1238" s="1"/>
      <c r="IB1238" s="1"/>
      <c r="IC1238" s="1"/>
      <c r="ID1238" s="1"/>
      <c r="IE1238" s="1"/>
      <c r="IF1238" s="1"/>
      <c r="IG1238" s="1"/>
      <c r="IH1238" s="1"/>
      <c r="II1238" s="1"/>
      <c r="IJ1238" s="1"/>
      <c r="IK1238" s="1"/>
      <c r="IL1238" s="1"/>
      <c r="IM1238" s="1"/>
      <c r="IN1238" s="1"/>
      <c r="IO1238" s="1"/>
      <c r="IP1238" s="1"/>
      <c r="IQ1238" s="1"/>
      <c r="IR1238" s="1"/>
      <c r="IS1238" s="1"/>
      <c r="IT1238" s="1"/>
      <c r="IU1238" s="1"/>
      <c r="IV1238" s="1"/>
      <c r="IW1238" s="1"/>
      <c r="IX1238" s="1"/>
      <c r="IY1238" s="1"/>
      <c r="IZ1238" s="1"/>
      <c r="JA1238" s="1"/>
      <c r="JB1238" s="1"/>
      <c r="JC1238" s="1"/>
      <c r="JD1238" s="1"/>
    </row>
    <row r="1239" spans="1:264" s="347" customFormat="1" x14ac:dyDescent="0.2">
      <c r="A1239" s="429" t="s">
        <v>326</v>
      </c>
      <c r="B1239" s="348"/>
      <c r="BH1239" s="351"/>
      <c r="BI1239" s="351"/>
      <c r="BJ1239" s="351"/>
      <c r="BK1239" s="351"/>
      <c r="BL1239" s="502">
        <f>+BL1235/BL1237</f>
        <v>8.5877491419731472E-3</v>
      </c>
      <c r="BM1239" s="502">
        <f>+BM1235/BM1237</f>
        <v>8.2288320033164063E-3</v>
      </c>
      <c r="BN1239" s="502">
        <f>+BN1235/BN1237</f>
        <v>8.2288320033164063E-3</v>
      </c>
      <c r="BO1239" s="351"/>
      <c r="BP1239" s="502">
        <f>+BP1235/BP1237</f>
        <v>7.826131290929279E-3</v>
      </c>
      <c r="BQ1239" s="502">
        <f>+BQ1235/BQ1237</f>
        <v>7.4907585952522365E-3</v>
      </c>
      <c r="BR1239" s="502">
        <f>+BR1235/BR1237</f>
        <v>7.4907585952522365E-3</v>
      </c>
      <c r="BS1239" s="351"/>
      <c r="BT1239" s="502">
        <f>+BT1235/BT1237</f>
        <v>7.1333615170299141E-3</v>
      </c>
      <c r="BU1239" s="502">
        <f>+BU1235/BU1237</f>
        <v>7.1401966721311889E-3</v>
      </c>
      <c r="BV1239" s="502">
        <f>+BV1235/BV1237</f>
        <v>7.1401966721311889E-3</v>
      </c>
      <c r="BW1239" s="351"/>
      <c r="BX1239" s="502">
        <f>+BX1235/BX1237</f>
        <v>6.4309786680290778E-3</v>
      </c>
      <c r="BY1239" s="502">
        <f>+BY1235/BY1237</f>
        <v>6.2851350949405466E-3</v>
      </c>
      <c r="BZ1239" s="502">
        <f>+BZ1235/BZ1237</f>
        <v>6.2851350949405466E-3</v>
      </c>
      <c r="CA1239" s="351"/>
      <c r="CB1239" s="502">
        <f>+CB1235/CB1237</f>
        <v>6.2880526998702465E-3</v>
      </c>
      <c r="CC1239" s="502">
        <f>+CC1235/CC1237</f>
        <v>6.0247006183876571E-3</v>
      </c>
      <c r="CD1239" s="502">
        <f>+CD1235/CD1237</f>
        <v>6.0247006183876571E-3</v>
      </c>
      <c r="CE1239" s="351"/>
      <c r="CF1239" s="502">
        <f>+CF1235/CF1237</f>
        <v>8.5680139460489191E-3</v>
      </c>
      <c r="CG1239" s="502">
        <f>+CG1235/CG1237</f>
        <v>8.6226317579655536E-3</v>
      </c>
      <c r="CH1239" s="502">
        <f>+CH1235/CH1237</f>
        <v>8.6226317579655536E-3</v>
      </c>
      <c r="CI1239" s="351"/>
      <c r="CJ1239" s="502">
        <f>+CJ1235/CJ1237</f>
        <v>9.0548008032879587E-3</v>
      </c>
      <c r="CK1239" s="502">
        <f>+CK1235/CK1237</f>
        <v>1.1860696167474085E-2</v>
      </c>
      <c r="CL1239" s="502">
        <f>+CL1235/CL1237</f>
        <v>1.1860696167474085E-2</v>
      </c>
      <c r="CM1239" s="351"/>
      <c r="CN1239" s="502">
        <f>+CN1235/CN1237</f>
        <v>1.3101389721702938E-2</v>
      </c>
      <c r="CO1239" s="502">
        <f>+CO1235/CO1237</f>
        <v>1.1784414662288098E-2</v>
      </c>
      <c r="CP1239" s="502">
        <f>+CP1235/CP1237</f>
        <v>1.1784414662288098E-2</v>
      </c>
      <c r="CQ1239" s="351"/>
      <c r="CR1239" s="502">
        <f>+CR1235/CR1237</f>
        <v>1.0726235201630761E-2</v>
      </c>
      <c r="CS1239" s="502">
        <f>+CS1235/CS1237</f>
        <v>9.2610445638813231E-3</v>
      </c>
      <c r="CT1239" s="502">
        <f>+CT1235/CT1237</f>
        <v>9.2610445638813231E-3</v>
      </c>
      <c r="CU1239" s="351"/>
      <c r="CV1239" s="502">
        <f>+CV1235/CV1237</f>
        <v>9.7148974979182363E-3</v>
      </c>
      <c r="CW1239" s="502">
        <f>+CW1235/CW1237</f>
        <v>1.1102753893228944E-2</v>
      </c>
      <c r="CX1239" s="502">
        <f>+CX1235/CX1237</f>
        <v>1.1102753893228944E-2</v>
      </c>
      <c r="CY1239" s="351"/>
      <c r="CZ1239" s="502">
        <f>+CZ1235/CZ1237</f>
        <v>1.1495889087316993E-2</v>
      </c>
      <c r="DA1239" s="502">
        <f>+DA1235/DA1237</f>
        <v>1.1598734683489074E-2</v>
      </c>
      <c r="DB1239" s="502">
        <f>+DB1235/DB1237</f>
        <v>1.1598734683489074E-2</v>
      </c>
      <c r="DC1239" s="351"/>
      <c r="DD1239" s="502">
        <f>+DD1235/DD1237</f>
        <v>1.1385474605540572E-2</v>
      </c>
      <c r="DE1239" s="502">
        <f>+DE1235/DE1237</f>
        <v>1.1208416894254704E-2</v>
      </c>
      <c r="DF1239" s="502">
        <f>+DF1235/DF1237</f>
        <v>1.1208416894254704E-2</v>
      </c>
      <c r="DG1239" s="351"/>
      <c r="DH1239" s="502">
        <f>+DH1235/DH1237</f>
        <v>1.096752488571372E-2</v>
      </c>
      <c r="DI1239" s="502">
        <f ca="1">+DI1235/DI1237</f>
        <v>1.0659120627854752E-2</v>
      </c>
      <c r="DJ1239" s="502">
        <f ca="1">+DJ1235/DJ1237</f>
        <v>1.0659120627854752E-2</v>
      </c>
      <c r="DK1239" s="351"/>
      <c r="DL1239" s="502">
        <f ca="1">+DL1235/DL1237</f>
        <v>1.041198447478019E-2</v>
      </c>
      <c r="DM1239" s="502">
        <f ca="1">+DM1235/DM1237</f>
        <v>1.0171931233701031E-2</v>
      </c>
      <c r="DN1239" s="502">
        <f ca="1">+DN1235/DN1237</f>
        <v>1.0171931233701031E-2</v>
      </c>
      <c r="DO1239" s="351"/>
      <c r="DP1239" s="502">
        <f ca="1">+DP1235/DP1237</f>
        <v>1.0170944217570256E-2</v>
      </c>
      <c r="DQ1239" s="502">
        <f ca="1">+DQ1235/DQ1237</f>
        <v>1.0172939471714174E-2</v>
      </c>
      <c r="DR1239" s="502">
        <f ca="1">+DR1235/DR1237</f>
        <v>1.0172939471714174E-2</v>
      </c>
      <c r="DS1239" s="351"/>
      <c r="DT1239" s="1"/>
      <c r="DU1239" s="1"/>
      <c r="DV1239" s="1"/>
      <c r="DW1239" s="1"/>
      <c r="DX1239" s="1"/>
      <c r="DY1239" s="1"/>
      <c r="DZ1239" s="1"/>
      <c r="EA1239" s="1"/>
      <c r="EB1239" s="1"/>
      <c r="EC1239" s="1"/>
      <c r="ED1239" s="1"/>
      <c r="EE1239" s="1"/>
      <c r="EF1239" s="1"/>
      <c r="EG1239" s="1"/>
      <c r="EH1239" s="1"/>
      <c r="EI1239" s="1"/>
      <c r="EJ1239" s="1"/>
      <c r="EK1239" s="1"/>
      <c r="EL1239" s="1"/>
      <c r="EM1239" s="1"/>
      <c r="EN1239" s="1"/>
      <c r="EO1239" s="1"/>
      <c r="EP1239" s="1"/>
      <c r="EQ1239" s="1"/>
      <c r="ER1239" s="1"/>
      <c r="ES1239" s="1"/>
      <c r="ET1239" s="1"/>
      <c r="EU1239" s="1"/>
      <c r="EV1239" s="1"/>
      <c r="EW1239" s="1"/>
      <c r="EX1239" s="1"/>
      <c r="EY1239" s="1"/>
      <c r="EZ1239" s="1"/>
      <c r="FA1239" s="1"/>
      <c r="FB1239" s="1"/>
      <c r="FC1239" s="1"/>
      <c r="FD1239" s="1"/>
      <c r="FE1239" s="1"/>
      <c r="FF1239" s="1"/>
      <c r="FG1239" s="1"/>
      <c r="FH1239" s="1"/>
      <c r="FI1239" s="1"/>
      <c r="FJ1239" s="1"/>
      <c r="FK1239" s="1"/>
      <c r="FL1239" s="1"/>
      <c r="FM1239" s="1"/>
      <c r="FN1239" s="1"/>
      <c r="FO1239" s="1"/>
      <c r="FP1239" s="1"/>
      <c r="FQ1239" s="1"/>
      <c r="FR1239" s="1"/>
      <c r="FS1239" s="1"/>
      <c r="FT1239" s="1"/>
      <c r="FU1239" s="1"/>
      <c r="FV1239" s="1"/>
      <c r="FW1239" s="1"/>
      <c r="FX1239" s="1"/>
      <c r="FY1239" s="1"/>
      <c r="FZ1239" s="1"/>
      <c r="GA1239" s="1"/>
      <c r="GB1239" s="1"/>
      <c r="GC1239" s="1"/>
      <c r="GD1239" s="1"/>
      <c r="GE1239" s="1"/>
      <c r="GF1239" s="1"/>
      <c r="GG1239" s="1"/>
      <c r="GH1239" s="1"/>
      <c r="GI1239" s="1"/>
      <c r="GJ1239" s="1"/>
      <c r="GK1239" s="1"/>
      <c r="GL1239" s="1"/>
      <c r="GM1239" s="1"/>
      <c r="GN1239" s="1"/>
      <c r="GO1239" s="1"/>
      <c r="GP1239" s="1"/>
      <c r="GQ1239" s="1"/>
      <c r="GR1239" s="1"/>
      <c r="GS1239" s="1"/>
      <c r="GT1239" s="1"/>
      <c r="GU1239" s="1"/>
      <c r="GV1239" s="1"/>
      <c r="GW1239" s="1"/>
      <c r="GX1239" s="1"/>
      <c r="GY1239" s="1"/>
      <c r="GZ1239" s="1"/>
      <c r="HA1239" s="1"/>
      <c r="HB1239" s="1"/>
      <c r="HC1239" s="1"/>
      <c r="HD1239" s="1"/>
      <c r="HE1239" s="1"/>
      <c r="HF1239" s="1"/>
      <c r="HG1239" s="1"/>
      <c r="HH1239" s="1"/>
      <c r="HI1239" s="1"/>
      <c r="HJ1239" s="1"/>
      <c r="HK1239" s="1"/>
      <c r="HL1239" s="1"/>
      <c r="HM1239" s="1"/>
      <c r="HN1239" s="1"/>
      <c r="HO1239" s="1"/>
      <c r="HP1239" s="1"/>
      <c r="HQ1239" s="1"/>
      <c r="HR1239" s="1"/>
      <c r="HS1239" s="1"/>
      <c r="HT1239" s="1"/>
      <c r="HU1239" s="1"/>
      <c r="HV1239" s="1"/>
      <c r="HW1239" s="1"/>
      <c r="HX1239" s="1"/>
      <c r="HY1239" s="1"/>
      <c r="HZ1239" s="1"/>
      <c r="IA1239" s="1"/>
      <c r="IB1239" s="1"/>
      <c r="IC1239" s="1"/>
      <c r="ID1239" s="1"/>
      <c r="IE1239" s="1"/>
      <c r="IF1239" s="1"/>
      <c r="IG1239" s="1"/>
      <c r="IH1239" s="1"/>
      <c r="II1239" s="1"/>
      <c r="IJ1239" s="1"/>
      <c r="IK1239" s="1"/>
      <c r="IL1239" s="1"/>
      <c r="IM1239" s="1"/>
      <c r="IN1239" s="1"/>
      <c r="IO1239" s="1"/>
      <c r="IP1239" s="1"/>
      <c r="IQ1239" s="1"/>
      <c r="IR1239" s="1"/>
      <c r="IS1239" s="1"/>
      <c r="IT1239" s="1"/>
      <c r="IU1239" s="1"/>
      <c r="IV1239" s="1"/>
      <c r="IW1239" s="1"/>
      <c r="IX1239" s="1"/>
      <c r="IY1239" s="1"/>
      <c r="IZ1239" s="1"/>
      <c r="JA1239" s="1"/>
      <c r="JB1239" s="1"/>
      <c r="JC1239" s="1"/>
      <c r="JD1239" s="1"/>
    </row>
    <row r="1240" spans="1:264" s="429" customFormat="1" x14ac:dyDescent="0.2">
      <c r="A1240" s="436" t="s">
        <v>830</v>
      </c>
      <c r="B1240" s="437"/>
      <c r="C1240" s="436"/>
      <c r="D1240" s="436"/>
      <c r="E1240" s="436"/>
      <c r="F1240" s="436"/>
      <c r="G1240" s="436"/>
      <c r="H1240" s="436"/>
      <c r="I1240" s="436"/>
      <c r="J1240" s="436"/>
      <c r="K1240" s="436"/>
      <c r="L1240" s="436"/>
      <c r="M1240" s="436"/>
      <c r="N1240" s="436"/>
      <c r="O1240" s="436"/>
      <c r="P1240" s="436"/>
      <c r="Q1240" s="436"/>
      <c r="R1240" s="436"/>
      <c r="S1240" s="436"/>
      <c r="T1240" s="436"/>
      <c r="U1240" s="436"/>
      <c r="V1240" s="436"/>
      <c r="W1240" s="436"/>
      <c r="X1240" s="436"/>
      <c r="Y1240" s="436"/>
      <c r="Z1240" s="436"/>
      <c r="AA1240" s="436"/>
      <c r="AB1240" s="436"/>
      <c r="AC1240" s="436"/>
      <c r="AD1240" s="436"/>
      <c r="AE1240" s="436"/>
      <c r="AF1240" s="436"/>
      <c r="AG1240" s="436"/>
      <c r="AH1240" s="436"/>
      <c r="AI1240" s="436"/>
      <c r="AJ1240" s="436"/>
      <c r="AK1240" s="436"/>
      <c r="AL1240" s="436"/>
      <c r="AM1240" s="436"/>
      <c r="AN1240" s="436"/>
      <c r="AO1240" s="436"/>
      <c r="AP1240" s="436"/>
      <c r="AQ1240" s="436"/>
      <c r="AR1240" s="436"/>
      <c r="AS1240" s="436"/>
      <c r="AT1240" s="436"/>
      <c r="AU1240" s="436"/>
      <c r="AV1240" s="436"/>
      <c r="AW1240" s="436"/>
      <c r="AX1240" s="436"/>
      <c r="AY1240" s="436"/>
      <c r="AZ1240" s="436"/>
      <c r="BA1240" s="436"/>
      <c r="BB1240" s="436"/>
      <c r="BC1240" s="436"/>
      <c r="BD1240" s="436"/>
      <c r="BE1240" s="436"/>
      <c r="BF1240" s="436"/>
      <c r="BG1240" s="436"/>
      <c r="BH1240" s="493">
        <f>+BH1236/BH1237</f>
        <v>9.0746867677223113E-3</v>
      </c>
      <c r="BI1240" s="493">
        <f>+BI1236/BI1237</f>
        <v>9.5854965005950261E-3</v>
      </c>
      <c r="BJ1240" s="493">
        <f>+BJ1236/BJ1237</f>
        <v>9.5854965005950261E-3</v>
      </c>
      <c r="BK1240" s="661"/>
      <c r="BL1240" s="493">
        <f>+BL1236/BL1237</f>
        <v>9.4341276039495957E-3</v>
      </c>
      <c r="BM1240" s="493">
        <f>+BM1236/BM1237</f>
        <v>9.134075435542649E-3</v>
      </c>
      <c r="BN1240" s="493">
        <f>+BN1236/BN1237</f>
        <v>9.134075435542649E-3</v>
      </c>
      <c r="BO1240" s="437"/>
      <c r="BP1240" s="493">
        <f>+BP1236/BP1237</f>
        <v>8.7365700171890843E-3</v>
      </c>
      <c r="BQ1240" s="493">
        <f>+BQ1236/BQ1237</f>
        <v>8.4283625985888677E-3</v>
      </c>
      <c r="BR1240" s="493">
        <f>+BR1236/BR1237</f>
        <v>8.4283625985888677E-3</v>
      </c>
      <c r="BS1240" s="661"/>
      <c r="BT1240" s="493">
        <f>+BT1236/BT1237</f>
        <v>8.1156676370880958E-3</v>
      </c>
      <c r="BU1240" s="493">
        <f>+BU1236/BU1237</f>
        <v>8.5373962642647377E-3</v>
      </c>
      <c r="BV1240" s="493">
        <f>+BV1236/BV1237</f>
        <v>8.5373962642647377E-3</v>
      </c>
      <c r="BW1240" s="661"/>
      <c r="BX1240" s="493">
        <f>+BX1236/BX1237</f>
        <v>7.6485083461332141E-3</v>
      </c>
      <c r="BY1240" s="493">
        <f>+BY1236/BY1237</f>
        <v>7.6317863295941972E-3</v>
      </c>
      <c r="BZ1240" s="493">
        <f>+BZ1236/BZ1237</f>
        <v>7.6317863295941972E-3</v>
      </c>
      <c r="CA1240" s="661"/>
      <c r="CB1240" s="493">
        <f>+CB1236/CB1237</f>
        <v>7.5454039921551645E-3</v>
      </c>
      <c r="CC1240" s="493">
        <f>+CC1236/CC1237</f>
        <v>7.3080761702079937E-3</v>
      </c>
      <c r="CD1240" s="493">
        <f>+CD1236/CD1237</f>
        <v>7.3080761702079937E-3</v>
      </c>
      <c r="CE1240" s="661"/>
      <c r="CF1240" s="493">
        <f>+CF1236/CF1237</f>
        <v>9.7811045414517555E-3</v>
      </c>
      <c r="CG1240" s="493">
        <f>+CG1236/CG1237</f>
        <v>9.7585170890792834E-3</v>
      </c>
      <c r="CH1240" s="493">
        <f>+CH1236/CH1237</f>
        <v>9.7585170890792834E-3</v>
      </c>
      <c r="CI1240" s="661"/>
      <c r="CJ1240" s="493">
        <f>+CJ1236/CJ1237</f>
        <v>9.0548008032879587E-3</v>
      </c>
      <c r="CK1240" s="493">
        <f>+CK1236/CK1237</f>
        <v>1.1860696167474085E-2</v>
      </c>
      <c r="CL1240" s="493">
        <f>+CL1236/CL1237</f>
        <v>1.1860696167474085E-2</v>
      </c>
      <c r="CM1240" s="661"/>
      <c r="CN1240" s="493">
        <f>+CN1236/CN1237</f>
        <v>1.3101389721702938E-2</v>
      </c>
      <c r="CO1240" s="493">
        <f>+CO1236/CO1237</f>
        <v>1.1784414662288098E-2</v>
      </c>
      <c r="CP1240" s="493">
        <f>+CP1236/CP1237</f>
        <v>1.1784414662288098E-2</v>
      </c>
      <c r="CQ1240" s="661"/>
      <c r="CR1240" s="493">
        <f>+CR1236/CR1237</f>
        <v>1.0726235201630761E-2</v>
      </c>
      <c r="CS1240" s="493">
        <f>+CS1236/CS1237</f>
        <v>9.2610445638813231E-3</v>
      </c>
      <c r="CT1240" s="493">
        <f>+CT1236/CT1237</f>
        <v>9.2610445638813231E-3</v>
      </c>
      <c r="CU1240" s="661"/>
      <c r="CV1240" s="493">
        <f>+CV1236/CV1237</f>
        <v>9.7148974979182363E-3</v>
      </c>
      <c r="CW1240" s="493">
        <f>+CW1236/CW1237</f>
        <v>1.1102753893228944E-2</v>
      </c>
      <c r="CX1240" s="493">
        <f>+CX1236/CX1237</f>
        <v>1.1102753893228944E-2</v>
      </c>
      <c r="CY1240" s="661"/>
      <c r="CZ1240" s="493">
        <f>+CZ1236/CZ1237</f>
        <v>1.1495889087316993E-2</v>
      </c>
      <c r="DA1240" s="493">
        <f>+DA1236/DA1237</f>
        <v>1.1598734683489074E-2</v>
      </c>
      <c r="DB1240" s="493">
        <f>+DB1236/DB1237</f>
        <v>1.1598734683489074E-2</v>
      </c>
      <c r="DC1240" s="661"/>
      <c r="DD1240" s="493">
        <f>+DD1236/DD1237</f>
        <v>1.1385474605540572E-2</v>
      </c>
      <c r="DE1240" s="493">
        <f>+DE1236/DE1237</f>
        <v>1.1208416894254704E-2</v>
      </c>
      <c r="DF1240" s="493">
        <f>+DF1236/DF1237</f>
        <v>1.1208416894254704E-2</v>
      </c>
      <c r="DG1240" s="661"/>
      <c r="DH1240" s="493">
        <f>+DH1236/DH1237</f>
        <v>1.096752488571372E-2</v>
      </c>
      <c r="DI1240" s="493">
        <f ca="1">+DI1236/DI1237</f>
        <v>1.0659120627854752E-2</v>
      </c>
      <c r="DJ1240" s="493">
        <f ca="1">+DJ1236/DJ1237</f>
        <v>1.0659120627854752E-2</v>
      </c>
      <c r="DK1240" s="661"/>
      <c r="DL1240" s="493">
        <f ca="1">+DL1236/DL1237</f>
        <v>1.041198447478019E-2</v>
      </c>
      <c r="DM1240" s="493">
        <f ca="1">+DM1236/DM1237</f>
        <v>1.0171931233701031E-2</v>
      </c>
      <c r="DN1240" s="493">
        <f ca="1">+DN1236/DN1237</f>
        <v>1.0171931233701031E-2</v>
      </c>
      <c r="DO1240" s="661"/>
      <c r="DP1240" s="493">
        <f ca="1">+DP1236/DP1237</f>
        <v>1.0170944217570256E-2</v>
      </c>
      <c r="DQ1240" s="493">
        <f ca="1">+DQ1236/DQ1237</f>
        <v>1.0172939471714174E-2</v>
      </c>
      <c r="DR1240" s="493">
        <f ca="1">+DR1236/DR1237</f>
        <v>1.0172939471714174E-2</v>
      </c>
      <c r="DS1240" s="661"/>
      <c r="DT1240" s="1"/>
      <c r="DU1240" s="1"/>
      <c r="DV1240" s="1"/>
      <c r="DW1240" s="1"/>
      <c r="DX1240" s="1"/>
      <c r="DY1240" s="1"/>
      <c r="DZ1240" s="1"/>
      <c r="EA1240" s="1"/>
      <c r="EB1240" s="1"/>
      <c r="EC1240" s="1"/>
      <c r="ED1240" s="1"/>
      <c r="EE1240" s="1"/>
      <c r="EF1240" s="1"/>
      <c r="EG1240" s="1"/>
      <c r="EH1240" s="1"/>
      <c r="EI1240" s="1"/>
      <c r="EJ1240" s="1"/>
      <c r="EK1240" s="1"/>
      <c r="EL1240" s="1"/>
      <c r="EM1240" s="1"/>
      <c r="EN1240" s="1"/>
      <c r="EO1240" s="1"/>
      <c r="EP1240" s="1"/>
      <c r="EQ1240" s="1"/>
      <c r="ER1240" s="1"/>
      <c r="ES1240" s="1"/>
      <c r="ET1240" s="1"/>
      <c r="EU1240" s="1"/>
      <c r="EV1240" s="1"/>
      <c r="EW1240" s="1"/>
      <c r="EX1240" s="1"/>
      <c r="EY1240" s="1"/>
      <c r="EZ1240" s="1"/>
      <c r="FA1240" s="1"/>
      <c r="FB1240" s="1"/>
      <c r="FC1240" s="1"/>
      <c r="FD1240" s="1"/>
      <c r="FE1240" s="1"/>
      <c r="FF1240" s="1"/>
      <c r="FG1240" s="1"/>
      <c r="FH1240" s="1"/>
      <c r="FI1240" s="1"/>
      <c r="FJ1240" s="1"/>
      <c r="FK1240" s="1"/>
      <c r="FL1240" s="1"/>
      <c r="FM1240" s="1"/>
      <c r="FN1240" s="1"/>
      <c r="FO1240" s="1"/>
      <c r="FP1240" s="1"/>
      <c r="FQ1240" s="1"/>
      <c r="FR1240" s="1"/>
      <c r="FS1240" s="1"/>
      <c r="FT1240" s="1"/>
      <c r="FU1240" s="1"/>
      <c r="FV1240" s="1"/>
      <c r="FW1240" s="1"/>
      <c r="FX1240" s="1"/>
      <c r="FY1240" s="1"/>
      <c r="FZ1240" s="1"/>
      <c r="GA1240" s="1"/>
      <c r="GB1240" s="1"/>
      <c r="GC1240" s="1"/>
      <c r="GD1240" s="1"/>
      <c r="GE1240" s="1"/>
      <c r="GF1240" s="1"/>
      <c r="GG1240" s="1"/>
      <c r="GH1240" s="1"/>
      <c r="GI1240" s="1"/>
      <c r="GJ1240" s="1"/>
      <c r="GK1240" s="1"/>
      <c r="GL1240" s="1"/>
      <c r="GM1240" s="1"/>
      <c r="GN1240" s="1"/>
      <c r="GO1240" s="1"/>
      <c r="GP1240" s="1"/>
      <c r="GQ1240" s="1"/>
      <c r="GR1240" s="1"/>
      <c r="GS1240" s="1"/>
      <c r="GT1240" s="1"/>
      <c r="GU1240" s="1"/>
      <c r="GV1240" s="1"/>
      <c r="GW1240" s="1"/>
      <c r="GX1240" s="1"/>
      <c r="GY1240" s="1"/>
      <c r="GZ1240" s="1"/>
      <c r="HA1240" s="1"/>
      <c r="HB1240" s="1"/>
      <c r="HC1240" s="1"/>
      <c r="HD1240" s="1"/>
      <c r="HE1240" s="1"/>
      <c r="HF1240" s="1"/>
      <c r="HG1240" s="1"/>
      <c r="HH1240" s="1"/>
      <c r="HI1240" s="1"/>
      <c r="HJ1240" s="1"/>
      <c r="HK1240" s="1"/>
      <c r="HL1240" s="1"/>
      <c r="HM1240" s="1"/>
      <c r="HN1240" s="1"/>
      <c r="HO1240" s="1"/>
      <c r="HP1240" s="1"/>
      <c r="HQ1240" s="1"/>
      <c r="HR1240" s="1"/>
      <c r="HS1240" s="1"/>
      <c r="HT1240" s="1"/>
      <c r="HU1240" s="1"/>
      <c r="HV1240" s="1"/>
      <c r="HW1240" s="1"/>
      <c r="HX1240" s="1"/>
      <c r="HY1240" s="1"/>
      <c r="HZ1240" s="1"/>
      <c r="IA1240" s="1"/>
      <c r="IB1240" s="1"/>
      <c r="IC1240" s="1"/>
      <c r="ID1240" s="1"/>
      <c r="IE1240" s="1"/>
      <c r="IF1240" s="1"/>
      <c r="IG1240" s="1"/>
      <c r="IH1240" s="1"/>
      <c r="II1240" s="1"/>
      <c r="IJ1240" s="1"/>
      <c r="IK1240" s="1"/>
      <c r="IL1240" s="1"/>
      <c r="IM1240" s="1"/>
      <c r="IN1240" s="1"/>
      <c r="IO1240" s="1"/>
      <c r="IP1240" s="1"/>
      <c r="IQ1240" s="1"/>
      <c r="IR1240" s="1"/>
      <c r="IS1240" s="1"/>
      <c r="IT1240" s="1"/>
      <c r="IU1240" s="1"/>
      <c r="IV1240" s="1"/>
      <c r="IW1240" s="1"/>
      <c r="IX1240" s="1"/>
      <c r="IY1240" s="1"/>
      <c r="IZ1240" s="1"/>
      <c r="JA1240" s="1"/>
      <c r="JB1240" s="1"/>
      <c r="JC1240" s="1"/>
      <c r="JD1240" s="1"/>
    </row>
    <row r="1241" spans="1:264" s="347" customFormat="1" x14ac:dyDescent="0.2">
      <c r="A1241" s="411"/>
      <c r="B1241" s="348"/>
      <c r="BH1241" s="351"/>
      <c r="BI1241" s="351"/>
      <c r="BJ1241" s="351"/>
      <c r="BK1241" s="351"/>
      <c r="BL1241" s="351"/>
      <c r="BM1241" s="351"/>
      <c r="BN1241" s="351"/>
      <c r="BO1241" s="351"/>
      <c r="BP1241" s="351"/>
      <c r="BQ1241" s="351"/>
      <c r="BR1241" s="351"/>
      <c r="BS1241" s="351"/>
      <c r="BT1241" s="351"/>
      <c r="BU1241" s="351"/>
      <c r="BV1241" s="351"/>
      <c r="BW1241" s="351"/>
      <c r="BX1241" s="351"/>
      <c r="BY1241" s="351"/>
      <c r="BZ1241" s="351"/>
      <c r="CA1241" s="351"/>
      <c r="CB1241" s="351"/>
      <c r="CC1241" s="351"/>
      <c r="CD1241" s="351"/>
      <c r="CE1241" s="351"/>
      <c r="CF1241" s="351"/>
      <c r="CG1241" s="351"/>
      <c r="CH1241" s="351"/>
      <c r="CI1241" s="351"/>
      <c r="CJ1241" s="351"/>
      <c r="CK1241" s="351"/>
      <c r="CL1241" s="351"/>
      <c r="CM1241" s="351"/>
      <c r="CN1241" s="351"/>
      <c r="CO1241" s="351"/>
      <c r="CP1241" s="351"/>
      <c r="CQ1241" s="351"/>
      <c r="CR1241" s="351"/>
      <c r="CS1241" s="351"/>
      <c r="CT1241" s="351"/>
      <c r="CU1241" s="351"/>
      <c r="CV1241" s="351"/>
      <c r="CW1241" s="351"/>
      <c r="CX1241" s="351"/>
      <c r="CY1241" s="351"/>
      <c r="CZ1241" s="351"/>
      <c r="DA1241" s="351"/>
      <c r="DB1241" s="351"/>
      <c r="DC1241" s="351"/>
      <c r="DD1241" s="351"/>
      <c r="DE1241" s="351"/>
      <c r="DF1241" s="351"/>
      <c r="DG1241" s="351"/>
      <c r="DH1241" s="351"/>
      <c r="DI1241" s="351"/>
      <c r="DJ1241" s="351"/>
      <c r="DK1241" s="351"/>
      <c r="DL1241" s="351"/>
      <c r="DM1241" s="351"/>
      <c r="DN1241" s="351"/>
      <c r="DO1241" s="351"/>
      <c r="DP1241" s="351"/>
      <c r="DQ1241" s="351"/>
      <c r="DR1241" s="351"/>
      <c r="DS1241" s="351"/>
      <c r="DT1241" s="1"/>
      <c r="DU1241" s="1"/>
      <c r="DV1241" s="1"/>
      <c r="DW1241" s="1"/>
      <c r="DX1241" s="1"/>
      <c r="DY1241" s="1"/>
      <c r="DZ1241" s="1"/>
      <c r="EA1241" s="1"/>
      <c r="EB1241" s="1"/>
      <c r="EC1241" s="1"/>
      <c r="ED1241" s="1"/>
      <c r="EE1241" s="1"/>
      <c r="EF1241" s="1"/>
      <c r="EG1241" s="1"/>
      <c r="EH1241" s="1"/>
      <c r="EI1241" s="1"/>
      <c r="EJ1241" s="1"/>
      <c r="EK1241" s="1"/>
      <c r="EL1241" s="1"/>
      <c r="EM1241" s="1"/>
      <c r="EN1241" s="1"/>
      <c r="EO1241" s="1"/>
      <c r="EP1241" s="1"/>
      <c r="EQ1241" s="1"/>
      <c r="ER1241" s="1"/>
      <c r="ES1241" s="1"/>
      <c r="ET1241" s="1"/>
      <c r="EU1241" s="1"/>
      <c r="EV1241" s="1"/>
      <c r="EW1241" s="1"/>
      <c r="EX1241" s="1"/>
      <c r="EY1241" s="1"/>
      <c r="EZ1241" s="1"/>
      <c r="FA1241" s="1"/>
      <c r="FB1241" s="1"/>
      <c r="FC1241" s="1"/>
      <c r="FD1241" s="1"/>
      <c r="FE1241" s="1"/>
      <c r="FF1241" s="1"/>
      <c r="FG1241" s="1"/>
      <c r="FH1241" s="1"/>
      <c r="FI1241" s="1"/>
      <c r="FJ1241" s="1"/>
      <c r="FK1241" s="1"/>
      <c r="FL1241" s="1"/>
      <c r="FM1241" s="1"/>
      <c r="FN1241" s="1"/>
      <c r="FO1241" s="1"/>
      <c r="FP1241" s="1"/>
      <c r="FQ1241" s="1"/>
      <c r="FR1241" s="1"/>
      <c r="FS1241" s="1"/>
      <c r="FT1241" s="1"/>
      <c r="FU1241" s="1"/>
      <c r="FV1241" s="1"/>
      <c r="FW1241" s="1"/>
      <c r="FX1241" s="1"/>
      <c r="FY1241" s="1"/>
      <c r="FZ1241" s="1"/>
      <c r="GA1241" s="1"/>
      <c r="GB1241" s="1"/>
      <c r="GC1241" s="1"/>
      <c r="GD1241" s="1"/>
      <c r="GE1241" s="1"/>
      <c r="GF1241" s="1"/>
      <c r="GG1241" s="1"/>
      <c r="GH1241" s="1"/>
      <c r="GI1241" s="1"/>
      <c r="GJ1241" s="1"/>
      <c r="GK1241" s="1"/>
      <c r="GL1241" s="1"/>
      <c r="GM1241" s="1"/>
      <c r="GN1241" s="1"/>
      <c r="GO1241" s="1"/>
      <c r="GP1241" s="1"/>
      <c r="GQ1241" s="1"/>
      <c r="GR1241" s="1"/>
      <c r="GS1241" s="1"/>
      <c r="GT1241" s="1"/>
      <c r="GU1241" s="1"/>
      <c r="GV1241" s="1"/>
      <c r="GW1241" s="1"/>
      <c r="GX1241" s="1"/>
      <c r="GY1241" s="1"/>
      <c r="GZ1241" s="1"/>
      <c r="HA1241" s="1"/>
      <c r="HB1241" s="1"/>
      <c r="HC1241" s="1"/>
      <c r="HD1241" s="1"/>
      <c r="HE1241" s="1"/>
      <c r="HF1241" s="1"/>
      <c r="HG1241" s="1"/>
      <c r="HH1241" s="1"/>
      <c r="HI1241" s="1"/>
      <c r="HJ1241" s="1"/>
      <c r="HK1241" s="1"/>
      <c r="HL1241" s="1"/>
      <c r="HM1241" s="1"/>
      <c r="HN1241" s="1"/>
      <c r="HO1241" s="1"/>
      <c r="HP1241" s="1"/>
      <c r="HQ1241" s="1"/>
      <c r="HR1241" s="1"/>
      <c r="HS1241" s="1"/>
      <c r="HT1241" s="1"/>
      <c r="HU1241" s="1"/>
      <c r="HV1241" s="1"/>
      <c r="HW1241" s="1"/>
      <c r="HX1241" s="1"/>
      <c r="HY1241" s="1"/>
      <c r="HZ1241" s="1"/>
      <c r="IA1241" s="1"/>
      <c r="IB1241" s="1"/>
      <c r="IC1241" s="1"/>
      <c r="ID1241" s="1"/>
      <c r="IE1241" s="1"/>
      <c r="IF1241" s="1"/>
      <c r="IG1241" s="1"/>
      <c r="IH1241" s="1"/>
      <c r="II1241" s="1"/>
      <c r="IJ1241" s="1"/>
      <c r="IK1241" s="1"/>
      <c r="IL1241" s="1"/>
      <c r="IM1241" s="1"/>
      <c r="IN1241" s="1"/>
      <c r="IO1241" s="1"/>
      <c r="IP1241" s="1"/>
      <c r="IQ1241" s="1"/>
      <c r="IR1241" s="1"/>
      <c r="IS1241" s="1"/>
      <c r="IT1241" s="1"/>
      <c r="IU1241" s="1"/>
      <c r="IV1241" s="1"/>
      <c r="IW1241" s="1"/>
      <c r="IX1241" s="1"/>
      <c r="IY1241" s="1"/>
      <c r="IZ1241" s="1"/>
      <c r="JA1241" s="1"/>
      <c r="JB1241" s="1"/>
      <c r="JC1241" s="1"/>
      <c r="JD1241" s="1"/>
    </row>
    <row r="1242" spans="1:264" s="347" customFormat="1" x14ac:dyDescent="0.2">
      <c r="A1242" s="347" t="s">
        <v>304</v>
      </c>
      <c r="B1242" s="348"/>
      <c r="BH1242" s="351"/>
      <c r="BI1242" s="351">
        <f>BI1235</f>
        <v>2858</v>
      </c>
      <c r="BJ1242" s="351">
        <f>BJ1235</f>
        <v>2858</v>
      </c>
      <c r="BK1242" s="351"/>
      <c r="BL1242" s="351">
        <f>BL1235</f>
        <v>2870</v>
      </c>
      <c r="BM1242" s="351">
        <f>BM1235</f>
        <v>2779</v>
      </c>
      <c r="BN1242" s="351">
        <f>BN1235</f>
        <v>2779</v>
      </c>
      <c r="BO1242" s="351"/>
      <c r="BP1242" s="351">
        <f>BP1235</f>
        <v>2763</v>
      </c>
      <c r="BQ1242" s="351">
        <f>BQ1235</f>
        <v>2762</v>
      </c>
      <c r="BR1242" s="351">
        <f>BR1235</f>
        <v>2762</v>
      </c>
      <c r="BS1242" s="351"/>
      <c r="BT1242" s="351">
        <f>BT1235</f>
        <v>2801</v>
      </c>
      <c r="BU1242" s="351">
        <f>BU1235</f>
        <v>2818</v>
      </c>
      <c r="BV1242" s="351">
        <f>BV1235</f>
        <v>2818</v>
      </c>
      <c r="BW1242" s="351"/>
      <c r="BX1242" s="351">
        <f>BX1235</f>
        <v>2807</v>
      </c>
      <c r="BY1242" s="351">
        <f>BY1235</f>
        <v>2747</v>
      </c>
      <c r="BZ1242" s="351">
        <f>BZ1235</f>
        <v>2747</v>
      </c>
      <c r="CA1242" s="351"/>
      <c r="CB1242" s="351">
        <f>CB1235</f>
        <v>2772</v>
      </c>
      <c r="CC1242" s="351">
        <f>CC1235</f>
        <v>2763</v>
      </c>
      <c r="CD1242" s="351">
        <f>CD1235</f>
        <v>2763</v>
      </c>
      <c r="CE1242" s="351"/>
      <c r="CF1242" s="351">
        <f>CF1235</f>
        <v>3814</v>
      </c>
      <c r="CG1242" s="351">
        <f>CG1235</f>
        <v>3904</v>
      </c>
      <c r="CH1242" s="351">
        <f>CH1235</f>
        <v>3904</v>
      </c>
      <c r="CI1242" s="351"/>
      <c r="CJ1242" s="351">
        <f>CJ1235</f>
        <v>4067</v>
      </c>
      <c r="CK1242" s="351">
        <f>CK1235</f>
        <v>5396</v>
      </c>
      <c r="CL1242" s="351">
        <f>CL1235</f>
        <v>5396</v>
      </c>
      <c r="CM1242" s="351"/>
      <c r="CN1242" s="351">
        <f>CN1235</f>
        <v>5943</v>
      </c>
      <c r="CO1242" s="351">
        <f>CO1235</f>
        <v>5311</v>
      </c>
      <c r="CP1242" s="351">
        <f>CP1235</f>
        <v>5311</v>
      </c>
      <c r="CQ1242" s="351"/>
      <c r="CR1242" s="351">
        <f>CR1235</f>
        <v>5062</v>
      </c>
      <c r="CS1242" s="351">
        <f>CS1235</f>
        <v>4611</v>
      </c>
      <c r="CT1242" s="351">
        <f>CT1235</f>
        <v>4611</v>
      </c>
      <c r="CU1242" s="351"/>
      <c r="CV1242" s="351">
        <f>CV1235</f>
        <v>4900</v>
      </c>
      <c r="CW1242" s="351">
        <f>CW1235</f>
        <v>5196</v>
      </c>
      <c r="CX1242" s="351">
        <f>CX1235</f>
        <v>5196</v>
      </c>
      <c r="CY1242" s="351"/>
      <c r="CZ1242" s="351">
        <f>CZ1235</f>
        <v>5330</v>
      </c>
      <c r="DA1242" s="351">
        <f>DA1235</f>
        <v>5423</v>
      </c>
      <c r="DB1242" s="351">
        <f>DB1235</f>
        <v>5423</v>
      </c>
      <c r="DC1242" s="351"/>
      <c r="DD1242" s="351">
        <f>DD1235</f>
        <v>5492</v>
      </c>
      <c r="DE1242" s="351">
        <f>DE1235</f>
        <v>5561</v>
      </c>
      <c r="DF1242" s="351">
        <f>DF1235</f>
        <v>5561</v>
      </c>
      <c r="DG1242" s="351"/>
      <c r="DH1242" s="351">
        <f>DH1235</f>
        <v>5542</v>
      </c>
      <c r="DI1242" s="351">
        <f ca="1">DI1235</f>
        <v>5561.3038849236655</v>
      </c>
      <c r="DJ1242" s="351">
        <f ca="1">DJ1235</f>
        <v>5561.3038849236655</v>
      </c>
      <c r="DK1242" s="351"/>
      <c r="DL1242" s="351">
        <f ca="1">DL1235</f>
        <v>5583.0200919583986</v>
      </c>
      <c r="DM1242" s="351">
        <f ca="1">DM1235</f>
        <v>5631.3131545897095</v>
      </c>
      <c r="DN1242" s="351">
        <f ca="1">DN1235</f>
        <v>5631.3131545897095</v>
      </c>
      <c r="DO1242" s="351"/>
      <c r="DP1242" s="351">
        <f ca="1">DP1235</f>
        <v>5759.6700243500791</v>
      </c>
      <c r="DQ1242" s="351">
        <f ca="1">DQ1235</f>
        <v>5909.8765641355576</v>
      </c>
      <c r="DR1242" s="351">
        <f ca="1">DR1235</f>
        <v>5909.8765641355576</v>
      </c>
      <c r="DS1242" s="351"/>
      <c r="DT1242" s="1"/>
      <c r="DU1242" s="1"/>
      <c r="DV1242" s="1"/>
      <c r="DW1242" s="1"/>
      <c r="DX1242" s="1"/>
      <c r="DY1242" s="1"/>
      <c r="DZ1242" s="1"/>
      <c r="EA1242" s="1"/>
      <c r="EB1242" s="1"/>
      <c r="EC1242" s="1"/>
      <c r="ED1242" s="1"/>
      <c r="EE1242" s="1"/>
      <c r="EF1242" s="1"/>
      <c r="EG1242" s="1"/>
      <c r="EH1242" s="1"/>
      <c r="EI1242" s="1"/>
      <c r="EJ1242" s="1"/>
      <c r="EK1242" s="1"/>
      <c r="EL1242" s="1"/>
      <c r="EM1242" s="1"/>
      <c r="EN1242" s="1"/>
      <c r="EO1242" s="1"/>
      <c r="EP1242" s="1"/>
      <c r="EQ1242" s="1"/>
      <c r="ER1242" s="1"/>
      <c r="ES1242" s="1"/>
      <c r="ET1242" s="1"/>
      <c r="EU1242" s="1"/>
      <c r="EV1242" s="1"/>
      <c r="EW1242" s="1"/>
      <c r="EX1242" s="1"/>
      <c r="EY1242" s="1"/>
      <c r="EZ1242" s="1"/>
      <c r="FA1242" s="1"/>
      <c r="FB1242" s="1"/>
      <c r="FC1242" s="1"/>
      <c r="FD1242" s="1"/>
      <c r="FE1242" s="1"/>
      <c r="FF1242" s="1"/>
      <c r="FG1242" s="1"/>
      <c r="FH1242" s="1"/>
      <c r="FI1242" s="1"/>
      <c r="FJ1242" s="1"/>
      <c r="FK1242" s="1"/>
      <c r="FL1242" s="1"/>
      <c r="FM1242" s="1"/>
      <c r="FN1242" s="1"/>
      <c r="FO1242" s="1"/>
      <c r="FP1242" s="1"/>
      <c r="FQ1242" s="1"/>
      <c r="FR1242" s="1"/>
      <c r="FS1242" s="1"/>
      <c r="FT1242" s="1"/>
      <c r="FU1242" s="1"/>
      <c r="FV1242" s="1"/>
      <c r="FW1242" s="1"/>
      <c r="FX1242" s="1"/>
      <c r="FY1242" s="1"/>
      <c r="FZ1242" s="1"/>
      <c r="GA1242" s="1"/>
      <c r="GB1242" s="1"/>
      <c r="GC1242" s="1"/>
      <c r="GD1242" s="1"/>
      <c r="GE1242" s="1"/>
      <c r="GF1242" s="1"/>
      <c r="GG1242" s="1"/>
      <c r="GH1242" s="1"/>
      <c r="GI1242" s="1"/>
      <c r="GJ1242" s="1"/>
      <c r="GK1242" s="1"/>
      <c r="GL1242" s="1"/>
      <c r="GM1242" s="1"/>
      <c r="GN1242" s="1"/>
      <c r="GO1242" s="1"/>
      <c r="GP1242" s="1"/>
      <c r="GQ1242" s="1"/>
      <c r="GR1242" s="1"/>
      <c r="GS1242" s="1"/>
      <c r="GT1242" s="1"/>
      <c r="GU1242" s="1"/>
      <c r="GV1242" s="1"/>
      <c r="GW1242" s="1"/>
      <c r="GX1242" s="1"/>
      <c r="GY1242" s="1"/>
      <c r="GZ1242" s="1"/>
      <c r="HA1242" s="1"/>
      <c r="HB1242" s="1"/>
      <c r="HC1242" s="1"/>
      <c r="HD1242" s="1"/>
      <c r="HE1242" s="1"/>
      <c r="HF1242" s="1"/>
      <c r="HG1242" s="1"/>
      <c r="HH1242" s="1"/>
      <c r="HI1242" s="1"/>
      <c r="HJ1242" s="1"/>
      <c r="HK1242" s="1"/>
      <c r="HL1242" s="1"/>
      <c r="HM1242" s="1"/>
      <c r="HN1242" s="1"/>
      <c r="HO1242" s="1"/>
      <c r="HP1242" s="1"/>
      <c r="HQ1242" s="1"/>
      <c r="HR1242" s="1"/>
      <c r="HS1242" s="1"/>
      <c r="HT1242" s="1"/>
      <c r="HU1242" s="1"/>
      <c r="HV1242" s="1"/>
      <c r="HW1242" s="1"/>
      <c r="HX1242" s="1"/>
      <c r="HY1242" s="1"/>
      <c r="HZ1242" s="1"/>
      <c r="IA1242" s="1"/>
      <c r="IB1242" s="1"/>
      <c r="IC1242" s="1"/>
      <c r="ID1242" s="1"/>
      <c r="IE1242" s="1"/>
      <c r="IF1242" s="1"/>
      <c r="IG1242" s="1"/>
      <c r="IH1242" s="1"/>
      <c r="II1242" s="1"/>
      <c r="IJ1242" s="1"/>
      <c r="IK1242" s="1"/>
      <c r="IL1242" s="1"/>
      <c r="IM1242" s="1"/>
      <c r="IN1242" s="1"/>
      <c r="IO1242" s="1"/>
      <c r="IP1242" s="1"/>
      <c r="IQ1242" s="1"/>
      <c r="IR1242" s="1"/>
      <c r="IS1242" s="1"/>
      <c r="IT1242" s="1"/>
      <c r="IU1242" s="1"/>
      <c r="IV1242" s="1"/>
      <c r="IW1242" s="1"/>
      <c r="IX1242" s="1"/>
      <c r="IY1242" s="1"/>
      <c r="IZ1242" s="1"/>
      <c r="JA1242" s="1"/>
      <c r="JB1242" s="1"/>
      <c r="JC1242" s="1"/>
      <c r="JD1242" s="1"/>
    </row>
    <row r="1243" spans="1:264" s="347" customFormat="1" x14ac:dyDescent="0.2">
      <c r="A1243" s="347" t="s">
        <v>831</v>
      </c>
      <c r="B1243" s="348"/>
      <c r="BH1243" s="351"/>
      <c r="BI1243" s="351"/>
      <c r="BJ1243" s="351"/>
      <c r="BK1243" s="351"/>
      <c r="BL1243" s="351"/>
      <c r="BM1243" s="351"/>
      <c r="BN1243" s="351"/>
      <c r="BO1243" s="351"/>
      <c r="BP1243" s="351"/>
      <c r="BQ1243" s="351"/>
      <c r="BR1243" s="351"/>
      <c r="BS1243" s="351"/>
      <c r="BT1243" s="351"/>
      <c r="BU1243" s="351"/>
      <c r="BV1243" s="351"/>
      <c r="BW1243" s="351"/>
      <c r="BX1243" s="351">
        <f>-BX263</f>
        <v>1017</v>
      </c>
      <c r="BY1243" s="351">
        <f>-BY263</f>
        <v>980</v>
      </c>
      <c r="BZ1243" s="351">
        <f>BY1243</f>
        <v>980</v>
      </c>
      <c r="CA1243" s="351"/>
      <c r="CB1243" s="351">
        <f>-CB263</f>
        <v>978</v>
      </c>
      <c r="CC1243" s="351">
        <f>-CC263</f>
        <v>870</v>
      </c>
      <c r="CD1243" s="351">
        <f>CC1243</f>
        <v>870</v>
      </c>
      <c r="CE1243" s="351"/>
      <c r="CF1243" s="351">
        <f>-CF263</f>
        <v>920</v>
      </c>
      <c r="CG1243" s="351">
        <f>-CG263</f>
        <v>895</v>
      </c>
      <c r="CH1243" s="351">
        <f>CG1243</f>
        <v>895</v>
      </c>
      <c r="CI1243" s="351"/>
      <c r="CJ1243" s="351">
        <f>-CJ263</f>
        <v>959</v>
      </c>
      <c r="CK1243" s="351">
        <f>-CK263</f>
        <v>967</v>
      </c>
      <c r="CL1243" s="351">
        <f>CK1243</f>
        <v>967</v>
      </c>
      <c r="CM1243" s="351"/>
      <c r="CN1243" s="351">
        <f>-CN263</f>
        <v>872</v>
      </c>
      <c r="CO1243" s="351">
        <f>-CO263</f>
        <v>900</v>
      </c>
      <c r="CP1243" s="351">
        <f>CO1243</f>
        <v>900</v>
      </c>
      <c r="CQ1243" s="351"/>
      <c r="CR1243" s="351">
        <f>-CR263</f>
        <v>792</v>
      </c>
      <c r="CS1243" s="351">
        <f>-CS263</f>
        <v>736</v>
      </c>
      <c r="CT1243" s="351">
        <f>CS1243</f>
        <v>736</v>
      </c>
      <c r="CU1243" s="351"/>
      <c r="CV1243" s="351">
        <f>-CV263</f>
        <v>641</v>
      </c>
      <c r="CW1243" s="351">
        <f>-CW263</f>
        <v>754</v>
      </c>
      <c r="CX1243" s="351">
        <f>CW1243</f>
        <v>754</v>
      </c>
      <c r="CY1243" s="351"/>
      <c r="CZ1243" s="351">
        <f>-CZ263</f>
        <v>733</v>
      </c>
      <c r="DA1243" s="351">
        <f>-DA263</f>
        <v>712</v>
      </c>
      <c r="DB1243" s="351">
        <f>DA1243</f>
        <v>712</v>
      </c>
      <c r="DC1243" s="351"/>
      <c r="DD1243" s="351">
        <f>-DD263</f>
        <v>735</v>
      </c>
      <c r="DE1243" s="351">
        <f>-DE263</f>
        <v>816</v>
      </c>
      <c r="DF1243" s="351">
        <f>DE1243</f>
        <v>816</v>
      </c>
      <c r="DG1243" s="351"/>
      <c r="DH1243" s="351">
        <f>-DH263</f>
        <v>793</v>
      </c>
      <c r="DI1243" s="351">
        <f>-DI263</f>
        <v>849.9209977100794</v>
      </c>
      <c r="DJ1243" s="351">
        <f>DI1243</f>
        <v>849.9209977100794</v>
      </c>
      <c r="DK1243" s="351"/>
      <c r="DL1243" s="351">
        <f>-DL263</f>
        <v>875.00403710849162</v>
      </c>
      <c r="DM1243" s="351">
        <f>-DM263</f>
        <v>919.28648133249146</v>
      </c>
      <c r="DN1243" s="351">
        <f>DM1243</f>
        <v>919.28648133249146</v>
      </c>
      <c r="DO1243" s="351"/>
      <c r="DP1243" s="351">
        <f>-DP263</f>
        <v>954.38991815371412</v>
      </c>
      <c r="DQ1243" s="351">
        <f>-DQ263</f>
        <v>1010.1468299949951</v>
      </c>
      <c r="DR1243" s="351">
        <f>DQ1243</f>
        <v>1010.1468299949951</v>
      </c>
      <c r="DS1243" s="351"/>
      <c r="DT1243" s="1"/>
      <c r="DU1243" s="1"/>
      <c r="DV1243" s="1"/>
      <c r="DW1243" s="1"/>
      <c r="DX1243" s="1"/>
      <c r="DY1243" s="1"/>
      <c r="DZ1243" s="1"/>
      <c r="EA1243" s="1"/>
      <c r="EB1243" s="1"/>
      <c r="EC1243" s="1"/>
      <c r="ED1243" s="1"/>
      <c r="EE1243" s="1"/>
      <c r="EF1243" s="1"/>
      <c r="EG1243" s="1"/>
      <c r="EH1243" s="1"/>
      <c r="EI1243" s="1"/>
      <c r="EJ1243" s="1"/>
      <c r="EK1243" s="1"/>
      <c r="EL1243" s="1"/>
      <c r="EM1243" s="1"/>
      <c r="EN1243" s="1"/>
      <c r="EO1243" s="1"/>
      <c r="EP1243" s="1"/>
      <c r="EQ1243" s="1"/>
      <c r="ER1243" s="1"/>
      <c r="ES1243" s="1"/>
      <c r="ET1243" s="1"/>
      <c r="EU1243" s="1"/>
      <c r="EV1243" s="1"/>
      <c r="EW1243" s="1"/>
      <c r="EX1243" s="1"/>
      <c r="EY1243" s="1"/>
      <c r="EZ1243" s="1"/>
      <c r="FA1243" s="1"/>
      <c r="FB1243" s="1"/>
      <c r="FC1243" s="1"/>
      <c r="FD1243" s="1"/>
      <c r="FE1243" s="1"/>
      <c r="FF1243" s="1"/>
      <c r="FG1243" s="1"/>
      <c r="FH1243" s="1"/>
      <c r="FI1243" s="1"/>
      <c r="FJ1243" s="1"/>
      <c r="FK1243" s="1"/>
      <c r="FL1243" s="1"/>
      <c r="FM1243" s="1"/>
      <c r="FN1243" s="1"/>
      <c r="FO1243" s="1"/>
      <c r="FP1243" s="1"/>
      <c r="FQ1243" s="1"/>
      <c r="FR1243" s="1"/>
      <c r="FS1243" s="1"/>
      <c r="FT1243" s="1"/>
      <c r="FU1243" s="1"/>
      <c r="FV1243" s="1"/>
      <c r="FW1243" s="1"/>
      <c r="FX1243" s="1"/>
      <c r="FY1243" s="1"/>
      <c r="FZ1243" s="1"/>
      <c r="GA1243" s="1"/>
      <c r="GB1243" s="1"/>
      <c r="GC1243" s="1"/>
      <c r="GD1243" s="1"/>
      <c r="GE1243" s="1"/>
      <c r="GF1243" s="1"/>
      <c r="GG1243" s="1"/>
      <c r="GH1243" s="1"/>
      <c r="GI1243" s="1"/>
      <c r="GJ1243" s="1"/>
      <c r="GK1243" s="1"/>
      <c r="GL1243" s="1"/>
      <c r="GM1243" s="1"/>
      <c r="GN1243" s="1"/>
      <c r="GO1243" s="1"/>
      <c r="GP1243" s="1"/>
      <c r="GQ1243" s="1"/>
      <c r="GR1243" s="1"/>
      <c r="GS1243" s="1"/>
      <c r="GT1243" s="1"/>
      <c r="GU1243" s="1"/>
      <c r="GV1243" s="1"/>
      <c r="GW1243" s="1"/>
      <c r="GX1243" s="1"/>
      <c r="GY1243" s="1"/>
      <c r="GZ1243" s="1"/>
      <c r="HA1243" s="1"/>
      <c r="HB1243" s="1"/>
      <c r="HC1243" s="1"/>
      <c r="HD1243" s="1"/>
      <c r="HE1243" s="1"/>
      <c r="HF1243" s="1"/>
      <c r="HG1243" s="1"/>
      <c r="HH1243" s="1"/>
      <c r="HI1243" s="1"/>
      <c r="HJ1243" s="1"/>
      <c r="HK1243" s="1"/>
      <c r="HL1243" s="1"/>
      <c r="HM1243" s="1"/>
      <c r="HN1243" s="1"/>
      <c r="HO1243" s="1"/>
      <c r="HP1243" s="1"/>
      <c r="HQ1243" s="1"/>
      <c r="HR1243" s="1"/>
      <c r="HS1243" s="1"/>
      <c r="HT1243" s="1"/>
      <c r="HU1243" s="1"/>
      <c r="HV1243" s="1"/>
      <c r="HW1243" s="1"/>
      <c r="HX1243" s="1"/>
      <c r="HY1243" s="1"/>
      <c r="HZ1243" s="1"/>
      <c r="IA1243" s="1"/>
      <c r="IB1243" s="1"/>
      <c r="IC1243" s="1"/>
      <c r="ID1243" s="1"/>
      <c r="IE1243" s="1"/>
      <c r="IF1243" s="1"/>
      <c r="IG1243" s="1"/>
      <c r="IH1243" s="1"/>
      <c r="II1243" s="1"/>
      <c r="IJ1243" s="1"/>
      <c r="IK1243" s="1"/>
      <c r="IL1243" s="1"/>
      <c r="IM1243" s="1"/>
      <c r="IN1243" s="1"/>
      <c r="IO1243" s="1"/>
      <c r="IP1243" s="1"/>
      <c r="IQ1243" s="1"/>
      <c r="IR1243" s="1"/>
      <c r="IS1243" s="1"/>
      <c r="IT1243" s="1"/>
      <c r="IU1243" s="1"/>
      <c r="IV1243" s="1"/>
      <c r="IW1243" s="1"/>
      <c r="IX1243" s="1"/>
      <c r="IY1243" s="1"/>
      <c r="IZ1243" s="1"/>
      <c r="JA1243" s="1"/>
      <c r="JB1243" s="1"/>
      <c r="JC1243" s="1"/>
      <c r="JD1243" s="1"/>
    </row>
    <row r="1244" spans="1:264" s="347" customFormat="1" x14ac:dyDescent="0.2">
      <c r="A1244" s="447" t="s">
        <v>832</v>
      </c>
      <c r="B1244" s="446"/>
      <c r="C1244" s="447"/>
      <c r="D1244" s="447"/>
      <c r="E1244" s="447"/>
      <c r="F1244" s="447"/>
      <c r="G1244" s="447"/>
      <c r="H1244" s="447"/>
      <c r="I1244" s="447"/>
      <c r="J1244" s="447"/>
      <c r="K1244" s="447"/>
      <c r="L1244" s="447"/>
      <c r="M1244" s="447"/>
      <c r="N1244" s="447"/>
      <c r="O1244" s="447"/>
      <c r="P1244" s="447"/>
      <c r="Q1244" s="447"/>
      <c r="R1244" s="447"/>
      <c r="S1244" s="447"/>
      <c r="T1244" s="447"/>
      <c r="U1244" s="447"/>
      <c r="V1244" s="447"/>
      <c r="W1244" s="447"/>
      <c r="X1244" s="447"/>
      <c r="Y1244" s="447"/>
      <c r="Z1244" s="447"/>
      <c r="AA1244" s="447"/>
      <c r="AB1244" s="447"/>
      <c r="AC1244" s="447"/>
      <c r="AD1244" s="447"/>
      <c r="AE1244" s="447"/>
      <c r="AF1244" s="447"/>
      <c r="AG1244" s="447"/>
      <c r="AH1244" s="447"/>
      <c r="AI1244" s="447"/>
      <c r="AJ1244" s="447"/>
      <c r="AK1244" s="447"/>
      <c r="AL1244" s="447"/>
      <c r="AM1244" s="447"/>
      <c r="AN1244" s="447"/>
      <c r="AO1244" s="447"/>
      <c r="AP1244" s="447"/>
      <c r="AQ1244" s="447"/>
      <c r="AR1244" s="447"/>
      <c r="AS1244" s="447"/>
      <c r="AT1244" s="447"/>
      <c r="AU1244" s="447"/>
      <c r="AV1244" s="447"/>
      <c r="AW1244" s="447"/>
      <c r="AX1244" s="447"/>
      <c r="AY1244" s="447"/>
      <c r="AZ1244" s="447"/>
      <c r="BA1244" s="447"/>
      <c r="BB1244" s="447"/>
      <c r="BC1244" s="447"/>
      <c r="BD1244" s="447"/>
      <c r="BE1244" s="447"/>
      <c r="BF1244" s="447"/>
      <c r="BG1244" s="447"/>
      <c r="BH1244" s="449"/>
      <c r="BI1244" s="449"/>
      <c r="BJ1244" s="449"/>
      <c r="BK1244" s="449"/>
      <c r="BL1244" s="449"/>
      <c r="BM1244" s="449"/>
      <c r="BN1244" s="449"/>
      <c r="BO1244" s="449"/>
      <c r="BP1244" s="449"/>
      <c r="BQ1244" s="449"/>
      <c r="BR1244" s="449"/>
      <c r="BS1244" s="449"/>
      <c r="BT1244" s="449"/>
      <c r="BU1244" s="449"/>
      <c r="BV1244" s="449"/>
      <c r="BW1244" s="449"/>
      <c r="BX1244" s="449">
        <f>+BX1245-BX1242-BX1243</f>
        <v>532</v>
      </c>
      <c r="BY1244" s="449">
        <f>+BY1245-BY1242-BY1243</f>
        <v>589</v>
      </c>
      <c r="BZ1244" s="449">
        <f>BY1244</f>
        <v>589</v>
      </c>
      <c r="CA1244" s="449"/>
      <c r="CB1244" s="449">
        <f>+CB1245-CB1242-CB1243</f>
        <v>554</v>
      </c>
      <c r="CC1244" s="449">
        <f>+CC1245-CC1242-CC1243</f>
        <v>589</v>
      </c>
      <c r="CD1244" s="449">
        <f>CC1244</f>
        <v>589</v>
      </c>
      <c r="CE1244" s="449"/>
      <c r="CF1244" s="449">
        <f>+CF1245-CF1242-CF1243</f>
        <v>539</v>
      </c>
      <c r="CG1244" s="449">
        <f>+CG1245-CG1242-CG1243</f>
        <v>515</v>
      </c>
      <c r="CH1244" s="449">
        <f>CG1244</f>
        <v>515</v>
      </c>
      <c r="CI1244" s="449"/>
      <c r="CJ1244" s="449">
        <f>+CJ1245-CJ1242-CJ1243</f>
        <v>0</v>
      </c>
      <c r="CK1244" s="449">
        <f>+CK1245-CK1242-CK1243</f>
        <v>0</v>
      </c>
      <c r="CL1244" s="449">
        <f>CK1244</f>
        <v>0</v>
      </c>
      <c r="CM1244" s="449"/>
      <c r="CN1244" s="449">
        <f>+CN1245-CN1242-CN1243</f>
        <v>0</v>
      </c>
      <c r="CO1244" s="449">
        <f>+CO1245-CO1242-CO1243</f>
        <v>0</v>
      </c>
      <c r="CP1244" s="449">
        <f>CO1244</f>
        <v>0</v>
      </c>
      <c r="CQ1244" s="449"/>
      <c r="CR1244" s="449">
        <f>+CR1245-CR1242-CR1243</f>
        <v>0</v>
      </c>
      <c r="CS1244" s="449">
        <f>+CS1245-CS1242-CS1243</f>
        <v>0</v>
      </c>
      <c r="CT1244" s="449">
        <f>CS1244</f>
        <v>0</v>
      </c>
      <c r="CU1244" s="449"/>
      <c r="CV1244" s="449">
        <f>+CV1245-CV1242-CV1243</f>
        <v>0</v>
      </c>
      <c r="CW1244" s="449">
        <f>+CW1245-CW1242-CW1243</f>
        <v>0</v>
      </c>
      <c r="CX1244" s="449">
        <f>CW1244</f>
        <v>0</v>
      </c>
      <c r="CY1244" s="449"/>
      <c r="CZ1244" s="449">
        <f>+CZ1245-CZ1242-CZ1243</f>
        <v>0</v>
      </c>
      <c r="DA1244" s="449">
        <f>+DA1245-DA1242-DA1243</f>
        <v>0</v>
      </c>
      <c r="DB1244" s="449">
        <f>DA1244</f>
        <v>0</v>
      </c>
      <c r="DC1244" s="449"/>
      <c r="DD1244" s="449">
        <f>+DD1245-DD1242-DD1243</f>
        <v>0</v>
      </c>
      <c r="DE1244" s="449">
        <f>+DE1245-DE1242-DE1243</f>
        <v>0</v>
      </c>
      <c r="DF1244" s="449">
        <f>DE1244</f>
        <v>0</v>
      </c>
      <c r="DG1244" s="449"/>
      <c r="DH1244" s="449">
        <f>+DH1245-DH1242-DH1243</f>
        <v>0</v>
      </c>
      <c r="DI1244" s="1498">
        <v>0</v>
      </c>
      <c r="DJ1244" s="449">
        <f>DI1244</f>
        <v>0</v>
      </c>
      <c r="DK1244" s="449"/>
      <c r="DL1244" s="1498">
        <v>0</v>
      </c>
      <c r="DM1244" s="1498">
        <v>0</v>
      </c>
      <c r="DN1244" s="449">
        <f>DM1244</f>
        <v>0</v>
      </c>
      <c r="DO1244" s="449"/>
      <c r="DP1244" s="1498">
        <v>0</v>
      </c>
      <c r="DQ1244" s="1498">
        <v>0</v>
      </c>
      <c r="DR1244" s="449">
        <f>DQ1244</f>
        <v>0</v>
      </c>
      <c r="DS1244" s="449"/>
      <c r="DT1244" s="1"/>
      <c r="DU1244" s="1"/>
      <c r="DV1244" s="1"/>
      <c r="DW1244" s="1"/>
      <c r="DX1244" s="1"/>
      <c r="DY1244" s="1"/>
      <c r="DZ1244" s="1"/>
      <c r="EA1244" s="1"/>
      <c r="EB1244" s="1"/>
      <c r="EC1244" s="1"/>
      <c r="ED1244" s="1"/>
      <c r="EE1244" s="1"/>
      <c r="EF1244" s="1"/>
      <c r="EG1244" s="1"/>
      <c r="EH1244" s="1"/>
      <c r="EI1244" s="1"/>
      <c r="EJ1244" s="1"/>
      <c r="EK1244" s="1"/>
      <c r="EL1244" s="1"/>
      <c r="EM1244" s="1"/>
      <c r="EN1244" s="1"/>
      <c r="EO1244" s="1"/>
      <c r="EP1244" s="1"/>
      <c r="EQ1244" s="1"/>
      <c r="ER1244" s="1"/>
      <c r="ES1244" s="1"/>
      <c r="ET1244" s="1"/>
      <c r="EU1244" s="1"/>
      <c r="EV1244" s="1"/>
      <c r="EW1244" s="1"/>
      <c r="EX1244" s="1"/>
      <c r="EY1244" s="1"/>
      <c r="EZ1244" s="1"/>
      <c r="FA1244" s="1"/>
      <c r="FB1244" s="1"/>
      <c r="FC1244" s="1"/>
      <c r="FD1244" s="1"/>
      <c r="FE1244" s="1"/>
      <c r="FF1244" s="1"/>
      <c r="FG1244" s="1"/>
      <c r="FH1244" s="1"/>
      <c r="FI1244" s="1"/>
      <c r="FJ1244" s="1"/>
      <c r="FK1244" s="1"/>
      <c r="FL1244" s="1"/>
      <c r="FM1244" s="1"/>
      <c r="FN1244" s="1"/>
      <c r="FO1244" s="1"/>
      <c r="FP1244" s="1"/>
      <c r="FQ1244" s="1"/>
      <c r="FR1244" s="1"/>
      <c r="FS1244" s="1"/>
      <c r="FT1244" s="1"/>
      <c r="FU1244" s="1"/>
      <c r="FV1244" s="1"/>
      <c r="FW1244" s="1"/>
      <c r="FX1244" s="1"/>
      <c r="FY1244" s="1"/>
      <c r="FZ1244" s="1"/>
      <c r="GA1244" s="1"/>
      <c r="GB1244" s="1"/>
      <c r="GC1244" s="1"/>
      <c r="GD1244" s="1"/>
      <c r="GE1244" s="1"/>
      <c r="GF1244" s="1"/>
      <c r="GG1244" s="1"/>
      <c r="GH1244" s="1"/>
      <c r="GI1244" s="1"/>
      <c r="GJ1244" s="1"/>
      <c r="GK1244" s="1"/>
      <c r="GL1244" s="1"/>
      <c r="GM1244" s="1"/>
      <c r="GN1244" s="1"/>
      <c r="GO1244" s="1"/>
      <c r="GP1244" s="1"/>
      <c r="GQ1244" s="1"/>
      <c r="GR1244" s="1"/>
      <c r="GS1244" s="1"/>
      <c r="GT1244" s="1"/>
      <c r="GU1244" s="1"/>
      <c r="GV1244" s="1"/>
      <c r="GW1244" s="1"/>
      <c r="GX1244" s="1"/>
      <c r="GY1244" s="1"/>
      <c r="GZ1244" s="1"/>
      <c r="HA1244" s="1"/>
      <c r="HB1244" s="1"/>
      <c r="HC1244" s="1"/>
      <c r="HD1244" s="1"/>
      <c r="HE1244" s="1"/>
      <c r="HF1244" s="1"/>
      <c r="HG1244" s="1"/>
      <c r="HH1244" s="1"/>
      <c r="HI1244" s="1"/>
      <c r="HJ1244" s="1"/>
      <c r="HK1244" s="1"/>
      <c r="HL1244" s="1"/>
      <c r="HM1244" s="1"/>
      <c r="HN1244" s="1"/>
      <c r="HO1244" s="1"/>
      <c r="HP1244" s="1"/>
      <c r="HQ1244" s="1"/>
      <c r="HR1244" s="1"/>
      <c r="HS1244" s="1"/>
      <c r="HT1244" s="1"/>
      <c r="HU1244" s="1"/>
      <c r="HV1244" s="1"/>
      <c r="HW1244" s="1"/>
      <c r="HX1244" s="1"/>
      <c r="HY1244" s="1"/>
      <c r="HZ1244" s="1"/>
      <c r="IA1244" s="1"/>
      <c r="IB1244" s="1"/>
      <c r="IC1244" s="1"/>
      <c r="ID1244" s="1"/>
      <c r="IE1244" s="1"/>
      <c r="IF1244" s="1"/>
      <c r="IG1244" s="1"/>
      <c r="IH1244" s="1"/>
      <c r="II1244" s="1"/>
      <c r="IJ1244" s="1"/>
      <c r="IK1244" s="1"/>
      <c r="IL1244" s="1"/>
      <c r="IM1244" s="1"/>
      <c r="IN1244" s="1"/>
      <c r="IO1244" s="1"/>
      <c r="IP1244" s="1"/>
      <c r="IQ1244" s="1"/>
      <c r="IR1244" s="1"/>
      <c r="IS1244" s="1"/>
      <c r="IT1244" s="1"/>
      <c r="IU1244" s="1"/>
      <c r="IV1244" s="1"/>
      <c r="IW1244" s="1"/>
      <c r="IX1244" s="1"/>
      <c r="IY1244" s="1"/>
      <c r="IZ1244" s="1"/>
      <c r="JA1244" s="1"/>
      <c r="JB1244" s="1"/>
      <c r="JC1244" s="1"/>
      <c r="JD1244" s="1"/>
    </row>
    <row r="1245" spans="1:264" s="411" customFormat="1" x14ac:dyDescent="0.2">
      <c r="A1245" s="411" t="s">
        <v>833</v>
      </c>
      <c r="B1245" s="423"/>
      <c r="BH1245" s="397"/>
      <c r="BI1245" s="397"/>
      <c r="BJ1245" s="397"/>
      <c r="BK1245" s="397"/>
      <c r="BL1245" s="397"/>
      <c r="BM1245" s="397"/>
      <c r="BN1245" s="397"/>
      <c r="BO1245" s="397"/>
      <c r="BP1245" s="397"/>
      <c r="BQ1245" s="397"/>
      <c r="BR1245" s="397"/>
      <c r="BS1245" s="397"/>
      <c r="BT1245" s="397"/>
      <c r="BU1245" s="397"/>
      <c r="BV1245" s="397"/>
      <c r="BW1245" s="397"/>
      <c r="BX1245" s="524">
        <v>4356</v>
      </c>
      <c r="BY1245" s="524">
        <v>4316</v>
      </c>
      <c r="BZ1245" s="351">
        <f>BY1245</f>
        <v>4316</v>
      </c>
      <c r="CA1245" s="397"/>
      <c r="CB1245" s="524">
        <v>4304</v>
      </c>
      <c r="CC1245" s="524">
        <v>4222</v>
      </c>
      <c r="CD1245" s="351">
        <f>CC1245</f>
        <v>4222</v>
      </c>
      <c r="CE1245" s="397"/>
      <c r="CF1245" s="524">
        <v>5273</v>
      </c>
      <c r="CG1245" s="524">
        <v>5314</v>
      </c>
      <c r="CH1245" s="351">
        <f>CG1245</f>
        <v>5314</v>
      </c>
      <c r="CI1245" s="397"/>
      <c r="CJ1245" s="524">
        <v>5026</v>
      </c>
      <c r="CK1245" s="524">
        <v>6363</v>
      </c>
      <c r="CL1245" s="351">
        <f>CK1245</f>
        <v>6363</v>
      </c>
      <c r="CM1245" s="397"/>
      <c r="CN1245" s="524">
        <v>6815</v>
      </c>
      <c r="CO1245" s="524">
        <v>6211</v>
      </c>
      <c r="CP1245" s="351">
        <f>CO1245</f>
        <v>6211</v>
      </c>
      <c r="CQ1245" s="397"/>
      <c r="CR1245" s="524">
        <v>5854</v>
      </c>
      <c r="CS1245" s="524">
        <v>5347</v>
      </c>
      <c r="CT1245" s="351">
        <f>CS1245</f>
        <v>5347</v>
      </c>
      <c r="CU1245" s="397"/>
      <c r="CV1245" s="524">
        <v>5541</v>
      </c>
      <c r="CW1245" s="524">
        <v>5950</v>
      </c>
      <c r="CX1245" s="351">
        <f>CW1245</f>
        <v>5950</v>
      </c>
      <c r="CY1245" s="397"/>
      <c r="CZ1245" s="524">
        <v>6063</v>
      </c>
      <c r="DA1245" s="524">
        <v>6135</v>
      </c>
      <c r="DB1245" s="351">
        <f>DA1245</f>
        <v>6135</v>
      </c>
      <c r="DC1245" s="397"/>
      <c r="DD1245" s="524">
        <v>6227</v>
      </c>
      <c r="DE1245" s="524">
        <v>6377</v>
      </c>
      <c r="DF1245" s="351">
        <f>DE1245</f>
        <v>6377</v>
      </c>
      <c r="DG1245" s="397"/>
      <c r="DH1245" s="524">
        <v>6335</v>
      </c>
      <c r="DI1245" s="397">
        <f ca="1">SUM(DI1242:DI1244)</f>
        <v>6411.2248826337445</v>
      </c>
      <c r="DJ1245" s="397">
        <f ca="1">DI1245</f>
        <v>6411.2248826337445</v>
      </c>
      <c r="DK1245" s="397"/>
      <c r="DL1245" s="397">
        <f ca="1">SUM(DL1242:DL1244)</f>
        <v>6458.0241290668901</v>
      </c>
      <c r="DM1245" s="397">
        <f ca="1">SUM(DM1242:DM1244)</f>
        <v>6550.5996359222008</v>
      </c>
      <c r="DN1245" s="397">
        <f ca="1">DM1245</f>
        <v>6550.5996359222008</v>
      </c>
      <c r="DO1245" s="397"/>
      <c r="DP1245" s="397">
        <f ca="1">SUM(DP1242:DP1244)</f>
        <v>6714.0599425037935</v>
      </c>
      <c r="DQ1245" s="397">
        <f ca="1">SUM(DQ1242:DQ1244)</f>
        <v>6920.0233941305523</v>
      </c>
      <c r="DR1245" s="397">
        <f ca="1">DQ1245</f>
        <v>6920.0233941305523</v>
      </c>
      <c r="DS1245" s="397"/>
      <c r="DT1245" s="451"/>
      <c r="DU1245" s="451"/>
      <c r="DV1245" s="451"/>
      <c r="DW1245" s="451"/>
      <c r="DX1245" s="451"/>
      <c r="DY1245" s="451"/>
      <c r="DZ1245" s="451"/>
      <c r="EA1245" s="451"/>
      <c r="EB1245" s="451"/>
      <c r="EC1245" s="451"/>
      <c r="ED1245" s="451"/>
      <c r="EE1245" s="451"/>
      <c r="EF1245" s="451"/>
      <c r="EG1245" s="451"/>
      <c r="EH1245" s="451"/>
      <c r="EI1245" s="451"/>
      <c r="EJ1245" s="451"/>
      <c r="EK1245" s="451"/>
      <c r="EL1245" s="451"/>
      <c r="EM1245" s="451"/>
      <c r="EN1245" s="451"/>
      <c r="EO1245" s="451"/>
      <c r="EP1245" s="451"/>
      <c r="EQ1245" s="451"/>
      <c r="ER1245" s="451"/>
      <c r="ES1245" s="451"/>
      <c r="ET1245" s="451"/>
      <c r="EU1245" s="451"/>
      <c r="EV1245" s="451"/>
      <c r="EW1245" s="451"/>
      <c r="EX1245" s="451"/>
      <c r="EY1245" s="451"/>
      <c r="EZ1245" s="451"/>
      <c r="FA1245" s="451"/>
      <c r="FB1245" s="451"/>
      <c r="FC1245" s="451"/>
      <c r="FD1245" s="451"/>
      <c r="FE1245" s="451"/>
      <c r="FF1245" s="451"/>
      <c r="FG1245" s="451"/>
      <c r="FH1245" s="451"/>
      <c r="FI1245" s="451"/>
      <c r="FJ1245" s="451"/>
      <c r="FK1245" s="451"/>
      <c r="FL1245" s="451"/>
      <c r="FM1245" s="451"/>
      <c r="FN1245" s="451"/>
      <c r="FO1245" s="451"/>
      <c r="FP1245" s="451"/>
      <c r="FQ1245" s="451"/>
      <c r="FR1245" s="451"/>
      <c r="FS1245" s="451"/>
      <c r="FT1245" s="451"/>
      <c r="FU1245" s="451"/>
      <c r="FV1245" s="451"/>
      <c r="FW1245" s="451"/>
      <c r="FX1245" s="451"/>
      <c r="FY1245" s="451"/>
      <c r="FZ1245" s="451"/>
      <c r="GA1245" s="451"/>
      <c r="GB1245" s="451"/>
      <c r="GC1245" s="451"/>
      <c r="GD1245" s="451"/>
      <c r="GE1245" s="451"/>
      <c r="GF1245" s="451"/>
      <c r="GG1245" s="451"/>
      <c r="GH1245" s="451"/>
      <c r="GI1245" s="451"/>
      <c r="GJ1245" s="451"/>
      <c r="GK1245" s="451"/>
      <c r="GL1245" s="451"/>
      <c r="GM1245" s="451"/>
      <c r="GN1245" s="451"/>
      <c r="GO1245" s="451"/>
      <c r="GP1245" s="451"/>
      <c r="GQ1245" s="451"/>
      <c r="GR1245" s="451"/>
      <c r="GS1245" s="451"/>
      <c r="GT1245" s="451"/>
      <c r="GU1245" s="451"/>
      <c r="GV1245" s="451"/>
      <c r="GW1245" s="451"/>
      <c r="GX1245" s="451"/>
      <c r="GY1245" s="451"/>
      <c r="GZ1245" s="451"/>
      <c r="HA1245" s="451"/>
      <c r="HB1245" s="451"/>
      <c r="HC1245" s="451"/>
      <c r="HD1245" s="451"/>
      <c r="HE1245" s="451"/>
      <c r="HF1245" s="451"/>
      <c r="HG1245" s="451"/>
      <c r="HH1245" s="451"/>
      <c r="HI1245" s="451"/>
      <c r="HJ1245" s="451"/>
      <c r="HK1245" s="451"/>
      <c r="HL1245" s="451"/>
      <c r="HM1245" s="451"/>
      <c r="HN1245" s="451"/>
      <c r="HO1245" s="451"/>
      <c r="HP1245" s="451"/>
      <c r="HQ1245" s="451"/>
      <c r="HR1245" s="451"/>
      <c r="HS1245" s="451"/>
      <c r="HT1245" s="451"/>
      <c r="HU1245" s="451"/>
      <c r="HV1245" s="451"/>
      <c r="HW1245" s="451"/>
      <c r="HX1245" s="451"/>
      <c r="HY1245" s="451"/>
      <c r="HZ1245" s="451"/>
      <c r="IA1245" s="451"/>
      <c r="IB1245" s="451"/>
      <c r="IC1245" s="451"/>
      <c r="ID1245" s="451"/>
      <c r="IE1245" s="451"/>
      <c r="IF1245" s="451"/>
      <c r="IG1245" s="451"/>
      <c r="IH1245" s="451"/>
      <c r="II1245" s="451"/>
      <c r="IJ1245" s="451"/>
      <c r="IK1245" s="451"/>
      <c r="IL1245" s="451"/>
      <c r="IM1245" s="451"/>
      <c r="IN1245" s="451"/>
      <c r="IO1245" s="451"/>
      <c r="IP1245" s="451"/>
      <c r="IQ1245" s="451"/>
      <c r="IR1245" s="451"/>
      <c r="IS1245" s="451"/>
      <c r="IT1245" s="451"/>
      <c r="IU1245" s="451"/>
      <c r="IV1245" s="451"/>
      <c r="IW1245" s="451"/>
      <c r="IX1245" s="451"/>
      <c r="IY1245" s="451"/>
      <c r="IZ1245" s="451"/>
      <c r="JA1245" s="451"/>
      <c r="JB1245" s="451"/>
      <c r="JC1245" s="451"/>
      <c r="JD1245" s="451"/>
    </row>
    <row r="1246" spans="1:264" s="347" customFormat="1" x14ac:dyDescent="0.2">
      <c r="A1246" s="411" t="s">
        <v>834</v>
      </c>
      <c r="B1246" s="348"/>
      <c r="BH1246" s="351"/>
      <c r="BI1246" s="397">
        <f>+BI1249+BI1242</f>
        <v>2858</v>
      </c>
      <c r="BJ1246" s="397">
        <f>+BJ1249+BJ1242</f>
        <v>2858</v>
      </c>
      <c r="BK1246" s="351"/>
      <c r="BL1246" s="397">
        <f>+BL1249+BL1242</f>
        <v>2870</v>
      </c>
      <c r="BM1246" s="397">
        <f>+BM1249+BM1242</f>
        <v>2779</v>
      </c>
      <c r="BN1246" s="397">
        <f>+BN1249+BN1242</f>
        <v>2779</v>
      </c>
      <c r="BO1246" s="351"/>
      <c r="BP1246" s="397">
        <f>+BP1249+BP1242</f>
        <v>2763</v>
      </c>
      <c r="BQ1246" s="397">
        <f>+BQ1249+BQ1242</f>
        <v>2762</v>
      </c>
      <c r="BR1246" s="397">
        <f>+BR1249+BR1242</f>
        <v>2762</v>
      </c>
      <c r="BS1246" s="351"/>
      <c r="BT1246" s="397">
        <f>+BT1249+BT1242</f>
        <v>2801</v>
      </c>
      <c r="BU1246" s="397">
        <f>+BU1249+BU1242</f>
        <v>2818</v>
      </c>
      <c r="BV1246" s="397">
        <f>+BV1249+BV1242</f>
        <v>2818</v>
      </c>
      <c r="BW1246" s="351"/>
      <c r="BX1246" s="524">
        <v>4698</v>
      </c>
      <c r="BY1246" s="524">
        <v>4736</v>
      </c>
      <c r="BZ1246" s="397">
        <f>BY1246</f>
        <v>4736</v>
      </c>
      <c r="CA1246" s="351"/>
      <c r="CB1246" s="524">
        <v>4592</v>
      </c>
      <c r="CC1246" s="524">
        <v>4453</v>
      </c>
      <c r="CD1246" s="397">
        <f>CC1246</f>
        <v>4453</v>
      </c>
      <c r="CE1246" s="351"/>
      <c r="CF1246" s="524">
        <v>4600</v>
      </c>
      <c r="CG1246" s="524">
        <v>4706</v>
      </c>
      <c r="CH1246" s="397">
        <f>+CH1249+CH1242</f>
        <v>4512</v>
      </c>
      <c r="CI1246" s="351"/>
      <c r="CJ1246" s="524">
        <v>4440</v>
      </c>
      <c r="CK1246" s="524">
        <v>4910</v>
      </c>
      <c r="CL1246" s="397">
        <f>+CL1249+CL1242</f>
        <v>6849</v>
      </c>
      <c r="CM1246" s="351"/>
      <c r="CN1246" s="524">
        <v>4953</v>
      </c>
      <c r="CO1246" s="524">
        <v>4887</v>
      </c>
      <c r="CP1246" s="397">
        <f>+CP1249+CP1242</f>
        <v>6635</v>
      </c>
      <c r="CQ1246" s="351"/>
      <c r="CR1246" s="524">
        <v>4564</v>
      </c>
      <c r="CS1246" s="524">
        <v>4446</v>
      </c>
      <c r="CT1246" s="397">
        <f>+CT1249+CT1242</f>
        <v>5512</v>
      </c>
      <c r="CU1246" s="351"/>
      <c r="CV1246" s="524">
        <v>4481</v>
      </c>
      <c r="CW1246" s="524">
        <f>3178+452</f>
        <v>3630</v>
      </c>
      <c r="CX1246" s="397">
        <f>+CX1249+CX1242</f>
        <v>7516</v>
      </c>
      <c r="CY1246" s="351"/>
      <c r="CZ1246" s="524">
        <f>3427+477</f>
        <v>3904</v>
      </c>
      <c r="DA1246" s="524">
        <f>3694+529</f>
        <v>4223</v>
      </c>
      <c r="DB1246" s="397">
        <f>+DB1249+DB1242</f>
        <v>7335</v>
      </c>
      <c r="DC1246" s="351"/>
      <c r="DD1246" s="524">
        <f>3747+520</f>
        <v>4267</v>
      </c>
      <c r="DE1246" s="524">
        <v>6203</v>
      </c>
      <c r="DF1246" s="397">
        <f>+DF1249+DF1242</f>
        <v>5735</v>
      </c>
      <c r="DG1246" s="351"/>
      <c r="DH1246" s="524">
        <v>6108</v>
      </c>
      <c r="DI1246" s="397">
        <f ca="1">+DI1247*DI1248</f>
        <v>6315.7713743550439</v>
      </c>
      <c r="DJ1246" s="397">
        <f ca="1">+DJ1249+DJ1242</f>
        <v>5656.7573932023661</v>
      </c>
      <c r="DK1246" s="351"/>
      <c r="DL1246" s="397">
        <f ca="1">+DL1247*DL1248</f>
        <v>6488.503379951947</v>
      </c>
      <c r="DM1246" s="397">
        <f ca="1">+DM1247*DM1248</f>
        <v>6701.1217965571268</v>
      </c>
      <c r="DN1246" s="397">
        <f ca="1">+DN1249+DN1242</f>
        <v>5480.7909939547835</v>
      </c>
      <c r="DO1246" s="351"/>
      <c r="DP1246" s="397">
        <f ca="1">+DP1247*DP1248</f>
        <v>6853.8632609503866</v>
      </c>
      <c r="DQ1246" s="397">
        <f ca="1">+DQ1247*DQ1248</f>
        <v>7032.6052861424187</v>
      </c>
      <c r="DR1246" s="397">
        <f ca="1">+DR1249+DR1242</f>
        <v>5797.2946721236913</v>
      </c>
      <c r="DS1246" s="351"/>
      <c r="DT1246" s="1"/>
      <c r="DU1246" s="1"/>
      <c r="DV1246" s="1"/>
      <c r="DW1246" s="1"/>
      <c r="DX1246" s="1"/>
      <c r="DY1246" s="1"/>
      <c r="DZ1246" s="1"/>
      <c r="EA1246" s="1"/>
      <c r="EB1246" s="1"/>
      <c r="EC1246" s="1"/>
      <c r="ED1246" s="1"/>
      <c r="EE1246" s="1"/>
      <c r="EF1246" s="1"/>
      <c r="EG1246" s="1"/>
      <c r="EH1246" s="1"/>
      <c r="EI1246" s="1"/>
      <c r="EJ1246" s="1"/>
      <c r="EK1246" s="1"/>
      <c r="EL1246" s="1"/>
      <c r="EM1246" s="1"/>
      <c r="EN1246" s="1"/>
      <c r="EO1246" s="1"/>
      <c r="EP1246" s="1"/>
      <c r="EQ1246" s="1"/>
      <c r="ER1246" s="1"/>
      <c r="ES1246" s="1"/>
      <c r="ET1246" s="1"/>
      <c r="EU1246" s="1"/>
      <c r="EV1246" s="1"/>
      <c r="EW1246" s="1"/>
      <c r="EX1246" s="1"/>
      <c r="EY1246" s="1"/>
      <c r="EZ1246" s="1"/>
      <c r="FA1246" s="1"/>
      <c r="FB1246" s="1"/>
      <c r="FC1246" s="1"/>
      <c r="FD1246" s="1"/>
      <c r="FE1246" s="1"/>
      <c r="FF1246" s="1"/>
      <c r="FG1246" s="1"/>
      <c r="FH1246" s="1"/>
      <c r="FI1246" s="1"/>
      <c r="FJ1246" s="1"/>
      <c r="FK1246" s="1"/>
      <c r="FL1246" s="1"/>
      <c r="FM1246" s="1"/>
      <c r="FN1246" s="1"/>
      <c r="FO1246" s="1"/>
      <c r="FP1246" s="1"/>
      <c r="FQ1246" s="1"/>
      <c r="FR1246" s="1"/>
      <c r="FS1246" s="1"/>
      <c r="FT1246" s="1"/>
      <c r="FU1246" s="1"/>
      <c r="FV1246" s="1"/>
      <c r="FW1246" s="1"/>
      <c r="FX1246" s="1"/>
      <c r="FY1246" s="1"/>
      <c r="FZ1246" s="1"/>
      <c r="GA1246" s="1"/>
      <c r="GB1246" s="1"/>
      <c r="GC1246" s="1"/>
      <c r="GD1246" s="1"/>
      <c r="GE1246" s="1"/>
      <c r="GF1246" s="1"/>
      <c r="GG1246" s="1"/>
      <c r="GH1246" s="1"/>
      <c r="GI1246" s="1"/>
      <c r="GJ1246" s="1"/>
      <c r="GK1246" s="1"/>
      <c r="GL1246" s="1"/>
      <c r="GM1246" s="1"/>
      <c r="GN1246" s="1"/>
      <c r="GO1246" s="1"/>
      <c r="GP1246" s="1"/>
      <c r="GQ1246" s="1"/>
      <c r="GR1246" s="1"/>
      <c r="GS1246" s="1"/>
      <c r="GT1246" s="1"/>
      <c r="GU1246" s="1"/>
      <c r="GV1246" s="1"/>
      <c r="GW1246" s="1"/>
      <c r="GX1246" s="1"/>
      <c r="GY1246" s="1"/>
      <c r="GZ1246" s="1"/>
      <c r="HA1246" s="1"/>
      <c r="HB1246" s="1"/>
      <c r="HC1246" s="1"/>
      <c r="HD1246" s="1"/>
      <c r="HE1246" s="1"/>
      <c r="HF1246" s="1"/>
      <c r="HG1246" s="1"/>
      <c r="HH1246" s="1"/>
      <c r="HI1246" s="1"/>
      <c r="HJ1246" s="1"/>
      <c r="HK1246" s="1"/>
      <c r="HL1246" s="1"/>
      <c r="HM1246" s="1"/>
      <c r="HN1246" s="1"/>
      <c r="HO1246" s="1"/>
      <c r="HP1246" s="1"/>
      <c r="HQ1246" s="1"/>
      <c r="HR1246" s="1"/>
      <c r="HS1246" s="1"/>
      <c r="HT1246" s="1"/>
      <c r="HU1246" s="1"/>
      <c r="HV1246" s="1"/>
      <c r="HW1246" s="1"/>
      <c r="HX1246" s="1"/>
      <c r="HY1246" s="1"/>
      <c r="HZ1246" s="1"/>
      <c r="IA1246" s="1"/>
      <c r="IB1246" s="1"/>
      <c r="IC1246" s="1"/>
      <c r="ID1246" s="1"/>
      <c r="IE1246" s="1"/>
      <c r="IF1246" s="1"/>
      <c r="IG1246" s="1"/>
      <c r="IH1246" s="1"/>
      <c r="II1246" s="1"/>
      <c r="IJ1246" s="1"/>
      <c r="IK1246" s="1"/>
      <c r="IL1246" s="1"/>
      <c r="IM1246" s="1"/>
      <c r="IN1246" s="1"/>
      <c r="IO1246" s="1"/>
      <c r="IP1246" s="1"/>
      <c r="IQ1246" s="1"/>
      <c r="IR1246" s="1"/>
      <c r="IS1246" s="1"/>
      <c r="IT1246" s="1"/>
      <c r="IU1246" s="1"/>
      <c r="IV1246" s="1"/>
      <c r="IW1246" s="1"/>
      <c r="IX1246" s="1"/>
      <c r="IY1246" s="1"/>
      <c r="IZ1246" s="1"/>
      <c r="JA1246" s="1"/>
      <c r="JB1246" s="1"/>
      <c r="JC1246" s="1"/>
      <c r="JD1246" s="1"/>
    </row>
    <row r="1247" spans="1:264" s="347" customFormat="1" x14ac:dyDescent="0.2">
      <c r="A1247" s="347" t="s">
        <v>323</v>
      </c>
      <c r="B1247" s="348"/>
      <c r="BH1247" s="351"/>
      <c r="BI1247" s="351">
        <f>BI1305</f>
        <v>279674</v>
      </c>
      <c r="BJ1247" s="351">
        <f>BJ1305</f>
        <v>279674</v>
      </c>
      <c r="BK1247" s="351"/>
      <c r="BL1247" s="351">
        <f>BL1305</f>
        <v>282204</v>
      </c>
      <c r="BM1247" s="351">
        <f>BM1305</f>
        <v>289138</v>
      </c>
      <c r="BN1247" s="351">
        <f>BN1305</f>
        <v>289138</v>
      </c>
      <c r="BO1247" s="351"/>
      <c r="BP1247" s="351">
        <f>BP1305</f>
        <v>311524</v>
      </c>
      <c r="BQ1247" s="351">
        <f>BQ1305</f>
        <v>319174</v>
      </c>
      <c r="BR1247" s="351">
        <f>BR1305</f>
        <v>319174</v>
      </c>
      <c r="BS1247" s="351"/>
      <c r="BT1247" s="351">
        <f>BT1305</f>
        <v>334957</v>
      </c>
      <c r="BU1247" s="351">
        <f>BU1305</f>
        <v>344030</v>
      </c>
      <c r="BV1247" s="351">
        <f>BV1305</f>
        <v>344030</v>
      </c>
      <c r="BW1247" s="351"/>
      <c r="BX1247" s="351">
        <f>BX1305</f>
        <v>373526</v>
      </c>
      <c r="BY1247" s="351">
        <f>BY1305</f>
        <v>377259</v>
      </c>
      <c r="BZ1247" s="351">
        <f>BZ1305</f>
        <v>377259</v>
      </c>
      <c r="CA1247" s="351"/>
      <c r="CB1247" s="351">
        <f>CB1305</f>
        <v>366985</v>
      </c>
      <c r="CC1247" s="351">
        <f>CC1305</f>
        <v>369528</v>
      </c>
      <c r="CD1247" s="351">
        <f>CD1305</f>
        <v>369528</v>
      </c>
      <c r="CE1247" s="351"/>
      <c r="CF1247" s="351">
        <f>CF1305</f>
        <v>369356</v>
      </c>
      <c r="CG1247" s="351">
        <f>CG1305</f>
        <v>372574</v>
      </c>
      <c r="CH1247" s="351">
        <f>CH1305</f>
        <v>372574</v>
      </c>
      <c r="CI1247" s="351"/>
      <c r="CJ1247" s="351">
        <f>CJ1305</f>
        <v>375217</v>
      </c>
      <c r="CK1247" s="351">
        <f>CK1305</f>
        <v>374194</v>
      </c>
      <c r="CL1247" s="351">
        <f>CL1305</f>
        <v>374194</v>
      </c>
      <c r="CM1247" s="351"/>
      <c r="CN1247" s="351">
        <f>CN1305</f>
        <v>376900</v>
      </c>
      <c r="CO1247" s="351">
        <f>CO1305</f>
        <v>381550</v>
      </c>
      <c r="CP1247" s="351">
        <f>CP1305</f>
        <v>381550</v>
      </c>
      <c r="CQ1247" s="351"/>
      <c r="CR1247" s="351">
        <f>CR1305</f>
        <v>390687</v>
      </c>
      <c r="CS1247" s="351">
        <f>CS1305</f>
        <v>393647</v>
      </c>
      <c r="CT1247" s="351">
        <f>CT1305</f>
        <v>393647</v>
      </c>
      <c r="CU1247" s="351"/>
      <c r="CV1247" s="351">
        <f>CV1305</f>
        <v>402017</v>
      </c>
      <c r="CW1247" s="351">
        <f>CW1305</f>
        <v>362869</v>
      </c>
      <c r="CX1247" s="351">
        <f>CX1305</f>
        <v>362869</v>
      </c>
      <c r="CY1247" s="351"/>
      <c r="CZ1247" s="351">
        <f>CZ1305</f>
        <v>368735</v>
      </c>
      <c r="DA1247" s="351">
        <f>DA1305</f>
        <v>370444</v>
      </c>
      <c r="DB1247" s="351">
        <f>DB1305</f>
        <v>370444</v>
      </c>
      <c r="DC1247" s="351"/>
      <c r="DD1247" s="351">
        <f>DD1305</f>
        <v>385117</v>
      </c>
      <c r="DE1247" s="351">
        <f>DE1305</f>
        <v>398928</v>
      </c>
      <c r="DF1247" s="351">
        <f>DF1305</f>
        <v>398928</v>
      </c>
      <c r="DG1247" s="351"/>
      <c r="DH1247" s="351">
        <f>DH1305</f>
        <v>409119</v>
      </c>
      <c r="DI1247" s="351">
        <f ca="1">DI1305</f>
        <v>423035.70217825164</v>
      </c>
      <c r="DJ1247" s="351">
        <f ca="1">DJ1305</f>
        <v>423035.70217825164</v>
      </c>
      <c r="DK1247" s="351"/>
      <c r="DL1247" s="351">
        <f ca="1">DL1305</f>
        <v>434605.43783604458</v>
      </c>
      <c r="DM1247" s="351">
        <f ca="1">DM1305</f>
        <v>448846.79899896123</v>
      </c>
      <c r="DN1247" s="351">
        <f ca="1">DN1305</f>
        <v>448846.79899896123</v>
      </c>
      <c r="DO1247" s="351"/>
      <c r="DP1247" s="351">
        <f ca="1">DP1305</f>
        <v>459077.5513190506</v>
      </c>
      <c r="DQ1247" s="351">
        <f ca="1">DQ1305</f>
        <v>471049.84316655208</v>
      </c>
      <c r="DR1247" s="351">
        <f ca="1">DR1305</f>
        <v>471049.84316655208</v>
      </c>
      <c r="DS1247" s="351"/>
      <c r="DT1247" s="1"/>
      <c r="DU1247" s="1"/>
      <c r="DV1247" s="1"/>
      <c r="DW1247" s="1"/>
      <c r="DX1247" s="1"/>
      <c r="DY1247" s="1"/>
      <c r="DZ1247" s="1"/>
      <c r="EA1247" s="1"/>
      <c r="EB1247" s="1"/>
      <c r="EC1247" s="1"/>
      <c r="ED1247" s="1"/>
      <c r="EE1247" s="1"/>
      <c r="EF1247" s="1"/>
      <c r="EG1247" s="1"/>
      <c r="EH1247" s="1"/>
      <c r="EI1247" s="1"/>
      <c r="EJ1247" s="1"/>
      <c r="EK1247" s="1"/>
      <c r="EL1247" s="1"/>
      <c r="EM1247" s="1"/>
      <c r="EN1247" s="1"/>
      <c r="EO1247" s="1"/>
      <c r="EP1247" s="1"/>
      <c r="EQ1247" s="1"/>
      <c r="ER1247" s="1"/>
      <c r="ES1247" s="1"/>
      <c r="ET1247" s="1"/>
      <c r="EU1247" s="1"/>
      <c r="EV1247" s="1"/>
      <c r="EW1247" s="1"/>
      <c r="EX1247" s="1"/>
      <c r="EY1247" s="1"/>
      <c r="EZ1247" s="1"/>
      <c r="FA1247" s="1"/>
      <c r="FB1247" s="1"/>
      <c r="FC1247" s="1"/>
      <c r="FD1247" s="1"/>
      <c r="FE1247" s="1"/>
      <c r="FF1247" s="1"/>
      <c r="FG1247" s="1"/>
      <c r="FH1247" s="1"/>
      <c r="FI1247" s="1"/>
      <c r="FJ1247" s="1"/>
      <c r="FK1247" s="1"/>
      <c r="FL1247" s="1"/>
      <c r="FM1247" s="1"/>
      <c r="FN1247" s="1"/>
      <c r="FO1247" s="1"/>
      <c r="FP1247" s="1"/>
      <c r="FQ1247" s="1"/>
      <c r="FR1247" s="1"/>
      <c r="FS1247" s="1"/>
      <c r="FT1247" s="1"/>
      <c r="FU1247" s="1"/>
      <c r="FV1247" s="1"/>
      <c r="FW1247" s="1"/>
      <c r="FX1247" s="1"/>
      <c r="FY1247" s="1"/>
      <c r="FZ1247" s="1"/>
      <c r="GA1247" s="1"/>
      <c r="GB1247" s="1"/>
      <c r="GC1247" s="1"/>
      <c r="GD1247" s="1"/>
      <c r="GE1247" s="1"/>
      <c r="GF1247" s="1"/>
      <c r="GG1247" s="1"/>
      <c r="GH1247" s="1"/>
      <c r="GI1247" s="1"/>
      <c r="GJ1247" s="1"/>
      <c r="GK1247" s="1"/>
      <c r="GL1247" s="1"/>
      <c r="GM1247" s="1"/>
      <c r="GN1247" s="1"/>
      <c r="GO1247" s="1"/>
      <c r="GP1247" s="1"/>
      <c r="GQ1247" s="1"/>
      <c r="GR1247" s="1"/>
      <c r="GS1247" s="1"/>
      <c r="GT1247" s="1"/>
      <c r="GU1247" s="1"/>
      <c r="GV1247" s="1"/>
      <c r="GW1247" s="1"/>
      <c r="GX1247" s="1"/>
      <c r="GY1247" s="1"/>
      <c r="GZ1247" s="1"/>
      <c r="HA1247" s="1"/>
      <c r="HB1247" s="1"/>
      <c r="HC1247" s="1"/>
      <c r="HD1247" s="1"/>
      <c r="HE1247" s="1"/>
      <c r="HF1247" s="1"/>
      <c r="HG1247" s="1"/>
      <c r="HH1247" s="1"/>
      <c r="HI1247" s="1"/>
      <c r="HJ1247" s="1"/>
      <c r="HK1247" s="1"/>
      <c r="HL1247" s="1"/>
      <c r="HM1247" s="1"/>
      <c r="HN1247" s="1"/>
      <c r="HO1247" s="1"/>
      <c r="HP1247" s="1"/>
      <c r="HQ1247" s="1"/>
      <c r="HR1247" s="1"/>
      <c r="HS1247" s="1"/>
      <c r="HT1247" s="1"/>
      <c r="HU1247" s="1"/>
      <c r="HV1247" s="1"/>
      <c r="HW1247" s="1"/>
      <c r="HX1247" s="1"/>
      <c r="HY1247" s="1"/>
      <c r="HZ1247" s="1"/>
      <c r="IA1247" s="1"/>
      <c r="IB1247" s="1"/>
      <c r="IC1247" s="1"/>
      <c r="ID1247" s="1"/>
      <c r="IE1247" s="1"/>
      <c r="IF1247" s="1"/>
      <c r="IG1247" s="1"/>
      <c r="IH1247" s="1"/>
      <c r="II1247" s="1"/>
      <c r="IJ1247" s="1"/>
      <c r="IK1247" s="1"/>
      <c r="IL1247" s="1"/>
      <c r="IM1247" s="1"/>
      <c r="IN1247" s="1"/>
      <c r="IO1247" s="1"/>
      <c r="IP1247" s="1"/>
      <c r="IQ1247" s="1"/>
      <c r="IR1247" s="1"/>
      <c r="IS1247" s="1"/>
      <c r="IT1247" s="1"/>
      <c r="IU1247" s="1"/>
      <c r="IV1247" s="1"/>
      <c r="IW1247" s="1"/>
      <c r="IX1247" s="1"/>
      <c r="IY1247" s="1"/>
      <c r="IZ1247" s="1"/>
      <c r="JA1247" s="1"/>
      <c r="JB1247" s="1"/>
      <c r="JC1247" s="1"/>
      <c r="JD1247" s="1"/>
    </row>
    <row r="1248" spans="1:264" s="429" customFormat="1" x14ac:dyDescent="0.2">
      <c r="A1248" s="436" t="s">
        <v>835</v>
      </c>
      <c r="B1248" s="437"/>
      <c r="C1248" s="436"/>
      <c r="D1248" s="436"/>
      <c r="E1248" s="436"/>
      <c r="F1248" s="436"/>
      <c r="G1248" s="436"/>
      <c r="H1248" s="436"/>
      <c r="I1248" s="436"/>
      <c r="J1248" s="436"/>
      <c r="K1248" s="436"/>
      <c r="L1248" s="436"/>
      <c r="M1248" s="436"/>
      <c r="N1248" s="436"/>
      <c r="O1248" s="436"/>
      <c r="P1248" s="436"/>
      <c r="Q1248" s="436"/>
      <c r="R1248" s="436"/>
      <c r="S1248" s="436"/>
      <c r="T1248" s="436"/>
      <c r="U1248" s="436"/>
      <c r="V1248" s="436"/>
      <c r="W1248" s="436"/>
      <c r="X1248" s="436"/>
      <c r="Y1248" s="436"/>
      <c r="Z1248" s="436"/>
      <c r="AA1248" s="436"/>
      <c r="AB1248" s="436"/>
      <c r="AC1248" s="436"/>
      <c r="AD1248" s="436"/>
      <c r="AE1248" s="436"/>
      <c r="AF1248" s="436"/>
      <c r="AG1248" s="436"/>
      <c r="AH1248" s="436"/>
      <c r="AI1248" s="436"/>
      <c r="AJ1248" s="436"/>
      <c r="AK1248" s="436"/>
      <c r="AL1248" s="436"/>
      <c r="AM1248" s="436"/>
      <c r="AN1248" s="436"/>
      <c r="AO1248" s="436"/>
      <c r="AP1248" s="436"/>
      <c r="AQ1248" s="436"/>
      <c r="AR1248" s="436"/>
      <c r="AS1248" s="436"/>
      <c r="AT1248" s="436"/>
      <c r="AU1248" s="436"/>
      <c r="AV1248" s="436"/>
      <c r="AW1248" s="436"/>
      <c r="AX1248" s="436"/>
      <c r="AY1248" s="436"/>
      <c r="AZ1248" s="436"/>
      <c r="BA1248" s="436"/>
      <c r="BB1248" s="436"/>
      <c r="BC1248" s="436"/>
      <c r="BD1248" s="436"/>
      <c r="BE1248" s="436"/>
      <c r="BF1248" s="436"/>
      <c r="BG1248" s="436"/>
      <c r="BH1248" s="661"/>
      <c r="BI1248" s="493">
        <f>+BI1246/BI1247</f>
        <v>1.021904074029048E-2</v>
      </c>
      <c r="BJ1248" s="661"/>
      <c r="BK1248" s="661"/>
      <c r="BL1248" s="493">
        <f>+BL1246/BL1247</f>
        <v>1.0169947980893254E-2</v>
      </c>
      <c r="BM1248" s="493">
        <f>+BM1246/BM1247</f>
        <v>9.611327463010742E-3</v>
      </c>
      <c r="BN1248" s="661"/>
      <c r="BO1248" s="661"/>
      <c r="BP1248" s="493">
        <f>+BP1246/BP1247</f>
        <v>8.8693005996327724E-3</v>
      </c>
      <c r="BQ1248" s="493">
        <f>+BQ1246/BQ1247</f>
        <v>8.6535870716286413E-3</v>
      </c>
      <c r="BR1248" s="661"/>
      <c r="BS1248" s="661"/>
      <c r="BT1248" s="493">
        <f>+BT1246/BT1247</f>
        <v>8.3622673955164387E-3</v>
      </c>
      <c r="BU1248" s="493">
        <f>+BU1246/BU1247</f>
        <v>8.1911461209778214E-3</v>
      </c>
      <c r="BV1248" s="661"/>
      <c r="BW1248" s="661"/>
      <c r="BX1248" s="493">
        <f>+BX1246/BX1247</f>
        <v>1.2577437715179132E-2</v>
      </c>
      <c r="BY1248" s="493">
        <f>+BY1246/BY1247</f>
        <v>1.255370978558497E-2</v>
      </c>
      <c r="BZ1248" s="661"/>
      <c r="CA1248" s="661"/>
      <c r="CB1248" s="493">
        <f>+CB1246/CB1247</f>
        <v>1.2512773001621319E-2</v>
      </c>
      <c r="CC1248" s="493">
        <f>+CC1246/CC1247</f>
        <v>1.2050507674655236E-2</v>
      </c>
      <c r="CD1248" s="661"/>
      <c r="CE1248" s="661"/>
      <c r="CF1248" s="493">
        <f>+CF1246/CF1247</f>
        <v>1.2454109314590801E-2</v>
      </c>
      <c r="CG1248" s="493">
        <f>+CG1246/CG1247</f>
        <v>1.2631047791848062E-2</v>
      </c>
      <c r="CH1248" s="661"/>
      <c r="CI1248" s="661"/>
      <c r="CJ1248" s="493">
        <f>+CJ1246/CJ1247</f>
        <v>1.1833152549058278E-2</v>
      </c>
      <c r="CK1248" s="493">
        <f>+CK1246/CK1247</f>
        <v>1.3121535887801515E-2</v>
      </c>
      <c r="CL1248" s="661"/>
      <c r="CM1248" s="661"/>
      <c r="CN1248" s="493">
        <f>+CN1246/CN1247</f>
        <v>1.3141416821438047E-2</v>
      </c>
      <c r="CO1248" s="493">
        <f>+CO1246/CO1247</f>
        <v>1.2808282007600577E-2</v>
      </c>
      <c r="CP1248" s="661"/>
      <c r="CQ1248" s="661"/>
      <c r="CR1248" s="493">
        <f>+CR1246/CR1247</f>
        <v>1.1681985835208237E-2</v>
      </c>
      <c r="CS1248" s="493">
        <f>+CS1246/CS1247</f>
        <v>1.1294383038610734E-2</v>
      </c>
      <c r="CT1248" s="661"/>
      <c r="CU1248" s="661"/>
      <c r="CV1248" s="493">
        <f>+CV1246/CV1247</f>
        <v>1.1146294808428499E-2</v>
      </c>
      <c r="CW1248" s="493">
        <f>+CW1246/CW1247</f>
        <v>1.0003610118252041E-2</v>
      </c>
      <c r="CX1248" s="661"/>
      <c r="CY1248" s="661"/>
      <c r="CZ1248" s="493">
        <f>+CZ1246/CZ1247</f>
        <v>1.05875493240403E-2</v>
      </c>
      <c r="DA1248" s="493">
        <f>+DA1246/DA1247</f>
        <v>1.1399833713057844E-2</v>
      </c>
      <c r="DB1248" s="661"/>
      <c r="DC1248" s="661"/>
      <c r="DD1248" s="493">
        <f>+DD1246/DD1247</f>
        <v>1.1079749790323459E-2</v>
      </c>
      <c r="DE1248" s="493">
        <f>+DE1246/DE1247</f>
        <v>1.5549171780371395E-2</v>
      </c>
      <c r="DF1248" s="661"/>
      <c r="DG1248" s="661"/>
      <c r="DH1248" s="493">
        <f>+DH1246/DH1247</f>
        <v>1.4929641497950475E-2</v>
      </c>
      <c r="DI1248" s="495">
        <f>DH1248</f>
        <v>1.4929641497950475E-2</v>
      </c>
      <c r="DJ1248" s="661"/>
      <c r="DK1248" s="661"/>
      <c r="DL1248" s="495">
        <f>DI1248</f>
        <v>1.4929641497950475E-2</v>
      </c>
      <c r="DM1248" s="495">
        <f>DL1248</f>
        <v>1.4929641497950475E-2</v>
      </c>
      <c r="DN1248" s="661"/>
      <c r="DO1248" s="661"/>
      <c r="DP1248" s="495">
        <f>DM1248</f>
        <v>1.4929641497950475E-2</v>
      </c>
      <c r="DQ1248" s="495">
        <f>DP1248</f>
        <v>1.4929641497950475E-2</v>
      </c>
      <c r="DR1248" s="661"/>
      <c r="DS1248" s="661"/>
      <c r="DT1248" s="1"/>
      <c r="DU1248" s="1"/>
      <c r="DV1248" s="1"/>
      <c r="DW1248" s="1"/>
      <c r="DX1248" s="1"/>
      <c r="DY1248" s="1"/>
      <c r="DZ1248" s="1"/>
      <c r="EA1248" s="1"/>
      <c r="EB1248" s="1"/>
      <c r="EC1248" s="1"/>
      <c r="ED1248" s="1"/>
      <c r="EE1248" s="1"/>
      <c r="EF1248" s="1"/>
      <c r="EG1248" s="1"/>
      <c r="EH1248" s="1"/>
      <c r="EI1248" s="1"/>
      <c r="EJ1248" s="1"/>
      <c r="EK1248" s="1"/>
      <c r="EL1248" s="1"/>
      <c r="EM1248" s="1"/>
      <c r="EN1248" s="1"/>
      <c r="EO1248" s="1"/>
      <c r="EP1248" s="1"/>
      <c r="EQ1248" s="1"/>
      <c r="ER1248" s="1"/>
      <c r="ES1248" s="1"/>
      <c r="ET1248" s="1"/>
      <c r="EU1248" s="1"/>
      <c r="EV1248" s="1"/>
      <c r="EW1248" s="1"/>
      <c r="EX1248" s="1"/>
      <c r="EY1248" s="1"/>
      <c r="EZ1248" s="1"/>
      <c r="FA1248" s="1"/>
      <c r="FB1248" s="1"/>
      <c r="FC1248" s="1"/>
      <c r="FD1248" s="1"/>
      <c r="FE1248" s="1"/>
      <c r="FF1248" s="1"/>
      <c r="FG1248" s="1"/>
      <c r="FH1248" s="1"/>
      <c r="FI1248" s="1"/>
      <c r="FJ1248" s="1"/>
      <c r="FK1248" s="1"/>
      <c r="FL1248" s="1"/>
      <c r="FM1248" s="1"/>
      <c r="FN1248" s="1"/>
      <c r="FO1248" s="1"/>
      <c r="FP1248" s="1"/>
      <c r="FQ1248" s="1"/>
      <c r="FR1248" s="1"/>
      <c r="FS1248" s="1"/>
      <c r="FT1248" s="1"/>
      <c r="FU1248" s="1"/>
      <c r="FV1248" s="1"/>
      <c r="FW1248" s="1"/>
      <c r="FX1248" s="1"/>
      <c r="FY1248" s="1"/>
      <c r="FZ1248" s="1"/>
      <c r="GA1248" s="1"/>
      <c r="GB1248" s="1"/>
      <c r="GC1248" s="1"/>
      <c r="GD1248" s="1"/>
      <c r="GE1248" s="1"/>
      <c r="GF1248" s="1"/>
      <c r="GG1248" s="1"/>
      <c r="GH1248" s="1"/>
      <c r="GI1248" s="1"/>
      <c r="GJ1248" s="1"/>
      <c r="GK1248" s="1"/>
      <c r="GL1248" s="1"/>
      <c r="GM1248" s="1"/>
      <c r="GN1248" s="1"/>
      <c r="GO1248" s="1"/>
      <c r="GP1248" s="1"/>
      <c r="GQ1248" s="1"/>
      <c r="GR1248" s="1"/>
      <c r="GS1248" s="1"/>
      <c r="GT1248" s="1"/>
      <c r="GU1248" s="1"/>
      <c r="GV1248" s="1"/>
      <c r="GW1248" s="1"/>
      <c r="GX1248" s="1"/>
      <c r="GY1248" s="1"/>
      <c r="GZ1248" s="1"/>
      <c r="HA1248" s="1"/>
      <c r="HB1248" s="1"/>
      <c r="HC1248" s="1"/>
      <c r="HD1248" s="1"/>
      <c r="HE1248" s="1"/>
      <c r="HF1248" s="1"/>
      <c r="HG1248" s="1"/>
      <c r="HH1248" s="1"/>
      <c r="HI1248" s="1"/>
      <c r="HJ1248" s="1"/>
      <c r="HK1248" s="1"/>
      <c r="HL1248" s="1"/>
      <c r="HM1248" s="1"/>
      <c r="HN1248" s="1"/>
      <c r="HO1248" s="1"/>
      <c r="HP1248" s="1"/>
      <c r="HQ1248" s="1"/>
      <c r="HR1248" s="1"/>
      <c r="HS1248" s="1"/>
      <c r="HT1248" s="1"/>
      <c r="HU1248" s="1"/>
      <c r="HV1248" s="1"/>
      <c r="HW1248" s="1"/>
      <c r="HX1248" s="1"/>
      <c r="HY1248" s="1"/>
      <c r="HZ1248" s="1"/>
      <c r="IA1248" s="1"/>
      <c r="IB1248" s="1"/>
      <c r="IC1248" s="1"/>
      <c r="ID1248" s="1"/>
      <c r="IE1248" s="1"/>
      <c r="IF1248" s="1"/>
      <c r="IG1248" s="1"/>
      <c r="IH1248" s="1"/>
      <c r="II1248" s="1"/>
      <c r="IJ1248" s="1"/>
      <c r="IK1248" s="1"/>
      <c r="IL1248" s="1"/>
      <c r="IM1248" s="1"/>
      <c r="IN1248" s="1"/>
      <c r="IO1248" s="1"/>
      <c r="IP1248" s="1"/>
      <c r="IQ1248" s="1"/>
      <c r="IR1248" s="1"/>
      <c r="IS1248" s="1"/>
      <c r="IT1248" s="1"/>
      <c r="IU1248" s="1"/>
      <c r="IV1248" s="1"/>
      <c r="IW1248" s="1"/>
      <c r="IX1248" s="1"/>
      <c r="IY1248" s="1"/>
      <c r="IZ1248" s="1"/>
      <c r="JA1248" s="1"/>
      <c r="JB1248" s="1"/>
      <c r="JC1248" s="1"/>
      <c r="JD1248" s="1"/>
    </row>
    <row r="1249" spans="1:264" s="347" customFormat="1" x14ac:dyDescent="0.2">
      <c r="A1249" s="347" t="s">
        <v>836</v>
      </c>
      <c r="B1249" s="348"/>
      <c r="BH1249" s="351"/>
      <c r="BI1249" s="351"/>
      <c r="BJ1249" s="351"/>
      <c r="BK1249" s="351"/>
      <c r="BL1249" s="351"/>
      <c r="BM1249" s="351"/>
      <c r="BN1249" s="351"/>
      <c r="BO1249" s="351"/>
      <c r="BP1249" s="351"/>
      <c r="BQ1249" s="351"/>
      <c r="BR1249" s="351"/>
      <c r="BS1249" s="351"/>
      <c r="BT1249" s="351"/>
      <c r="BU1249" s="351"/>
      <c r="BV1249" s="351"/>
      <c r="BW1249" s="351"/>
      <c r="BX1249" s="351"/>
      <c r="BY1249" s="351"/>
      <c r="BZ1249" s="351"/>
      <c r="CA1249" s="351"/>
      <c r="CB1249" s="351">
        <f>CB1245-CB1246</f>
        <v>-288</v>
      </c>
      <c r="CC1249" s="351">
        <f>CC1245-CC1246</f>
        <v>-231</v>
      </c>
      <c r="CD1249" s="351">
        <f>CC1249</f>
        <v>-231</v>
      </c>
      <c r="CE1249" s="351"/>
      <c r="CF1249" s="351">
        <f>CF1245-CF1246</f>
        <v>673</v>
      </c>
      <c r="CG1249" s="351">
        <f>CG1245-CG1246</f>
        <v>608</v>
      </c>
      <c r="CH1249" s="351">
        <f>CG1249</f>
        <v>608</v>
      </c>
      <c r="CI1249" s="351"/>
      <c r="CJ1249" s="351">
        <f>CJ1245-CJ1246</f>
        <v>586</v>
      </c>
      <c r="CK1249" s="351">
        <f>CK1245-CK1246</f>
        <v>1453</v>
      </c>
      <c r="CL1249" s="351">
        <f>CK1249</f>
        <v>1453</v>
      </c>
      <c r="CM1249" s="351"/>
      <c r="CN1249" s="351">
        <f>CN1245-CN1246</f>
        <v>1862</v>
      </c>
      <c r="CO1249" s="351">
        <f>CO1245-CO1246</f>
        <v>1324</v>
      </c>
      <c r="CP1249" s="351">
        <f>CO1249</f>
        <v>1324</v>
      </c>
      <c r="CQ1249" s="351"/>
      <c r="CR1249" s="351">
        <f>CR1245-CR1246</f>
        <v>1290</v>
      </c>
      <c r="CS1249" s="351">
        <f>CS1245-CS1246</f>
        <v>901</v>
      </c>
      <c r="CT1249" s="351">
        <f>CS1249</f>
        <v>901</v>
      </c>
      <c r="CU1249" s="351"/>
      <c r="CV1249" s="351">
        <f>CV1245-CV1246</f>
        <v>1060</v>
      </c>
      <c r="CW1249" s="351">
        <f>CW1245-CW1246</f>
        <v>2320</v>
      </c>
      <c r="CX1249" s="351">
        <f>CW1249</f>
        <v>2320</v>
      </c>
      <c r="CY1249" s="351"/>
      <c r="CZ1249" s="351">
        <f>CZ1245-CZ1246</f>
        <v>2159</v>
      </c>
      <c r="DA1249" s="351">
        <f>DA1245-DA1246</f>
        <v>1912</v>
      </c>
      <c r="DB1249" s="351">
        <f>DA1249</f>
        <v>1912</v>
      </c>
      <c r="DC1249" s="351"/>
      <c r="DD1249" s="351">
        <f>DD1245-DD1246</f>
        <v>1960</v>
      </c>
      <c r="DE1249" s="351">
        <f>DE1245-DE1246</f>
        <v>174</v>
      </c>
      <c r="DF1249" s="351">
        <f>DE1249</f>
        <v>174</v>
      </c>
      <c r="DG1249" s="351"/>
      <c r="DH1249" s="351">
        <f>DH1245-DH1246</f>
        <v>227</v>
      </c>
      <c r="DI1249" s="351">
        <f ca="1">DI1245-DI1246</f>
        <v>95.45350827870061</v>
      </c>
      <c r="DJ1249" s="351">
        <f ca="1">DI1249</f>
        <v>95.45350827870061</v>
      </c>
      <c r="DK1249" s="351"/>
      <c r="DL1249" s="351">
        <f ca="1">DL1245-DL1246</f>
        <v>-30.479250885056899</v>
      </c>
      <c r="DM1249" s="351">
        <f ca="1">DM1245-DM1246</f>
        <v>-150.52216063492597</v>
      </c>
      <c r="DN1249" s="351">
        <f ca="1">DM1249</f>
        <v>-150.52216063492597</v>
      </c>
      <c r="DO1249" s="351"/>
      <c r="DP1249" s="351">
        <f ca="1">DP1245-DP1246</f>
        <v>-139.80331844659304</v>
      </c>
      <c r="DQ1249" s="351">
        <f ca="1">DQ1245-DQ1246</f>
        <v>-112.58189201186633</v>
      </c>
      <c r="DR1249" s="351">
        <f ca="1">DQ1249</f>
        <v>-112.58189201186633</v>
      </c>
      <c r="DS1249" s="351"/>
      <c r="DT1249" s="1"/>
      <c r="DU1249" s="1"/>
      <c r="DV1249" s="1"/>
      <c r="DW1249" s="1"/>
      <c r="DX1249" s="1"/>
      <c r="DY1249" s="1"/>
      <c r="DZ1249" s="1"/>
      <c r="EA1249" s="1"/>
      <c r="EB1249" s="1"/>
      <c r="EC1249" s="1"/>
      <c r="ED1249" s="1"/>
      <c r="EE1249" s="1"/>
      <c r="EF1249" s="1"/>
      <c r="EG1249" s="1"/>
      <c r="EH1249" s="1"/>
      <c r="EI1249" s="1"/>
      <c r="EJ1249" s="1"/>
      <c r="EK1249" s="1"/>
      <c r="EL1249" s="1"/>
      <c r="EM1249" s="1"/>
      <c r="EN1249" s="1"/>
      <c r="EO1249" s="1"/>
      <c r="EP1249" s="1"/>
      <c r="EQ1249" s="1"/>
      <c r="ER1249" s="1"/>
      <c r="ES1249" s="1"/>
      <c r="ET1249" s="1"/>
      <c r="EU1249" s="1"/>
      <c r="EV1249" s="1"/>
      <c r="EW1249" s="1"/>
      <c r="EX1249" s="1"/>
      <c r="EY1249" s="1"/>
      <c r="EZ1249" s="1"/>
      <c r="FA1249" s="1"/>
      <c r="FB1249" s="1"/>
      <c r="FC1249" s="1"/>
      <c r="FD1249" s="1"/>
      <c r="FE1249" s="1"/>
      <c r="FF1249" s="1"/>
      <c r="FG1249" s="1"/>
      <c r="FH1249" s="1"/>
      <c r="FI1249" s="1"/>
      <c r="FJ1249" s="1"/>
      <c r="FK1249" s="1"/>
      <c r="FL1249" s="1"/>
      <c r="FM1249" s="1"/>
      <c r="FN1249" s="1"/>
      <c r="FO1249" s="1"/>
      <c r="FP1249" s="1"/>
      <c r="FQ1249" s="1"/>
      <c r="FR1249" s="1"/>
      <c r="FS1249" s="1"/>
      <c r="FT1249" s="1"/>
      <c r="FU1249" s="1"/>
      <c r="FV1249" s="1"/>
      <c r="FW1249" s="1"/>
      <c r="FX1249" s="1"/>
      <c r="FY1249" s="1"/>
      <c r="FZ1249" s="1"/>
      <c r="GA1249" s="1"/>
      <c r="GB1249" s="1"/>
      <c r="GC1249" s="1"/>
      <c r="GD1249" s="1"/>
      <c r="GE1249" s="1"/>
      <c r="GF1249" s="1"/>
      <c r="GG1249" s="1"/>
      <c r="GH1249" s="1"/>
      <c r="GI1249" s="1"/>
      <c r="GJ1249" s="1"/>
      <c r="GK1249" s="1"/>
      <c r="GL1249" s="1"/>
      <c r="GM1249" s="1"/>
      <c r="GN1249" s="1"/>
      <c r="GO1249" s="1"/>
      <c r="GP1249" s="1"/>
      <c r="GQ1249" s="1"/>
      <c r="GR1249" s="1"/>
      <c r="GS1249" s="1"/>
      <c r="GT1249" s="1"/>
      <c r="GU1249" s="1"/>
      <c r="GV1249" s="1"/>
      <c r="GW1249" s="1"/>
      <c r="GX1249" s="1"/>
      <c r="GY1249" s="1"/>
      <c r="GZ1249" s="1"/>
      <c r="HA1249" s="1"/>
      <c r="HB1249" s="1"/>
      <c r="HC1249" s="1"/>
      <c r="HD1249" s="1"/>
      <c r="HE1249" s="1"/>
      <c r="HF1249" s="1"/>
      <c r="HG1249" s="1"/>
      <c r="HH1249" s="1"/>
      <c r="HI1249" s="1"/>
      <c r="HJ1249" s="1"/>
      <c r="HK1249" s="1"/>
      <c r="HL1249" s="1"/>
      <c r="HM1249" s="1"/>
      <c r="HN1249" s="1"/>
      <c r="HO1249" s="1"/>
      <c r="HP1249" s="1"/>
      <c r="HQ1249" s="1"/>
      <c r="HR1249" s="1"/>
      <c r="HS1249" s="1"/>
      <c r="HT1249" s="1"/>
      <c r="HU1249" s="1"/>
      <c r="HV1249" s="1"/>
      <c r="HW1249" s="1"/>
      <c r="HX1249" s="1"/>
      <c r="HY1249" s="1"/>
      <c r="HZ1249" s="1"/>
      <c r="IA1249" s="1"/>
      <c r="IB1249" s="1"/>
      <c r="IC1249" s="1"/>
      <c r="ID1249" s="1"/>
      <c r="IE1249" s="1"/>
      <c r="IF1249" s="1"/>
      <c r="IG1249" s="1"/>
      <c r="IH1249" s="1"/>
      <c r="II1249" s="1"/>
      <c r="IJ1249" s="1"/>
      <c r="IK1249" s="1"/>
      <c r="IL1249" s="1"/>
      <c r="IM1249" s="1"/>
      <c r="IN1249" s="1"/>
      <c r="IO1249" s="1"/>
      <c r="IP1249" s="1"/>
      <c r="IQ1249" s="1"/>
      <c r="IR1249" s="1"/>
      <c r="IS1249" s="1"/>
      <c r="IT1249" s="1"/>
      <c r="IU1249" s="1"/>
      <c r="IV1249" s="1"/>
      <c r="IW1249" s="1"/>
      <c r="IX1249" s="1"/>
      <c r="IY1249" s="1"/>
      <c r="IZ1249" s="1"/>
      <c r="JA1249" s="1"/>
      <c r="JB1249" s="1"/>
      <c r="JC1249" s="1"/>
      <c r="JD1249" s="1"/>
    </row>
    <row r="1250" spans="1:264" s="347" customFormat="1" x14ac:dyDescent="0.2">
      <c r="A1250" s="347" t="s">
        <v>820</v>
      </c>
      <c r="B1250" s="348"/>
      <c r="BH1250" s="351"/>
      <c r="BI1250" s="351"/>
      <c r="BJ1250" s="351"/>
      <c r="BK1250" s="351"/>
      <c r="BL1250" s="351">
        <f>BL1193</f>
        <v>-236</v>
      </c>
      <c r="BM1250" s="351">
        <f>BM1193</f>
        <v>-502</v>
      </c>
      <c r="BN1250" s="351">
        <f>BN1193</f>
        <v>-502</v>
      </c>
      <c r="BO1250" s="351"/>
      <c r="BP1250" s="351">
        <f>BP1193</f>
        <v>-102</v>
      </c>
      <c r="BQ1250" s="351">
        <f>BQ1193</f>
        <v>-134</v>
      </c>
      <c r="BR1250" s="351">
        <f>BR1193</f>
        <v>-134</v>
      </c>
      <c r="BS1250" s="351"/>
      <c r="BT1250" s="351">
        <f>BT1193</f>
        <v>-245</v>
      </c>
      <c r="BU1250" s="351">
        <f>BU1193</f>
        <v>-314</v>
      </c>
      <c r="BV1250" s="351">
        <f>BV1193</f>
        <v>-314</v>
      </c>
      <c r="BW1250" s="351"/>
      <c r="BX1250" s="351">
        <f>BX1193</f>
        <v>-220</v>
      </c>
      <c r="BY1250" s="351">
        <f>BY1193</f>
        <v>-218</v>
      </c>
      <c r="BZ1250" s="351">
        <f>BZ1193</f>
        <v>-218</v>
      </c>
      <c r="CA1250" s="351"/>
      <c r="CB1250" s="351">
        <f>CB1193</f>
        <v>-99</v>
      </c>
      <c r="CC1250" s="351">
        <f>CC1193</f>
        <v>-212</v>
      </c>
      <c r="CD1250" s="351">
        <f>CD1193</f>
        <v>-212</v>
      </c>
      <c r="CE1250" s="351"/>
      <c r="CF1250" s="351">
        <f>CF1193</f>
        <v>0</v>
      </c>
      <c r="CG1250" s="351">
        <f>CG1193</f>
        <v>0</v>
      </c>
      <c r="CH1250" s="351">
        <f>CH1193</f>
        <v>0</v>
      </c>
      <c r="CI1250" s="351"/>
      <c r="CJ1250" s="351">
        <f>CJ1193</f>
        <v>0</v>
      </c>
      <c r="CK1250" s="351">
        <f>CK1193</f>
        <v>0</v>
      </c>
      <c r="CL1250" s="351">
        <f>CL1193</f>
        <v>0</v>
      </c>
      <c r="CM1250" s="351"/>
      <c r="CN1250" s="351">
        <f>CN1193</f>
        <v>0</v>
      </c>
      <c r="CO1250" s="351">
        <f>CO1193</f>
        <v>0</v>
      </c>
      <c r="CP1250" s="351">
        <f>CP1193</f>
        <v>0</v>
      </c>
      <c r="CQ1250" s="351"/>
      <c r="CR1250" s="351">
        <f>CR1193</f>
        <v>0</v>
      </c>
      <c r="CS1250" s="351">
        <f>CS1193</f>
        <v>0</v>
      </c>
      <c r="CT1250" s="351">
        <f>CT1193</f>
        <v>0</v>
      </c>
      <c r="CU1250" s="351"/>
      <c r="CV1250" s="351">
        <f>CV1193</f>
        <v>-6</v>
      </c>
      <c r="CW1250" s="351">
        <f>CW1193</f>
        <v>0</v>
      </c>
      <c r="CX1250" s="351">
        <f>CX1193</f>
        <v>0</v>
      </c>
      <c r="CY1250" s="351"/>
      <c r="CZ1250" s="351">
        <f>CZ1193</f>
        <v>0</v>
      </c>
      <c r="DA1250" s="351">
        <f>DA1193</f>
        <v>0</v>
      </c>
      <c r="DB1250" s="351">
        <f>DB1193</f>
        <v>0</v>
      </c>
      <c r="DC1250" s="351"/>
      <c r="DD1250" s="351">
        <f>DD1193</f>
        <v>0</v>
      </c>
      <c r="DE1250" s="351">
        <f>DE1193</f>
        <v>0</v>
      </c>
      <c r="DF1250" s="351">
        <f>DF1193</f>
        <v>0</v>
      </c>
      <c r="DG1250" s="351"/>
      <c r="DH1250" s="351">
        <f>DH1193</f>
        <v>0</v>
      </c>
      <c r="DI1250" s="351">
        <f ca="1">DI1193</f>
        <v>0</v>
      </c>
      <c r="DJ1250" s="351">
        <f ca="1">DJ1193</f>
        <v>0</v>
      </c>
      <c r="DK1250" s="351"/>
      <c r="DL1250" s="351">
        <f ca="1">DL1193</f>
        <v>0</v>
      </c>
      <c r="DM1250" s="351">
        <f ca="1">DM1193</f>
        <v>0</v>
      </c>
      <c r="DN1250" s="351">
        <f ca="1">DN1193</f>
        <v>0</v>
      </c>
      <c r="DO1250" s="351"/>
      <c r="DP1250" s="351">
        <f ca="1">DP1193</f>
        <v>0</v>
      </c>
      <c r="DQ1250" s="351">
        <f ca="1">DQ1193</f>
        <v>0</v>
      </c>
      <c r="DR1250" s="351">
        <f ca="1">DR1193</f>
        <v>0</v>
      </c>
      <c r="DS1250" s="351"/>
      <c r="DT1250" s="1"/>
      <c r="DU1250" s="1"/>
      <c r="DV1250" s="1"/>
      <c r="DW1250" s="1"/>
      <c r="DX1250" s="1"/>
      <c r="DY1250" s="1"/>
      <c r="DZ1250" s="1"/>
      <c r="EA1250" s="1"/>
      <c r="EB1250" s="1"/>
      <c r="EC1250" s="1"/>
      <c r="ED1250" s="1"/>
      <c r="EE1250" s="1"/>
      <c r="EF1250" s="1"/>
      <c r="EG1250" s="1"/>
      <c r="EH1250" s="1"/>
      <c r="EI1250" s="1"/>
      <c r="EJ1250" s="1"/>
      <c r="EK1250" s="1"/>
      <c r="EL1250" s="1"/>
      <c r="EM1250" s="1"/>
      <c r="EN1250" s="1"/>
      <c r="EO1250" s="1"/>
      <c r="EP1250" s="1"/>
      <c r="EQ1250" s="1"/>
      <c r="ER1250" s="1"/>
      <c r="ES1250" s="1"/>
      <c r="ET1250" s="1"/>
      <c r="EU1250" s="1"/>
      <c r="EV1250" s="1"/>
      <c r="EW1250" s="1"/>
      <c r="EX1250" s="1"/>
      <c r="EY1250" s="1"/>
      <c r="EZ1250" s="1"/>
      <c r="FA1250" s="1"/>
      <c r="FB1250" s="1"/>
      <c r="FC1250" s="1"/>
      <c r="FD1250" s="1"/>
      <c r="FE1250" s="1"/>
      <c r="FF1250" s="1"/>
      <c r="FG1250" s="1"/>
      <c r="FH1250" s="1"/>
      <c r="FI1250" s="1"/>
      <c r="FJ1250" s="1"/>
      <c r="FK1250" s="1"/>
      <c r="FL1250" s="1"/>
      <c r="FM1250" s="1"/>
      <c r="FN1250" s="1"/>
      <c r="FO1250" s="1"/>
      <c r="FP1250" s="1"/>
      <c r="FQ1250" s="1"/>
      <c r="FR1250" s="1"/>
      <c r="FS1250" s="1"/>
      <c r="FT1250" s="1"/>
      <c r="FU1250" s="1"/>
      <c r="FV1250" s="1"/>
      <c r="FW1250" s="1"/>
      <c r="FX1250" s="1"/>
      <c r="FY1250" s="1"/>
      <c r="FZ1250" s="1"/>
      <c r="GA1250" s="1"/>
      <c r="GB1250" s="1"/>
      <c r="GC1250" s="1"/>
      <c r="GD1250" s="1"/>
      <c r="GE1250" s="1"/>
      <c r="GF1250" s="1"/>
      <c r="GG1250" s="1"/>
      <c r="GH1250" s="1"/>
      <c r="GI1250" s="1"/>
      <c r="GJ1250" s="1"/>
      <c r="GK1250" s="1"/>
      <c r="GL1250" s="1"/>
      <c r="GM1250" s="1"/>
      <c r="GN1250" s="1"/>
      <c r="GO1250" s="1"/>
      <c r="GP1250" s="1"/>
      <c r="GQ1250" s="1"/>
      <c r="GR1250" s="1"/>
      <c r="GS1250" s="1"/>
      <c r="GT1250" s="1"/>
      <c r="GU1250" s="1"/>
      <c r="GV1250" s="1"/>
      <c r="GW1250" s="1"/>
      <c r="GX1250" s="1"/>
      <c r="GY1250" s="1"/>
      <c r="GZ1250" s="1"/>
      <c r="HA1250" s="1"/>
      <c r="HB1250" s="1"/>
      <c r="HC1250" s="1"/>
      <c r="HD1250" s="1"/>
      <c r="HE1250" s="1"/>
      <c r="HF1250" s="1"/>
      <c r="HG1250" s="1"/>
      <c r="HH1250" s="1"/>
      <c r="HI1250" s="1"/>
      <c r="HJ1250" s="1"/>
      <c r="HK1250" s="1"/>
      <c r="HL1250" s="1"/>
      <c r="HM1250" s="1"/>
      <c r="HN1250" s="1"/>
      <c r="HO1250" s="1"/>
      <c r="HP1250" s="1"/>
      <c r="HQ1250" s="1"/>
      <c r="HR1250" s="1"/>
      <c r="HS1250" s="1"/>
      <c r="HT1250" s="1"/>
      <c r="HU1250" s="1"/>
      <c r="HV1250" s="1"/>
      <c r="HW1250" s="1"/>
      <c r="HX1250" s="1"/>
      <c r="HY1250" s="1"/>
      <c r="HZ1250" s="1"/>
      <c r="IA1250" s="1"/>
      <c r="IB1250" s="1"/>
      <c r="IC1250" s="1"/>
      <c r="ID1250" s="1"/>
      <c r="IE1250" s="1"/>
      <c r="IF1250" s="1"/>
      <c r="IG1250" s="1"/>
      <c r="IH1250" s="1"/>
      <c r="II1250" s="1"/>
      <c r="IJ1250" s="1"/>
      <c r="IK1250" s="1"/>
      <c r="IL1250" s="1"/>
      <c r="IM1250" s="1"/>
      <c r="IN1250" s="1"/>
      <c r="IO1250" s="1"/>
      <c r="IP1250" s="1"/>
      <c r="IQ1250" s="1"/>
      <c r="IR1250" s="1"/>
      <c r="IS1250" s="1"/>
      <c r="IT1250" s="1"/>
      <c r="IU1250" s="1"/>
      <c r="IV1250" s="1"/>
      <c r="IW1250" s="1"/>
      <c r="IX1250" s="1"/>
      <c r="IY1250" s="1"/>
      <c r="IZ1250" s="1"/>
      <c r="JA1250" s="1"/>
      <c r="JB1250" s="1"/>
      <c r="JC1250" s="1"/>
      <c r="JD1250" s="1"/>
    </row>
    <row r="1251" spans="1:264" s="347" customFormat="1" x14ac:dyDescent="0.2">
      <c r="A1251" s="347" t="s">
        <v>837</v>
      </c>
      <c r="B1251" s="348"/>
      <c r="BH1251" s="351"/>
      <c r="BI1251" s="351"/>
      <c r="BJ1251" s="351"/>
      <c r="BK1251" s="351"/>
      <c r="BL1251" s="351"/>
      <c r="BM1251" s="351"/>
      <c r="BN1251" s="351"/>
      <c r="BO1251" s="351"/>
      <c r="BP1251" s="351"/>
      <c r="BQ1251" s="351"/>
      <c r="BR1251" s="351"/>
      <c r="BS1251" s="351"/>
      <c r="BT1251" s="351"/>
      <c r="BU1251" s="351"/>
      <c r="BV1251" s="351"/>
      <c r="BW1251" s="351"/>
      <c r="BX1251" s="351"/>
      <c r="BY1251" s="351"/>
      <c r="BZ1251" s="351"/>
      <c r="CA1251" s="351"/>
      <c r="CB1251" s="351">
        <f>IF(CB1249&gt;0,CB1249,0)</f>
        <v>0</v>
      </c>
      <c r="CC1251" s="351">
        <f>IF(CC1249&gt;0,CC1249,0)</f>
        <v>0</v>
      </c>
      <c r="CD1251" s="351">
        <f>IF(CD1249&gt;0,CD1249,0)</f>
        <v>0</v>
      </c>
      <c r="CE1251" s="351"/>
      <c r="CF1251" s="351">
        <f>IF(CF1249&gt;0,CF1249,0)</f>
        <v>673</v>
      </c>
      <c r="CG1251" s="351">
        <f>IF(CG1249&gt;0,CG1249,0)</f>
        <v>608</v>
      </c>
      <c r="CH1251" s="351">
        <f>IF(CH1249&gt;0,CH1249,0)</f>
        <v>608</v>
      </c>
      <c r="CI1251" s="351"/>
      <c r="CJ1251" s="351">
        <f>IF(CJ1249&gt;0,CJ1249,0)</f>
        <v>586</v>
      </c>
      <c r="CK1251" s="351">
        <f>IF(CK1249&gt;0,CK1249,0)</f>
        <v>1453</v>
      </c>
      <c r="CL1251" s="351">
        <f>IF(CL1249&gt;0,CL1249,0)</f>
        <v>1453</v>
      </c>
      <c r="CM1251" s="351"/>
      <c r="CN1251" s="351">
        <f>IF(CN1249&gt;0,CN1249,0)</f>
        <v>1862</v>
      </c>
      <c r="CO1251" s="351">
        <f>IF(CO1249&gt;0,CO1249,0)</f>
        <v>1324</v>
      </c>
      <c r="CP1251" s="351">
        <f>IF(CP1249&gt;0,CP1249,0)</f>
        <v>1324</v>
      </c>
      <c r="CQ1251" s="351"/>
      <c r="CR1251" s="351">
        <f>IF(CR1249&gt;0,CR1249,0)</f>
        <v>1290</v>
      </c>
      <c r="CS1251" s="351">
        <f>IF(CS1249&gt;0,CS1249,0)</f>
        <v>901</v>
      </c>
      <c r="CT1251" s="351">
        <f>IF(CT1249&gt;0,CT1249,0)</f>
        <v>901</v>
      </c>
      <c r="CU1251" s="351"/>
      <c r="CV1251" s="351">
        <f>IF(CV1249&gt;0,CV1249,0)</f>
        <v>1060</v>
      </c>
      <c r="CW1251" s="351">
        <f>IF(CW1249&gt;0,CW1249,0)</f>
        <v>2320</v>
      </c>
      <c r="CX1251" s="351">
        <f>IF(CX1249&gt;0,CX1249,0)</f>
        <v>2320</v>
      </c>
      <c r="CY1251" s="351"/>
      <c r="CZ1251" s="351">
        <f>IF(CZ1249&gt;0,CZ1249,0)</f>
        <v>2159</v>
      </c>
      <c r="DA1251" s="351">
        <f>IF(DA1249&gt;0,DA1249,0)</f>
        <v>1912</v>
      </c>
      <c r="DB1251" s="351">
        <f>IF(DB1249&gt;0,DB1249,0)</f>
        <v>1912</v>
      </c>
      <c r="DC1251" s="351"/>
      <c r="DD1251" s="351">
        <f>IF(DD1249&gt;0,DD1249,0)</f>
        <v>1960</v>
      </c>
      <c r="DE1251" s="351">
        <f>IF(DE1249&gt;0,DE1249,0)</f>
        <v>174</v>
      </c>
      <c r="DF1251" s="351">
        <f>IF(DF1249&gt;0,DF1249,0)</f>
        <v>174</v>
      </c>
      <c r="DG1251" s="351"/>
      <c r="DH1251" s="351">
        <f>IF(DH1249&gt;0,DH1249,0)</f>
        <v>227</v>
      </c>
      <c r="DI1251" s="351">
        <f ca="1">IF(DI1249&gt;0,DI1249,0)</f>
        <v>95.45350827870061</v>
      </c>
      <c r="DJ1251" s="351">
        <f ca="1">IF(DJ1249&gt;0,DJ1249,0)</f>
        <v>95.45350827870061</v>
      </c>
      <c r="DK1251" s="351"/>
      <c r="DL1251" s="351">
        <f ca="1">IF(DL1249&gt;0,DL1249,0)</f>
        <v>0</v>
      </c>
      <c r="DM1251" s="351">
        <f ca="1">IF(DM1249&gt;0,DM1249,0)</f>
        <v>0</v>
      </c>
      <c r="DN1251" s="351">
        <f ca="1">IF(DN1249&gt;0,DN1249,0)</f>
        <v>0</v>
      </c>
      <c r="DO1251" s="351"/>
      <c r="DP1251" s="351">
        <f ca="1">IF(DP1249&gt;0,DP1249,0)</f>
        <v>0</v>
      </c>
      <c r="DQ1251" s="351">
        <f ca="1">IF(DQ1249&gt;0,DQ1249,0)</f>
        <v>0</v>
      </c>
      <c r="DR1251" s="351">
        <f ca="1">IF(DR1249&gt;0,DR1249,0)</f>
        <v>0</v>
      </c>
      <c r="DS1251" s="351"/>
      <c r="DT1251" s="1"/>
      <c r="DU1251" s="1"/>
      <c r="DV1251" s="1"/>
      <c r="DW1251" s="1"/>
      <c r="DX1251" s="1"/>
      <c r="DY1251" s="1"/>
      <c r="DZ1251" s="1"/>
      <c r="EA1251" s="1"/>
      <c r="EB1251" s="1"/>
      <c r="EC1251" s="1"/>
      <c r="ED1251" s="1"/>
      <c r="EE1251" s="1"/>
      <c r="EF1251" s="1"/>
      <c r="EG1251" s="1"/>
      <c r="EH1251" s="1"/>
      <c r="EI1251" s="1"/>
      <c r="EJ1251" s="1"/>
      <c r="EK1251" s="1"/>
      <c r="EL1251" s="1"/>
      <c r="EM1251" s="1"/>
      <c r="EN1251" s="1"/>
      <c r="EO1251" s="1"/>
      <c r="EP1251" s="1"/>
      <c r="EQ1251" s="1"/>
      <c r="ER1251" s="1"/>
      <c r="ES1251" s="1"/>
      <c r="ET1251" s="1"/>
      <c r="EU1251" s="1"/>
      <c r="EV1251" s="1"/>
      <c r="EW1251" s="1"/>
      <c r="EX1251" s="1"/>
      <c r="EY1251" s="1"/>
      <c r="EZ1251" s="1"/>
      <c r="FA1251" s="1"/>
      <c r="FB1251" s="1"/>
      <c r="FC1251" s="1"/>
      <c r="FD1251" s="1"/>
      <c r="FE1251" s="1"/>
      <c r="FF1251" s="1"/>
      <c r="FG1251" s="1"/>
      <c r="FH1251" s="1"/>
      <c r="FI1251" s="1"/>
      <c r="FJ1251" s="1"/>
      <c r="FK1251" s="1"/>
      <c r="FL1251" s="1"/>
      <c r="FM1251" s="1"/>
      <c r="FN1251" s="1"/>
      <c r="FO1251" s="1"/>
      <c r="FP1251" s="1"/>
      <c r="FQ1251" s="1"/>
      <c r="FR1251" s="1"/>
      <c r="FS1251" s="1"/>
      <c r="FT1251" s="1"/>
      <c r="FU1251" s="1"/>
      <c r="FV1251" s="1"/>
      <c r="FW1251" s="1"/>
      <c r="FX1251" s="1"/>
      <c r="FY1251" s="1"/>
      <c r="FZ1251" s="1"/>
      <c r="GA1251" s="1"/>
      <c r="GB1251" s="1"/>
      <c r="GC1251" s="1"/>
      <c r="GD1251" s="1"/>
      <c r="GE1251" s="1"/>
      <c r="GF1251" s="1"/>
      <c r="GG1251" s="1"/>
      <c r="GH1251" s="1"/>
      <c r="GI1251" s="1"/>
      <c r="GJ1251" s="1"/>
      <c r="GK1251" s="1"/>
      <c r="GL1251" s="1"/>
      <c r="GM1251" s="1"/>
      <c r="GN1251" s="1"/>
      <c r="GO1251" s="1"/>
      <c r="GP1251" s="1"/>
      <c r="GQ1251" s="1"/>
      <c r="GR1251" s="1"/>
      <c r="GS1251" s="1"/>
      <c r="GT1251" s="1"/>
      <c r="GU1251" s="1"/>
      <c r="GV1251" s="1"/>
      <c r="GW1251" s="1"/>
      <c r="GX1251" s="1"/>
      <c r="GY1251" s="1"/>
      <c r="GZ1251" s="1"/>
      <c r="HA1251" s="1"/>
      <c r="HB1251" s="1"/>
      <c r="HC1251" s="1"/>
      <c r="HD1251" s="1"/>
      <c r="HE1251" s="1"/>
      <c r="HF1251" s="1"/>
      <c r="HG1251" s="1"/>
      <c r="HH1251" s="1"/>
      <c r="HI1251" s="1"/>
      <c r="HJ1251" s="1"/>
      <c r="HK1251" s="1"/>
      <c r="HL1251" s="1"/>
      <c r="HM1251" s="1"/>
      <c r="HN1251" s="1"/>
      <c r="HO1251" s="1"/>
      <c r="HP1251" s="1"/>
      <c r="HQ1251" s="1"/>
      <c r="HR1251" s="1"/>
      <c r="HS1251" s="1"/>
      <c r="HT1251" s="1"/>
      <c r="HU1251" s="1"/>
      <c r="HV1251" s="1"/>
      <c r="HW1251" s="1"/>
      <c r="HX1251" s="1"/>
      <c r="HY1251" s="1"/>
      <c r="HZ1251" s="1"/>
      <c r="IA1251" s="1"/>
      <c r="IB1251" s="1"/>
      <c r="IC1251" s="1"/>
      <c r="ID1251" s="1"/>
      <c r="IE1251" s="1"/>
      <c r="IF1251" s="1"/>
      <c r="IG1251" s="1"/>
      <c r="IH1251" s="1"/>
      <c r="II1251" s="1"/>
      <c r="IJ1251" s="1"/>
      <c r="IK1251" s="1"/>
      <c r="IL1251" s="1"/>
      <c r="IM1251" s="1"/>
      <c r="IN1251" s="1"/>
      <c r="IO1251" s="1"/>
      <c r="IP1251" s="1"/>
      <c r="IQ1251" s="1"/>
      <c r="IR1251" s="1"/>
      <c r="IS1251" s="1"/>
      <c r="IT1251" s="1"/>
      <c r="IU1251" s="1"/>
      <c r="IV1251" s="1"/>
      <c r="IW1251" s="1"/>
      <c r="IX1251" s="1"/>
      <c r="IY1251" s="1"/>
      <c r="IZ1251" s="1"/>
      <c r="JA1251" s="1"/>
      <c r="JB1251" s="1"/>
      <c r="JC1251" s="1"/>
      <c r="JD1251" s="1"/>
    </row>
    <row r="1252" spans="1:264" s="347" customFormat="1" x14ac:dyDescent="0.2">
      <c r="A1252" s="411"/>
      <c r="B1252" s="348"/>
      <c r="BH1252" s="351"/>
      <c r="BI1252" s="351"/>
      <c r="BJ1252" s="351"/>
      <c r="BK1252" s="351"/>
      <c r="BL1252" s="351"/>
      <c r="BM1252" s="351"/>
      <c r="BN1252" s="351"/>
      <c r="BO1252" s="351"/>
      <c r="BP1252" s="351"/>
      <c r="BQ1252" s="351"/>
      <c r="BR1252" s="351"/>
      <c r="BS1252" s="351"/>
      <c r="BT1252" s="351"/>
      <c r="BU1252" s="351"/>
      <c r="BV1252" s="351"/>
      <c r="BW1252" s="351"/>
      <c r="BX1252" s="351"/>
      <c r="BY1252" s="351"/>
      <c r="BZ1252" s="351"/>
      <c r="CA1252" s="351"/>
      <c r="CB1252" s="351"/>
      <c r="CC1252" s="351"/>
      <c r="CD1252" s="351"/>
      <c r="CE1252" s="351"/>
      <c r="CF1252" s="351"/>
      <c r="CG1252" s="351"/>
      <c r="CH1252" s="351"/>
      <c r="CI1252" s="351"/>
      <c r="CJ1252" s="351"/>
      <c r="CK1252" s="351"/>
      <c r="CL1252" s="351"/>
      <c r="CM1252" s="351"/>
      <c r="CN1252" s="351"/>
      <c r="CO1252" s="351"/>
      <c r="CP1252" s="351"/>
      <c r="CQ1252" s="351"/>
      <c r="CR1252" s="351"/>
      <c r="CS1252" s="351"/>
      <c r="CT1252" s="351"/>
      <c r="CU1252" s="351"/>
      <c r="CV1252" s="351"/>
      <c r="CW1252" s="351"/>
      <c r="CX1252" s="351"/>
      <c r="CY1252" s="351"/>
      <c r="CZ1252" s="351"/>
      <c r="DA1252" s="351"/>
      <c r="DB1252" s="351"/>
      <c r="DC1252" s="351"/>
      <c r="DD1252" s="351"/>
      <c r="DE1252" s="351"/>
      <c r="DF1252" s="351"/>
      <c r="DG1252" s="351"/>
      <c r="DH1252" s="351"/>
      <c r="DI1252" s="351"/>
      <c r="DJ1252" s="351"/>
      <c r="DK1252" s="351"/>
      <c r="DL1252" s="351"/>
      <c r="DM1252" s="351"/>
      <c r="DN1252" s="351"/>
      <c r="DO1252" s="351"/>
      <c r="DP1252" s="351"/>
      <c r="DQ1252" s="351"/>
      <c r="DR1252" s="351"/>
      <c r="DS1252" s="351"/>
      <c r="DT1252" s="1"/>
      <c r="DU1252" s="1"/>
      <c r="DV1252" s="1"/>
      <c r="DW1252" s="1"/>
      <c r="DX1252" s="1"/>
      <c r="DY1252" s="1"/>
      <c r="DZ1252" s="1"/>
      <c r="EA1252" s="1"/>
      <c r="EB1252" s="1"/>
      <c r="EC1252" s="1"/>
      <c r="ED1252" s="1"/>
      <c r="EE1252" s="1"/>
      <c r="EF1252" s="1"/>
      <c r="EG1252" s="1"/>
      <c r="EH1252" s="1"/>
      <c r="EI1252" s="1"/>
      <c r="EJ1252" s="1"/>
      <c r="EK1252" s="1"/>
      <c r="EL1252" s="1"/>
      <c r="EM1252" s="1"/>
      <c r="EN1252" s="1"/>
      <c r="EO1252" s="1"/>
      <c r="EP1252" s="1"/>
      <c r="EQ1252" s="1"/>
      <c r="ER1252" s="1"/>
      <c r="ES1252" s="1"/>
      <c r="ET1252" s="1"/>
      <c r="EU1252" s="1"/>
      <c r="EV1252" s="1"/>
      <c r="EW1252" s="1"/>
      <c r="EX1252" s="1"/>
      <c r="EY1252" s="1"/>
      <c r="EZ1252" s="1"/>
      <c r="FA1252" s="1"/>
      <c r="FB1252" s="1"/>
      <c r="FC1252" s="1"/>
      <c r="FD1252" s="1"/>
      <c r="FE1252" s="1"/>
      <c r="FF1252" s="1"/>
      <c r="FG1252" s="1"/>
      <c r="FH1252" s="1"/>
      <c r="FI1252" s="1"/>
      <c r="FJ1252" s="1"/>
      <c r="FK1252" s="1"/>
      <c r="FL1252" s="1"/>
      <c r="FM1252" s="1"/>
      <c r="FN1252" s="1"/>
      <c r="FO1252" s="1"/>
      <c r="FP1252" s="1"/>
      <c r="FQ1252" s="1"/>
      <c r="FR1252" s="1"/>
      <c r="FS1252" s="1"/>
      <c r="FT1252" s="1"/>
      <c r="FU1252" s="1"/>
      <c r="FV1252" s="1"/>
      <c r="FW1252" s="1"/>
      <c r="FX1252" s="1"/>
      <c r="FY1252" s="1"/>
      <c r="FZ1252" s="1"/>
      <c r="GA1252" s="1"/>
      <c r="GB1252" s="1"/>
      <c r="GC1252" s="1"/>
      <c r="GD1252" s="1"/>
      <c r="GE1252" s="1"/>
      <c r="GF1252" s="1"/>
      <c r="GG1252" s="1"/>
      <c r="GH1252" s="1"/>
      <c r="GI1252" s="1"/>
      <c r="GJ1252" s="1"/>
      <c r="GK1252" s="1"/>
      <c r="GL1252" s="1"/>
      <c r="GM1252" s="1"/>
      <c r="GN1252" s="1"/>
      <c r="GO1252" s="1"/>
      <c r="GP1252" s="1"/>
      <c r="GQ1252" s="1"/>
      <c r="GR1252" s="1"/>
      <c r="GS1252" s="1"/>
      <c r="GT1252" s="1"/>
      <c r="GU1252" s="1"/>
      <c r="GV1252" s="1"/>
      <c r="GW1252" s="1"/>
      <c r="GX1252" s="1"/>
      <c r="GY1252" s="1"/>
      <c r="GZ1252" s="1"/>
      <c r="HA1252" s="1"/>
      <c r="HB1252" s="1"/>
      <c r="HC1252" s="1"/>
      <c r="HD1252" s="1"/>
      <c r="HE1252" s="1"/>
      <c r="HF1252" s="1"/>
      <c r="HG1252" s="1"/>
      <c r="HH1252" s="1"/>
      <c r="HI1252" s="1"/>
      <c r="HJ1252" s="1"/>
      <c r="HK1252" s="1"/>
      <c r="HL1252" s="1"/>
      <c r="HM1252" s="1"/>
      <c r="HN1252" s="1"/>
      <c r="HO1252" s="1"/>
      <c r="HP1252" s="1"/>
      <c r="HQ1252" s="1"/>
      <c r="HR1252" s="1"/>
      <c r="HS1252" s="1"/>
      <c r="HT1252" s="1"/>
      <c r="HU1252" s="1"/>
      <c r="HV1252" s="1"/>
      <c r="HW1252" s="1"/>
      <c r="HX1252" s="1"/>
      <c r="HY1252" s="1"/>
      <c r="HZ1252" s="1"/>
      <c r="IA1252" s="1"/>
      <c r="IB1252" s="1"/>
      <c r="IC1252" s="1"/>
      <c r="ID1252" s="1"/>
      <c r="IE1252" s="1"/>
      <c r="IF1252" s="1"/>
      <c r="IG1252" s="1"/>
      <c r="IH1252" s="1"/>
      <c r="II1252" s="1"/>
      <c r="IJ1252" s="1"/>
      <c r="IK1252" s="1"/>
      <c r="IL1252" s="1"/>
      <c r="IM1252" s="1"/>
      <c r="IN1252" s="1"/>
      <c r="IO1252" s="1"/>
      <c r="IP1252" s="1"/>
      <c r="IQ1252" s="1"/>
      <c r="IR1252" s="1"/>
      <c r="IS1252" s="1"/>
      <c r="IT1252" s="1"/>
      <c r="IU1252" s="1"/>
      <c r="IV1252" s="1"/>
      <c r="IW1252" s="1"/>
      <c r="IX1252" s="1"/>
      <c r="IY1252" s="1"/>
      <c r="IZ1252" s="1"/>
      <c r="JA1252" s="1"/>
      <c r="JB1252" s="1"/>
      <c r="JC1252" s="1"/>
      <c r="JD1252" s="1"/>
    </row>
    <row r="1253" spans="1:264" s="387" customFormat="1" x14ac:dyDescent="0.2">
      <c r="A1253" s="564" t="s">
        <v>786</v>
      </c>
      <c r="B1253" s="388"/>
      <c r="BH1253" s="389"/>
      <c r="BI1253" s="389"/>
      <c r="BJ1253" s="389"/>
      <c r="BK1253" s="389"/>
      <c r="BL1253" s="389"/>
      <c r="BM1253" s="389"/>
      <c r="BN1253" s="389"/>
      <c r="BO1253" s="389"/>
      <c r="BP1253" s="389"/>
      <c r="BQ1253" s="389"/>
      <c r="BR1253" s="389"/>
      <c r="BS1253" s="389"/>
      <c r="BT1253" s="389"/>
      <c r="BU1253" s="389"/>
      <c r="BV1253" s="389"/>
      <c r="BW1253" s="389"/>
      <c r="BX1253" s="389"/>
      <c r="BY1253" s="389"/>
      <c r="BZ1253" s="389"/>
      <c r="CA1253" s="389"/>
      <c r="CB1253" s="389"/>
      <c r="CC1253" s="389"/>
      <c r="CD1253" s="389"/>
      <c r="CE1253" s="389"/>
      <c r="CF1253" s="389"/>
      <c r="CG1253" s="389"/>
      <c r="CH1253" s="389"/>
      <c r="CI1253" s="389"/>
      <c r="CJ1253" s="389"/>
      <c r="CK1253" s="389"/>
      <c r="CL1253" s="389"/>
      <c r="CM1253" s="389"/>
      <c r="CN1253" s="389"/>
      <c r="CO1253" s="389"/>
      <c r="CP1253" s="389"/>
      <c r="CQ1253" s="389"/>
      <c r="CR1253" s="389"/>
      <c r="CS1253" s="389"/>
      <c r="CT1253" s="389"/>
      <c r="CU1253" s="389"/>
      <c r="CV1253" s="389"/>
      <c r="CW1253" s="389"/>
      <c r="CX1253" s="389"/>
      <c r="CY1253" s="389"/>
      <c r="CZ1253" s="389"/>
      <c r="DA1253" s="389"/>
      <c r="DB1253" s="389"/>
      <c r="DC1253" s="389"/>
      <c r="DD1253" s="389"/>
      <c r="DE1253" s="389"/>
      <c r="DF1253" s="389"/>
      <c r="DG1253" s="389"/>
      <c r="DH1253" s="389"/>
      <c r="DI1253" s="389"/>
      <c r="DJ1253" s="389"/>
      <c r="DK1253" s="389"/>
      <c r="DL1253" s="389"/>
      <c r="DM1253" s="389"/>
      <c r="DN1253" s="389"/>
      <c r="DO1253" s="389"/>
      <c r="DP1253" s="389"/>
      <c r="DQ1253" s="389"/>
      <c r="DR1253" s="389"/>
      <c r="DS1253" s="389"/>
      <c r="DT1253" s="1"/>
      <c r="DU1253" s="1"/>
      <c r="DV1253" s="1"/>
      <c r="DW1253" s="1"/>
      <c r="DX1253" s="1"/>
      <c r="DY1253" s="1"/>
      <c r="DZ1253" s="1"/>
      <c r="EA1253" s="1"/>
      <c r="EB1253" s="1"/>
      <c r="EC1253" s="1"/>
      <c r="ED1253" s="1"/>
      <c r="EE1253" s="1"/>
      <c r="EF1253" s="1"/>
      <c r="EG1253" s="1"/>
      <c r="EH1253" s="1"/>
      <c r="EI1253" s="1"/>
      <c r="EJ1253" s="1"/>
      <c r="EK1253" s="1"/>
      <c r="EL1253" s="1"/>
      <c r="EM1253" s="1"/>
      <c r="EN1253" s="1"/>
      <c r="EO1253" s="1"/>
      <c r="EP1253" s="1"/>
      <c r="EQ1253" s="1"/>
      <c r="ER1253" s="1"/>
      <c r="ES1253" s="1"/>
      <c r="ET1253" s="1"/>
      <c r="EU1253" s="1"/>
      <c r="EV1253" s="1"/>
      <c r="EW1253" s="1"/>
      <c r="EX1253" s="1"/>
      <c r="EY1253" s="1"/>
      <c r="EZ1253" s="1"/>
      <c r="FA1253" s="1"/>
      <c r="FB1253" s="1"/>
      <c r="FC1253" s="1"/>
      <c r="FD1253" s="1"/>
      <c r="FE1253" s="1"/>
      <c r="FF1253" s="1"/>
      <c r="FG1253" s="1"/>
      <c r="FH1253" s="1"/>
      <c r="FI1253" s="1"/>
      <c r="FJ1253" s="1"/>
      <c r="FK1253" s="1"/>
      <c r="FL1253" s="1"/>
      <c r="FM1253" s="1"/>
      <c r="FN1253" s="1"/>
      <c r="FO1253" s="1"/>
      <c r="FP1253" s="1"/>
      <c r="FQ1253" s="1"/>
      <c r="FR1253" s="1"/>
      <c r="FS1253" s="1"/>
      <c r="FT1253" s="1"/>
      <c r="FU1253" s="1"/>
      <c r="FV1253" s="1"/>
      <c r="FW1253" s="1"/>
      <c r="FX1253" s="1"/>
      <c r="FY1253" s="1"/>
      <c r="FZ1253" s="1"/>
      <c r="GA1253" s="1"/>
      <c r="GB1253" s="1"/>
      <c r="GC1253" s="1"/>
      <c r="GD1253" s="1"/>
      <c r="GE1253" s="1"/>
      <c r="GF1253" s="1"/>
      <c r="GG1253" s="1"/>
      <c r="GH1253" s="1"/>
      <c r="GI1253" s="1"/>
      <c r="GJ1253" s="1"/>
      <c r="GK1253" s="1"/>
      <c r="GL1253" s="1"/>
      <c r="GM1253" s="1"/>
      <c r="GN1253" s="1"/>
      <c r="GO1253" s="1"/>
      <c r="GP1253" s="1"/>
      <c r="GQ1253" s="1"/>
      <c r="GR1253" s="1"/>
      <c r="GS1253" s="1"/>
      <c r="GT1253" s="1"/>
      <c r="GU1253" s="1"/>
      <c r="GV1253" s="1"/>
      <c r="GW1253" s="1"/>
      <c r="GX1253" s="1"/>
      <c r="GY1253" s="1"/>
      <c r="GZ1253" s="1"/>
      <c r="HA1253" s="1"/>
      <c r="HB1253" s="1"/>
      <c r="HC1253" s="1"/>
      <c r="HD1253" s="1"/>
      <c r="HE1253" s="1"/>
      <c r="HF1253" s="1"/>
      <c r="HG1253" s="1"/>
      <c r="HH1253" s="1"/>
      <c r="HI1253" s="1"/>
      <c r="HJ1253" s="1"/>
      <c r="HK1253" s="1"/>
      <c r="HL1253" s="1"/>
      <c r="HM1253" s="1"/>
      <c r="HN1253" s="1"/>
      <c r="HO1253" s="1"/>
      <c r="HP1253" s="1"/>
      <c r="HQ1253" s="1"/>
      <c r="HR1253" s="1"/>
      <c r="HS1253" s="1"/>
      <c r="HT1253" s="1"/>
      <c r="HU1253" s="1"/>
      <c r="HV1253" s="1"/>
      <c r="HW1253" s="1"/>
      <c r="HX1253" s="1"/>
      <c r="HY1253" s="1"/>
      <c r="HZ1253" s="1"/>
      <c r="IA1253" s="1"/>
      <c r="IB1253" s="1"/>
      <c r="IC1253" s="1"/>
      <c r="ID1253" s="1"/>
      <c r="IE1253" s="1"/>
      <c r="IF1253" s="1"/>
      <c r="IG1253" s="1"/>
      <c r="IH1253" s="1"/>
      <c r="II1253" s="1"/>
      <c r="IJ1253" s="1"/>
      <c r="IK1253" s="1"/>
      <c r="IL1253" s="1"/>
      <c r="IM1253" s="1"/>
      <c r="IN1253" s="1"/>
      <c r="IO1253" s="1"/>
      <c r="IP1253" s="1"/>
      <c r="IQ1253" s="1"/>
      <c r="IR1253" s="1"/>
      <c r="IS1253" s="1"/>
      <c r="IT1253" s="1"/>
      <c r="IU1253" s="1"/>
      <c r="IV1253" s="1"/>
      <c r="IW1253" s="1"/>
      <c r="IX1253" s="1"/>
      <c r="IY1253" s="1"/>
      <c r="IZ1253" s="1"/>
      <c r="JA1253" s="1"/>
      <c r="JB1253" s="1"/>
      <c r="JC1253" s="1"/>
      <c r="JD1253" s="1"/>
    </row>
    <row r="1254" spans="1:264" s="387" customFormat="1" x14ac:dyDescent="0.2">
      <c r="A1254" s="387" t="s">
        <v>313</v>
      </c>
      <c r="B1254" s="388"/>
      <c r="BH1254" s="389"/>
      <c r="BI1254" s="389"/>
      <c r="BJ1254" s="389"/>
      <c r="BK1254" s="389"/>
      <c r="BL1254" s="389">
        <f>BI1259</f>
        <v>2738</v>
      </c>
      <c r="BM1254" s="389">
        <f>BL1259</f>
        <v>2924</v>
      </c>
      <c r="BN1254" s="389">
        <f>BL1254</f>
        <v>2738</v>
      </c>
      <c r="BO1254" s="389"/>
      <c r="BP1254" s="389">
        <f>BM1259</f>
        <v>2589</v>
      </c>
      <c r="BQ1254" s="389">
        <f>BP1259</f>
        <v>2990</v>
      </c>
      <c r="BR1254" s="389">
        <f>BP1254</f>
        <v>2589</v>
      </c>
      <c r="BS1254" s="389"/>
      <c r="BT1254" s="389">
        <f>BQ1259</f>
        <v>3179</v>
      </c>
      <c r="BU1254" s="389">
        <f>BT1259</f>
        <v>3263</v>
      </c>
      <c r="BV1254" s="389">
        <f>BT1254</f>
        <v>3179</v>
      </c>
      <c r="BW1254" s="389"/>
      <c r="BX1254" s="389">
        <f>BU1259</f>
        <v>3120</v>
      </c>
      <c r="BY1254" s="389">
        <f>BX1259</f>
        <v>2741</v>
      </c>
      <c r="BZ1254" s="389">
        <f>BX1254</f>
        <v>3120</v>
      </c>
      <c r="CA1254" s="389"/>
      <c r="CB1254" s="389">
        <f>BY1259</f>
        <v>2626</v>
      </c>
      <c r="CC1254" s="389">
        <f>CB1259</f>
        <v>2683</v>
      </c>
      <c r="CD1254" s="389">
        <f>CB1254</f>
        <v>2626</v>
      </c>
      <c r="CE1254" s="389"/>
      <c r="CF1254" s="389">
        <f>CC1259</f>
        <v>2967</v>
      </c>
      <c r="CG1254" s="389">
        <f>CF1259</f>
        <v>3113</v>
      </c>
      <c r="CH1254" s="389">
        <f>CF1254</f>
        <v>2967</v>
      </c>
      <c r="CI1254" s="389"/>
      <c r="CJ1254" s="389">
        <f>CG1259</f>
        <v>3088</v>
      </c>
      <c r="CK1254" s="389">
        <f>CJ1259</f>
        <v>3579</v>
      </c>
      <c r="CL1254" s="389">
        <f>CJ1254</f>
        <v>3088</v>
      </c>
      <c r="CM1254" s="389"/>
      <c r="CN1254" s="389">
        <f>CK1259</f>
        <v>3648</v>
      </c>
      <c r="CO1254" s="389">
        <f>CN1259</f>
        <v>3924</v>
      </c>
      <c r="CP1254" s="389">
        <f>CN1254</f>
        <v>3648</v>
      </c>
      <c r="CQ1254" s="389"/>
      <c r="CR1254" s="389">
        <f>CO1259</f>
        <v>6782</v>
      </c>
      <c r="CS1254" s="389">
        <f>CR1259</f>
        <v>8017</v>
      </c>
      <c r="CT1254" s="389">
        <f>CR1254</f>
        <v>6782</v>
      </c>
      <c r="CU1254" s="389"/>
      <c r="CV1254" s="389">
        <f>CS1259</f>
        <v>4651</v>
      </c>
      <c r="CW1254" s="389">
        <f>CV1259</f>
        <v>4127</v>
      </c>
      <c r="CX1254" s="389">
        <f>CV1254</f>
        <v>4651</v>
      </c>
      <c r="CY1254" s="389"/>
      <c r="CZ1254" s="389">
        <f>CW1259</f>
        <v>3947</v>
      </c>
      <c r="DA1254" s="389">
        <f>CZ1259</f>
        <v>4046</v>
      </c>
      <c r="DB1254" s="389">
        <f>CZ1254</f>
        <v>3947</v>
      </c>
      <c r="DC1254" s="389"/>
      <c r="DD1254" s="389">
        <f>DA1259</f>
        <v>4214</v>
      </c>
      <c r="DE1254" s="389">
        <f>DD1259</f>
        <v>4225</v>
      </c>
      <c r="DF1254" s="389">
        <f>DD1254</f>
        <v>4214</v>
      </c>
      <c r="DG1254" s="389"/>
      <c r="DH1254" s="389">
        <f>DE1259</f>
        <v>3260</v>
      </c>
      <c r="DI1254" s="389">
        <f>DH1259</f>
        <v>3289</v>
      </c>
      <c r="DJ1254" s="389">
        <f>DH1254</f>
        <v>3260</v>
      </c>
      <c r="DK1254" s="389"/>
      <c r="DL1254" s="389">
        <f>DI1259</f>
        <v>3298.9500000000003</v>
      </c>
      <c r="DM1254" s="389">
        <f>DL1259</f>
        <v>3309.6573000000003</v>
      </c>
      <c r="DN1254" s="389">
        <f>DL1254</f>
        <v>3298.9500000000003</v>
      </c>
      <c r="DO1254" s="389"/>
      <c r="DP1254" s="389">
        <f>DM1259</f>
        <v>3321.1314630000006</v>
      </c>
      <c r="DQ1254" s="389">
        <f>DP1259</f>
        <v>3333.3822990900007</v>
      </c>
      <c r="DR1254" s="389">
        <f>DP1254</f>
        <v>3321.1314630000006</v>
      </c>
      <c r="DS1254" s="389"/>
      <c r="DT1254" s="1"/>
      <c r="DU1254" s="1"/>
      <c r="DV1254" s="1"/>
      <c r="DW1254" s="1"/>
      <c r="DX1254" s="1"/>
      <c r="DY1254" s="1"/>
      <c r="DZ1254" s="1"/>
      <c r="EA1254" s="1"/>
      <c r="EB1254" s="1"/>
      <c r="EC1254" s="1"/>
      <c r="ED1254" s="1"/>
      <c r="EE1254" s="1"/>
      <c r="EF1254" s="1"/>
      <c r="EG1254" s="1"/>
      <c r="EH1254" s="1"/>
      <c r="EI1254" s="1"/>
      <c r="EJ1254" s="1"/>
      <c r="EK1254" s="1"/>
      <c r="EL1254" s="1"/>
      <c r="EM1254" s="1"/>
      <c r="EN1254" s="1"/>
      <c r="EO1254" s="1"/>
      <c r="EP1254" s="1"/>
      <c r="EQ1254" s="1"/>
      <c r="ER1254" s="1"/>
      <c r="ES1254" s="1"/>
      <c r="ET1254" s="1"/>
      <c r="EU1254" s="1"/>
      <c r="EV1254" s="1"/>
      <c r="EW1254" s="1"/>
      <c r="EX1254" s="1"/>
      <c r="EY1254" s="1"/>
      <c r="EZ1254" s="1"/>
      <c r="FA1254" s="1"/>
      <c r="FB1254" s="1"/>
      <c r="FC1254" s="1"/>
      <c r="FD1254" s="1"/>
      <c r="FE1254" s="1"/>
      <c r="FF1254" s="1"/>
      <c r="FG1254" s="1"/>
      <c r="FH1254" s="1"/>
      <c r="FI1254" s="1"/>
      <c r="FJ1254" s="1"/>
      <c r="FK1254" s="1"/>
      <c r="FL1254" s="1"/>
      <c r="FM1254" s="1"/>
      <c r="FN1254" s="1"/>
      <c r="FO1254" s="1"/>
      <c r="FP1254" s="1"/>
      <c r="FQ1254" s="1"/>
      <c r="FR1254" s="1"/>
      <c r="FS1254" s="1"/>
      <c r="FT1254" s="1"/>
      <c r="FU1254" s="1"/>
      <c r="FV1254" s="1"/>
      <c r="FW1254" s="1"/>
      <c r="FX1254" s="1"/>
      <c r="FY1254" s="1"/>
      <c r="FZ1254" s="1"/>
      <c r="GA1254" s="1"/>
      <c r="GB1254" s="1"/>
      <c r="GC1254" s="1"/>
      <c r="GD1254" s="1"/>
      <c r="GE1254" s="1"/>
      <c r="GF1254" s="1"/>
      <c r="GG1254" s="1"/>
      <c r="GH1254" s="1"/>
      <c r="GI1254" s="1"/>
      <c r="GJ1254" s="1"/>
      <c r="GK1254" s="1"/>
      <c r="GL1254" s="1"/>
      <c r="GM1254" s="1"/>
      <c r="GN1254" s="1"/>
      <c r="GO1254" s="1"/>
      <c r="GP1254" s="1"/>
      <c r="GQ1254" s="1"/>
      <c r="GR1254" s="1"/>
      <c r="GS1254" s="1"/>
      <c r="GT1254" s="1"/>
      <c r="GU1254" s="1"/>
      <c r="GV1254" s="1"/>
      <c r="GW1254" s="1"/>
      <c r="GX1254" s="1"/>
      <c r="GY1254" s="1"/>
      <c r="GZ1254" s="1"/>
      <c r="HA1254" s="1"/>
      <c r="HB1254" s="1"/>
      <c r="HC1254" s="1"/>
      <c r="HD1254" s="1"/>
      <c r="HE1254" s="1"/>
      <c r="HF1254" s="1"/>
      <c r="HG1254" s="1"/>
      <c r="HH1254" s="1"/>
      <c r="HI1254" s="1"/>
      <c r="HJ1254" s="1"/>
      <c r="HK1254" s="1"/>
      <c r="HL1254" s="1"/>
      <c r="HM1254" s="1"/>
      <c r="HN1254" s="1"/>
      <c r="HO1254" s="1"/>
      <c r="HP1254" s="1"/>
      <c r="HQ1254" s="1"/>
      <c r="HR1254" s="1"/>
      <c r="HS1254" s="1"/>
      <c r="HT1254" s="1"/>
      <c r="HU1254" s="1"/>
      <c r="HV1254" s="1"/>
      <c r="HW1254" s="1"/>
      <c r="HX1254" s="1"/>
      <c r="HY1254" s="1"/>
      <c r="HZ1254" s="1"/>
      <c r="IA1254" s="1"/>
      <c r="IB1254" s="1"/>
      <c r="IC1254" s="1"/>
      <c r="ID1254" s="1"/>
      <c r="IE1254" s="1"/>
      <c r="IF1254" s="1"/>
      <c r="IG1254" s="1"/>
      <c r="IH1254" s="1"/>
      <c r="II1254" s="1"/>
      <c r="IJ1254" s="1"/>
      <c r="IK1254" s="1"/>
      <c r="IL1254" s="1"/>
      <c r="IM1254" s="1"/>
      <c r="IN1254" s="1"/>
      <c r="IO1254" s="1"/>
      <c r="IP1254" s="1"/>
      <c r="IQ1254" s="1"/>
      <c r="IR1254" s="1"/>
      <c r="IS1254" s="1"/>
      <c r="IT1254" s="1"/>
      <c r="IU1254" s="1"/>
      <c r="IV1254" s="1"/>
      <c r="IW1254" s="1"/>
      <c r="IX1254" s="1"/>
      <c r="IY1254" s="1"/>
      <c r="IZ1254" s="1"/>
      <c r="JA1254" s="1"/>
      <c r="JB1254" s="1"/>
      <c r="JC1254" s="1"/>
      <c r="JD1254" s="1"/>
    </row>
    <row r="1255" spans="1:264" s="387" customFormat="1" x14ac:dyDescent="0.2">
      <c r="A1255" s="387" t="s">
        <v>506</v>
      </c>
      <c r="B1255" s="388"/>
      <c r="BH1255" s="389"/>
      <c r="BI1255" s="389"/>
      <c r="BJ1255" s="389"/>
      <c r="BK1255" s="389"/>
      <c r="BL1255" s="389">
        <f>BL660</f>
        <v>0</v>
      </c>
      <c r="BM1255" s="389">
        <f>BM660</f>
        <v>0</v>
      </c>
      <c r="BN1255" s="389">
        <f>+BM1255+BL1255</f>
        <v>0</v>
      </c>
      <c r="BO1255" s="389"/>
      <c r="BP1255" s="389">
        <f>BP660</f>
        <v>104</v>
      </c>
      <c r="BQ1255" s="389">
        <f>BQ660</f>
        <v>181</v>
      </c>
      <c r="BR1255" s="389">
        <f>+BQ1255+BP1255</f>
        <v>285</v>
      </c>
      <c r="BS1255" s="389"/>
      <c r="BT1255" s="389">
        <f>BT660</f>
        <v>145</v>
      </c>
      <c r="BU1255" s="389">
        <f>BU660</f>
        <v>144</v>
      </c>
      <c r="BV1255" s="389">
        <f>+BU1255+BT1255</f>
        <v>289</v>
      </c>
      <c r="BW1255" s="389"/>
      <c r="BX1255" s="389">
        <f>BX660</f>
        <v>154</v>
      </c>
      <c r="BY1255" s="389">
        <f>BY660</f>
        <v>119</v>
      </c>
      <c r="BZ1255" s="389">
        <f>+BY1255+BX1255</f>
        <v>273</v>
      </c>
      <c r="CA1255" s="389"/>
      <c r="CB1255" s="389">
        <f>CB660</f>
        <v>182</v>
      </c>
      <c r="CC1255" s="389">
        <f>CC660</f>
        <v>135</v>
      </c>
      <c r="CD1255" s="389">
        <f>+CC1255+CB1255</f>
        <v>317</v>
      </c>
      <c r="CE1255" s="389"/>
      <c r="CF1255" s="389">
        <f>CF660</f>
        <v>178</v>
      </c>
      <c r="CG1255" s="389">
        <f>CG660</f>
        <v>118</v>
      </c>
      <c r="CH1255" s="389">
        <f>+CG1255+CF1255</f>
        <v>296</v>
      </c>
      <c r="CI1255" s="389"/>
      <c r="CJ1255" s="389">
        <f>CJ660</f>
        <v>96</v>
      </c>
      <c r="CK1255" s="389">
        <f>CK660</f>
        <v>74</v>
      </c>
      <c r="CL1255" s="389">
        <f>+CK1255+CJ1255</f>
        <v>170</v>
      </c>
      <c r="CM1255" s="389"/>
      <c r="CN1255" s="389">
        <f>CN660</f>
        <v>131</v>
      </c>
      <c r="CO1255" s="389">
        <f>CO660</f>
        <v>468</v>
      </c>
      <c r="CP1255" s="389">
        <f>+CO1255+CN1255</f>
        <v>599</v>
      </c>
      <c r="CQ1255" s="389"/>
      <c r="CR1255" s="389">
        <f>CR660</f>
        <v>259</v>
      </c>
      <c r="CS1255" s="389">
        <f>CS660</f>
        <v>237</v>
      </c>
      <c r="CT1255" s="389">
        <f>+CS1255+CR1255</f>
        <v>496</v>
      </c>
      <c r="CU1255" s="389"/>
      <c r="CV1255" s="389">
        <f>CV660</f>
        <v>-15</v>
      </c>
      <c r="CW1255" s="389">
        <f>CW660</f>
        <v>-4</v>
      </c>
      <c r="CX1255" s="389">
        <f>+CW1255+CV1255</f>
        <v>-19</v>
      </c>
      <c r="CY1255" s="389"/>
      <c r="CZ1255" s="389">
        <f>CZ660</f>
        <v>-42</v>
      </c>
      <c r="DA1255" s="389">
        <f>DA660</f>
        <v>-53</v>
      </c>
      <c r="DB1255" s="389">
        <f>+DA1255+CZ1255</f>
        <v>-95</v>
      </c>
      <c r="DC1255" s="389"/>
      <c r="DD1255" s="389">
        <f>DD660</f>
        <v>-30</v>
      </c>
      <c r="DE1255" s="389">
        <f>DE660</f>
        <v>107</v>
      </c>
      <c r="DF1255" s="389">
        <f>+DE1255+DD1255</f>
        <v>77</v>
      </c>
      <c r="DG1255" s="389"/>
      <c r="DH1255" s="389">
        <f>DH660</f>
        <v>42</v>
      </c>
      <c r="DI1255" s="389">
        <f>DI660</f>
        <v>42.84</v>
      </c>
      <c r="DJ1255" s="389">
        <f>+DI1255+DH1255</f>
        <v>84.84</v>
      </c>
      <c r="DK1255" s="389"/>
      <c r="DL1255" s="389">
        <f>DL660</f>
        <v>43.696800000000003</v>
      </c>
      <c r="DM1255" s="389">
        <f>DM660</f>
        <v>44.570736000000004</v>
      </c>
      <c r="DN1255" s="389">
        <f>+DM1255+DL1255</f>
        <v>88.267536000000007</v>
      </c>
      <c r="DO1255" s="389"/>
      <c r="DP1255" s="389">
        <f>DP660</f>
        <v>45.462150720000004</v>
      </c>
      <c r="DQ1255" s="389">
        <f>DQ660</f>
        <v>46.371393734400002</v>
      </c>
      <c r="DR1255" s="389">
        <f>+DQ1255+DP1255</f>
        <v>91.833544454399998</v>
      </c>
      <c r="DS1255" s="389"/>
      <c r="DT1255" s="1"/>
      <c r="DU1255" s="1"/>
      <c r="DV1255" s="1"/>
      <c r="DW1255" s="1"/>
      <c r="DX1255" s="1"/>
      <c r="DY1255" s="1"/>
      <c r="DZ1255" s="1"/>
      <c r="EA1255" s="1"/>
      <c r="EB1255" s="1"/>
      <c r="EC1255" s="1"/>
      <c r="ED1255" s="1"/>
      <c r="EE1255" s="1"/>
      <c r="EF1255" s="1"/>
      <c r="EG1255" s="1"/>
      <c r="EH1255" s="1"/>
      <c r="EI1255" s="1"/>
      <c r="EJ1255" s="1"/>
      <c r="EK1255" s="1"/>
      <c r="EL1255" s="1"/>
      <c r="EM1255" s="1"/>
      <c r="EN1255" s="1"/>
      <c r="EO1255" s="1"/>
      <c r="EP1255" s="1"/>
      <c r="EQ1255" s="1"/>
      <c r="ER1255" s="1"/>
      <c r="ES1255" s="1"/>
      <c r="ET1255" s="1"/>
      <c r="EU1255" s="1"/>
      <c r="EV1255" s="1"/>
      <c r="EW1255" s="1"/>
      <c r="EX1255" s="1"/>
      <c r="EY1255" s="1"/>
      <c r="EZ1255" s="1"/>
      <c r="FA1255" s="1"/>
      <c r="FB1255" s="1"/>
      <c r="FC1255" s="1"/>
      <c r="FD1255" s="1"/>
      <c r="FE1255" s="1"/>
      <c r="FF1255" s="1"/>
      <c r="FG1255" s="1"/>
      <c r="FH1255" s="1"/>
      <c r="FI1255" s="1"/>
      <c r="FJ1255" s="1"/>
      <c r="FK1255" s="1"/>
      <c r="FL1255" s="1"/>
      <c r="FM1255" s="1"/>
      <c r="FN1255" s="1"/>
      <c r="FO1255" s="1"/>
      <c r="FP1255" s="1"/>
      <c r="FQ1255" s="1"/>
      <c r="FR1255" s="1"/>
      <c r="FS1255" s="1"/>
      <c r="FT1255" s="1"/>
      <c r="FU1255" s="1"/>
      <c r="FV1255" s="1"/>
      <c r="FW1255" s="1"/>
      <c r="FX1255" s="1"/>
      <c r="FY1255" s="1"/>
      <c r="FZ1255" s="1"/>
      <c r="GA1255" s="1"/>
      <c r="GB1255" s="1"/>
      <c r="GC1255" s="1"/>
      <c r="GD1255" s="1"/>
      <c r="GE1255" s="1"/>
      <c r="GF1255" s="1"/>
      <c r="GG1255" s="1"/>
      <c r="GH1255" s="1"/>
      <c r="GI1255" s="1"/>
      <c r="GJ1255" s="1"/>
      <c r="GK1255" s="1"/>
      <c r="GL1255" s="1"/>
      <c r="GM1255" s="1"/>
      <c r="GN1255" s="1"/>
      <c r="GO1255" s="1"/>
      <c r="GP1255" s="1"/>
      <c r="GQ1255" s="1"/>
      <c r="GR1255" s="1"/>
      <c r="GS1255" s="1"/>
      <c r="GT1255" s="1"/>
      <c r="GU1255" s="1"/>
      <c r="GV1255" s="1"/>
      <c r="GW1255" s="1"/>
      <c r="GX1255" s="1"/>
      <c r="GY1255" s="1"/>
      <c r="GZ1255" s="1"/>
      <c r="HA1255" s="1"/>
      <c r="HB1255" s="1"/>
      <c r="HC1255" s="1"/>
      <c r="HD1255" s="1"/>
      <c r="HE1255" s="1"/>
      <c r="HF1255" s="1"/>
      <c r="HG1255" s="1"/>
      <c r="HH1255" s="1"/>
      <c r="HI1255" s="1"/>
      <c r="HJ1255" s="1"/>
      <c r="HK1255" s="1"/>
      <c r="HL1255" s="1"/>
      <c r="HM1255" s="1"/>
      <c r="HN1255" s="1"/>
      <c r="HO1255" s="1"/>
      <c r="HP1255" s="1"/>
      <c r="HQ1255" s="1"/>
      <c r="HR1255" s="1"/>
      <c r="HS1255" s="1"/>
      <c r="HT1255" s="1"/>
      <c r="HU1255" s="1"/>
      <c r="HV1255" s="1"/>
      <c r="HW1255" s="1"/>
      <c r="HX1255" s="1"/>
      <c r="HY1255" s="1"/>
      <c r="HZ1255" s="1"/>
      <c r="IA1255" s="1"/>
      <c r="IB1255" s="1"/>
      <c r="IC1255" s="1"/>
      <c r="ID1255" s="1"/>
      <c r="IE1255" s="1"/>
      <c r="IF1255" s="1"/>
      <c r="IG1255" s="1"/>
      <c r="IH1255" s="1"/>
      <c r="II1255" s="1"/>
      <c r="IJ1255" s="1"/>
      <c r="IK1255" s="1"/>
      <c r="IL1255" s="1"/>
      <c r="IM1255" s="1"/>
      <c r="IN1255" s="1"/>
      <c r="IO1255" s="1"/>
      <c r="IP1255" s="1"/>
      <c r="IQ1255" s="1"/>
      <c r="IR1255" s="1"/>
      <c r="IS1255" s="1"/>
      <c r="IT1255" s="1"/>
      <c r="IU1255" s="1"/>
      <c r="IV1255" s="1"/>
      <c r="IW1255" s="1"/>
      <c r="IX1255" s="1"/>
      <c r="IY1255" s="1"/>
      <c r="IZ1255" s="1"/>
      <c r="JA1255" s="1"/>
      <c r="JB1255" s="1"/>
      <c r="JC1255" s="1"/>
      <c r="JD1255" s="1"/>
    </row>
    <row r="1256" spans="1:264" s="387" customFormat="1" x14ac:dyDescent="0.2">
      <c r="A1256" s="387" t="s">
        <v>560</v>
      </c>
      <c r="B1256" s="388"/>
      <c r="BH1256" s="389"/>
      <c r="BI1256" s="389"/>
      <c r="BJ1256" s="389"/>
      <c r="BK1256" s="389"/>
      <c r="BL1256" s="707">
        <v>0</v>
      </c>
      <c r="BM1256" s="707">
        <v>0</v>
      </c>
      <c r="BN1256" s="389">
        <f>+BM1256+BL1256</f>
        <v>0</v>
      </c>
      <c r="BO1256" s="389"/>
      <c r="BP1256" s="707">
        <v>0</v>
      </c>
      <c r="BQ1256" s="707">
        <v>0</v>
      </c>
      <c r="BR1256" s="389">
        <f>+BQ1256+BP1256</f>
        <v>0</v>
      </c>
      <c r="BS1256" s="389"/>
      <c r="BT1256" s="707">
        <v>0</v>
      </c>
      <c r="BU1256" s="707">
        <v>0</v>
      </c>
      <c r="BV1256" s="389">
        <f>+BU1256+BT1256</f>
        <v>0</v>
      </c>
      <c r="BW1256" s="389"/>
      <c r="BX1256" s="707">
        <v>0</v>
      </c>
      <c r="BY1256" s="707">
        <v>0</v>
      </c>
      <c r="BZ1256" s="389">
        <f>+BY1256+BX1256</f>
        <v>0</v>
      </c>
      <c r="CA1256" s="389"/>
      <c r="CB1256" s="707">
        <v>0</v>
      </c>
      <c r="CC1256" s="707">
        <v>0</v>
      </c>
      <c r="CD1256" s="389">
        <f>+CC1256+CB1256</f>
        <v>0</v>
      </c>
      <c r="CE1256" s="389"/>
      <c r="CF1256" s="707">
        <v>0</v>
      </c>
      <c r="CG1256" s="707">
        <v>0</v>
      </c>
      <c r="CH1256" s="389">
        <f>+CG1256+CF1256</f>
        <v>0</v>
      </c>
      <c r="CI1256" s="389"/>
      <c r="CJ1256" s="707">
        <v>0</v>
      </c>
      <c r="CK1256" s="707">
        <v>0</v>
      </c>
      <c r="CL1256" s="389">
        <f>+CK1256+CJ1256</f>
        <v>0</v>
      </c>
      <c r="CM1256" s="389"/>
      <c r="CN1256" s="707">
        <v>0</v>
      </c>
      <c r="CO1256" s="707">
        <v>0</v>
      </c>
      <c r="CP1256" s="389">
        <f>+CO1256+CN1256</f>
        <v>0</v>
      </c>
      <c r="CQ1256" s="389"/>
      <c r="CR1256" s="707">
        <v>0</v>
      </c>
      <c r="CS1256" s="707">
        <v>0</v>
      </c>
      <c r="CT1256" s="389">
        <f>+CS1256+CR1256</f>
        <v>0</v>
      </c>
      <c r="CU1256" s="1"/>
      <c r="CV1256" s="707">
        <v>0</v>
      </c>
      <c r="CW1256" s="707">
        <v>0</v>
      </c>
      <c r="CX1256" s="389">
        <f>+CW1256+CV1256</f>
        <v>0</v>
      </c>
      <c r="CY1256" s="389"/>
      <c r="CZ1256" s="707">
        <v>0</v>
      </c>
      <c r="DA1256" s="707">
        <v>0</v>
      </c>
      <c r="DB1256" s="389">
        <f>+DA1256+CZ1256</f>
        <v>0</v>
      </c>
      <c r="DC1256" s="389"/>
      <c r="DD1256" s="707">
        <v>0</v>
      </c>
      <c r="DE1256" s="707">
        <v>0</v>
      </c>
      <c r="DF1256" s="389">
        <f>+DE1256+DD1256</f>
        <v>0</v>
      </c>
      <c r="DG1256" s="389"/>
      <c r="DH1256" s="707">
        <v>0</v>
      </c>
      <c r="DI1256" s="707">
        <v>0</v>
      </c>
      <c r="DJ1256" s="389">
        <f>+DI1256+DH1256</f>
        <v>0</v>
      </c>
      <c r="DK1256" s="389"/>
      <c r="DL1256" s="707">
        <v>0</v>
      </c>
      <c r="DM1256" s="707">
        <v>0</v>
      </c>
      <c r="DN1256" s="389">
        <f>+DM1256+DL1256</f>
        <v>0</v>
      </c>
      <c r="DO1256" s="389"/>
      <c r="DP1256" s="707">
        <v>0</v>
      </c>
      <c r="DQ1256" s="707">
        <v>0</v>
      </c>
      <c r="DR1256" s="389">
        <f>+DQ1256+DP1256</f>
        <v>0</v>
      </c>
      <c r="DS1256" s="389"/>
      <c r="DT1256" s="1"/>
      <c r="DU1256" s="1"/>
      <c r="DV1256" s="1"/>
      <c r="DW1256" s="1"/>
      <c r="DX1256" s="1"/>
      <c r="DY1256" s="1"/>
      <c r="DZ1256" s="1"/>
      <c r="EA1256" s="1"/>
      <c r="EB1256" s="1"/>
      <c r="EC1256" s="1"/>
      <c r="ED1256" s="1"/>
      <c r="EE1256" s="1"/>
      <c r="EF1256" s="1"/>
      <c r="EG1256" s="1"/>
      <c r="EH1256" s="1"/>
      <c r="EI1256" s="1"/>
      <c r="EJ1256" s="1"/>
      <c r="EK1256" s="1"/>
      <c r="EL1256" s="1"/>
      <c r="EM1256" s="1"/>
      <c r="EN1256" s="1"/>
      <c r="EO1256" s="1"/>
      <c r="EP1256" s="1"/>
      <c r="EQ1256" s="1"/>
      <c r="ER1256" s="1"/>
      <c r="ES1256" s="1"/>
      <c r="ET1256" s="1"/>
      <c r="EU1256" s="1"/>
      <c r="EV1256" s="1"/>
      <c r="EW1256" s="1"/>
      <c r="EX1256" s="1"/>
      <c r="EY1256" s="1"/>
      <c r="EZ1256" s="1"/>
      <c r="FA1256" s="1"/>
      <c r="FB1256" s="1"/>
      <c r="FC1256" s="1"/>
      <c r="FD1256" s="1"/>
      <c r="FE1256" s="1"/>
      <c r="FF1256" s="1"/>
      <c r="FG1256" s="1"/>
      <c r="FH1256" s="1"/>
      <c r="FI1256" s="1"/>
      <c r="FJ1256" s="1"/>
      <c r="FK1256" s="1"/>
      <c r="FL1256" s="1"/>
      <c r="FM1256" s="1"/>
      <c r="FN1256" s="1"/>
      <c r="FO1256" s="1"/>
      <c r="FP1256" s="1"/>
      <c r="FQ1256" s="1"/>
      <c r="FR1256" s="1"/>
      <c r="FS1256" s="1"/>
      <c r="FT1256" s="1"/>
      <c r="FU1256" s="1"/>
      <c r="FV1256" s="1"/>
      <c r="FW1256" s="1"/>
      <c r="FX1256" s="1"/>
      <c r="FY1256" s="1"/>
      <c r="FZ1256" s="1"/>
      <c r="GA1256" s="1"/>
      <c r="GB1256" s="1"/>
      <c r="GC1256" s="1"/>
      <c r="GD1256" s="1"/>
      <c r="GE1256" s="1"/>
      <c r="GF1256" s="1"/>
      <c r="GG1256" s="1"/>
      <c r="GH1256" s="1"/>
      <c r="GI1256" s="1"/>
      <c r="GJ1256" s="1"/>
      <c r="GK1256" s="1"/>
      <c r="GL1256" s="1"/>
      <c r="GM1256" s="1"/>
      <c r="GN1256" s="1"/>
      <c r="GO1256" s="1"/>
      <c r="GP1256" s="1"/>
      <c r="GQ1256" s="1"/>
      <c r="GR1256" s="1"/>
      <c r="GS1256" s="1"/>
      <c r="GT1256" s="1"/>
      <c r="GU1256" s="1"/>
      <c r="GV1256" s="1"/>
      <c r="GW1256" s="1"/>
      <c r="GX1256" s="1"/>
      <c r="GY1256" s="1"/>
      <c r="GZ1256" s="1"/>
      <c r="HA1256" s="1"/>
      <c r="HB1256" s="1"/>
      <c r="HC1256" s="1"/>
      <c r="HD1256" s="1"/>
      <c r="HE1256" s="1"/>
      <c r="HF1256" s="1"/>
      <c r="HG1256" s="1"/>
      <c r="HH1256" s="1"/>
      <c r="HI1256" s="1"/>
      <c r="HJ1256" s="1"/>
      <c r="HK1256" s="1"/>
      <c r="HL1256" s="1"/>
      <c r="HM1256" s="1"/>
      <c r="HN1256" s="1"/>
      <c r="HO1256" s="1"/>
      <c r="HP1256" s="1"/>
      <c r="HQ1256" s="1"/>
      <c r="HR1256" s="1"/>
      <c r="HS1256" s="1"/>
      <c r="HT1256" s="1"/>
      <c r="HU1256" s="1"/>
      <c r="HV1256" s="1"/>
      <c r="HW1256" s="1"/>
      <c r="HX1256" s="1"/>
      <c r="HY1256" s="1"/>
      <c r="HZ1256" s="1"/>
      <c r="IA1256" s="1"/>
      <c r="IB1256" s="1"/>
      <c r="IC1256" s="1"/>
      <c r="ID1256" s="1"/>
      <c r="IE1256" s="1"/>
      <c r="IF1256" s="1"/>
      <c r="IG1256" s="1"/>
      <c r="IH1256" s="1"/>
      <c r="II1256" s="1"/>
      <c r="IJ1256" s="1"/>
      <c r="IK1256" s="1"/>
      <c r="IL1256" s="1"/>
      <c r="IM1256" s="1"/>
      <c r="IN1256" s="1"/>
      <c r="IO1256" s="1"/>
      <c r="IP1256" s="1"/>
      <c r="IQ1256" s="1"/>
      <c r="IR1256" s="1"/>
      <c r="IS1256" s="1"/>
      <c r="IT1256" s="1"/>
      <c r="IU1256" s="1"/>
      <c r="IV1256" s="1"/>
      <c r="IW1256" s="1"/>
      <c r="IX1256" s="1"/>
      <c r="IY1256" s="1"/>
      <c r="IZ1256" s="1"/>
      <c r="JA1256" s="1"/>
      <c r="JB1256" s="1"/>
      <c r="JC1256" s="1"/>
      <c r="JD1256" s="1"/>
    </row>
    <row r="1257" spans="1:264" s="387" customFormat="1" x14ac:dyDescent="0.2">
      <c r="A1257" s="387" t="s">
        <v>823</v>
      </c>
      <c r="B1257" s="388"/>
      <c r="BH1257" s="389"/>
      <c r="BI1257" s="389"/>
      <c r="BJ1257" s="389"/>
      <c r="BK1257" s="389"/>
      <c r="BL1257" s="707">
        <v>0</v>
      </c>
      <c r="BM1257" s="707">
        <v>0</v>
      </c>
      <c r="BN1257" s="389">
        <f>+BM1257+BL1257</f>
        <v>0</v>
      </c>
      <c r="BO1257" s="389"/>
      <c r="BP1257" s="707">
        <v>0</v>
      </c>
      <c r="BQ1257" s="707">
        <v>0</v>
      </c>
      <c r="BR1257" s="389">
        <f>+BQ1257+BP1257</f>
        <v>0</v>
      </c>
      <c r="BS1257" s="389"/>
      <c r="BT1257" s="707">
        <v>0</v>
      </c>
      <c r="BU1257" s="707">
        <v>0</v>
      </c>
      <c r="BV1257" s="389">
        <f>+BU1257+BT1257</f>
        <v>0</v>
      </c>
      <c r="BW1257" s="389"/>
      <c r="BX1257" s="707">
        <v>0</v>
      </c>
      <c r="BY1257" s="707">
        <v>0</v>
      </c>
      <c r="BZ1257" s="389">
        <f>+BY1257+BX1257</f>
        <v>0</v>
      </c>
      <c r="CA1257" s="389"/>
      <c r="CB1257" s="707">
        <v>0</v>
      </c>
      <c r="CC1257" s="707">
        <v>0</v>
      </c>
      <c r="CD1257" s="389">
        <f>+CC1257+CB1257</f>
        <v>0</v>
      </c>
      <c r="CE1257" s="389"/>
      <c r="CF1257" s="707">
        <v>0</v>
      </c>
      <c r="CG1257" s="707">
        <v>0</v>
      </c>
      <c r="CH1257" s="389">
        <f>+CG1257+CF1257</f>
        <v>0</v>
      </c>
      <c r="CI1257" s="389"/>
      <c r="CJ1257" s="707">
        <f>300/0.68</f>
        <v>441.17647058823525</v>
      </c>
      <c r="CK1257" s="707">
        <v>0</v>
      </c>
      <c r="CL1257" s="389">
        <f>+CK1257+CJ1257</f>
        <v>441.17647058823525</v>
      </c>
      <c r="CM1257" s="389"/>
      <c r="CN1257" s="707">
        <v>-400</v>
      </c>
      <c r="CO1257" s="707">
        <f>2706-506</f>
        <v>2200</v>
      </c>
      <c r="CP1257" s="389">
        <f>+CO1257+CN1257</f>
        <v>1800</v>
      </c>
      <c r="CQ1257" s="389"/>
      <c r="CR1257" s="707">
        <v>0</v>
      </c>
      <c r="CS1257" s="818">
        <f>-(1800-516)-2300</f>
        <v>-3584</v>
      </c>
      <c r="CT1257" s="389">
        <f>+CS1257+CR1257</f>
        <v>-3584</v>
      </c>
      <c r="CU1257" s="1"/>
      <c r="CV1257" s="707">
        <v>-254</v>
      </c>
      <c r="CW1257" s="707">
        <v>0</v>
      </c>
      <c r="CX1257" s="389">
        <f>+CW1257+CV1257</f>
        <v>-254</v>
      </c>
      <c r="CY1257" s="389"/>
      <c r="CZ1257" s="707">
        <v>0</v>
      </c>
      <c r="DA1257" s="707">
        <v>-298</v>
      </c>
      <c r="DB1257" s="389">
        <f>+DA1257+CZ1257</f>
        <v>-298</v>
      </c>
      <c r="DC1257" s="389"/>
      <c r="DD1257" s="1478">
        <v>-320</v>
      </c>
      <c r="DE1257" s="707">
        <v>-850</v>
      </c>
      <c r="DF1257" s="389">
        <f>+DE1257+DD1257</f>
        <v>-1170</v>
      </c>
      <c r="DG1257" s="389"/>
      <c r="DH1257" s="1478">
        <v>0</v>
      </c>
      <c r="DI1257" s="707">
        <v>0</v>
      </c>
      <c r="DJ1257" s="389">
        <f>+DI1257+DH1257</f>
        <v>0</v>
      </c>
      <c r="DK1257" s="389"/>
      <c r="DL1257" s="707">
        <v>0</v>
      </c>
      <c r="DM1257" s="707">
        <v>0</v>
      </c>
      <c r="DN1257" s="389">
        <f>+DM1257+DL1257</f>
        <v>0</v>
      </c>
      <c r="DO1257" s="389"/>
      <c r="DP1257" s="707">
        <v>0</v>
      </c>
      <c r="DQ1257" s="707">
        <v>0</v>
      </c>
      <c r="DR1257" s="389">
        <f>+DQ1257+DP1257</f>
        <v>0</v>
      </c>
      <c r="DS1257" s="389"/>
      <c r="DT1257" s="1"/>
      <c r="DU1257" s="1"/>
      <c r="DV1257" s="1"/>
      <c r="DW1257" s="1"/>
      <c r="DX1257" s="1"/>
      <c r="DY1257" s="1"/>
      <c r="DZ1257" s="1"/>
      <c r="EA1257" s="1"/>
      <c r="EB1257" s="1"/>
      <c r="EC1257" s="1"/>
      <c r="ED1257" s="1"/>
      <c r="EE1257" s="1"/>
      <c r="EF1257" s="1"/>
      <c r="EG1257" s="1"/>
      <c r="EH1257" s="1"/>
      <c r="EI1257" s="1"/>
      <c r="EJ1257" s="1"/>
      <c r="EK1257" s="1"/>
      <c r="EL1257" s="1"/>
      <c r="EM1257" s="1"/>
      <c r="EN1257" s="1"/>
      <c r="EO1257" s="1"/>
      <c r="EP1257" s="1"/>
      <c r="EQ1257" s="1"/>
      <c r="ER1257" s="1"/>
      <c r="ES1257" s="1"/>
      <c r="ET1257" s="1"/>
      <c r="EU1257" s="1"/>
      <c r="EV1257" s="1"/>
      <c r="EW1257" s="1"/>
      <c r="EX1257" s="1"/>
      <c r="EY1257" s="1"/>
      <c r="EZ1257" s="1"/>
      <c r="FA1257" s="1"/>
      <c r="FB1257" s="1"/>
      <c r="FC1257" s="1"/>
      <c r="FD1257" s="1"/>
      <c r="FE1257" s="1"/>
      <c r="FF1257" s="1"/>
      <c r="FG1257" s="1"/>
      <c r="FH1257" s="1"/>
      <c r="FI1257" s="1"/>
      <c r="FJ1257" s="1"/>
      <c r="FK1257" s="1"/>
      <c r="FL1257" s="1"/>
      <c r="FM1257" s="1"/>
      <c r="FN1257" s="1"/>
      <c r="FO1257" s="1"/>
      <c r="FP1257" s="1"/>
      <c r="FQ1257" s="1"/>
      <c r="FR1257" s="1"/>
      <c r="FS1257" s="1"/>
      <c r="FT1257" s="1"/>
      <c r="FU1257" s="1"/>
      <c r="FV1257" s="1"/>
      <c r="FW1257" s="1"/>
      <c r="FX1257" s="1"/>
      <c r="FY1257" s="1"/>
      <c r="FZ1257" s="1"/>
      <c r="GA1257" s="1"/>
      <c r="GB1257" s="1"/>
      <c r="GC1257" s="1"/>
      <c r="GD1257" s="1"/>
      <c r="GE1257" s="1"/>
      <c r="GF1257" s="1"/>
      <c r="GG1257" s="1"/>
      <c r="GH1257" s="1"/>
      <c r="GI1257" s="1"/>
      <c r="GJ1257" s="1"/>
      <c r="GK1257" s="1"/>
      <c r="GL1257" s="1"/>
      <c r="GM1257" s="1"/>
      <c r="GN1257" s="1"/>
      <c r="GO1257" s="1"/>
      <c r="GP1257" s="1"/>
      <c r="GQ1257" s="1"/>
      <c r="GR1257" s="1"/>
      <c r="GS1257" s="1"/>
      <c r="GT1257" s="1"/>
      <c r="GU1257" s="1"/>
      <c r="GV1257" s="1"/>
      <c r="GW1257" s="1"/>
      <c r="GX1257" s="1"/>
      <c r="GY1257" s="1"/>
      <c r="GZ1257" s="1"/>
      <c r="HA1257" s="1"/>
      <c r="HB1257" s="1"/>
      <c r="HC1257" s="1"/>
      <c r="HD1257" s="1"/>
      <c r="HE1257" s="1"/>
      <c r="HF1257" s="1"/>
      <c r="HG1257" s="1"/>
      <c r="HH1257" s="1"/>
      <c r="HI1257" s="1"/>
      <c r="HJ1257" s="1"/>
      <c r="HK1257" s="1"/>
      <c r="HL1257" s="1"/>
      <c r="HM1257" s="1"/>
      <c r="HN1257" s="1"/>
      <c r="HO1257" s="1"/>
      <c r="HP1257" s="1"/>
      <c r="HQ1257" s="1"/>
      <c r="HR1257" s="1"/>
      <c r="HS1257" s="1"/>
      <c r="HT1257" s="1"/>
      <c r="HU1257" s="1"/>
      <c r="HV1257" s="1"/>
      <c r="HW1257" s="1"/>
      <c r="HX1257" s="1"/>
      <c r="HY1257" s="1"/>
      <c r="HZ1257" s="1"/>
      <c r="IA1257" s="1"/>
      <c r="IB1257" s="1"/>
      <c r="IC1257" s="1"/>
      <c r="ID1257" s="1"/>
      <c r="IE1257" s="1"/>
      <c r="IF1257" s="1"/>
      <c r="IG1257" s="1"/>
      <c r="IH1257" s="1"/>
      <c r="II1257" s="1"/>
      <c r="IJ1257" s="1"/>
      <c r="IK1257" s="1"/>
      <c r="IL1257" s="1"/>
      <c r="IM1257" s="1"/>
      <c r="IN1257" s="1"/>
      <c r="IO1257" s="1"/>
      <c r="IP1257" s="1"/>
      <c r="IQ1257" s="1"/>
      <c r="IR1257" s="1"/>
      <c r="IS1257" s="1"/>
      <c r="IT1257" s="1"/>
      <c r="IU1257" s="1"/>
      <c r="IV1257" s="1"/>
      <c r="IW1257" s="1"/>
      <c r="IX1257" s="1"/>
      <c r="IY1257" s="1"/>
      <c r="IZ1257" s="1"/>
      <c r="JA1257" s="1"/>
      <c r="JB1257" s="1"/>
      <c r="JC1257" s="1"/>
      <c r="JD1257" s="1"/>
    </row>
    <row r="1258" spans="1:264" s="387" customFormat="1" x14ac:dyDescent="0.2">
      <c r="A1258" s="387" t="s">
        <v>838</v>
      </c>
      <c r="B1258" s="388"/>
      <c r="BH1258" s="389"/>
      <c r="BI1258" s="389"/>
      <c r="BJ1258" s="389"/>
      <c r="BK1258" s="389"/>
      <c r="BL1258" s="389">
        <f>+BL1259-BL1254-BL1255-BL1256-BL1257</f>
        <v>186</v>
      </c>
      <c r="BM1258" s="389">
        <f>+BM1259-BM1254-BM1255-BM1256-BM1257</f>
        <v>-335</v>
      </c>
      <c r="BN1258" s="389">
        <f>+BM1258+BL1258</f>
        <v>-149</v>
      </c>
      <c r="BO1258" s="389"/>
      <c r="BP1258" s="389">
        <f>+BP1259-BP1254-BP1255-BP1256-BP1257</f>
        <v>297</v>
      </c>
      <c r="BQ1258" s="389">
        <f>+BQ1259-BQ1254-BQ1255-BQ1256-BQ1257</f>
        <v>8</v>
      </c>
      <c r="BR1258" s="389">
        <f>+BQ1258+BP1258</f>
        <v>305</v>
      </c>
      <c r="BS1258" s="389"/>
      <c r="BT1258" s="389">
        <f>+BT1259-BT1254-BT1255-BT1256-BT1257</f>
        <v>-61</v>
      </c>
      <c r="BU1258" s="389">
        <f>+BU1259-BU1254-BU1255-BU1256-BU1257</f>
        <v>-287</v>
      </c>
      <c r="BV1258" s="389">
        <f>+BU1258+BT1258</f>
        <v>-348</v>
      </c>
      <c r="BW1258" s="389"/>
      <c r="BX1258" s="389">
        <f>+BX1259-BX1254-BX1255-BX1256-BX1257</f>
        <v>-533</v>
      </c>
      <c r="BY1258" s="389">
        <f>+BY1259-BY1254-BY1255-BY1256-BY1257</f>
        <v>-234</v>
      </c>
      <c r="BZ1258" s="389">
        <f>+BY1258+BX1258</f>
        <v>-767</v>
      </c>
      <c r="CA1258" s="389"/>
      <c r="CB1258" s="389">
        <f>+CB1259-CB1254-CB1255-CB1256-CB1257</f>
        <v>-125</v>
      </c>
      <c r="CC1258" s="389">
        <f>+CC1259-CC1254-CC1255-CC1256-CC1257</f>
        <v>149</v>
      </c>
      <c r="CD1258" s="389">
        <f>+CC1258+CB1258</f>
        <v>24</v>
      </c>
      <c r="CE1258" s="389"/>
      <c r="CF1258" s="389">
        <f>+CF1259-CF1254-CF1255-CF1256-CF1257</f>
        <v>-32</v>
      </c>
      <c r="CG1258" s="389">
        <f>+CG1259-CG1254-CG1255-CG1256-CG1257</f>
        <v>-143</v>
      </c>
      <c r="CH1258" s="389">
        <f>+CG1258+CF1258</f>
        <v>-175</v>
      </c>
      <c r="CI1258" s="389"/>
      <c r="CJ1258" s="389">
        <f>+CJ1259-CJ1254-CJ1255-CJ1256-CJ1257</f>
        <v>-46.176470588235247</v>
      </c>
      <c r="CK1258" s="389">
        <f>+CK1259-CK1254-CK1255-CK1256-CK1257</f>
        <v>-5</v>
      </c>
      <c r="CL1258" s="389">
        <f>+CK1258+CJ1258</f>
        <v>-51.176470588235247</v>
      </c>
      <c r="CM1258" s="389"/>
      <c r="CN1258" s="389">
        <f>+CN1259-CN1254-CN1255-CN1256-CN1257</f>
        <v>545</v>
      </c>
      <c r="CO1258" s="389">
        <f>+CO1259-CO1254-CO1255-CO1256-CO1257</f>
        <v>190</v>
      </c>
      <c r="CP1258" s="389">
        <f>+CO1258+CN1258</f>
        <v>735</v>
      </c>
      <c r="CQ1258" s="389"/>
      <c r="CR1258" s="389">
        <f>+CR1259-CR1254-CR1255-CR1256-CR1257</f>
        <v>976</v>
      </c>
      <c r="CS1258" s="389">
        <f>+CS1259-CS1254-CS1255-CS1256-CS1257</f>
        <v>-19</v>
      </c>
      <c r="CT1258" s="389">
        <f>+CS1258+CR1258</f>
        <v>957</v>
      </c>
      <c r="CU1258" s="389"/>
      <c r="CV1258" s="389">
        <f>+CV1259-CV1254-CV1255-CV1256-CV1257</f>
        <v>-255</v>
      </c>
      <c r="CW1258" s="389">
        <f>+CW1259-CW1254-CW1255-CW1256-CW1257</f>
        <v>-176</v>
      </c>
      <c r="CX1258" s="389">
        <f>+CW1258+CV1258</f>
        <v>-431</v>
      </c>
      <c r="CY1258" s="389"/>
      <c r="CZ1258" s="389">
        <f>+CZ1259-CZ1254-CZ1255-CZ1256-CZ1257</f>
        <v>141</v>
      </c>
      <c r="DA1258" s="389">
        <f>+DA1259-DA1254-DA1255-DA1256-DA1257</f>
        <v>519</v>
      </c>
      <c r="DB1258" s="389">
        <f>+DA1258+CZ1258</f>
        <v>660</v>
      </c>
      <c r="DC1258" s="389"/>
      <c r="DD1258" s="389">
        <f>+DD1259-DD1254-DD1255-DD1256-DD1257</f>
        <v>361</v>
      </c>
      <c r="DE1258" s="389">
        <f>+DE1259-DE1254-DE1255-DE1256-DE1257</f>
        <v>-222</v>
      </c>
      <c r="DF1258" s="389">
        <f>+DE1258+DD1258</f>
        <v>139</v>
      </c>
      <c r="DG1258" s="389"/>
      <c r="DH1258" s="389">
        <f>+DH1259-DH1254-DH1255-DH1256-DH1257</f>
        <v>-13</v>
      </c>
      <c r="DI1258" s="389">
        <f>DI1254*DI1260/2</f>
        <v>-32.89</v>
      </c>
      <c r="DJ1258" s="389">
        <f>+DI1258+DH1258</f>
        <v>-45.89</v>
      </c>
      <c r="DK1258" s="389"/>
      <c r="DL1258" s="389">
        <f>DL1254*DL1260/2</f>
        <v>-32.989500000000007</v>
      </c>
      <c r="DM1258" s="389">
        <f>DM1254*DM1260/2</f>
        <v>-33.096573000000006</v>
      </c>
      <c r="DN1258" s="389">
        <f>+DM1258+DL1258</f>
        <v>-66.086073000000013</v>
      </c>
      <c r="DO1258" s="389"/>
      <c r="DP1258" s="389">
        <f>DP1254*DP1260/2</f>
        <v>-33.211314630000004</v>
      </c>
      <c r="DQ1258" s="389">
        <f>DQ1254*DQ1260/2</f>
        <v>-33.333822990900011</v>
      </c>
      <c r="DR1258" s="389">
        <f>+DQ1258+DP1258</f>
        <v>-66.545137620900022</v>
      </c>
      <c r="DS1258" s="389"/>
      <c r="DT1258" s="1"/>
      <c r="DU1258" s="1"/>
      <c r="DV1258" s="1"/>
      <c r="DW1258" s="1"/>
      <c r="DX1258" s="1"/>
      <c r="DY1258" s="1"/>
      <c r="DZ1258" s="1"/>
      <c r="EA1258" s="1"/>
      <c r="EB1258" s="1"/>
      <c r="EC1258" s="1"/>
      <c r="ED1258" s="1"/>
      <c r="EE1258" s="1"/>
      <c r="EF1258" s="1"/>
      <c r="EG1258" s="1"/>
      <c r="EH1258" s="1"/>
      <c r="EI1258" s="1"/>
      <c r="EJ1258" s="1"/>
      <c r="EK1258" s="1"/>
      <c r="EL1258" s="1"/>
      <c r="EM1258" s="1"/>
      <c r="EN1258" s="1"/>
      <c r="EO1258" s="1"/>
      <c r="EP1258" s="1"/>
      <c r="EQ1258" s="1"/>
      <c r="ER1258" s="1"/>
      <c r="ES1258" s="1"/>
      <c r="ET1258" s="1"/>
      <c r="EU1258" s="1"/>
      <c r="EV1258" s="1"/>
      <c r="EW1258" s="1"/>
      <c r="EX1258" s="1"/>
      <c r="EY1258" s="1"/>
      <c r="EZ1258" s="1"/>
      <c r="FA1258" s="1"/>
      <c r="FB1258" s="1"/>
      <c r="FC1258" s="1"/>
      <c r="FD1258" s="1"/>
      <c r="FE1258" s="1"/>
      <c r="FF1258" s="1"/>
      <c r="FG1258" s="1"/>
      <c r="FH1258" s="1"/>
      <c r="FI1258" s="1"/>
      <c r="FJ1258" s="1"/>
      <c r="FK1258" s="1"/>
      <c r="FL1258" s="1"/>
      <c r="FM1258" s="1"/>
      <c r="FN1258" s="1"/>
      <c r="FO1258" s="1"/>
      <c r="FP1258" s="1"/>
      <c r="FQ1258" s="1"/>
      <c r="FR1258" s="1"/>
      <c r="FS1258" s="1"/>
      <c r="FT1258" s="1"/>
      <c r="FU1258" s="1"/>
      <c r="FV1258" s="1"/>
      <c r="FW1258" s="1"/>
      <c r="FX1258" s="1"/>
      <c r="FY1258" s="1"/>
      <c r="FZ1258" s="1"/>
      <c r="GA1258" s="1"/>
      <c r="GB1258" s="1"/>
      <c r="GC1258" s="1"/>
      <c r="GD1258" s="1"/>
      <c r="GE1258" s="1"/>
      <c r="GF1258" s="1"/>
      <c r="GG1258" s="1"/>
      <c r="GH1258" s="1"/>
      <c r="GI1258" s="1"/>
      <c r="GJ1258" s="1"/>
      <c r="GK1258" s="1"/>
      <c r="GL1258" s="1"/>
      <c r="GM1258" s="1"/>
      <c r="GN1258" s="1"/>
      <c r="GO1258" s="1"/>
      <c r="GP1258" s="1"/>
      <c r="GQ1258" s="1"/>
      <c r="GR1258" s="1"/>
      <c r="GS1258" s="1"/>
      <c r="GT1258" s="1"/>
      <c r="GU1258" s="1"/>
      <c r="GV1258" s="1"/>
      <c r="GW1258" s="1"/>
      <c r="GX1258" s="1"/>
      <c r="GY1258" s="1"/>
      <c r="GZ1258" s="1"/>
      <c r="HA1258" s="1"/>
      <c r="HB1258" s="1"/>
      <c r="HC1258" s="1"/>
      <c r="HD1258" s="1"/>
      <c r="HE1258" s="1"/>
      <c r="HF1258" s="1"/>
      <c r="HG1258" s="1"/>
      <c r="HH1258" s="1"/>
      <c r="HI1258" s="1"/>
      <c r="HJ1258" s="1"/>
      <c r="HK1258" s="1"/>
      <c r="HL1258" s="1"/>
      <c r="HM1258" s="1"/>
      <c r="HN1258" s="1"/>
      <c r="HO1258" s="1"/>
      <c r="HP1258" s="1"/>
      <c r="HQ1258" s="1"/>
      <c r="HR1258" s="1"/>
      <c r="HS1258" s="1"/>
      <c r="HT1258" s="1"/>
      <c r="HU1258" s="1"/>
      <c r="HV1258" s="1"/>
      <c r="HW1258" s="1"/>
      <c r="HX1258" s="1"/>
      <c r="HY1258" s="1"/>
      <c r="HZ1258" s="1"/>
      <c r="IA1258" s="1"/>
      <c r="IB1258" s="1"/>
      <c r="IC1258" s="1"/>
      <c r="ID1258" s="1"/>
      <c r="IE1258" s="1"/>
      <c r="IF1258" s="1"/>
      <c r="IG1258" s="1"/>
      <c r="IH1258" s="1"/>
      <c r="II1258" s="1"/>
      <c r="IJ1258" s="1"/>
      <c r="IK1258" s="1"/>
      <c r="IL1258" s="1"/>
      <c r="IM1258" s="1"/>
      <c r="IN1258" s="1"/>
      <c r="IO1258" s="1"/>
      <c r="IP1258" s="1"/>
      <c r="IQ1258" s="1"/>
      <c r="IR1258" s="1"/>
      <c r="IS1258" s="1"/>
      <c r="IT1258" s="1"/>
      <c r="IU1258" s="1"/>
      <c r="IV1258" s="1"/>
      <c r="IW1258" s="1"/>
      <c r="IX1258" s="1"/>
      <c r="IY1258" s="1"/>
      <c r="IZ1258" s="1"/>
      <c r="JA1258" s="1"/>
      <c r="JB1258" s="1"/>
      <c r="JC1258" s="1"/>
      <c r="JD1258" s="1"/>
    </row>
    <row r="1259" spans="1:264" s="387" customFormat="1" x14ac:dyDescent="0.2">
      <c r="A1259" s="564" t="s">
        <v>319</v>
      </c>
      <c r="B1259" s="388"/>
      <c r="BH1259" s="566">
        <f>-BH1190</f>
        <v>0</v>
      </c>
      <c r="BI1259" s="566">
        <f>-BI1190</f>
        <v>2738</v>
      </c>
      <c r="BJ1259" s="566">
        <f>-BJ1190</f>
        <v>2738</v>
      </c>
      <c r="BK1259" s="566"/>
      <c r="BL1259" s="566">
        <f>-BL1190</f>
        <v>2924</v>
      </c>
      <c r="BM1259" s="566">
        <f>-BM1190</f>
        <v>2589</v>
      </c>
      <c r="BN1259" s="566">
        <f>-BN1190</f>
        <v>2589</v>
      </c>
      <c r="BO1259" s="393">
        <f>+BN1259/BJ1259-1</f>
        <v>-5.4419284149013869E-2</v>
      </c>
      <c r="BP1259" s="566">
        <f>-BP1190</f>
        <v>2990</v>
      </c>
      <c r="BQ1259" s="566">
        <f>-BQ1190</f>
        <v>3179</v>
      </c>
      <c r="BR1259" s="566">
        <f>-BR1190</f>
        <v>3179</v>
      </c>
      <c r="BS1259" s="393">
        <f>+BR1259/BN1259-1</f>
        <v>0.22788721514098098</v>
      </c>
      <c r="BT1259" s="566">
        <f>-BT1190</f>
        <v>3263</v>
      </c>
      <c r="BU1259" s="566">
        <f>-BU1190</f>
        <v>3120</v>
      </c>
      <c r="BV1259" s="566">
        <f>-BV1190</f>
        <v>3120</v>
      </c>
      <c r="BW1259" s="393">
        <f>+BV1259/BR1259-1</f>
        <v>-1.8559295375904394E-2</v>
      </c>
      <c r="BX1259" s="566">
        <f>-BX1190</f>
        <v>2741</v>
      </c>
      <c r="BY1259" s="566">
        <f>-BY1190</f>
        <v>2626</v>
      </c>
      <c r="BZ1259" s="566">
        <f>-BZ1190</f>
        <v>2626</v>
      </c>
      <c r="CA1259" s="393">
        <f>+BZ1259/BV1259-1</f>
        <v>-0.15833333333333333</v>
      </c>
      <c r="CB1259" s="566">
        <f>-CB1190</f>
        <v>2683</v>
      </c>
      <c r="CC1259" s="566">
        <f>-CC1190</f>
        <v>2967</v>
      </c>
      <c r="CD1259" s="566">
        <f>-CD1190</f>
        <v>2967</v>
      </c>
      <c r="CE1259" s="393">
        <f>+CD1259/BZ1259-1</f>
        <v>0.12985529322162992</v>
      </c>
      <c r="CF1259" s="566">
        <f>-CF1190</f>
        <v>3113</v>
      </c>
      <c r="CG1259" s="566">
        <f>-CG1190</f>
        <v>3088</v>
      </c>
      <c r="CH1259" s="566">
        <f>-CH1190</f>
        <v>3088</v>
      </c>
      <c r="CI1259" s="393">
        <f>+CH1259/CD1259-1</f>
        <v>4.07819346140883E-2</v>
      </c>
      <c r="CJ1259" s="566">
        <f>-CJ1190</f>
        <v>3579</v>
      </c>
      <c r="CK1259" s="566">
        <f>-CK1190</f>
        <v>3648</v>
      </c>
      <c r="CL1259" s="566">
        <f>-CL1190</f>
        <v>3648</v>
      </c>
      <c r="CM1259" s="393">
        <f>+CL1259/CH1259-1</f>
        <v>0.18134715025906734</v>
      </c>
      <c r="CN1259" s="566">
        <f>-CN1190</f>
        <v>3924</v>
      </c>
      <c r="CO1259" s="566">
        <f>-CO1190</f>
        <v>6782</v>
      </c>
      <c r="CP1259" s="566">
        <f>-CP1190</f>
        <v>6782</v>
      </c>
      <c r="CQ1259" s="393">
        <f>+CP1259/CL1259-1</f>
        <v>0.85910087719298245</v>
      </c>
      <c r="CR1259" s="566">
        <f>-CR1190</f>
        <v>8017</v>
      </c>
      <c r="CS1259" s="566">
        <f>-CS1190</f>
        <v>4651</v>
      </c>
      <c r="CT1259" s="566">
        <f>-CT1190</f>
        <v>4651</v>
      </c>
      <c r="CU1259" s="393">
        <f>+CT1259/CP1259-1</f>
        <v>-0.31421409613683282</v>
      </c>
      <c r="CV1259" s="566">
        <f>-CV1190</f>
        <v>4127</v>
      </c>
      <c r="CW1259" s="566">
        <f>-CW1190</f>
        <v>3947</v>
      </c>
      <c r="CX1259" s="566">
        <f>-CX1190</f>
        <v>3947</v>
      </c>
      <c r="CY1259" s="393">
        <f>+CX1259/CT1259-1</f>
        <v>-0.15136529778542251</v>
      </c>
      <c r="CZ1259" s="566">
        <f>-CZ1190</f>
        <v>4046</v>
      </c>
      <c r="DA1259" s="566">
        <f>-DA1190</f>
        <v>4214</v>
      </c>
      <c r="DB1259" s="566">
        <f>-DB1190</f>
        <v>4214</v>
      </c>
      <c r="DC1259" s="393">
        <f>+DB1259/CX1259-1</f>
        <v>6.7646313655941315E-2</v>
      </c>
      <c r="DD1259" s="566">
        <f>-DD1190</f>
        <v>4225</v>
      </c>
      <c r="DE1259" s="566">
        <f>-DE1190</f>
        <v>3260</v>
      </c>
      <c r="DF1259" s="566">
        <f>-DF1190</f>
        <v>3260</v>
      </c>
      <c r="DG1259" s="393">
        <f>+DF1259/DB1259-1</f>
        <v>-0.22638822971048889</v>
      </c>
      <c r="DH1259" s="566">
        <f>-DH1190</f>
        <v>3289</v>
      </c>
      <c r="DI1259" s="566">
        <f>SUM(DI1254:DI1258)</f>
        <v>3298.9500000000003</v>
      </c>
      <c r="DJ1259" s="566">
        <f>SUM(DJ1254:DJ1258)</f>
        <v>3298.9500000000003</v>
      </c>
      <c r="DK1259" s="393">
        <f>+DJ1259/DF1259-1</f>
        <v>1.1947852760736177E-2</v>
      </c>
      <c r="DL1259" s="566">
        <f>SUM(DL1254:DL1258)</f>
        <v>3309.6573000000003</v>
      </c>
      <c r="DM1259" s="566">
        <f>SUM(DM1254:DM1258)</f>
        <v>3321.1314630000006</v>
      </c>
      <c r="DN1259" s="566">
        <f>SUM(DN1254:DN1258)</f>
        <v>3321.1314630000002</v>
      </c>
      <c r="DO1259" s="393">
        <f>+DN1259/DJ1259-1</f>
        <v>6.7237948438139128E-3</v>
      </c>
      <c r="DP1259" s="566">
        <f>SUM(DP1254:DP1258)</f>
        <v>3333.3822990900007</v>
      </c>
      <c r="DQ1259" s="566">
        <f>SUM(DQ1254:DQ1258)</f>
        <v>3346.4198698335008</v>
      </c>
      <c r="DR1259" s="566">
        <f>SUM(DR1254:DR1258)</f>
        <v>3346.4198698335008</v>
      </c>
      <c r="DS1259" s="393">
        <f>+DR1259/DN1259-1</f>
        <v>7.6143950082172562E-3</v>
      </c>
      <c r="DT1259" s="1"/>
      <c r="DU1259" s="1"/>
      <c r="DV1259" s="1"/>
      <c r="DW1259" s="1"/>
      <c r="DX1259" s="1"/>
      <c r="DY1259" s="1"/>
      <c r="DZ1259" s="1"/>
      <c r="EA1259" s="1"/>
      <c r="EB1259" s="1"/>
      <c r="EC1259" s="1"/>
      <c r="ED1259" s="1"/>
      <c r="EE1259" s="1"/>
      <c r="EF1259" s="1"/>
      <c r="EG1259" s="1"/>
      <c r="EH1259" s="1"/>
      <c r="EI1259" s="1"/>
      <c r="EJ1259" s="1"/>
      <c r="EK1259" s="1"/>
      <c r="EL1259" s="1"/>
      <c r="EM1259" s="1"/>
      <c r="EN1259" s="1"/>
      <c r="EO1259" s="1"/>
      <c r="EP1259" s="1"/>
      <c r="EQ1259" s="1"/>
      <c r="ER1259" s="1"/>
      <c r="ES1259" s="1"/>
      <c r="ET1259" s="1"/>
      <c r="EU1259" s="1"/>
      <c r="EV1259" s="1"/>
      <c r="EW1259" s="1"/>
      <c r="EX1259" s="1"/>
      <c r="EY1259" s="1"/>
      <c r="EZ1259" s="1"/>
      <c r="FA1259" s="1"/>
      <c r="FB1259" s="1"/>
      <c r="FC1259" s="1"/>
      <c r="FD1259" s="1"/>
      <c r="FE1259" s="1"/>
      <c r="FF1259" s="1"/>
      <c r="FG1259" s="1"/>
      <c r="FH1259" s="1"/>
      <c r="FI1259" s="1"/>
      <c r="FJ1259" s="1"/>
      <c r="FK1259" s="1"/>
      <c r="FL1259" s="1"/>
      <c r="FM1259" s="1"/>
      <c r="FN1259" s="1"/>
      <c r="FO1259" s="1"/>
      <c r="FP1259" s="1"/>
      <c r="FQ1259" s="1"/>
      <c r="FR1259" s="1"/>
      <c r="FS1259" s="1"/>
      <c r="FT1259" s="1"/>
      <c r="FU1259" s="1"/>
      <c r="FV1259" s="1"/>
      <c r="FW1259" s="1"/>
      <c r="FX1259" s="1"/>
      <c r="FY1259" s="1"/>
      <c r="FZ1259" s="1"/>
      <c r="GA1259" s="1"/>
      <c r="GB1259" s="1"/>
      <c r="GC1259" s="1"/>
      <c r="GD1259" s="1"/>
      <c r="GE1259" s="1"/>
      <c r="GF1259" s="1"/>
      <c r="GG1259" s="1"/>
      <c r="GH1259" s="1"/>
      <c r="GI1259" s="1"/>
      <c r="GJ1259" s="1"/>
      <c r="GK1259" s="1"/>
      <c r="GL1259" s="1"/>
      <c r="GM1259" s="1"/>
      <c r="GN1259" s="1"/>
      <c r="GO1259" s="1"/>
      <c r="GP1259" s="1"/>
      <c r="GQ1259" s="1"/>
      <c r="GR1259" s="1"/>
      <c r="GS1259" s="1"/>
      <c r="GT1259" s="1"/>
      <c r="GU1259" s="1"/>
      <c r="GV1259" s="1"/>
      <c r="GW1259" s="1"/>
      <c r="GX1259" s="1"/>
      <c r="GY1259" s="1"/>
      <c r="GZ1259" s="1"/>
      <c r="HA1259" s="1"/>
      <c r="HB1259" s="1"/>
      <c r="HC1259" s="1"/>
      <c r="HD1259" s="1"/>
      <c r="HE1259" s="1"/>
      <c r="HF1259" s="1"/>
      <c r="HG1259" s="1"/>
      <c r="HH1259" s="1"/>
      <c r="HI1259" s="1"/>
      <c r="HJ1259" s="1"/>
      <c r="HK1259" s="1"/>
      <c r="HL1259" s="1"/>
      <c r="HM1259" s="1"/>
      <c r="HN1259" s="1"/>
      <c r="HO1259" s="1"/>
      <c r="HP1259" s="1"/>
      <c r="HQ1259" s="1"/>
      <c r="HR1259" s="1"/>
      <c r="HS1259" s="1"/>
      <c r="HT1259" s="1"/>
      <c r="HU1259" s="1"/>
      <c r="HV1259" s="1"/>
      <c r="HW1259" s="1"/>
      <c r="HX1259" s="1"/>
      <c r="HY1259" s="1"/>
      <c r="HZ1259" s="1"/>
      <c r="IA1259" s="1"/>
      <c r="IB1259" s="1"/>
      <c r="IC1259" s="1"/>
      <c r="ID1259" s="1"/>
      <c r="IE1259" s="1"/>
      <c r="IF1259" s="1"/>
      <c r="IG1259" s="1"/>
      <c r="IH1259" s="1"/>
      <c r="II1259" s="1"/>
      <c r="IJ1259" s="1"/>
      <c r="IK1259" s="1"/>
      <c r="IL1259" s="1"/>
      <c r="IM1259" s="1"/>
      <c r="IN1259" s="1"/>
      <c r="IO1259" s="1"/>
      <c r="IP1259" s="1"/>
      <c r="IQ1259" s="1"/>
      <c r="IR1259" s="1"/>
      <c r="IS1259" s="1"/>
      <c r="IT1259" s="1"/>
      <c r="IU1259" s="1"/>
      <c r="IV1259" s="1"/>
      <c r="IW1259" s="1"/>
      <c r="IX1259" s="1"/>
      <c r="IY1259" s="1"/>
      <c r="IZ1259" s="1"/>
      <c r="JA1259" s="1"/>
      <c r="JB1259" s="1"/>
      <c r="JC1259" s="1"/>
      <c r="JD1259" s="1"/>
    </row>
    <row r="1260" spans="1:264" s="565" customFormat="1" x14ac:dyDescent="0.2">
      <c r="A1260" s="819" t="s">
        <v>839</v>
      </c>
      <c r="B1260" s="820"/>
      <c r="C1260" s="821"/>
      <c r="D1260" s="821"/>
      <c r="E1260" s="821"/>
      <c r="F1260" s="821"/>
      <c r="G1260" s="821"/>
      <c r="H1260" s="821"/>
      <c r="I1260" s="821"/>
      <c r="J1260" s="821"/>
      <c r="K1260" s="821"/>
      <c r="L1260" s="821"/>
      <c r="M1260" s="821"/>
      <c r="N1260" s="821"/>
      <c r="O1260" s="821"/>
      <c r="P1260" s="821"/>
      <c r="Q1260" s="821"/>
      <c r="R1260" s="821"/>
      <c r="S1260" s="821"/>
      <c r="T1260" s="821"/>
      <c r="U1260" s="821"/>
      <c r="V1260" s="821"/>
      <c r="W1260" s="821"/>
      <c r="X1260" s="821"/>
      <c r="Y1260" s="821"/>
      <c r="Z1260" s="821"/>
      <c r="AA1260" s="821"/>
      <c r="AB1260" s="821"/>
      <c r="AC1260" s="821"/>
      <c r="AD1260" s="821"/>
      <c r="AE1260" s="821"/>
      <c r="AF1260" s="821"/>
      <c r="AG1260" s="821"/>
      <c r="AH1260" s="821"/>
      <c r="AI1260" s="821"/>
      <c r="AJ1260" s="821"/>
      <c r="AK1260" s="821"/>
      <c r="AL1260" s="821"/>
      <c r="AM1260" s="821"/>
      <c r="AN1260" s="821"/>
      <c r="AO1260" s="821"/>
      <c r="AP1260" s="821"/>
      <c r="AQ1260" s="821"/>
      <c r="AR1260" s="821"/>
      <c r="AS1260" s="821"/>
      <c r="AT1260" s="821"/>
      <c r="AU1260" s="821"/>
      <c r="AV1260" s="821"/>
      <c r="AW1260" s="821"/>
      <c r="AX1260" s="821"/>
      <c r="AY1260" s="821"/>
      <c r="AZ1260" s="821"/>
      <c r="BA1260" s="821"/>
      <c r="BB1260" s="821"/>
      <c r="BC1260" s="821"/>
      <c r="BD1260" s="821"/>
      <c r="BE1260" s="821"/>
      <c r="BF1260" s="821"/>
      <c r="BG1260" s="821"/>
      <c r="BH1260" s="822"/>
      <c r="BI1260" s="822"/>
      <c r="BJ1260" s="822"/>
      <c r="BK1260" s="822"/>
      <c r="BL1260" s="478">
        <f>(BL1258*2)/BL1254</f>
        <v>0.13586559532505479</v>
      </c>
      <c r="BM1260" s="478">
        <f>(BM1258*2)/BM1254</f>
        <v>-0.22913816689466485</v>
      </c>
      <c r="BN1260" s="478">
        <f>(BN1258)/BN1254</f>
        <v>-5.4419284149013876E-2</v>
      </c>
      <c r="BO1260" s="822"/>
      <c r="BP1260" s="478">
        <f>(BP1258*2)/BP1254</f>
        <v>0.22943221320973348</v>
      </c>
      <c r="BQ1260" s="478">
        <f>(BQ1258*2)/BQ1254</f>
        <v>5.3511705685618726E-3</v>
      </c>
      <c r="BR1260" s="478">
        <f>(BR1258)/BR1254</f>
        <v>0.11780610274237158</v>
      </c>
      <c r="BS1260" s="822"/>
      <c r="BT1260" s="478">
        <f>(BT1258*2)/BT1254</f>
        <v>-3.8376848065429382E-2</v>
      </c>
      <c r="BU1260" s="478">
        <f>(BU1258*2)/BU1254</f>
        <v>-0.1759117376647257</v>
      </c>
      <c r="BV1260" s="478">
        <f>(BV1258)/BV1254</f>
        <v>-0.10946838628499528</v>
      </c>
      <c r="BW1260" s="822"/>
      <c r="BX1260" s="478">
        <f>(BX1258*2)/BX1254</f>
        <v>-0.34166666666666667</v>
      </c>
      <c r="BY1260" s="478">
        <f>(BY1258*2)/BY1254</f>
        <v>-0.17074060561838744</v>
      </c>
      <c r="BZ1260" s="478">
        <f>(BZ1258)/BZ1254</f>
        <v>-0.24583333333333332</v>
      </c>
      <c r="CA1260" s="822"/>
      <c r="CB1260" s="478">
        <f>(CB1258*2)/CB1254</f>
        <v>-9.5201827875095207E-2</v>
      </c>
      <c r="CC1260" s="478">
        <f>(CC1258*2)/CC1254</f>
        <v>0.11106969809914274</v>
      </c>
      <c r="CD1260" s="478">
        <f>(CD1258)/CD1254</f>
        <v>9.13937547600914E-3</v>
      </c>
      <c r="CE1260" s="822"/>
      <c r="CF1260" s="478">
        <f>(CF1258*2)/CF1254</f>
        <v>-2.1570610043815303E-2</v>
      </c>
      <c r="CG1260" s="478">
        <f>(CG1258*2)/CG1254</f>
        <v>-9.187279151943463E-2</v>
      </c>
      <c r="CH1260" s="478">
        <f>(CH1258)/CH1254</f>
        <v>-5.8982136838557464E-2</v>
      </c>
      <c r="CI1260" s="822"/>
      <c r="CJ1260" s="478">
        <f>(CJ1258*2)/CJ1254</f>
        <v>-2.9907040536421792E-2</v>
      </c>
      <c r="CK1260" s="478">
        <f>(CK1258*2)/CK1254</f>
        <v>-2.7940765576976809E-3</v>
      </c>
      <c r="CL1260" s="478">
        <f>(CL1258)/CL1254</f>
        <v>-1.6572691252666853E-2</v>
      </c>
      <c r="CM1260" s="822"/>
      <c r="CN1260" s="478">
        <f>(CN1258*2)/CN1254</f>
        <v>0.29879385964912281</v>
      </c>
      <c r="CO1260" s="478">
        <f>(CO1258*2)/CO1254</f>
        <v>9.6839959225280325E-2</v>
      </c>
      <c r="CP1260" s="478">
        <f>(CP1258)/CP1254</f>
        <v>0.20148026315789475</v>
      </c>
      <c r="CQ1260" s="822"/>
      <c r="CR1260" s="478">
        <f>(CR1258*2)/CR1254</f>
        <v>0.28782070185785902</v>
      </c>
      <c r="CS1260" s="478">
        <f>(CS1258*2)/CS1254</f>
        <v>-4.7399276537358117E-3</v>
      </c>
      <c r="CT1260" s="478">
        <f>(CT1258)/CT1254</f>
        <v>0.14110881745797699</v>
      </c>
      <c r="CU1260" s="822"/>
      <c r="CV1260" s="478">
        <f>(CV1258*2)/CV1254</f>
        <v>-0.10965383788432595</v>
      </c>
      <c r="CW1260" s="478">
        <f>(CW1258*2)/CW1254</f>
        <v>-8.5291979646232127E-2</v>
      </c>
      <c r="CX1260" s="478">
        <f>(CX1258)/CX1254</f>
        <v>-9.2668243388518604E-2</v>
      </c>
      <c r="CY1260" s="822"/>
      <c r="CZ1260" s="478">
        <f>(CZ1258*2)/CZ1254</f>
        <v>7.14466683557132E-2</v>
      </c>
      <c r="DA1260" s="478">
        <f>(DA1258*2)/DA1254</f>
        <v>0.25654967869500739</v>
      </c>
      <c r="DB1260" s="478">
        <f>(DB1258)/DB1254</f>
        <v>0.16721560678996705</v>
      </c>
      <c r="DC1260" s="822"/>
      <c r="DD1260" s="478">
        <f>(DD1258*2)/DD1254</f>
        <v>0.17133364973896537</v>
      </c>
      <c r="DE1260" s="478">
        <f>(DE1258*2)/DE1254</f>
        <v>-0.1050887573964497</v>
      </c>
      <c r="DF1260" s="478">
        <f>(DF1258)/DF1254</f>
        <v>3.2985287138111059E-2</v>
      </c>
      <c r="DG1260" s="822"/>
      <c r="DH1260" s="478">
        <f>(DH1258*2)/DH1254</f>
        <v>-7.9754601226993873E-3</v>
      </c>
      <c r="DI1260" s="474">
        <v>-0.02</v>
      </c>
      <c r="DJ1260" s="478">
        <f>(DJ1258)/DJ1254</f>
        <v>-1.4076687116564417E-2</v>
      </c>
      <c r="DK1260" s="822"/>
      <c r="DL1260" s="474">
        <v>-0.02</v>
      </c>
      <c r="DM1260" s="474">
        <v>-0.02</v>
      </c>
      <c r="DN1260" s="478">
        <f>(DN1258)/DN1254</f>
        <v>-2.0032456690765244E-2</v>
      </c>
      <c r="DO1260" s="822"/>
      <c r="DP1260" s="474">
        <v>-0.02</v>
      </c>
      <c r="DQ1260" s="474">
        <v>-0.02</v>
      </c>
      <c r="DR1260" s="478">
        <f>(DR1258)/DR1254</f>
        <v>-2.0036887537354317E-2</v>
      </c>
      <c r="DS1260" s="822"/>
      <c r="DT1260" s="457"/>
      <c r="DU1260" s="457"/>
      <c r="DV1260" s="457"/>
      <c r="DW1260" s="457"/>
      <c r="DX1260" s="457"/>
      <c r="DY1260" s="457"/>
      <c r="DZ1260" s="457"/>
      <c r="EA1260" s="457"/>
      <c r="EB1260" s="457"/>
      <c r="EC1260" s="457"/>
      <c r="ED1260" s="457"/>
      <c r="EE1260" s="457"/>
      <c r="EF1260" s="457"/>
      <c r="EG1260" s="457"/>
      <c r="EH1260" s="457"/>
      <c r="EI1260" s="457"/>
      <c r="EJ1260" s="457"/>
      <c r="EK1260" s="457"/>
      <c r="EL1260" s="457"/>
      <c r="EM1260" s="457"/>
      <c r="EN1260" s="457"/>
      <c r="EO1260" s="457"/>
      <c r="EP1260" s="457"/>
      <c r="EQ1260" s="457"/>
      <c r="ER1260" s="457"/>
      <c r="ES1260" s="457"/>
      <c r="ET1260" s="457"/>
      <c r="EU1260" s="457"/>
      <c r="EV1260" s="457"/>
      <c r="EW1260" s="457"/>
      <c r="EX1260" s="457"/>
      <c r="EY1260" s="457"/>
      <c r="EZ1260" s="457"/>
      <c r="FA1260" s="457"/>
      <c r="FB1260" s="457"/>
      <c r="FC1260" s="457"/>
      <c r="FD1260" s="457"/>
      <c r="FE1260" s="457"/>
      <c r="FF1260" s="457"/>
      <c r="FG1260" s="457"/>
      <c r="FH1260" s="457"/>
      <c r="FI1260" s="457"/>
      <c r="FJ1260" s="457"/>
      <c r="FK1260" s="457"/>
      <c r="FL1260" s="457"/>
      <c r="FM1260" s="457"/>
      <c r="FN1260" s="457"/>
      <c r="FO1260" s="457"/>
      <c r="FP1260" s="457"/>
      <c r="FQ1260" s="457"/>
      <c r="FR1260" s="457"/>
      <c r="FS1260" s="457"/>
      <c r="FT1260" s="457"/>
      <c r="FU1260" s="457"/>
      <c r="FV1260" s="457"/>
      <c r="FW1260" s="457"/>
      <c r="FX1260" s="457"/>
      <c r="FY1260" s="457"/>
      <c r="FZ1260" s="457"/>
      <c r="GA1260" s="457"/>
      <c r="GB1260" s="457"/>
      <c r="GC1260" s="457"/>
      <c r="GD1260" s="457"/>
      <c r="GE1260" s="457"/>
      <c r="GF1260" s="457"/>
      <c r="GG1260" s="457"/>
      <c r="GH1260" s="457"/>
      <c r="GI1260" s="457"/>
      <c r="GJ1260" s="457"/>
      <c r="GK1260" s="457"/>
      <c r="GL1260" s="457"/>
      <c r="GM1260" s="457"/>
      <c r="GN1260" s="457"/>
      <c r="GO1260" s="457"/>
      <c r="GP1260" s="457"/>
      <c r="GQ1260" s="457"/>
      <c r="GR1260" s="457"/>
      <c r="GS1260" s="457"/>
      <c r="GT1260" s="457"/>
      <c r="GU1260" s="457"/>
      <c r="GV1260" s="457"/>
      <c r="GW1260" s="457"/>
      <c r="GX1260" s="457"/>
      <c r="GY1260" s="457"/>
      <c r="GZ1260" s="457"/>
      <c r="HA1260" s="457"/>
      <c r="HB1260" s="457"/>
      <c r="HC1260" s="457"/>
      <c r="HD1260" s="457"/>
      <c r="HE1260" s="457"/>
      <c r="HF1260" s="457"/>
      <c r="HG1260" s="457"/>
      <c r="HH1260" s="457"/>
      <c r="HI1260" s="457"/>
      <c r="HJ1260" s="457"/>
      <c r="HK1260" s="457"/>
      <c r="HL1260" s="457"/>
      <c r="HM1260" s="457"/>
      <c r="HN1260" s="457"/>
      <c r="HO1260" s="457"/>
      <c r="HP1260" s="457"/>
      <c r="HQ1260" s="457"/>
      <c r="HR1260" s="457"/>
      <c r="HS1260" s="457"/>
      <c r="HT1260" s="457"/>
      <c r="HU1260" s="457"/>
      <c r="HV1260" s="457"/>
      <c r="HW1260" s="457"/>
      <c r="HX1260" s="457"/>
      <c r="HY1260" s="457"/>
      <c r="HZ1260" s="457"/>
      <c r="IA1260" s="457"/>
      <c r="IB1260" s="457"/>
      <c r="IC1260" s="457"/>
      <c r="ID1260" s="457"/>
      <c r="IE1260" s="457"/>
      <c r="IF1260" s="457"/>
      <c r="IG1260" s="457"/>
      <c r="IH1260" s="457"/>
      <c r="II1260" s="457"/>
      <c r="IJ1260" s="457"/>
      <c r="IK1260" s="457"/>
      <c r="IL1260" s="457"/>
      <c r="IM1260" s="457"/>
      <c r="IN1260" s="457"/>
      <c r="IO1260" s="457"/>
      <c r="IP1260" s="457"/>
      <c r="IQ1260" s="457"/>
      <c r="IR1260" s="457"/>
      <c r="IS1260" s="457"/>
      <c r="IT1260" s="457"/>
      <c r="IU1260" s="457"/>
      <c r="IV1260" s="457"/>
      <c r="IW1260" s="457"/>
      <c r="IX1260" s="457"/>
      <c r="IY1260" s="457"/>
      <c r="IZ1260" s="457"/>
      <c r="JA1260" s="457"/>
      <c r="JB1260" s="457"/>
      <c r="JC1260" s="457"/>
      <c r="JD1260" s="457"/>
    </row>
    <row r="1261" spans="1:264" s="565" customFormat="1" x14ac:dyDescent="0.2">
      <c r="A1261" s="578"/>
      <c r="B1261" s="823"/>
      <c r="BH1261" s="824"/>
      <c r="BI1261" s="824"/>
      <c r="BJ1261" s="824"/>
      <c r="BK1261" s="824"/>
      <c r="BL1261" s="394"/>
      <c r="BM1261" s="394"/>
      <c r="BN1261" s="394"/>
      <c r="BO1261" s="824"/>
      <c r="BP1261" s="394"/>
      <c r="BQ1261" s="394"/>
      <c r="BR1261" s="394"/>
      <c r="BS1261" s="824"/>
      <c r="BT1261" s="394"/>
      <c r="BU1261" s="394"/>
      <c r="BV1261" s="394"/>
      <c r="BW1261" s="824"/>
      <c r="BX1261" s="394"/>
      <c r="BY1261" s="647"/>
      <c r="BZ1261" s="394"/>
      <c r="CA1261" s="824"/>
      <c r="CB1261" s="394"/>
      <c r="CC1261" s="647"/>
      <c r="CD1261" s="394"/>
      <c r="CE1261" s="824"/>
      <c r="CF1261" s="394"/>
      <c r="CG1261" s="647"/>
      <c r="CH1261" s="394"/>
      <c r="CI1261" s="824"/>
      <c r="CJ1261" s="394"/>
      <c r="CK1261" s="647"/>
      <c r="CL1261" s="394"/>
      <c r="CM1261" s="824"/>
      <c r="CN1261" s="394"/>
      <c r="CO1261" s="647"/>
      <c r="CP1261" s="394"/>
      <c r="CQ1261" s="824"/>
      <c r="CR1261" s="394"/>
      <c r="CS1261" s="647"/>
      <c r="CT1261" s="394"/>
      <c r="CU1261" s="824"/>
      <c r="CV1261" s="394"/>
      <c r="CW1261" s="647"/>
      <c r="CX1261" s="394"/>
      <c r="CY1261" s="824"/>
      <c r="CZ1261" s="394"/>
      <c r="DA1261" s="647"/>
      <c r="DB1261" s="394"/>
      <c r="DC1261" s="824"/>
      <c r="DD1261" s="394"/>
      <c r="DE1261" s="647"/>
      <c r="DF1261" s="394"/>
      <c r="DG1261" s="824"/>
      <c r="DH1261" s="394"/>
      <c r="DI1261" s="647"/>
      <c r="DJ1261" s="394"/>
      <c r="DK1261" s="824"/>
      <c r="DL1261" s="647"/>
      <c r="DM1261" s="647"/>
      <c r="DN1261" s="394"/>
      <c r="DO1261" s="824"/>
      <c r="DP1261" s="647"/>
      <c r="DQ1261" s="647"/>
      <c r="DR1261" s="394"/>
      <c r="DS1261" s="824"/>
      <c r="DT1261" s="457"/>
      <c r="DU1261" s="457"/>
      <c r="DV1261" s="457"/>
      <c r="DW1261" s="457"/>
      <c r="DX1261" s="457"/>
      <c r="DY1261" s="457"/>
      <c r="DZ1261" s="457"/>
      <c r="EA1261" s="457"/>
      <c r="EB1261" s="457"/>
      <c r="EC1261" s="457"/>
      <c r="ED1261" s="457"/>
      <c r="EE1261" s="457"/>
      <c r="EF1261" s="457"/>
      <c r="EG1261" s="457"/>
      <c r="EH1261" s="457"/>
      <c r="EI1261" s="457"/>
      <c r="EJ1261" s="457"/>
      <c r="EK1261" s="457"/>
      <c r="EL1261" s="457"/>
      <c r="EM1261" s="457"/>
      <c r="EN1261" s="457"/>
      <c r="EO1261" s="457"/>
      <c r="EP1261" s="457"/>
      <c r="EQ1261" s="457"/>
      <c r="ER1261" s="457"/>
      <c r="ES1261" s="457"/>
      <c r="ET1261" s="457"/>
      <c r="EU1261" s="457"/>
      <c r="EV1261" s="457"/>
      <c r="EW1261" s="457"/>
      <c r="EX1261" s="457"/>
      <c r="EY1261" s="457"/>
      <c r="EZ1261" s="457"/>
      <c r="FA1261" s="457"/>
      <c r="FB1261" s="457"/>
      <c r="FC1261" s="457"/>
      <c r="FD1261" s="457"/>
      <c r="FE1261" s="457"/>
      <c r="FF1261" s="457"/>
      <c r="FG1261" s="457"/>
      <c r="FH1261" s="457"/>
      <c r="FI1261" s="457"/>
      <c r="FJ1261" s="457"/>
      <c r="FK1261" s="457"/>
      <c r="FL1261" s="457"/>
      <c r="FM1261" s="457"/>
      <c r="FN1261" s="457"/>
      <c r="FO1261" s="457"/>
      <c r="FP1261" s="457"/>
      <c r="FQ1261" s="457"/>
      <c r="FR1261" s="457"/>
      <c r="FS1261" s="457"/>
      <c r="FT1261" s="457"/>
      <c r="FU1261" s="457"/>
      <c r="FV1261" s="457"/>
      <c r="FW1261" s="457"/>
      <c r="FX1261" s="457"/>
      <c r="FY1261" s="457"/>
      <c r="FZ1261" s="457"/>
      <c r="GA1261" s="457"/>
      <c r="GB1261" s="457"/>
      <c r="GC1261" s="457"/>
      <c r="GD1261" s="457"/>
      <c r="GE1261" s="457"/>
      <c r="GF1261" s="457"/>
      <c r="GG1261" s="457"/>
      <c r="GH1261" s="457"/>
      <c r="GI1261" s="457"/>
      <c r="GJ1261" s="457"/>
      <c r="GK1261" s="457"/>
      <c r="GL1261" s="457"/>
      <c r="GM1261" s="457"/>
      <c r="GN1261" s="457"/>
      <c r="GO1261" s="457"/>
      <c r="GP1261" s="457"/>
      <c r="GQ1261" s="457"/>
      <c r="GR1261" s="457"/>
      <c r="GS1261" s="457"/>
      <c r="GT1261" s="457"/>
      <c r="GU1261" s="457"/>
      <c r="GV1261" s="457"/>
      <c r="GW1261" s="457"/>
      <c r="GX1261" s="457"/>
      <c r="GY1261" s="457"/>
      <c r="GZ1261" s="457"/>
      <c r="HA1261" s="457"/>
      <c r="HB1261" s="457"/>
      <c r="HC1261" s="457"/>
      <c r="HD1261" s="457"/>
      <c r="HE1261" s="457"/>
      <c r="HF1261" s="457"/>
      <c r="HG1261" s="457"/>
      <c r="HH1261" s="457"/>
      <c r="HI1261" s="457"/>
      <c r="HJ1261" s="457"/>
      <c r="HK1261" s="457"/>
      <c r="HL1261" s="457"/>
      <c r="HM1261" s="457"/>
      <c r="HN1261" s="457"/>
      <c r="HO1261" s="457"/>
      <c r="HP1261" s="457"/>
      <c r="HQ1261" s="457"/>
      <c r="HR1261" s="457"/>
      <c r="HS1261" s="457"/>
      <c r="HT1261" s="457"/>
      <c r="HU1261" s="457"/>
      <c r="HV1261" s="457"/>
      <c r="HW1261" s="457"/>
      <c r="HX1261" s="457"/>
      <c r="HY1261" s="457"/>
      <c r="HZ1261" s="457"/>
      <c r="IA1261" s="457"/>
      <c r="IB1261" s="457"/>
      <c r="IC1261" s="457"/>
      <c r="ID1261" s="457"/>
      <c r="IE1261" s="457"/>
      <c r="IF1261" s="457"/>
      <c r="IG1261" s="457"/>
      <c r="IH1261" s="457"/>
      <c r="II1261" s="457"/>
      <c r="IJ1261" s="457"/>
      <c r="IK1261" s="457"/>
      <c r="IL1261" s="457"/>
      <c r="IM1261" s="457"/>
      <c r="IN1261" s="457"/>
      <c r="IO1261" s="457"/>
      <c r="IP1261" s="457"/>
      <c r="IQ1261" s="457"/>
      <c r="IR1261" s="457"/>
      <c r="IS1261" s="457"/>
      <c r="IT1261" s="457"/>
      <c r="IU1261" s="457"/>
      <c r="IV1261" s="457"/>
      <c r="IW1261" s="457"/>
      <c r="IX1261" s="457"/>
      <c r="IY1261" s="457"/>
      <c r="IZ1261" s="457"/>
      <c r="JA1261" s="457"/>
      <c r="JB1261" s="457"/>
      <c r="JC1261" s="457"/>
      <c r="JD1261" s="457"/>
    </row>
    <row r="1262" spans="1:264" s="347" customFormat="1" x14ac:dyDescent="0.2">
      <c r="A1262" s="424" t="s">
        <v>840</v>
      </c>
      <c r="B1262" s="348"/>
      <c r="BH1262" s="351"/>
      <c r="BI1262" s="351"/>
      <c r="BJ1262" s="351"/>
      <c r="BK1262" s="351"/>
      <c r="BL1262" s="351"/>
      <c r="BM1262" s="351"/>
      <c r="BN1262" s="351"/>
      <c r="BO1262" s="351"/>
      <c r="BP1262" s="351"/>
      <c r="BQ1262" s="351"/>
      <c r="BR1262" s="351"/>
      <c r="BS1262" s="351"/>
      <c r="BT1262" s="351"/>
      <c r="BU1262" s="351"/>
      <c r="BV1262" s="351"/>
      <c r="BW1262" s="351"/>
      <c r="BX1262" s="351"/>
      <c r="BY1262" s="351"/>
      <c r="BZ1262" s="351"/>
      <c r="CA1262" s="351"/>
      <c r="CB1262" s="351"/>
      <c r="CC1262" s="351"/>
      <c r="CD1262" s="351"/>
      <c r="CE1262" s="351"/>
      <c r="CF1262" s="351"/>
      <c r="CG1262" s="351"/>
      <c r="CH1262" s="351"/>
      <c r="CI1262" s="351"/>
      <c r="CJ1262" s="351"/>
      <c r="CK1262" s="351"/>
      <c r="CL1262" s="351"/>
      <c r="CM1262" s="351"/>
      <c r="CN1262" s="351"/>
      <c r="CO1262" s="351"/>
      <c r="CP1262" s="351"/>
      <c r="CQ1262" s="351"/>
      <c r="CR1262" s="351"/>
      <c r="CS1262" s="351"/>
      <c r="CT1262" s="351"/>
      <c r="CU1262" s="351"/>
      <c r="CV1262" s="351"/>
      <c r="CW1262" s="351"/>
      <c r="CX1262" s="351"/>
      <c r="CY1262" s="351"/>
      <c r="CZ1262" s="351"/>
      <c r="DA1262" s="351"/>
      <c r="DB1262" s="351"/>
      <c r="DC1262" s="351"/>
      <c r="DD1262" s="351"/>
      <c r="DE1262" s="351"/>
      <c r="DF1262" s="351"/>
      <c r="DG1262" s="351"/>
      <c r="DH1262" s="351"/>
      <c r="DI1262" s="351"/>
      <c r="DJ1262" s="351"/>
      <c r="DK1262" s="351"/>
      <c r="DL1262" s="351"/>
      <c r="DM1262" s="351"/>
      <c r="DN1262" s="351"/>
      <c r="DO1262" s="351"/>
      <c r="DP1262" s="351"/>
      <c r="DQ1262" s="351"/>
      <c r="DR1262" s="351"/>
      <c r="DS1262" s="351"/>
      <c r="DT1262" s="1"/>
      <c r="DU1262" s="1"/>
      <c r="DV1262" s="1"/>
      <c r="DW1262" s="1"/>
      <c r="DX1262" s="1"/>
      <c r="DY1262" s="1"/>
      <c r="DZ1262" s="1"/>
      <c r="EA1262" s="1"/>
      <c r="EB1262" s="1"/>
      <c r="EC1262" s="1"/>
      <c r="ED1262" s="1"/>
      <c r="EE1262" s="1"/>
      <c r="EF1262" s="1"/>
      <c r="EG1262" s="1"/>
      <c r="EH1262" s="1"/>
      <c r="EI1262" s="1"/>
      <c r="EJ1262" s="1"/>
      <c r="EK1262" s="1"/>
      <c r="EL1262" s="1"/>
      <c r="EM1262" s="1"/>
      <c r="EN1262" s="1"/>
      <c r="EO1262" s="1"/>
      <c r="EP1262" s="1"/>
      <c r="EQ1262" s="1"/>
      <c r="ER1262" s="1"/>
      <c r="ES1262" s="1"/>
      <c r="ET1262" s="1"/>
      <c r="EU1262" s="1"/>
      <c r="EV1262" s="1"/>
      <c r="EW1262" s="1"/>
      <c r="EX1262" s="1"/>
      <c r="EY1262" s="1"/>
      <c r="EZ1262" s="1"/>
      <c r="FA1262" s="1"/>
      <c r="FB1262" s="1"/>
      <c r="FC1262" s="1"/>
      <c r="FD1262" s="1"/>
      <c r="FE1262" s="1"/>
      <c r="FF1262" s="1"/>
      <c r="FG1262" s="1"/>
      <c r="FH1262" s="1"/>
      <c r="FI1262" s="1"/>
      <c r="FJ1262" s="1"/>
      <c r="FK1262" s="1"/>
      <c r="FL1262" s="1"/>
      <c r="FM1262" s="1"/>
      <c r="FN1262" s="1"/>
      <c r="FO1262" s="1"/>
      <c r="FP1262" s="1"/>
      <c r="FQ1262" s="1"/>
      <c r="FR1262" s="1"/>
      <c r="FS1262" s="1"/>
      <c r="FT1262" s="1"/>
      <c r="FU1262" s="1"/>
      <c r="FV1262" s="1"/>
      <c r="FW1262" s="1"/>
      <c r="FX1262" s="1"/>
      <c r="FY1262" s="1"/>
      <c r="FZ1262" s="1"/>
      <c r="GA1262" s="1"/>
      <c r="GB1262" s="1"/>
      <c r="GC1262" s="1"/>
      <c r="GD1262" s="1"/>
      <c r="GE1262" s="1"/>
      <c r="GF1262" s="1"/>
      <c r="GG1262" s="1"/>
      <c r="GH1262" s="1"/>
      <c r="GI1262" s="1"/>
      <c r="GJ1262" s="1"/>
      <c r="GK1262" s="1"/>
      <c r="GL1262" s="1"/>
      <c r="GM1262" s="1"/>
      <c r="GN1262" s="1"/>
      <c r="GO1262" s="1"/>
      <c r="GP1262" s="1"/>
      <c r="GQ1262" s="1"/>
      <c r="GR1262" s="1"/>
      <c r="GS1262" s="1"/>
      <c r="GT1262" s="1"/>
      <c r="GU1262" s="1"/>
      <c r="GV1262" s="1"/>
      <c r="GW1262" s="1"/>
      <c r="GX1262" s="1"/>
      <c r="GY1262" s="1"/>
      <c r="GZ1262" s="1"/>
      <c r="HA1262" s="1"/>
      <c r="HB1262" s="1"/>
      <c r="HC1262" s="1"/>
      <c r="HD1262" s="1"/>
      <c r="HE1262" s="1"/>
      <c r="HF1262" s="1"/>
      <c r="HG1262" s="1"/>
      <c r="HH1262" s="1"/>
      <c r="HI1262" s="1"/>
      <c r="HJ1262" s="1"/>
      <c r="HK1262" s="1"/>
      <c r="HL1262" s="1"/>
      <c r="HM1262" s="1"/>
      <c r="HN1262" s="1"/>
      <c r="HO1262" s="1"/>
      <c r="HP1262" s="1"/>
      <c r="HQ1262" s="1"/>
      <c r="HR1262" s="1"/>
      <c r="HS1262" s="1"/>
      <c r="HT1262" s="1"/>
      <c r="HU1262" s="1"/>
      <c r="HV1262" s="1"/>
      <c r="HW1262" s="1"/>
      <c r="HX1262" s="1"/>
      <c r="HY1262" s="1"/>
      <c r="HZ1262" s="1"/>
      <c r="IA1262" s="1"/>
      <c r="IB1262" s="1"/>
      <c r="IC1262" s="1"/>
      <c r="ID1262" s="1"/>
      <c r="IE1262" s="1"/>
      <c r="IF1262" s="1"/>
      <c r="IG1262" s="1"/>
      <c r="IH1262" s="1"/>
      <c r="II1262" s="1"/>
      <c r="IJ1262" s="1"/>
      <c r="IK1262" s="1"/>
      <c r="IL1262" s="1"/>
      <c r="IM1262" s="1"/>
      <c r="IN1262" s="1"/>
      <c r="IO1262" s="1"/>
      <c r="IP1262" s="1"/>
      <c r="IQ1262" s="1"/>
      <c r="IR1262" s="1"/>
      <c r="IS1262" s="1"/>
      <c r="IT1262" s="1"/>
      <c r="IU1262" s="1"/>
      <c r="IV1262" s="1"/>
      <c r="IW1262" s="1"/>
      <c r="IX1262" s="1"/>
      <c r="IY1262" s="1"/>
      <c r="IZ1262" s="1"/>
      <c r="JA1262" s="1"/>
      <c r="JB1262" s="1"/>
      <c r="JC1262" s="1"/>
      <c r="JD1262" s="1"/>
    </row>
    <row r="1263" spans="1:264" s="347" customFormat="1" x14ac:dyDescent="0.2">
      <c r="A1263" s="436" t="str">
        <f>A1183</f>
        <v>Less: Non Consol Sub RE and Reserves</v>
      </c>
      <c r="B1263" s="466"/>
      <c r="C1263" s="463"/>
      <c r="D1263" s="463"/>
      <c r="E1263" s="463"/>
      <c r="F1263" s="463"/>
      <c r="G1263" s="463"/>
      <c r="H1263" s="463"/>
      <c r="I1263" s="463"/>
      <c r="J1263" s="463"/>
      <c r="K1263" s="463"/>
      <c r="L1263" s="463"/>
      <c r="M1263" s="463"/>
      <c r="N1263" s="463"/>
      <c r="O1263" s="463"/>
      <c r="P1263" s="463"/>
      <c r="Q1263" s="463"/>
      <c r="R1263" s="463"/>
      <c r="S1263" s="463"/>
      <c r="T1263" s="463"/>
      <c r="U1263" s="463"/>
      <c r="V1263" s="463"/>
      <c r="W1263" s="463"/>
      <c r="X1263" s="463"/>
      <c r="Y1263" s="463"/>
      <c r="Z1263" s="463"/>
      <c r="AA1263" s="463"/>
      <c r="AB1263" s="463"/>
      <c r="AC1263" s="463"/>
      <c r="AD1263" s="463"/>
      <c r="AE1263" s="463"/>
      <c r="AF1263" s="463"/>
      <c r="AG1263" s="463"/>
      <c r="AH1263" s="463"/>
      <c r="AI1263" s="463"/>
      <c r="AJ1263" s="463"/>
      <c r="AK1263" s="463"/>
      <c r="AL1263" s="463"/>
      <c r="AM1263" s="463"/>
      <c r="AN1263" s="463"/>
      <c r="AO1263" s="463"/>
      <c r="AP1263" s="463"/>
      <c r="AQ1263" s="463"/>
      <c r="AR1263" s="463"/>
      <c r="AS1263" s="463"/>
      <c r="AT1263" s="463"/>
      <c r="AU1263" s="463"/>
      <c r="AV1263" s="463"/>
      <c r="AW1263" s="463"/>
      <c r="AX1263" s="463"/>
      <c r="AY1263" s="463"/>
      <c r="AZ1263" s="463"/>
      <c r="BA1263" s="463"/>
      <c r="BB1263" s="463"/>
      <c r="BC1263" s="463"/>
      <c r="BD1263" s="463"/>
      <c r="BE1263" s="463"/>
      <c r="BF1263" s="463"/>
      <c r="BG1263" s="463"/>
      <c r="BH1263" s="485"/>
      <c r="BI1263" s="485"/>
      <c r="BJ1263" s="485"/>
      <c r="BK1263" s="485"/>
      <c r="BL1263" s="465">
        <f>BL1183/BI1183-1</f>
        <v>0.83737024221453282</v>
      </c>
      <c r="BM1263" s="465">
        <f>BM1183/BL1183-1</f>
        <v>-0.21845574387947264</v>
      </c>
      <c r="BN1263" s="485"/>
      <c r="BO1263" s="485"/>
      <c r="BP1263" s="465">
        <f>BP1183/BM1183-1</f>
        <v>0.21204819277108444</v>
      </c>
      <c r="BQ1263" s="465">
        <f>BQ1183/BP1183-1</f>
        <v>0.23658051689860837</v>
      </c>
      <c r="BR1263" s="485"/>
      <c r="BS1263" s="485"/>
      <c r="BT1263" s="465">
        <f>BT1183/BQ1183-1</f>
        <v>-0.229903536977492</v>
      </c>
      <c r="BU1263" s="465">
        <f>BU1183/BT1183-1</f>
        <v>-0.16075156576200422</v>
      </c>
      <c r="BV1263" s="485"/>
      <c r="BW1263" s="485"/>
      <c r="BX1263" s="465">
        <f>BX1183/BU1183-1</f>
        <v>0.63432835820895517</v>
      </c>
      <c r="BY1263" s="465">
        <f>BY1183/BX1183-1</f>
        <v>-5.9360730593607358E-2</v>
      </c>
      <c r="BZ1263" s="485"/>
      <c r="CA1263" s="485"/>
      <c r="CB1263" s="465">
        <f>CB1183/BY1183-1</f>
        <v>-0.2200647249190939</v>
      </c>
      <c r="CC1263" s="465">
        <f>CC1183/CB1183-1</f>
        <v>-0.12448132780082988</v>
      </c>
      <c r="CD1263" s="485"/>
      <c r="CE1263" s="485"/>
      <c r="CF1263" s="465">
        <f>CF1183/CC1183-1</f>
        <v>-0.14454976303317535</v>
      </c>
      <c r="CG1263" s="465">
        <f>CG1183/CF1183-1</f>
        <v>6.6481994459833826E-2</v>
      </c>
      <c r="CH1263" s="485"/>
      <c r="CI1263" s="485"/>
      <c r="CJ1263" s="465">
        <f>CJ1183/CG1183-1</f>
        <v>-0.31168831168831168</v>
      </c>
      <c r="CK1263" s="465">
        <f>CK1183/CJ1183-1</f>
        <v>0.21886792452830184</v>
      </c>
      <c r="CL1263" s="485"/>
      <c r="CM1263" s="485"/>
      <c r="CN1263" s="465">
        <f>CN1183/CK1183-1</f>
        <v>0.17337461300309598</v>
      </c>
      <c r="CO1263" s="465">
        <f>CO1183/CN1183-1</f>
        <v>0.28232189973614785</v>
      </c>
      <c r="CP1263" s="485"/>
      <c r="CQ1263" s="485"/>
      <c r="CR1263" s="465">
        <f>CR1183/CO1183-1</f>
        <v>-0.74279835390946503</v>
      </c>
      <c r="CS1263" s="465">
        <f>CS1183/CR1183-1</f>
        <v>4.8000000000000043E-2</v>
      </c>
      <c r="CT1263" s="485"/>
      <c r="CU1263" s="485"/>
      <c r="CV1263" s="465">
        <f>CV1183/CS1183-1</f>
        <v>-0.7862595419847328</v>
      </c>
      <c r="CW1263" s="465">
        <f>CW1183/CV1183-1</f>
        <v>0.60714285714285721</v>
      </c>
      <c r="CX1263" s="485"/>
      <c r="CY1263" s="485"/>
      <c r="CZ1263" s="465">
        <f>CZ1183/CW1183-1</f>
        <v>0</v>
      </c>
      <c r="DA1263" s="465">
        <f>DA1183/CZ1183-1</f>
        <v>0.19999999999999996</v>
      </c>
      <c r="DB1263" s="485"/>
      <c r="DC1263" s="485"/>
      <c r="DD1263" s="465">
        <f>DD1183/DA1183-1</f>
        <v>0.11111111111111116</v>
      </c>
      <c r="DE1263" s="465">
        <f>DE1183/DD1183-1</f>
        <v>5.0000000000000044E-2</v>
      </c>
      <c r="DF1263" s="485"/>
      <c r="DG1263" s="485"/>
      <c r="DH1263" s="465">
        <f>DH1183/DE1183-1</f>
        <v>4.7619047619047672E-2</v>
      </c>
      <c r="DI1263" s="482">
        <v>0</v>
      </c>
      <c r="DJ1263" s="485"/>
      <c r="DK1263" s="485"/>
      <c r="DL1263" s="482">
        <v>0</v>
      </c>
      <c r="DM1263" s="482">
        <v>0</v>
      </c>
      <c r="DN1263" s="485"/>
      <c r="DO1263" s="485"/>
      <c r="DP1263" s="482">
        <v>0</v>
      </c>
      <c r="DQ1263" s="482">
        <v>0</v>
      </c>
      <c r="DR1263" s="485"/>
      <c r="DS1263" s="485"/>
      <c r="DT1263" s="1"/>
      <c r="DU1263" s="1"/>
      <c r="DV1263" s="1"/>
      <c r="DW1263" s="1"/>
      <c r="DX1263" s="1"/>
      <c r="DY1263" s="1"/>
      <c r="DZ1263" s="1"/>
      <c r="EA1263" s="1"/>
      <c r="EB1263" s="1"/>
      <c r="EC1263" s="1"/>
      <c r="ED1263" s="1"/>
      <c r="EE1263" s="1"/>
      <c r="EF1263" s="1"/>
      <c r="EG1263" s="1"/>
      <c r="EH1263" s="1"/>
      <c r="EI1263" s="1"/>
      <c r="EJ1263" s="1"/>
      <c r="EK1263" s="1"/>
      <c r="EL1263" s="1"/>
      <c r="EM1263" s="1"/>
      <c r="EN1263" s="1"/>
      <c r="EO1263" s="1"/>
      <c r="EP1263" s="1"/>
      <c r="EQ1263" s="1"/>
      <c r="ER1263" s="1"/>
      <c r="ES1263" s="1"/>
      <c r="ET1263" s="1"/>
      <c r="EU1263" s="1"/>
      <c r="EV1263" s="1"/>
      <c r="EW1263" s="1"/>
      <c r="EX1263" s="1"/>
      <c r="EY1263" s="1"/>
      <c r="EZ1263" s="1"/>
      <c r="FA1263" s="1"/>
      <c r="FB1263" s="1"/>
      <c r="FC1263" s="1"/>
      <c r="FD1263" s="1"/>
      <c r="FE1263" s="1"/>
      <c r="FF1263" s="1"/>
      <c r="FG1263" s="1"/>
      <c r="FH1263" s="1"/>
      <c r="FI1263" s="1"/>
      <c r="FJ1263" s="1"/>
      <c r="FK1263" s="1"/>
      <c r="FL1263" s="1"/>
      <c r="FM1263" s="1"/>
      <c r="FN1263" s="1"/>
      <c r="FO1263" s="1"/>
      <c r="FP1263" s="1"/>
      <c r="FQ1263" s="1"/>
      <c r="FR1263" s="1"/>
      <c r="FS1263" s="1"/>
      <c r="FT1263" s="1"/>
      <c r="FU1263" s="1"/>
      <c r="FV1263" s="1"/>
      <c r="FW1263" s="1"/>
      <c r="FX1263" s="1"/>
      <c r="FY1263" s="1"/>
      <c r="FZ1263" s="1"/>
      <c r="GA1263" s="1"/>
      <c r="GB1263" s="1"/>
      <c r="GC1263" s="1"/>
      <c r="GD1263" s="1"/>
      <c r="GE1263" s="1"/>
      <c r="GF1263" s="1"/>
      <c r="GG1263" s="1"/>
      <c r="GH1263" s="1"/>
      <c r="GI1263" s="1"/>
      <c r="GJ1263" s="1"/>
      <c r="GK1263" s="1"/>
      <c r="GL1263" s="1"/>
      <c r="GM1263" s="1"/>
      <c r="GN1263" s="1"/>
      <c r="GO1263" s="1"/>
      <c r="GP1263" s="1"/>
      <c r="GQ1263" s="1"/>
      <c r="GR1263" s="1"/>
      <c r="GS1263" s="1"/>
      <c r="GT1263" s="1"/>
      <c r="GU1263" s="1"/>
      <c r="GV1263" s="1"/>
      <c r="GW1263" s="1"/>
      <c r="GX1263" s="1"/>
      <c r="GY1263" s="1"/>
      <c r="GZ1263" s="1"/>
      <c r="HA1263" s="1"/>
      <c r="HB1263" s="1"/>
      <c r="HC1263" s="1"/>
      <c r="HD1263" s="1"/>
      <c r="HE1263" s="1"/>
      <c r="HF1263" s="1"/>
      <c r="HG1263" s="1"/>
      <c r="HH1263" s="1"/>
      <c r="HI1263" s="1"/>
      <c r="HJ1263" s="1"/>
      <c r="HK1263" s="1"/>
      <c r="HL1263" s="1"/>
      <c r="HM1263" s="1"/>
      <c r="HN1263" s="1"/>
      <c r="HO1263" s="1"/>
      <c r="HP1263" s="1"/>
      <c r="HQ1263" s="1"/>
      <c r="HR1263" s="1"/>
      <c r="HS1263" s="1"/>
      <c r="HT1263" s="1"/>
      <c r="HU1263" s="1"/>
      <c r="HV1263" s="1"/>
      <c r="HW1263" s="1"/>
      <c r="HX1263" s="1"/>
      <c r="HY1263" s="1"/>
      <c r="HZ1263" s="1"/>
      <c r="IA1263" s="1"/>
      <c r="IB1263" s="1"/>
      <c r="IC1263" s="1"/>
      <c r="ID1263" s="1"/>
      <c r="IE1263" s="1"/>
      <c r="IF1263" s="1"/>
      <c r="IG1263" s="1"/>
      <c r="IH1263" s="1"/>
      <c r="II1263" s="1"/>
      <c r="IJ1263" s="1"/>
      <c r="IK1263" s="1"/>
      <c r="IL1263" s="1"/>
      <c r="IM1263" s="1"/>
      <c r="IN1263" s="1"/>
      <c r="IO1263" s="1"/>
      <c r="IP1263" s="1"/>
      <c r="IQ1263" s="1"/>
      <c r="IR1263" s="1"/>
      <c r="IS1263" s="1"/>
      <c r="IT1263" s="1"/>
      <c r="IU1263" s="1"/>
      <c r="IV1263" s="1"/>
      <c r="IW1263" s="1"/>
      <c r="IX1263" s="1"/>
      <c r="IY1263" s="1"/>
      <c r="IZ1263" s="1"/>
      <c r="JA1263" s="1"/>
      <c r="JB1263" s="1"/>
      <c r="JC1263" s="1"/>
      <c r="JD1263" s="1"/>
    </row>
    <row r="1264" spans="1:264" s="347" customFormat="1" x14ac:dyDescent="0.2">
      <c r="A1264" s="436" t="str">
        <f>A1188</f>
        <v>Less: Capitalised Costs</v>
      </c>
      <c r="B1264" s="466"/>
      <c r="C1264" s="463"/>
      <c r="D1264" s="463"/>
      <c r="E1264" s="463"/>
      <c r="F1264" s="463"/>
      <c r="G1264" s="463"/>
      <c r="H1264" s="463"/>
      <c r="I1264" s="463"/>
      <c r="J1264" s="463"/>
      <c r="K1264" s="463"/>
      <c r="L1264" s="463"/>
      <c r="M1264" s="463"/>
      <c r="N1264" s="463"/>
      <c r="O1264" s="463"/>
      <c r="P1264" s="463"/>
      <c r="Q1264" s="463"/>
      <c r="R1264" s="463"/>
      <c r="S1264" s="463"/>
      <c r="T1264" s="463"/>
      <c r="U1264" s="463"/>
      <c r="V1264" s="463"/>
      <c r="W1264" s="463"/>
      <c r="X1264" s="463"/>
      <c r="Y1264" s="463"/>
      <c r="Z1264" s="463"/>
      <c r="AA1264" s="463"/>
      <c r="AB1264" s="463"/>
      <c r="AC1264" s="463"/>
      <c r="AD1264" s="463"/>
      <c r="AE1264" s="463"/>
      <c r="AF1264" s="463"/>
      <c r="AG1264" s="463"/>
      <c r="AH1264" s="463"/>
      <c r="AI1264" s="463"/>
      <c r="AJ1264" s="463"/>
      <c r="AK1264" s="463"/>
      <c r="AL1264" s="463"/>
      <c r="AM1264" s="463"/>
      <c r="AN1264" s="463"/>
      <c r="AO1264" s="463"/>
      <c r="AP1264" s="463"/>
      <c r="AQ1264" s="463"/>
      <c r="AR1264" s="463"/>
      <c r="AS1264" s="463"/>
      <c r="AT1264" s="463"/>
      <c r="AU1264" s="463"/>
      <c r="AV1264" s="463"/>
      <c r="AW1264" s="463"/>
      <c r="AX1264" s="463"/>
      <c r="AY1264" s="463"/>
      <c r="AZ1264" s="463"/>
      <c r="BA1264" s="463"/>
      <c r="BB1264" s="463"/>
      <c r="BC1264" s="463"/>
      <c r="BD1264" s="463"/>
      <c r="BE1264" s="463"/>
      <c r="BF1264" s="463"/>
      <c r="BG1264" s="463"/>
      <c r="BH1264" s="485"/>
      <c r="BI1264" s="485"/>
      <c r="BJ1264" s="485"/>
      <c r="BK1264" s="485"/>
      <c r="BL1264" s="465">
        <f>BL1188/BI1188-1</f>
        <v>1.1029411764705843E-2</v>
      </c>
      <c r="BM1264" s="465">
        <f>BM1188/BL1188-1</f>
        <v>3.6363636363636376E-2</v>
      </c>
      <c r="BN1264" s="485"/>
      <c r="BO1264" s="485"/>
      <c r="BP1264" s="465">
        <f>BP1188/BM1188-1</f>
        <v>0.19649122807017538</v>
      </c>
      <c r="BQ1264" s="465">
        <f>BQ1188/BP1188-1</f>
        <v>-1.1730205278592365E-2</v>
      </c>
      <c r="BR1264" s="485"/>
      <c r="BS1264" s="485"/>
      <c r="BT1264" s="465">
        <f>BT1188/BQ1188-1</f>
        <v>-1.7804154302670572E-2</v>
      </c>
      <c r="BU1264" s="465">
        <f>BU1188/BT1188-1</f>
        <v>0.61631419939577037</v>
      </c>
      <c r="BV1264" s="485"/>
      <c r="BW1264" s="485"/>
      <c r="BX1264" s="465">
        <f>BX1188/BU1188-1</f>
        <v>0.30093457943925239</v>
      </c>
      <c r="BY1264" s="465">
        <f>BY1188/BX1188-1</f>
        <v>1.5804597701149392E-2</v>
      </c>
      <c r="BZ1264" s="485"/>
      <c r="CA1264" s="485"/>
      <c r="CB1264" s="465">
        <f>CB1188/BY1188-1</f>
        <v>-7.7793493635077815E-2</v>
      </c>
      <c r="CC1264" s="465">
        <f>CC1188/CB1188-1</f>
        <v>9.5092024539877196E-2</v>
      </c>
      <c r="CD1264" s="485"/>
      <c r="CE1264" s="485"/>
      <c r="CF1264" s="465">
        <f>CF1188/CC1188-1</f>
        <v>3.7815126050420256E-2</v>
      </c>
      <c r="CG1264" s="465">
        <f>CG1188/CF1188-1</f>
        <v>-2.8340080971659964E-2</v>
      </c>
      <c r="CH1264" s="485"/>
      <c r="CI1264" s="485"/>
      <c r="CJ1264" s="465">
        <f>CJ1188/CG1188-1</f>
        <v>6.6666666666666652E-2</v>
      </c>
      <c r="CK1264" s="465">
        <f>CK1188/CJ1188-1</f>
        <v>-3.90625E-3</v>
      </c>
      <c r="CL1264" s="485"/>
      <c r="CM1264" s="485"/>
      <c r="CN1264" s="465">
        <f>CN1188/CK1188-1</f>
        <v>8.8888888888888795E-2</v>
      </c>
      <c r="CO1264" s="465">
        <f>CO1188/CN1188-1</f>
        <v>0.12605042016806722</v>
      </c>
      <c r="CP1264" s="485"/>
      <c r="CQ1264" s="485"/>
      <c r="CR1264" s="465">
        <f>CR1188/CO1188-1</f>
        <v>4.9040511727078906E-2</v>
      </c>
      <c r="CS1264" s="465">
        <f>CS1188/CR1188-1</f>
        <v>7.3170731707317138E-2</v>
      </c>
      <c r="CT1264" s="485"/>
      <c r="CU1264" s="485"/>
      <c r="CV1264" s="465">
        <f>CV1188/CS1188-1</f>
        <v>9.375E-2</v>
      </c>
      <c r="CW1264" s="465">
        <f>CW1188/CV1188-1</f>
        <v>6.4935064935064846E-2</v>
      </c>
      <c r="CX1264" s="485"/>
      <c r="CY1264" s="485"/>
      <c r="CZ1264" s="465">
        <f>CZ1188/CW1188-1</f>
        <v>7.3170731707317138E-3</v>
      </c>
      <c r="DA1264" s="465">
        <f>DA1188/CZ1188-1</f>
        <v>-6.4568200161420064E-3</v>
      </c>
      <c r="DB1264" s="485"/>
      <c r="DC1264" s="485"/>
      <c r="DD1264" s="465">
        <f>DD1188/DA1188-1</f>
        <v>1.5434606011372809E-2</v>
      </c>
      <c r="DE1264" s="465">
        <f>DE1188/DD1188-1</f>
        <v>5.3600000000000092E-2</v>
      </c>
      <c r="DF1264" s="485"/>
      <c r="DG1264" s="485"/>
      <c r="DH1264" s="465">
        <f>DH1188/DE1188-1</f>
        <v>4.8595292331055528E-2</v>
      </c>
      <c r="DI1264" s="482">
        <v>0.01</v>
      </c>
      <c r="DJ1264" s="485"/>
      <c r="DK1264" s="485"/>
      <c r="DL1264" s="482">
        <v>0.01</v>
      </c>
      <c r="DM1264" s="482">
        <v>0.01</v>
      </c>
      <c r="DN1264" s="485"/>
      <c r="DO1264" s="485"/>
      <c r="DP1264" s="482">
        <v>0.01</v>
      </c>
      <c r="DQ1264" s="482">
        <v>0.01</v>
      </c>
      <c r="DR1264" s="485"/>
      <c r="DS1264" s="485"/>
      <c r="DT1264" s="1"/>
      <c r="DU1264" s="1"/>
      <c r="DV1264" s="1"/>
      <c r="DW1264" s="1"/>
      <c r="DX1264" s="1"/>
      <c r="DY1264" s="1"/>
      <c r="DZ1264" s="1"/>
      <c r="EA1264" s="1"/>
      <c r="EB1264" s="1"/>
      <c r="EC1264" s="1"/>
      <c r="ED1264" s="1"/>
      <c r="EE1264" s="1"/>
      <c r="EF1264" s="1"/>
      <c r="EG1264" s="1"/>
      <c r="EH1264" s="1"/>
      <c r="EI1264" s="1"/>
      <c r="EJ1264" s="1"/>
      <c r="EK1264" s="1"/>
      <c r="EL1264" s="1"/>
      <c r="EM1264" s="1"/>
      <c r="EN1264" s="1"/>
      <c r="EO1264" s="1"/>
      <c r="EP1264" s="1"/>
      <c r="EQ1264" s="1"/>
      <c r="ER1264" s="1"/>
      <c r="ES1264" s="1"/>
      <c r="ET1264" s="1"/>
      <c r="EU1264" s="1"/>
      <c r="EV1264" s="1"/>
      <c r="EW1264" s="1"/>
      <c r="EX1264" s="1"/>
      <c r="EY1264" s="1"/>
      <c r="EZ1264" s="1"/>
      <c r="FA1264" s="1"/>
      <c r="FB1264" s="1"/>
      <c r="FC1264" s="1"/>
      <c r="FD1264" s="1"/>
      <c r="FE1264" s="1"/>
      <c r="FF1264" s="1"/>
      <c r="FG1264" s="1"/>
      <c r="FH1264" s="1"/>
      <c r="FI1264" s="1"/>
      <c r="FJ1264" s="1"/>
      <c r="FK1264" s="1"/>
      <c r="FL1264" s="1"/>
      <c r="FM1264" s="1"/>
      <c r="FN1264" s="1"/>
      <c r="FO1264" s="1"/>
      <c r="FP1264" s="1"/>
      <c r="FQ1264" s="1"/>
      <c r="FR1264" s="1"/>
      <c r="FS1264" s="1"/>
      <c r="FT1264" s="1"/>
      <c r="FU1264" s="1"/>
      <c r="FV1264" s="1"/>
      <c r="FW1264" s="1"/>
      <c r="FX1264" s="1"/>
      <c r="FY1264" s="1"/>
      <c r="FZ1264" s="1"/>
      <c r="GA1264" s="1"/>
      <c r="GB1264" s="1"/>
      <c r="GC1264" s="1"/>
      <c r="GD1264" s="1"/>
      <c r="GE1264" s="1"/>
      <c r="GF1264" s="1"/>
      <c r="GG1264" s="1"/>
      <c r="GH1264" s="1"/>
      <c r="GI1264" s="1"/>
      <c r="GJ1264" s="1"/>
      <c r="GK1264" s="1"/>
      <c r="GL1264" s="1"/>
      <c r="GM1264" s="1"/>
      <c r="GN1264" s="1"/>
      <c r="GO1264" s="1"/>
      <c r="GP1264" s="1"/>
      <c r="GQ1264" s="1"/>
      <c r="GR1264" s="1"/>
      <c r="GS1264" s="1"/>
      <c r="GT1264" s="1"/>
      <c r="GU1264" s="1"/>
      <c r="GV1264" s="1"/>
      <c r="GW1264" s="1"/>
      <c r="GX1264" s="1"/>
      <c r="GY1264" s="1"/>
      <c r="GZ1264" s="1"/>
      <c r="HA1264" s="1"/>
      <c r="HB1264" s="1"/>
      <c r="HC1264" s="1"/>
      <c r="HD1264" s="1"/>
      <c r="HE1264" s="1"/>
      <c r="HF1264" s="1"/>
      <c r="HG1264" s="1"/>
      <c r="HH1264" s="1"/>
      <c r="HI1264" s="1"/>
      <c r="HJ1264" s="1"/>
      <c r="HK1264" s="1"/>
      <c r="HL1264" s="1"/>
      <c r="HM1264" s="1"/>
      <c r="HN1264" s="1"/>
      <c r="HO1264" s="1"/>
      <c r="HP1264" s="1"/>
      <c r="HQ1264" s="1"/>
      <c r="HR1264" s="1"/>
      <c r="HS1264" s="1"/>
      <c r="HT1264" s="1"/>
      <c r="HU1264" s="1"/>
      <c r="HV1264" s="1"/>
      <c r="HW1264" s="1"/>
      <c r="HX1264" s="1"/>
      <c r="HY1264" s="1"/>
      <c r="HZ1264" s="1"/>
      <c r="IA1264" s="1"/>
      <c r="IB1264" s="1"/>
      <c r="IC1264" s="1"/>
      <c r="ID1264" s="1"/>
      <c r="IE1264" s="1"/>
      <c r="IF1264" s="1"/>
      <c r="IG1264" s="1"/>
      <c r="IH1264" s="1"/>
      <c r="II1264" s="1"/>
      <c r="IJ1264" s="1"/>
      <c r="IK1264" s="1"/>
      <c r="IL1264" s="1"/>
      <c r="IM1264" s="1"/>
      <c r="IN1264" s="1"/>
      <c r="IO1264" s="1"/>
      <c r="IP1264" s="1"/>
      <c r="IQ1264" s="1"/>
      <c r="IR1264" s="1"/>
      <c r="IS1264" s="1"/>
      <c r="IT1264" s="1"/>
      <c r="IU1264" s="1"/>
      <c r="IV1264" s="1"/>
      <c r="IW1264" s="1"/>
      <c r="IX1264" s="1"/>
      <c r="IY1264" s="1"/>
      <c r="IZ1264" s="1"/>
      <c r="JA1264" s="1"/>
      <c r="JB1264" s="1"/>
      <c r="JC1264" s="1"/>
      <c r="JD1264" s="1"/>
    </row>
    <row r="1265" spans="1:264" s="347" customFormat="1" x14ac:dyDescent="0.2">
      <c r="A1265" s="436" t="str">
        <f>A1190</f>
        <v>Less: Equity Investments</v>
      </c>
      <c r="B1265" s="466"/>
      <c r="C1265" s="463"/>
      <c r="D1265" s="463"/>
      <c r="E1265" s="463"/>
      <c r="F1265" s="463"/>
      <c r="G1265" s="463"/>
      <c r="H1265" s="463"/>
      <c r="I1265" s="463"/>
      <c r="J1265" s="463"/>
      <c r="K1265" s="463"/>
      <c r="L1265" s="463"/>
      <c r="M1265" s="463"/>
      <c r="N1265" s="463"/>
      <c r="O1265" s="463"/>
      <c r="P1265" s="463"/>
      <c r="Q1265" s="463"/>
      <c r="R1265" s="463"/>
      <c r="S1265" s="463"/>
      <c r="T1265" s="463"/>
      <c r="U1265" s="463"/>
      <c r="V1265" s="463"/>
      <c r="W1265" s="463"/>
      <c r="X1265" s="463"/>
      <c r="Y1265" s="463"/>
      <c r="Z1265" s="463"/>
      <c r="AA1265" s="463"/>
      <c r="AB1265" s="463"/>
      <c r="AC1265" s="463"/>
      <c r="AD1265" s="463"/>
      <c r="AE1265" s="463"/>
      <c r="AF1265" s="463"/>
      <c r="AG1265" s="463"/>
      <c r="AH1265" s="463"/>
      <c r="AI1265" s="463"/>
      <c r="AJ1265" s="463"/>
      <c r="AK1265" s="463"/>
      <c r="AL1265" s="463"/>
      <c r="AM1265" s="463"/>
      <c r="AN1265" s="463"/>
      <c r="AO1265" s="463"/>
      <c r="AP1265" s="463"/>
      <c r="AQ1265" s="463"/>
      <c r="AR1265" s="463"/>
      <c r="AS1265" s="463"/>
      <c r="AT1265" s="463"/>
      <c r="AU1265" s="463"/>
      <c r="AV1265" s="463"/>
      <c r="AW1265" s="463"/>
      <c r="AX1265" s="463"/>
      <c r="AY1265" s="463"/>
      <c r="AZ1265" s="463"/>
      <c r="BA1265" s="463"/>
      <c r="BB1265" s="463"/>
      <c r="BC1265" s="463"/>
      <c r="BD1265" s="463"/>
      <c r="BE1265" s="463"/>
      <c r="BF1265" s="463"/>
      <c r="BG1265" s="463"/>
      <c r="BH1265" s="485"/>
      <c r="BI1265" s="485"/>
      <c r="BJ1265" s="485"/>
      <c r="BK1265" s="485"/>
      <c r="BL1265" s="465">
        <f>BL1190/BI1190-1</f>
        <v>6.7932797662527467E-2</v>
      </c>
      <c r="BM1265" s="465">
        <f>BM1190/BL1190-1</f>
        <v>-0.11456908344733241</v>
      </c>
      <c r="BN1265" s="485"/>
      <c r="BO1265" s="485"/>
      <c r="BP1265" s="465">
        <f>BP1190/BM1190-1</f>
        <v>0.15488605639242947</v>
      </c>
      <c r="BQ1265" s="465">
        <f>BQ1190/BP1190-1</f>
        <v>6.3210702341137015E-2</v>
      </c>
      <c r="BR1265" s="485"/>
      <c r="BS1265" s="485"/>
      <c r="BT1265" s="465">
        <f>BT1190/BQ1190-1</f>
        <v>2.6423403586033345E-2</v>
      </c>
      <c r="BU1265" s="465">
        <f>BU1190/BT1190-1</f>
        <v>-4.3824701195219085E-2</v>
      </c>
      <c r="BV1265" s="485"/>
      <c r="BW1265" s="485"/>
      <c r="BX1265" s="465">
        <f>BX1190/BU1190-1</f>
        <v>-0.12147435897435899</v>
      </c>
      <c r="BY1265" s="465">
        <f>BY1190/BX1190-1</f>
        <v>-4.1955490696826025E-2</v>
      </c>
      <c r="BZ1265" s="485"/>
      <c r="CA1265" s="485"/>
      <c r="CB1265" s="465">
        <f>CB1190/BY1190-1</f>
        <v>2.170601675552164E-2</v>
      </c>
      <c r="CC1265" s="465">
        <f>CC1190/CB1190-1</f>
        <v>0.10585165859112933</v>
      </c>
      <c r="CD1265" s="485"/>
      <c r="CE1265" s="485"/>
      <c r="CF1265" s="465">
        <f>CF1190/CC1190-1</f>
        <v>4.9207954162453715E-2</v>
      </c>
      <c r="CG1265" s="465">
        <f>CG1190/CF1190-1</f>
        <v>-8.0308384195310056E-3</v>
      </c>
      <c r="CH1265" s="485"/>
      <c r="CI1265" s="485"/>
      <c r="CJ1265" s="465">
        <f>CJ1190/CG1190-1</f>
        <v>0.15900259067357503</v>
      </c>
      <c r="CK1265" s="465">
        <f>CK1190/CJ1190-1</f>
        <v>1.9279128248113953E-2</v>
      </c>
      <c r="CL1265" s="485"/>
      <c r="CM1265" s="485"/>
      <c r="CN1265" s="465">
        <f>CN1190/CK1190-1</f>
        <v>7.5657894736842035E-2</v>
      </c>
      <c r="CO1265" s="465">
        <f>CO1190/CN1190-1</f>
        <v>0.72833843017329247</v>
      </c>
      <c r="CP1265" s="485"/>
      <c r="CQ1265" s="485"/>
      <c r="CR1265" s="465">
        <f>CR1190/CO1190-1</f>
        <v>0.18209967561191398</v>
      </c>
      <c r="CS1265" s="465">
        <f>CS1190/CR1190-1</f>
        <v>-0.41985780217038793</v>
      </c>
      <c r="CT1265" s="485"/>
      <c r="CU1265" s="485"/>
      <c r="CV1265" s="465">
        <f>CV1190/CS1190-1</f>
        <v>-0.11266394323801332</v>
      </c>
      <c r="CW1265" s="465">
        <f>CW1190/CV1190-1</f>
        <v>-4.3615216864550499E-2</v>
      </c>
      <c r="CX1265" s="485"/>
      <c r="CY1265" s="485"/>
      <c r="CZ1265" s="465">
        <f>CZ1190/CW1190-1</f>
        <v>2.5082341018495047E-2</v>
      </c>
      <c r="DA1265" s="465">
        <f>DA1190/CZ1190-1</f>
        <v>4.1522491349480939E-2</v>
      </c>
      <c r="DB1265" s="485"/>
      <c r="DC1265" s="485"/>
      <c r="DD1265" s="465">
        <f>DD1190/DA1190-1</f>
        <v>2.6103464641671348E-3</v>
      </c>
      <c r="DE1265" s="465">
        <f>DE1190/DD1190-1</f>
        <v>-0.22840236686390536</v>
      </c>
      <c r="DF1265" s="485"/>
      <c r="DG1265" s="485"/>
      <c r="DH1265" s="465">
        <f>DH1190/DE1190-1</f>
        <v>8.8957055214724523E-3</v>
      </c>
      <c r="DI1265" s="465">
        <f>DI1190/DH1190-1</f>
        <v>3.0252356339313113E-3</v>
      </c>
      <c r="DJ1265" s="485"/>
      <c r="DK1265" s="485"/>
      <c r="DL1265" s="465">
        <f>DL1190/DI1190-1</f>
        <v>3.245669076524349E-3</v>
      </c>
      <c r="DM1265" s="465">
        <f>DM1190/DL1190-1</f>
        <v>3.4668734433622728E-3</v>
      </c>
      <c r="DN1265" s="485"/>
      <c r="DO1265" s="485"/>
      <c r="DP1265" s="465">
        <f>DP1190/DM1190-1</f>
        <v>3.6887537354315381E-3</v>
      </c>
      <c r="DQ1265" s="465">
        <f>DQ1190/DP1190-1</f>
        <v>3.9112137683874337E-3</v>
      </c>
      <c r="DR1265" s="485"/>
      <c r="DS1265" s="485"/>
      <c r="DT1265" s="1"/>
      <c r="DU1265" s="1"/>
      <c r="DV1265" s="1"/>
      <c r="DW1265" s="1"/>
      <c r="DX1265" s="1"/>
      <c r="DY1265" s="1"/>
      <c r="DZ1265" s="1"/>
      <c r="EA1265" s="1"/>
      <c r="EB1265" s="1"/>
      <c r="EC1265" s="1"/>
      <c r="ED1265" s="1"/>
      <c r="EE1265" s="1"/>
      <c r="EF1265" s="1"/>
      <c r="EG1265" s="1"/>
      <c r="EH1265" s="1"/>
      <c r="EI1265" s="1"/>
      <c r="EJ1265" s="1"/>
      <c r="EK1265" s="1"/>
      <c r="EL1265" s="1"/>
      <c r="EM1265" s="1"/>
      <c r="EN1265" s="1"/>
      <c r="EO1265" s="1"/>
      <c r="EP1265" s="1"/>
      <c r="EQ1265" s="1"/>
      <c r="ER1265" s="1"/>
      <c r="ES1265" s="1"/>
      <c r="ET1265" s="1"/>
      <c r="EU1265" s="1"/>
      <c r="EV1265" s="1"/>
      <c r="EW1265" s="1"/>
      <c r="EX1265" s="1"/>
      <c r="EY1265" s="1"/>
      <c r="EZ1265" s="1"/>
      <c r="FA1265" s="1"/>
      <c r="FB1265" s="1"/>
      <c r="FC1265" s="1"/>
      <c r="FD1265" s="1"/>
      <c r="FE1265" s="1"/>
      <c r="FF1265" s="1"/>
      <c r="FG1265" s="1"/>
      <c r="FH1265" s="1"/>
      <c r="FI1265" s="1"/>
      <c r="FJ1265" s="1"/>
      <c r="FK1265" s="1"/>
      <c r="FL1265" s="1"/>
      <c r="FM1265" s="1"/>
      <c r="FN1265" s="1"/>
      <c r="FO1265" s="1"/>
      <c r="FP1265" s="1"/>
      <c r="FQ1265" s="1"/>
      <c r="FR1265" s="1"/>
      <c r="FS1265" s="1"/>
      <c r="FT1265" s="1"/>
      <c r="FU1265" s="1"/>
      <c r="FV1265" s="1"/>
      <c r="FW1265" s="1"/>
      <c r="FX1265" s="1"/>
      <c r="FY1265" s="1"/>
      <c r="FZ1265" s="1"/>
      <c r="GA1265" s="1"/>
      <c r="GB1265" s="1"/>
      <c r="GC1265" s="1"/>
      <c r="GD1265" s="1"/>
      <c r="GE1265" s="1"/>
      <c r="GF1265" s="1"/>
      <c r="GG1265" s="1"/>
      <c r="GH1265" s="1"/>
      <c r="GI1265" s="1"/>
      <c r="GJ1265" s="1"/>
      <c r="GK1265" s="1"/>
      <c r="GL1265" s="1"/>
      <c r="GM1265" s="1"/>
      <c r="GN1265" s="1"/>
      <c r="GO1265" s="1"/>
      <c r="GP1265" s="1"/>
      <c r="GQ1265" s="1"/>
      <c r="GR1265" s="1"/>
      <c r="GS1265" s="1"/>
      <c r="GT1265" s="1"/>
      <c r="GU1265" s="1"/>
      <c r="GV1265" s="1"/>
      <c r="GW1265" s="1"/>
      <c r="GX1265" s="1"/>
      <c r="GY1265" s="1"/>
      <c r="GZ1265" s="1"/>
      <c r="HA1265" s="1"/>
      <c r="HB1265" s="1"/>
      <c r="HC1265" s="1"/>
      <c r="HD1265" s="1"/>
      <c r="HE1265" s="1"/>
      <c r="HF1265" s="1"/>
      <c r="HG1265" s="1"/>
      <c r="HH1265" s="1"/>
      <c r="HI1265" s="1"/>
      <c r="HJ1265" s="1"/>
      <c r="HK1265" s="1"/>
      <c r="HL1265" s="1"/>
      <c r="HM1265" s="1"/>
      <c r="HN1265" s="1"/>
      <c r="HO1265" s="1"/>
      <c r="HP1265" s="1"/>
      <c r="HQ1265" s="1"/>
      <c r="HR1265" s="1"/>
      <c r="HS1265" s="1"/>
      <c r="HT1265" s="1"/>
      <c r="HU1265" s="1"/>
      <c r="HV1265" s="1"/>
      <c r="HW1265" s="1"/>
      <c r="HX1265" s="1"/>
      <c r="HY1265" s="1"/>
      <c r="HZ1265" s="1"/>
      <c r="IA1265" s="1"/>
      <c r="IB1265" s="1"/>
      <c r="IC1265" s="1"/>
      <c r="ID1265" s="1"/>
      <c r="IE1265" s="1"/>
      <c r="IF1265" s="1"/>
      <c r="IG1265" s="1"/>
      <c r="IH1265" s="1"/>
      <c r="II1265" s="1"/>
      <c r="IJ1265" s="1"/>
      <c r="IK1265" s="1"/>
      <c r="IL1265" s="1"/>
      <c r="IM1265" s="1"/>
      <c r="IN1265" s="1"/>
      <c r="IO1265" s="1"/>
      <c r="IP1265" s="1"/>
      <c r="IQ1265" s="1"/>
      <c r="IR1265" s="1"/>
      <c r="IS1265" s="1"/>
      <c r="IT1265" s="1"/>
      <c r="IU1265" s="1"/>
      <c r="IV1265" s="1"/>
      <c r="IW1265" s="1"/>
      <c r="IX1265" s="1"/>
      <c r="IY1265" s="1"/>
      <c r="IZ1265" s="1"/>
      <c r="JA1265" s="1"/>
      <c r="JB1265" s="1"/>
      <c r="JC1265" s="1"/>
      <c r="JD1265" s="1"/>
    </row>
    <row r="1266" spans="1:264" s="347" customFormat="1" x14ac:dyDescent="0.2">
      <c r="A1266" s="429" t="str">
        <f>A1191</f>
        <v>Less: Investments in Non Consol Subs</v>
      </c>
      <c r="B1266" s="348"/>
      <c r="BH1266" s="351"/>
      <c r="BI1266" s="351"/>
      <c r="BJ1266" s="351"/>
      <c r="BK1266" s="351"/>
      <c r="BL1266" s="394">
        <f>BL1191/BI1191-1</f>
        <v>1.8394648829431537E-2</v>
      </c>
      <c r="BM1266" s="394">
        <f>BM1191/BL1191-1</f>
        <v>8.2101806239731623E-4</v>
      </c>
      <c r="BN1266" s="351"/>
      <c r="BO1266" s="351"/>
      <c r="BP1266" s="394">
        <f>BP1191/BM1191-1</f>
        <v>7.2190319934372527E-2</v>
      </c>
      <c r="BQ1266" s="394">
        <f>BQ1191/BP1191-1</f>
        <v>0.30451415455241015</v>
      </c>
      <c r="BR1266" s="351"/>
      <c r="BS1266" s="351"/>
      <c r="BT1266" s="394">
        <f>BT1191/BQ1191-1</f>
        <v>-9.9706744868035546E-3</v>
      </c>
      <c r="BU1266" s="394">
        <f>BU1191/BT1191-1</f>
        <v>-0.13625592417061616</v>
      </c>
      <c r="BV1266" s="351"/>
      <c r="BW1266" s="351"/>
      <c r="BX1266" s="394">
        <f>BX1191/BU1191-1</f>
        <v>0.11934156378600824</v>
      </c>
      <c r="BY1266" s="394">
        <f>BY1191/BX1191-1</f>
        <v>0.63786764705882359</v>
      </c>
      <c r="BZ1266" s="351"/>
      <c r="CA1266" s="351"/>
      <c r="CB1266" s="394">
        <f>CB1191/BY1191-1</f>
        <v>0.12196034418256652</v>
      </c>
      <c r="CC1266" s="394">
        <f>CC1191/CB1191-1</f>
        <v>0.15838612870956981</v>
      </c>
      <c r="CD1266" s="351"/>
      <c r="CE1266" s="351"/>
      <c r="CF1266" s="394">
        <f>CF1191/CC1191-1</f>
        <v>-0.16896948762233732</v>
      </c>
      <c r="CG1266" s="394">
        <f>CG1191/CF1191-1</f>
        <v>6.5812261863527066E-3</v>
      </c>
      <c r="CH1266" s="351"/>
      <c r="CI1266" s="351"/>
      <c r="CJ1266" s="394">
        <f>CJ1191/CG1191-1</f>
        <v>-7.6049552649690266E-2</v>
      </c>
      <c r="CK1266" s="394">
        <f>CK1191/CJ1191-1</f>
        <v>-0.46778398510242081</v>
      </c>
      <c r="CL1266" s="351"/>
      <c r="CM1266" s="351"/>
      <c r="CN1266" s="394">
        <f>CN1191/CK1191-1</f>
        <v>-0.53114065780265918</v>
      </c>
      <c r="CO1266" s="394">
        <f>CO1191/CN1191-1</f>
        <v>-0.18656716417910446</v>
      </c>
      <c r="CP1266" s="351"/>
      <c r="CQ1266" s="351"/>
      <c r="CR1266" s="394">
        <f>CR1191/CO1191-1</f>
        <v>-0.60183486238532113</v>
      </c>
      <c r="CS1266" s="394">
        <f>CS1191/CR1191-1</f>
        <v>0.11520737327188946</v>
      </c>
      <c r="CT1266" s="351"/>
      <c r="CU1266" s="351"/>
      <c r="CV1266" s="394">
        <f>CV1191/CS1191-1</f>
        <v>-0.63223140495867769</v>
      </c>
      <c r="CW1266" s="394">
        <f>CW1191/CV1191-1</f>
        <v>0</v>
      </c>
      <c r="CX1266" s="351"/>
      <c r="CY1266" s="351"/>
      <c r="CZ1266" s="394">
        <f>CZ1191/CW1191-1</f>
        <v>0</v>
      </c>
      <c r="DA1266" s="394">
        <f>DA1191/CZ1191-1</f>
        <v>0</v>
      </c>
      <c r="DB1266" s="351"/>
      <c r="DC1266" s="351"/>
      <c r="DD1266" s="394">
        <f>DD1191/DA1191-1</f>
        <v>0</v>
      </c>
      <c r="DE1266" s="394">
        <f>DE1191/DD1191-1</f>
        <v>0</v>
      </c>
      <c r="DF1266" s="351"/>
      <c r="DG1266" s="351"/>
      <c r="DH1266" s="394">
        <f>DH1191/DE1191-1</f>
        <v>0</v>
      </c>
      <c r="DI1266" s="394">
        <f>DI1191/DH1191-1</f>
        <v>1.7356164383561801E-2</v>
      </c>
      <c r="DJ1266" s="351"/>
      <c r="DK1266" s="351"/>
      <c r="DL1266" s="394">
        <f>DL1191/DI1191-1</f>
        <v>1.7643835616438341E-2</v>
      </c>
      <c r="DM1266" s="394">
        <f>DM1191/DL1191-1</f>
        <v>1.7356164383561579E-2</v>
      </c>
      <c r="DN1266" s="351"/>
      <c r="DO1266" s="351"/>
      <c r="DP1266" s="394">
        <f>DP1191/DM1191-1</f>
        <v>1.759562841530049E-2</v>
      </c>
      <c r="DQ1266" s="394">
        <f>DQ1191/DP1191-1</f>
        <v>1.740437158469943E-2</v>
      </c>
      <c r="DR1266" s="351"/>
      <c r="DS1266" s="351"/>
      <c r="DT1266" s="1"/>
      <c r="DU1266" s="1"/>
      <c r="DV1266" s="1"/>
      <c r="DW1266" s="1"/>
      <c r="DX1266" s="1"/>
      <c r="DY1266" s="1"/>
      <c r="DZ1266" s="1"/>
      <c r="EA1266" s="1"/>
      <c r="EB1266" s="1"/>
      <c r="EC1266" s="1"/>
      <c r="ED1266" s="1"/>
      <c r="EE1266" s="1"/>
      <c r="EF1266" s="1"/>
      <c r="EG1266" s="1"/>
      <c r="EH1266" s="1"/>
      <c r="EI1266" s="1"/>
      <c r="EJ1266" s="1"/>
      <c r="EK1266" s="1"/>
      <c r="EL1266" s="1"/>
      <c r="EM1266" s="1"/>
      <c r="EN1266" s="1"/>
      <c r="EO1266" s="1"/>
      <c r="EP1266" s="1"/>
      <c r="EQ1266" s="1"/>
      <c r="ER1266" s="1"/>
      <c r="ES1266" s="1"/>
      <c r="ET1266" s="1"/>
      <c r="EU1266" s="1"/>
      <c r="EV1266" s="1"/>
      <c r="EW1266" s="1"/>
      <c r="EX1266" s="1"/>
      <c r="EY1266" s="1"/>
      <c r="EZ1266" s="1"/>
      <c r="FA1266" s="1"/>
      <c r="FB1266" s="1"/>
      <c r="FC1266" s="1"/>
      <c r="FD1266" s="1"/>
      <c r="FE1266" s="1"/>
      <c r="FF1266" s="1"/>
      <c r="FG1266" s="1"/>
      <c r="FH1266" s="1"/>
      <c r="FI1266" s="1"/>
      <c r="FJ1266" s="1"/>
      <c r="FK1266" s="1"/>
      <c r="FL1266" s="1"/>
      <c r="FM1266" s="1"/>
      <c r="FN1266" s="1"/>
      <c r="FO1266" s="1"/>
      <c r="FP1266" s="1"/>
      <c r="FQ1266" s="1"/>
      <c r="FR1266" s="1"/>
      <c r="FS1266" s="1"/>
      <c r="FT1266" s="1"/>
      <c r="FU1266" s="1"/>
      <c r="FV1266" s="1"/>
      <c r="FW1266" s="1"/>
      <c r="FX1266" s="1"/>
      <c r="FY1266" s="1"/>
      <c r="FZ1266" s="1"/>
      <c r="GA1266" s="1"/>
      <c r="GB1266" s="1"/>
      <c r="GC1266" s="1"/>
      <c r="GD1266" s="1"/>
      <c r="GE1266" s="1"/>
      <c r="GF1266" s="1"/>
      <c r="GG1266" s="1"/>
      <c r="GH1266" s="1"/>
      <c r="GI1266" s="1"/>
      <c r="GJ1266" s="1"/>
      <c r="GK1266" s="1"/>
      <c r="GL1266" s="1"/>
      <c r="GM1266" s="1"/>
      <c r="GN1266" s="1"/>
      <c r="GO1266" s="1"/>
      <c r="GP1266" s="1"/>
      <c r="GQ1266" s="1"/>
      <c r="GR1266" s="1"/>
      <c r="GS1266" s="1"/>
      <c r="GT1266" s="1"/>
      <c r="GU1266" s="1"/>
      <c r="GV1266" s="1"/>
      <c r="GW1266" s="1"/>
      <c r="GX1266" s="1"/>
      <c r="GY1266" s="1"/>
      <c r="GZ1266" s="1"/>
      <c r="HA1266" s="1"/>
      <c r="HB1266" s="1"/>
      <c r="HC1266" s="1"/>
      <c r="HD1266" s="1"/>
      <c r="HE1266" s="1"/>
      <c r="HF1266" s="1"/>
      <c r="HG1266" s="1"/>
      <c r="HH1266" s="1"/>
      <c r="HI1266" s="1"/>
      <c r="HJ1266" s="1"/>
      <c r="HK1266" s="1"/>
      <c r="HL1266" s="1"/>
      <c r="HM1266" s="1"/>
      <c r="HN1266" s="1"/>
      <c r="HO1266" s="1"/>
      <c r="HP1266" s="1"/>
      <c r="HQ1266" s="1"/>
      <c r="HR1266" s="1"/>
      <c r="HS1266" s="1"/>
      <c r="HT1266" s="1"/>
      <c r="HU1266" s="1"/>
      <c r="HV1266" s="1"/>
      <c r="HW1266" s="1"/>
      <c r="HX1266" s="1"/>
      <c r="HY1266" s="1"/>
      <c r="HZ1266" s="1"/>
      <c r="IA1266" s="1"/>
      <c r="IB1266" s="1"/>
      <c r="IC1266" s="1"/>
      <c r="ID1266" s="1"/>
      <c r="IE1266" s="1"/>
      <c r="IF1266" s="1"/>
      <c r="IG1266" s="1"/>
      <c r="IH1266" s="1"/>
      <c r="II1266" s="1"/>
      <c r="IJ1266" s="1"/>
      <c r="IK1266" s="1"/>
      <c r="IL1266" s="1"/>
      <c r="IM1266" s="1"/>
      <c r="IN1266" s="1"/>
      <c r="IO1266" s="1"/>
      <c r="IP1266" s="1"/>
      <c r="IQ1266" s="1"/>
      <c r="IR1266" s="1"/>
      <c r="IS1266" s="1"/>
      <c r="IT1266" s="1"/>
      <c r="IU1266" s="1"/>
      <c r="IV1266" s="1"/>
      <c r="IW1266" s="1"/>
      <c r="IX1266" s="1"/>
      <c r="IY1266" s="1"/>
      <c r="IZ1266" s="1"/>
      <c r="JA1266" s="1"/>
      <c r="JB1266" s="1"/>
      <c r="JC1266" s="1"/>
      <c r="JD1266" s="1"/>
    </row>
    <row r="1267" spans="1:264" s="347" customFormat="1" x14ac:dyDescent="0.2">
      <c r="A1267" s="477" t="str">
        <f>A1194</f>
        <v>Less: Other Deductions</v>
      </c>
      <c r="B1267" s="446"/>
      <c r="C1267" s="447"/>
      <c r="D1267" s="447"/>
      <c r="E1267" s="447"/>
      <c r="F1267" s="447"/>
      <c r="G1267" s="447"/>
      <c r="H1267" s="447"/>
      <c r="I1267" s="447"/>
      <c r="J1267" s="447"/>
      <c r="K1267" s="447"/>
      <c r="L1267" s="447"/>
      <c r="M1267" s="447"/>
      <c r="N1267" s="447"/>
      <c r="O1267" s="447"/>
      <c r="P1267" s="447"/>
      <c r="Q1267" s="447"/>
      <c r="R1267" s="447"/>
      <c r="S1267" s="447"/>
      <c r="T1267" s="447"/>
      <c r="U1267" s="447"/>
      <c r="V1267" s="447"/>
      <c r="W1267" s="447"/>
      <c r="X1267" s="447"/>
      <c r="Y1267" s="447"/>
      <c r="Z1267" s="447"/>
      <c r="AA1267" s="447"/>
      <c r="AB1267" s="447"/>
      <c r="AC1267" s="447"/>
      <c r="AD1267" s="447"/>
      <c r="AE1267" s="447"/>
      <c r="AF1267" s="447"/>
      <c r="AG1267" s="447"/>
      <c r="AH1267" s="447"/>
      <c r="AI1267" s="447"/>
      <c r="AJ1267" s="447"/>
      <c r="AK1267" s="447"/>
      <c r="AL1267" s="447"/>
      <c r="AM1267" s="447"/>
      <c r="AN1267" s="447"/>
      <c r="AO1267" s="447"/>
      <c r="AP1267" s="447"/>
      <c r="AQ1267" s="447"/>
      <c r="AR1267" s="447"/>
      <c r="AS1267" s="447"/>
      <c r="AT1267" s="447"/>
      <c r="AU1267" s="447"/>
      <c r="AV1267" s="447"/>
      <c r="AW1267" s="447"/>
      <c r="AX1267" s="447"/>
      <c r="AY1267" s="447"/>
      <c r="AZ1267" s="447"/>
      <c r="BA1267" s="447"/>
      <c r="BB1267" s="447"/>
      <c r="BC1267" s="447"/>
      <c r="BD1267" s="447"/>
      <c r="BE1267" s="447"/>
      <c r="BF1267" s="447"/>
      <c r="BG1267" s="447"/>
      <c r="BH1267" s="449"/>
      <c r="BI1267" s="449"/>
      <c r="BJ1267" s="449"/>
      <c r="BK1267" s="449"/>
      <c r="BL1267" s="478">
        <f>BL1194/BI1194-1</f>
        <v>-0.18706811451135241</v>
      </c>
      <c r="BM1267" s="478">
        <f>BM1194/BL1194-1</f>
        <v>0.10018214936247727</v>
      </c>
      <c r="BN1267" s="449"/>
      <c r="BO1267" s="449"/>
      <c r="BP1267" s="478">
        <f>BP1194/BM1194-1</f>
        <v>9.8233995584988909E-2</v>
      </c>
      <c r="BQ1267" s="478">
        <f>BQ1194/BP1194-1</f>
        <v>0.15678391959798987</v>
      </c>
      <c r="BR1267" s="449"/>
      <c r="BS1267" s="449"/>
      <c r="BT1267" s="478">
        <f>BT1194/BQ1194-1</f>
        <v>-8.21025195482189E-2</v>
      </c>
      <c r="BU1267" s="478">
        <f>BU1194/BT1194-1</f>
        <v>0.18504495977283475</v>
      </c>
      <c r="BV1267" s="449"/>
      <c r="BW1267" s="449"/>
      <c r="BX1267" s="478">
        <f>BX1194/BU1194-1</f>
        <v>-0.16613418530351443</v>
      </c>
      <c r="BY1267" s="478">
        <f>BY1194/BX1194-1</f>
        <v>6.8965517241379226E-2</v>
      </c>
      <c r="BZ1267" s="449"/>
      <c r="CA1267" s="449"/>
      <c r="CB1267" s="478">
        <f>CB1194/BY1194-1</f>
        <v>-3.5394265232974953E-2</v>
      </c>
      <c r="CC1267" s="478">
        <f>CC1194/CB1194-1</f>
        <v>0.27960984672549927</v>
      </c>
      <c r="CD1267" s="449"/>
      <c r="CE1267" s="485"/>
      <c r="CF1267" s="478">
        <f>CF1194/CC1194-1</f>
        <v>0.15245009074410154</v>
      </c>
      <c r="CG1267" s="478">
        <f>CG1194/CF1194-1</f>
        <v>0.34456692913385822</v>
      </c>
      <c r="CH1267" s="449"/>
      <c r="CI1267" s="485"/>
      <c r="CJ1267" s="478">
        <f>CJ1194/CG1194-1</f>
        <v>-0.10822206605762474</v>
      </c>
      <c r="CK1267" s="478">
        <f>CK1194/CJ1194-1</f>
        <v>0.50748620961386925</v>
      </c>
      <c r="CL1267" s="449"/>
      <c r="CM1267" s="485"/>
      <c r="CN1267" s="478">
        <f>CN1194/CK1194-1</f>
        <v>-0.22059592263460537</v>
      </c>
      <c r="CO1267" s="478">
        <f>CO1194/CN1194-1</f>
        <v>-0.20612564274536105</v>
      </c>
      <c r="CP1267" s="449"/>
      <c r="CQ1267" s="485"/>
      <c r="CR1267" s="478">
        <f>CR1194/CO1194-1</f>
        <v>-0.20923683469445231</v>
      </c>
      <c r="CS1267" s="478">
        <f>CS1194/CR1194-1</f>
        <v>2.4928774928774988E-2</v>
      </c>
      <c r="CT1267" s="449"/>
      <c r="CU1267" s="485"/>
      <c r="CV1267" s="478">
        <f>CV1194/CS1194-1</f>
        <v>-0.16087560806115353</v>
      </c>
      <c r="CW1267" s="478">
        <f>CW1194/CV1194-1</f>
        <v>-7.5362318840579756E-2</v>
      </c>
      <c r="CX1267" s="449"/>
      <c r="CY1267" s="485"/>
      <c r="CZ1267" s="478">
        <f>CZ1194/CW1194-1</f>
        <v>0.28840125391849525</v>
      </c>
      <c r="DA1267" s="478">
        <f>DA1194/CZ1194-1</f>
        <v>-0.15780326729231842</v>
      </c>
      <c r="DB1267" s="485"/>
      <c r="DC1267" s="485"/>
      <c r="DD1267" s="478">
        <f>DD1194/DA1194-1</f>
        <v>0.33305819232356582</v>
      </c>
      <c r="DE1267" s="478">
        <f>DE1194/DD1194-1</f>
        <v>0.63126934984520133</v>
      </c>
      <c r="DF1267" s="485"/>
      <c r="DG1267" s="485"/>
      <c r="DH1267" s="478">
        <f>DH1194/DE1194-1</f>
        <v>-0.5369140254317708</v>
      </c>
      <c r="DI1267" s="482">
        <v>0.01</v>
      </c>
      <c r="DJ1267" s="485"/>
      <c r="DK1267" s="485"/>
      <c r="DL1267" s="482">
        <v>0.01</v>
      </c>
      <c r="DM1267" s="482">
        <v>0.01</v>
      </c>
      <c r="DN1267" s="485"/>
      <c r="DO1267" s="485"/>
      <c r="DP1267" s="482">
        <v>0.01</v>
      </c>
      <c r="DQ1267" s="482">
        <v>0.01</v>
      </c>
      <c r="DR1267" s="485"/>
      <c r="DS1267" s="485"/>
      <c r="DT1267" s="1"/>
      <c r="DU1267" s="1"/>
      <c r="DV1267" s="1"/>
      <c r="DW1267" s="1"/>
      <c r="DX1267" s="1"/>
      <c r="DY1267" s="1"/>
      <c r="DZ1267" s="1"/>
      <c r="EA1267" s="1"/>
      <c r="EB1267" s="1"/>
      <c r="EC1267" s="1"/>
      <c r="ED1267" s="1"/>
      <c r="EE1267" s="1"/>
      <c r="EF1267" s="1"/>
      <c r="EG1267" s="1"/>
      <c r="EH1267" s="1"/>
      <c r="EI1267" s="1"/>
      <c r="EJ1267" s="1"/>
      <c r="EK1267" s="1"/>
      <c r="EL1267" s="1"/>
      <c r="EM1267" s="1"/>
      <c r="EN1267" s="1"/>
      <c r="EO1267" s="1"/>
      <c r="EP1267" s="1"/>
      <c r="EQ1267" s="1"/>
      <c r="ER1267" s="1"/>
      <c r="ES1267" s="1"/>
      <c r="ET1267" s="1"/>
      <c r="EU1267" s="1"/>
      <c r="EV1267" s="1"/>
      <c r="EW1267" s="1"/>
      <c r="EX1267" s="1"/>
      <c r="EY1267" s="1"/>
      <c r="EZ1267" s="1"/>
      <c r="FA1267" s="1"/>
      <c r="FB1267" s="1"/>
      <c r="FC1267" s="1"/>
      <c r="FD1267" s="1"/>
      <c r="FE1267" s="1"/>
      <c r="FF1267" s="1"/>
      <c r="FG1267" s="1"/>
      <c r="FH1267" s="1"/>
      <c r="FI1267" s="1"/>
      <c r="FJ1267" s="1"/>
      <c r="FK1267" s="1"/>
      <c r="FL1267" s="1"/>
      <c r="FM1267" s="1"/>
      <c r="FN1267" s="1"/>
      <c r="FO1267" s="1"/>
      <c r="FP1267" s="1"/>
      <c r="FQ1267" s="1"/>
      <c r="FR1267" s="1"/>
      <c r="FS1267" s="1"/>
      <c r="FT1267" s="1"/>
      <c r="FU1267" s="1"/>
      <c r="FV1267" s="1"/>
      <c r="FW1267" s="1"/>
      <c r="FX1267" s="1"/>
      <c r="FY1267" s="1"/>
      <c r="FZ1267" s="1"/>
      <c r="GA1267" s="1"/>
      <c r="GB1267" s="1"/>
      <c r="GC1267" s="1"/>
      <c r="GD1267" s="1"/>
      <c r="GE1267" s="1"/>
      <c r="GF1267" s="1"/>
      <c r="GG1267" s="1"/>
      <c r="GH1267" s="1"/>
      <c r="GI1267" s="1"/>
      <c r="GJ1267" s="1"/>
      <c r="GK1267" s="1"/>
      <c r="GL1267" s="1"/>
      <c r="GM1267" s="1"/>
      <c r="GN1267" s="1"/>
      <c r="GO1267" s="1"/>
      <c r="GP1267" s="1"/>
      <c r="GQ1267" s="1"/>
      <c r="GR1267" s="1"/>
      <c r="GS1267" s="1"/>
      <c r="GT1267" s="1"/>
      <c r="GU1267" s="1"/>
      <c r="GV1267" s="1"/>
      <c r="GW1267" s="1"/>
      <c r="GX1267" s="1"/>
      <c r="GY1267" s="1"/>
      <c r="GZ1267" s="1"/>
      <c r="HA1267" s="1"/>
      <c r="HB1267" s="1"/>
      <c r="HC1267" s="1"/>
      <c r="HD1267" s="1"/>
      <c r="HE1267" s="1"/>
      <c r="HF1267" s="1"/>
      <c r="HG1267" s="1"/>
      <c r="HH1267" s="1"/>
      <c r="HI1267" s="1"/>
      <c r="HJ1267" s="1"/>
      <c r="HK1267" s="1"/>
      <c r="HL1267" s="1"/>
      <c r="HM1267" s="1"/>
      <c r="HN1267" s="1"/>
      <c r="HO1267" s="1"/>
      <c r="HP1267" s="1"/>
      <c r="HQ1267" s="1"/>
      <c r="HR1267" s="1"/>
      <c r="HS1267" s="1"/>
      <c r="HT1267" s="1"/>
      <c r="HU1267" s="1"/>
      <c r="HV1267" s="1"/>
      <c r="HW1267" s="1"/>
      <c r="HX1267" s="1"/>
      <c r="HY1267" s="1"/>
      <c r="HZ1267" s="1"/>
      <c r="IA1267" s="1"/>
      <c r="IB1267" s="1"/>
      <c r="IC1267" s="1"/>
      <c r="ID1267" s="1"/>
      <c r="IE1267" s="1"/>
      <c r="IF1267" s="1"/>
      <c r="IG1267" s="1"/>
      <c r="IH1267" s="1"/>
      <c r="II1267" s="1"/>
      <c r="IJ1267" s="1"/>
      <c r="IK1267" s="1"/>
      <c r="IL1267" s="1"/>
      <c r="IM1267" s="1"/>
      <c r="IN1267" s="1"/>
      <c r="IO1267" s="1"/>
      <c r="IP1267" s="1"/>
      <c r="IQ1267" s="1"/>
      <c r="IR1267" s="1"/>
      <c r="IS1267" s="1"/>
      <c r="IT1267" s="1"/>
      <c r="IU1267" s="1"/>
      <c r="IV1267" s="1"/>
      <c r="IW1267" s="1"/>
      <c r="IX1267" s="1"/>
      <c r="IY1267" s="1"/>
      <c r="IZ1267" s="1"/>
      <c r="JA1267" s="1"/>
      <c r="JB1267" s="1"/>
      <c r="JC1267" s="1"/>
      <c r="JD1267" s="1"/>
    </row>
    <row r="1268" spans="1:264" s="347" customFormat="1" x14ac:dyDescent="0.2">
      <c r="A1268" s="411"/>
      <c r="B1268" s="348"/>
      <c r="BH1268" s="351"/>
      <c r="BI1268" s="351"/>
      <c r="BJ1268" s="351"/>
      <c r="BK1268" s="351"/>
      <c r="BL1268" s="351"/>
      <c r="BM1268" s="351"/>
      <c r="BN1268" s="351"/>
      <c r="BO1268" s="351"/>
      <c r="BP1268" s="351"/>
      <c r="BQ1268" s="351"/>
      <c r="BR1268" s="351"/>
      <c r="BS1268" s="351"/>
      <c r="BT1268" s="351"/>
      <c r="BU1268" s="351"/>
      <c r="BV1268" s="351"/>
      <c r="BW1268" s="351"/>
      <c r="BX1268" s="351"/>
      <c r="BY1268" s="351"/>
      <c r="BZ1268" s="351"/>
      <c r="CA1268" s="351"/>
      <c r="CB1268" s="351"/>
      <c r="CC1268" s="351"/>
      <c r="CD1268" s="351"/>
      <c r="CE1268" s="351"/>
      <c r="CF1268" s="351"/>
      <c r="CG1268" s="351"/>
      <c r="CH1268" s="351"/>
      <c r="CI1268" s="351"/>
      <c r="CJ1268" s="351"/>
      <c r="CK1268" s="351"/>
      <c r="CL1268" s="351"/>
      <c r="CM1268" s="351"/>
      <c r="CN1268" s="351"/>
      <c r="CO1268" s="351"/>
      <c r="CP1268" s="351"/>
      <c r="CQ1268" s="351"/>
      <c r="CR1268" s="351"/>
      <c r="CS1268" s="351"/>
      <c r="CT1268" s="351"/>
      <c r="CU1268" s="351"/>
      <c r="CV1268" s="351"/>
      <c r="CW1268" s="351"/>
      <c r="CX1268" s="351"/>
      <c r="CY1268" s="351"/>
      <c r="CZ1268" s="351"/>
      <c r="DA1268" s="351"/>
      <c r="DB1268" s="351"/>
      <c r="DC1268" s="351"/>
      <c r="DD1268" s="351"/>
      <c r="DE1268" s="351"/>
      <c r="DF1268" s="351"/>
      <c r="DG1268" s="351"/>
      <c r="DH1268" s="351"/>
      <c r="DI1268" s="351"/>
      <c r="DJ1268" s="351"/>
      <c r="DK1268" s="351"/>
      <c r="DL1268" s="351"/>
      <c r="DM1268" s="351"/>
      <c r="DN1268" s="351"/>
      <c r="DO1268" s="351"/>
      <c r="DP1268" s="351"/>
      <c r="DQ1268" s="351"/>
      <c r="DR1268" s="351"/>
      <c r="DS1268" s="351"/>
      <c r="DT1268" s="1"/>
      <c r="DU1268" s="1"/>
      <c r="DV1268" s="1"/>
      <c r="DW1268" s="1"/>
      <c r="DX1268" s="1"/>
      <c r="DY1268" s="1"/>
      <c r="DZ1268" s="1"/>
      <c r="EA1268" s="1"/>
      <c r="EB1268" s="1"/>
      <c r="EC1268" s="1"/>
      <c r="ED1268" s="1"/>
      <c r="EE1268" s="1"/>
      <c r="EF1268" s="1"/>
      <c r="EG1268" s="1"/>
      <c r="EH1268" s="1"/>
      <c r="EI1268" s="1"/>
      <c r="EJ1268" s="1"/>
      <c r="EK1268" s="1"/>
      <c r="EL1268" s="1"/>
      <c r="EM1268" s="1"/>
      <c r="EN1268" s="1"/>
      <c r="EO1268" s="1"/>
      <c r="EP1268" s="1"/>
      <c r="EQ1268" s="1"/>
      <c r="ER1268" s="1"/>
      <c r="ES1268" s="1"/>
      <c r="ET1268" s="1"/>
      <c r="EU1268" s="1"/>
      <c r="EV1268" s="1"/>
      <c r="EW1268" s="1"/>
      <c r="EX1268" s="1"/>
      <c r="EY1268" s="1"/>
      <c r="EZ1268" s="1"/>
      <c r="FA1268" s="1"/>
      <c r="FB1268" s="1"/>
      <c r="FC1268" s="1"/>
      <c r="FD1268" s="1"/>
      <c r="FE1268" s="1"/>
      <c r="FF1268" s="1"/>
      <c r="FG1268" s="1"/>
      <c r="FH1268" s="1"/>
      <c r="FI1268" s="1"/>
      <c r="FJ1268" s="1"/>
      <c r="FK1268" s="1"/>
      <c r="FL1268" s="1"/>
      <c r="FM1268" s="1"/>
      <c r="FN1268" s="1"/>
      <c r="FO1268" s="1"/>
      <c r="FP1268" s="1"/>
      <c r="FQ1268" s="1"/>
      <c r="FR1268" s="1"/>
      <c r="FS1268" s="1"/>
      <c r="FT1268" s="1"/>
      <c r="FU1268" s="1"/>
      <c r="FV1268" s="1"/>
      <c r="FW1268" s="1"/>
      <c r="FX1268" s="1"/>
      <c r="FY1268" s="1"/>
      <c r="FZ1268" s="1"/>
      <c r="GA1268" s="1"/>
      <c r="GB1268" s="1"/>
      <c r="GC1268" s="1"/>
      <c r="GD1268" s="1"/>
      <c r="GE1268" s="1"/>
      <c r="GF1268" s="1"/>
      <c r="GG1268" s="1"/>
      <c r="GH1268" s="1"/>
      <c r="GI1268" s="1"/>
      <c r="GJ1268" s="1"/>
      <c r="GK1268" s="1"/>
      <c r="GL1268" s="1"/>
      <c r="GM1268" s="1"/>
      <c r="GN1268" s="1"/>
      <c r="GO1268" s="1"/>
      <c r="GP1268" s="1"/>
      <c r="GQ1268" s="1"/>
      <c r="GR1268" s="1"/>
      <c r="GS1268" s="1"/>
      <c r="GT1268" s="1"/>
      <c r="GU1268" s="1"/>
      <c r="GV1268" s="1"/>
      <c r="GW1268" s="1"/>
      <c r="GX1268" s="1"/>
      <c r="GY1268" s="1"/>
      <c r="GZ1268" s="1"/>
      <c r="HA1268" s="1"/>
      <c r="HB1268" s="1"/>
      <c r="HC1268" s="1"/>
      <c r="HD1268" s="1"/>
      <c r="HE1268" s="1"/>
      <c r="HF1268" s="1"/>
      <c r="HG1268" s="1"/>
      <c r="HH1268" s="1"/>
      <c r="HI1268" s="1"/>
      <c r="HJ1268" s="1"/>
      <c r="HK1268" s="1"/>
      <c r="HL1268" s="1"/>
      <c r="HM1268" s="1"/>
      <c r="HN1268" s="1"/>
      <c r="HO1268" s="1"/>
      <c r="HP1268" s="1"/>
      <c r="HQ1268" s="1"/>
      <c r="HR1268" s="1"/>
      <c r="HS1268" s="1"/>
      <c r="HT1268" s="1"/>
      <c r="HU1268" s="1"/>
      <c r="HV1268" s="1"/>
      <c r="HW1268" s="1"/>
      <c r="HX1268" s="1"/>
      <c r="HY1268" s="1"/>
      <c r="HZ1268" s="1"/>
      <c r="IA1268" s="1"/>
      <c r="IB1268" s="1"/>
      <c r="IC1268" s="1"/>
      <c r="ID1268" s="1"/>
      <c r="IE1268" s="1"/>
      <c r="IF1268" s="1"/>
      <c r="IG1268" s="1"/>
      <c r="IH1268" s="1"/>
      <c r="II1268" s="1"/>
      <c r="IJ1268" s="1"/>
      <c r="IK1268" s="1"/>
      <c r="IL1268" s="1"/>
      <c r="IM1268" s="1"/>
      <c r="IN1268" s="1"/>
      <c r="IO1268" s="1"/>
      <c r="IP1268" s="1"/>
      <c r="IQ1268" s="1"/>
      <c r="IR1268" s="1"/>
      <c r="IS1268" s="1"/>
      <c r="IT1268" s="1"/>
      <c r="IU1268" s="1"/>
      <c r="IV1268" s="1"/>
      <c r="IW1268" s="1"/>
      <c r="IX1268" s="1"/>
      <c r="IY1268" s="1"/>
      <c r="IZ1268" s="1"/>
      <c r="JA1268" s="1"/>
      <c r="JB1268" s="1"/>
      <c r="JC1268" s="1"/>
      <c r="JD1268" s="1"/>
    </row>
    <row r="1269" spans="1:264" s="347" customFormat="1" x14ac:dyDescent="0.2">
      <c r="A1269" s="411" t="s">
        <v>809</v>
      </c>
      <c r="B1269" s="348"/>
      <c r="BH1269" s="351"/>
      <c r="BI1269" s="351"/>
      <c r="BJ1269" s="351"/>
      <c r="BK1269" s="351"/>
      <c r="BL1269" s="351"/>
      <c r="BM1269" s="351"/>
      <c r="BN1269" s="351"/>
      <c r="BO1269" s="351"/>
      <c r="BP1269" s="351"/>
      <c r="BQ1269" s="351"/>
      <c r="BR1269" s="351"/>
      <c r="BS1269" s="351"/>
      <c r="BT1269" s="351"/>
      <c r="BU1269" s="351"/>
      <c r="BV1269" s="351"/>
      <c r="BW1269" s="351"/>
      <c r="BX1269" s="351"/>
      <c r="BY1269" s="351"/>
      <c r="BZ1269" s="351"/>
      <c r="CA1269" s="351"/>
      <c r="CB1269" s="351"/>
      <c r="CC1269" s="351"/>
      <c r="CD1269" s="351"/>
      <c r="CE1269" s="351"/>
      <c r="CF1269" s="351"/>
      <c r="CG1269" s="351"/>
      <c r="CH1269" s="351"/>
      <c r="CI1269" s="351"/>
      <c r="CJ1269" s="351"/>
      <c r="CK1269" s="351"/>
      <c r="CL1269" s="351"/>
      <c r="CM1269" s="351"/>
      <c r="CN1269" s="351"/>
      <c r="CO1269" s="351"/>
      <c r="CP1269" s="351"/>
      <c r="CQ1269" s="351"/>
      <c r="CR1269" s="351"/>
      <c r="CS1269" s="351"/>
      <c r="CT1269" s="351"/>
      <c r="CU1269" s="351"/>
      <c r="CV1269" s="351"/>
      <c r="CW1269" s="351"/>
      <c r="CX1269" s="351"/>
      <c r="CY1269" s="351"/>
      <c r="CZ1269" s="351"/>
      <c r="DA1269" s="351"/>
      <c r="DB1269" s="351"/>
      <c r="DC1269" s="351"/>
      <c r="DD1269" s="351"/>
      <c r="DE1269" s="351"/>
      <c r="DF1269" s="351"/>
      <c r="DG1269" s="351"/>
      <c r="DH1269" s="351"/>
      <c r="DI1269" s="351"/>
      <c r="DJ1269" s="351"/>
      <c r="DK1269" s="351"/>
      <c r="DL1269" s="351"/>
      <c r="DM1269" s="351"/>
      <c r="DN1269" s="351"/>
      <c r="DO1269" s="351"/>
      <c r="DP1269" s="351"/>
      <c r="DQ1269" s="351"/>
      <c r="DR1269" s="351"/>
      <c r="DS1269" s="351"/>
      <c r="DT1269" s="1"/>
      <c r="DU1269" s="1"/>
      <c r="DV1269" s="1"/>
      <c r="DW1269" s="1"/>
      <c r="DX1269" s="1"/>
      <c r="DY1269" s="1"/>
      <c r="DZ1269" s="1"/>
      <c r="EA1269" s="1"/>
      <c r="EB1269" s="1"/>
      <c r="EC1269" s="1"/>
      <c r="ED1269" s="1"/>
      <c r="EE1269" s="1"/>
      <c r="EF1269" s="1"/>
      <c r="EG1269" s="1"/>
      <c r="EH1269" s="1"/>
      <c r="EI1269" s="1"/>
      <c r="EJ1269" s="1"/>
      <c r="EK1269" s="1"/>
      <c r="EL1269" s="1"/>
      <c r="EM1269" s="1"/>
      <c r="EN1269" s="1"/>
      <c r="EO1269" s="1"/>
      <c r="EP1269" s="1"/>
      <c r="EQ1269" s="1"/>
      <c r="ER1269" s="1"/>
      <c r="ES1269" s="1"/>
      <c r="ET1269" s="1"/>
      <c r="EU1269" s="1"/>
      <c r="EV1269" s="1"/>
      <c r="EW1269" s="1"/>
      <c r="EX1269" s="1"/>
      <c r="EY1269" s="1"/>
      <c r="EZ1269" s="1"/>
      <c r="FA1269" s="1"/>
      <c r="FB1269" s="1"/>
      <c r="FC1269" s="1"/>
      <c r="FD1269" s="1"/>
      <c r="FE1269" s="1"/>
      <c r="FF1269" s="1"/>
      <c r="FG1269" s="1"/>
      <c r="FH1269" s="1"/>
      <c r="FI1269" s="1"/>
      <c r="FJ1269" s="1"/>
      <c r="FK1269" s="1"/>
      <c r="FL1269" s="1"/>
      <c r="FM1269" s="1"/>
      <c r="FN1269" s="1"/>
      <c r="FO1269" s="1"/>
      <c r="FP1269" s="1"/>
      <c r="FQ1269" s="1"/>
      <c r="FR1269" s="1"/>
      <c r="FS1269" s="1"/>
      <c r="FT1269" s="1"/>
      <c r="FU1269" s="1"/>
      <c r="FV1269" s="1"/>
      <c r="FW1269" s="1"/>
      <c r="FX1269" s="1"/>
      <c r="FY1269" s="1"/>
      <c r="FZ1269" s="1"/>
      <c r="GA1269" s="1"/>
      <c r="GB1269" s="1"/>
      <c r="GC1269" s="1"/>
      <c r="GD1269" s="1"/>
      <c r="GE1269" s="1"/>
      <c r="GF1269" s="1"/>
      <c r="GG1269" s="1"/>
      <c r="GH1269" s="1"/>
      <c r="GI1269" s="1"/>
      <c r="GJ1269" s="1"/>
      <c r="GK1269" s="1"/>
      <c r="GL1269" s="1"/>
      <c r="GM1269" s="1"/>
      <c r="GN1269" s="1"/>
      <c r="GO1269" s="1"/>
      <c r="GP1269" s="1"/>
      <c r="GQ1269" s="1"/>
      <c r="GR1269" s="1"/>
      <c r="GS1269" s="1"/>
      <c r="GT1269" s="1"/>
      <c r="GU1269" s="1"/>
      <c r="GV1269" s="1"/>
      <c r="GW1269" s="1"/>
      <c r="GX1269" s="1"/>
      <c r="GY1269" s="1"/>
      <c r="GZ1269" s="1"/>
      <c r="HA1269" s="1"/>
      <c r="HB1269" s="1"/>
      <c r="HC1269" s="1"/>
      <c r="HD1269" s="1"/>
      <c r="HE1269" s="1"/>
      <c r="HF1269" s="1"/>
      <c r="HG1269" s="1"/>
      <c r="HH1269" s="1"/>
      <c r="HI1269" s="1"/>
      <c r="HJ1269" s="1"/>
      <c r="HK1269" s="1"/>
      <c r="HL1269" s="1"/>
      <c r="HM1269" s="1"/>
      <c r="HN1269" s="1"/>
      <c r="HO1269" s="1"/>
      <c r="HP1269" s="1"/>
      <c r="HQ1269" s="1"/>
      <c r="HR1269" s="1"/>
      <c r="HS1269" s="1"/>
      <c r="HT1269" s="1"/>
      <c r="HU1269" s="1"/>
      <c r="HV1269" s="1"/>
      <c r="HW1269" s="1"/>
      <c r="HX1269" s="1"/>
      <c r="HY1269" s="1"/>
      <c r="HZ1269" s="1"/>
      <c r="IA1269" s="1"/>
      <c r="IB1269" s="1"/>
      <c r="IC1269" s="1"/>
      <c r="ID1269" s="1"/>
      <c r="IE1269" s="1"/>
      <c r="IF1269" s="1"/>
      <c r="IG1269" s="1"/>
      <c r="IH1269" s="1"/>
      <c r="II1269" s="1"/>
      <c r="IJ1269" s="1"/>
      <c r="IK1269" s="1"/>
      <c r="IL1269" s="1"/>
      <c r="IM1269" s="1"/>
      <c r="IN1269" s="1"/>
      <c r="IO1269" s="1"/>
      <c r="IP1269" s="1"/>
      <c r="IQ1269" s="1"/>
      <c r="IR1269" s="1"/>
      <c r="IS1269" s="1"/>
      <c r="IT1269" s="1"/>
      <c r="IU1269" s="1"/>
      <c r="IV1269" s="1"/>
      <c r="IW1269" s="1"/>
      <c r="IX1269" s="1"/>
      <c r="IY1269" s="1"/>
      <c r="IZ1269" s="1"/>
      <c r="JA1269" s="1"/>
      <c r="JB1269" s="1"/>
      <c r="JC1269" s="1"/>
      <c r="JD1269" s="1"/>
    </row>
    <row r="1270" spans="1:264" s="347" customFormat="1" x14ac:dyDescent="0.2">
      <c r="A1270" s="347" t="s">
        <v>841</v>
      </c>
      <c r="B1270" s="348"/>
      <c r="BH1270" s="398">
        <v>2000</v>
      </c>
      <c r="BI1270" s="398">
        <v>2000</v>
      </c>
      <c r="BJ1270" s="351">
        <f>BI1270</f>
        <v>2000</v>
      </c>
      <c r="BK1270" s="351"/>
      <c r="BL1270" s="398">
        <v>2000</v>
      </c>
      <c r="BM1270" s="398">
        <v>2000</v>
      </c>
      <c r="BN1270" s="351">
        <f>BM1270</f>
        <v>2000</v>
      </c>
      <c r="BO1270" s="351"/>
      <c r="BP1270" s="351">
        <f>BM1270</f>
        <v>2000</v>
      </c>
      <c r="BQ1270" s="398">
        <v>2000</v>
      </c>
      <c r="BR1270" s="351">
        <f>BQ1270</f>
        <v>2000</v>
      </c>
      <c r="BS1270" s="351"/>
      <c r="BT1270" s="351">
        <f>BQ1270</f>
        <v>2000</v>
      </c>
      <c r="BU1270" s="398">
        <v>2000</v>
      </c>
      <c r="BV1270" s="351">
        <f>BU1270</f>
        <v>2000</v>
      </c>
      <c r="BW1270" s="351"/>
      <c r="BX1270" s="398">
        <v>2000</v>
      </c>
      <c r="BY1270" s="398">
        <v>2000</v>
      </c>
      <c r="BZ1270" s="351">
        <f>BY1270</f>
        <v>2000</v>
      </c>
      <c r="CA1270" s="351"/>
      <c r="CB1270" s="398">
        <v>2000</v>
      </c>
      <c r="CC1270" s="398">
        <v>2000</v>
      </c>
      <c r="CD1270" s="351">
        <f t="shared" ref="CD1270:CD1281" si="920">CC1270</f>
        <v>2000</v>
      </c>
      <c r="CE1270" s="351"/>
      <c r="CF1270" s="398">
        <v>0</v>
      </c>
      <c r="CG1270" s="398">
        <v>0</v>
      </c>
      <c r="CH1270" s="351">
        <f t="shared" ref="CH1270:CH1281" si="921">CG1270</f>
        <v>0</v>
      </c>
      <c r="CI1270" s="351"/>
      <c r="CJ1270" s="398">
        <v>0</v>
      </c>
      <c r="CK1270" s="398">
        <v>0</v>
      </c>
      <c r="CL1270" s="351">
        <f t="shared" ref="CL1270:CL1281" si="922">CK1270</f>
        <v>0</v>
      </c>
      <c r="CM1270" s="351"/>
      <c r="CN1270" s="398">
        <v>0</v>
      </c>
      <c r="CO1270" s="398">
        <v>0</v>
      </c>
      <c r="CP1270" s="351">
        <f t="shared" ref="CP1270:CP1281" si="923">CO1270</f>
        <v>0</v>
      </c>
      <c r="CQ1270" s="351"/>
      <c r="CR1270" s="398">
        <v>0</v>
      </c>
      <c r="CS1270" s="398">
        <v>0</v>
      </c>
      <c r="CT1270" s="351">
        <f t="shared" ref="CT1270:CT1281" si="924">CS1270</f>
        <v>0</v>
      </c>
      <c r="CU1270" s="351"/>
      <c r="CV1270" s="398">
        <v>0</v>
      </c>
      <c r="CW1270" s="351">
        <f t="shared" ref="CW1270:CX1281" si="925">CV1270</f>
        <v>0</v>
      </c>
      <c r="CX1270" s="351">
        <f t="shared" si="925"/>
        <v>0</v>
      </c>
      <c r="CY1270" s="351"/>
      <c r="CZ1270" s="398">
        <v>0</v>
      </c>
      <c r="DA1270" s="398">
        <v>0</v>
      </c>
      <c r="DB1270" s="351">
        <f t="shared" ref="DB1270:DB1281" si="926">DA1270</f>
        <v>0</v>
      </c>
      <c r="DC1270" s="351"/>
      <c r="DD1270" s="398">
        <v>0</v>
      </c>
      <c r="DE1270" s="398">
        <v>0</v>
      </c>
      <c r="DF1270" s="351">
        <f t="shared" ref="DE1270:DF1281" si="927">DE1270</f>
        <v>0</v>
      </c>
      <c r="DG1270" s="351"/>
      <c r="DH1270" s="398">
        <v>0</v>
      </c>
      <c r="DI1270" s="351">
        <f t="shared" ref="DI1270:DJ1281" si="928">DH1270</f>
        <v>0</v>
      </c>
      <c r="DJ1270" s="351">
        <f t="shared" si="928"/>
        <v>0</v>
      </c>
      <c r="DK1270" s="351"/>
      <c r="DL1270" s="351">
        <f t="shared" ref="DL1270:DL1281" si="929">DI1270</f>
        <v>0</v>
      </c>
      <c r="DM1270" s="351">
        <f t="shared" ref="DM1270:DN1281" si="930">DL1270</f>
        <v>0</v>
      </c>
      <c r="DN1270" s="351">
        <f t="shared" si="930"/>
        <v>0</v>
      </c>
      <c r="DO1270" s="351"/>
      <c r="DP1270" s="351">
        <f t="shared" ref="DP1270:DP1281" si="931">DM1270</f>
        <v>0</v>
      </c>
      <c r="DQ1270" s="351">
        <f t="shared" ref="DQ1270:DQ1281" si="932">DP1270</f>
        <v>0</v>
      </c>
      <c r="DR1270" s="351">
        <f t="shared" ref="DR1270:DR1281" si="933">DQ1270</f>
        <v>0</v>
      </c>
      <c r="DS1270" s="351"/>
      <c r="DT1270" s="1"/>
      <c r="DU1270" s="1"/>
      <c r="DV1270" s="1"/>
      <c r="DW1270" s="1"/>
      <c r="DX1270" s="1"/>
      <c r="DY1270" s="1"/>
      <c r="DZ1270" s="1"/>
      <c r="EA1270" s="1"/>
      <c r="EB1270" s="1"/>
      <c r="EC1270" s="1"/>
      <c r="ED1270" s="1"/>
      <c r="EE1270" s="1"/>
      <c r="EF1270" s="1"/>
      <c r="EG1270" s="1"/>
      <c r="EH1270" s="1"/>
      <c r="EI1270" s="1"/>
      <c r="EJ1270" s="1"/>
      <c r="EK1270" s="1"/>
      <c r="EL1270" s="1"/>
      <c r="EM1270" s="1"/>
      <c r="EN1270" s="1"/>
      <c r="EO1270" s="1"/>
      <c r="EP1270" s="1"/>
      <c r="EQ1270" s="1"/>
      <c r="ER1270" s="1"/>
      <c r="ES1270" s="1"/>
      <c r="ET1270" s="1"/>
      <c r="EU1270" s="1"/>
      <c r="EV1270" s="1"/>
      <c r="EW1270" s="1"/>
      <c r="EX1270" s="1"/>
      <c r="EY1270" s="1"/>
      <c r="EZ1270" s="1"/>
      <c r="FA1270" s="1"/>
      <c r="FB1270" s="1"/>
      <c r="FC1270" s="1"/>
      <c r="FD1270" s="1"/>
      <c r="FE1270" s="1"/>
      <c r="FF1270" s="1"/>
      <c r="FG1270" s="1"/>
      <c r="FH1270" s="1"/>
      <c r="FI1270" s="1"/>
      <c r="FJ1270" s="1"/>
      <c r="FK1270" s="1"/>
      <c r="FL1270" s="1"/>
      <c r="FM1270" s="1"/>
      <c r="FN1270" s="1"/>
      <c r="FO1270" s="1"/>
      <c r="FP1270" s="1"/>
      <c r="FQ1270" s="1"/>
      <c r="FR1270" s="1"/>
      <c r="FS1270" s="1"/>
      <c r="FT1270" s="1"/>
      <c r="FU1270" s="1"/>
      <c r="FV1270" s="1"/>
      <c r="FW1270" s="1"/>
      <c r="FX1270" s="1"/>
      <c r="FY1270" s="1"/>
      <c r="FZ1270" s="1"/>
      <c r="GA1270" s="1"/>
      <c r="GB1270" s="1"/>
      <c r="GC1270" s="1"/>
      <c r="GD1270" s="1"/>
      <c r="GE1270" s="1"/>
      <c r="GF1270" s="1"/>
      <c r="GG1270" s="1"/>
      <c r="GH1270" s="1"/>
      <c r="GI1270" s="1"/>
      <c r="GJ1270" s="1"/>
      <c r="GK1270" s="1"/>
      <c r="GL1270" s="1"/>
      <c r="GM1270" s="1"/>
      <c r="GN1270" s="1"/>
      <c r="GO1270" s="1"/>
      <c r="GP1270" s="1"/>
      <c r="GQ1270" s="1"/>
      <c r="GR1270" s="1"/>
      <c r="GS1270" s="1"/>
      <c r="GT1270" s="1"/>
      <c r="GU1270" s="1"/>
      <c r="GV1270" s="1"/>
      <c r="GW1270" s="1"/>
      <c r="GX1270" s="1"/>
      <c r="GY1270" s="1"/>
      <c r="GZ1270" s="1"/>
      <c r="HA1270" s="1"/>
      <c r="HB1270" s="1"/>
      <c r="HC1270" s="1"/>
      <c r="HD1270" s="1"/>
      <c r="HE1270" s="1"/>
      <c r="HF1270" s="1"/>
      <c r="HG1270" s="1"/>
      <c r="HH1270" s="1"/>
      <c r="HI1270" s="1"/>
      <c r="HJ1270" s="1"/>
      <c r="HK1270" s="1"/>
      <c r="HL1270" s="1"/>
      <c r="HM1270" s="1"/>
      <c r="HN1270" s="1"/>
      <c r="HO1270" s="1"/>
      <c r="HP1270" s="1"/>
      <c r="HQ1270" s="1"/>
      <c r="HR1270" s="1"/>
      <c r="HS1270" s="1"/>
      <c r="HT1270" s="1"/>
      <c r="HU1270" s="1"/>
      <c r="HV1270" s="1"/>
      <c r="HW1270" s="1"/>
      <c r="HX1270" s="1"/>
      <c r="HY1270" s="1"/>
      <c r="HZ1270" s="1"/>
      <c r="IA1270" s="1"/>
      <c r="IB1270" s="1"/>
      <c r="IC1270" s="1"/>
      <c r="ID1270" s="1"/>
      <c r="IE1270" s="1"/>
      <c r="IF1270" s="1"/>
      <c r="IG1270" s="1"/>
      <c r="IH1270" s="1"/>
      <c r="II1270" s="1"/>
      <c r="IJ1270" s="1"/>
      <c r="IK1270" s="1"/>
      <c r="IL1270" s="1"/>
      <c r="IM1270" s="1"/>
      <c r="IN1270" s="1"/>
      <c r="IO1270" s="1"/>
      <c r="IP1270" s="1"/>
      <c r="IQ1270" s="1"/>
      <c r="IR1270" s="1"/>
      <c r="IS1270" s="1"/>
      <c r="IT1270" s="1"/>
      <c r="IU1270" s="1"/>
      <c r="IV1270" s="1"/>
      <c r="IW1270" s="1"/>
      <c r="IX1270" s="1"/>
      <c r="IY1270" s="1"/>
      <c r="IZ1270" s="1"/>
      <c r="JA1270" s="1"/>
      <c r="JB1270" s="1"/>
      <c r="JC1270" s="1"/>
      <c r="JD1270" s="1"/>
    </row>
    <row r="1271" spans="1:264" s="347" customFormat="1" x14ac:dyDescent="0.2">
      <c r="A1271" s="347" t="s">
        <v>842</v>
      </c>
      <c r="B1271" s="348"/>
      <c r="BH1271" s="398">
        <v>0</v>
      </c>
      <c r="BI1271" s="398">
        <v>0</v>
      </c>
      <c r="BJ1271" s="351">
        <f>BI1271</f>
        <v>0</v>
      </c>
      <c r="BK1271" s="351"/>
      <c r="BL1271" s="398">
        <v>0</v>
      </c>
      <c r="BM1271" s="398">
        <v>0</v>
      </c>
      <c r="BN1271" s="351">
        <f>BM1271</f>
        <v>0</v>
      </c>
      <c r="BO1271" s="351"/>
      <c r="BP1271" s="398">
        <v>3000</v>
      </c>
      <c r="BQ1271" s="398">
        <v>3000</v>
      </c>
      <c r="BR1271" s="351">
        <f>BQ1271</f>
        <v>3000</v>
      </c>
      <c r="BS1271" s="351"/>
      <c r="BT1271" s="398">
        <v>3000</v>
      </c>
      <c r="BU1271" s="398">
        <v>3000</v>
      </c>
      <c r="BV1271" s="351">
        <f>BU1271</f>
        <v>3000</v>
      </c>
      <c r="BW1271" s="351"/>
      <c r="BX1271" s="398">
        <v>3000</v>
      </c>
      <c r="BY1271" s="398">
        <v>3000</v>
      </c>
      <c r="BZ1271" s="351">
        <f>BY1271</f>
        <v>3000</v>
      </c>
      <c r="CA1271" s="351"/>
      <c r="CB1271" s="398">
        <v>3000</v>
      </c>
      <c r="CC1271" s="398">
        <v>3000</v>
      </c>
      <c r="CD1271" s="351">
        <f t="shared" si="920"/>
        <v>3000</v>
      </c>
      <c r="CE1271" s="351"/>
      <c r="CF1271" s="398">
        <v>3000</v>
      </c>
      <c r="CG1271" s="398">
        <v>3000</v>
      </c>
      <c r="CH1271" s="351">
        <f t="shared" si="921"/>
        <v>3000</v>
      </c>
      <c r="CI1271" s="351"/>
      <c r="CJ1271" s="398">
        <v>3000</v>
      </c>
      <c r="CK1271" s="398">
        <v>3000</v>
      </c>
      <c r="CL1271" s="351">
        <f t="shared" si="922"/>
        <v>3000</v>
      </c>
      <c r="CM1271" s="351"/>
      <c r="CN1271" s="398">
        <v>3000</v>
      </c>
      <c r="CO1271" s="398">
        <v>3000</v>
      </c>
      <c r="CP1271" s="351">
        <f t="shared" si="923"/>
        <v>3000</v>
      </c>
      <c r="CQ1271" s="351"/>
      <c r="CR1271" s="398">
        <v>3000</v>
      </c>
      <c r="CS1271" s="398">
        <v>3000</v>
      </c>
      <c r="CT1271" s="351">
        <f t="shared" si="924"/>
        <v>3000</v>
      </c>
      <c r="CU1271" s="1"/>
      <c r="CV1271" s="398">
        <v>0</v>
      </c>
      <c r="CW1271" s="351">
        <f t="shared" si="925"/>
        <v>0</v>
      </c>
      <c r="CX1271" s="351">
        <f t="shared" si="925"/>
        <v>0</v>
      </c>
      <c r="CY1271" s="351"/>
      <c r="CZ1271" s="398">
        <v>0</v>
      </c>
      <c r="DA1271" s="398">
        <v>0</v>
      </c>
      <c r="DB1271" s="351">
        <f t="shared" si="926"/>
        <v>0</v>
      </c>
      <c r="DC1271" s="351"/>
      <c r="DD1271" s="398">
        <v>0</v>
      </c>
      <c r="DE1271" s="398">
        <v>0</v>
      </c>
      <c r="DF1271" s="351">
        <f t="shared" si="927"/>
        <v>0</v>
      </c>
      <c r="DG1271" s="351"/>
      <c r="DH1271" s="398">
        <v>0</v>
      </c>
      <c r="DI1271" s="351">
        <f t="shared" si="928"/>
        <v>0</v>
      </c>
      <c r="DJ1271" s="351">
        <f t="shared" si="928"/>
        <v>0</v>
      </c>
      <c r="DK1271" s="351"/>
      <c r="DL1271" s="351">
        <f t="shared" si="929"/>
        <v>0</v>
      </c>
      <c r="DM1271" s="351">
        <f t="shared" si="930"/>
        <v>0</v>
      </c>
      <c r="DN1271" s="351">
        <f t="shared" si="930"/>
        <v>0</v>
      </c>
      <c r="DO1271" s="351"/>
      <c r="DP1271" s="351">
        <f t="shared" si="931"/>
        <v>0</v>
      </c>
      <c r="DQ1271" s="351">
        <f t="shared" si="932"/>
        <v>0</v>
      </c>
      <c r="DR1271" s="351">
        <f t="shared" si="933"/>
        <v>0</v>
      </c>
      <c r="DS1271" s="351"/>
      <c r="DT1271" s="1"/>
      <c r="DU1271" s="1"/>
      <c r="DV1271" s="1"/>
      <c r="DW1271" s="1"/>
      <c r="DX1271" s="1"/>
      <c r="DY1271" s="1"/>
      <c r="DZ1271" s="1"/>
      <c r="EA1271" s="1"/>
      <c r="EB1271" s="1"/>
      <c r="EC1271" s="1"/>
      <c r="ED1271" s="1"/>
      <c r="EE1271" s="1"/>
      <c r="EF1271" s="1"/>
      <c r="EG1271" s="1"/>
      <c r="EH1271" s="1"/>
      <c r="EI1271" s="1"/>
      <c r="EJ1271" s="1"/>
      <c r="EK1271" s="1"/>
      <c r="EL1271" s="1"/>
      <c r="EM1271" s="1"/>
      <c r="EN1271" s="1"/>
      <c r="EO1271" s="1"/>
      <c r="EP1271" s="1"/>
      <c r="EQ1271" s="1"/>
      <c r="ER1271" s="1"/>
      <c r="ES1271" s="1"/>
      <c r="ET1271" s="1"/>
      <c r="EU1271" s="1"/>
      <c r="EV1271" s="1"/>
      <c r="EW1271" s="1"/>
      <c r="EX1271" s="1"/>
      <c r="EY1271" s="1"/>
      <c r="EZ1271" s="1"/>
      <c r="FA1271" s="1"/>
      <c r="FB1271" s="1"/>
      <c r="FC1271" s="1"/>
      <c r="FD1271" s="1"/>
      <c r="FE1271" s="1"/>
      <c r="FF1271" s="1"/>
      <c r="FG1271" s="1"/>
      <c r="FH1271" s="1"/>
      <c r="FI1271" s="1"/>
      <c r="FJ1271" s="1"/>
      <c r="FK1271" s="1"/>
      <c r="FL1271" s="1"/>
      <c r="FM1271" s="1"/>
      <c r="FN1271" s="1"/>
      <c r="FO1271" s="1"/>
      <c r="FP1271" s="1"/>
      <c r="FQ1271" s="1"/>
      <c r="FR1271" s="1"/>
      <c r="FS1271" s="1"/>
      <c r="FT1271" s="1"/>
      <c r="FU1271" s="1"/>
      <c r="FV1271" s="1"/>
      <c r="FW1271" s="1"/>
      <c r="FX1271" s="1"/>
      <c r="FY1271" s="1"/>
      <c r="FZ1271" s="1"/>
      <c r="GA1271" s="1"/>
      <c r="GB1271" s="1"/>
      <c r="GC1271" s="1"/>
      <c r="GD1271" s="1"/>
      <c r="GE1271" s="1"/>
      <c r="GF1271" s="1"/>
      <c r="GG1271" s="1"/>
      <c r="GH1271" s="1"/>
      <c r="GI1271" s="1"/>
      <c r="GJ1271" s="1"/>
      <c r="GK1271" s="1"/>
      <c r="GL1271" s="1"/>
      <c r="GM1271" s="1"/>
      <c r="GN1271" s="1"/>
      <c r="GO1271" s="1"/>
      <c r="GP1271" s="1"/>
      <c r="GQ1271" s="1"/>
      <c r="GR1271" s="1"/>
      <c r="GS1271" s="1"/>
      <c r="GT1271" s="1"/>
      <c r="GU1271" s="1"/>
      <c r="GV1271" s="1"/>
      <c r="GW1271" s="1"/>
      <c r="GX1271" s="1"/>
      <c r="GY1271" s="1"/>
      <c r="GZ1271" s="1"/>
      <c r="HA1271" s="1"/>
      <c r="HB1271" s="1"/>
      <c r="HC1271" s="1"/>
      <c r="HD1271" s="1"/>
      <c r="HE1271" s="1"/>
      <c r="HF1271" s="1"/>
      <c r="HG1271" s="1"/>
      <c r="HH1271" s="1"/>
      <c r="HI1271" s="1"/>
      <c r="HJ1271" s="1"/>
      <c r="HK1271" s="1"/>
      <c r="HL1271" s="1"/>
      <c r="HM1271" s="1"/>
      <c r="HN1271" s="1"/>
      <c r="HO1271" s="1"/>
      <c r="HP1271" s="1"/>
      <c r="HQ1271" s="1"/>
      <c r="HR1271" s="1"/>
      <c r="HS1271" s="1"/>
      <c r="HT1271" s="1"/>
      <c r="HU1271" s="1"/>
      <c r="HV1271" s="1"/>
      <c r="HW1271" s="1"/>
      <c r="HX1271" s="1"/>
      <c r="HY1271" s="1"/>
      <c r="HZ1271" s="1"/>
      <c r="IA1271" s="1"/>
      <c r="IB1271" s="1"/>
      <c r="IC1271" s="1"/>
      <c r="ID1271" s="1"/>
      <c r="IE1271" s="1"/>
      <c r="IF1271" s="1"/>
      <c r="IG1271" s="1"/>
      <c r="IH1271" s="1"/>
      <c r="II1271" s="1"/>
      <c r="IJ1271" s="1"/>
      <c r="IK1271" s="1"/>
      <c r="IL1271" s="1"/>
      <c r="IM1271" s="1"/>
      <c r="IN1271" s="1"/>
      <c r="IO1271" s="1"/>
      <c r="IP1271" s="1"/>
      <c r="IQ1271" s="1"/>
      <c r="IR1271" s="1"/>
      <c r="IS1271" s="1"/>
      <c r="IT1271" s="1"/>
      <c r="IU1271" s="1"/>
      <c r="IV1271" s="1"/>
      <c r="IW1271" s="1"/>
      <c r="IX1271" s="1"/>
      <c r="IY1271" s="1"/>
      <c r="IZ1271" s="1"/>
      <c r="JA1271" s="1"/>
      <c r="JB1271" s="1"/>
      <c r="JC1271" s="1"/>
      <c r="JD1271" s="1"/>
    </row>
    <row r="1272" spans="1:264" s="347" customFormat="1" x14ac:dyDescent="0.2">
      <c r="A1272" s="347" t="s">
        <v>843</v>
      </c>
      <c r="B1272" s="348"/>
      <c r="BH1272" s="398">
        <v>0</v>
      </c>
      <c r="BI1272" s="398">
        <v>0</v>
      </c>
      <c r="BJ1272" s="351">
        <f>BI1272</f>
        <v>0</v>
      </c>
      <c r="BK1272" s="351"/>
      <c r="BL1272" s="398">
        <v>0</v>
      </c>
      <c r="BM1272" s="398">
        <v>0</v>
      </c>
      <c r="BN1272" s="351">
        <f>BM1272</f>
        <v>0</v>
      </c>
      <c r="BO1272" s="351"/>
      <c r="BP1272" s="398">
        <v>0</v>
      </c>
      <c r="BQ1272" s="398">
        <v>0</v>
      </c>
      <c r="BR1272" s="351">
        <f>BQ1272</f>
        <v>0</v>
      </c>
      <c r="BS1272" s="351"/>
      <c r="BT1272" s="398">
        <v>0</v>
      </c>
      <c r="BU1272" s="398">
        <v>1450</v>
      </c>
      <c r="BV1272" s="351">
        <f>BU1272</f>
        <v>1450</v>
      </c>
      <c r="BW1272" s="351"/>
      <c r="BX1272" s="398">
        <v>1450</v>
      </c>
      <c r="BY1272" s="398">
        <v>1450</v>
      </c>
      <c r="BZ1272" s="351">
        <f>BY1272</f>
        <v>1450</v>
      </c>
      <c r="CA1272" s="351"/>
      <c r="CB1272" s="398">
        <v>1450</v>
      </c>
      <c r="CC1272" s="398">
        <v>1450</v>
      </c>
      <c r="CD1272" s="351">
        <f t="shared" si="920"/>
        <v>1450</v>
      </c>
      <c r="CE1272" s="351"/>
      <c r="CF1272" s="398">
        <v>1450</v>
      </c>
      <c r="CG1272" s="398">
        <v>1450</v>
      </c>
      <c r="CH1272" s="351">
        <f t="shared" si="921"/>
        <v>1450</v>
      </c>
      <c r="CI1272" s="351"/>
      <c r="CJ1272" s="398">
        <v>1450</v>
      </c>
      <c r="CK1272" s="398">
        <v>1450</v>
      </c>
      <c r="CL1272" s="351">
        <f t="shared" si="922"/>
        <v>1450</v>
      </c>
      <c r="CM1272" s="351"/>
      <c r="CN1272" s="398">
        <v>1450</v>
      </c>
      <c r="CO1272" s="398">
        <v>1450</v>
      </c>
      <c r="CP1272" s="351">
        <f t="shared" si="923"/>
        <v>1450</v>
      </c>
      <c r="CQ1272" s="351"/>
      <c r="CR1272" s="398">
        <v>0</v>
      </c>
      <c r="CS1272" s="398">
        <v>0</v>
      </c>
      <c r="CT1272" s="351">
        <f t="shared" si="924"/>
        <v>0</v>
      </c>
      <c r="CU1272" s="1"/>
      <c r="CV1272" s="398">
        <v>0</v>
      </c>
      <c r="CW1272" s="351">
        <f t="shared" si="925"/>
        <v>0</v>
      </c>
      <c r="CX1272" s="351">
        <f t="shared" si="925"/>
        <v>0</v>
      </c>
      <c r="CY1272" s="351"/>
      <c r="CZ1272" s="398">
        <v>0</v>
      </c>
      <c r="DA1272" s="398">
        <v>0</v>
      </c>
      <c r="DB1272" s="351">
        <f t="shared" si="926"/>
        <v>0</v>
      </c>
      <c r="DC1272" s="351"/>
      <c r="DD1272" s="398">
        <v>0</v>
      </c>
      <c r="DE1272" s="398">
        <v>0</v>
      </c>
      <c r="DF1272" s="351">
        <f t="shared" si="927"/>
        <v>0</v>
      </c>
      <c r="DG1272" s="351"/>
      <c r="DH1272" s="398">
        <v>0</v>
      </c>
      <c r="DI1272" s="351">
        <f t="shared" si="928"/>
        <v>0</v>
      </c>
      <c r="DJ1272" s="351">
        <f t="shared" si="928"/>
        <v>0</v>
      </c>
      <c r="DK1272" s="351"/>
      <c r="DL1272" s="351">
        <f t="shared" si="929"/>
        <v>0</v>
      </c>
      <c r="DM1272" s="351">
        <f t="shared" si="930"/>
        <v>0</v>
      </c>
      <c r="DN1272" s="351">
        <f t="shared" si="930"/>
        <v>0</v>
      </c>
      <c r="DO1272" s="351"/>
      <c r="DP1272" s="351">
        <f t="shared" si="931"/>
        <v>0</v>
      </c>
      <c r="DQ1272" s="351">
        <f t="shared" si="932"/>
        <v>0</v>
      </c>
      <c r="DR1272" s="351">
        <f t="shared" si="933"/>
        <v>0</v>
      </c>
      <c r="DS1272" s="351"/>
      <c r="DT1272" s="1"/>
      <c r="DU1272" s="1"/>
      <c r="DV1272" s="1"/>
      <c r="DW1272" s="1"/>
      <c r="DX1272" s="1"/>
      <c r="DY1272" s="1"/>
      <c r="DZ1272" s="1"/>
      <c r="EA1272" s="1"/>
      <c r="EB1272" s="1"/>
      <c r="EC1272" s="1"/>
      <c r="ED1272" s="1"/>
      <c r="EE1272" s="1"/>
      <c r="EF1272" s="1"/>
      <c r="EG1272" s="1"/>
      <c r="EH1272" s="1"/>
      <c r="EI1272" s="1"/>
      <c r="EJ1272" s="1"/>
      <c r="EK1272" s="1"/>
      <c r="EL1272" s="1"/>
      <c r="EM1272" s="1"/>
      <c r="EN1272" s="1"/>
      <c r="EO1272" s="1"/>
      <c r="EP1272" s="1"/>
      <c r="EQ1272" s="1"/>
      <c r="ER1272" s="1"/>
      <c r="ES1272" s="1"/>
      <c r="ET1272" s="1"/>
      <c r="EU1272" s="1"/>
      <c r="EV1272" s="1"/>
      <c r="EW1272" s="1"/>
      <c r="EX1272" s="1"/>
      <c r="EY1272" s="1"/>
      <c r="EZ1272" s="1"/>
      <c r="FA1272" s="1"/>
      <c r="FB1272" s="1"/>
      <c r="FC1272" s="1"/>
      <c r="FD1272" s="1"/>
      <c r="FE1272" s="1"/>
      <c r="FF1272" s="1"/>
      <c r="FG1272" s="1"/>
      <c r="FH1272" s="1"/>
      <c r="FI1272" s="1"/>
      <c r="FJ1272" s="1"/>
      <c r="FK1272" s="1"/>
      <c r="FL1272" s="1"/>
      <c r="FM1272" s="1"/>
      <c r="FN1272" s="1"/>
      <c r="FO1272" s="1"/>
      <c r="FP1272" s="1"/>
      <c r="FQ1272" s="1"/>
      <c r="FR1272" s="1"/>
      <c r="FS1272" s="1"/>
      <c r="FT1272" s="1"/>
      <c r="FU1272" s="1"/>
      <c r="FV1272" s="1"/>
      <c r="FW1272" s="1"/>
      <c r="FX1272" s="1"/>
      <c r="FY1272" s="1"/>
      <c r="FZ1272" s="1"/>
      <c r="GA1272" s="1"/>
      <c r="GB1272" s="1"/>
      <c r="GC1272" s="1"/>
      <c r="GD1272" s="1"/>
      <c r="GE1272" s="1"/>
      <c r="GF1272" s="1"/>
      <c r="GG1272" s="1"/>
      <c r="GH1272" s="1"/>
      <c r="GI1272" s="1"/>
      <c r="GJ1272" s="1"/>
      <c r="GK1272" s="1"/>
      <c r="GL1272" s="1"/>
      <c r="GM1272" s="1"/>
      <c r="GN1272" s="1"/>
      <c r="GO1272" s="1"/>
      <c r="GP1272" s="1"/>
      <c r="GQ1272" s="1"/>
      <c r="GR1272" s="1"/>
      <c r="GS1272" s="1"/>
      <c r="GT1272" s="1"/>
      <c r="GU1272" s="1"/>
      <c r="GV1272" s="1"/>
      <c r="GW1272" s="1"/>
      <c r="GX1272" s="1"/>
      <c r="GY1272" s="1"/>
      <c r="GZ1272" s="1"/>
      <c r="HA1272" s="1"/>
      <c r="HB1272" s="1"/>
      <c r="HC1272" s="1"/>
      <c r="HD1272" s="1"/>
      <c r="HE1272" s="1"/>
      <c r="HF1272" s="1"/>
      <c r="HG1272" s="1"/>
      <c r="HH1272" s="1"/>
      <c r="HI1272" s="1"/>
      <c r="HJ1272" s="1"/>
      <c r="HK1272" s="1"/>
      <c r="HL1272" s="1"/>
      <c r="HM1272" s="1"/>
      <c r="HN1272" s="1"/>
      <c r="HO1272" s="1"/>
      <c r="HP1272" s="1"/>
      <c r="HQ1272" s="1"/>
      <c r="HR1272" s="1"/>
      <c r="HS1272" s="1"/>
      <c r="HT1272" s="1"/>
      <c r="HU1272" s="1"/>
      <c r="HV1272" s="1"/>
      <c r="HW1272" s="1"/>
      <c r="HX1272" s="1"/>
      <c r="HY1272" s="1"/>
      <c r="HZ1272" s="1"/>
      <c r="IA1272" s="1"/>
      <c r="IB1272" s="1"/>
      <c r="IC1272" s="1"/>
      <c r="ID1272" s="1"/>
      <c r="IE1272" s="1"/>
      <c r="IF1272" s="1"/>
      <c r="IG1272" s="1"/>
      <c r="IH1272" s="1"/>
      <c r="II1272" s="1"/>
      <c r="IJ1272" s="1"/>
      <c r="IK1272" s="1"/>
      <c r="IL1272" s="1"/>
      <c r="IM1272" s="1"/>
      <c r="IN1272" s="1"/>
      <c r="IO1272" s="1"/>
      <c r="IP1272" s="1"/>
      <c r="IQ1272" s="1"/>
      <c r="IR1272" s="1"/>
      <c r="IS1272" s="1"/>
      <c r="IT1272" s="1"/>
      <c r="IU1272" s="1"/>
      <c r="IV1272" s="1"/>
      <c r="IW1272" s="1"/>
      <c r="IX1272" s="1"/>
      <c r="IY1272" s="1"/>
      <c r="IZ1272" s="1"/>
      <c r="JA1272" s="1"/>
      <c r="JB1272" s="1"/>
      <c r="JC1272" s="1"/>
      <c r="JD1272" s="1"/>
    </row>
    <row r="1273" spans="1:264" s="347" customFormat="1" x14ac:dyDescent="0.2">
      <c r="A1273" s="347" t="s">
        <v>844</v>
      </c>
      <c r="B1273" s="348"/>
      <c r="BH1273" s="398">
        <v>0</v>
      </c>
      <c r="BI1273" s="398">
        <v>0</v>
      </c>
      <c r="BJ1273" s="351">
        <f>BI1273</f>
        <v>0</v>
      </c>
      <c r="BK1273" s="351"/>
      <c r="BL1273" s="398">
        <v>0</v>
      </c>
      <c r="BM1273" s="398">
        <v>0</v>
      </c>
      <c r="BN1273" s="351">
        <f>BM1273</f>
        <v>0</v>
      </c>
      <c r="BO1273" s="351"/>
      <c r="BP1273" s="398">
        <v>0</v>
      </c>
      <c r="BQ1273" s="398">
        <v>0</v>
      </c>
      <c r="BR1273" s="351">
        <f>BQ1273</f>
        <v>0</v>
      </c>
      <c r="BS1273" s="351"/>
      <c r="BT1273" s="398">
        <v>0</v>
      </c>
      <c r="BU1273" s="398">
        <v>0</v>
      </c>
      <c r="BV1273" s="351">
        <f>BU1273</f>
        <v>0</v>
      </c>
      <c r="BW1273" s="351"/>
      <c r="BX1273" s="398">
        <v>0</v>
      </c>
      <c r="BY1273" s="398">
        <v>1640</v>
      </c>
      <c r="BZ1273" s="351">
        <f>BY1273</f>
        <v>1640</v>
      </c>
      <c r="CA1273" s="351"/>
      <c r="CB1273" s="398">
        <v>1640</v>
      </c>
      <c r="CC1273" s="398">
        <v>1640</v>
      </c>
      <c r="CD1273" s="351">
        <f t="shared" si="920"/>
        <v>1640</v>
      </c>
      <c r="CE1273" s="351"/>
      <c r="CF1273" s="398">
        <v>1640</v>
      </c>
      <c r="CG1273" s="398">
        <v>1640</v>
      </c>
      <c r="CH1273" s="351">
        <f t="shared" si="921"/>
        <v>1640</v>
      </c>
      <c r="CI1273" s="351"/>
      <c r="CJ1273" s="398">
        <v>1640</v>
      </c>
      <c r="CK1273" s="398">
        <v>1640</v>
      </c>
      <c r="CL1273" s="351">
        <f t="shared" si="922"/>
        <v>1640</v>
      </c>
      <c r="CM1273" s="351"/>
      <c r="CN1273" s="398">
        <v>1640</v>
      </c>
      <c r="CO1273" s="398">
        <v>1640</v>
      </c>
      <c r="CP1273" s="351">
        <f t="shared" si="923"/>
        <v>1640</v>
      </c>
      <c r="CQ1273" s="351"/>
      <c r="CR1273" s="398">
        <v>1640</v>
      </c>
      <c r="CS1273" s="398">
        <v>0</v>
      </c>
      <c r="CT1273" s="351">
        <f t="shared" si="924"/>
        <v>0</v>
      </c>
      <c r="CU1273" s="1"/>
      <c r="CV1273" s="398">
        <v>0</v>
      </c>
      <c r="CW1273" s="351">
        <f t="shared" si="925"/>
        <v>0</v>
      </c>
      <c r="CX1273" s="351">
        <f t="shared" si="925"/>
        <v>0</v>
      </c>
      <c r="CY1273" s="351"/>
      <c r="CZ1273" s="398">
        <v>0</v>
      </c>
      <c r="DA1273" s="398">
        <v>0</v>
      </c>
      <c r="DB1273" s="351">
        <f t="shared" si="926"/>
        <v>0</v>
      </c>
      <c r="DC1273" s="351"/>
      <c r="DD1273" s="398">
        <v>0</v>
      </c>
      <c r="DE1273" s="398">
        <v>0</v>
      </c>
      <c r="DF1273" s="351">
        <f t="shared" si="927"/>
        <v>0</v>
      </c>
      <c r="DG1273" s="351"/>
      <c r="DH1273" s="398">
        <v>0</v>
      </c>
      <c r="DI1273" s="351">
        <f t="shared" si="928"/>
        <v>0</v>
      </c>
      <c r="DJ1273" s="351">
        <f t="shared" si="928"/>
        <v>0</v>
      </c>
      <c r="DK1273" s="351"/>
      <c r="DL1273" s="351">
        <f t="shared" si="929"/>
        <v>0</v>
      </c>
      <c r="DM1273" s="351">
        <f t="shared" si="930"/>
        <v>0</v>
      </c>
      <c r="DN1273" s="351">
        <f t="shared" si="930"/>
        <v>0</v>
      </c>
      <c r="DO1273" s="351"/>
      <c r="DP1273" s="351">
        <f t="shared" si="931"/>
        <v>0</v>
      </c>
      <c r="DQ1273" s="351">
        <f t="shared" si="932"/>
        <v>0</v>
      </c>
      <c r="DR1273" s="351">
        <f t="shared" si="933"/>
        <v>0</v>
      </c>
      <c r="DS1273" s="351"/>
      <c r="DT1273" s="1"/>
      <c r="DU1273" s="1"/>
      <c r="DV1273" s="1"/>
      <c r="DW1273" s="1"/>
      <c r="DX1273" s="1"/>
      <c r="DY1273" s="1"/>
      <c r="DZ1273" s="1"/>
      <c r="EA1273" s="1"/>
      <c r="EB1273" s="1"/>
      <c r="EC1273" s="1"/>
      <c r="ED1273" s="1"/>
      <c r="EE1273" s="1"/>
      <c r="EF1273" s="1"/>
      <c r="EG1273" s="1"/>
      <c r="EH1273" s="1"/>
      <c r="EI1273" s="1"/>
      <c r="EJ1273" s="1"/>
      <c r="EK1273" s="1"/>
      <c r="EL1273" s="1"/>
      <c r="EM1273" s="1"/>
      <c r="EN1273" s="1"/>
      <c r="EO1273" s="1"/>
      <c r="EP1273" s="1"/>
      <c r="EQ1273" s="1"/>
      <c r="ER1273" s="1"/>
      <c r="ES1273" s="1"/>
      <c r="ET1273" s="1"/>
      <c r="EU1273" s="1"/>
      <c r="EV1273" s="1"/>
      <c r="EW1273" s="1"/>
      <c r="EX1273" s="1"/>
      <c r="EY1273" s="1"/>
      <c r="EZ1273" s="1"/>
      <c r="FA1273" s="1"/>
      <c r="FB1273" s="1"/>
      <c r="FC1273" s="1"/>
      <c r="FD1273" s="1"/>
      <c r="FE1273" s="1"/>
      <c r="FF1273" s="1"/>
      <c r="FG1273" s="1"/>
      <c r="FH1273" s="1"/>
      <c r="FI1273" s="1"/>
      <c r="FJ1273" s="1"/>
      <c r="FK1273" s="1"/>
      <c r="FL1273" s="1"/>
      <c r="FM1273" s="1"/>
      <c r="FN1273" s="1"/>
      <c r="FO1273" s="1"/>
      <c r="FP1273" s="1"/>
      <c r="FQ1273" s="1"/>
      <c r="FR1273" s="1"/>
      <c r="FS1273" s="1"/>
      <c r="FT1273" s="1"/>
      <c r="FU1273" s="1"/>
      <c r="FV1273" s="1"/>
      <c r="FW1273" s="1"/>
      <c r="FX1273" s="1"/>
      <c r="FY1273" s="1"/>
      <c r="FZ1273" s="1"/>
      <c r="GA1273" s="1"/>
      <c r="GB1273" s="1"/>
      <c r="GC1273" s="1"/>
      <c r="GD1273" s="1"/>
      <c r="GE1273" s="1"/>
      <c r="GF1273" s="1"/>
      <c r="GG1273" s="1"/>
      <c r="GH1273" s="1"/>
      <c r="GI1273" s="1"/>
      <c r="GJ1273" s="1"/>
      <c r="GK1273" s="1"/>
      <c r="GL1273" s="1"/>
      <c r="GM1273" s="1"/>
      <c r="GN1273" s="1"/>
      <c r="GO1273" s="1"/>
      <c r="GP1273" s="1"/>
      <c r="GQ1273" s="1"/>
      <c r="GR1273" s="1"/>
      <c r="GS1273" s="1"/>
      <c r="GT1273" s="1"/>
      <c r="GU1273" s="1"/>
      <c r="GV1273" s="1"/>
      <c r="GW1273" s="1"/>
      <c r="GX1273" s="1"/>
      <c r="GY1273" s="1"/>
      <c r="GZ1273" s="1"/>
      <c r="HA1273" s="1"/>
      <c r="HB1273" s="1"/>
      <c r="HC1273" s="1"/>
      <c r="HD1273" s="1"/>
      <c r="HE1273" s="1"/>
      <c r="HF1273" s="1"/>
      <c r="HG1273" s="1"/>
      <c r="HH1273" s="1"/>
      <c r="HI1273" s="1"/>
      <c r="HJ1273" s="1"/>
      <c r="HK1273" s="1"/>
      <c r="HL1273" s="1"/>
      <c r="HM1273" s="1"/>
      <c r="HN1273" s="1"/>
      <c r="HO1273" s="1"/>
      <c r="HP1273" s="1"/>
      <c r="HQ1273" s="1"/>
      <c r="HR1273" s="1"/>
      <c r="HS1273" s="1"/>
      <c r="HT1273" s="1"/>
      <c r="HU1273" s="1"/>
      <c r="HV1273" s="1"/>
      <c r="HW1273" s="1"/>
      <c r="HX1273" s="1"/>
      <c r="HY1273" s="1"/>
      <c r="HZ1273" s="1"/>
      <c r="IA1273" s="1"/>
      <c r="IB1273" s="1"/>
      <c r="IC1273" s="1"/>
      <c r="ID1273" s="1"/>
      <c r="IE1273" s="1"/>
      <c r="IF1273" s="1"/>
      <c r="IG1273" s="1"/>
      <c r="IH1273" s="1"/>
      <c r="II1273" s="1"/>
      <c r="IJ1273" s="1"/>
      <c r="IK1273" s="1"/>
      <c r="IL1273" s="1"/>
      <c r="IM1273" s="1"/>
      <c r="IN1273" s="1"/>
      <c r="IO1273" s="1"/>
      <c r="IP1273" s="1"/>
      <c r="IQ1273" s="1"/>
      <c r="IR1273" s="1"/>
      <c r="IS1273" s="1"/>
      <c r="IT1273" s="1"/>
      <c r="IU1273" s="1"/>
      <c r="IV1273" s="1"/>
      <c r="IW1273" s="1"/>
      <c r="IX1273" s="1"/>
      <c r="IY1273" s="1"/>
      <c r="IZ1273" s="1"/>
      <c r="JA1273" s="1"/>
      <c r="JB1273" s="1"/>
      <c r="JC1273" s="1"/>
      <c r="JD1273" s="1"/>
    </row>
    <row r="1274" spans="1:264" s="347" customFormat="1" x14ac:dyDescent="0.2">
      <c r="A1274" s="347" t="s">
        <v>845</v>
      </c>
      <c r="B1274" s="348"/>
      <c r="BH1274" s="398"/>
      <c r="BI1274" s="398"/>
      <c r="BJ1274" s="351"/>
      <c r="BK1274" s="351"/>
      <c r="BL1274" s="398"/>
      <c r="BM1274" s="398"/>
      <c r="BN1274" s="351"/>
      <c r="BO1274" s="351"/>
      <c r="BP1274" s="398"/>
      <c r="BQ1274" s="398"/>
      <c r="BR1274" s="351"/>
      <c r="BS1274" s="351"/>
      <c r="BT1274" s="398"/>
      <c r="BU1274" s="398"/>
      <c r="BV1274" s="351"/>
      <c r="BW1274" s="351"/>
      <c r="BX1274" s="398"/>
      <c r="BY1274" s="398"/>
      <c r="BZ1274" s="351"/>
      <c r="CA1274" s="351"/>
      <c r="CB1274" s="398">
        <v>0</v>
      </c>
      <c r="CC1274" s="398">
        <v>1365</v>
      </c>
      <c r="CD1274" s="351">
        <f t="shared" si="920"/>
        <v>1365</v>
      </c>
      <c r="CE1274" s="351"/>
      <c r="CF1274" s="398">
        <v>1365</v>
      </c>
      <c r="CG1274" s="398">
        <v>1365</v>
      </c>
      <c r="CH1274" s="351">
        <f t="shared" si="921"/>
        <v>1365</v>
      </c>
      <c r="CI1274" s="351"/>
      <c r="CJ1274" s="398">
        <v>1365</v>
      </c>
      <c r="CK1274" s="398">
        <v>1365</v>
      </c>
      <c r="CL1274" s="351">
        <f t="shared" si="922"/>
        <v>1365</v>
      </c>
      <c r="CM1274" s="351"/>
      <c r="CN1274" s="398">
        <v>1365</v>
      </c>
      <c r="CO1274" s="398">
        <v>1365</v>
      </c>
      <c r="CP1274" s="351">
        <f t="shared" si="923"/>
        <v>1365</v>
      </c>
      <c r="CQ1274" s="351"/>
      <c r="CR1274" s="398">
        <v>1365</v>
      </c>
      <c r="CS1274" s="398">
        <v>1365</v>
      </c>
      <c r="CT1274" s="351">
        <f t="shared" si="924"/>
        <v>1365</v>
      </c>
      <c r="CU1274" s="1"/>
      <c r="CV1274" s="398">
        <v>1365</v>
      </c>
      <c r="CW1274" s="351">
        <f t="shared" si="925"/>
        <v>1365</v>
      </c>
      <c r="CX1274" s="351">
        <f t="shared" si="925"/>
        <v>1365</v>
      </c>
      <c r="CY1274" s="351"/>
      <c r="CZ1274" s="398">
        <v>1365</v>
      </c>
      <c r="DA1274" s="398">
        <v>1365</v>
      </c>
      <c r="DB1274" s="351">
        <f t="shared" si="926"/>
        <v>1365</v>
      </c>
      <c r="DC1274" s="351"/>
      <c r="DD1274" s="398">
        <v>1365</v>
      </c>
      <c r="DE1274" s="398">
        <v>0</v>
      </c>
      <c r="DF1274" s="351">
        <f t="shared" si="927"/>
        <v>0</v>
      </c>
      <c r="DG1274" s="351"/>
      <c r="DH1274" s="398">
        <v>0</v>
      </c>
      <c r="DI1274" s="351">
        <f t="shared" si="928"/>
        <v>0</v>
      </c>
      <c r="DJ1274" s="351">
        <f t="shared" si="928"/>
        <v>0</v>
      </c>
      <c r="DK1274" s="351"/>
      <c r="DL1274" s="351">
        <f t="shared" si="929"/>
        <v>0</v>
      </c>
      <c r="DM1274" s="351">
        <f t="shared" si="930"/>
        <v>0</v>
      </c>
      <c r="DN1274" s="351">
        <f t="shared" si="930"/>
        <v>0</v>
      </c>
      <c r="DO1274" s="351"/>
      <c r="DP1274" s="351">
        <f t="shared" si="931"/>
        <v>0</v>
      </c>
      <c r="DQ1274" s="351">
        <f t="shared" si="932"/>
        <v>0</v>
      </c>
      <c r="DR1274" s="351">
        <f t="shared" si="933"/>
        <v>0</v>
      </c>
      <c r="DS1274" s="351"/>
      <c r="DT1274" s="1"/>
      <c r="DU1274" s="1"/>
      <c r="DV1274" s="1"/>
      <c r="DW1274" s="1"/>
      <c r="DX1274" s="1"/>
      <c r="DY1274" s="1"/>
      <c r="DZ1274" s="1"/>
      <c r="EA1274" s="1"/>
      <c r="EB1274" s="1"/>
      <c r="EC1274" s="1"/>
      <c r="ED1274" s="1"/>
      <c r="EE1274" s="1"/>
      <c r="EF1274" s="1"/>
      <c r="EG1274" s="1"/>
      <c r="EH1274" s="1"/>
      <c r="EI1274" s="1"/>
      <c r="EJ1274" s="1"/>
      <c r="EK1274" s="1"/>
      <c r="EL1274" s="1"/>
      <c r="EM1274" s="1"/>
      <c r="EN1274" s="1"/>
      <c r="EO1274" s="1"/>
      <c r="EP1274" s="1"/>
      <c r="EQ1274" s="1"/>
      <c r="ER1274" s="1"/>
      <c r="ES1274" s="1"/>
      <c r="ET1274" s="1"/>
      <c r="EU1274" s="1"/>
      <c r="EV1274" s="1"/>
      <c r="EW1274" s="1"/>
      <c r="EX1274" s="1"/>
      <c r="EY1274" s="1"/>
      <c r="EZ1274" s="1"/>
      <c r="FA1274" s="1"/>
      <c r="FB1274" s="1"/>
      <c r="FC1274" s="1"/>
      <c r="FD1274" s="1"/>
      <c r="FE1274" s="1"/>
      <c r="FF1274" s="1"/>
      <c r="FG1274" s="1"/>
      <c r="FH1274" s="1"/>
      <c r="FI1274" s="1"/>
      <c r="FJ1274" s="1"/>
      <c r="FK1274" s="1"/>
      <c r="FL1274" s="1"/>
      <c r="FM1274" s="1"/>
      <c r="FN1274" s="1"/>
      <c r="FO1274" s="1"/>
      <c r="FP1274" s="1"/>
      <c r="FQ1274" s="1"/>
      <c r="FR1274" s="1"/>
      <c r="FS1274" s="1"/>
      <c r="FT1274" s="1"/>
      <c r="FU1274" s="1"/>
      <c r="FV1274" s="1"/>
      <c r="FW1274" s="1"/>
      <c r="FX1274" s="1"/>
      <c r="FY1274" s="1"/>
      <c r="FZ1274" s="1"/>
      <c r="GA1274" s="1"/>
      <c r="GB1274" s="1"/>
      <c r="GC1274" s="1"/>
      <c r="GD1274" s="1"/>
      <c r="GE1274" s="1"/>
      <c r="GF1274" s="1"/>
      <c r="GG1274" s="1"/>
      <c r="GH1274" s="1"/>
      <c r="GI1274" s="1"/>
      <c r="GJ1274" s="1"/>
      <c r="GK1274" s="1"/>
      <c r="GL1274" s="1"/>
      <c r="GM1274" s="1"/>
      <c r="GN1274" s="1"/>
      <c r="GO1274" s="1"/>
      <c r="GP1274" s="1"/>
      <c r="GQ1274" s="1"/>
      <c r="GR1274" s="1"/>
      <c r="GS1274" s="1"/>
      <c r="GT1274" s="1"/>
      <c r="GU1274" s="1"/>
      <c r="GV1274" s="1"/>
      <c r="GW1274" s="1"/>
      <c r="GX1274" s="1"/>
      <c r="GY1274" s="1"/>
      <c r="GZ1274" s="1"/>
      <c r="HA1274" s="1"/>
      <c r="HB1274" s="1"/>
      <c r="HC1274" s="1"/>
      <c r="HD1274" s="1"/>
      <c r="HE1274" s="1"/>
      <c r="HF1274" s="1"/>
      <c r="HG1274" s="1"/>
      <c r="HH1274" s="1"/>
      <c r="HI1274" s="1"/>
      <c r="HJ1274" s="1"/>
      <c r="HK1274" s="1"/>
      <c r="HL1274" s="1"/>
      <c r="HM1274" s="1"/>
      <c r="HN1274" s="1"/>
      <c r="HO1274" s="1"/>
      <c r="HP1274" s="1"/>
      <c r="HQ1274" s="1"/>
      <c r="HR1274" s="1"/>
      <c r="HS1274" s="1"/>
      <c r="HT1274" s="1"/>
      <c r="HU1274" s="1"/>
      <c r="HV1274" s="1"/>
      <c r="HW1274" s="1"/>
      <c r="HX1274" s="1"/>
      <c r="HY1274" s="1"/>
      <c r="HZ1274" s="1"/>
      <c r="IA1274" s="1"/>
      <c r="IB1274" s="1"/>
      <c r="IC1274" s="1"/>
      <c r="ID1274" s="1"/>
      <c r="IE1274" s="1"/>
      <c r="IF1274" s="1"/>
      <c r="IG1274" s="1"/>
      <c r="IH1274" s="1"/>
      <c r="II1274" s="1"/>
      <c r="IJ1274" s="1"/>
      <c r="IK1274" s="1"/>
      <c r="IL1274" s="1"/>
      <c r="IM1274" s="1"/>
      <c r="IN1274" s="1"/>
      <c r="IO1274" s="1"/>
      <c r="IP1274" s="1"/>
      <c r="IQ1274" s="1"/>
      <c r="IR1274" s="1"/>
      <c r="IS1274" s="1"/>
      <c r="IT1274" s="1"/>
      <c r="IU1274" s="1"/>
      <c r="IV1274" s="1"/>
      <c r="IW1274" s="1"/>
      <c r="IX1274" s="1"/>
      <c r="IY1274" s="1"/>
      <c r="IZ1274" s="1"/>
      <c r="JA1274" s="1"/>
      <c r="JB1274" s="1"/>
      <c r="JC1274" s="1"/>
      <c r="JD1274" s="1"/>
    </row>
    <row r="1275" spans="1:264" s="347" customFormat="1" x14ac:dyDescent="0.2">
      <c r="A1275" s="347" t="s">
        <v>846</v>
      </c>
      <c r="B1275" s="348"/>
      <c r="BH1275" s="398"/>
      <c r="BI1275" s="398"/>
      <c r="BJ1275" s="351"/>
      <c r="BK1275" s="351"/>
      <c r="BL1275" s="398"/>
      <c r="BM1275" s="398"/>
      <c r="BN1275" s="351"/>
      <c r="BO1275" s="351"/>
      <c r="BP1275" s="398"/>
      <c r="BQ1275" s="398"/>
      <c r="BR1275" s="351"/>
      <c r="BS1275" s="351"/>
      <c r="BT1275" s="398"/>
      <c r="BU1275" s="398"/>
      <c r="BV1275" s="351"/>
      <c r="BW1275" s="351"/>
      <c r="BX1275" s="398"/>
      <c r="BY1275" s="398"/>
      <c r="BZ1275" s="351"/>
      <c r="CA1275" s="351"/>
      <c r="CB1275" s="398"/>
      <c r="CC1275" s="398"/>
      <c r="CD1275" s="351">
        <f t="shared" si="920"/>
        <v>0</v>
      </c>
      <c r="CE1275" s="351"/>
      <c r="CF1275" s="398">
        <v>1590</v>
      </c>
      <c r="CG1275" s="398">
        <v>1590</v>
      </c>
      <c r="CH1275" s="351">
        <f t="shared" si="921"/>
        <v>1590</v>
      </c>
      <c r="CI1275" s="351"/>
      <c r="CJ1275" s="398">
        <v>1590</v>
      </c>
      <c r="CK1275" s="398">
        <v>1590</v>
      </c>
      <c r="CL1275" s="351">
        <f t="shared" si="922"/>
        <v>1590</v>
      </c>
      <c r="CM1275" s="351"/>
      <c r="CN1275" s="398">
        <v>1590</v>
      </c>
      <c r="CO1275" s="398">
        <v>1590</v>
      </c>
      <c r="CP1275" s="351">
        <f t="shared" si="923"/>
        <v>1590</v>
      </c>
      <c r="CQ1275" s="351"/>
      <c r="CR1275" s="398">
        <v>1590</v>
      </c>
      <c r="CS1275" s="398">
        <v>1590</v>
      </c>
      <c r="CT1275" s="351">
        <f t="shared" si="924"/>
        <v>1590</v>
      </c>
      <c r="CU1275" s="1"/>
      <c r="CV1275" s="398">
        <v>1590</v>
      </c>
      <c r="CW1275" s="351">
        <f t="shared" si="925"/>
        <v>1590</v>
      </c>
      <c r="CX1275" s="351">
        <f t="shared" si="925"/>
        <v>1590</v>
      </c>
      <c r="CY1275" s="351"/>
      <c r="CZ1275" s="398">
        <v>1590</v>
      </c>
      <c r="DA1275" s="398">
        <v>0</v>
      </c>
      <c r="DB1275" s="351">
        <f t="shared" si="926"/>
        <v>0</v>
      </c>
      <c r="DC1275" s="351"/>
      <c r="DD1275" s="398">
        <v>0</v>
      </c>
      <c r="DE1275" s="351">
        <f t="shared" si="927"/>
        <v>0</v>
      </c>
      <c r="DF1275" s="351">
        <f t="shared" si="927"/>
        <v>0</v>
      </c>
      <c r="DG1275" s="351"/>
      <c r="DH1275" s="398">
        <v>0</v>
      </c>
      <c r="DI1275" s="351">
        <f t="shared" si="928"/>
        <v>0</v>
      </c>
      <c r="DJ1275" s="351">
        <f t="shared" si="928"/>
        <v>0</v>
      </c>
      <c r="DK1275" s="351"/>
      <c r="DL1275" s="351">
        <f t="shared" si="929"/>
        <v>0</v>
      </c>
      <c r="DM1275" s="351">
        <f t="shared" si="930"/>
        <v>0</v>
      </c>
      <c r="DN1275" s="351">
        <f t="shared" si="930"/>
        <v>0</v>
      </c>
      <c r="DO1275" s="351"/>
      <c r="DP1275" s="351">
        <f t="shared" si="931"/>
        <v>0</v>
      </c>
      <c r="DQ1275" s="351">
        <f t="shared" si="932"/>
        <v>0</v>
      </c>
      <c r="DR1275" s="351">
        <f t="shared" si="933"/>
        <v>0</v>
      </c>
      <c r="DS1275" s="351"/>
      <c r="DT1275" s="1"/>
      <c r="DU1275" s="1"/>
      <c r="DV1275" s="1"/>
      <c r="DW1275" s="1"/>
      <c r="DX1275" s="1"/>
      <c r="DY1275" s="1"/>
      <c r="DZ1275" s="1"/>
      <c r="EA1275" s="1"/>
      <c r="EB1275" s="1"/>
      <c r="EC1275" s="1"/>
      <c r="ED1275" s="1"/>
      <c r="EE1275" s="1"/>
      <c r="EF1275" s="1"/>
      <c r="EG1275" s="1"/>
      <c r="EH1275" s="1"/>
      <c r="EI1275" s="1"/>
      <c r="EJ1275" s="1"/>
      <c r="EK1275" s="1"/>
      <c r="EL1275" s="1"/>
      <c r="EM1275" s="1"/>
      <c r="EN1275" s="1"/>
      <c r="EO1275" s="1"/>
      <c r="EP1275" s="1"/>
      <c r="EQ1275" s="1"/>
      <c r="ER1275" s="1"/>
      <c r="ES1275" s="1"/>
      <c r="ET1275" s="1"/>
      <c r="EU1275" s="1"/>
      <c r="EV1275" s="1"/>
      <c r="EW1275" s="1"/>
      <c r="EX1275" s="1"/>
      <c r="EY1275" s="1"/>
      <c r="EZ1275" s="1"/>
      <c r="FA1275" s="1"/>
      <c r="FB1275" s="1"/>
      <c r="FC1275" s="1"/>
      <c r="FD1275" s="1"/>
      <c r="FE1275" s="1"/>
      <c r="FF1275" s="1"/>
      <c r="FG1275" s="1"/>
      <c r="FH1275" s="1"/>
      <c r="FI1275" s="1"/>
      <c r="FJ1275" s="1"/>
      <c r="FK1275" s="1"/>
      <c r="FL1275" s="1"/>
      <c r="FM1275" s="1"/>
      <c r="FN1275" s="1"/>
      <c r="FO1275" s="1"/>
      <c r="FP1275" s="1"/>
      <c r="FQ1275" s="1"/>
      <c r="FR1275" s="1"/>
      <c r="FS1275" s="1"/>
      <c r="FT1275" s="1"/>
      <c r="FU1275" s="1"/>
      <c r="FV1275" s="1"/>
      <c r="FW1275" s="1"/>
      <c r="FX1275" s="1"/>
      <c r="FY1275" s="1"/>
      <c r="FZ1275" s="1"/>
      <c r="GA1275" s="1"/>
      <c r="GB1275" s="1"/>
      <c r="GC1275" s="1"/>
      <c r="GD1275" s="1"/>
      <c r="GE1275" s="1"/>
      <c r="GF1275" s="1"/>
      <c r="GG1275" s="1"/>
      <c r="GH1275" s="1"/>
      <c r="GI1275" s="1"/>
      <c r="GJ1275" s="1"/>
      <c r="GK1275" s="1"/>
      <c r="GL1275" s="1"/>
      <c r="GM1275" s="1"/>
      <c r="GN1275" s="1"/>
      <c r="GO1275" s="1"/>
      <c r="GP1275" s="1"/>
      <c r="GQ1275" s="1"/>
      <c r="GR1275" s="1"/>
      <c r="GS1275" s="1"/>
      <c r="GT1275" s="1"/>
      <c r="GU1275" s="1"/>
      <c r="GV1275" s="1"/>
      <c r="GW1275" s="1"/>
      <c r="GX1275" s="1"/>
      <c r="GY1275" s="1"/>
      <c r="GZ1275" s="1"/>
      <c r="HA1275" s="1"/>
      <c r="HB1275" s="1"/>
      <c r="HC1275" s="1"/>
      <c r="HD1275" s="1"/>
      <c r="HE1275" s="1"/>
      <c r="HF1275" s="1"/>
      <c r="HG1275" s="1"/>
      <c r="HH1275" s="1"/>
      <c r="HI1275" s="1"/>
      <c r="HJ1275" s="1"/>
      <c r="HK1275" s="1"/>
      <c r="HL1275" s="1"/>
      <c r="HM1275" s="1"/>
      <c r="HN1275" s="1"/>
      <c r="HO1275" s="1"/>
      <c r="HP1275" s="1"/>
      <c r="HQ1275" s="1"/>
      <c r="HR1275" s="1"/>
      <c r="HS1275" s="1"/>
      <c r="HT1275" s="1"/>
      <c r="HU1275" s="1"/>
      <c r="HV1275" s="1"/>
      <c r="HW1275" s="1"/>
      <c r="HX1275" s="1"/>
      <c r="HY1275" s="1"/>
      <c r="HZ1275" s="1"/>
      <c r="IA1275" s="1"/>
      <c r="IB1275" s="1"/>
      <c r="IC1275" s="1"/>
      <c r="ID1275" s="1"/>
      <c r="IE1275" s="1"/>
      <c r="IF1275" s="1"/>
      <c r="IG1275" s="1"/>
      <c r="IH1275" s="1"/>
      <c r="II1275" s="1"/>
      <c r="IJ1275" s="1"/>
      <c r="IK1275" s="1"/>
      <c r="IL1275" s="1"/>
      <c r="IM1275" s="1"/>
      <c r="IN1275" s="1"/>
      <c r="IO1275" s="1"/>
      <c r="IP1275" s="1"/>
      <c r="IQ1275" s="1"/>
      <c r="IR1275" s="1"/>
      <c r="IS1275" s="1"/>
      <c r="IT1275" s="1"/>
      <c r="IU1275" s="1"/>
      <c r="IV1275" s="1"/>
      <c r="IW1275" s="1"/>
      <c r="IX1275" s="1"/>
      <c r="IY1275" s="1"/>
      <c r="IZ1275" s="1"/>
      <c r="JA1275" s="1"/>
      <c r="JB1275" s="1"/>
      <c r="JC1275" s="1"/>
      <c r="JD1275" s="1"/>
    </row>
    <row r="1276" spans="1:264" s="347" customFormat="1" x14ac:dyDescent="0.2">
      <c r="A1276" s="347" t="s">
        <v>847</v>
      </c>
      <c r="B1276" s="348"/>
      <c r="BH1276" s="398"/>
      <c r="BI1276" s="398"/>
      <c r="BJ1276" s="351"/>
      <c r="BK1276" s="351"/>
      <c r="BL1276" s="398"/>
      <c r="BM1276" s="398"/>
      <c r="BN1276" s="351"/>
      <c r="BO1276" s="351"/>
      <c r="BP1276" s="398"/>
      <c r="BQ1276" s="398"/>
      <c r="BR1276" s="351"/>
      <c r="BS1276" s="351"/>
      <c r="BT1276" s="398"/>
      <c r="BU1276" s="398"/>
      <c r="BV1276" s="351"/>
      <c r="BW1276" s="351"/>
      <c r="BX1276" s="398"/>
      <c r="BY1276" s="398"/>
      <c r="BZ1276" s="351"/>
      <c r="CA1276" s="351"/>
      <c r="CB1276" s="398"/>
      <c r="CC1276" s="398"/>
      <c r="CD1276" s="351">
        <f t="shared" si="920"/>
        <v>0</v>
      </c>
      <c r="CE1276" s="351"/>
      <c r="CF1276" s="398"/>
      <c r="CG1276" s="398"/>
      <c r="CH1276" s="351">
        <f t="shared" si="921"/>
        <v>0</v>
      </c>
      <c r="CI1276" s="351"/>
      <c r="CJ1276" s="398">
        <v>1650</v>
      </c>
      <c r="CK1276" s="398">
        <v>1650</v>
      </c>
      <c r="CL1276" s="351">
        <f t="shared" si="922"/>
        <v>1650</v>
      </c>
      <c r="CM1276" s="351"/>
      <c r="CN1276" s="398">
        <v>1650</v>
      </c>
      <c r="CO1276" s="398">
        <v>1650</v>
      </c>
      <c r="CP1276" s="351">
        <f t="shared" si="923"/>
        <v>1650</v>
      </c>
      <c r="CQ1276" s="351"/>
      <c r="CR1276" s="398">
        <v>1650</v>
      </c>
      <c r="CS1276" s="398">
        <v>1650</v>
      </c>
      <c r="CT1276" s="351">
        <f t="shared" si="924"/>
        <v>1650</v>
      </c>
      <c r="CU1276" s="1"/>
      <c r="CV1276" s="398">
        <v>1650</v>
      </c>
      <c r="CW1276" s="351">
        <f t="shared" si="925"/>
        <v>1650</v>
      </c>
      <c r="CX1276" s="351">
        <f t="shared" si="925"/>
        <v>1650</v>
      </c>
      <c r="CY1276" s="351"/>
      <c r="CZ1276" s="398">
        <v>1650</v>
      </c>
      <c r="DA1276" s="398">
        <v>1650</v>
      </c>
      <c r="DB1276" s="351">
        <f t="shared" si="926"/>
        <v>1650</v>
      </c>
      <c r="DC1276" s="351"/>
      <c r="DD1276" s="398">
        <v>1650</v>
      </c>
      <c r="DE1276" s="398">
        <v>1650</v>
      </c>
      <c r="DF1276" s="351">
        <f t="shared" si="927"/>
        <v>1650</v>
      </c>
      <c r="DG1276" s="351"/>
      <c r="DH1276" s="398">
        <v>1650</v>
      </c>
      <c r="DI1276" s="351">
        <f t="shared" si="928"/>
        <v>1650</v>
      </c>
      <c r="DJ1276" s="351">
        <f t="shared" si="928"/>
        <v>1650</v>
      </c>
      <c r="DK1276" s="351"/>
      <c r="DL1276" s="351">
        <f t="shared" si="929"/>
        <v>1650</v>
      </c>
      <c r="DM1276" s="351">
        <f t="shared" si="930"/>
        <v>1650</v>
      </c>
      <c r="DN1276" s="351">
        <f t="shared" si="930"/>
        <v>1650</v>
      </c>
      <c r="DO1276" s="351"/>
      <c r="DP1276" s="351">
        <f t="shared" si="931"/>
        <v>1650</v>
      </c>
      <c r="DQ1276" s="351">
        <f t="shared" si="932"/>
        <v>1650</v>
      </c>
      <c r="DR1276" s="351">
        <f t="shared" si="933"/>
        <v>1650</v>
      </c>
      <c r="DS1276" s="351"/>
      <c r="DT1276" s="1"/>
      <c r="DU1276" s="1"/>
      <c r="DV1276" s="1"/>
      <c r="DW1276" s="1"/>
      <c r="DX1276" s="1"/>
      <c r="DY1276" s="1"/>
      <c r="DZ1276" s="1"/>
      <c r="EA1276" s="1"/>
      <c r="EB1276" s="1"/>
      <c r="EC1276" s="1"/>
      <c r="ED1276" s="1"/>
      <c r="EE1276" s="1"/>
      <c r="EF1276" s="1"/>
      <c r="EG1276" s="1"/>
      <c r="EH1276" s="1"/>
      <c r="EI1276" s="1"/>
      <c r="EJ1276" s="1"/>
      <c r="EK1276" s="1"/>
      <c r="EL1276" s="1"/>
      <c r="EM1276" s="1"/>
      <c r="EN1276" s="1"/>
      <c r="EO1276" s="1"/>
      <c r="EP1276" s="1"/>
      <c r="EQ1276" s="1"/>
      <c r="ER1276" s="1"/>
      <c r="ES1276" s="1"/>
      <c r="ET1276" s="1"/>
      <c r="EU1276" s="1"/>
      <c r="EV1276" s="1"/>
      <c r="EW1276" s="1"/>
      <c r="EX1276" s="1"/>
      <c r="EY1276" s="1"/>
      <c r="EZ1276" s="1"/>
      <c r="FA1276" s="1"/>
      <c r="FB1276" s="1"/>
      <c r="FC1276" s="1"/>
      <c r="FD1276" s="1"/>
      <c r="FE1276" s="1"/>
      <c r="FF1276" s="1"/>
      <c r="FG1276" s="1"/>
      <c r="FH1276" s="1"/>
      <c r="FI1276" s="1"/>
      <c r="FJ1276" s="1"/>
      <c r="FK1276" s="1"/>
      <c r="FL1276" s="1"/>
      <c r="FM1276" s="1"/>
      <c r="FN1276" s="1"/>
      <c r="FO1276" s="1"/>
      <c r="FP1276" s="1"/>
      <c r="FQ1276" s="1"/>
      <c r="FR1276" s="1"/>
      <c r="FS1276" s="1"/>
      <c r="FT1276" s="1"/>
      <c r="FU1276" s="1"/>
      <c r="FV1276" s="1"/>
      <c r="FW1276" s="1"/>
      <c r="FX1276" s="1"/>
      <c r="FY1276" s="1"/>
      <c r="FZ1276" s="1"/>
      <c r="GA1276" s="1"/>
      <c r="GB1276" s="1"/>
      <c r="GC1276" s="1"/>
      <c r="GD1276" s="1"/>
      <c r="GE1276" s="1"/>
      <c r="GF1276" s="1"/>
      <c r="GG1276" s="1"/>
      <c r="GH1276" s="1"/>
      <c r="GI1276" s="1"/>
      <c r="GJ1276" s="1"/>
      <c r="GK1276" s="1"/>
      <c r="GL1276" s="1"/>
      <c r="GM1276" s="1"/>
      <c r="GN1276" s="1"/>
      <c r="GO1276" s="1"/>
      <c r="GP1276" s="1"/>
      <c r="GQ1276" s="1"/>
      <c r="GR1276" s="1"/>
      <c r="GS1276" s="1"/>
      <c r="GT1276" s="1"/>
      <c r="GU1276" s="1"/>
      <c r="GV1276" s="1"/>
      <c r="GW1276" s="1"/>
      <c r="GX1276" s="1"/>
      <c r="GY1276" s="1"/>
      <c r="GZ1276" s="1"/>
      <c r="HA1276" s="1"/>
      <c r="HB1276" s="1"/>
      <c r="HC1276" s="1"/>
      <c r="HD1276" s="1"/>
      <c r="HE1276" s="1"/>
      <c r="HF1276" s="1"/>
      <c r="HG1276" s="1"/>
      <c r="HH1276" s="1"/>
      <c r="HI1276" s="1"/>
      <c r="HJ1276" s="1"/>
      <c r="HK1276" s="1"/>
      <c r="HL1276" s="1"/>
      <c r="HM1276" s="1"/>
      <c r="HN1276" s="1"/>
      <c r="HO1276" s="1"/>
      <c r="HP1276" s="1"/>
      <c r="HQ1276" s="1"/>
      <c r="HR1276" s="1"/>
      <c r="HS1276" s="1"/>
      <c r="HT1276" s="1"/>
      <c r="HU1276" s="1"/>
      <c r="HV1276" s="1"/>
      <c r="HW1276" s="1"/>
      <c r="HX1276" s="1"/>
      <c r="HY1276" s="1"/>
      <c r="HZ1276" s="1"/>
      <c r="IA1276" s="1"/>
      <c r="IB1276" s="1"/>
      <c r="IC1276" s="1"/>
      <c r="ID1276" s="1"/>
      <c r="IE1276" s="1"/>
      <c r="IF1276" s="1"/>
      <c r="IG1276" s="1"/>
      <c r="IH1276" s="1"/>
      <c r="II1276" s="1"/>
      <c r="IJ1276" s="1"/>
      <c r="IK1276" s="1"/>
      <c r="IL1276" s="1"/>
      <c r="IM1276" s="1"/>
      <c r="IN1276" s="1"/>
      <c r="IO1276" s="1"/>
      <c r="IP1276" s="1"/>
      <c r="IQ1276" s="1"/>
      <c r="IR1276" s="1"/>
      <c r="IS1276" s="1"/>
      <c r="IT1276" s="1"/>
      <c r="IU1276" s="1"/>
      <c r="IV1276" s="1"/>
      <c r="IW1276" s="1"/>
      <c r="IX1276" s="1"/>
      <c r="IY1276" s="1"/>
      <c r="IZ1276" s="1"/>
      <c r="JA1276" s="1"/>
      <c r="JB1276" s="1"/>
      <c r="JC1276" s="1"/>
      <c r="JD1276" s="1"/>
    </row>
    <row r="1277" spans="1:264" s="347" customFormat="1" x14ac:dyDescent="0.2">
      <c r="A1277" s="347" t="s">
        <v>848</v>
      </c>
      <c r="B1277" s="348"/>
      <c r="BH1277" s="398"/>
      <c r="BI1277" s="398"/>
      <c r="BJ1277" s="351"/>
      <c r="BK1277" s="351"/>
      <c r="BL1277" s="398"/>
      <c r="BM1277" s="398"/>
      <c r="BN1277" s="351"/>
      <c r="BO1277" s="351"/>
      <c r="BP1277" s="398"/>
      <c r="BQ1277" s="398"/>
      <c r="BR1277" s="351"/>
      <c r="BS1277" s="351"/>
      <c r="BT1277" s="398"/>
      <c r="BU1277" s="398"/>
      <c r="BV1277" s="351"/>
      <c r="BW1277" s="351"/>
      <c r="BX1277" s="398"/>
      <c r="BY1277" s="398"/>
      <c r="BZ1277" s="351"/>
      <c r="CA1277" s="351"/>
      <c r="CB1277" s="398"/>
      <c r="CC1277" s="398"/>
      <c r="CD1277" s="351"/>
      <c r="CE1277" s="351"/>
      <c r="CF1277" s="398"/>
      <c r="CG1277" s="398"/>
      <c r="CH1277" s="351"/>
      <c r="CI1277" s="351"/>
      <c r="CJ1277" s="398"/>
      <c r="CK1277" s="398"/>
      <c r="CL1277" s="351"/>
      <c r="CM1277" s="351"/>
      <c r="CN1277" s="398">
        <v>0</v>
      </c>
      <c r="CO1277" s="398">
        <v>1180</v>
      </c>
      <c r="CP1277" s="351">
        <f t="shared" si="923"/>
        <v>1180</v>
      </c>
      <c r="CQ1277" s="351"/>
      <c r="CR1277" s="398">
        <v>1180</v>
      </c>
      <c r="CS1277" s="398">
        <v>1180</v>
      </c>
      <c r="CT1277" s="351">
        <f t="shared" si="924"/>
        <v>1180</v>
      </c>
      <c r="CU1277" s="1"/>
      <c r="CV1277" s="398">
        <v>1180</v>
      </c>
      <c r="CW1277" s="351">
        <f t="shared" si="925"/>
        <v>1180</v>
      </c>
      <c r="CX1277" s="351">
        <f t="shared" si="925"/>
        <v>1180</v>
      </c>
      <c r="CY1277" s="351"/>
      <c r="CZ1277" s="398">
        <v>1180</v>
      </c>
      <c r="DA1277" s="398">
        <v>1180</v>
      </c>
      <c r="DB1277" s="351">
        <f t="shared" si="926"/>
        <v>1180</v>
      </c>
      <c r="DC1277" s="351"/>
      <c r="DD1277" s="398">
        <v>1180</v>
      </c>
      <c r="DE1277" s="398">
        <v>1180</v>
      </c>
      <c r="DF1277" s="351">
        <f t="shared" si="927"/>
        <v>1180</v>
      </c>
      <c r="DG1277" s="351"/>
      <c r="DH1277" s="398">
        <v>1180</v>
      </c>
      <c r="DI1277" s="351">
        <f t="shared" si="928"/>
        <v>1180</v>
      </c>
      <c r="DJ1277" s="351">
        <f t="shared" si="928"/>
        <v>1180</v>
      </c>
      <c r="DK1277" s="351"/>
      <c r="DL1277" s="351">
        <f t="shared" si="929"/>
        <v>1180</v>
      </c>
      <c r="DM1277" s="351">
        <f t="shared" si="930"/>
        <v>1180</v>
      </c>
      <c r="DN1277" s="351">
        <f t="shared" si="930"/>
        <v>1180</v>
      </c>
      <c r="DO1277" s="351"/>
      <c r="DP1277" s="351">
        <f t="shared" si="931"/>
        <v>1180</v>
      </c>
      <c r="DQ1277" s="351">
        <f t="shared" si="932"/>
        <v>1180</v>
      </c>
      <c r="DR1277" s="351">
        <f t="shared" si="933"/>
        <v>1180</v>
      </c>
      <c r="DS1277" s="351"/>
      <c r="DT1277" s="1"/>
      <c r="DU1277" s="1"/>
      <c r="DV1277" s="1"/>
      <c r="DW1277" s="1"/>
      <c r="DX1277" s="1"/>
      <c r="DY1277" s="1"/>
      <c r="DZ1277" s="1"/>
      <c r="EA1277" s="1"/>
      <c r="EB1277" s="1"/>
      <c r="EC1277" s="1"/>
      <c r="ED1277" s="1"/>
      <c r="EE1277" s="1"/>
      <c r="EF1277" s="1"/>
      <c r="EG1277" s="1"/>
      <c r="EH1277" s="1"/>
      <c r="EI1277" s="1"/>
      <c r="EJ1277" s="1"/>
      <c r="EK1277" s="1"/>
      <c r="EL1277" s="1"/>
      <c r="EM1277" s="1"/>
      <c r="EN1277" s="1"/>
      <c r="EO1277" s="1"/>
      <c r="EP1277" s="1"/>
      <c r="EQ1277" s="1"/>
      <c r="ER1277" s="1"/>
      <c r="ES1277" s="1"/>
      <c r="ET1277" s="1"/>
      <c r="EU1277" s="1"/>
      <c r="EV1277" s="1"/>
      <c r="EW1277" s="1"/>
      <c r="EX1277" s="1"/>
      <c r="EY1277" s="1"/>
      <c r="EZ1277" s="1"/>
      <c r="FA1277" s="1"/>
      <c r="FB1277" s="1"/>
      <c r="FC1277" s="1"/>
      <c r="FD1277" s="1"/>
      <c r="FE1277" s="1"/>
      <c r="FF1277" s="1"/>
      <c r="FG1277" s="1"/>
      <c r="FH1277" s="1"/>
      <c r="FI1277" s="1"/>
      <c r="FJ1277" s="1"/>
      <c r="FK1277" s="1"/>
      <c r="FL1277" s="1"/>
      <c r="FM1277" s="1"/>
      <c r="FN1277" s="1"/>
      <c r="FO1277" s="1"/>
      <c r="FP1277" s="1"/>
      <c r="FQ1277" s="1"/>
      <c r="FR1277" s="1"/>
      <c r="FS1277" s="1"/>
      <c r="FT1277" s="1"/>
      <c r="FU1277" s="1"/>
      <c r="FV1277" s="1"/>
      <c r="FW1277" s="1"/>
      <c r="FX1277" s="1"/>
      <c r="FY1277" s="1"/>
      <c r="FZ1277" s="1"/>
      <c r="GA1277" s="1"/>
      <c r="GB1277" s="1"/>
      <c r="GC1277" s="1"/>
      <c r="GD1277" s="1"/>
      <c r="GE1277" s="1"/>
      <c r="GF1277" s="1"/>
      <c r="GG1277" s="1"/>
      <c r="GH1277" s="1"/>
      <c r="GI1277" s="1"/>
      <c r="GJ1277" s="1"/>
      <c r="GK1277" s="1"/>
      <c r="GL1277" s="1"/>
      <c r="GM1277" s="1"/>
      <c r="GN1277" s="1"/>
      <c r="GO1277" s="1"/>
      <c r="GP1277" s="1"/>
      <c r="GQ1277" s="1"/>
      <c r="GR1277" s="1"/>
      <c r="GS1277" s="1"/>
      <c r="GT1277" s="1"/>
      <c r="GU1277" s="1"/>
      <c r="GV1277" s="1"/>
      <c r="GW1277" s="1"/>
      <c r="GX1277" s="1"/>
      <c r="GY1277" s="1"/>
      <c r="GZ1277" s="1"/>
      <c r="HA1277" s="1"/>
      <c r="HB1277" s="1"/>
      <c r="HC1277" s="1"/>
      <c r="HD1277" s="1"/>
      <c r="HE1277" s="1"/>
      <c r="HF1277" s="1"/>
      <c r="HG1277" s="1"/>
      <c r="HH1277" s="1"/>
      <c r="HI1277" s="1"/>
      <c r="HJ1277" s="1"/>
      <c r="HK1277" s="1"/>
      <c r="HL1277" s="1"/>
      <c r="HM1277" s="1"/>
      <c r="HN1277" s="1"/>
      <c r="HO1277" s="1"/>
      <c r="HP1277" s="1"/>
      <c r="HQ1277" s="1"/>
      <c r="HR1277" s="1"/>
      <c r="HS1277" s="1"/>
      <c r="HT1277" s="1"/>
      <c r="HU1277" s="1"/>
      <c r="HV1277" s="1"/>
      <c r="HW1277" s="1"/>
      <c r="HX1277" s="1"/>
      <c r="HY1277" s="1"/>
      <c r="HZ1277" s="1"/>
      <c r="IA1277" s="1"/>
      <c r="IB1277" s="1"/>
      <c r="IC1277" s="1"/>
      <c r="ID1277" s="1"/>
      <c r="IE1277" s="1"/>
      <c r="IF1277" s="1"/>
      <c r="IG1277" s="1"/>
      <c r="IH1277" s="1"/>
      <c r="II1277" s="1"/>
      <c r="IJ1277" s="1"/>
      <c r="IK1277" s="1"/>
      <c r="IL1277" s="1"/>
      <c r="IM1277" s="1"/>
      <c r="IN1277" s="1"/>
      <c r="IO1277" s="1"/>
      <c r="IP1277" s="1"/>
      <c r="IQ1277" s="1"/>
      <c r="IR1277" s="1"/>
      <c r="IS1277" s="1"/>
      <c r="IT1277" s="1"/>
      <c r="IU1277" s="1"/>
      <c r="IV1277" s="1"/>
      <c r="IW1277" s="1"/>
      <c r="IX1277" s="1"/>
      <c r="IY1277" s="1"/>
      <c r="IZ1277" s="1"/>
      <c r="JA1277" s="1"/>
      <c r="JB1277" s="1"/>
      <c r="JC1277" s="1"/>
      <c r="JD1277" s="1"/>
    </row>
    <row r="1278" spans="1:264" s="347" customFormat="1" x14ac:dyDescent="0.2">
      <c r="A1278" s="347" t="s">
        <v>849</v>
      </c>
      <c r="B1278" s="348"/>
      <c r="BH1278" s="398"/>
      <c r="BI1278" s="398"/>
      <c r="BJ1278" s="351"/>
      <c r="BK1278" s="351"/>
      <c r="BL1278" s="398"/>
      <c r="BM1278" s="398"/>
      <c r="BN1278" s="351"/>
      <c r="BO1278" s="351"/>
      <c r="BP1278" s="398"/>
      <c r="BQ1278" s="398"/>
      <c r="BR1278" s="351"/>
      <c r="BS1278" s="351"/>
      <c r="BT1278" s="398"/>
      <c r="BU1278" s="398"/>
      <c r="BV1278" s="351"/>
      <c r="BW1278" s="351"/>
      <c r="BX1278" s="398"/>
      <c r="BY1278" s="398"/>
      <c r="BZ1278" s="351"/>
      <c r="CA1278" s="351"/>
      <c r="CB1278" s="398"/>
      <c r="CC1278" s="398"/>
      <c r="CD1278" s="351"/>
      <c r="CE1278" s="351"/>
      <c r="CF1278" s="398"/>
      <c r="CG1278" s="398"/>
      <c r="CH1278" s="351"/>
      <c r="CI1278" s="351"/>
      <c r="CJ1278" s="398"/>
      <c r="CK1278" s="398"/>
      <c r="CL1278" s="351"/>
      <c r="CM1278" s="351"/>
      <c r="CN1278" s="398"/>
      <c r="CO1278" s="398"/>
      <c r="CP1278" s="351"/>
      <c r="CQ1278" s="351"/>
      <c r="CR1278" s="398"/>
      <c r="CS1278" s="398">
        <v>1750</v>
      </c>
      <c r="CT1278" s="351">
        <f>CS1278</f>
        <v>1750</v>
      </c>
      <c r="CU1278" s="1"/>
      <c r="CV1278" s="398">
        <v>1750</v>
      </c>
      <c r="CW1278" s="351">
        <f t="shared" si="925"/>
        <v>1750</v>
      </c>
      <c r="CX1278" s="351">
        <f t="shared" si="925"/>
        <v>1750</v>
      </c>
      <c r="CY1278" s="351"/>
      <c r="CZ1278" s="398">
        <v>1750</v>
      </c>
      <c r="DA1278" s="398">
        <v>1750</v>
      </c>
      <c r="DB1278" s="351">
        <f t="shared" si="926"/>
        <v>1750</v>
      </c>
      <c r="DC1278" s="351"/>
      <c r="DD1278" s="398">
        <v>1750</v>
      </c>
      <c r="DE1278" s="398">
        <v>1750</v>
      </c>
      <c r="DF1278" s="351">
        <f t="shared" si="927"/>
        <v>1750</v>
      </c>
      <c r="DG1278" s="351"/>
      <c r="DH1278" s="398">
        <v>1750</v>
      </c>
      <c r="DI1278" s="351">
        <f t="shared" si="928"/>
        <v>1750</v>
      </c>
      <c r="DJ1278" s="351">
        <f t="shared" si="928"/>
        <v>1750</v>
      </c>
      <c r="DK1278" s="351"/>
      <c r="DL1278" s="351">
        <f t="shared" si="929"/>
        <v>1750</v>
      </c>
      <c r="DM1278" s="351">
        <f t="shared" si="930"/>
        <v>1750</v>
      </c>
      <c r="DN1278" s="351">
        <f t="shared" si="930"/>
        <v>1750</v>
      </c>
      <c r="DO1278" s="351"/>
      <c r="DP1278" s="351">
        <f t="shared" si="931"/>
        <v>1750</v>
      </c>
      <c r="DQ1278" s="351">
        <f t="shared" si="932"/>
        <v>1750</v>
      </c>
      <c r="DR1278" s="351">
        <f t="shared" si="933"/>
        <v>1750</v>
      </c>
      <c r="DS1278" s="351"/>
      <c r="DT1278" s="1"/>
      <c r="DU1278" s="1"/>
      <c r="DV1278" s="1"/>
      <c r="DW1278" s="1"/>
      <c r="DX1278" s="1"/>
      <c r="DY1278" s="1"/>
      <c r="DZ1278" s="1"/>
      <c r="EA1278" s="1"/>
      <c r="EB1278" s="1"/>
      <c r="EC1278" s="1"/>
      <c r="ED1278" s="1"/>
      <c r="EE1278" s="1"/>
      <c r="EF1278" s="1"/>
      <c r="EG1278" s="1"/>
      <c r="EH1278" s="1"/>
      <c r="EI1278" s="1"/>
      <c r="EJ1278" s="1"/>
      <c r="EK1278" s="1"/>
      <c r="EL1278" s="1"/>
      <c r="EM1278" s="1"/>
      <c r="EN1278" s="1"/>
      <c r="EO1278" s="1"/>
      <c r="EP1278" s="1"/>
      <c r="EQ1278" s="1"/>
      <c r="ER1278" s="1"/>
      <c r="ES1278" s="1"/>
      <c r="ET1278" s="1"/>
      <c r="EU1278" s="1"/>
      <c r="EV1278" s="1"/>
      <c r="EW1278" s="1"/>
      <c r="EX1278" s="1"/>
      <c r="EY1278" s="1"/>
      <c r="EZ1278" s="1"/>
      <c r="FA1278" s="1"/>
      <c r="FB1278" s="1"/>
      <c r="FC1278" s="1"/>
      <c r="FD1278" s="1"/>
      <c r="FE1278" s="1"/>
      <c r="FF1278" s="1"/>
      <c r="FG1278" s="1"/>
      <c r="FH1278" s="1"/>
      <c r="FI1278" s="1"/>
      <c r="FJ1278" s="1"/>
      <c r="FK1278" s="1"/>
      <c r="FL1278" s="1"/>
      <c r="FM1278" s="1"/>
      <c r="FN1278" s="1"/>
      <c r="FO1278" s="1"/>
      <c r="FP1278" s="1"/>
      <c r="FQ1278" s="1"/>
      <c r="FR1278" s="1"/>
      <c r="FS1278" s="1"/>
      <c r="FT1278" s="1"/>
      <c r="FU1278" s="1"/>
      <c r="FV1278" s="1"/>
      <c r="FW1278" s="1"/>
      <c r="FX1278" s="1"/>
      <c r="FY1278" s="1"/>
      <c r="FZ1278" s="1"/>
      <c r="GA1278" s="1"/>
      <c r="GB1278" s="1"/>
      <c r="GC1278" s="1"/>
      <c r="GD1278" s="1"/>
      <c r="GE1278" s="1"/>
      <c r="GF1278" s="1"/>
      <c r="GG1278" s="1"/>
      <c r="GH1278" s="1"/>
      <c r="GI1278" s="1"/>
      <c r="GJ1278" s="1"/>
      <c r="GK1278" s="1"/>
      <c r="GL1278" s="1"/>
      <c r="GM1278" s="1"/>
      <c r="GN1278" s="1"/>
      <c r="GO1278" s="1"/>
      <c r="GP1278" s="1"/>
      <c r="GQ1278" s="1"/>
      <c r="GR1278" s="1"/>
      <c r="GS1278" s="1"/>
      <c r="GT1278" s="1"/>
      <c r="GU1278" s="1"/>
      <c r="GV1278" s="1"/>
      <c r="GW1278" s="1"/>
      <c r="GX1278" s="1"/>
      <c r="GY1278" s="1"/>
      <c r="GZ1278" s="1"/>
      <c r="HA1278" s="1"/>
      <c r="HB1278" s="1"/>
      <c r="HC1278" s="1"/>
      <c r="HD1278" s="1"/>
      <c r="HE1278" s="1"/>
      <c r="HF1278" s="1"/>
      <c r="HG1278" s="1"/>
      <c r="HH1278" s="1"/>
      <c r="HI1278" s="1"/>
      <c r="HJ1278" s="1"/>
      <c r="HK1278" s="1"/>
      <c r="HL1278" s="1"/>
      <c r="HM1278" s="1"/>
      <c r="HN1278" s="1"/>
      <c r="HO1278" s="1"/>
      <c r="HP1278" s="1"/>
      <c r="HQ1278" s="1"/>
      <c r="HR1278" s="1"/>
      <c r="HS1278" s="1"/>
      <c r="HT1278" s="1"/>
      <c r="HU1278" s="1"/>
      <c r="HV1278" s="1"/>
      <c r="HW1278" s="1"/>
      <c r="HX1278" s="1"/>
      <c r="HY1278" s="1"/>
      <c r="HZ1278" s="1"/>
      <c r="IA1278" s="1"/>
      <c r="IB1278" s="1"/>
      <c r="IC1278" s="1"/>
      <c r="ID1278" s="1"/>
      <c r="IE1278" s="1"/>
      <c r="IF1278" s="1"/>
      <c r="IG1278" s="1"/>
      <c r="IH1278" s="1"/>
      <c r="II1278" s="1"/>
      <c r="IJ1278" s="1"/>
      <c r="IK1278" s="1"/>
      <c r="IL1278" s="1"/>
      <c r="IM1278" s="1"/>
      <c r="IN1278" s="1"/>
      <c r="IO1278" s="1"/>
      <c r="IP1278" s="1"/>
      <c r="IQ1278" s="1"/>
      <c r="IR1278" s="1"/>
      <c r="IS1278" s="1"/>
      <c r="IT1278" s="1"/>
      <c r="IU1278" s="1"/>
      <c r="IV1278" s="1"/>
      <c r="IW1278" s="1"/>
      <c r="IX1278" s="1"/>
      <c r="IY1278" s="1"/>
      <c r="IZ1278" s="1"/>
      <c r="JA1278" s="1"/>
      <c r="JB1278" s="1"/>
      <c r="JC1278" s="1"/>
      <c r="JD1278" s="1"/>
    </row>
    <row r="1279" spans="1:264" s="347" customFormat="1" x14ac:dyDescent="0.2">
      <c r="A1279" s="347" t="s">
        <v>850</v>
      </c>
      <c r="B1279" s="348"/>
      <c r="BH1279" s="398"/>
      <c r="BI1279" s="398"/>
      <c r="BJ1279" s="351"/>
      <c r="BK1279" s="351"/>
      <c r="BL1279" s="398"/>
      <c r="BM1279" s="398"/>
      <c r="BN1279" s="351"/>
      <c r="BO1279" s="351"/>
      <c r="BP1279" s="398"/>
      <c r="BQ1279" s="398"/>
      <c r="BR1279" s="351"/>
      <c r="BS1279" s="351"/>
      <c r="BT1279" s="398"/>
      <c r="BU1279" s="398"/>
      <c r="BV1279" s="351"/>
      <c r="BW1279" s="351"/>
      <c r="BX1279" s="398"/>
      <c r="BY1279" s="398"/>
      <c r="BZ1279" s="351"/>
      <c r="CA1279" s="351"/>
      <c r="CB1279" s="398"/>
      <c r="CC1279" s="398"/>
      <c r="CD1279" s="351"/>
      <c r="CE1279" s="351"/>
      <c r="CF1279" s="398"/>
      <c r="CG1279" s="398"/>
      <c r="CH1279" s="351"/>
      <c r="CI1279" s="351"/>
      <c r="CJ1279" s="398"/>
      <c r="CK1279" s="398"/>
      <c r="CL1279" s="351"/>
      <c r="CM1279" s="351"/>
      <c r="CN1279" s="398"/>
      <c r="CO1279" s="398"/>
      <c r="CP1279" s="351"/>
      <c r="CQ1279" s="351"/>
      <c r="CR1279" s="398"/>
      <c r="CS1279" s="398"/>
      <c r="CT1279" s="351"/>
      <c r="CU1279" s="1"/>
      <c r="CV1279" s="398">
        <v>1777</v>
      </c>
      <c r="CW1279" s="351">
        <f t="shared" si="925"/>
        <v>1777</v>
      </c>
      <c r="CX1279" s="351">
        <f t="shared" si="925"/>
        <v>1777</v>
      </c>
      <c r="CY1279" s="351"/>
      <c r="CZ1279" s="398">
        <v>1777</v>
      </c>
      <c r="DA1279" s="398">
        <v>1777</v>
      </c>
      <c r="DB1279" s="351">
        <f t="shared" si="926"/>
        <v>1777</v>
      </c>
      <c r="DC1279" s="351"/>
      <c r="DD1279" s="398">
        <v>1777</v>
      </c>
      <c r="DE1279" s="398">
        <v>1777</v>
      </c>
      <c r="DF1279" s="351">
        <f t="shared" si="927"/>
        <v>1777</v>
      </c>
      <c r="DG1279" s="351"/>
      <c r="DH1279" s="398">
        <v>1777</v>
      </c>
      <c r="DI1279" s="351">
        <f t="shared" si="928"/>
        <v>1777</v>
      </c>
      <c r="DJ1279" s="351">
        <f t="shared" si="928"/>
        <v>1777</v>
      </c>
      <c r="DK1279" s="351"/>
      <c r="DL1279" s="351">
        <f t="shared" si="929"/>
        <v>1777</v>
      </c>
      <c r="DM1279" s="351">
        <f t="shared" si="930"/>
        <v>1777</v>
      </c>
      <c r="DN1279" s="351">
        <f t="shared" si="930"/>
        <v>1777</v>
      </c>
      <c r="DO1279" s="351"/>
      <c r="DP1279" s="351">
        <f t="shared" si="931"/>
        <v>1777</v>
      </c>
      <c r="DQ1279" s="351">
        <f t="shared" si="932"/>
        <v>1777</v>
      </c>
      <c r="DR1279" s="351">
        <f t="shared" si="933"/>
        <v>1777</v>
      </c>
      <c r="DS1279" s="351"/>
      <c r="DT1279" s="1"/>
      <c r="DU1279" s="1"/>
      <c r="DV1279" s="1"/>
      <c r="DW1279" s="1"/>
      <c r="DX1279" s="1"/>
      <c r="DY1279" s="1"/>
      <c r="DZ1279" s="1"/>
      <c r="EA1279" s="1"/>
      <c r="EB1279" s="1"/>
      <c r="EC1279" s="1"/>
      <c r="ED1279" s="1"/>
      <c r="EE1279" s="1"/>
      <c r="EF1279" s="1"/>
      <c r="EG1279" s="1"/>
      <c r="EH1279" s="1"/>
      <c r="EI1279" s="1"/>
      <c r="EJ1279" s="1"/>
      <c r="EK1279" s="1"/>
      <c r="EL1279" s="1"/>
      <c r="EM1279" s="1"/>
      <c r="EN1279" s="1"/>
      <c r="EO1279" s="1"/>
      <c r="EP1279" s="1"/>
      <c r="EQ1279" s="1"/>
      <c r="ER1279" s="1"/>
      <c r="ES1279" s="1"/>
      <c r="ET1279" s="1"/>
      <c r="EU1279" s="1"/>
      <c r="EV1279" s="1"/>
      <c r="EW1279" s="1"/>
      <c r="EX1279" s="1"/>
      <c r="EY1279" s="1"/>
      <c r="EZ1279" s="1"/>
      <c r="FA1279" s="1"/>
      <c r="FB1279" s="1"/>
      <c r="FC1279" s="1"/>
      <c r="FD1279" s="1"/>
      <c r="FE1279" s="1"/>
      <c r="FF1279" s="1"/>
      <c r="FG1279" s="1"/>
      <c r="FH1279" s="1"/>
      <c r="FI1279" s="1"/>
      <c r="FJ1279" s="1"/>
      <c r="FK1279" s="1"/>
      <c r="FL1279" s="1"/>
      <c r="FM1279" s="1"/>
      <c r="FN1279" s="1"/>
      <c r="FO1279" s="1"/>
      <c r="FP1279" s="1"/>
      <c r="FQ1279" s="1"/>
      <c r="FR1279" s="1"/>
      <c r="FS1279" s="1"/>
      <c r="FT1279" s="1"/>
      <c r="FU1279" s="1"/>
      <c r="FV1279" s="1"/>
      <c r="FW1279" s="1"/>
      <c r="FX1279" s="1"/>
      <c r="FY1279" s="1"/>
      <c r="FZ1279" s="1"/>
      <c r="GA1279" s="1"/>
      <c r="GB1279" s="1"/>
      <c r="GC1279" s="1"/>
      <c r="GD1279" s="1"/>
      <c r="GE1279" s="1"/>
      <c r="GF1279" s="1"/>
      <c r="GG1279" s="1"/>
      <c r="GH1279" s="1"/>
      <c r="GI1279" s="1"/>
      <c r="GJ1279" s="1"/>
      <c r="GK1279" s="1"/>
      <c r="GL1279" s="1"/>
      <c r="GM1279" s="1"/>
      <c r="GN1279" s="1"/>
      <c r="GO1279" s="1"/>
      <c r="GP1279" s="1"/>
      <c r="GQ1279" s="1"/>
      <c r="GR1279" s="1"/>
      <c r="GS1279" s="1"/>
      <c r="GT1279" s="1"/>
      <c r="GU1279" s="1"/>
      <c r="GV1279" s="1"/>
      <c r="GW1279" s="1"/>
      <c r="GX1279" s="1"/>
      <c r="GY1279" s="1"/>
      <c r="GZ1279" s="1"/>
      <c r="HA1279" s="1"/>
      <c r="HB1279" s="1"/>
      <c r="HC1279" s="1"/>
      <c r="HD1279" s="1"/>
      <c r="HE1279" s="1"/>
      <c r="HF1279" s="1"/>
      <c r="HG1279" s="1"/>
      <c r="HH1279" s="1"/>
      <c r="HI1279" s="1"/>
      <c r="HJ1279" s="1"/>
      <c r="HK1279" s="1"/>
      <c r="HL1279" s="1"/>
      <c r="HM1279" s="1"/>
      <c r="HN1279" s="1"/>
      <c r="HO1279" s="1"/>
      <c r="HP1279" s="1"/>
      <c r="HQ1279" s="1"/>
      <c r="HR1279" s="1"/>
      <c r="HS1279" s="1"/>
      <c r="HT1279" s="1"/>
      <c r="HU1279" s="1"/>
      <c r="HV1279" s="1"/>
      <c r="HW1279" s="1"/>
      <c r="HX1279" s="1"/>
      <c r="HY1279" s="1"/>
      <c r="HZ1279" s="1"/>
      <c r="IA1279" s="1"/>
      <c r="IB1279" s="1"/>
      <c r="IC1279" s="1"/>
      <c r="ID1279" s="1"/>
      <c r="IE1279" s="1"/>
      <c r="IF1279" s="1"/>
      <c r="IG1279" s="1"/>
      <c r="IH1279" s="1"/>
      <c r="II1279" s="1"/>
      <c r="IJ1279" s="1"/>
      <c r="IK1279" s="1"/>
      <c r="IL1279" s="1"/>
      <c r="IM1279" s="1"/>
      <c r="IN1279" s="1"/>
      <c r="IO1279" s="1"/>
      <c r="IP1279" s="1"/>
      <c r="IQ1279" s="1"/>
      <c r="IR1279" s="1"/>
      <c r="IS1279" s="1"/>
      <c r="IT1279" s="1"/>
      <c r="IU1279" s="1"/>
      <c r="IV1279" s="1"/>
      <c r="IW1279" s="1"/>
      <c r="IX1279" s="1"/>
      <c r="IY1279" s="1"/>
      <c r="IZ1279" s="1"/>
      <c r="JA1279" s="1"/>
      <c r="JB1279" s="1"/>
      <c r="JC1279" s="1"/>
      <c r="JD1279" s="1"/>
    </row>
    <row r="1280" spans="1:264" s="347" customFormat="1" x14ac:dyDescent="0.2">
      <c r="A1280" s="347" t="s">
        <v>851</v>
      </c>
      <c r="B1280" s="348"/>
      <c r="BH1280" s="398"/>
      <c r="BI1280" s="398"/>
      <c r="BJ1280" s="351"/>
      <c r="BK1280" s="351"/>
      <c r="BL1280" s="398"/>
      <c r="BM1280" s="398"/>
      <c r="BN1280" s="351"/>
      <c r="BO1280" s="351"/>
      <c r="BP1280" s="398"/>
      <c r="BQ1280" s="398"/>
      <c r="BR1280" s="351"/>
      <c r="BS1280" s="351"/>
      <c r="BT1280" s="398"/>
      <c r="BU1280" s="398"/>
      <c r="BV1280" s="351"/>
      <c r="BW1280" s="351"/>
      <c r="BX1280" s="398"/>
      <c r="BY1280" s="398"/>
      <c r="BZ1280" s="351"/>
      <c r="CA1280" s="351"/>
      <c r="CB1280" s="398"/>
      <c r="CC1280" s="398"/>
      <c r="CD1280" s="351"/>
      <c r="CE1280" s="351"/>
      <c r="CF1280" s="398"/>
      <c r="CG1280" s="398"/>
      <c r="CH1280" s="351"/>
      <c r="CI1280" s="351"/>
      <c r="CJ1280" s="398"/>
      <c r="CK1280" s="398"/>
      <c r="CL1280" s="351"/>
      <c r="CM1280" s="351"/>
      <c r="CN1280" s="398"/>
      <c r="CO1280" s="398"/>
      <c r="CP1280" s="351"/>
      <c r="CQ1280" s="351"/>
      <c r="CR1280" s="398"/>
      <c r="CS1280" s="398"/>
      <c r="CT1280" s="351"/>
      <c r="CU1280" s="1"/>
      <c r="CV1280" s="398">
        <v>0</v>
      </c>
      <c r="CW1280" s="398">
        <v>1550</v>
      </c>
      <c r="CX1280" s="351">
        <f t="shared" si="925"/>
        <v>1550</v>
      </c>
      <c r="CY1280" s="351"/>
      <c r="CZ1280" s="398">
        <v>1550</v>
      </c>
      <c r="DA1280" s="398">
        <v>1550</v>
      </c>
      <c r="DB1280" s="351">
        <f t="shared" si="926"/>
        <v>1550</v>
      </c>
      <c r="DC1280" s="351"/>
      <c r="DD1280" s="398">
        <v>1550</v>
      </c>
      <c r="DE1280" s="398">
        <v>1550</v>
      </c>
      <c r="DF1280" s="351">
        <f t="shared" si="927"/>
        <v>1550</v>
      </c>
      <c r="DG1280" s="351"/>
      <c r="DH1280" s="398">
        <v>1550</v>
      </c>
      <c r="DI1280" s="351">
        <f t="shared" si="928"/>
        <v>1550</v>
      </c>
      <c r="DJ1280" s="351">
        <f t="shared" si="928"/>
        <v>1550</v>
      </c>
      <c r="DK1280" s="351"/>
      <c r="DL1280" s="351">
        <f t="shared" si="929"/>
        <v>1550</v>
      </c>
      <c r="DM1280" s="351">
        <f t="shared" si="930"/>
        <v>1550</v>
      </c>
      <c r="DN1280" s="351">
        <f t="shared" si="930"/>
        <v>1550</v>
      </c>
      <c r="DO1280" s="351"/>
      <c r="DP1280" s="351">
        <f t="shared" si="931"/>
        <v>1550</v>
      </c>
      <c r="DQ1280" s="351">
        <f t="shared" si="932"/>
        <v>1550</v>
      </c>
      <c r="DR1280" s="351">
        <f t="shared" si="933"/>
        <v>1550</v>
      </c>
      <c r="DS1280" s="351"/>
      <c r="DT1280" s="1"/>
      <c r="DU1280" s="1"/>
      <c r="DV1280" s="1"/>
      <c r="DW1280" s="1"/>
      <c r="DX1280" s="1"/>
      <c r="DY1280" s="1"/>
      <c r="DZ1280" s="1"/>
      <c r="EA1280" s="1"/>
      <c r="EB1280" s="1"/>
      <c r="EC1280" s="1"/>
      <c r="ED1280" s="1"/>
      <c r="EE1280" s="1"/>
      <c r="EF1280" s="1"/>
      <c r="EG1280" s="1"/>
      <c r="EH1280" s="1"/>
      <c r="EI1280" s="1"/>
      <c r="EJ1280" s="1"/>
      <c r="EK1280" s="1"/>
      <c r="EL1280" s="1"/>
      <c r="EM1280" s="1"/>
      <c r="EN1280" s="1"/>
      <c r="EO1280" s="1"/>
      <c r="EP1280" s="1"/>
      <c r="EQ1280" s="1"/>
      <c r="ER1280" s="1"/>
      <c r="ES1280" s="1"/>
      <c r="ET1280" s="1"/>
      <c r="EU1280" s="1"/>
      <c r="EV1280" s="1"/>
      <c r="EW1280" s="1"/>
      <c r="EX1280" s="1"/>
      <c r="EY1280" s="1"/>
      <c r="EZ1280" s="1"/>
      <c r="FA1280" s="1"/>
      <c r="FB1280" s="1"/>
      <c r="FC1280" s="1"/>
      <c r="FD1280" s="1"/>
      <c r="FE1280" s="1"/>
      <c r="FF1280" s="1"/>
      <c r="FG1280" s="1"/>
      <c r="FH1280" s="1"/>
      <c r="FI1280" s="1"/>
      <c r="FJ1280" s="1"/>
      <c r="FK1280" s="1"/>
      <c r="FL1280" s="1"/>
      <c r="FM1280" s="1"/>
      <c r="FN1280" s="1"/>
      <c r="FO1280" s="1"/>
      <c r="FP1280" s="1"/>
      <c r="FQ1280" s="1"/>
      <c r="FR1280" s="1"/>
      <c r="FS1280" s="1"/>
      <c r="FT1280" s="1"/>
      <c r="FU1280" s="1"/>
      <c r="FV1280" s="1"/>
      <c r="FW1280" s="1"/>
      <c r="FX1280" s="1"/>
      <c r="FY1280" s="1"/>
      <c r="FZ1280" s="1"/>
      <c r="GA1280" s="1"/>
      <c r="GB1280" s="1"/>
      <c r="GC1280" s="1"/>
      <c r="GD1280" s="1"/>
      <c r="GE1280" s="1"/>
      <c r="GF1280" s="1"/>
      <c r="GG1280" s="1"/>
      <c r="GH1280" s="1"/>
      <c r="GI1280" s="1"/>
      <c r="GJ1280" s="1"/>
      <c r="GK1280" s="1"/>
      <c r="GL1280" s="1"/>
      <c r="GM1280" s="1"/>
      <c r="GN1280" s="1"/>
      <c r="GO1280" s="1"/>
      <c r="GP1280" s="1"/>
      <c r="GQ1280" s="1"/>
      <c r="GR1280" s="1"/>
      <c r="GS1280" s="1"/>
      <c r="GT1280" s="1"/>
      <c r="GU1280" s="1"/>
      <c r="GV1280" s="1"/>
      <c r="GW1280" s="1"/>
      <c r="GX1280" s="1"/>
      <c r="GY1280" s="1"/>
      <c r="GZ1280" s="1"/>
      <c r="HA1280" s="1"/>
      <c r="HB1280" s="1"/>
      <c r="HC1280" s="1"/>
      <c r="HD1280" s="1"/>
      <c r="HE1280" s="1"/>
      <c r="HF1280" s="1"/>
      <c r="HG1280" s="1"/>
      <c r="HH1280" s="1"/>
      <c r="HI1280" s="1"/>
      <c r="HJ1280" s="1"/>
      <c r="HK1280" s="1"/>
      <c r="HL1280" s="1"/>
      <c r="HM1280" s="1"/>
      <c r="HN1280" s="1"/>
      <c r="HO1280" s="1"/>
      <c r="HP1280" s="1"/>
      <c r="HQ1280" s="1"/>
      <c r="HR1280" s="1"/>
      <c r="HS1280" s="1"/>
      <c r="HT1280" s="1"/>
      <c r="HU1280" s="1"/>
      <c r="HV1280" s="1"/>
      <c r="HW1280" s="1"/>
      <c r="HX1280" s="1"/>
      <c r="HY1280" s="1"/>
      <c r="HZ1280" s="1"/>
      <c r="IA1280" s="1"/>
      <c r="IB1280" s="1"/>
      <c r="IC1280" s="1"/>
      <c r="ID1280" s="1"/>
      <c r="IE1280" s="1"/>
      <c r="IF1280" s="1"/>
      <c r="IG1280" s="1"/>
      <c r="IH1280" s="1"/>
      <c r="II1280" s="1"/>
      <c r="IJ1280" s="1"/>
      <c r="IK1280" s="1"/>
      <c r="IL1280" s="1"/>
      <c r="IM1280" s="1"/>
      <c r="IN1280" s="1"/>
      <c r="IO1280" s="1"/>
      <c r="IP1280" s="1"/>
      <c r="IQ1280" s="1"/>
      <c r="IR1280" s="1"/>
      <c r="IS1280" s="1"/>
      <c r="IT1280" s="1"/>
      <c r="IU1280" s="1"/>
      <c r="IV1280" s="1"/>
      <c r="IW1280" s="1"/>
      <c r="IX1280" s="1"/>
      <c r="IY1280" s="1"/>
      <c r="IZ1280" s="1"/>
      <c r="JA1280" s="1"/>
      <c r="JB1280" s="1"/>
      <c r="JC1280" s="1"/>
      <c r="JD1280" s="1"/>
    </row>
    <row r="1281" spans="1:264" s="347" customFormat="1" x14ac:dyDescent="0.2">
      <c r="A1281" s="463" t="s">
        <v>377</v>
      </c>
      <c r="B1281" s="466"/>
      <c r="C1281" s="463"/>
      <c r="D1281" s="463"/>
      <c r="E1281" s="463"/>
      <c r="F1281" s="463"/>
      <c r="G1281" s="463"/>
      <c r="H1281" s="463"/>
      <c r="I1281" s="463"/>
      <c r="J1281" s="463"/>
      <c r="K1281" s="463"/>
      <c r="L1281" s="463"/>
      <c r="M1281" s="463"/>
      <c r="N1281" s="463"/>
      <c r="O1281" s="463"/>
      <c r="P1281" s="463"/>
      <c r="Q1281" s="463"/>
      <c r="R1281" s="463"/>
      <c r="S1281" s="463"/>
      <c r="T1281" s="463"/>
      <c r="U1281" s="463"/>
      <c r="V1281" s="463"/>
      <c r="W1281" s="463"/>
      <c r="X1281" s="463"/>
      <c r="Y1281" s="463"/>
      <c r="Z1281" s="463"/>
      <c r="AA1281" s="463"/>
      <c r="AB1281" s="463"/>
      <c r="AC1281" s="463"/>
      <c r="AD1281" s="463"/>
      <c r="AE1281" s="463"/>
      <c r="AF1281" s="463"/>
      <c r="AG1281" s="463"/>
      <c r="AH1281" s="463"/>
      <c r="AI1281" s="463"/>
      <c r="AJ1281" s="463"/>
      <c r="AK1281" s="463"/>
      <c r="AL1281" s="463"/>
      <c r="AM1281" s="463"/>
      <c r="AN1281" s="463"/>
      <c r="AO1281" s="463"/>
      <c r="AP1281" s="463"/>
      <c r="AQ1281" s="463"/>
      <c r="AR1281" s="463"/>
      <c r="AS1281" s="463"/>
      <c r="AT1281" s="463"/>
      <c r="AU1281" s="463"/>
      <c r="AV1281" s="463"/>
      <c r="AW1281" s="463"/>
      <c r="AX1281" s="463"/>
      <c r="AY1281" s="463"/>
      <c r="AZ1281" s="463"/>
      <c r="BA1281" s="463"/>
      <c r="BB1281" s="463"/>
      <c r="BC1281" s="463"/>
      <c r="BD1281" s="463"/>
      <c r="BE1281" s="463"/>
      <c r="BF1281" s="463"/>
      <c r="BG1281" s="463"/>
      <c r="BH1281" s="464">
        <v>0</v>
      </c>
      <c r="BI1281" s="464">
        <v>0</v>
      </c>
      <c r="BJ1281" s="485">
        <f>BI1281</f>
        <v>0</v>
      </c>
      <c r="BK1281" s="485"/>
      <c r="BL1281" s="464">
        <v>0</v>
      </c>
      <c r="BM1281" s="464">
        <v>0</v>
      </c>
      <c r="BN1281" s="485">
        <f>BM1281</f>
        <v>0</v>
      </c>
      <c r="BO1281" s="485"/>
      <c r="BP1281" s="464">
        <v>0</v>
      </c>
      <c r="BQ1281" s="464">
        <v>0</v>
      </c>
      <c r="BR1281" s="485">
        <f>BQ1281</f>
        <v>0</v>
      </c>
      <c r="BS1281" s="485"/>
      <c r="BT1281" s="464">
        <v>0</v>
      </c>
      <c r="BU1281" s="464">
        <v>0</v>
      </c>
      <c r="BV1281" s="485">
        <f>BU1281</f>
        <v>0</v>
      </c>
      <c r="BW1281" s="485"/>
      <c r="BX1281" s="464">
        <v>0</v>
      </c>
      <c r="BY1281" s="464">
        <v>0</v>
      </c>
      <c r="BZ1281" s="485">
        <f>BY1281</f>
        <v>0</v>
      </c>
      <c r="CA1281" s="485"/>
      <c r="CB1281" s="464">
        <v>0</v>
      </c>
      <c r="CC1281" s="464">
        <v>0</v>
      </c>
      <c r="CD1281" s="485">
        <f t="shared" si="920"/>
        <v>0</v>
      </c>
      <c r="CE1281" s="485"/>
      <c r="CF1281" s="464">
        <v>0</v>
      </c>
      <c r="CG1281" s="464">
        <v>0</v>
      </c>
      <c r="CH1281" s="485">
        <f t="shared" si="921"/>
        <v>0</v>
      </c>
      <c r="CI1281" s="485"/>
      <c r="CJ1281" s="464">
        <v>0</v>
      </c>
      <c r="CK1281" s="464">
        <v>0</v>
      </c>
      <c r="CL1281" s="485">
        <f t="shared" si="922"/>
        <v>0</v>
      </c>
      <c r="CM1281" s="485"/>
      <c r="CN1281" s="464">
        <v>0</v>
      </c>
      <c r="CO1281" s="464">
        <v>0</v>
      </c>
      <c r="CP1281" s="485">
        <f t="shared" si="923"/>
        <v>0</v>
      </c>
      <c r="CQ1281" s="485"/>
      <c r="CR1281" s="464">
        <v>0</v>
      </c>
      <c r="CS1281" s="464">
        <v>0</v>
      </c>
      <c r="CT1281" s="485">
        <f t="shared" si="924"/>
        <v>0</v>
      </c>
      <c r="CU1281" s="485"/>
      <c r="CV1281" s="464">
        <v>0</v>
      </c>
      <c r="CW1281" s="514">
        <f t="shared" si="925"/>
        <v>0</v>
      </c>
      <c r="CX1281" s="485">
        <f t="shared" si="925"/>
        <v>0</v>
      </c>
      <c r="CY1281" s="485"/>
      <c r="CZ1281" s="464">
        <v>0</v>
      </c>
      <c r="DA1281" s="464">
        <v>0</v>
      </c>
      <c r="DB1281" s="485">
        <f t="shared" si="926"/>
        <v>0</v>
      </c>
      <c r="DC1281" s="485"/>
      <c r="DD1281" s="464">
        <v>0</v>
      </c>
      <c r="DE1281" s="464">
        <v>0</v>
      </c>
      <c r="DF1281" s="485">
        <f t="shared" si="927"/>
        <v>0</v>
      </c>
      <c r="DG1281" s="485"/>
      <c r="DH1281" s="464">
        <v>0</v>
      </c>
      <c r="DI1281" s="514">
        <f t="shared" si="928"/>
        <v>0</v>
      </c>
      <c r="DJ1281" s="485">
        <f t="shared" si="928"/>
        <v>0</v>
      </c>
      <c r="DK1281" s="485"/>
      <c r="DL1281" s="514">
        <f t="shared" si="929"/>
        <v>0</v>
      </c>
      <c r="DM1281" s="514">
        <f t="shared" si="930"/>
        <v>0</v>
      </c>
      <c r="DN1281" s="485">
        <f t="shared" si="930"/>
        <v>0</v>
      </c>
      <c r="DO1281" s="485"/>
      <c r="DP1281" s="514">
        <f t="shared" si="931"/>
        <v>0</v>
      </c>
      <c r="DQ1281" s="514">
        <f t="shared" si="932"/>
        <v>0</v>
      </c>
      <c r="DR1281" s="485">
        <f t="shared" si="933"/>
        <v>0</v>
      </c>
      <c r="DS1281" s="485"/>
      <c r="DT1281" s="1"/>
      <c r="DU1281" s="1"/>
      <c r="DV1281" s="1"/>
      <c r="DW1281" s="1"/>
      <c r="DX1281" s="1"/>
      <c r="DY1281" s="1"/>
      <c r="DZ1281" s="1"/>
      <c r="EA1281" s="1"/>
      <c r="EB1281" s="1"/>
      <c r="EC1281" s="1"/>
      <c r="ED1281" s="1"/>
      <c r="EE1281" s="1"/>
      <c r="EF1281" s="1"/>
      <c r="EG1281" s="1"/>
      <c r="EH1281" s="1"/>
      <c r="EI1281" s="1"/>
      <c r="EJ1281" s="1"/>
      <c r="EK1281" s="1"/>
      <c r="EL1281" s="1"/>
      <c r="EM1281" s="1"/>
      <c r="EN1281" s="1"/>
      <c r="EO1281" s="1"/>
      <c r="EP1281" s="1"/>
      <c r="EQ1281" s="1"/>
      <c r="ER1281" s="1"/>
      <c r="ES1281" s="1"/>
      <c r="ET1281" s="1"/>
      <c r="EU1281" s="1"/>
      <c r="EV1281" s="1"/>
      <c r="EW1281" s="1"/>
      <c r="EX1281" s="1"/>
      <c r="EY1281" s="1"/>
      <c r="EZ1281" s="1"/>
      <c r="FA1281" s="1"/>
      <c r="FB1281" s="1"/>
      <c r="FC1281" s="1"/>
      <c r="FD1281" s="1"/>
      <c r="FE1281" s="1"/>
      <c r="FF1281" s="1"/>
      <c r="FG1281" s="1"/>
      <c r="FH1281" s="1"/>
      <c r="FI1281" s="1"/>
      <c r="FJ1281" s="1"/>
      <c r="FK1281" s="1"/>
      <c r="FL1281" s="1"/>
      <c r="FM1281" s="1"/>
      <c r="FN1281" s="1"/>
      <c r="FO1281" s="1"/>
      <c r="FP1281" s="1"/>
      <c r="FQ1281" s="1"/>
      <c r="FR1281" s="1"/>
      <c r="FS1281" s="1"/>
      <c r="FT1281" s="1"/>
      <c r="FU1281" s="1"/>
      <c r="FV1281" s="1"/>
      <c r="FW1281" s="1"/>
      <c r="FX1281" s="1"/>
      <c r="FY1281" s="1"/>
      <c r="FZ1281" s="1"/>
      <c r="GA1281" s="1"/>
      <c r="GB1281" s="1"/>
      <c r="GC1281" s="1"/>
      <c r="GD1281" s="1"/>
      <c r="GE1281" s="1"/>
      <c r="GF1281" s="1"/>
      <c r="GG1281" s="1"/>
      <c r="GH1281" s="1"/>
      <c r="GI1281" s="1"/>
      <c r="GJ1281" s="1"/>
      <c r="GK1281" s="1"/>
      <c r="GL1281" s="1"/>
      <c r="GM1281" s="1"/>
      <c r="GN1281" s="1"/>
      <c r="GO1281" s="1"/>
      <c r="GP1281" s="1"/>
      <c r="GQ1281" s="1"/>
      <c r="GR1281" s="1"/>
      <c r="GS1281" s="1"/>
      <c r="GT1281" s="1"/>
      <c r="GU1281" s="1"/>
      <c r="GV1281" s="1"/>
      <c r="GW1281" s="1"/>
      <c r="GX1281" s="1"/>
      <c r="GY1281" s="1"/>
      <c r="GZ1281" s="1"/>
      <c r="HA1281" s="1"/>
      <c r="HB1281" s="1"/>
      <c r="HC1281" s="1"/>
      <c r="HD1281" s="1"/>
      <c r="HE1281" s="1"/>
      <c r="HF1281" s="1"/>
      <c r="HG1281" s="1"/>
      <c r="HH1281" s="1"/>
      <c r="HI1281" s="1"/>
      <c r="HJ1281" s="1"/>
      <c r="HK1281" s="1"/>
      <c r="HL1281" s="1"/>
      <c r="HM1281" s="1"/>
      <c r="HN1281" s="1"/>
      <c r="HO1281" s="1"/>
      <c r="HP1281" s="1"/>
      <c r="HQ1281" s="1"/>
      <c r="HR1281" s="1"/>
      <c r="HS1281" s="1"/>
      <c r="HT1281" s="1"/>
      <c r="HU1281" s="1"/>
      <c r="HV1281" s="1"/>
      <c r="HW1281" s="1"/>
      <c r="HX1281" s="1"/>
      <c r="HY1281" s="1"/>
      <c r="HZ1281" s="1"/>
      <c r="IA1281" s="1"/>
      <c r="IB1281" s="1"/>
      <c r="IC1281" s="1"/>
      <c r="ID1281" s="1"/>
      <c r="IE1281" s="1"/>
      <c r="IF1281" s="1"/>
      <c r="IG1281" s="1"/>
      <c r="IH1281" s="1"/>
      <c r="II1281" s="1"/>
      <c r="IJ1281" s="1"/>
      <c r="IK1281" s="1"/>
      <c r="IL1281" s="1"/>
      <c r="IM1281" s="1"/>
      <c r="IN1281" s="1"/>
      <c r="IO1281" s="1"/>
      <c r="IP1281" s="1"/>
      <c r="IQ1281" s="1"/>
      <c r="IR1281" s="1"/>
      <c r="IS1281" s="1"/>
      <c r="IT1281" s="1"/>
      <c r="IU1281" s="1"/>
      <c r="IV1281" s="1"/>
      <c r="IW1281" s="1"/>
      <c r="IX1281" s="1"/>
      <c r="IY1281" s="1"/>
      <c r="IZ1281" s="1"/>
      <c r="JA1281" s="1"/>
      <c r="JB1281" s="1"/>
      <c r="JC1281" s="1"/>
      <c r="JD1281" s="1"/>
    </row>
    <row r="1282" spans="1:264" s="411" customFormat="1" x14ac:dyDescent="0.2">
      <c r="A1282" s="411" t="s">
        <v>378</v>
      </c>
      <c r="B1282" s="423"/>
      <c r="BH1282" s="397">
        <f>SUM(BH1270:BH1281)</f>
        <v>2000</v>
      </c>
      <c r="BI1282" s="397">
        <f>SUM(BI1270:BI1281)</f>
        <v>2000</v>
      </c>
      <c r="BJ1282" s="397">
        <f>SUM(BJ1270:BJ1281)</f>
        <v>2000</v>
      </c>
      <c r="BK1282" s="397"/>
      <c r="BL1282" s="397">
        <f>SUM(BL1270:BL1281)</f>
        <v>2000</v>
      </c>
      <c r="BM1282" s="397">
        <f>SUM(BM1270:BM1281)</f>
        <v>2000</v>
      </c>
      <c r="BN1282" s="397">
        <f>SUM(BN1270:BN1281)</f>
        <v>2000</v>
      </c>
      <c r="BO1282" s="397"/>
      <c r="BP1282" s="397">
        <f>SUM(BP1270:BP1281)</f>
        <v>5000</v>
      </c>
      <c r="BQ1282" s="397">
        <f>SUM(BQ1270:BQ1281)</f>
        <v>5000</v>
      </c>
      <c r="BR1282" s="397">
        <f>SUM(BR1270:BR1281)</f>
        <v>5000</v>
      </c>
      <c r="BS1282" s="397"/>
      <c r="BT1282" s="397">
        <f>SUM(BT1270:BT1281)</f>
        <v>5000</v>
      </c>
      <c r="BU1282" s="397">
        <f>SUM(BU1270:BU1281)</f>
        <v>6450</v>
      </c>
      <c r="BV1282" s="397">
        <f>SUM(BV1270:BV1281)</f>
        <v>6450</v>
      </c>
      <c r="BW1282" s="397"/>
      <c r="BX1282" s="397">
        <f>SUM(BX1270:BX1281)</f>
        <v>6450</v>
      </c>
      <c r="BY1282" s="397">
        <f>SUM(BY1270:BY1281)</f>
        <v>8090</v>
      </c>
      <c r="BZ1282" s="397">
        <f>SUM(BZ1270:BZ1281)</f>
        <v>8090</v>
      </c>
      <c r="CA1282" s="397"/>
      <c r="CB1282" s="397">
        <f>SUM(CB1270:CB1281)</f>
        <v>8090</v>
      </c>
      <c r="CC1282" s="397">
        <f>SUM(CC1270:CC1281)</f>
        <v>9455</v>
      </c>
      <c r="CD1282" s="397">
        <f>SUM(CD1270:CD1281)</f>
        <v>9455</v>
      </c>
      <c r="CE1282" s="397"/>
      <c r="CF1282" s="397">
        <f>SUM(CF1270:CF1281)</f>
        <v>9045</v>
      </c>
      <c r="CG1282" s="397">
        <f>SUM(CG1270:CG1281)</f>
        <v>9045</v>
      </c>
      <c r="CH1282" s="397">
        <f>SUM(CH1270:CH1281)</f>
        <v>9045</v>
      </c>
      <c r="CI1282" s="397"/>
      <c r="CJ1282" s="397">
        <f>SUM(CJ1270:CJ1281)</f>
        <v>10695</v>
      </c>
      <c r="CK1282" s="397">
        <f>SUM(CK1270:CK1281)</f>
        <v>10695</v>
      </c>
      <c r="CL1282" s="397">
        <f>SUM(CL1270:CL1281)</f>
        <v>10695</v>
      </c>
      <c r="CM1282" s="397"/>
      <c r="CN1282" s="397">
        <f>SUM(CN1270:CN1281)</f>
        <v>10695</v>
      </c>
      <c r="CO1282" s="397">
        <f>SUM(CO1270:CO1281)</f>
        <v>11875</v>
      </c>
      <c r="CP1282" s="397">
        <f>SUM(CP1270:CP1281)</f>
        <v>11875</v>
      </c>
      <c r="CQ1282" s="397"/>
      <c r="CR1282" s="397">
        <f>SUM(CR1270:CR1281)</f>
        <v>10425</v>
      </c>
      <c r="CS1282" s="397">
        <f>SUM(CS1270:CS1281)</f>
        <v>10535</v>
      </c>
      <c r="CT1282" s="397">
        <f>SUM(CT1270:CT1281)</f>
        <v>10535</v>
      </c>
      <c r="CU1282" s="397"/>
      <c r="CV1282" s="397">
        <f>SUM(CV1270:CV1281)</f>
        <v>9312</v>
      </c>
      <c r="CW1282" s="397">
        <f>SUM(CW1270:CW1281)</f>
        <v>10862</v>
      </c>
      <c r="CX1282" s="397">
        <f>SUM(CX1270:CX1281)</f>
        <v>10862</v>
      </c>
      <c r="CY1282" s="397"/>
      <c r="CZ1282" s="397">
        <f>SUM(CZ1270:CZ1281)</f>
        <v>10862</v>
      </c>
      <c r="DA1282" s="397">
        <f>SUM(DA1270:DA1281)</f>
        <v>9272</v>
      </c>
      <c r="DB1282" s="397">
        <f>SUM(DB1270:DB1281)</f>
        <v>9272</v>
      </c>
      <c r="DC1282" s="397"/>
      <c r="DD1282" s="397">
        <f>SUM(DD1270:DD1281)</f>
        <v>9272</v>
      </c>
      <c r="DE1282" s="397">
        <f>SUM(DE1270:DE1281)</f>
        <v>7907</v>
      </c>
      <c r="DF1282" s="397">
        <f>SUM(DF1270:DF1281)</f>
        <v>7907</v>
      </c>
      <c r="DG1282" s="397"/>
      <c r="DH1282" s="397">
        <f>SUM(DH1270:DH1281)</f>
        <v>7907</v>
      </c>
      <c r="DI1282" s="397">
        <f>SUM(DI1270:DI1281)</f>
        <v>7907</v>
      </c>
      <c r="DJ1282" s="397">
        <f>SUM(DJ1270:DJ1281)</f>
        <v>7907</v>
      </c>
      <c r="DK1282" s="397"/>
      <c r="DL1282" s="397">
        <f>SUM(DL1270:DL1281)</f>
        <v>7907</v>
      </c>
      <c r="DM1282" s="397">
        <f>SUM(DM1270:DM1281)</f>
        <v>7907</v>
      </c>
      <c r="DN1282" s="397">
        <f>SUM(DN1270:DN1281)</f>
        <v>7907</v>
      </c>
      <c r="DO1282" s="397"/>
      <c r="DP1282" s="397">
        <f>SUM(DP1270:DP1281)</f>
        <v>7907</v>
      </c>
      <c r="DQ1282" s="397">
        <f>SUM(DQ1270:DQ1281)</f>
        <v>7907</v>
      </c>
      <c r="DR1282" s="397">
        <f>SUM(DR1270:DR1281)</f>
        <v>7907</v>
      </c>
      <c r="DS1282" s="397"/>
      <c r="DT1282" s="1"/>
      <c r="DU1282" s="1"/>
      <c r="DV1282" s="1"/>
      <c r="DW1282" s="1"/>
      <c r="DX1282" s="1"/>
      <c r="DY1282" s="1"/>
      <c r="DZ1282" s="1"/>
      <c r="EA1282" s="1"/>
      <c r="EB1282" s="1"/>
      <c r="EC1282" s="1"/>
      <c r="ED1282" s="1"/>
      <c r="EE1282" s="1"/>
      <c r="EF1282" s="1"/>
      <c r="EG1282" s="1"/>
      <c r="EH1282" s="1"/>
      <c r="EI1282" s="1"/>
      <c r="EJ1282" s="1"/>
      <c r="EK1282" s="1"/>
      <c r="EL1282" s="1"/>
      <c r="EM1282" s="1"/>
      <c r="EN1282" s="1"/>
      <c r="EO1282" s="1"/>
      <c r="EP1282" s="1"/>
      <c r="EQ1282" s="1"/>
      <c r="ER1282" s="1"/>
      <c r="ES1282" s="1"/>
      <c r="ET1282" s="1"/>
      <c r="EU1282" s="1"/>
      <c r="EV1282" s="1"/>
      <c r="EW1282" s="1"/>
      <c r="EX1282" s="1"/>
      <c r="EY1282" s="1"/>
      <c r="EZ1282" s="1"/>
      <c r="FA1282" s="1"/>
      <c r="FB1282" s="1"/>
      <c r="FC1282" s="1"/>
      <c r="FD1282" s="1"/>
      <c r="FE1282" s="1"/>
      <c r="FF1282" s="1"/>
      <c r="FG1282" s="1"/>
      <c r="FH1282" s="1"/>
      <c r="FI1282" s="1"/>
      <c r="FJ1282" s="1"/>
      <c r="FK1282" s="1"/>
      <c r="FL1282" s="1"/>
      <c r="FM1282" s="1"/>
      <c r="FN1282" s="1"/>
      <c r="FO1282" s="1"/>
      <c r="FP1282" s="1"/>
      <c r="FQ1282" s="1"/>
      <c r="FR1282" s="1"/>
      <c r="FS1282" s="1"/>
      <c r="FT1282" s="1"/>
      <c r="FU1282" s="1"/>
      <c r="FV1282" s="1"/>
      <c r="FW1282" s="1"/>
      <c r="FX1282" s="1"/>
      <c r="FY1282" s="1"/>
      <c r="FZ1282" s="1"/>
      <c r="GA1282" s="1"/>
      <c r="GB1282" s="1"/>
      <c r="GC1282" s="1"/>
      <c r="GD1282" s="1"/>
      <c r="GE1282" s="1"/>
      <c r="GF1282" s="1"/>
      <c r="GG1282" s="1"/>
      <c r="GH1282" s="1"/>
      <c r="GI1282" s="1"/>
      <c r="GJ1282" s="1"/>
      <c r="GK1282" s="1"/>
      <c r="GL1282" s="1"/>
      <c r="GM1282" s="1"/>
      <c r="GN1282" s="1"/>
      <c r="GO1282" s="1"/>
      <c r="GP1282" s="1"/>
      <c r="GQ1282" s="1"/>
      <c r="GR1282" s="1"/>
      <c r="GS1282" s="1"/>
      <c r="GT1282" s="1"/>
      <c r="GU1282" s="1"/>
      <c r="GV1282" s="1"/>
      <c r="GW1282" s="1"/>
      <c r="GX1282" s="1"/>
      <c r="GY1282" s="1"/>
      <c r="GZ1282" s="1"/>
      <c r="HA1282" s="1"/>
      <c r="HB1282" s="1"/>
      <c r="HC1282" s="1"/>
      <c r="HD1282" s="1"/>
      <c r="HE1282" s="1"/>
      <c r="HF1282" s="1"/>
      <c r="HG1282" s="1"/>
      <c r="HH1282" s="1"/>
      <c r="HI1282" s="1"/>
      <c r="HJ1282" s="1"/>
      <c r="HK1282" s="1"/>
      <c r="HL1282" s="1"/>
      <c r="HM1282" s="1"/>
      <c r="HN1282" s="1"/>
      <c r="HO1282" s="1"/>
      <c r="HP1282" s="1"/>
      <c r="HQ1282" s="1"/>
      <c r="HR1282" s="1"/>
      <c r="HS1282" s="1"/>
      <c r="HT1282" s="1"/>
      <c r="HU1282" s="1"/>
      <c r="HV1282" s="1"/>
      <c r="HW1282" s="1"/>
      <c r="HX1282" s="1"/>
      <c r="HY1282" s="1"/>
      <c r="HZ1282" s="1"/>
      <c r="IA1282" s="1"/>
      <c r="IB1282" s="1"/>
      <c r="IC1282" s="1"/>
      <c r="ID1282" s="1"/>
      <c r="IE1282" s="1"/>
      <c r="IF1282" s="1"/>
      <c r="IG1282" s="1"/>
      <c r="IH1282" s="1"/>
      <c r="II1282" s="1"/>
      <c r="IJ1282" s="1"/>
      <c r="IK1282" s="1"/>
      <c r="IL1282" s="1"/>
      <c r="IM1282" s="1"/>
      <c r="IN1282" s="1"/>
      <c r="IO1282" s="1"/>
      <c r="IP1282" s="1"/>
      <c r="IQ1282" s="1"/>
      <c r="IR1282" s="1"/>
      <c r="IS1282" s="1"/>
      <c r="IT1282" s="1"/>
      <c r="IU1282" s="1"/>
      <c r="IV1282" s="1"/>
      <c r="IW1282" s="1"/>
      <c r="IX1282" s="1"/>
      <c r="IY1282" s="1"/>
      <c r="IZ1282" s="1"/>
      <c r="JA1282" s="1"/>
      <c r="JB1282" s="1"/>
      <c r="JC1282" s="1"/>
      <c r="JD1282" s="1"/>
    </row>
    <row r="1283" spans="1:264" s="411" customFormat="1" x14ac:dyDescent="0.2">
      <c r="A1283" s="429" t="s">
        <v>852</v>
      </c>
      <c r="B1283" s="423"/>
      <c r="BH1283" s="397"/>
      <c r="BI1283" s="397"/>
      <c r="BJ1283" s="397"/>
      <c r="BK1283" s="397"/>
      <c r="BL1283" s="397"/>
      <c r="BM1283" s="397"/>
      <c r="BN1283" s="397"/>
      <c r="BO1283" s="397"/>
      <c r="BP1283" s="397"/>
      <c r="BQ1283" s="397"/>
      <c r="BR1283" s="397"/>
      <c r="BS1283" s="397"/>
      <c r="BT1283" s="456">
        <f>BT1197</f>
        <v>5000</v>
      </c>
      <c r="BU1283" s="456">
        <f>BU1197</f>
        <v>6450</v>
      </c>
      <c r="BV1283" s="456">
        <f>BV1197</f>
        <v>6450</v>
      </c>
      <c r="BW1283" s="397"/>
      <c r="BX1283" s="456">
        <f>BX1197</f>
        <v>6450</v>
      </c>
      <c r="BY1283" s="456">
        <f>BY1197</f>
        <v>8090</v>
      </c>
      <c r="BZ1283" s="456">
        <f>BZ1197</f>
        <v>8090</v>
      </c>
      <c r="CA1283" s="397"/>
      <c r="CB1283" s="456">
        <f>CB1197</f>
        <v>8090</v>
      </c>
      <c r="CC1283" s="456">
        <f>CC1197</f>
        <v>9455</v>
      </c>
      <c r="CD1283" s="456">
        <f>CD1197</f>
        <v>9455</v>
      </c>
      <c r="CE1283" s="397"/>
      <c r="CF1283" s="456">
        <f>CF1197</f>
        <v>9045</v>
      </c>
      <c r="CG1283" s="456">
        <f>CG1197</f>
        <v>9045</v>
      </c>
      <c r="CH1283" s="456">
        <f>CH1197</f>
        <v>9045</v>
      </c>
      <c r="CI1283" s="397"/>
      <c r="CJ1283" s="456">
        <f>CJ1197</f>
        <v>10695</v>
      </c>
      <c r="CK1283" s="456">
        <f>CK1197</f>
        <v>10695</v>
      </c>
      <c r="CL1283" s="456">
        <f>CL1197</f>
        <v>10695</v>
      </c>
      <c r="CM1283" s="397"/>
      <c r="CN1283" s="456">
        <f>CN1197</f>
        <v>10695</v>
      </c>
      <c r="CO1283" s="456">
        <f>CO1197</f>
        <v>11875</v>
      </c>
      <c r="CP1283" s="456">
        <f>CP1197</f>
        <v>11875</v>
      </c>
      <c r="CQ1283" s="397"/>
      <c r="CR1283" s="456">
        <f>CR1197</f>
        <v>10425</v>
      </c>
      <c r="CS1283" s="456">
        <f>CS1197</f>
        <v>10535</v>
      </c>
      <c r="CT1283" s="397"/>
      <c r="CU1283" s="397"/>
      <c r="CV1283" s="456">
        <f>CV1197</f>
        <v>9312</v>
      </c>
      <c r="CW1283" s="456">
        <f t="shared" ref="CW1283:CX1283" si="934">CW1197</f>
        <v>10862</v>
      </c>
      <c r="CX1283" s="456">
        <f t="shared" si="934"/>
        <v>10862</v>
      </c>
      <c r="CY1283" s="397"/>
      <c r="CZ1283" s="456">
        <f>CZ1197</f>
        <v>10862</v>
      </c>
      <c r="DA1283" s="456">
        <f>DA1197</f>
        <v>9272</v>
      </c>
      <c r="DB1283" s="397"/>
      <c r="DC1283" s="397"/>
      <c r="DD1283" s="456">
        <f>DD1197</f>
        <v>9272</v>
      </c>
      <c r="DE1283" s="456">
        <f>DE1197</f>
        <v>7907</v>
      </c>
      <c r="DF1283" s="397"/>
      <c r="DG1283" s="397"/>
      <c r="DH1283" s="456">
        <f>DH1197</f>
        <v>7907</v>
      </c>
      <c r="DI1283" s="397"/>
      <c r="DJ1283" s="397"/>
      <c r="DK1283" s="397"/>
      <c r="DL1283" s="397"/>
      <c r="DM1283" s="397"/>
      <c r="DN1283" s="397"/>
      <c r="DO1283" s="397"/>
      <c r="DP1283" s="397"/>
      <c r="DQ1283" s="397"/>
      <c r="DR1283" s="397"/>
      <c r="DS1283" s="397"/>
      <c r="DT1283" s="1"/>
      <c r="DU1283" s="1"/>
      <c r="DV1283" s="1"/>
      <c r="DW1283" s="1"/>
      <c r="DX1283" s="1"/>
      <c r="DY1283" s="1"/>
      <c r="DZ1283" s="1"/>
      <c r="EA1283" s="1"/>
      <c r="EB1283" s="1"/>
      <c r="EC1283" s="1"/>
      <c r="ED1283" s="1"/>
      <c r="EE1283" s="1"/>
      <c r="EF1283" s="1"/>
      <c r="EG1283" s="1"/>
      <c r="EH1283" s="1"/>
      <c r="EI1283" s="1"/>
      <c r="EJ1283" s="1"/>
      <c r="EK1283" s="1"/>
      <c r="EL1283" s="1"/>
      <c r="EM1283" s="1"/>
      <c r="EN1283" s="1"/>
      <c r="EO1283" s="1"/>
      <c r="EP1283" s="1"/>
      <c r="EQ1283" s="1"/>
      <c r="ER1283" s="1"/>
      <c r="ES1283" s="1"/>
      <c r="ET1283" s="1"/>
      <c r="EU1283" s="1"/>
      <c r="EV1283" s="1"/>
      <c r="EW1283" s="1"/>
      <c r="EX1283" s="1"/>
      <c r="EY1283" s="1"/>
      <c r="EZ1283" s="1"/>
      <c r="FA1283" s="1"/>
      <c r="FB1283" s="1"/>
      <c r="FC1283" s="1"/>
      <c r="FD1283" s="1"/>
      <c r="FE1283" s="1"/>
      <c r="FF1283" s="1"/>
      <c r="FG1283" s="1"/>
      <c r="FH1283" s="1"/>
      <c r="FI1283" s="1"/>
      <c r="FJ1283" s="1"/>
      <c r="FK1283" s="1"/>
      <c r="FL1283" s="1"/>
      <c r="FM1283" s="1"/>
      <c r="FN1283" s="1"/>
      <c r="FO1283" s="1"/>
      <c r="FP1283" s="1"/>
      <c r="FQ1283" s="1"/>
      <c r="FR1283" s="1"/>
      <c r="FS1283" s="1"/>
      <c r="FT1283" s="1"/>
      <c r="FU1283" s="1"/>
      <c r="FV1283" s="1"/>
      <c r="FW1283" s="1"/>
      <c r="FX1283" s="1"/>
      <c r="FY1283" s="1"/>
      <c r="FZ1283" s="1"/>
      <c r="GA1283" s="1"/>
      <c r="GB1283" s="1"/>
      <c r="GC1283" s="1"/>
      <c r="GD1283" s="1"/>
      <c r="GE1283" s="1"/>
      <c r="GF1283" s="1"/>
      <c r="GG1283" s="1"/>
      <c r="GH1283" s="1"/>
      <c r="GI1283" s="1"/>
      <c r="GJ1283" s="1"/>
      <c r="GK1283" s="1"/>
      <c r="GL1283" s="1"/>
      <c r="GM1283" s="1"/>
      <c r="GN1283" s="1"/>
      <c r="GO1283" s="1"/>
      <c r="GP1283" s="1"/>
      <c r="GQ1283" s="1"/>
      <c r="GR1283" s="1"/>
      <c r="GS1283" s="1"/>
      <c r="GT1283" s="1"/>
      <c r="GU1283" s="1"/>
      <c r="GV1283" s="1"/>
      <c r="GW1283" s="1"/>
      <c r="GX1283" s="1"/>
      <c r="GY1283" s="1"/>
      <c r="GZ1283" s="1"/>
      <c r="HA1283" s="1"/>
      <c r="HB1283" s="1"/>
      <c r="HC1283" s="1"/>
      <c r="HD1283" s="1"/>
      <c r="HE1283" s="1"/>
      <c r="HF1283" s="1"/>
      <c r="HG1283" s="1"/>
      <c r="HH1283" s="1"/>
      <c r="HI1283" s="1"/>
      <c r="HJ1283" s="1"/>
      <c r="HK1283" s="1"/>
      <c r="HL1283" s="1"/>
      <c r="HM1283" s="1"/>
      <c r="HN1283" s="1"/>
      <c r="HO1283" s="1"/>
      <c r="HP1283" s="1"/>
      <c r="HQ1283" s="1"/>
      <c r="HR1283" s="1"/>
      <c r="HS1283" s="1"/>
      <c r="HT1283" s="1"/>
      <c r="HU1283" s="1"/>
      <c r="HV1283" s="1"/>
      <c r="HW1283" s="1"/>
      <c r="HX1283" s="1"/>
      <c r="HY1283" s="1"/>
      <c r="HZ1283" s="1"/>
      <c r="IA1283" s="1"/>
      <c r="IB1283" s="1"/>
      <c r="IC1283" s="1"/>
      <c r="ID1283" s="1"/>
      <c r="IE1283" s="1"/>
      <c r="IF1283" s="1"/>
      <c r="IG1283" s="1"/>
      <c r="IH1283" s="1"/>
      <c r="II1283" s="1"/>
      <c r="IJ1283" s="1"/>
      <c r="IK1283" s="1"/>
      <c r="IL1283" s="1"/>
      <c r="IM1283" s="1"/>
      <c r="IN1283" s="1"/>
      <c r="IO1283" s="1"/>
      <c r="IP1283" s="1"/>
      <c r="IQ1283" s="1"/>
      <c r="IR1283" s="1"/>
      <c r="IS1283" s="1"/>
      <c r="IT1283" s="1"/>
      <c r="IU1283" s="1"/>
      <c r="IV1283" s="1"/>
      <c r="IW1283" s="1"/>
      <c r="IX1283" s="1"/>
      <c r="IY1283" s="1"/>
      <c r="IZ1283" s="1"/>
      <c r="JA1283" s="1"/>
      <c r="JB1283" s="1"/>
      <c r="JC1283" s="1"/>
      <c r="JD1283" s="1"/>
    </row>
    <row r="1284" spans="1:264" s="347" customFormat="1" x14ac:dyDescent="0.2">
      <c r="A1284" s="411"/>
      <c r="B1284" s="348"/>
      <c r="BH1284" s="351"/>
      <c r="BI1284" s="351"/>
      <c r="BJ1284" s="351"/>
      <c r="BK1284" s="351"/>
      <c r="BL1284" s="351"/>
      <c r="BM1284" s="351"/>
      <c r="BN1284" s="351"/>
      <c r="BO1284" s="351"/>
      <c r="BP1284" s="351"/>
      <c r="BQ1284" s="351"/>
      <c r="BR1284" s="351"/>
      <c r="BS1284" s="351"/>
      <c r="BT1284" s="351"/>
      <c r="BU1284" s="351"/>
      <c r="BV1284" s="351"/>
      <c r="BW1284" s="351"/>
      <c r="BX1284" s="351"/>
      <c r="BY1284" s="351"/>
      <c r="BZ1284" s="351"/>
      <c r="CA1284" s="351"/>
      <c r="CB1284" s="351"/>
      <c r="CC1284" s="351"/>
      <c r="CD1284" s="351"/>
      <c r="CE1284" s="351"/>
      <c r="CF1284" s="351"/>
      <c r="CG1284" s="351"/>
      <c r="CH1284" s="351"/>
      <c r="CI1284" s="351"/>
      <c r="CJ1284" s="351"/>
      <c r="CK1284" s="351"/>
      <c r="CL1284" s="351"/>
      <c r="CM1284" s="351"/>
      <c r="CN1284" s="351"/>
      <c r="CO1284" s="351"/>
      <c r="CP1284" s="351"/>
      <c r="CQ1284" s="351"/>
      <c r="CR1284" s="351"/>
      <c r="CS1284" s="351"/>
      <c r="CT1284" s="351"/>
      <c r="CU1284" s="351"/>
      <c r="CV1284" s="351"/>
      <c r="CW1284" s="351"/>
      <c r="CX1284" s="351"/>
      <c r="CY1284" s="351"/>
      <c r="CZ1284" s="351"/>
      <c r="DA1284" s="351"/>
      <c r="DB1284" s="351"/>
      <c r="DC1284" s="351"/>
      <c r="DD1284" s="351"/>
      <c r="DE1284" s="351"/>
      <c r="DF1284" s="351"/>
      <c r="DG1284" s="351"/>
      <c r="DH1284" s="351"/>
      <c r="DI1284" s="351"/>
      <c r="DJ1284" s="351"/>
      <c r="DK1284" s="351"/>
      <c r="DL1284" s="351"/>
      <c r="DM1284" s="351"/>
      <c r="DN1284" s="351"/>
      <c r="DO1284" s="351"/>
      <c r="DP1284" s="351"/>
      <c r="DQ1284" s="351"/>
      <c r="DR1284" s="351"/>
      <c r="DS1284" s="351"/>
      <c r="DT1284" s="1"/>
      <c r="DU1284" s="1"/>
      <c r="DV1284" s="1"/>
      <c r="DW1284" s="1"/>
      <c r="DX1284" s="1"/>
      <c r="DY1284" s="1"/>
      <c r="DZ1284" s="1"/>
      <c r="EA1284" s="1"/>
      <c r="EB1284" s="1"/>
      <c r="EC1284" s="1"/>
      <c r="ED1284" s="1"/>
      <c r="EE1284" s="1"/>
      <c r="EF1284" s="1"/>
      <c r="EG1284" s="1"/>
      <c r="EH1284" s="1"/>
      <c r="EI1284" s="1"/>
      <c r="EJ1284" s="1"/>
      <c r="EK1284" s="1"/>
      <c r="EL1284" s="1"/>
      <c r="EM1284" s="1"/>
      <c r="EN1284" s="1"/>
      <c r="EO1284" s="1"/>
      <c r="EP1284" s="1"/>
      <c r="EQ1284" s="1"/>
      <c r="ER1284" s="1"/>
      <c r="ES1284" s="1"/>
      <c r="ET1284" s="1"/>
      <c r="EU1284" s="1"/>
      <c r="EV1284" s="1"/>
      <c r="EW1284" s="1"/>
      <c r="EX1284" s="1"/>
      <c r="EY1284" s="1"/>
      <c r="EZ1284" s="1"/>
      <c r="FA1284" s="1"/>
      <c r="FB1284" s="1"/>
      <c r="FC1284" s="1"/>
      <c r="FD1284" s="1"/>
      <c r="FE1284" s="1"/>
      <c r="FF1284" s="1"/>
      <c r="FG1284" s="1"/>
      <c r="FH1284" s="1"/>
      <c r="FI1284" s="1"/>
      <c r="FJ1284" s="1"/>
      <c r="FK1284" s="1"/>
      <c r="FL1284" s="1"/>
      <c r="FM1284" s="1"/>
      <c r="FN1284" s="1"/>
      <c r="FO1284" s="1"/>
      <c r="FP1284" s="1"/>
      <c r="FQ1284" s="1"/>
      <c r="FR1284" s="1"/>
      <c r="FS1284" s="1"/>
      <c r="FT1284" s="1"/>
      <c r="FU1284" s="1"/>
      <c r="FV1284" s="1"/>
      <c r="FW1284" s="1"/>
      <c r="FX1284" s="1"/>
      <c r="FY1284" s="1"/>
      <c r="FZ1284" s="1"/>
      <c r="GA1284" s="1"/>
      <c r="GB1284" s="1"/>
      <c r="GC1284" s="1"/>
      <c r="GD1284" s="1"/>
      <c r="GE1284" s="1"/>
      <c r="GF1284" s="1"/>
      <c r="GG1284" s="1"/>
      <c r="GH1284" s="1"/>
      <c r="GI1284" s="1"/>
      <c r="GJ1284" s="1"/>
      <c r="GK1284" s="1"/>
      <c r="GL1284" s="1"/>
      <c r="GM1284" s="1"/>
      <c r="GN1284" s="1"/>
      <c r="GO1284" s="1"/>
      <c r="GP1284" s="1"/>
      <c r="GQ1284" s="1"/>
      <c r="GR1284" s="1"/>
      <c r="GS1284" s="1"/>
      <c r="GT1284" s="1"/>
      <c r="GU1284" s="1"/>
      <c r="GV1284" s="1"/>
      <c r="GW1284" s="1"/>
      <c r="GX1284" s="1"/>
      <c r="GY1284" s="1"/>
      <c r="GZ1284" s="1"/>
      <c r="HA1284" s="1"/>
      <c r="HB1284" s="1"/>
      <c r="HC1284" s="1"/>
      <c r="HD1284" s="1"/>
      <c r="HE1284" s="1"/>
      <c r="HF1284" s="1"/>
      <c r="HG1284" s="1"/>
      <c r="HH1284" s="1"/>
      <c r="HI1284" s="1"/>
      <c r="HJ1284" s="1"/>
      <c r="HK1284" s="1"/>
      <c r="HL1284" s="1"/>
      <c r="HM1284" s="1"/>
      <c r="HN1284" s="1"/>
      <c r="HO1284" s="1"/>
      <c r="HP1284" s="1"/>
      <c r="HQ1284" s="1"/>
      <c r="HR1284" s="1"/>
      <c r="HS1284" s="1"/>
      <c r="HT1284" s="1"/>
      <c r="HU1284" s="1"/>
      <c r="HV1284" s="1"/>
      <c r="HW1284" s="1"/>
      <c r="HX1284" s="1"/>
      <c r="HY1284" s="1"/>
      <c r="HZ1284" s="1"/>
      <c r="IA1284" s="1"/>
      <c r="IB1284" s="1"/>
      <c r="IC1284" s="1"/>
      <c r="ID1284" s="1"/>
      <c r="IE1284" s="1"/>
      <c r="IF1284" s="1"/>
      <c r="IG1284" s="1"/>
      <c r="IH1284" s="1"/>
      <c r="II1284" s="1"/>
      <c r="IJ1284" s="1"/>
      <c r="IK1284" s="1"/>
      <c r="IL1284" s="1"/>
      <c r="IM1284" s="1"/>
      <c r="IN1284" s="1"/>
      <c r="IO1284" s="1"/>
      <c r="IP1284" s="1"/>
      <c r="IQ1284" s="1"/>
      <c r="IR1284" s="1"/>
      <c r="IS1284" s="1"/>
      <c r="IT1284" s="1"/>
      <c r="IU1284" s="1"/>
      <c r="IV1284" s="1"/>
      <c r="IW1284" s="1"/>
      <c r="IX1284" s="1"/>
      <c r="IY1284" s="1"/>
      <c r="IZ1284" s="1"/>
      <c r="JA1284" s="1"/>
      <c r="JB1284" s="1"/>
      <c r="JC1284" s="1"/>
      <c r="JD1284" s="1"/>
    </row>
    <row r="1285" spans="1:264" s="347" customFormat="1" x14ac:dyDescent="0.2">
      <c r="A1285" s="411" t="s">
        <v>853</v>
      </c>
      <c r="B1285" s="348"/>
      <c r="BH1285" s="351"/>
      <c r="BI1285" s="351"/>
      <c r="BJ1285" s="351"/>
      <c r="BK1285" s="351"/>
      <c r="BL1285" s="351"/>
      <c r="BM1285" s="351"/>
      <c r="BN1285" s="351"/>
      <c r="BO1285" s="351"/>
      <c r="BP1285" s="351"/>
      <c r="BQ1285" s="351"/>
      <c r="BR1285" s="351"/>
      <c r="BS1285" s="351"/>
      <c r="BT1285" s="351"/>
      <c r="BU1285" s="351"/>
      <c r="BV1285" s="351"/>
      <c r="BW1285" s="351"/>
      <c r="BX1285" s="351"/>
      <c r="BY1285" s="351"/>
      <c r="BZ1285" s="351"/>
      <c r="CA1285" s="351"/>
      <c r="CB1285" s="351"/>
      <c r="CC1285" s="351"/>
      <c r="CD1285" s="351"/>
      <c r="CE1285" s="351"/>
      <c r="CF1285" s="351"/>
      <c r="CG1285" s="351"/>
      <c r="CH1285" s="351"/>
      <c r="CI1285" s="351"/>
      <c r="CJ1285" s="351"/>
      <c r="CK1285" s="351"/>
      <c r="CL1285" s="351"/>
      <c r="CM1285" s="351"/>
      <c r="CN1285" s="351"/>
      <c r="CO1285" s="351"/>
      <c r="CP1285" s="351"/>
      <c r="CQ1285" s="351"/>
      <c r="CR1285" s="351"/>
      <c r="CS1285" s="351"/>
      <c r="CT1285" s="351"/>
      <c r="CU1285" s="351"/>
      <c r="CV1285" s="351"/>
      <c r="CW1285" s="351"/>
      <c r="CX1285" s="351"/>
      <c r="CY1285" s="351"/>
      <c r="CZ1285" s="351"/>
      <c r="DA1285" s="351"/>
      <c r="DB1285" s="351"/>
      <c r="DC1285" s="351"/>
      <c r="DD1285" s="351"/>
      <c r="DE1285" s="351"/>
      <c r="DF1285" s="351"/>
      <c r="DG1285" s="351"/>
      <c r="DH1285" s="351"/>
      <c r="DI1285" s="351"/>
      <c r="DJ1285" s="351"/>
      <c r="DK1285" s="351"/>
      <c r="DL1285" s="351"/>
      <c r="DM1285" s="351"/>
      <c r="DN1285" s="351"/>
      <c r="DO1285" s="351"/>
      <c r="DP1285" s="351"/>
      <c r="DQ1285" s="351"/>
      <c r="DR1285" s="351"/>
      <c r="DS1285" s="351"/>
      <c r="DT1285" s="1"/>
      <c r="DU1285" s="1"/>
      <c r="DV1285" s="1"/>
      <c r="DW1285" s="1"/>
      <c r="DX1285" s="1"/>
      <c r="DY1285" s="1"/>
      <c r="DZ1285" s="1"/>
      <c r="EA1285" s="1"/>
      <c r="EB1285" s="1"/>
      <c r="EC1285" s="1"/>
      <c r="ED1285" s="1"/>
      <c r="EE1285" s="1"/>
      <c r="EF1285" s="1"/>
      <c r="EG1285" s="1"/>
      <c r="EH1285" s="1"/>
      <c r="EI1285" s="1"/>
      <c r="EJ1285" s="1"/>
      <c r="EK1285" s="1"/>
      <c r="EL1285" s="1"/>
      <c r="EM1285" s="1"/>
      <c r="EN1285" s="1"/>
      <c r="EO1285" s="1"/>
      <c r="EP1285" s="1"/>
      <c r="EQ1285" s="1"/>
      <c r="ER1285" s="1"/>
      <c r="ES1285" s="1"/>
      <c r="ET1285" s="1"/>
      <c r="EU1285" s="1"/>
      <c r="EV1285" s="1"/>
      <c r="EW1285" s="1"/>
      <c r="EX1285" s="1"/>
      <c r="EY1285" s="1"/>
      <c r="EZ1285" s="1"/>
      <c r="FA1285" s="1"/>
      <c r="FB1285" s="1"/>
      <c r="FC1285" s="1"/>
      <c r="FD1285" s="1"/>
      <c r="FE1285" s="1"/>
      <c r="FF1285" s="1"/>
      <c r="FG1285" s="1"/>
      <c r="FH1285" s="1"/>
      <c r="FI1285" s="1"/>
      <c r="FJ1285" s="1"/>
      <c r="FK1285" s="1"/>
      <c r="FL1285" s="1"/>
      <c r="FM1285" s="1"/>
      <c r="FN1285" s="1"/>
      <c r="FO1285" s="1"/>
      <c r="FP1285" s="1"/>
      <c r="FQ1285" s="1"/>
      <c r="FR1285" s="1"/>
      <c r="FS1285" s="1"/>
      <c r="FT1285" s="1"/>
      <c r="FU1285" s="1"/>
      <c r="FV1285" s="1"/>
      <c r="FW1285" s="1"/>
      <c r="FX1285" s="1"/>
      <c r="FY1285" s="1"/>
      <c r="FZ1285" s="1"/>
      <c r="GA1285" s="1"/>
      <c r="GB1285" s="1"/>
      <c r="GC1285" s="1"/>
      <c r="GD1285" s="1"/>
      <c r="GE1285" s="1"/>
      <c r="GF1285" s="1"/>
      <c r="GG1285" s="1"/>
      <c r="GH1285" s="1"/>
      <c r="GI1285" s="1"/>
      <c r="GJ1285" s="1"/>
      <c r="GK1285" s="1"/>
      <c r="GL1285" s="1"/>
      <c r="GM1285" s="1"/>
      <c r="GN1285" s="1"/>
      <c r="GO1285" s="1"/>
      <c r="GP1285" s="1"/>
      <c r="GQ1285" s="1"/>
      <c r="GR1285" s="1"/>
      <c r="GS1285" s="1"/>
      <c r="GT1285" s="1"/>
      <c r="GU1285" s="1"/>
      <c r="GV1285" s="1"/>
      <c r="GW1285" s="1"/>
      <c r="GX1285" s="1"/>
      <c r="GY1285" s="1"/>
      <c r="GZ1285" s="1"/>
      <c r="HA1285" s="1"/>
      <c r="HB1285" s="1"/>
      <c r="HC1285" s="1"/>
      <c r="HD1285" s="1"/>
      <c r="HE1285" s="1"/>
      <c r="HF1285" s="1"/>
      <c r="HG1285" s="1"/>
      <c r="HH1285" s="1"/>
      <c r="HI1285" s="1"/>
      <c r="HJ1285" s="1"/>
      <c r="HK1285" s="1"/>
      <c r="HL1285" s="1"/>
      <c r="HM1285" s="1"/>
      <c r="HN1285" s="1"/>
      <c r="HO1285" s="1"/>
      <c r="HP1285" s="1"/>
      <c r="HQ1285" s="1"/>
      <c r="HR1285" s="1"/>
      <c r="HS1285" s="1"/>
      <c r="HT1285" s="1"/>
      <c r="HU1285" s="1"/>
      <c r="HV1285" s="1"/>
      <c r="HW1285" s="1"/>
      <c r="HX1285" s="1"/>
      <c r="HY1285" s="1"/>
      <c r="HZ1285" s="1"/>
      <c r="IA1285" s="1"/>
      <c r="IB1285" s="1"/>
      <c r="IC1285" s="1"/>
      <c r="ID1285" s="1"/>
      <c r="IE1285" s="1"/>
      <c r="IF1285" s="1"/>
      <c r="IG1285" s="1"/>
      <c r="IH1285" s="1"/>
      <c r="II1285" s="1"/>
      <c r="IJ1285" s="1"/>
      <c r="IK1285" s="1"/>
      <c r="IL1285" s="1"/>
      <c r="IM1285" s="1"/>
      <c r="IN1285" s="1"/>
      <c r="IO1285" s="1"/>
      <c r="IP1285" s="1"/>
      <c r="IQ1285" s="1"/>
      <c r="IR1285" s="1"/>
      <c r="IS1285" s="1"/>
      <c r="IT1285" s="1"/>
      <c r="IU1285" s="1"/>
      <c r="IV1285" s="1"/>
      <c r="IW1285" s="1"/>
      <c r="IX1285" s="1"/>
      <c r="IY1285" s="1"/>
      <c r="IZ1285" s="1"/>
      <c r="JA1285" s="1"/>
      <c r="JB1285" s="1"/>
      <c r="JC1285" s="1"/>
      <c r="JD1285" s="1"/>
    </row>
    <row r="1286" spans="1:264" s="347" customFormat="1" x14ac:dyDescent="0.2">
      <c r="A1286" s="347" t="s">
        <v>854</v>
      </c>
      <c r="B1286" s="348" t="s">
        <v>855</v>
      </c>
      <c r="BH1286" s="398">
        <v>1166</v>
      </c>
      <c r="BI1286" s="398">
        <v>1166</v>
      </c>
      <c r="BJ1286" s="351">
        <f t="shared" ref="BJ1286:BJ1291" si="935">BI1286</f>
        <v>1166</v>
      </c>
      <c r="BK1286" s="351"/>
      <c r="BL1286" s="398">
        <v>1166</v>
      </c>
      <c r="BM1286" s="398">
        <v>1166</v>
      </c>
      <c r="BN1286" s="351">
        <f t="shared" ref="BN1286:BN1292" si="936">BM1286</f>
        <v>1166</v>
      </c>
      <c r="BO1286" s="351"/>
      <c r="BP1286" s="398">
        <v>1166</v>
      </c>
      <c r="BQ1286" s="398">
        <v>1166</v>
      </c>
      <c r="BR1286" s="351">
        <f t="shared" ref="BR1286:BR1291" si="937">BQ1286</f>
        <v>1166</v>
      </c>
      <c r="BS1286" s="351"/>
      <c r="BT1286" s="398">
        <v>1166</v>
      </c>
      <c r="BU1286" s="398">
        <v>0</v>
      </c>
      <c r="BV1286" s="351">
        <f t="shared" ref="BV1286:BV1291" si="938">BU1286</f>
        <v>0</v>
      </c>
      <c r="BW1286" s="351"/>
      <c r="BX1286" s="398">
        <v>0</v>
      </c>
      <c r="BY1286" s="398">
        <v>0</v>
      </c>
      <c r="BZ1286" s="351">
        <f t="shared" ref="BZ1286:BZ1291" si="939">BY1286</f>
        <v>0</v>
      </c>
      <c r="CA1286" s="351"/>
      <c r="CB1286" s="398">
        <v>0</v>
      </c>
      <c r="CC1286" s="398">
        <v>0</v>
      </c>
      <c r="CD1286" s="351">
        <f t="shared" ref="CD1286:CD1291" si="940">CC1286</f>
        <v>0</v>
      </c>
      <c r="CE1286" s="351"/>
      <c r="CF1286" s="398">
        <v>0</v>
      </c>
      <c r="CG1286" s="398">
        <v>0</v>
      </c>
      <c r="CH1286" s="351">
        <f t="shared" ref="CH1286:CH1291" si="941">CG1286</f>
        <v>0</v>
      </c>
      <c r="CI1286" s="351"/>
      <c r="CJ1286" s="398">
        <v>0</v>
      </c>
      <c r="CK1286" s="398">
        <v>0</v>
      </c>
      <c r="CL1286" s="351">
        <f t="shared" ref="CL1286:CL1291" si="942">CK1286</f>
        <v>0</v>
      </c>
      <c r="CM1286" s="351"/>
      <c r="CN1286" s="398">
        <v>0</v>
      </c>
      <c r="CO1286" s="398">
        <v>0</v>
      </c>
      <c r="CP1286" s="351">
        <f t="shared" ref="CP1286:CP1291" si="943">CO1286</f>
        <v>0</v>
      </c>
      <c r="CQ1286" s="351"/>
      <c r="CR1286" s="398">
        <v>0</v>
      </c>
      <c r="CS1286" s="398">
        <v>0</v>
      </c>
      <c r="CT1286" s="351">
        <f t="shared" ref="CT1286:CT1291" si="944">CS1286</f>
        <v>0</v>
      </c>
      <c r="CU1286" s="351"/>
      <c r="CV1286" s="398"/>
      <c r="CW1286" s="351"/>
      <c r="CX1286" s="351"/>
      <c r="CY1286" s="351"/>
      <c r="CZ1286" s="398"/>
      <c r="DA1286" s="351"/>
      <c r="DB1286" s="351"/>
      <c r="DC1286" s="351"/>
      <c r="DD1286" s="398"/>
      <c r="DE1286" s="351"/>
      <c r="DF1286" s="351"/>
      <c r="DG1286" s="351"/>
      <c r="DH1286" s="398"/>
      <c r="DI1286" s="351"/>
      <c r="DJ1286" s="351"/>
      <c r="DK1286" s="351"/>
      <c r="DL1286" s="351"/>
      <c r="DM1286" s="351"/>
      <c r="DN1286" s="351"/>
      <c r="DO1286" s="351"/>
      <c r="DP1286" s="351"/>
      <c r="DQ1286" s="351"/>
      <c r="DR1286" s="351"/>
      <c r="DS1286" s="351"/>
      <c r="DT1286" s="1"/>
      <c r="DU1286" s="1"/>
      <c r="DV1286" s="1"/>
      <c r="DW1286" s="1"/>
      <c r="DX1286" s="1"/>
      <c r="DY1286" s="1"/>
      <c r="DZ1286" s="1"/>
      <c r="EA1286" s="1"/>
      <c r="EB1286" s="1"/>
      <c r="EC1286" s="1"/>
      <c r="ED1286" s="1"/>
      <c r="EE1286" s="1"/>
      <c r="EF1286" s="1"/>
      <c r="EG1286" s="1"/>
      <c r="EH1286" s="1"/>
      <c r="EI1286" s="1"/>
      <c r="EJ1286" s="1"/>
      <c r="EK1286" s="1"/>
      <c r="EL1286" s="1"/>
      <c r="EM1286" s="1"/>
      <c r="EN1286" s="1"/>
      <c r="EO1286" s="1"/>
      <c r="EP1286" s="1"/>
      <c r="EQ1286" s="1"/>
      <c r="ER1286" s="1"/>
      <c r="ES1286" s="1"/>
      <c r="ET1286" s="1"/>
      <c r="EU1286" s="1"/>
      <c r="EV1286" s="1"/>
      <c r="EW1286" s="1"/>
      <c r="EX1286" s="1"/>
      <c r="EY1286" s="1"/>
      <c r="EZ1286" s="1"/>
      <c r="FA1286" s="1"/>
      <c r="FB1286" s="1"/>
      <c r="FC1286" s="1"/>
      <c r="FD1286" s="1"/>
      <c r="FE1286" s="1"/>
      <c r="FF1286" s="1"/>
      <c r="FG1286" s="1"/>
      <c r="FH1286" s="1"/>
      <c r="FI1286" s="1"/>
      <c r="FJ1286" s="1"/>
      <c r="FK1286" s="1"/>
      <c r="FL1286" s="1"/>
      <c r="FM1286" s="1"/>
      <c r="FN1286" s="1"/>
      <c r="FO1286" s="1"/>
      <c r="FP1286" s="1"/>
      <c r="FQ1286" s="1"/>
      <c r="FR1286" s="1"/>
      <c r="FS1286" s="1"/>
      <c r="FT1286" s="1"/>
      <c r="FU1286" s="1"/>
      <c r="FV1286" s="1"/>
      <c r="FW1286" s="1"/>
      <c r="FX1286" s="1"/>
      <c r="FY1286" s="1"/>
      <c r="FZ1286" s="1"/>
      <c r="GA1286" s="1"/>
      <c r="GB1286" s="1"/>
      <c r="GC1286" s="1"/>
      <c r="GD1286" s="1"/>
      <c r="GE1286" s="1"/>
      <c r="GF1286" s="1"/>
      <c r="GG1286" s="1"/>
      <c r="GH1286" s="1"/>
      <c r="GI1286" s="1"/>
      <c r="GJ1286" s="1"/>
      <c r="GK1286" s="1"/>
      <c r="GL1286" s="1"/>
      <c r="GM1286" s="1"/>
      <c r="GN1286" s="1"/>
      <c r="GO1286" s="1"/>
      <c r="GP1286" s="1"/>
      <c r="GQ1286" s="1"/>
      <c r="GR1286" s="1"/>
      <c r="GS1286" s="1"/>
      <c r="GT1286" s="1"/>
      <c r="GU1286" s="1"/>
      <c r="GV1286" s="1"/>
      <c r="GW1286" s="1"/>
      <c r="GX1286" s="1"/>
      <c r="GY1286" s="1"/>
      <c r="GZ1286" s="1"/>
      <c r="HA1286" s="1"/>
      <c r="HB1286" s="1"/>
      <c r="HC1286" s="1"/>
      <c r="HD1286" s="1"/>
      <c r="HE1286" s="1"/>
      <c r="HF1286" s="1"/>
      <c r="HG1286" s="1"/>
      <c r="HH1286" s="1"/>
      <c r="HI1286" s="1"/>
      <c r="HJ1286" s="1"/>
      <c r="HK1286" s="1"/>
      <c r="HL1286" s="1"/>
      <c r="HM1286" s="1"/>
      <c r="HN1286" s="1"/>
      <c r="HO1286" s="1"/>
      <c r="HP1286" s="1"/>
      <c r="HQ1286" s="1"/>
      <c r="HR1286" s="1"/>
      <c r="HS1286" s="1"/>
      <c r="HT1286" s="1"/>
      <c r="HU1286" s="1"/>
      <c r="HV1286" s="1"/>
      <c r="HW1286" s="1"/>
      <c r="HX1286" s="1"/>
      <c r="HY1286" s="1"/>
      <c r="HZ1286" s="1"/>
      <c r="IA1286" s="1"/>
      <c r="IB1286" s="1"/>
      <c r="IC1286" s="1"/>
      <c r="ID1286" s="1"/>
      <c r="IE1286" s="1"/>
      <c r="IF1286" s="1"/>
      <c r="IG1286" s="1"/>
      <c r="IH1286" s="1"/>
      <c r="II1286" s="1"/>
      <c r="IJ1286" s="1"/>
      <c r="IK1286" s="1"/>
      <c r="IL1286" s="1"/>
      <c r="IM1286" s="1"/>
      <c r="IN1286" s="1"/>
      <c r="IO1286" s="1"/>
      <c r="IP1286" s="1"/>
      <c r="IQ1286" s="1"/>
      <c r="IR1286" s="1"/>
      <c r="IS1286" s="1"/>
      <c r="IT1286" s="1"/>
      <c r="IU1286" s="1"/>
      <c r="IV1286" s="1"/>
      <c r="IW1286" s="1"/>
      <c r="IX1286" s="1"/>
      <c r="IY1286" s="1"/>
      <c r="IZ1286" s="1"/>
      <c r="JA1286" s="1"/>
      <c r="JB1286" s="1"/>
      <c r="JC1286" s="1"/>
      <c r="JD1286" s="1"/>
    </row>
    <row r="1287" spans="1:264" s="347" customFormat="1" x14ac:dyDescent="0.2">
      <c r="A1287" s="347" t="s">
        <v>856</v>
      </c>
      <c r="B1287" s="348" t="s">
        <v>855</v>
      </c>
      <c r="BH1287" s="398">
        <v>2000</v>
      </c>
      <c r="BI1287" s="398">
        <v>2000</v>
      </c>
      <c r="BJ1287" s="351">
        <f t="shared" si="935"/>
        <v>2000</v>
      </c>
      <c r="BK1287" s="351"/>
      <c r="BL1287" s="398">
        <v>2000</v>
      </c>
      <c r="BM1287" s="398">
        <v>2000</v>
      </c>
      <c r="BN1287" s="351">
        <f t="shared" si="936"/>
        <v>2000</v>
      </c>
      <c r="BO1287" s="351"/>
      <c r="BP1287" s="398">
        <v>0</v>
      </c>
      <c r="BQ1287" s="398">
        <v>0</v>
      </c>
      <c r="BR1287" s="351">
        <f t="shared" si="937"/>
        <v>0</v>
      </c>
      <c r="BS1287" s="351"/>
      <c r="BT1287" s="398">
        <v>0</v>
      </c>
      <c r="BU1287" s="398">
        <v>0</v>
      </c>
      <c r="BV1287" s="351">
        <f t="shared" si="938"/>
        <v>0</v>
      </c>
      <c r="BW1287" s="351"/>
      <c r="BX1287" s="398">
        <v>0</v>
      </c>
      <c r="BY1287" s="398">
        <v>0</v>
      </c>
      <c r="BZ1287" s="351">
        <f t="shared" si="939"/>
        <v>0</v>
      </c>
      <c r="CA1287" s="351"/>
      <c r="CB1287" s="398">
        <v>0</v>
      </c>
      <c r="CC1287" s="398">
        <v>0</v>
      </c>
      <c r="CD1287" s="351">
        <f t="shared" si="940"/>
        <v>0</v>
      </c>
      <c r="CE1287" s="351"/>
      <c r="CF1287" s="398">
        <v>0</v>
      </c>
      <c r="CG1287" s="398">
        <v>0</v>
      </c>
      <c r="CH1287" s="351">
        <f t="shared" si="941"/>
        <v>0</v>
      </c>
      <c r="CI1287" s="351"/>
      <c r="CJ1287" s="398">
        <v>0</v>
      </c>
      <c r="CK1287" s="398">
        <v>0</v>
      </c>
      <c r="CL1287" s="351">
        <f t="shared" si="942"/>
        <v>0</v>
      </c>
      <c r="CM1287" s="351"/>
      <c r="CN1287" s="398">
        <v>0</v>
      </c>
      <c r="CO1287" s="398">
        <v>0</v>
      </c>
      <c r="CP1287" s="351">
        <f t="shared" si="943"/>
        <v>0</v>
      </c>
      <c r="CQ1287" s="351"/>
      <c r="CR1287" s="398">
        <v>0</v>
      </c>
      <c r="CS1287" s="398">
        <v>0</v>
      </c>
      <c r="CT1287" s="351">
        <f t="shared" si="944"/>
        <v>0</v>
      </c>
      <c r="CU1287" s="351"/>
      <c r="CV1287" s="398"/>
      <c r="CW1287" s="351"/>
      <c r="CX1287" s="351"/>
      <c r="CY1287" s="351"/>
      <c r="CZ1287" s="398"/>
      <c r="DA1287" s="351"/>
      <c r="DB1287" s="351"/>
      <c r="DC1287" s="351"/>
      <c r="DD1287" s="398"/>
      <c r="DE1287" s="351"/>
      <c r="DF1287" s="351"/>
      <c r="DG1287" s="351"/>
      <c r="DH1287" s="398"/>
      <c r="DI1287" s="351"/>
      <c r="DJ1287" s="351"/>
      <c r="DK1287" s="351"/>
      <c r="DL1287" s="351"/>
      <c r="DM1287" s="351"/>
      <c r="DN1287" s="351"/>
      <c r="DO1287" s="351"/>
      <c r="DP1287" s="351"/>
      <c r="DQ1287" s="351"/>
      <c r="DR1287" s="351"/>
      <c r="DS1287" s="351"/>
      <c r="DT1287" s="1"/>
      <c r="DU1287" s="1"/>
      <c r="DV1287" s="1"/>
      <c r="DW1287" s="1"/>
      <c r="DX1287" s="1"/>
      <c r="DY1287" s="1"/>
      <c r="DZ1287" s="1"/>
      <c r="EA1287" s="1"/>
      <c r="EB1287" s="1"/>
      <c r="EC1287" s="1"/>
      <c r="ED1287" s="1"/>
      <c r="EE1287" s="1"/>
      <c r="EF1287" s="1"/>
      <c r="EG1287" s="1"/>
      <c r="EH1287" s="1"/>
      <c r="EI1287" s="1"/>
      <c r="EJ1287" s="1"/>
      <c r="EK1287" s="1"/>
      <c r="EL1287" s="1"/>
      <c r="EM1287" s="1"/>
      <c r="EN1287" s="1"/>
      <c r="EO1287" s="1"/>
      <c r="EP1287" s="1"/>
      <c r="EQ1287" s="1"/>
      <c r="ER1287" s="1"/>
      <c r="ES1287" s="1"/>
      <c r="ET1287" s="1"/>
      <c r="EU1287" s="1"/>
      <c r="EV1287" s="1"/>
      <c r="EW1287" s="1"/>
      <c r="EX1287" s="1"/>
      <c r="EY1287" s="1"/>
      <c r="EZ1287" s="1"/>
      <c r="FA1287" s="1"/>
      <c r="FB1287" s="1"/>
      <c r="FC1287" s="1"/>
      <c r="FD1287" s="1"/>
      <c r="FE1287" s="1"/>
      <c r="FF1287" s="1"/>
      <c r="FG1287" s="1"/>
      <c r="FH1287" s="1"/>
      <c r="FI1287" s="1"/>
      <c r="FJ1287" s="1"/>
      <c r="FK1287" s="1"/>
      <c r="FL1287" s="1"/>
      <c r="FM1287" s="1"/>
      <c r="FN1287" s="1"/>
      <c r="FO1287" s="1"/>
      <c r="FP1287" s="1"/>
      <c r="FQ1287" s="1"/>
      <c r="FR1287" s="1"/>
      <c r="FS1287" s="1"/>
      <c r="FT1287" s="1"/>
      <c r="FU1287" s="1"/>
      <c r="FV1287" s="1"/>
      <c r="FW1287" s="1"/>
      <c r="FX1287" s="1"/>
      <c r="FY1287" s="1"/>
      <c r="FZ1287" s="1"/>
      <c r="GA1287" s="1"/>
      <c r="GB1287" s="1"/>
      <c r="GC1287" s="1"/>
      <c r="GD1287" s="1"/>
      <c r="GE1287" s="1"/>
      <c r="GF1287" s="1"/>
      <c r="GG1287" s="1"/>
      <c r="GH1287" s="1"/>
      <c r="GI1287" s="1"/>
      <c r="GJ1287" s="1"/>
      <c r="GK1287" s="1"/>
      <c r="GL1287" s="1"/>
      <c r="GM1287" s="1"/>
      <c r="GN1287" s="1"/>
      <c r="GO1287" s="1"/>
      <c r="GP1287" s="1"/>
      <c r="GQ1287" s="1"/>
      <c r="GR1287" s="1"/>
      <c r="GS1287" s="1"/>
      <c r="GT1287" s="1"/>
      <c r="GU1287" s="1"/>
      <c r="GV1287" s="1"/>
      <c r="GW1287" s="1"/>
      <c r="GX1287" s="1"/>
      <c r="GY1287" s="1"/>
      <c r="GZ1287" s="1"/>
      <c r="HA1287" s="1"/>
      <c r="HB1287" s="1"/>
      <c r="HC1287" s="1"/>
      <c r="HD1287" s="1"/>
      <c r="HE1287" s="1"/>
      <c r="HF1287" s="1"/>
      <c r="HG1287" s="1"/>
      <c r="HH1287" s="1"/>
      <c r="HI1287" s="1"/>
      <c r="HJ1287" s="1"/>
      <c r="HK1287" s="1"/>
      <c r="HL1287" s="1"/>
      <c r="HM1287" s="1"/>
      <c r="HN1287" s="1"/>
      <c r="HO1287" s="1"/>
      <c r="HP1287" s="1"/>
      <c r="HQ1287" s="1"/>
      <c r="HR1287" s="1"/>
      <c r="HS1287" s="1"/>
      <c r="HT1287" s="1"/>
      <c r="HU1287" s="1"/>
      <c r="HV1287" s="1"/>
      <c r="HW1287" s="1"/>
      <c r="HX1287" s="1"/>
      <c r="HY1287" s="1"/>
      <c r="HZ1287" s="1"/>
      <c r="IA1287" s="1"/>
      <c r="IB1287" s="1"/>
      <c r="IC1287" s="1"/>
      <c r="ID1287" s="1"/>
      <c r="IE1287" s="1"/>
      <c r="IF1287" s="1"/>
      <c r="IG1287" s="1"/>
      <c r="IH1287" s="1"/>
      <c r="II1287" s="1"/>
      <c r="IJ1287" s="1"/>
      <c r="IK1287" s="1"/>
      <c r="IL1287" s="1"/>
      <c r="IM1287" s="1"/>
      <c r="IN1287" s="1"/>
      <c r="IO1287" s="1"/>
      <c r="IP1287" s="1"/>
      <c r="IQ1287" s="1"/>
      <c r="IR1287" s="1"/>
      <c r="IS1287" s="1"/>
      <c r="IT1287" s="1"/>
      <c r="IU1287" s="1"/>
      <c r="IV1287" s="1"/>
      <c r="IW1287" s="1"/>
      <c r="IX1287" s="1"/>
      <c r="IY1287" s="1"/>
      <c r="IZ1287" s="1"/>
      <c r="JA1287" s="1"/>
      <c r="JB1287" s="1"/>
      <c r="JC1287" s="1"/>
      <c r="JD1287" s="1"/>
    </row>
    <row r="1288" spans="1:264" s="347" customFormat="1" x14ac:dyDescent="0.2">
      <c r="A1288" s="347" t="s">
        <v>857</v>
      </c>
      <c r="B1288" s="348" t="s">
        <v>855</v>
      </c>
      <c r="BH1288" s="398">
        <v>530</v>
      </c>
      <c r="BI1288" s="398">
        <v>593</v>
      </c>
      <c r="BJ1288" s="351">
        <f t="shared" si="935"/>
        <v>593</v>
      </c>
      <c r="BK1288" s="789"/>
      <c r="BL1288" s="398">
        <v>616</v>
      </c>
      <c r="BM1288" s="398">
        <v>0</v>
      </c>
      <c r="BN1288" s="351">
        <f t="shared" si="936"/>
        <v>0</v>
      </c>
      <c r="BO1288" s="351"/>
      <c r="BP1288" s="398">
        <v>616</v>
      </c>
      <c r="BQ1288" s="398">
        <v>0</v>
      </c>
      <c r="BR1288" s="351">
        <f t="shared" si="937"/>
        <v>0</v>
      </c>
      <c r="BS1288" s="351"/>
      <c r="BT1288" s="398">
        <v>0</v>
      </c>
      <c r="BU1288" s="398">
        <v>0</v>
      </c>
      <c r="BV1288" s="351">
        <f t="shared" si="938"/>
        <v>0</v>
      </c>
      <c r="BW1288" s="351"/>
      <c r="BX1288" s="398">
        <v>0</v>
      </c>
      <c r="BY1288" s="398">
        <v>0</v>
      </c>
      <c r="BZ1288" s="351">
        <f t="shared" si="939"/>
        <v>0</v>
      </c>
      <c r="CA1288" s="351"/>
      <c r="CB1288" s="398">
        <v>0</v>
      </c>
      <c r="CC1288" s="398">
        <v>0</v>
      </c>
      <c r="CD1288" s="351">
        <f t="shared" si="940"/>
        <v>0</v>
      </c>
      <c r="CE1288" s="351"/>
      <c r="CF1288" s="398">
        <v>0</v>
      </c>
      <c r="CG1288" s="398">
        <v>0</v>
      </c>
      <c r="CH1288" s="351">
        <f t="shared" si="941"/>
        <v>0</v>
      </c>
      <c r="CI1288" s="351"/>
      <c r="CJ1288" s="398">
        <v>0</v>
      </c>
      <c r="CK1288" s="398">
        <v>0</v>
      </c>
      <c r="CL1288" s="351">
        <f t="shared" si="942"/>
        <v>0</v>
      </c>
      <c r="CM1288" s="351"/>
      <c r="CN1288" s="398">
        <v>0</v>
      </c>
      <c r="CO1288" s="398">
        <v>0</v>
      </c>
      <c r="CP1288" s="351">
        <f t="shared" si="943"/>
        <v>0</v>
      </c>
      <c r="CQ1288" s="351"/>
      <c r="CR1288" s="398">
        <v>0</v>
      </c>
      <c r="CS1288" s="398">
        <v>0</v>
      </c>
      <c r="CT1288" s="351">
        <f t="shared" si="944"/>
        <v>0</v>
      </c>
      <c r="CU1288" s="351"/>
      <c r="CV1288" s="398"/>
      <c r="CW1288" s="351"/>
      <c r="CX1288" s="351"/>
      <c r="CY1288" s="351"/>
      <c r="CZ1288" s="398"/>
      <c r="DA1288" s="351"/>
      <c r="DB1288" s="351"/>
      <c r="DC1288" s="351"/>
      <c r="DD1288" s="398"/>
      <c r="DE1288" s="351"/>
      <c r="DF1288" s="351"/>
      <c r="DG1288" s="351"/>
      <c r="DH1288" s="398"/>
      <c r="DI1288" s="351"/>
      <c r="DJ1288" s="351"/>
      <c r="DK1288" s="351"/>
      <c r="DL1288" s="351"/>
      <c r="DM1288" s="351"/>
      <c r="DN1288" s="351"/>
      <c r="DO1288" s="351"/>
      <c r="DP1288" s="351"/>
      <c r="DQ1288" s="351"/>
      <c r="DR1288" s="351"/>
      <c r="DS1288" s="351"/>
      <c r="DT1288" s="1"/>
      <c r="DU1288" s="1"/>
      <c r="DV1288" s="1"/>
      <c r="DW1288" s="1"/>
      <c r="DX1288" s="1"/>
      <c r="DY1288" s="1"/>
      <c r="DZ1288" s="1"/>
      <c r="EA1288" s="1"/>
      <c r="EB1288" s="1"/>
      <c r="EC1288" s="1"/>
      <c r="ED1288" s="1"/>
      <c r="EE1288" s="1"/>
      <c r="EF1288" s="1"/>
      <c r="EG1288" s="1"/>
      <c r="EH1288" s="1"/>
      <c r="EI1288" s="1"/>
      <c r="EJ1288" s="1"/>
      <c r="EK1288" s="1"/>
      <c r="EL1288" s="1"/>
      <c r="EM1288" s="1"/>
      <c r="EN1288" s="1"/>
      <c r="EO1288" s="1"/>
      <c r="EP1288" s="1"/>
      <c r="EQ1288" s="1"/>
      <c r="ER1288" s="1"/>
      <c r="ES1288" s="1"/>
      <c r="ET1288" s="1"/>
      <c r="EU1288" s="1"/>
      <c r="EV1288" s="1"/>
      <c r="EW1288" s="1"/>
      <c r="EX1288" s="1"/>
      <c r="EY1288" s="1"/>
      <c r="EZ1288" s="1"/>
      <c r="FA1288" s="1"/>
      <c r="FB1288" s="1"/>
      <c r="FC1288" s="1"/>
      <c r="FD1288" s="1"/>
      <c r="FE1288" s="1"/>
      <c r="FF1288" s="1"/>
      <c r="FG1288" s="1"/>
      <c r="FH1288" s="1"/>
      <c r="FI1288" s="1"/>
      <c r="FJ1288" s="1"/>
      <c r="FK1288" s="1"/>
      <c r="FL1288" s="1"/>
      <c r="FM1288" s="1"/>
      <c r="FN1288" s="1"/>
      <c r="FO1288" s="1"/>
      <c r="FP1288" s="1"/>
      <c r="FQ1288" s="1"/>
      <c r="FR1288" s="1"/>
      <c r="FS1288" s="1"/>
      <c r="FT1288" s="1"/>
      <c r="FU1288" s="1"/>
      <c r="FV1288" s="1"/>
      <c r="FW1288" s="1"/>
      <c r="FX1288" s="1"/>
      <c r="FY1288" s="1"/>
      <c r="FZ1288" s="1"/>
      <c r="GA1288" s="1"/>
      <c r="GB1288" s="1"/>
      <c r="GC1288" s="1"/>
      <c r="GD1288" s="1"/>
      <c r="GE1288" s="1"/>
      <c r="GF1288" s="1"/>
      <c r="GG1288" s="1"/>
      <c r="GH1288" s="1"/>
      <c r="GI1288" s="1"/>
      <c r="GJ1288" s="1"/>
      <c r="GK1288" s="1"/>
      <c r="GL1288" s="1"/>
      <c r="GM1288" s="1"/>
      <c r="GN1288" s="1"/>
      <c r="GO1288" s="1"/>
      <c r="GP1288" s="1"/>
      <c r="GQ1288" s="1"/>
      <c r="GR1288" s="1"/>
      <c r="GS1288" s="1"/>
      <c r="GT1288" s="1"/>
      <c r="GU1288" s="1"/>
      <c r="GV1288" s="1"/>
      <c r="GW1288" s="1"/>
      <c r="GX1288" s="1"/>
      <c r="GY1288" s="1"/>
      <c r="GZ1288" s="1"/>
      <c r="HA1288" s="1"/>
      <c r="HB1288" s="1"/>
      <c r="HC1288" s="1"/>
      <c r="HD1288" s="1"/>
      <c r="HE1288" s="1"/>
      <c r="HF1288" s="1"/>
      <c r="HG1288" s="1"/>
      <c r="HH1288" s="1"/>
      <c r="HI1288" s="1"/>
      <c r="HJ1288" s="1"/>
      <c r="HK1288" s="1"/>
      <c r="HL1288" s="1"/>
      <c r="HM1288" s="1"/>
      <c r="HN1288" s="1"/>
      <c r="HO1288" s="1"/>
      <c r="HP1288" s="1"/>
      <c r="HQ1288" s="1"/>
      <c r="HR1288" s="1"/>
      <c r="HS1288" s="1"/>
      <c r="HT1288" s="1"/>
      <c r="HU1288" s="1"/>
      <c r="HV1288" s="1"/>
      <c r="HW1288" s="1"/>
      <c r="HX1288" s="1"/>
      <c r="HY1288" s="1"/>
      <c r="HZ1288" s="1"/>
      <c r="IA1288" s="1"/>
      <c r="IB1288" s="1"/>
      <c r="IC1288" s="1"/>
      <c r="ID1288" s="1"/>
      <c r="IE1288" s="1"/>
      <c r="IF1288" s="1"/>
      <c r="IG1288" s="1"/>
      <c r="IH1288" s="1"/>
      <c r="II1288" s="1"/>
      <c r="IJ1288" s="1"/>
      <c r="IK1288" s="1"/>
      <c r="IL1288" s="1"/>
      <c r="IM1288" s="1"/>
      <c r="IN1288" s="1"/>
      <c r="IO1288" s="1"/>
      <c r="IP1288" s="1"/>
      <c r="IQ1288" s="1"/>
      <c r="IR1288" s="1"/>
      <c r="IS1288" s="1"/>
      <c r="IT1288" s="1"/>
      <c r="IU1288" s="1"/>
      <c r="IV1288" s="1"/>
      <c r="IW1288" s="1"/>
      <c r="IX1288" s="1"/>
      <c r="IY1288" s="1"/>
      <c r="IZ1288" s="1"/>
      <c r="JA1288" s="1"/>
      <c r="JB1288" s="1"/>
      <c r="JC1288" s="1"/>
      <c r="JD1288" s="1"/>
    </row>
    <row r="1289" spans="1:264" s="347" customFormat="1" x14ac:dyDescent="0.2">
      <c r="A1289" s="347" t="s">
        <v>858</v>
      </c>
      <c r="B1289" s="348" t="s">
        <v>859</v>
      </c>
      <c r="BH1289" s="398">
        <v>947</v>
      </c>
      <c r="BI1289" s="398">
        <v>947</v>
      </c>
      <c r="BJ1289" s="351">
        <f t="shared" si="935"/>
        <v>947</v>
      </c>
      <c r="BK1289" s="351"/>
      <c r="BL1289" s="398">
        <v>947</v>
      </c>
      <c r="BM1289" s="398">
        <v>947</v>
      </c>
      <c r="BN1289" s="351">
        <f t="shared" si="936"/>
        <v>947</v>
      </c>
      <c r="BO1289" s="351"/>
      <c r="BP1289" s="398">
        <v>947</v>
      </c>
      <c r="BQ1289" s="398">
        <v>947</v>
      </c>
      <c r="BR1289" s="351">
        <f t="shared" si="937"/>
        <v>947</v>
      </c>
      <c r="BS1289" s="351"/>
      <c r="BT1289" s="398">
        <v>947</v>
      </c>
      <c r="BU1289" s="398">
        <v>0</v>
      </c>
      <c r="BV1289" s="351">
        <f t="shared" si="938"/>
        <v>0</v>
      </c>
      <c r="BW1289" s="351"/>
      <c r="BX1289" s="398">
        <v>0</v>
      </c>
      <c r="BY1289" s="398">
        <v>0</v>
      </c>
      <c r="BZ1289" s="351">
        <f t="shared" si="939"/>
        <v>0</v>
      </c>
      <c r="CA1289" s="351"/>
      <c r="CB1289" s="398">
        <v>0</v>
      </c>
      <c r="CC1289" s="398">
        <v>0</v>
      </c>
      <c r="CD1289" s="351">
        <f t="shared" si="940"/>
        <v>0</v>
      </c>
      <c r="CE1289" s="351"/>
      <c r="CF1289" s="398">
        <v>0</v>
      </c>
      <c r="CG1289" s="398">
        <v>0</v>
      </c>
      <c r="CH1289" s="351">
        <f t="shared" si="941"/>
        <v>0</v>
      </c>
      <c r="CI1289" s="351"/>
      <c r="CJ1289" s="398">
        <v>0</v>
      </c>
      <c r="CK1289" s="398">
        <v>0</v>
      </c>
      <c r="CL1289" s="351">
        <f t="shared" si="942"/>
        <v>0</v>
      </c>
      <c r="CM1289" s="351"/>
      <c r="CN1289" s="398">
        <v>0</v>
      </c>
      <c r="CO1289" s="398">
        <v>0</v>
      </c>
      <c r="CP1289" s="351">
        <f t="shared" si="943"/>
        <v>0</v>
      </c>
      <c r="CQ1289" s="351"/>
      <c r="CR1289" s="398">
        <v>0</v>
      </c>
      <c r="CS1289" s="398">
        <v>0</v>
      </c>
      <c r="CT1289" s="351">
        <f t="shared" si="944"/>
        <v>0</v>
      </c>
      <c r="CU1289" s="351"/>
      <c r="CV1289" s="398"/>
      <c r="CW1289" s="351"/>
      <c r="CX1289" s="351"/>
      <c r="CY1289" s="351"/>
      <c r="CZ1289" s="398"/>
      <c r="DA1289" s="351"/>
      <c r="DB1289" s="351"/>
      <c r="DC1289" s="351"/>
      <c r="DD1289" s="398"/>
      <c r="DE1289" s="351"/>
      <c r="DF1289" s="351"/>
      <c r="DG1289" s="351"/>
      <c r="DH1289" s="398"/>
      <c r="DI1289" s="351"/>
      <c r="DJ1289" s="351"/>
      <c r="DK1289" s="351"/>
      <c r="DL1289" s="351"/>
      <c r="DM1289" s="351"/>
      <c r="DN1289" s="351"/>
      <c r="DO1289" s="351"/>
      <c r="DP1289" s="351"/>
      <c r="DQ1289" s="351"/>
      <c r="DR1289" s="351"/>
      <c r="DS1289" s="351"/>
      <c r="DT1289" s="1"/>
      <c r="DU1289" s="1"/>
      <c r="DV1289" s="1"/>
      <c r="DW1289" s="1"/>
      <c r="DX1289" s="1"/>
      <c r="DY1289" s="1"/>
      <c r="DZ1289" s="1"/>
      <c r="EA1289" s="1"/>
      <c r="EB1289" s="1"/>
      <c r="EC1289" s="1"/>
      <c r="ED1289" s="1"/>
      <c r="EE1289" s="1"/>
      <c r="EF1289" s="1"/>
      <c r="EG1289" s="1"/>
      <c r="EH1289" s="1"/>
      <c r="EI1289" s="1"/>
      <c r="EJ1289" s="1"/>
      <c r="EK1289" s="1"/>
      <c r="EL1289" s="1"/>
      <c r="EM1289" s="1"/>
      <c r="EN1289" s="1"/>
      <c r="EO1289" s="1"/>
      <c r="EP1289" s="1"/>
      <c r="EQ1289" s="1"/>
      <c r="ER1289" s="1"/>
      <c r="ES1289" s="1"/>
      <c r="ET1289" s="1"/>
      <c r="EU1289" s="1"/>
      <c r="EV1289" s="1"/>
      <c r="EW1289" s="1"/>
      <c r="EX1289" s="1"/>
      <c r="EY1289" s="1"/>
      <c r="EZ1289" s="1"/>
      <c r="FA1289" s="1"/>
      <c r="FB1289" s="1"/>
      <c r="FC1289" s="1"/>
      <c r="FD1289" s="1"/>
      <c r="FE1289" s="1"/>
      <c r="FF1289" s="1"/>
      <c r="FG1289" s="1"/>
      <c r="FH1289" s="1"/>
      <c r="FI1289" s="1"/>
      <c r="FJ1289" s="1"/>
      <c r="FK1289" s="1"/>
      <c r="FL1289" s="1"/>
      <c r="FM1289" s="1"/>
      <c r="FN1289" s="1"/>
      <c r="FO1289" s="1"/>
      <c r="FP1289" s="1"/>
      <c r="FQ1289" s="1"/>
      <c r="FR1289" s="1"/>
      <c r="FS1289" s="1"/>
      <c r="FT1289" s="1"/>
      <c r="FU1289" s="1"/>
      <c r="FV1289" s="1"/>
      <c r="FW1289" s="1"/>
      <c r="FX1289" s="1"/>
      <c r="FY1289" s="1"/>
      <c r="FZ1289" s="1"/>
      <c r="GA1289" s="1"/>
      <c r="GB1289" s="1"/>
      <c r="GC1289" s="1"/>
      <c r="GD1289" s="1"/>
      <c r="GE1289" s="1"/>
      <c r="GF1289" s="1"/>
      <c r="GG1289" s="1"/>
      <c r="GH1289" s="1"/>
      <c r="GI1289" s="1"/>
      <c r="GJ1289" s="1"/>
      <c r="GK1289" s="1"/>
      <c r="GL1289" s="1"/>
      <c r="GM1289" s="1"/>
      <c r="GN1289" s="1"/>
      <c r="GO1289" s="1"/>
      <c r="GP1289" s="1"/>
      <c r="GQ1289" s="1"/>
      <c r="GR1289" s="1"/>
      <c r="GS1289" s="1"/>
      <c r="GT1289" s="1"/>
      <c r="GU1289" s="1"/>
      <c r="GV1289" s="1"/>
      <c r="GW1289" s="1"/>
      <c r="GX1289" s="1"/>
      <c r="GY1289" s="1"/>
      <c r="GZ1289" s="1"/>
      <c r="HA1289" s="1"/>
      <c r="HB1289" s="1"/>
      <c r="HC1289" s="1"/>
      <c r="HD1289" s="1"/>
      <c r="HE1289" s="1"/>
      <c r="HF1289" s="1"/>
      <c r="HG1289" s="1"/>
      <c r="HH1289" s="1"/>
      <c r="HI1289" s="1"/>
      <c r="HJ1289" s="1"/>
      <c r="HK1289" s="1"/>
      <c r="HL1289" s="1"/>
      <c r="HM1289" s="1"/>
      <c r="HN1289" s="1"/>
      <c r="HO1289" s="1"/>
      <c r="HP1289" s="1"/>
      <c r="HQ1289" s="1"/>
      <c r="HR1289" s="1"/>
      <c r="HS1289" s="1"/>
      <c r="HT1289" s="1"/>
      <c r="HU1289" s="1"/>
      <c r="HV1289" s="1"/>
      <c r="HW1289" s="1"/>
      <c r="HX1289" s="1"/>
      <c r="HY1289" s="1"/>
      <c r="HZ1289" s="1"/>
      <c r="IA1289" s="1"/>
      <c r="IB1289" s="1"/>
      <c r="IC1289" s="1"/>
      <c r="ID1289" s="1"/>
      <c r="IE1289" s="1"/>
      <c r="IF1289" s="1"/>
      <c r="IG1289" s="1"/>
      <c r="IH1289" s="1"/>
      <c r="II1289" s="1"/>
      <c r="IJ1289" s="1"/>
      <c r="IK1289" s="1"/>
      <c r="IL1289" s="1"/>
      <c r="IM1289" s="1"/>
      <c r="IN1289" s="1"/>
      <c r="IO1289" s="1"/>
      <c r="IP1289" s="1"/>
      <c r="IQ1289" s="1"/>
      <c r="IR1289" s="1"/>
      <c r="IS1289" s="1"/>
      <c r="IT1289" s="1"/>
      <c r="IU1289" s="1"/>
      <c r="IV1289" s="1"/>
      <c r="IW1289" s="1"/>
      <c r="IX1289" s="1"/>
      <c r="IY1289" s="1"/>
      <c r="IZ1289" s="1"/>
      <c r="JA1289" s="1"/>
      <c r="JB1289" s="1"/>
      <c r="JC1289" s="1"/>
      <c r="JD1289" s="1"/>
    </row>
    <row r="1290" spans="1:264" s="347" customFormat="1" x14ac:dyDescent="0.2">
      <c r="A1290" s="347" t="s">
        <v>860</v>
      </c>
      <c r="B1290" s="348" t="s">
        <v>855</v>
      </c>
      <c r="BH1290" s="398">
        <f>182+323</f>
        <v>505</v>
      </c>
      <c r="BI1290" s="398">
        <f>182+323</f>
        <v>505</v>
      </c>
      <c r="BJ1290" s="351">
        <f t="shared" si="935"/>
        <v>505</v>
      </c>
      <c r="BK1290" s="351"/>
      <c r="BL1290" s="398">
        <f>182+323</f>
        <v>505</v>
      </c>
      <c r="BM1290" s="398">
        <f>182+323</f>
        <v>505</v>
      </c>
      <c r="BN1290" s="351">
        <f t="shared" si="936"/>
        <v>505</v>
      </c>
      <c r="BO1290" s="351"/>
      <c r="BP1290" s="398">
        <f>182+323</f>
        <v>505</v>
      </c>
      <c r="BQ1290" s="398">
        <f>182+323</f>
        <v>505</v>
      </c>
      <c r="BR1290" s="351">
        <f t="shared" si="937"/>
        <v>505</v>
      </c>
      <c r="BS1290" s="351"/>
      <c r="BT1290" s="398">
        <f>182+323</f>
        <v>505</v>
      </c>
      <c r="BU1290" s="398">
        <f>182+323</f>
        <v>505</v>
      </c>
      <c r="BV1290" s="351">
        <f t="shared" si="938"/>
        <v>505</v>
      </c>
      <c r="BW1290" s="351"/>
      <c r="BX1290" s="398">
        <f>182+323</f>
        <v>505</v>
      </c>
      <c r="BY1290" s="398">
        <v>505</v>
      </c>
      <c r="BZ1290" s="351">
        <f t="shared" si="939"/>
        <v>505</v>
      </c>
      <c r="CA1290" s="351"/>
      <c r="CB1290" s="398">
        <f>182+323</f>
        <v>505</v>
      </c>
      <c r="CC1290" s="398">
        <v>505</v>
      </c>
      <c r="CD1290" s="351">
        <f t="shared" si="940"/>
        <v>505</v>
      </c>
      <c r="CE1290" s="351"/>
      <c r="CF1290" s="398">
        <f>182+323</f>
        <v>505</v>
      </c>
      <c r="CG1290" s="398">
        <v>0</v>
      </c>
      <c r="CH1290" s="351">
        <f t="shared" si="941"/>
        <v>0</v>
      </c>
      <c r="CI1290" s="351"/>
      <c r="CJ1290" s="398">
        <v>0</v>
      </c>
      <c r="CK1290" s="398">
        <v>0</v>
      </c>
      <c r="CL1290" s="351">
        <f t="shared" si="942"/>
        <v>0</v>
      </c>
      <c r="CM1290" s="351"/>
      <c r="CN1290" s="398">
        <v>0</v>
      </c>
      <c r="CO1290" s="398">
        <v>0</v>
      </c>
      <c r="CP1290" s="351">
        <f t="shared" si="943"/>
        <v>0</v>
      </c>
      <c r="CQ1290" s="351"/>
      <c r="CR1290" s="398">
        <v>0</v>
      </c>
      <c r="CS1290" s="398">
        <v>0</v>
      </c>
      <c r="CT1290" s="351">
        <f t="shared" si="944"/>
        <v>0</v>
      </c>
      <c r="CU1290" s="351"/>
      <c r="CV1290" s="398"/>
      <c r="CW1290" s="351"/>
      <c r="CX1290" s="351"/>
      <c r="CY1290" s="351"/>
      <c r="CZ1290" s="398"/>
      <c r="DA1290" s="351"/>
      <c r="DB1290" s="351"/>
      <c r="DC1290" s="351"/>
      <c r="DD1290" s="398"/>
      <c r="DE1290" s="351"/>
      <c r="DF1290" s="351"/>
      <c r="DG1290" s="351"/>
      <c r="DH1290" s="398"/>
      <c r="DI1290" s="351"/>
      <c r="DJ1290" s="351"/>
      <c r="DK1290" s="351"/>
      <c r="DL1290" s="351"/>
      <c r="DM1290" s="351"/>
      <c r="DN1290" s="351"/>
      <c r="DO1290" s="351"/>
      <c r="DP1290" s="351"/>
      <c r="DQ1290" s="351"/>
      <c r="DR1290" s="351"/>
      <c r="DS1290" s="351"/>
      <c r="DT1290" s="1"/>
      <c r="DU1290" s="1"/>
      <c r="DV1290" s="1"/>
      <c r="DW1290" s="1"/>
      <c r="DX1290" s="1"/>
      <c r="DY1290" s="1"/>
      <c r="DZ1290" s="1"/>
      <c r="EA1290" s="1"/>
      <c r="EB1290" s="1"/>
      <c r="EC1290" s="1"/>
      <c r="ED1290" s="1"/>
      <c r="EE1290" s="1"/>
      <c r="EF1290" s="1"/>
      <c r="EG1290" s="1"/>
      <c r="EH1290" s="1"/>
      <c r="EI1290" s="1"/>
      <c r="EJ1290" s="1"/>
      <c r="EK1290" s="1"/>
      <c r="EL1290" s="1"/>
      <c r="EM1290" s="1"/>
      <c r="EN1290" s="1"/>
      <c r="EO1290" s="1"/>
      <c r="EP1290" s="1"/>
      <c r="EQ1290" s="1"/>
      <c r="ER1290" s="1"/>
      <c r="ES1290" s="1"/>
      <c r="ET1290" s="1"/>
      <c r="EU1290" s="1"/>
      <c r="EV1290" s="1"/>
      <c r="EW1290" s="1"/>
      <c r="EX1290" s="1"/>
      <c r="EY1290" s="1"/>
      <c r="EZ1290" s="1"/>
      <c r="FA1290" s="1"/>
      <c r="FB1290" s="1"/>
      <c r="FC1290" s="1"/>
      <c r="FD1290" s="1"/>
      <c r="FE1290" s="1"/>
      <c r="FF1290" s="1"/>
      <c r="FG1290" s="1"/>
      <c r="FH1290" s="1"/>
      <c r="FI1290" s="1"/>
      <c r="FJ1290" s="1"/>
      <c r="FK1290" s="1"/>
      <c r="FL1290" s="1"/>
      <c r="FM1290" s="1"/>
      <c r="FN1290" s="1"/>
      <c r="FO1290" s="1"/>
      <c r="FP1290" s="1"/>
      <c r="FQ1290" s="1"/>
      <c r="FR1290" s="1"/>
      <c r="FS1290" s="1"/>
      <c r="FT1290" s="1"/>
      <c r="FU1290" s="1"/>
      <c r="FV1290" s="1"/>
      <c r="FW1290" s="1"/>
      <c r="FX1290" s="1"/>
      <c r="FY1290" s="1"/>
      <c r="FZ1290" s="1"/>
      <c r="GA1290" s="1"/>
      <c r="GB1290" s="1"/>
      <c r="GC1290" s="1"/>
      <c r="GD1290" s="1"/>
      <c r="GE1290" s="1"/>
      <c r="GF1290" s="1"/>
      <c r="GG1290" s="1"/>
      <c r="GH1290" s="1"/>
      <c r="GI1290" s="1"/>
      <c r="GJ1290" s="1"/>
      <c r="GK1290" s="1"/>
      <c r="GL1290" s="1"/>
      <c r="GM1290" s="1"/>
      <c r="GN1290" s="1"/>
      <c r="GO1290" s="1"/>
      <c r="GP1290" s="1"/>
      <c r="GQ1290" s="1"/>
      <c r="GR1290" s="1"/>
      <c r="GS1290" s="1"/>
      <c r="GT1290" s="1"/>
      <c r="GU1290" s="1"/>
      <c r="GV1290" s="1"/>
      <c r="GW1290" s="1"/>
      <c r="GX1290" s="1"/>
      <c r="GY1290" s="1"/>
      <c r="GZ1290" s="1"/>
      <c r="HA1290" s="1"/>
      <c r="HB1290" s="1"/>
      <c r="HC1290" s="1"/>
      <c r="HD1290" s="1"/>
      <c r="HE1290" s="1"/>
      <c r="HF1290" s="1"/>
      <c r="HG1290" s="1"/>
      <c r="HH1290" s="1"/>
      <c r="HI1290" s="1"/>
      <c r="HJ1290" s="1"/>
      <c r="HK1290" s="1"/>
      <c r="HL1290" s="1"/>
      <c r="HM1290" s="1"/>
      <c r="HN1290" s="1"/>
      <c r="HO1290" s="1"/>
      <c r="HP1290" s="1"/>
      <c r="HQ1290" s="1"/>
      <c r="HR1290" s="1"/>
      <c r="HS1290" s="1"/>
      <c r="HT1290" s="1"/>
      <c r="HU1290" s="1"/>
      <c r="HV1290" s="1"/>
      <c r="HW1290" s="1"/>
      <c r="HX1290" s="1"/>
      <c r="HY1290" s="1"/>
      <c r="HZ1290" s="1"/>
      <c r="IA1290" s="1"/>
      <c r="IB1290" s="1"/>
      <c r="IC1290" s="1"/>
      <c r="ID1290" s="1"/>
      <c r="IE1290" s="1"/>
      <c r="IF1290" s="1"/>
      <c r="IG1290" s="1"/>
      <c r="IH1290" s="1"/>
      <c r="II1290" s="1"/>
      <c r="IJ1290" s="1"/>
      <c r="IK1290" s="1"/>
      <c r="IL1290" s="1"/>
      <c r="IM1290" s="1"/>
      <c r="IN1290" s="1"/>
      <c r="IO1290" s="1"/>
      <c r="IP1290" s="1"/>
      <c r="IQ1290" s="1"/>
      <c r="IR1290" s="1"/>
      <c r="IS1290" s="1"/>
      <c r="IT1290" s="1"/>
      <c r="IU1290" s="1"/>
      <c r="IV1290" s="1"/>
      <c r="IW1290" s="1"/>
      <c r="IX1290" s="1"/>
      <c r="IY1290" s="1"/>
      <c r="IZ1290" s="1"/>
      <c r="JA1290" s="1"/>
      <c r="JB1290" s="1"/>
      <c r="JC1290" s="1"/>
      <c r="JD1290" s="1"/>
    </row>
    <row r="1291" spans="1:264" s="347" customFormat="1" x14ac:dyDescent="0.2">
      <c r="A1291" s="347" t="s">
        <v>861</v>
      </c>
      <c r="B1291" s="348" t="s">
        <v>855</v>
      </c>
      <c r="BH1291" s="398">
        <v>96</v>
      </c>
      <c r="BI1291" s="398">
        <v>108</v>
      </c>
      <c r="BJ1291" s="351">
        <f t="shared" si="935"/>
        <v>108</v>
      </c>
      <c r="BK1291" s="351"/>
      <c r="BL1291" s="398">
        <f>100/BL66</f>
        <v>111.86933661483387</v>
      </c>
      <c r="BM1291" s="398">
        <f>100/BM66</f>
        <v>106.3264221158958</v>
      </c>
      <c r="BN1291" s="351">
        <f t="shared" si="936"/>
        <v>106.3264221158958</v>
      </c>
      <c r="BO1291" s="351"/>
      <c r="BP1291" s="398">
        <f>100/BP66</f>
        <v>122.12994626282365</v>
      </c>
      <c r="BQ1291" s="398">
        <f>100/BQ66</f>
        <v>130.19138133055591</v>
      </c>
      <c r="BR1291" s="351">
        <f t="shared" si="937"/>
        <v>130.19138133055591</v>
      </c>
      <c r="BS1291" s="351"/>
      <c r="BT1291" s="398">
        <f>100/BT66</f>
        <v>136.83634373289544</v>
      </c>
      <c r="BU1291" s="398">
        <f>100/BU66</f>
        <v>134.57139012245997</v>
      </c>
      <c r="BV1291" s="351">
        <f t="shared" si="938"/>
        <v>134.57139012245997</v>
      </c>
      <c r="BW1291" s="351"/>
      <c r="BX1291" s="398">
        <f>100/BX66</f>
        <v>138.19789939192924</v>
      </c>
      <c r="BY1291" s="398">
        <f>100/BY66</f>
        <v>130.14055179593961</v>
      </c>
      <c r="BZ1291" s="351">
        <f t="shared" si="939"/>
        <v>130.14055179593961</v>
      </c>
      <c r="CA1291" s="351"/>
      <c r="CB1291" s="398">
        <f>100/CB66</f>
        <v>128.22156686754712</v>
      </c>
      <c r="CC1291" s="398">
        <f>100/CC66</f>
        <v>135.37295248409367</v>
      </c>
      <c r="CD1291" s="351">
        <f t="shared" si="940"/>
        <v>135.37295248409367</v>
      </c>
      <c r="CE1291" s="351"/>
      <c r="CF1291" s="398">
        <f>100/CF66</f>
        <v>141.70327334561429</v>
      </c>
      <c r="CG1291" s="398">
        <f>100/CG66</f>
        <v>142.59232853272493</v>
      </c>
      <c r="CH1291" s="351">
        <f t="shared" si="941"/>
        <v>142.59232853272493</v>
      </c>
      <c r="CI1291" s="351"/>
      <c r="CJ1291" s="398">
        <f>100/CJ66</f>
        <v>142.77555682467161</v>
      </c>
      <c r="CK1291" s="398">
        <v>146</v>
      </c>
      <c r="CL1291" s="351">
        <f t="shared" si="942"/>
        <v>146</v>
      </c>
      <c r="CM1291" s="351"/>
      <c r="CN1291" s="398">
        <f>100/CN66</f>
        <v>129.78585334198573</v>
      </c>
      <c r="CO1291" s="398">
        <v>133</v>
      </c>
      <c r="CP1291" s="351">
        <f t="shared" si="943"/>
        <v>133</v>
      </c>
      <c r="CQ1291" s="351"/>
      <c r="CR1291" s="398">
        <f>100/CR66</f>
        <v>137.74104683195591</v>
      </c>
      <c r="CS1291" s="398">
        <v>0</v>
      </c>
      <c r="CT1291" s="351">
        <f t="shared" si="944"/>
        <v>0</v>
      </c>
      <c r="CU1291" s="351"/>
      <c r="CV1291" s="398"/>
      <c r="CW1291" s="351"/>
      <c r="CX1291" s="351"/>
      <c r="CY1291" s="351"/>
      <c r="CZ1291" s="398"/>
      <c r="DA1291" s="351"/>
      <c r="DB1291" s="351"/>
      <c r="DC1291" s="351"/>
      <c r="DD1291" s="398"/>
      <c r="DE1291" s="351"/>
      <c r="DF1291" s="351"/>
      <c r="DG1291" s="351"/>
      <c r="DH1291" s="398"/>
      <c r="DI1291" s="351"/>
      <c r="DJ1291" s="351"/>
      <c r="DK1291" s="351"/>
      <c r="DL1291" s="351"/>
      <c r="DM1291" s="351"/>
      <c r="DN1291" s="351"/>
      <c r="DO1291" s="351"/>
      <c r="DP1291" s="351"/>
      <c r="DQ1291" s="351"/>
      <c r="DR1291" s="351"/>
      <c r="DS1291" s="351"/>
      <c r="DT1291" s="1"/>
      <c r="DU1291" s="1"/>
      <c r="DV1291" s="1"/>
      <c r="DW1291" s="1"/>
      <c r="DX1291" s="1"/>
      <c r="DY1291" s="1"/>
      <c r="DZ1291" s="1"/>
      <c r="EA1291" s="1"/>
      <c r="EB1291" s="1"/>
      <c r="EC1291" s="1"/>
      <c r="ED1291" s="1"/>
      <c r="EE1291" s="1"/>
      <c r="EF1291" s="1"/>
      <c r="EG1291" s="1"/>
      <c r="EH1291" s="1"/>
      <c r="EI1291" s="1"/>
      <c r="EJ1291" s="1"/>
      <c r="EK1291" s="1"/>
      <c r="EL1291" s="1"/>
      <c r="EM1291" s="1"/>
      <c r="EN1291" s="1"/>
      <c r="EO1291" s="1"/>
      <c r="EP1291" s="1"/>
      <c r="EQ1291" s="1"/>
      <c r="ER1291" s="1"/>
      <c r="ES1291" s="1"/>
      <c r="ET1291" s="1"/>
      <c r="EU1291" s="1"/>
      <c r="EV1291" s="1"/>
      <c r="EW1291" s="1"/>
      <c r="EX1291" s="1"/>
      <c r="EY1291" s="1"/>
      <c r="EZ1291" s="1"/>
      <c r="FA1291" s="1"/>
      <c r="FB1291" s="1"/>
      <c r="FC1291" s="1"/>
      <c r="FD1291" s="1"/>
      <c r="FE1291" s="1"/>
      <c r="FF1291" s="1"/>
      <c r="FG1291" s="1"/>
      <c r="FH1291" s="1"/>
      <c r="FI1291" s="1"/>
      <c r="FJ1291" s="1"/>
      <c r="FK1291" s="1"/>
      <c r="FL1291" s="1"/>
      <c r="FM1291" s="1"/>
      <c r="FN1291" s="1"/>
      <c r="FO1291" s="1"/>
      <c r="FP1291" s="1"/>
      <c r="FQ1291" s="1"/>
      <c r="FR1291" s="1"/>
      <c r="FS1291" s="1"/>
      <c r="FT1291" s="1"/>
      <c r="FU1291" s="1"/>
      <c r="FV1291" s="1"/>
      <c r="FW1291" s="1"/>
      <c r="FX1291" s="1"/>
      <c r="FY1291" s="1"/>
      <c r="FZ1291" s="1"/>
      <c r="GA1291" s="1"/>
      <c r="GB1291" s="1"/>
      <c r="GC1291" s="1"/>
      <c r="GD1291" s="1"/>
      <c r="GE1291" s="1"/>
      <c r="GF1291" s="1"/>
      <c r="GG1291" s="1"/>
      <c r="GH1291" s="1"/>
      <c r="GI1291" s="1"/>
      <c r="GJ1291" s="1"/>
      <c r="GK1291" s="1"/>
      <c r="GL1291" s="1"/>
      <c r="GM1291" s="1"/>
      <c r="GN1291" s="1"/>
      <c r="GO1291" s="1"/>
      <c r="GP1291" s="1"/>
      <c r="GQ1291" s="1"/>
      <c r="GR1291" s="1"/>
      <c r="GS1291" s="1"/>
      <c r="GT1291" s="1"/>
      <c r="GU1291" s="1"/>
      <c r="GV1291" s="1"/>
      <c r="GW1291" s="1"/>
      <c r="GX1291" s="1"/>
      <c r="GY1291" s="1"/>
      <c r="GZ1291" s="1"/>
      <c r="HA1291" s="1"/>
      <c r="HB1291" s="1"/>
      <c r="HC1291" s="1"/>
      <c r="HD1291" s="1"/>
      <c r="HE1291" s="1"/>
      <c r="HF1291" s="1"/>
      <c r="HG1291" s="1"/>
      <c r="HH1291" s="1"/>
      <c r="HI1291" s="1"/>
      <c r="HJ1291" s="1"/>
      <c r="HK1291" s="1"/>
      <c r="HL1291" s="1"/>
      <c r="HM1291" s="1"/>
      <c r="HN1291" s="1"/>
      <c r="HO1291" s="1"/>
      <c r="HP1291" s="1"/>
      <c r="HQ1291" s="1"/>
      <c r="HR1291" s="1"/>
      <c r="HS1291" s="1"/>
      <c r="HT1291" s="1"/>
      <c r="HU1291" s="1"/>
      <c r="HV1291" s="1"/>
      <c r="HW1291" s="1"/>
      <c r="HX1291" s="1"/>
      <c r="HY1291" s="1"/>
      <c r="HZ1291" s="1"/>
      <c r="IA1291" s="1"/>
      <c r="IB1291" s="1"/>
      <c r="IC1291" s="1"/>
      <c r="ID1291" s="1"/>
      <c r="IE1291" s="1"/>
      <c r="IF1291" s="1"/>
      <c r="IG1291" s="1"/>
      <c r="IH1291" s="1"/>
      <c r="II1291" s="1"/>
      <c r="IJ1291" s="1"/>
      <c r="IK1291" s="1"/>
      <c r="IL1291" s="1"/>
      <c r="IM1291" s="1"/>
      <c r="IN1291" s="1"/>
      <c r="IO1291" s="1"/>
      <c r="IP1291" s="1"/>
      <c r="IQ1291" s="1"/>
      <c r="IR1291" s="1"/>
      <c r="IS1291" s="1"/>
      <c r="IT1291" s="1"/>
      <c r="IU1291" s="1"/>
      <c r="IV1291" s="1"/>
      <c r="IW1291" s="1"/>
      <c r="IX1291" s="1"/>
      <c r="IY1291" s="1"/>
      <c r="IZ1291" s="1"/>
      <c r="JA1291" s="1"/>
      <c r="JB1291" s="1"/>
      <c r="JC1291" s="1"/>
      <c r="JD1291" s="1"/>
    </row>
    <row r="1292" spans="1:264" s="347" customFormat="1" x14ac:dyDescent="0.2">
      <c r="A1292" s="347" t="s">
        <v>377</v>
      </c>
      <c r="B1292" s="348"/>
      <c r="BH1292" s="398"/>
      <c r="BI1292" s="398"/>
      <c r="BJ1292" s="351"/>
      <c r="BK1292" s="351"/>
      <c r="BL1292" s="398"/>
      <c r="BM1292" s="351">
        <f>BM1293-SUM(BM1286:BM1291)</f>
        <v>-528.32642211589609</v>
      </c>
      <c r="BN1292" s="351">
        <f t="shared" si="936"/>
        <v>-528.32642211589609</v>
      </c>
      <c r="BO1292" s="351"/>
      <c r="BP1292" s="351">
        <f>BP1293-SUM(BP1286:BP1291)</f>
        <v>56.870053737176477</v>
      </c>
      <c r="BQ1292" s="351">
        <f>BQ1293-SUM(BQ1286:BQ1291)</f>
        <v>0.80861866944405847</v>
      </c>
      <c r="BR1292" s="351">
        <f>BQ1292</f>
        <v>0.80861866944405847</v>
      </c>
      <c r="BS1292" s="351"/>
      <c r="BT1292" s="351">
        <f>BT1293-SUM(BT1286:BT1291)</f>
        <v>1.1636562671046704</v>
      </c>
      <c r="BU1292" s="351">
        <f>BU1293-SUM(BU1286:BU1291)</f>
        <v>0.4286098775399978</v>
      </c>
      <c r="BV1292" s="351">
        <f>BU1292</f>
        <v>0.4286098775399978</v>
      </c>
      <c r="BW1292" s="351"/>
      <c r="BX1292" s="351">
        <f>BX1293-SUM(BX1286:BX1291)</f>
        <v>-0.19789939192924066</v>
      </c>
      <c r="BY1292" s="351">
        <f>BY1293-SUM(BY1286:BY1291)</f>
        <v>-0.14055179593958655</v>
      </c>
      <c r="BZ1292" s="351">
        <f>BY1292</f>
        <v>-0.14055179593958655</v>
      </c>
      <c r="CA1292" s="351"/>
      <c r="CB1292" s="351">
        <f>CB1293-SUM(CB1286:CB1291)</f>
        <v>-0.22156686754715338</v>
      </c>
      <c r="CC1292" s="351">
        <f>CC1293-SUM(CC1286:CC1291)</f>
        <v>-0.37295248409373016</v>
      </c>
      <c r="CD1292" s="351">
        <f>CC1292</f>
        <v>-0.37295248409373016</v>
      </c>
      <c r="CE1292" s="351"/>
      <c r="CF1292" s="351">
        <f>CF1293-SUM(CF1286:CF1291)</f>
        <v>0.29672665438567947</v>
      </c>
      <c r="CG1292" s="351">
        <f>CG1293-SUM(CG1286:CG1291)</f>
        <v>0.40767146727506542</v>
      </c>
      <c r="CH1292" s="351">
        <f>CG1292</f>
        <v>0.40767146727506542</v>
      </c>
      <c r="CI1292" s="351"/>
      <c r="CJ1292" s="351">
        <f>CJ1293-SUM(CJ1286:CJ1291)</f>
        <v>0.22444317532838909</v>
      </c>
      <c r="CK1292" s="351">
        <f>CK1293-SUM(CK1286:CK1291)</f>
        <v>0</v>
      </c>
      <c r="CL1292" s="351">
        <f>CK1292</f>
        <v>0</v>
      </c>
      <c r="CM1292" s="351"/>
      <c r="CN1292" s="351">
        <f>CN1293-SUM(CN1286:CN1291)</f>
        <v>0.21414665801427191</v>
      </c>
      <c r="CO1292" s="351">
        <f>CO1293-SUM(CO1286:CO1291)</f>
        <v>0</v>
      </c>
      <c r="CP1292" s="351">
        <f>CO1292</f>
        <v>0</v>
      </c>
      <c r="CQ1292" s="351"/>
      <c r="CR1292" s="351">
        <f>CR1293-SUM(CR1286:CR1291)</f>
        <v>0.25895316804408708</v>
      </c>
      <c r="CS1292" s="351">
        <f>CS1293-SUM(CS1286:CS1291)</f>
        <v>0</v>
      </c>
      <c r="CT1292" s="351">
        <f>CS1292</f>
        <v>0</v>
      </c>
      <c r="CU1292" s="351"/>
      <c r="CV1292" s="351"/>
      <c r="CW1292" s="351"/>
      <c r="CX1292" s="351"/>
      <c r="CY1292" s="351"/>
      <c r="CZ1292" s="351"/>
      <c r="DA1292" s="351"/>
      <c r="DB1292" s="351"/>
      <c r="DC1292" s="351"/>
      <c r="DD1292" s="351"/>
      <c r="DE1292" s="351"/>
      <c r="DF1292" s="351"/>
      <c r="DG1292" s="351"/>
      <c r="DH1292" s="351"/>
      <c r="DI1292" s="351"/>
      <c r="DJ1292" s="351"/>
      <c r="DK1292" s="351"/>
      <c r="DL1292" s="351"/>
      <c r="DM1292" s="351"/>
      <c r="DN1292" s="351"/>
      <c r="DO1292" s="351"/>
      <c r="DP1292" s="351"/>
      <c r="DQ1292" s="351"/>
      <c r="DR1292" s="351"/>
      <c r="DS1292" s="351"/>
      <c r="DT1292" s="1"/>
      <c r="DU1292" s="1"/>
      <c r="DV1292" s="1"/>
      <c r="DW1292" s="1"/>
      <c r="DX1292" s="1"/>
      <c r="DY1292" s="1"/>
      <c r="DZ1292" s="1"/>
      <c r="EA1292" s="1"/>
      <c r="EB1292" s="1"/>
      <c r="EC1292" s="1"/>
      <c r="ED1292" s="1"/>
      <c r="EE1292" s="1"/>
      <c r="EF1292" s="1"/>
      <c r="EG1292" s="1"/>
      <c r="EH1292" s="1"/>
      <c r="EI1292" s="1"/>
      <c r="EJ1292" s="1"/>
      <c r="EK1292" s="1"/>
      <c r="EL1292" s="1"/>
      <c r="EM1292" s="1"/>
      <c r="EN1292" s="1"/>
      <c r="EO1292" s="1"/>
      <c r="EP1292" s="1"/>
      <c r="EQ1292" s="1"/>
      <c r="ER1292" s="1"/>
      <c r="ES1292" s="1"/>
      <c r="ET1292" s="1"/>
      <c r="EU1292" s="1"/>
      <c r="EV1292" s="1"/>
      <c r="EW1292" s="1"/>
      <c r="EX1292" s="1"/>
      <c r="EY1292" s="1"/>
      <c r="EZ1292" s="1"/>
      <c r="FA1292" s="1"/>
      <c r="FB1292" s="1"/>
      <c r="FC1292" s="1"/>
      <c r="FD1292" s="1"/>
      <c r="FE1292" s="1"/>
      <c r="FF1292" s="1"/>
      <c r="FG1292" s="1"/>
      <c r="FH1292" s="1"/>
      <c r="FI1292" s="1"/>
      <c r="FJ1292" s="1"/>
      <c r="FK1292" s="1"/>
      <c r="FL1292" s="1"/>
      <c r="FM1292" s="1"/>
      <c r="FN1292" s="1"/>
      <c r="FO1292" s="1"/>
      <c r="FP1292" s="1"/>
      <c r="FQ1292" s="1"/>
      <c r="FR1292" s="1"/>
      <c r="FS1292" s="1"/>
      <c r="FT1292" s="1"/>
      <c r="FU1292" s="1"/>
      <c r="FV1292" s="1"/>
      <c r="FW1292" s="1"/>
      <c r="FX1292" s="1"/>
      <c r="FY1292" s="1"/>
      <c r="FZ1292" s="1"/>
      <c r="GA1292" s="1"/>
      <c r="GB1292" s="1"/>
      <c r="GC1292" s="1"/>
      <c r="GD1292" s="1"/>
      <c r="GE1292" s="1"/>
      <c r="GF1292" s="1"/>
      <c r="GG1292" s="1"/>
      <c r="GH1292" s="1"/>
      <c r="GI1292" s="1"/>
      <c r="GJ1292" s="1"/>
      <c r="GK1292" s="1"/>
      <c r="GL1292" s="1"/>
      <c r="GM1292" s="1"/>
      <c r="GN1292" s="1"/>
      <c r="GO1292" s="1"/>
      <c r="GP1292" s="1"/>
      <c r="GQ1292" s="1"/>
      <c r="GR1292" s="1"/>
      <c r="GS1292" s="1"/>
      <c r="GT1292" s="1"/>
      <c r="GU1292" s="1"/>
      <c r="GV1292" s="1"/>
      <c r="GW1292" s="1"/>
      <c r="GX1292" s="1"/>
      <c r="GY1292" s="1"/>
      <c r="GZ1292" s="1"/>
      <c r="HA1292" s="1"/>
      <c r="HB1292" s="1"/>
      <c r="HC1292" s="1"/>
      <c r="HD1292" s="1"/>
      <c r="HE1292" s="1"/>
      <c r="HF1292" s="1"/>
      <c r="HG1292" s="1"/>
      <c r="HH1292" s="1"/>
      <c r="HI1292" s="1"/>
      <c r="HJ1292" s="1"/>
      <c r="HK1292" s="1"/>
      <c r="HL1292" s="1"/>
      <c r="HM1292" s="1"/>
      <c r="HN1292" s="1"/>
      <c r="HO1292" s="1"/>
      <c r="HP1292" s="1"/>
      <c r="HQ1292" s="1"/>
      <c r="HR1292" s="1"/>
      <c r="HS1292" s="1"/>
      <c r="HT1292" s="1"/>
      <c r="HU1292" s="1"/>
      <c r="HV1292" s="1"/>
      <c r="HW1292" s="1"/>
      <c r="HX1292" s="1"/>
      <c r="HY1292" s="1"/>
      <c r="HZ1292" s="1"/>
      <c r="IA1292" s="1"/>
      <c r="IB1292" s="1"/>
      <c r="IC1292" s="1"/>
      <c r="ID1292" s="1"/>
      <c r="IE1292" s="1"/>
      <c r="IF1292" s="1"/>
      <c r="IG1292" s="1"/>
      <c r="IH1292" s="1"/>
      <c r="II1292" s="1"/>
      <c r="IJ1292" s="1"/>
      <c r="IK1292" s="1"/>
      <c r="IL1292" s="1"/>
      <c r="IM1292" s="1"/>
      <c r="IN1292" s="1"/>
      <c r="IO1292" s="1"/>
      <c r="IP1292" s="1"/>
      <c r="IQ1292" s="1"/>
      <c r="IR1292" s="1"/>
      <c r="IS1292" s="1"/>
      <c r="IT1292" s="1"/>
      <c r="IU1292" s="1"/>
      <c r="IV1292" s="1"/>
      <c r="IW1292" s="1"/>
      <c r="IX1292" s="1"/>
      <c r="IY1292" s="1"/>
      <c r="IZ1292" s="1"/>
      <c r="JA1292" s="1"/>
      <c r="JB1292" s="1"/>
      <c r="JC1292" s="1"/>
      <c r="JD1292" s="1"/>
    </row>
    <row r="1293" spans="1:264" s="347" customFormat="1" x14ac:dyDescent="0.2">
      <c r="A1293" s="411" t="s">
        <v>378</v>
      </c>
      <c r="B1293" s="348"/>
      <c r="BH1293" s="397">
        <f>SUM(BH1286:BH1291)</f>
        <v>5244</v>
      </c>
      <c r="BI1293" s="397">
        <f>SUM(BI1286:BI1291)</f>
        <v>5319</v>
      </c>
      <c r="BJ1293" s="397">
        <f>SUM(BJ1286:BJ1291)</f>
        <v>5319</v>
      </c>
      <c r="BK1293" s="351"/>
      <c r="BL1293" s="397">
        <f>SUM(BL1286:BL1292)</f>
        <v>5345.8693366148336</v>
      </c>
      <c r="BM1293" s="396">
        <v>4196</v>
      </c>
      <c r="BN1293" s="397">
        <f>SUM(BN1286:BN1292)</f>
        <v>4196</v>
      </c>
      <c r="BO1293" s="351"/>
      <c r="BP1293" s="396">
        <v>3413</v>
      </c>
      <c r="BQ1293" s="396">
        <v>2749</v>
      </c>
      <c r="BR1293" s="397">
        <f>SUM(BR1286:BR1292)</f>
        <v>2749</v>
      </c>
      <c r="BS1293" s="351"/>
      <c r="BT1293" s="396">
        <v>2756</v>
      </c>
      <c r="BU1293" s="396">
        <v>640</v>
      </c>
      <c r="BV1293" s="397">
        <f>SUM(BV1286:BV1292)</f>
        <v>640</v>
      </c>
      <c r="BW1293" s="351"/>
      <c r="BX1293" s="396">
        <v>643</v>
      </c>
      <c r="BY1293" s="396">
        <v>635</v>
      </c>
      <c r="BZ1293" s="397">
        <f>SUM(BZ1286:BZ1292)</f>
        <v>635</v>
      </c>
      <c r="CA1293" s="351"/>
      <c r="CB1293" s="396">
        <v>633</v>
      </c>
      <c r="CC1293" s="396">
        <v>640</v>
      </c>
      <c r="CD1293" s="397">
        <f>SUM(CD1286:CD1292)</f>
        <v>640</v>
      </c>
      <c r="CE1293" s="351"/>
      <c r="CF1293" s="396">
        <v>647</v>
      </c>
      <c r="CG1293" s="396">
        <v>143</v>
      </c>
      <c r="CH1293" s="397">
        <f>SUM(CH1286:CH1292)</f>
        <v>143</v>
      </c>
      <c r="CI1293" s="351"/>
      <c r="CJ1293" s="396">
        <v>143</v>
      </c>
      <c r="CK1293" s="396">
        <v>146</v>
      </c>
      <c r="CL1293" s="397">
        <f>SUM(CL1286:CL1292)</f>
        <v>146</v>
      </c>
      <c r="CM1293" s="351"/>
      <c r="CN1293" s="396">
        <v>130</v>
      </c>
      <c r="CO1293" s="396">
        <v>133</v>
      </c>
      <c r="CP1293" s="397">
        <f>SUM(CP1286:CP1292)</f>
        <v>133</v>
      </c>
      <c r="CQ1293" s="351"/>
      <c r="CR1293" s="396">
        <v>138</v>
      </c>
      <c r="CS1293" s="396">
        <v>0</v>
      </c>
      <c r="CT1293" s="397">
        <f>SUM(CT1286:CT1292)</f>
        <v>0</v>
      </c>
      <c r="CU1293" s="351"/>
      <c r="CV1293" s="396"/>
      <c r="CW1293" s="397"/>
      <c r="CX1293" s="397"/>
      <c r="CY1293" s="351"/>
      <c r="CZ1293" s="396"/>
      <c r="DA1293" s="397"/>
      <c r="DB1293" s="397"/>
      <c r="DC1293" s="351"/>
      <c r="DD1293" s="396"/>
      <c r="DE1293" s="397"/>
      <c r="DF1293" s="397"/>
      <c r="DG1293" s="351"/>
      <c r="DH1293" s="396"/>
      <c r="DI1293" s="397"/>
      <c r="DJ1293" s="397"/>
      <c r="DK1293" s="351"/>
      <c r="DL1293" s="397"/>
      <c r="DM1293" s="397"/>
      <c r="DN1293" s="397"/>
      <c r="DO1293" s="351"/>
      <c r="DP1293" s="397"/>
      <c r="DQ1293" s="397"/>
      <c r="DR1293" s="397"/>
      <c r="DS1293" s="351"/>
      <c r="DT1293" s="1"/>
      <c r="DU1293" s="1"/>
      <c r="DV1293" s="1"/>
      <c r="DW1293" s="1"/>
      <c r="DX1293" s="1"/>
      <c r="DY1293" s="1"/>
      <c r="DZ1293" s="1"/>
      <c r="EA1293" s="1"/>
      <c r="EB1293" s="1"/>
      <c r="EC1293" s="1"/>
      <c r="ED1293" s="1"/>
      <c r="EE1293" s="1"/>
      <c r="EF1293" s="1"/>
      <c r="EG1293" s="1"/>
      <c r="EH1293" s="1"/>
      <c r="EI1293" s="1"/>
      <c r="EJ1293" s="1"/>
      <c r="EK1293" s="1"/>
      <c r="EL1293" s="1"/>
      <c r="EM1293" s="1"/>
      <c r="EN1293" s="1"/>
      <c r="EO1293" s="1"/>
      <c r="EP1293" s="1"/>
      <c r="EQ1293" s="1"/>
      <c r="ER1293" s="1"/>
      <c r="ES1293" s="1"/>
      <c r="ET1293" s="1"/>
      <c r="EU1293" s="1"/>
      <c r="EV1293" s="1"/>
      <c r="EW1293" s="1"/>
      <c r="EX1293" s="1"/>
      <c r="EY1293" s="1"/>
      <c r="EZ1293" s="1"/>
      <c r="FA1293" s="1"/>
      <c r="FB1293" s="1"/>
      <c r="FC1293" s="1"/>
      <c r="FD1293" s="1"/>
      <c r="FE1293" s="1"/>
      <c r="FF1293" s="1"/>
      <c r="FG1293" s="1"/>
      <c r="FH1293" s="1"/>
      <c r="FI1293" s="1"/>
      <c r="FJ1293" s="1"/>
      <c r="FK1293" s="1"/>
      <c r="FL1293" s="1"/>
      <c r="FM1293" s="1"/>
      <c r="FN1293" s="1"/>
      <c r="FO1293" s="1"/>
      <c r="FP1293" s="1"/>
      <c r="FQ1293" s="1"/>
      <c r="FR1293" s="1"/>
      <c r="FS1293" s="1"/>
      <c r="FT1293" s="1"/>
      <c r="FU1293" s="1"/>
      <c r="FV1293" s="1"/>
      <c r="FW1293" s="1"/>
      <c r="FX1293" s="1"/>
      <c r="FY1293" s="1"/>
      <c r="FZ1293" s="1"/>
      <c r="GA1293" s="1"/>
      <c r="GB1293" s="1"/>
      <c r="GC1293" s="1"/>
      <c r="GD1293" s="1"/>
      <c r="GE1293" s="1"/>
      <c r="GF1293" s="1"/>
      <c r="GG1293" s="1"/>
      <c r="GH1293" s="1"/>
      <c r="GI1293" s="1"/>
      <c r="GJ1293" s="1"/>
      <c r="GK1293" s="1"/>
      <c r="GL1293" s="1"/>
      <c r="GM1293" s="1"/>
      <c r="GN1293" s="1"/>
      <c r="GO1293" s="1"/>
      <c r="GP1293" s="1"/>
      <c r="GQ1293" s="1"/>
      <c r="GR1293" s="1"/>
      <c r="GS1293" s="1"/>
      <c r="GT1293" s="1"/>
      <c r="GU1293" s="1"/>
      <c r="GV1293" s="1"/>
      <c r="GW1293" s="1"/>
      <c r="GX1293" s="1"/>
      <c r="GY1293" s="1"/>
      <c r="GZ1293" s="1"/>
      <c r="HA1293" s="1"/>
      <c r="HB1293" s="1"/>
      <c r="HC1293" s="1"/>
      <c r="HD1293" s="1"/>
      <c r="HE1293" s="1"/>
      <c r="HF1293" s="1"/>
      <c r="HG1293" s="1"/>
      <c r="HH1293" s="1"/>
      <c r="HI1293" s="1"/>
      <c r="HJ1293" s="1"/>
      <c r="HK1293" s="1"/>
      <c r="HL1293" s="1"/>
      <c r="HM1293" s="1"/>
      <c r="HN1293" s="1"/>
      <c r="HO1293" s="1"/>
      <c r="HP1293" s="1"/>
      <c r="HQ1293" s="1"/>
      <c r="HR1293" s="1"/>
      <c r="HS1293" s="1"/>
      <c r="HT1293" s="1"/>
      <c r="HU1293" s="1"/>
      <c r="HV1293" s="1"/>
      <c r="HW1293" s="1"/>
      <c r="HX1293" s="1"/>
      <c r="HY1293" s="1"/>
      <c r="HZ1293" s="1"/>
      <c r="IA1293" s="1"/>
      <c r="IB1293" s="1"/>
      <c r="IC1293" s="1"/>
      <c r="ID1293" s="1"/>
      <c r="IE1293" s="1"/>
      <c r="IF1293" s="1"/>
      <c r="IG1293" s="1"/>
      <c r="IH1293" s="1"/>
      <c r="II1293" s="1"/>
      <c r="IJ1293" s="1"/>
      <c r="IK1293" s="1"/>
      <c r="IL1293" s="1"/>
      <c r="IM1293" s="1"/>
      <c r="IN1293" s="1"/>
      <c r="IO1293" s="1"/>
      <c r="IP1293" s="1"/>
      <c r="IQ1293" s="1"/>
      <c r="IR1293" s="1"/>
      <c r="IS1293" s="1"/>
      <c r="IT1293" s="1"/>
      <c r="IU1293" s="1"/>
      <c r="IV1293" s="1"/>
      <c r="IW1293" s="1"/>
      <c r="IX1293" s="1"/>
      <c r="IY1293" s="1"/>
      <c r="IZ1293" s="1"/>
      <c r="JA1293" s="1"/>
      <c r="JB1293" s="1"/>
      <c r="JC1293" s="1"/>
      <c r="JD1293" s="1"/>
    </row>
    <row r="1294" spans="1:264" s="347" customFormat="1" x14ac:dyDescent="0.2">
      <c r="A1294" s="463" t="s">
        <v>862</v>
      </c>
      <c r="B1294" s="466"/>
      <c r="C1294" s="463"/>
      <c r="D1294" s="463"/>
      <c r="E1294" s="463"/>
      <c r="F1294" s="463"/>
      <c r="G1294" s="463"/>
      <c r="H1294" s="463"/>
      <c r="I1294" s="463"/>
      <c r="J1294" s="463"/>
      <c r="K1294" s="463"/>
      <c r="L1294" s="463"/>
      <c r="M1294" s="463"/>
      <c r="N1294" s="463"/>
      <c r="O1294" s="463"/>
      <c r="P1294" s="463"/>
      <c r="Q1294" s="463"/>
      <c r="R1294" s="463"/>
      <c r="S1294" s="463"/>
      <c r="T1294" s="463"/>
      <c r="U1294" s="463"/>
      <c r="V1294" s="463"/>
      <c r="W1294" s="463"/>
      <c r="X1294" s="463"/>
      <c r="Y1294" s="463"/>
      <c r="Z1294" s="463"/>
      <c r="AA1294" s="463"/>
      <c r="AB1294" s="463"/>
      <c r="AC1294" s="463"/>
      <c r="AD1294" s="463"/>
      <c r="AE1294" s="463"/>
      <c r="AF1294" s="463"/>
      <c r="AG1294" s="463"/>
      <c r="AH1294" s="463"/>
      <c r="AI1294" s="463"/>
      <c r="AJ1294" s="463"/>
      <c r="AK1294" s="463"/>
      <c r="AL1294" s="463"/>
      <c r="AM1294" s="463"/>
      <c r="AN1294" s="463"/>
      <c r="AO1294" s="463"/>
      <c r="AP1294" s="463"/>
      <c r="AQ1294" s="463"/>
      <c r="AR1294" s="463"/>
      <c r="AS1294" s="463"/>
      <c r="AT1294" s="463"/>
      <c r="AU1294" s="463"/>
      <c r="AV1294" s="463"/>
      <c r="AW1294" s="463"/>
      <c r="AX1294" s="463"/>
      <c r="AY1294" s="463"/>
      <c r="AZ1294" s="463"/>
      <c r="BA1294" s="463"/>
      <c r="BB1294" s="463"/>
      <c r="BC1294" s="463"/>
      <c r="BD1294" s="463"/>
      <c r="BE1294" s="463"/>
      <c r="BF1294" s="463"/>
      <c r="BG1294" s="463"/>
      <c r="BH1294" s="467">
        <v>0.9</v>
      </c>
      <c r="BI1294" s="467">
        <f>BH1294</f>
        <v>0.9</v>
      </c>
      <c r="BJ1294" s="467">
        <f>BI1294</f>
        <v>0.9</v>
      </c>
      <c r="BK1294" s="485"/>
      <c r="BL1294" s="467">
        <f>BI1294</f>
        <v>0.9</v>
      </c>
      <c r="BM1294" s="825">
        <f>+BL1294-10%</f>
        <v>0.8</v>
      </c>
      <c r="BN1294" s="467">
        <f>BM1294</f>
        <v>0.8</v>
      </c>
      <c r="BO1294" s="485"/>
      <c r="BP1294" s="467">
        <f>BM1294</f>
        <v>0.8</v>
      </c>
      <c r="BQ1294" s="825">
        <f>+BP1294-10%</f>
        <v>0.70000000000000007</v>
      </c>
      <c r="BR1294" s="467">
        <f>BQ1294</f>
        <v>0.70000000000000007</v>
      </c>
      <c r="BS1294" s="485"/>
      <c r="BT1294" s="467">
        <f>BQ1294</f>
        <v>0.70000000000000007</v>
      </c>
      <c r="BU1294" s="825">
        <f>+BT1294-10%</f>
        <v>0.60000000000000009</v>
      </c>
      <c r="BV1294" s="467">
        <f>BU1294</f>
        <v>0.60000000000000009</v>
      </c>
      <c r="BW1294" s="485"/>
      <c r="BX1294" s="467">
        <f>BU1294</f>
        <v>0.60000000000000009</v>
      </c>
      <c r="BY1294" s="825">
        <f>+BX1294-10%</f>
        <v>0.50000000000000011</v>
      </c>
      <c r="BZ1294" s="467">
        <f>BY1294</f>
        <v>0.50000000000000011</v>
      </c>
      <c r="CA1294" s="485"/>
      <c r="CB1294" s="467">
        <f>BY1294</f>
        <v>0.50000000000000011</v>
      </c>
      <c r="CC1294" s="467">
        <f>+CB1294-10%</f>
        <v>0.40000000000000013</v>
      </c>
      <c r="CD1294" s="467">
        <f>CC1294</f>
        <v>0.40000000000000013</v>
      </c>
      <c r="CE1294" s="485"/>
      <c r="CF1294" s="467">
        <f>CC1294</f>
        <v>0.40000000000000013</v>
      </c>
      <c r="CG1294" s="467">
        <f>+CF1294-10%</f>
        <v>0.30000000000000016</v>
      </c>
      <c r="CH1294" s="467">
        <f>CG1294</f>
        <v>0.30000000000000016</v>
      </c>
      <c r="CI1294" s="485"/>
      <c r="CJ1294" s="467">
        <f>CG1294</f>
        <v>0.30000000000000016</v>
      </c>
      <c r="CK1294" s="467">
        <f>+CJ1294-10%</f>
        <v>0.20000000000000015</v>
      </c>
      <c r="CL1294" s="467">
        <f>CK1294</f>
        <v>0.20000000000000015</v>
      </c>
      <c r="CM1294" s="485"/>
      <c r="CN1294" s="467">
        <f>CK1294</f>
        <v>0.20000000000000015</v>
      </c>
      <c r="CO1294" s="467">
        <f>+CN1294-10%</f>
        <v>0.10000000000000014</v>
      </c>
      <c r="CP1294" s="467">
        <f>CO1294</f>
        <v>0.10000000000000014</v>
      </c>
      <c r="CQ1294" s="485"/>
      <c r="CR1294" s="467">
        <f>CO1294</f>
        <v>0.10000000000000014</v>
      </c>
      <c r="CS1294" s="467">
        <f>+CR1294-10%</f>
        <v>1.3877787807814457E-16</v>
      </c>
      <c r="CT1294" s="467">
        <f>CS1294</f>
        <v>1.3877787807814457E-16</v>
      </c>
      <c r="CU1294" s="485"/>
      <c r="CV1294" s="467"/>
      <c r="CW1294" s="825"/>
      <c r="CX1294" s="467"/>
      <c r="CY1294" s="485"/>
      <c r="CZ1294" s="467"/>
      <c r="DA1294" s="825"/>
      <c r="DB1294" s="467"/>
      <c r="DC1294" s="485"/>
      <c r="DD1294" s="467"/>
      <c r="DE1294" s="825"/>
      <c r="DF1294" s="467"/>
      <c r="DG1294" s="485"/>
      <c r="DH1294" s="467"/>
      <c r="DI1294" s="825"/>
      <c r="DJ1294" s="467"/>
      <c r="DK1294" s="485"/>
      <c r="DL1294" s="467"/>
      <c r="DM1294" s="825"/>
      <c r="DN1294" s="467"/>
      <c r="DO1294" s="485"/>
      <c r="DP1294" s="467"/>
      <c r="DQ1294" s="825"/>
      <c r="DR1294" s="467"/>
      <c r="DS1294" s="485"/>
      <c r="DT1294" s="1"/>
      <c r="DU1294" s="1"/>
      <c r="DV1294" s="1"/>
      <c r="DW1294" s="1"/>
      <c r="DX1294" s="1"/>
      <c r="DY1294" s="1"/>
      <c r="DZ1294" s="1"/>
      <c r="EA1294" s="1"/>
      <c r="EB1294" s="1"/>
      <c r="EC1294" s="1"/>
      <c r="ED1294" s="1"/>
      <c r="EE1294" s="1"/>
      <c r="EF1294" s="1"/>
      <c r="EG1294" s="1"/>
      <c r="EH1294" s="1"/>
      <c r="EI1294" s="1"/>
      <c r="EJ1294" s="1"/>
      <c r="EK1294" s="1"/>
      <c r="EL1294" s="1"/>
      <c r="EM1294" s="1"/>
      <c r="EN1294" s="1"/>
      <c r="EO1294" s="1"/>
      <c r="EP1294" s="1"/>
      <c r="EQ1294" s="1"/>
      <c r="ER1294" s="1"/>
      <c r="ES1294" s="1"/>
      <c r="ET1294" s="1"/>
      <c r="EU1294" s="1"/>
      <c r="EV1294" s="1"/>
      <c r="EW1294" s="1"/>
      <c r="EX1294" s="1"/>
      <c r="EY1294" s="1"/>
      <c r="EZ1294" s="1"/>
      <c r="FA1294" s="1"/>
      <c r="FB1294" s="1"/>
      <c r="FC1294" s="1"/>
      <c r="FD1294" s="1"/>
      <c r="FE1294" s="1"/>
      <c r="FF1294" s="1"/>
      <c r="FG1294" s="1"/>
      <c r="FH1294" s="1"/>
      <c r="FI1294" s="1"/>
      <c r="FJ1294" s="1"/>
      <c r="FK1294" s="1"/>
      <c r="FL1294" s="1"/>
      <c r="FM1294" s="1"/>
      <c r="FN1294" s="1"/>
      <c r="FO1294" s="1"/>
      <c r="FP1294" s="1"/>
      <c r="FQ1294" s="1"/>
      <c r="FR1294" s="1"/>
      <c r="FS1294" s="1"/>
      <c r="FT1294" s="1"/>
      <c r="FU1294" s="1"/>
      <c r="FV1294" s="1"/>
      <c r="FW1294" s="1"/>
      <c r="FX1294" s="1"/>
      <c r="FY1294" s="1"/>
      <c r="FZ1294" s="1"/>
      <c r="GA1294" s="1"/>
      <c r="GB1294" s="1"/>
      <c r="GC1294" s="1"/>
      <c r="GD1294" s="1"/>
      <c r="GE1294" s="1"/>
      <c r="GF1294" s="1"/>
      <c r="GG1294" s="1"/>
      <c r="GH1294" s="1"/>
      <c r="GI1294" s="1"/>
      <c r="GJ1294" s="1"/>
      <c r="GK1294" s="1"/>
      <c r="GL1294" s="1"/>
      <c r="GM1294" s="1"/>
      <c r="GN1294" s="1"/>
      <c r="GO1294" s="1"/>
      <c r="GP1294" s="1"/>
      <c r="GQ1294" s="1"/>
      <c r="GR1294" s="1"/>
      <c r="GS1294" s="1"/>
      <c r="GT1294" s="1"/>
      <c r="GU1294" s="1"/>
      <c r="GV1294" s="1"/>
      <c r="GW1294" s="1"/>
      <c r="GX1294" s="1"/>
      <c r="GY1294" s="1"/>
      <c r="GZ1294" s="1"/>
      <c r="HA1294" s="1"/>
      <c r="HB1294" s="1"/>
      <c r="HC1294" s="1"/>
      <c r="HD1294" s="1"/>
      <c r="HE1294" s="1"/>
      <c r="HF1294" s="1"/>
      <c r="HG1294" s="1"/>
      <c r="HH1294" s="1"/>
      <c r="HI1294" s="1"/>
      <c r="HJ1294" s="1"/>
      <c r="HK1294" s="1"/>
      <c r="HL1294" s="1"/>
      <c r="HM1294" s="1"/>
      <c r="HN1294" s="1"/>
      <c r="HO1294" s="1"/>
      <c r="HP1294" s="1"/>
      <c r="HQ1294" s="1"/>
      <c r="HR1294" s="1"/>
      <c r="HS1294" s="1"/>
      <c r="HT1294" s="1"/>
      <c r="HU1294" s="1"/>
      <c r="HV1294" s="1"/>
      <c r="HW1294" s="1"/>
      <c r="HX1294" s="1"/>
      <c r="HY1294" s="1"/>
      <c r="HZ1294" s="1"/>
      <c r="IA1294" s="1"/>
      <c r="IB1294" s="1"/>
      <c r="IC1294" s="1"/>
      <c r="ID1294" s="1"/>
      <c r="IE1294" s="1"/>
      <c r="IF1294" s="1"/>
      <c r="IG1294" s="1"/>
      <c r="IH1294" s="1"/>
      <c r="II1294" s="1"/>
      <c r="IJ1294" s="1"/>
      <c r="IK1294" s="1"/>
      <c r="IL1294" s="1"/>
      <c r="IM1294" s="1"/>
      <c r="IN1294" s="1"/>
      <c r="IO1294" s="1"/>
      <c r="IP1294" s="1"/>
      <c r="IQ1294" s="1"/>
      <c r="IR1294" s="1"/>
      <c r="IS1294" s="1"/>
      <c r="IT1294" s="1"/>
      <c r="IU1294" s="1"/>
      <c r="IV1294" s="1"/>
      <c r="IW1294" s="1"/>
      <c r="IX1294" s="1"/>
      <c r="IY1294" s="1"/>
      <c r="IZ1294" s="1"/>
      <c r="JA1294" s="1"/>
      <c r="JB1294" s="1"/>
      <c r="JC1294" s="1"/>
      <c r="JD1294" s="1"/>
    </row>
    <row r="1295" spans="1:264" s="347" customFormat="1" x14ac:dyDescent="0.2">
      <c r="A1295" s="463" t="s">
        <v>863</v>
      </c>
      <c r="B1295" s="466"/>
      <c r="C1295" s="463"/>
      <c r="D1295" s="463"/>
      <c r="E1295" s="463"/>
      <c r="F1295" s="463"/>
      <c r="G1295" s="463"/>
      <c r="H1295" s="463"/>
      <c r="I1295" s="463"/>
      <c r="J1295" s="463"/>
      <c r="K1295" s="463"/>
      <c r="L1295" s="463"/>
      <c r="M1295" s="463"/>
      <c r="N1295" s="463"/>
      <c r="O1295" s="463"/>
      <c r="P1295" s="463"/>
      <c r="Q1295" s="463"/>
      <c r="R1295" s="463"/>
      <c r="S1295" s="463"/>
      <c r="T1295" s="463"/>
      <c r="U1295" s="463"/>
      <c r="V1295" s="463"/>
      <c r="W1295" s="463"/>
      <c r="X1295" s="463"/>
      <c r="Y1295" s="463"/>
      <c r="Z1295" s="463"/>
      <c r="AA1295" s="463"/>
      <c r="AB1295" s="463"/>
      <c r="AC1295" s="463"/>
      <c r="AD1295" s="463"/>
      <c r="AE1295" s="463"/>
      <c r="AF1295" s="463"/>
      <c r="AG1295" s="463"/>
      <c r="AH1295" s="463"/>
      <c r="AI1295" s="463"/>
      <c r="AJ1295" s="463"/>
      <c r="AK1295" s="463"/>
      <c r="AL1295" s="463"/>
      <c r="AM1295" s="463"/>
      <c r="AN1295" s="463"/>
      <c r="AO1295" s="463"/>
      <c r="AP1295" s="463"/>
      <c r="AQ1295" s="463"/>
      <c r="AR1295" s="463"/>
      <c r="AS1295" s="463"/>
      <c r="AT1295" s="463"/>
      <c r="AU1295" s="463"/>
      <c r="AV1295" s="463"/>
      <c r="AW1295" s="463"/>
      <c r="AX1295" s="463"/>
      <c r="AY1295" s="463"/>
      <c r="AZ1295" s="463"/>
      <c r="BA1295" s="463"/>
      <c r="BB1295" s="463"/>
      <c r="BC1295" s="463"/>
      <c r="BD1295" s="463"/>
      <c r="BE1295" s="463"/>
      <c r="BF1295" s="463"/>
      <c r="BG1295" s="463"/>
      <c r="BH1295" s="467">
        <f>+BH1296/BH1293</f>
        <v>0.90007627765064835</v>
      </c>
      <c r="BI1295" s="467">
        <f>+BI1296/BI1293</f>
        <v>0.88738484677570972</v>
      </c>
      <c r="BJ1295" s="467">
        <f>BI1295</f>
        <v>0.88738484677570972</v>
      </c>
      <c r="BK1295" s="485"/>
      <c r="BL1295" s="467">
        <f>+BL1296/BL1293</f>
        <v>0.88292468498469645</v>
      </c>
      <c r="BM1295" s="467">
        <f>+BM1296/BM1293</f>
        <v>1</v>
      </c>
      <c r="BN1295" s="467">
        <f>BM1295</f>
        <v>1</v>
      </c>
      <c r="BO1295" s="485"/>
      <c r="BP1295" s="467">
        <f>+BP1296/BP1293</f>
        <v>1</v>
      </c>
      <c r="BQ1295" s="467">
        <f>+BQ1296/BQ1293</f>
        <v>1</v>
      </c>
      <c r="BR1295" s="467">
        <f>BQ1295</f>
        <v>1</v>
      </c>
      <c r="BS1295" s="485"/>
      <c r="BT1295" s="467">
        <f>+BT1296/BT1293</f>
        <v>1</v>
      </c>
      <c r="BU1295" s="467">
        <f>+BU1296/BU1293</f>
        <v>0.6875</v>
      </c>
      <c r="BV1295" s="467">
        <f>BU1295</f>
        <v>0.6875</v>
      </c>
      <c r="BW1295" s="485"/>
      <c r="BX1295" s="467">
        <f>+BX1296/BX1293</f>
        <v>0.68895800933125972</v>
      </c>
      <c r="BY1295" s="467">
        <f>+BY1296/BY1293</f>
        <v>0.68503937007874016</v>
      </c>
      <c r="BZ1295" s="467">
        <f>BY1295</f>
        <v>0.68503937007874016</v>
      </c>
      <c r="CA1295" s="485"/>
      <c r="CB1295" s="467">
        <f>+CB1296/CB1293</f>
        <v>0.68404423380726698</v>
      </c>
      <c r="CC1295" s="467">
        <f>+CC1296/CC1293</f>
        <v>0.6875</v>
      </c>
      <c r="CD1295" s="467">
        <f>CC1295</f>
        <v>0.6875</v>
      </c>
      <c r="CE1295" s="485"/>
      <c r="CF1295" s="467">
        <f>+CF1296/CF1293</f>
        <v>0.69088098918083463</v>
      </c>
      <c r="CG1295" s="467">
        <f>+CG1296/CG1293</f>
        <v>-0.39860139860139859</v>
      </c>
      <c r="CH1295" s="467">
        <f>CG1295</f>
        <v>-0.39860139860139859</v>
      </c>
      <c r="CI1295" s="485"/>
      <c r="CJ1295" s="467">
        <f>+CJ1296/CJ1293</f>
        <v>1</v>
      </c>
      <c r="CK1295" s="467">
        <f>+CK1296/CK1293</f>
        <v>1</v>
      </c>
      <c r="CL1295" s="467">
        <f>CK1295</f>
        <v>1</v>
      </c>
      <c r="CM1295" s="485"/>
      <c r="CN1295" s="467">
        <f>+CN1296/CN1293</f>
        <v>1</v>
      </c>
      <c r="CO1295" s="467">
        <f>+CO1296/CO1293</f>
        <v>1</v>
      </c>
      <c r="CP1295" s="467">
        <f>CO1295</f>
        <v>1</v>
      </c>
      <c r="CQ1295" s="485"/>
      <c r="CR1295" s="467">
        <f>+CR1296/CR1293</f>
        <v>1</v>
      </c>
      <c r="CS1295" s="467">
        <f>IFERROR(CS1296/CS1293,0)</f>
        <v>0</v>
      </c>
      <c r="CT1295" s="467">
        <f>CS1295</f>
        <v>0</v>
      </c>
      <c r="CU1295" s="485"/>
      <c r="CV1295" s="467"/>
      <c r="CW1295" s="467"/>
      <c r="CX1295" s="467"/>
      <c r="CY1295" s="485"/>
      <c r="CZ1295" s="467"/>
      <c r="DA1295" s="467"/>
      <c r="DB1295" s="467"/>
      <c r="DC1295" s="485"/>
      <c r="DD1295" s="467"/>
      <c r="DE1295" s="467"/>
      <c r="DF1295" s="467"/>
      <c r="DG1295" s="485"/>
      <c r="DH1295" s="467"/>
      <c r="DI1295" s="467"/>
      <c r="DJ1295" s="467"/>
      <c r="DK1295" s="485"/>
      <c r="DL1295" s="467"/>
      <c r="DM1295" s="467"/>
      <c r="DN1295" s="467"/>
      <c r="DO1295" s="485"/>
      <c r="DP1295" s="467"/>
      <c r="DQ1295" s="467"/>
      <c r="DR1295" s="467"/>
      <c r="DS1295" s="485"/>
      <c r="DT1295" s="1"/>
      <c r="DU1295" s="1"/>
      <c r="DV1295" s="1"/>
      <c r="DW1295" s="1"/>
      <c r="DX1295" s="1"/>
      <c r="DY1295" s="1"/>
      <c r="DZ1295" s="1"/>
      <c r="EA1295" s="1"/>
      <c r="EB1295" s="1"/>
      <c r="EC1295" s="1"/>
      <c r="ED1295" s="1"/>
      <c r="EE1295" s="1"/>
      <c r="EF1295" s="1"/>
      <c r="EG1295" s="1"/>
      <c r="EH1295" s="1"/>
      <c r="EI1295" s="1"/>
      <c r="EJ1295" s="1"/>
      <c r="EK1295" s="1"/>
      <c r="EL1295" s="1"/>
      <c r="EM1295" s="1"/>
      <c r="EN1295" s="1"/>
      <c r="EO1295" s="1"/>
      <c r="EP1295" s="1"/>
      <c r="EQ1295" s="1"/>
      <c r="ER1295" s="1"/>
      <c r="ES1295" s="1"/>
      <c r="ET1295" s="1"/>
      <c r="EU1295" s="1"/>
      <c r="EV1295" s="1"/>
      <c r="EW1295" s="1"/>
      <c r="EX1295" s="1"/>
      <c r="EY1295" s="1"/>
      <c r="EZ1295" s="1"/>
      <c r="FA1295" s="1"/>
      <c r="FB1295" s="1"/>
      <c r="FC1295" s="1"/>
      <c r="FD1295" s="1"/>
      <c r="FE1295" s="1"/>
      <c r="FF1295" s="1"/>
      <c r="FG1295" s="1"/>
      <c r="FH1295" s="1"/>
      <c r="FI1295" s="1"/>
      <c r="FJ1295" s="1"/>
      <c r="FK1295" s="1"/>
      <c r="FL1295" s="1"/>
      <c r="FM1295" s="1"/>
      <c r="FN1295" s="1"/>
      <c r="FO1295" s="1"/>
      <c r="FP1295" s="1"/>
      <c r="FQ1295" s="1"/>
      <c r="FR1295" s="1"/>
      <c r="FS1295" s="1"/>
      <c r="FT1295" s="1"/>
      <c r="FU1295" s="1"/>
      <c r="FV1295" s="1"/>
      <c r="FW1295" s="1"/>
      <c r="FX1295" s="1"/>
      <c r="FY1295" s="1"/>
      <c r="FZ1295" s="1"/>
      <c r="GA1295" s="1"/>
      <c r="GB1295" s="1"/>
      <c r="GC1295" s="1"/>
      <c r="GD1295" s="1"/>
      <c r="GE1295" s="1"/>
      <c r="GF1295" s="1"/>
      <c r="GG1295" s="1"/>
      <c r="GH1295" s="1"/>
      <c r="GI1295" s="1"/>
      <c r="GJ1295" s="1"/>
      <c r="GK1295" s="1"/>
      <c r="GL1295" s="1"/>
      <c r="GM1295" s="1"/>
      <c r="GN1295" s="1"/>
      <c r="GO1295" s="1"/>
      <c r="GP1295" s="1"/>
      <c r="GQ1295" s="1"/>
      <c r="GR1295" s="1"/>
      <c r="GS1295" s="1"/>
      <c r="GT1295" s="1"/>
      <c r="GU1295" s="1"/>
      <c r="GV1295" s="1"/>
      <c r="GW1295" s="1"/>
      <c r="GX1295" s="1"/>
      <c r="GY1295" s="1"/>
      <c r="GZ1295" s="1"/>
      <c r="HA1295" s="1"/>
      <c r="HB1295" s="1"/>
      <c r="HC1295" s="1"/>
      <c r="HD1295" s="1"/>
      <c r="HE1295" s="1"/>
      <c r="HF1295" s="1"/>
      <c r="HG1295" s="1"/>
      <c r="HH1295" s="1"/>
      <c r="HI1295" s="1"/>
      <c r="HJ1295" s="1"/>
      <c r="HK1295" s="1"/>
      <c r="HL1295" s="1"/>
      <c r="HM1295" s="1"/>
      <c r="HN1295" s="1"/>
      <c r="HO1295" s="1"/>
      <c r="HP1295" s="1"/>
      <c r="HQ1295" s="1"/>
      <c r="HR1295" s="1"/>
      <c r="HS1295" s="1"/>
      <c r="HT1295" s="1"/>
      <c r="HU1295" s="1"/>
      <c r="HV1295" s="1"/>
      <c r="HW1295" s="1"/>
      <c r="HX1295" s="1"/>
      <c r="HY1295" s="1"/>
      <c r="HZ1295" s="1"/>
      <c r="IA1295" s="1"/>
      <c r="IB1295" s="1"/>
      <c r="IC1295" s="1"/>
      <c r="ID1295" s="1"/>
      <c r="IE1295" s="1"/>
      <c r="IF1295" s="1"/>
      <c r="IG1295" s="1"/>
      <c r="IH1295" s="1"/>
      <c r="II1295" s="1"/>
      <c r="IJ1295" s="1"/>
      <c r="IK1295" s="1"/>
      <c r="IL1295" s="1"/>
      <c r="IM1295" s="1"/>
      <c r="IN1295" s="1"/>
      <c r="IO1295" s="1"/>
      <c r="IP1295" s="1"/>
      <c r="IQ1295" s="1"/>
      <c r="IR1295" s="1"/>
      <c r="IS1295" s="1"/>
      <c r="IT1295" s="1"/>
      <c r="IU1295" s="1"/>
      <c r="IV1295" s="1"/>
      <c r="IW1295" s="1"/>
      <c r="IX1295" s="1"/>
      <c r="IY1295" s="1"/>
      <c r="IZ1295" s="1"/>
      <c r="JA1295" s="1"/>
      <c r="JB1295" s="1"/>
      <c r="JC1295" s="1"/>
      <c r="JD1295" s="1"/>
    </row>
    <row r="1296" spans="1:264" s="347" customFormat="1" x14ac:dyDescent="0.2">
      <c r="A1296" s="411" t="s">
        <v>378</v>
      </c>
      <c r="B1296" s="348"/>
      <c r="BH1296" s="396">
        <v>4720</v>
      </c>
      <c r="BI1296" s="397">
        <f>BI1198</f>
        <v>4720</v>
      </c>
      <c r="BJ1296" s="397">
        <f>BI1296</f>
        <v>4720</v>
      </c>
      <c r="BK1296" s="351"/>
      <c r="BL1296" s="397">
        <f>BL1198</f>
        <v>4720</v>
      </c>
      <c r="BM1296" s="397">
        <f>BM1198</f>
        <v>4196</v>
      </c>
      <c r="BN1296" s="397">
        <f>BM1296</f>
        <v>4196</v>
      </c>
      <c r="BO1296" s="351"/>
      <c r="BP1296" s="397">
        <f>BP1198</f>
        <v>3413</v>
      </c>
      <c r="BQ1296" s="397">
        <f>BQ1198</f>
        <v>2749</v>
      </c>
      <c r="BR1296" s="397">
        <f>BQ1296</f>
        <v>2749</v>
      </c>
      <c r="BS1296" s="351"/>
      <c r="BT1296" s="397">
        <f>BT1198</f>
        <v>2756</v>
      </c>
      <c r="BU1296" s="397">
        <f>BU1198</f>
        <v>440</v>
      </c>
      <c r="BV1296" s="397">
        <f>BU1296</f>
        <v>440</v>
      </c>
      <c r="BW1296" s="351"/>
      <c r="BX1296" s="397">
        <f>BX1198</f>
        <v>443</v>
      </c>
      <c r="BY1296" s="397">
        <f>BY1198</f>
        <v>435</v>
      </c>
      <c r="BZ1296" s="397">
        <f>BY1296</f>
        <v>435</v>
      </c>
      <c r="CA1296" s="351"/>
      <c r="CB1296" s="397">
        <f>CB1198</f>
        <v>433</v>
      </c>
      <c r="CC1296" s="397">
        <f>CC1198</f>
        <v>440</v>
      </c>
      <c r="CD1296" s="397">
        <f>CC1296</f>
        <v>440</v>
      </c>
      <c r="CE1296" s="351"/>
      <c r="CF1296" s="397">
        <f>CF1198</f>
        <v>447</v>
      </c>
      <c r="CG1296" s="397">
        <f>CG1198</f>
        <v>-57</v>
      </c>
      <c r="CH1296" s="397">
        <f>CG1296</f>
        <v>-57</v>
      </c>
      <c r="CI1296" s="351"/>
      <c r="CJ1296" s="397">
        <f>CJ1198</f>
        <v>143</v>
      </c>
      <c r="CK1296" s="397">
        <f>CK1198</f>
        <v>146</v>
      </c>
      <c r="CL1296" s="397">
        <f>CK1296</f>
        <v>146</v>
      </c>
      <c r="CM1296" s="351"/>
      <c r="CN1296" s="397">
        <f>CN1198</f>
        <v>130</v>
      </c>
      <c r="CO1296" s="397">
        <f>CO1198</f>
        <v>133</v>
      </c>
      <c r="CP1296" s="397">
        <f>CO1296</f>
        <v>133</v>
      </c>
      <c r="CQ1296" s="351"/>
      <c r="CR1296" s="397">
        <f>CR1198</f>
        <v>138</v>
      </c>
      <c r="CS1296" s="397">
        <f>CS1198</f>
        <v>0</v>
      </c>
      <c r="CT1296" s="397">
        <f>CS1296</f>
        <v>0</v>
      </c>
      <c r="CU1296" s="351"/>
      <c r="CV1296" s="397"/>
      <c r="CW1296" s="397"/>
      <c r="CX1296" s="397"/>
      <c r="CY1296" s="351"/>
      <c r="CZ1296" s="397"/>
      <c r="DA1296" s="397"/>
      <c r="DB1296" s="397"/>
      <c r="DC1296" s="351"/>
      <c r="DD1296" s="397"/>
      <c r="DE1296" s="397"/>
      <c r="DF1296" s="397"/>
      <c r="DG1296" s="351"/>
      <c r="DH1296" s="397"/>
      <c r="DI1296" s="397"/>
      <c r="DJ1296" s="397"/>
      <c r="DK1296" s="351"/>
      <c r="DL1296" s="397"/>
      <c r="DM1296" s="397"/>
      <c r="DN1296" s="397"/>
      <c r="DO1296" s="351"/>
      <c r="DP1296" s="397"/>
      <c r="DQ1296" s="397"/>
      <c r="DR1296" s="397"/>
      <c r="DS1296" s="351"/>
      <c r="DT1296" s="1"/>
      <c r="DU1296" s="1"/>
      <c r="DV1296" s="1"/>
      <c r="DW1296" s="1"/>
      <c r="DX1296" s="1"/>
      <c r="DY1296" s="1"/>
      <c r="DZ1296" s="1"/>
      <c r="EA1296" s="1"/>
      <c r="EB1296" s="1"/>
      <c r="EC1296" s="1"/>
      <c r="ED1296" s="1"/>
      <c r="EE1296" s="1"/>
      <c r="EF1296" s="1"/>
      <c r="EG1296" s="1"/>
      <c r="EH1296" s="1"/>
      <c r="EI1296" s="1"/>
      <c r="EJ1296" s="1"/>
      <c r="EK1296" s="1"/>
      <c r="EL1296" s="1"/>
      <c r="EM1296" s="1"/>
      <c r="EN1296" s="1"/>
      <c r="EO1296" s="1"/>
      <c r="EP1296" s="1"/>
      <c r="EQ1296" s="1"/>
      <c r="ER1296" s="1"/>
      <c r="ES1296" s="1"/>
      <c r="ET1296" s="1"/>
      <c r="EU1296" s="1"/>
      <c r="EV1296" s="1"/>
      <c r="EW1296" s="1"/>
      <c r="EX1296" s="1"/>
      <c r="EY1296" s="1"/>
      <c r="EZ1296" s="1"/>
      <c r="FA1296" s="1"/>
      <c r="FB1296" s="1"/>
      <c r="FC1296" s="1"/>
      <c r="FD1296" s="1"/>
      <c r="FE1296" s="1"/>
      <c r="FF1296" s="1"/>
      <c r="FG1296" s="1"/>
      <c r="FH1296" s="1"/>
      <c r="FI1296" s="1"/>
      <c r="FJ1296" s="1"/>
      <c r="FK1296" s="1"/>
      <c r="FL1296" s="1"/>
      <c r="FM1296" s="1"/>
      <c r="FN1296" s="1"/>
      <c r="FO1296" s="1"/>
      <c r="FP1296" s="1"/>
      <c r="FQ1296" s="1"/>
      <c r="FR1296" s="1"/>
      <c r="FS1296" s="1"/>
      <c r="FT1296" s="1"/>
      <c r="FU1296" s="1"/>
      <c r="FV1296" s="1"/>
      <c r="FW1296" s="1"/>
      <c r="FX1296" s="1"/>
      <c r="FY1296" s="1"/>
      <c r="FZ1296" s="1"/>
      <c r="GA1296" s="1"/>
      <c r="GB1296" s="1"/>
      <c r="GC1296" s="1"/>
      <c r="GD1296" s="1"/>
      <c r="GE1296" s="1"/>
      <c r="GF1296" s="1"/>
      <c r="GG1296" s="1"/>
      <c r="GH1296" s="1"/>
      <c r="GI1296" s="1"/>
      <c r="GJ1296" s="1"/>
      <c r="GK1296" s="1"/>
      <c r="GL1296" s="1"/>
      <c r="GM1296" s="1"/>
      <c r="GN1296" s="1"/>
      <c r="GO1296" s="1"/>
      <c r="GP1296" s="1"/>
      <c r="GQ1296" s="1"/>
      <c r="GR1296" s="1"/>
      <c r="GS1296" s="1"/>
      <c r="GT1296" s="1"/>
      <c r="GU1296" s="1"/>
      <c r="GV1296" s="1"/>
      <c r="GW1296" s="1"/>
      <c r="GX1296" s="1"/>
      <c r="GY1296" s="1"/>
      <c r="GZ1296" s="1"/>
      <c r="HA1296" s="1"/>
      <c r="HB1296" s="1"/>
      <c r="HC1296" s="1"/>
      <c r="HD1296" s="1"/>
      <c r="HE1296" s="1"/>
      <c r="HF1296" s="1"/>
      <c r="HG1296" s="1"/>
      <c r="HH1296" s="1"/>
      <c r="HI1296" s="1"/>
      <c r="HJ1296" s="1"/>
      <c r="HK1296" s="1"/>
      <c r="HL1296" s="1"/>
      <c r="HM1296" s="1"/>
      <c r="HN1296" s="1"/>
      <c r="HO1296" s="1"/>
      <c r="HP1296" s="1"/>
      <c r="HQ1296" s="1"/>
      <c r="HR1296" s="1"/>
      <c r="HS1296" s="1"/>
      <c r="HT1296" s="1"/>
      <c r="HU1296" s="1"/>
      <c r="HV1296" s="1"/>
      <c r="HW1296" s="1"/>
      <c r="HX1296" s="1"/>
      <c r="HY1296" s="1"/>
      <c r="HZ1296" s="1"/>
      <c r="IA1296" s="1"/>
      <c r="IB1296" s="1"/>
      <c r="IC1296" s="1"/>
      <c r="ID1296" s="1"/>
      <c r="IE1296" s="1"/>
      <c r="IF1296" s="1"/>
      <c r="IG1296" s="1"/>
      <c r="IH1296" s="1"/>
      <c r="II1296" s="1"/>
      <c r="IJ1296" s="1"/>
      <c r="IK1296" s="1"/>
      <c r="IL1296" s="1"/>
      <c r="IM1296" s="1"/>
      <c r="IN1296" s="1"/>
      <c r="IO1296" s="1"/>
      <c r="IP1296" s="1"/>
      <c r="IQ1296" s="1"/>
      <c r="IR1296" s="1"/>
      <c r="IS1296" s="1"/>
      <c r="IT1296" s="1"/>
      <c r="IU1296" s="1"/>
      <c r="IV1296" s="1"/>
      <c r="IW1296" s="1"/>
      <c r="IX1296" s="1"/>
      <c r="IY1296" s="1"/>
      <c r="IZ1296" s="1"/>
      <c r="JA1296" s="1"/>
      <c r="JB1296" s="1"/>
      <c r="JC1296" s="1"/>
      <c r="JD1296" s="1"/>
    </row>
    <row r="1297" spans="1:264" s="347" customFormat="1" x14ac:dyDescent="0.2">
      <c r="A1297" s="411"/>
      <c r="B1297" s="348"/>
      <c r="BH1297" s="351"/>
      <c r="BI1297" s="351"/>
      <c r="BJ1297" s="351"/>
      <c r="BK1297" s="351"/>
      <c r="BL1297" s="351"/>
      <c r="BM1297" s="351"/>
      <c r="BN1297" s="351"/>
      <c r="BO1297" s="351"/>
      <c r="BP1297" s="351"/>
      <c r="BQ1297" s="351"/>
      <c r="BS1297" s="351"/>
      <c r="BT1297" s="351"/>
      <c r="BU1297" s="351"/>
      <c r="BV1297" s="351"/>
      <c r="BW1297" s="351"/>
      <c r="BX1297" s="351"/>
      <c r="BY1297" s="351"/>
      <c r="BZ1297" s="351"/>
      <c r="CA1297" s="351"/>
      <c r="CB1297" s="351"/>
      <c r="CC1297" s="351"/>
      <c r="CD1297" s="351"/>
      <c r="CE1297" s="351"/>
      <c r="CF1297" s="351"/>
      <c r="CG1297" s="351"/>
      <c r="CH1297" s="351"/>
      <c r="CI1297" s="351"/>
      <c r="CJ1297" s="351"/>
      <c r="CK1297" s="351"/>
      <c r="CL1297" s="351"/>
      <c r="CM1297" s="351"/>
      <c r="CN1297" s="351"/>
      <c r="CO1297" s="351"/>
      <c r="CP1297" s="351"/>
      <c r="CQ1297" s="351"/>
      <c r="CR1297" s="351"/>
      <c r="CS1297" s="351"/>
      <c r="CT1297" s="351"/>
      <c r="CU1297" s="351"/>
      <c r="CV1297" s="351"/>
      <c r="CW1297" s="351"/>
      <c r="CX1297" s="351"/>
      <c r="CY1297" s="351"/>
      <c r="CZ1297" s="351"/>
      <c r="DA1297" s="351"/>
      <c r="DB1297" s="351"/>
      <c r="DC1297" s="351"/>
      <c r="DD1297" s="351"/>
      <c r="DE1297" s="351"/>
      <c r="DF1297" s="351"/>
      <c r="DG1297" s="351"/>
      <c r="DH1297" s="351"/>
      <c r="DI1297" s="351"/>
      <c r="DJ1297" s="351"/>
      <c r="DK1297" s="351"/>
      <c r="DL1297" s="351"/>
      <c r="DM1297" s="351"/>
      <c r="DN1297" s="351"/>
      <c r="DO1297" s="351"/>
      <c r="DP1297" s="351"/>
      <c r="DQ1297" s="351"/>
      <c r="DR1297" s="351"/>
      <c r="DS1297" s="351"/>
      <c r="DT1297" s="1"/>
      <c r="DU1297" s="1"/>
      <c r="DV1297" s="1"/>
      <c r="DW1297" s="1"/>
      <c r="DX1297" s="1"/>
      <c r="DY1297" s="1"/>
      <c r="DZ1297" s="1"/>
      <c r="EA1297" s="1"/>
      <c r="EB1297" s="1"/>
      <c r="EC1297" s="1"/>
      <c r="ED1297" s="1"/>
      <c r="EE1297" s="1"/>
      <c r="EF1297" s="1"/>
      <c r="EG1297" s="1"/>
      <c r="EH1297" s="1"/>
      <c r="EI1297" s="1"/>
      <c r="EJ1297" s="1"/>
      <c r="EK1297" s="1"/>
      <c r="EL1297" s="1"/>
      <c r="EM1297" s="1"/>
      <c r="EN1297" s="1"/>
      <c r="EO1297" s="1"/>
      <c r="EP1297" s="1"/>
      <c r="EQ1297" s="1"/>
      <c r="ER1297" s="1"/>
      <c r="ES1297" s="1"/>
      <c r="ET1297" s="1"/>
      <c r="EU1297" s="1"/>
      <c r="EV1297" s="1"/>
      <c r="EW1297" s="1"/>
      <c r="EX1297" s="1"/>
      <c r="EY1297" s="1"/>
      <c r="EZ1297" s="1"/>
      <c r="FA1297" s="1"/>
      <c r="FB1297" s="1"/>
      <c r="FC1297" s="1"/>
      <c r="FD1297" s="1"/>
      <c r="FE1297" s="1"/>
      <c r="FF1297" s="1"/>
      <c r="FG1297" s="1"/>
      <c r="FH1297" s="1"/>
      <c r="FI1297" s="1"/>
      <c r="FJ1297" s="1"/>
      <c r="FK1297" s="1"/>
      <c r="FL1297" s="1"/>
      <c r="FM1297" s="1"/>
      <c r="FN1297" s="1"/>
      <c r="FO1297" s="1"/>
      <c r="FP1297" s="1"/>
      <c r="FQ1297" s="1"/>
      <c r="FR1297" s="1"/>
      <c r="FS1297" s="1"/>
      <c r="FT1297" s="1"/>
      <c r="FU1297" s="1"/>
      <c r="FV1297" s="1"/>
      <c r="FW1297" s="1"/>
      <c r="FX1297" s="1"/>
      <c r="FY1297" s="1"/>
      <c r="FZ1297" s="1"/>
      <c r="GA1297" s="1"/>
      <c r="GB1297" s="1"/>
      <c r="GC1297" s="1"/>
      <c r="GD1297" s="1"/>
      <c r="GE1297" s="1"/>
      <c r="GF1297" s="1"/>
      <c r="GG1297" s="1"/>
      <c r="GH1297" s="1"/>
      <c r="GI1297" s="1"/>
      <c r="GJ1297" s="1"/>
      <c r="GK1297" s="1"/>
      <c r="GL1297" s="1"/>
      <c r="GM1297" s="1"/>
      <c r="GN1297" s="1"/>
      <c r="GO1297" s="1"/>
      <c r="GP1297" s="1"/>
      <c r="GQ1297" s="1"/>
      <c r="GR1297" s="1"/>
      <c r="GS1297" s="1"/>
      <c r="GT1297" s="1"/>
      <c r="GU1297" s="1"/>
      <c r="GV1297" s="1"/>
      <c r="GW1297" s="1"/>
      <c r="GX1297" s="1"/>
      <c r="GY1297" s="1"/>
      <c r="GZ1297" s="1"/>
      <c r="HA1297" s="1"/>
      <c r="HB1297" s="1"/>
      <c r="HC1297" s="1"/>
      <c r="HD1297" s="1"/>
      <c r="HE1297" s="1"/>
      <c r="HF1297" s="1"/>
      <c r="HG1297" s="1"/>
      <c r="HH1297" s="1"/>
      <c r="HI1297" s="1"/>
      <c r="HJ1297" s="1"/>
      <c r="HK1297" s="1"/>
      <c r="HL1297" s="1"/>
      <c r="HM1297" s="1"/>
      <c r="HN1297" s="1"/>
      <c r="HO1297" s="1"/>
      <c r="HP1297" s="1"/>
      <c r="HQ1297" s="1"/>
      <c r="HR1297" s="1"/>
      <c r="HS1297" s="1"/>
      <c r="HT1297" s="1"/>
      <c r="HU1297" s="1"/>
      <c r="HV1297" s="1"/>
      <c r="HW1297" s="1"/>
      <c r="HX1297" s="1"/>
      <c r="HY1297" s="1"/>
      <c r="HZ1297" s="1"/>
      <c r="IA1297" s="1"/>
      <c r="IB1297" s="1"/>
      <c r="IC1297" s="1"/>
      <c r="ID1297" s="1"/>
      <c r="IE1297" s="1"/>
      <c r="IF1297" s="1"/>
      <c r="IG1297" s="1"/>
      <c r="IH1297" s="1"/>
      <c r="II1297" s="1"/>
      <c r="IJ1297" s="1"/>
      <c r="IK1297" s="1"/>
      <c r="IL1297" s="1"/>
      <c r="IM1297" s="1"/>
      <c r="IN1297" s="1"/>
      <c r="IO1297" s="1"/>
      <c r="IP1297" s="1"/>
      <c r="IQ1297" s="1"/>
      <c r="IR1297" s="1"/>
      <c r="IS1297" s="1"/>
      <c r="IT1297" s="1"/>
      <c r="IU1297" s="1"/>
      <c r="IV1297" s="1"/>
      <c r="IW1297" s="1"/>
      <c r="IX1297" s="1"/>
      <c r="IY1297" s="1"/>
      <c r="IZ1297" s="1"/>
      <c r="JA1297" s="1"/>
      <c r="JB1297" s="1"/>
      <c r="JC1297" s="1"/>
      <c r="JD1297" s="1"/>
    </row>
    <row r="1298" spans="1:264" s="347" customFormat="1" x14ac:dyDescent="0.2">
      <c r="A1298" s="526" t="s">
        <v>864</v>
      </c>
      <c r="B1298" s="446"/>
      <c r="C1298" s="447"/>
      <c r="D1298" s="447"/>
      <c r="E1298" s="447"/>
      <c r="F1298" s="447"/>
      <c r="G1298" s="447"/>
      <c r="H1298" s="447"/>
      <c r="I1298" s="447"/>
      <c r="J1298" s="447"/>
      <c r="K1298" s="447"/>
      <c r="L1298" s="447"/>
      <c r="M1298" s="447"/>
      <c r="N1298" s="447"/>
      <c r="O1298" s="447"/>
      <c r="P1298" s="447"/>
      <c r="Q1298" s="447"/>
      <c r="R1298" s="447"/>
      <c r="S1298" s="447"/>
      <c r="T1298" s="447"/>
      <c r="U1298" s="447"/>
      <c r="V1298" s="447"/>
      <c r="W1298" s="447"/>
      <c r="X1298" s="447"/>
      <c r="Y1298" s="447"/>
      <c r="Z1298" s="447"/>
      <c r="AA1298" s="447"/>
      <c r="AB1298" s="447"/>
      <c r="AC1298" s="447"/>
      <c r="AD1298" s="447"/>
      <c r="AE1298" s="447"/>
      <c r="AF1298" s="447"/>
      <c r="AG1298" s="447"/>
      <c r="AH1298" s="447"/>
      <c r="AI1298" s="447"/>
      <c r="AJ1298" s="447"/>
      <c r="AK1298" s="447"/>
      <c r="AL1298" s="447"/>
      <c r="AM1298" s="447"/>
      <c r="AN1298" s="447"/>
      <c r="AO1298" s="447"/>
      <c r="AP1298" s="447"/>
      <c r="AQ1298" s="447"/>
      <c r="AR1298" s="447"/>
      <c r="AS1298" s="447"/>
      <c r="AT1298" s="447"/>
      <c r="AU1298" s="447"/>
      <c r="AV1298" s="447"/>
      <c r="AW1298" s="447"/>
      <c r="AX1298" s="447"/>
      <c r="AY1298" s="447"/>
      <c r="AZ1298" s="447"/>
      <c r="BA1298" s="447"/>
      <c r="BB1298" s="447"/>
      <c r="BC1298" s="447"/>
      <c r="BD1298" s="447"/>
      <c r="BE1298" s="447"/>
      <c r="BF1298" s="447"/>
      <c r="BG1298" s="447"/>
      <c r="BH1298" s="449"/>
      <c r="BI1298" s="449"/>
      <c r="BJ1298" s="449"/>
      <c r="BK1298" s="449"/>
      <c r="BL1298" s="449"/>
      <c r="BM1298" s="449"/>
      <c r="BN1298" s="449"/>
      <c r="BO1298" s="449"/>
      <c r="BP1298" s="449"/>
      <c r="BQ1298" s="449"/>
      <c r="BR1298" s="447"/>
      <c r="BS1298" s="449"/>
      <c r="BT1298" s="485">
        <f>BT1198-BT1293</f>
        <v>0</v>
      </c>
      <c r="BU1298" s="485">
        <f>BU1198-BU1293</f>
        <v>-200</v>
      </c>
      <c r="BV1298" s="449">
        <f>BU1298</f>
        <v>-200</v>
      </c>
      <c r="BW1298" s="449"/>
      <c r="BX1298" s="485">
        <f>BX1198-BX1293</f>
        <v>-200</v>
      </c>
      <c r="BY1298" s="485">
        <f>BY1198-BY1293</f>
        <v>-200</v>
      </c>
      <c r="BZ1298" s="449">
        <f>BY1298</f>
        <v>-200</v>
      </c>
      <c r="CA1298" s="449"/>
      <c r="CB1298" s="485">
        <f>CB1198-CB1293</f>
        <v>-200</v>
      </c>
      <c r="CC1298" s="485">
        <f>CC1198-CC1293</f>
        <v>-200</v>
      </c>
      <c r="CD1298" s="449">
        <f>CC1298</f>
        <v>-200</v>
      </c>
      <c r="CE1298" s="449"/>
      <c r="CF1298" s="485">
        <f>CF1198-CF1293</f>
        <v>-200</v>
      </c>
      <c r="CG1298" s="485">
        <f>CG1198-CG1293</f>
        <v>-200</v>
      </c>
      <c r="CH1298" s="485">
        <f>CG1298</f>
        <v>-200</v>
      </c>
      <c r="CI1298" s="485"/>
      <c r="CJ1298" s="485">
        <f>CJ1198-CJ1293</f>
        <v>0</v>
      </c>
      <c r="CK1298" s="485">
        <f>CK1198-CK1293</f>
        <v>0</v>
      </c>
      <c r="CL1298" s="485">
        <f>CK1298</f>
        <v>0</v>
      </c>
      <c r="CM1298" s="485"/>
      <c r="CN1298" s="485">
        <f>CN1198-CN1293</f>
        <v>0</v>
      </c>
      <c r="CO1298" s="485">
        <f>CO1198-CO1293</f>
        <v>0</v>
      </c>
      <c r="CP1298" s="485">
        <f>CO1298</f>
        <v>0</v>
      </c>
      <c r="CQ1298" s="485"/>
      <c r="CR1298" s="485">
        <f>CR1198-CR1293</f>
        <v>0</v>
      </c>
      <c r="CS1298" s="485">
        <f>CS1198-CS1293</f>
        <v>0</v>
      </c>
      <c r="CT1298" s="485">
        <f>CS1298</f>
        <v>0</v>
      </c>
      <c r="CU1298" s="485"/>
      <c r="CV1298" s="485">
        <f>CV1198-CV1293</f>
        <v>0</v>
      </c>
      <c r="CW1298" s="514">
        <f>CV1298</f>
        <v>0</v>
      </c>
      <c r="CX1298" s="485">
        <f>CW1298</f>
        <v>0</v>
      </c>
      <c r="CY1298" s="485"/>
      <c r="CZ1298" s="485">
        <f>CZ1198-CZ1293</f>
        <v>0</v>
      </c>
      <c r="DA1298" s="514">
        <f>CZ1298</f>
        <v>0</v>
      </c>
      <c r="DB1298" s="485">
        <f>DA1298</f>
        <v>0</v>
      </c>
      <c r="DC1298" s="485"/>
      <c r="DD1298" s="485">
        <f>DD1198-DD1293</f>
        <v>0</v>
      </c>
      <c r="DE1298" s="514">
        <f>DD1298</f>
        <v>0</v>
      </c>
      <c r="DF1298" s="485">
        <f>DE1298</f>
        <v>0</v>
      </c>
      <c r="DG1298" s="485"/>
      <c r="DH1298" s="485">
        <f>DH1198-DH1293</f>
        <v>0</v>
      </c>
      <c r="DI1298" s="514">
        <f>DH1298</f>
        <v>0</v>
      </c>
      <c r="DJ1298" s="485">
        <f>DI1298</f>
        <v>0</v>
      </c>
      <c r="DK1298" s="485"/>
      <c r="DL1298" s="514">
        <f>DI1298</f>
        <v>0</v>
      </c>
      <c r="DM1298" s="514">
        <f>DL1298</f>
        <v>0</v>
      </c>
      <c r="DN1298" s="485">
        <f>DM1298</f>
        <v>0</v>
      </c>
      <c r="DO1298" s="485"/>
      <c r="DP1298" s="514">
        <f>DM1298</f>
        <v>0</v>
      </c>
      <c r="DQ1298" s="514">
        <f>DP1298</f>
        <v>0</v>
      </c>
      <c r="DR1298" s="485">
        <f>DQ1298</f>
        <v>0</v>
      </c>
      <c r="DS1298" s="485"/>
      <c r="DT1298" s="1"/>
      <c r="DU1298" s="1"/>
      <c r="DV1298" s="1"/>
      <c r="DW1298" s="1"/>
      <c r="DX1298" s="1"/>
      <c r="DY1298" s="1"/>
      <c r="DZ1298" s="1"/>
      <c r="EA1298" s="1"/>
      <c r="EB1298" s="1"/>
      <c r="EC1298" s="1"/>
      <c r="ED1298" s="1"/>
      <c r="EE1298" s="1"/>
      <c r="EF1298" s="1"/>
      <c r="EG1298" s="1"/>
      <c r="EH1298" s="1"/>
      <c r="EI1298" s="1"/>
      <c r="EJ1298" s="1"/>
      <c r="EK1298" s="1"/>
      <c r="EL1298" s="1"/>
      <c r="EM1298" s="1"/>
      <c r="EN1298" s="1"/>
      <c r="EO1298" s="1"/>
      <c r="EP1298" s="1"/>
      <c r="EQ1298" s="1"/>
      <c r="ER1298" s="1"/>
      <c r="ES1298" s="1"/>
      <c r="ET1298" s="1"/>
      <c r="EU1298" s="1"/>
      <c r="EV1298" s="1"/>
      <c r="EW1298" s="1"/>
      <c r="EX1298" s="1"/>
      <c r="EY1298" s="1"/>
      <c r="EZ1298" s="1"/>
      <c r="FA1298" s="1"/>
      <c r="FB1298" s="1"/>
      <c r="FC1298" s="1"/>
      <c r="FD1298" s="1"/>
      <c r="FE1298" s="1"/>
      <c r="FF1298" s="1"/>
      <c r="FG1298" s="1"/>
      <c r="FH1298" s="1"/>
      <c r="FI1298" s="1"/>
      <c r="FJ1298" s="1"/>
      <c r="FK1298" s="1"/>
      <c r="FL1298" s="1"/>
      <c r="FM1298" s="1"/>
      <c r="FN1298" s="1"/>
      <c r="FO1298" s="1"/>
      <c r="FP1298" s="1"/>
      <c r="FQ1298" s="1"/>
      <c r="FR1298" s="1"/>
      <c r="FS1298" s="1"/>
      <c r="FT1298" s="1"/>
      <c r="FU1298" s="1"/>
      <c r="FV1298" s="1"/>
      <c r="FW1298" s="1"/>
      <c r="FX1298" s="1"/>
      <c r="FY1298" s="1"/>
      <c r="FZ1298" s="1"/>
      <c r="GA1298" s="1"/>
      <c r="GB1298" s="1"/>
      <c r="GC1298" s="1"/>
      <c r="GD1298" s="1"/>
      <c r="GE1298" s="1"/>
      <c r="GF1298" s="1"/>
      <c r="GG1298" s="1"/>
      <c r="GH1298" s="1"/>
      <c r="GI1298" s="1"/>
      <c r="GJ1298" s="1"/>
      <c r="GK1298" s="1"/>
      <c r="GL1298" s="1"/>
      <c r="GM1298" s="1"/>
      <c r="GN1298" s="1"/>
      <c r="GO1298" s="1"/>
      <c r="GP1298" s="1"/>
      <c r="GQ1298" s="1"/>
      <c r="GR1298" s="1"/>
      <c r="GS1298" s="1"/>
      <c r="GT1298" s="1"/>
      <c r="GU1298" s="1"/>
      <c r="GV1298" s="1"/>
      <c r="GW1298" s="1"/>
      <c r="GX1298" s="1"/>
      <c r="GY1298" s="1"/>
      <c r="GZ1298" s="1"/>
      <c r="HA1298" s="1"/>
      <c r="HB1298" s="1"/>
      <c r="HC1298" s="1"/>
      <c r="HD1298" s="1"/>
      <c r="HE1298" s="1"/>
      <c r="HF1298" s="1"/>
      <c r="HG1298" s="1"/>
      <c r="HH1298" s="1"/>
      <c r="HI1298" s="1"/>
      <c r="HJ1298" s="1"/>
      <c r="HK1298" s="1"/>
      <c r="HL1298" s="1"/>
      <c r="HM1298" s="1"/>
      <c r="HN1298" s="1"/>
      <c r="HO1298" s="1"/>
      <c r="HP1298" s="1"/>
      <c r="HQ1298" s="1"/>
      <c r="HR1298" s="1"/>
      <c r="HS1298" s="1"/>
      <c r="HT1298" s="1"/>
      <c r="HU1298" s="1"/>
      <c r="HV1298" s="1"/>
      <c r="HW1298" s="1"/>
      <c r="HX1298" s="1"/>
      <c r="HY1298" s="1"/>
      <c r="HZ1298" s="1"/>
      <c r="IA1298" s="1"/>
      <c r="IB1298" s="1"/>
      <c r="IC1298" s="1"/>
      <c r="ID1298" s="1"/>
      <c r="IE1298" s="1"/>
      <c r="IF1298" s="1"/>
      <c r="IG1298" s="1"/>
      <c r="IH1298" s="1"/>
      <c r="II1298" s="1"/>
      <c r="IJ1298" s="1"/>
      <c r="IK1298" s="1"/>
      <c r="IL1298" s="1"/>
      <c r="IM1298" s="1"/>
      <c r="IN1298" s="1"/>
      <c r="IO1298" s="1"/>
      <c r="IP1298" s="1"/>
      <c r="IQ1298" s="1"/>
      <c r="IR1298" s="1"/>
      <c r="IS1298" s="1"/>
      <c r="IT1298" s="1"/>
      <c r="IU1298" s="1"/>
      <c r="IV1298" s="1"/>
      <c r="IW1298" s="1"/>
      <c r="IX1298" s="1"/>
      <c r="IY1298" s="1"/>
      <c r="IZ1298" s="1"/>
      <c r="JA1298" s="1"/>
      <c r="JB1298" s="1"/>
      <c r="JC1298" s="1"/>
      <c r="JD1298" s="1"/>
    </row>
    <row r="1299" spans="1:264" s="347" customFormat="1" x14ac:dyDescent="0.2">
      <c r="A1299" s="411"/>
      <c r="B1299" s="348"/>
      <c r="BH1299" s="351"/>
      <c r="BI1299" s="351"/>
      <c r="BJ1299" s="351"/>
      <c r="BK1299" s="351"/>
      <c r="BL1299" s="351"/>
      <c r="BM1299" s="351"/>
      <c r="BN1299" s="351"/>
      <c r="BO1299" s="351"/>
      <c r="BP1299" s="351"/>
      <c r="BQ1299" s="351"/>
      <c r="BS1299" s="351"/>
      <c r="BT1299" s="351"/>
      <c r="BU1299" s="351"/>
      <c r="BV1299" s="351"/>
      <c r="BW1299" s="351"/>
      <c r="BX1299" s="351"/>
      <c r="BY1299" s="351"/>
      <c r="BZ1299" s="351"/>
      <c r="CA1299" s="351"/>
      <c r="CB1299" s="351"/>
      <c r="CC1299" s="351"/>
      <c r="CD1299" s="351"/>
      <c r="CE1299" s="351"/>
      <c r="CF1299" s="351"/>
      <c r="CG1299" s="351"/>
      <c r="CH1299" s="351"/>
      <c r="CI1299" s="351"/>
      <c r="CJ1299" s="351"/>
      <c r="CK1299" s="351"/>
      <c r="CL1299" s="351"/>
      <c r="CM1299" s="351"/>
      <c r="CN1299" s="351"/>
      <c r="CO1299" s="351"/>
      <c r="CP1299" s="351"/>
      <c r="CQ1299" s="351"/>
      <c r="CR1299" s="351"/>
      <c r="CS1299" s="351"/>
      <c r="CT1299" s="351"/>
      <c r="CU1299" s="351"/>
      <c r="CV1299" s="351"/>
      <c r="CW1299" s="351"/>
      <c r="CX1299" s="351"/>
      <c r="CY1299" s="351"/>
      <c r="CZ1299" s="351"/>
      <c r="DA1299" s="351"/>
      <c r="DB1299" s="351"/>
      <c r="DC1299" s="351"/>
      <c r="DD1299" s="351"/>
      <c r="DE1299" s="351"/>
      <c r="DF1299" s="351"/>
      <c r="DG1299" s="351"/>
      <c r="DH1299" s="351"/>
      <c r="DI1299" s="351"/>
      <c r="DJ1299" s="351"/>
      <c r="DK1299" s="351"/>
      <c r="DL1299" s="351"/>
      <c r="DM1299" s="351"/>
      <c r="DN1299" s="351"/>
      <c r="DO1299" s="351"/>
      <c r="DP1299" s="351"/>
      <c r="DQ1299" s="351"/>
      <c r="DR1299" s="351"/>
      <c r="DS1299" s="351"/>
      <c r="DT1299" s="1"/>
      <c r="DU1299" s="1"/>
      <c r="DV1299" s="1"/>
      <c r="DW1299" s="1"/>
      <c r="DX1299" s="1"/>
      <c r="DY1299" s="1"/>
      <c r="DZ1299" s="1"/>
      <c r="EA1299" s="1"/>
      <c r="EB1299" s="1"/>
      <c r="EC1299" s="1"/>
      <c r="ED1299" s="1"/>
      <c r="EE1299" s="1"/>
      <c r="EF1299" s="1"/>
      <c r="EG1299" s="1"/>
      <c r="EH1299" s="1"/>
      <c r="EI1299" s="1"/>
      <c r="EJ1299" s="1"/>
      <c r="EK1299" s="1"/>
      <c r="EL1299" s="1"/>
      <c r="EM1299" s="1"/>
      <c r="EN1299" s="1"/>
      <c r="EO1299" s="1"/>
      <c r="EP1299" s="1"/>
      <c r="EQ1299" s="1"/>
      <c r="ER1299" s="1"/>
      <c r="ES1299" s="1"/>
      <c r="ET1299" s="1"/>
      <c r="EU1299" s="1"/>
      <c r="EV1299" s="1"/>
      <c r="EW1299" s="1"/>
      <c r="EX1299" s="1"/>
      <c r="EY1299" s="1"/>
      <c r="EZ1299" s="1"/>
      <c r="FA1299" s="1"/>
      <c r="FB1299" s="1"/>
      <c r="FC1299" s="1"/>
      <c r="FD1299" s="1"/>
      <c r="FE1299" s="1"/>
      <c r="FF1299" s="1"/>
      <c r="FG1299" s="1"/>
      <c r="FH1299" s="1"/>
      <c r="FI1299" s="1"/>
      <c r="FJ1299" s="1"/>
      <c r="FK1299" s="1"/>
      <c r="FL1299" s="1"/>
      <c r="FM1299" s="1"/>
      <c r="FN1299" s="1"/>
      <c r="FO1299" s="1"/>
      <c r="FP1299" s="1"/>
      <c r="FQ1299" s="1"/>
      <c r="FR1299" s="1"/>
      <c r="FS1299" s="1"/>
      <c r="FT1299" s="1"/>
      <c r="FU1299" s="1"/>
      <c r="FV1299" s="1"/>
      <c r="FW1299" s="1"/>
      <c r="FX1299" s="1"/>
      <c r="FY1299" s="1"/>
      <c r="FZ1299" s="1"/>
      <c r="GA1299" s="1"/>
      <c r="GB1299" s="1"/>
      <c r="GC1299" s="1"/>
      <c r="GD1299" s="1"/>
      <c r="GE1299" s="1"/>
      <c r="GF1299" s="1"/>
      <c r="GG1299" s="1"/>
      <c r="GH1299" s="1"/>
      <c r="GI1299" s="1"/>
      <c r="GJ1299" s="1"/>
      <c r="GK1299" s="1"/>
      <c r="GL1299" s="1"/>
      <c r="GM1299" s="1"/>
      <c r="GN1299" s="1"/>
      <c r="GO1299" s="1"/>
      <c r="GP1299" s="1"/>
      <c r="GQ1299" s="1"/>
      <c r="GR1299" s="1"/>
      <c r="GS1299" s="1"/>
      <c r="GT1299" s="1"/>
      <c r="GU1299" s="1"/>
      <c r="GV1299" s="1"/>
      <c r="GW1299" s="1"/>
      <c r="GX1299" s="1"/>
      <c r="GY1299" s="1"/>
      <c r="GZ1299" s="1"/>
      <c r="HA1299" s="1"/>
      <c r="HB1299" s="1"/>
      <c r="HC1299" s="1"/>
      <c r="HD1299" s="1"/>
      <c r="HE1299" s="1"/>
      <c r="HF1299" s="1"/>
      <c r="HG1299" s="1"/>
      <c r="HH1299" s="1"/>
      <c r="HI1299" s="1"/>
      <c r="HJ1299" s="1"/>
      <c r="HK1299" s="1"/>
      <c r="HL1299" s="1"/>
      <c r="HM1299" s="1"/>
      <c r="HN1299" s="1"/>
      <c r="HO1299" s="1"/>
      <c r="HP1299" s="1"/>
      <c r="HQ1299" s="1"/>
      <c r="HR1299" s="1"/>
      <c r="HS1299" s="1"/>
      <c r="HT1299" s="1"/>
      <c r="HU1299" s="1"/>
      <c r="HV1299" s="1"/>
      <c r="HW1299" s="1"/>
      <c r="HX1299" s="1"/>
      <c r="HY1299" s="1"/>
      <c r="HZ1299" s="1"/>
      <c r="IA1299" s="1"/>
      <c r="IB1299" s="1"/>
      <c r="IC1299" s="1"/>
      <c r="ID1299" s="1"/>
      <c r="IE1299" s="1"/>
      <c r="IF1299" s="1"/>
      <c r="IG1299" s="1"/>
      <c r="IH1299" s="1"/>
      <c r="II1299" s="1"/>
      <c r="IJ1299" s="1"/>
      <c r="IK1299" s="1"/>
      <c r="IL1299" s="1"/>
      <c r="IM1299" s="1"/>
      <c r="IN1299" s="1"/>
      <c r="IO1299" s="1"/>
      <c r="IP1299" s="1"/>
      <c r="IQ1299" s="1"/>
      <c r="IR1299" s="1"/>
      <c r="IS1299" s="1"/>
      <c r="IT1299" s="1"/>
      <c r="IU1299" s="1"/>
      <c r="IV1299" s="1"/>
      <c r="IW1299" s="1"/>
      <c r="IX1299" s="1"/>
      <c r="IY1299" s="1"/>
      <c r="IZ1299" s="1"/>
      <c r="JA1299" s="1"/>
      <c r="JB1299" s="1"/>
      <c r="JC1299" s="1"/>
      <c r="JD1299" s="1"/>
    </row>
    <row r="1300" spans="1:264" s="347" customFormat="1" x14ac:dyDescent="0.2">
      <c r="B1300" s="348"/>
      <c r="BH1300" s="351"/>
      <c r="BI1300" s="351"/>
      <c r="BJ1300" s="351"/>
      <c r="BK1300" s="351"/>
      <c r="BL1300" s="351"/>
      <c r="BM1300" s="351"/>
      <c r="BN1300" s="351"/>
      <c r="BO1300" s="351"/>
      <c r="BP1300" s="351"/>
      <c r="BQ1300" s="351"/>
      <c r="BS1300" s="351"/>
      <c r="BT1300" s="351"/>
      <c r="BU1300" s="351"/>
      <c r="BV1300" s="351"/>
      <c r="BW1300" s="351"/>
      <c r="BX1300" s="351"/>
      <c r="BY1300" s="351"/>
      <c r="BZ1300" s="351"/>
      <c r="CA1300" s="351"/>
      <c r="CB1300" s="351"/>
      <c r="CC1300" s="351"/>
      <c r="CD1300" s="351"/>
      <c r="CE1300" s="351"/>
      <c r="CF1300" s="351"/>
      <c r="CG1300" s="351"/>
      <c r="CH1300" s="351"/>
      <c r="CI1300" s="351"/>
      <c r="CJ1300" s="351"/>
      <c r="CK1300" s="351"/>
      <c r="CL1300" s="351"/>
      <c r="CM1300" s="351"/>
      <c r="CN1300" s="351"/>
      <c r="CO1300" s="351"/>
      <c r="CP1300" s="351"/>
      <c r="CQ1300" s="351"/>
      <c r="CR1300" s="351"/>
      <c r="CS1300" s="351"/>
      <c r="CT1300" s="351"/>
      <c r="CU1300" s="351"/>
      <c r="CV1300" s="351"/>
      <c r="CW1300" s="351"/>
      <c r="CX1300" s="351"/>
      <c r="CY1300" s="351"/>
      <c r="CZ1300" s="351"/>
      <c r="DA1300" s="351"/>
      <c r="DB1300" s="351"/>
      <c r="DC1300" s="351"/>
      <c r="DD1300" s="351"/>
      <c r="DE1300" s="351"/>
      <c r="DF1300" s="351"/>
      <c r="DG1300" s="351"/>
      <c r="DH1300" s="351"/>
      <c r="DI1300" s="351"/>
      <c r="DJ1300" s="351"/>
      <c r="DK1300" s="351"/>
      <c r="DL1300" s="351"/>
      <c r="DM1300" s="351"/>
      <c r="DN1300" s="351"/>
      <c r="DO1300" s="351"/>
      <c r="DP1300" s="351"/>
      <c r="DQ1300" s="351"/>
      <c r="DR1300" s="351"/>
      <c r="DS1300" s="351"/>
      <c r="DT1300" s="1"/>
      <c r="DU1300" s="1"/>
      <c r="DV1300" s="1"/>
      <c r="DW1300" s="1"/>
      <c r="DX1300" s="1"/>
      <c r="DY1300" s="1"/>
      <c r="DZ1300" s="1"/>
      <c r="EA1300" s="1"/>
      <c r="EB1300" s="1"/>
      <c r="EC1300" s="1"/>
      <c r="ED1300" s="1"/>
      <c r="EE1300" s="1"/>
      <c r="EF1300" s="1"/>
      <c r="EG1300" s="1"/>
      <c r="EH1300" s="1"/>
      <c r="EI1300" s="1"/>
      <c r="EJ1300" s="1"/>
      <c r="EK1300" s="1"/>
      <c r="EL1300" s="1"/>
      <c r="EM1300" s="1"/>
      <c r="EN1300" s="1"/>
      <c r="EO1300" s="1"/>
      <c r="EP1300" s="1"/>
      <c r="EQ1300" s="1"/>
      <c r="ER1300" s="1"/>
      <c r="ES1300" s="1"/>
      <c r="ET1300" s="1"/>
      <c r="EU1300" s="1"/>
      <c r="EV1300" s="1"/>
      <c r="EW1300" s="1"/>
      <c r="EX1300" s="1"/>
      <c r="EY1300" s="1"/>
      <c r="EZ1300" s="1"/>
      <c r="FA1300" s="1"/>
      <c r="FB1300" s="1"/>
      <c r="FC1300" s="1"/>
      <c r="FD1300" s="1"/>
      <c r="FE1300" s="1"/>
      <c r="FF1300" s="1"/>
      <c r="FG1300" s="1"/>
      <c r="FH1300" s="1"/>
      <c r="FI1300" s="1"/>
      <c r="FJ1300" s="1"/>
      <c r="FK1300" s="1"/>
      <c r="FL1300" s="1"/>
      <c r="FM1300" s="1"/>
      <c r="FN1300" s="1"/>
      <c r="FO1300" s="1"/>
      <c r="FP1300" s="1"/>
      <c r="FQ1300" s="1"/>
      <c r="FR1300" s="1"/>
      <c r="FS1300" s="1"/>
      <c r="FT1300" s="1"/>
      <c r="FU1300" s="1"/>
      <c r="FV1300" s="1"/>
      <c r="FW1300" s="1"/>
      <c r="FX1300" s="1"/>
      <c r="FY1300" s="1"/>
      <c r="FZ1300" s="1"/>
      <c r="GA1300" s="1"/>
      <c r="GB1300" s="1"/>
      <c r="GC1300" s="1"/>
      <c r="GD1300" s="1"/>
      <c r="GE1300" s="1"/>
      <c r="GF1300" s="1"/>
      <c r="GG1300" s="1"/>
      <c r="GH1300" s="1"/>
      <c r="GI1300" s="1"/>
      <c r="GJ1300" s="1"/>
      <c r="GK1300" s="1"/>
      <c r="GL1300" s="1"/>
      <c r="GM1300" s="1"/>
      <c r="GN1300" s="1"/>
      <c r="GO1300" s="1"/>
      <c r="GP1300" s="1"/>
      <c r="GQ1300" s="1"/>
      <c r="GR1300" s="1"/>
      <c r="GS1300" s="1"/>
      <c r="GT1300" s="1"/>
      <c r="GU1300" s="1"/>
      <c r="GV1300" s="1"/>
      <c r="GW1300" s="1"/>
      <c r="GX1300" s="1"/>
      <c r="GY1300" s="1"/>
      <c r="GZ1300" s="1"/>
      <c r="HA1300" s="1"/>
      <c r="HB1300" s="1"/>
      <c r="HC1300" s="1"/>
      <c r="HD1300" s="1"/>
      <c r="HE1300" s="1"/>
      <c r="HF1300" s="1"/>
      <c r="HG1300" s="1"/>
      <c r="HH1300" s="1"/>
      <c r="HI1300" s="1"/>
      <c r="HJ1300" s="1"/>
      <c r="HK1300" s="1"/>
      <c r="HL1300" s="1"/>
      <c r="HM1300" s="1"/>
      <c r="HN1300" s="1"/>
      <c r="HO1300" s="1"/>
      <c r="HP1300" s="1"/>
      <c r="HQ1300" s="1"/>
      <c r="HR1300" s="1"/>
      <c r="HS1300" s="1"/>
      <c r="HT1300" s="1"/>
      <c r="HU1300" s="1"/>
      <c r="HV1300" s="1"/>
      <c r="HW1300" s="1"/>
      <c r="HX1300" s="1"/>
      <c r="HY1300" s="1"/>
      <c r="HZ1300" s="1"/>
      <c r="IA1300" s="1"/>
      <c r="IB1300" s="1"/>
      <c r="IC1300" s="1"/>
      <c r="ID1300" s="1"/>
      <c r="IE1300" s="1"/>
      <c r="IF1300" s="1"/>
      <c r="IG1300" s="1"/>
      <c r="IH1300" s="1"/>
      <c r="II1300" s="1"/>
      <c r="IJ1300" s="1"/>
      <c r="IK1300" s="1"/>
      <c r="IL1300" s="1"/>
      <c r="IM1300" s="1"/>
      <c r="IN1300" s="1"/>
      <c r="IO1300" s="1"/>
      <c r="IP1300" s="1"/>
      <c r="IQ1300" s="1"/>
      <c r="IR1300" s="1"/>
      <c r="IS1300" s="1"/>
      <c r="IT1300" s="1"/>
      <c r="IU1300" s="1"/>
      <c r="IV1300" s="1"/>
      <c r="IW1300" s="1"/>
      <c r="IX1300" s="1"/>
      <c r="IY1300" s="1"/>
      <c r="IZ1300" s="1"/>
      <c r="JA1300" s="1"/>
      <c r="JB1300" s="1"/>
      <c r="JC1300" s="1"/>
      <c r="JD1300" s="1"/>
    </row>
    <row r="1301" spans="1:264" s="347" customFormat="1" x14ac:dyDescent="0.2">
      <c r="A1301" s="347" t="s">
        <v>865</v>
      </c>
      <c r="B1301" s="348"/>
      <c r="BH1301" s="351"/>
      <c r="BI1301" s="351"/>
      <c r="BJ1301" s="351"/>
      <c r="BK1301" s="351"/>
      <c r="BL1301" s="351"/>
      <c r="BM1301" s="351"/>
      <c r="BN1301" s="351"/>
      <c r="BO1301" s="351"/>
      <c r="BP1301" s="351"/>
      <c r="BQ1301" s="351"/>
      <c r="BS1301" s="351"/>
      <c r="BT1301" s="351"/>
      <c r="BU1301" s="351"/>
      <c r="BV1301" s="351"/>
      <c r="BW1301" s="351"/>
      <c r="BX1301" s="351"/>
      <c r="BY1301" s="351"/>
      <c r="BZ1301" s="351"/>
      <c r="CA1301" s="351"/>
      <c r="CB1301" s="351"/>
      <c r="CC1301" s="351"/>
      <c r="CD1301" s="351"/>
      <c r="CE1301" s="351"/>
      <c r="CF1301" s="398">
        <v>12932</v>
      </c>
      <c r="CG1301" s="398">
        <v>12750</v>
      </c>
      <c r="CH1301" s="351">
        <f>CG1301</f>
        <v>12750</v>
      </c>
      <c r="CI1301" s="351"/>
      <c r="CJ1301" s="398">
        <v>14735</v>
      </c>
      <c r="CK1301" s="398">
        <v>16429</v>
      </c>
      <c r="CL1301" s="351">
        <f>CK1301</f>
        <v>16429</v>
      </c>
      <c r="CM1301" s="351"/>
      <c r="CN1301" s="398">
        <v>17822</v>
      </c>
      <c r="CO1301" s="398">
        <v>18472</v>
      </c>
      <c r="CP1301" s="351">
        <f>CO1301</f>
        <v>18472</v>
      </c>
      <c r="CQ1301" s="489"/>
      <c r="CR1301" s="398">
        <v>18928</v>
      </c>
      <c r="CS1301" s="398">
        <v>19992</v>
      </c>
      <c r="CT1301" s="351">
        <f>CS1301</f>
        <v>19992</v>
      </c>
      <c r="CU1301" s="351"/>
      <c r="CV1301" s="398">
        <v>22889</v>
      </c>
      <c r="CW1301" s="398">
        <v>26009</v>
      </c>
      <c r="CX1301" s="351">
        <f>CW1301</f>
        <v>26009</v>
      </c>
      <c r="CY1301" s="351"/>
      <c r="CZ1301" s="398">
        <v>27147</v>
      </c>
      <c r="DA1301" s="398">
        <v>29179</v>
      </c>
      <c r="DB1301" s="351">
        <f>DA1301</f>
        <v>29179</v>
      </c>
      <c r="DC1301" s="351"/>
      <c r="DD1301" s="398">
        <v>29925</v>
      </c>
      <c r="DE1301" s="398">
        <v>33079</v>
      </c>
      <c r="DF1301" s="351">
        <f>DE1301</f>
        <v>33079</v>
      </c>
      <c r="DG1301" s="351"/>
      <c r="DH1301" s="398">
        <v>32790</v>
      </c>
      <c r="DI1301" s="351">
        <f ca="1">+DI1160*DI1310</f>
        <v>33913.187132472718</v>
      </c>
      <c r="DJ1301" s="351">
        <f ca="1">DI1301</f>
        <v>33913.187132472718</v>
      </c>
      <c r="DK1301" s="351"/>
      <c r="DL1301" s="351">
        <f ca="1">+DL1160*DL1310</f>
        <v>33513.184407122011</v>
      </c>
      <c r="DM1301" s="351">
        <f ca="1">+DM1160*DM1310</f>
        <v>35984.843648530063</v>
      </c>
      <c r="DN1301" s="351">
        <f ca="1">DM1301</f>
        <v>35984.843648530063</v>
      </c>
      <c r="DO1301" s="351"/>
      <c r="DP1301" s="351">
        <f ca="1">+DP1160*DP1310</f>
        <v>35392.916215194389</v>
      </c>
      <c r="DQ1301" s="351">
        <f ca="1">+DQ1160*DQ1310</f>
        <v>37761.158191977534</v>
      </c>
      <c r="DR1301" s="351">
        <f ca="1">DQ1301</f>
        <v>37761.158191977534</v>
      </c>
      <c r="DS1301" s="351"/>
      <c r="DT1301" s="1"/>
      <c r="DU1301" s="1"/>
      <c r="DV1301" s="1"/>
      <c r="DW1301" s="1"/>
      <c r="DX1301" s="1"/>
      <c r="DY1301" s="1"/>
      <c r="DZ1301" s="1"/>
      <c r="EA1301" s="1"/>
      <c r="EB1301" s="1"/>
      <c r="EC1301" s="1"/>
      <c r="ED1301" s="1"/>
      <c r="EE1301" s="1"/>
      <c r="EF1301" s="1"/>
      <c r="EG1301" s="1"/>
      <c r="EH1301" s="1"/>
      <c r="EI1301" s="1"/>
      <c r="EJ1301" s="1"/>
      <c r="EK1301" s="1"/>
      <c r="EL1301" s="1"/>
      <c r="EM1301" s="1"/>
      <c r="EN1301" s="1"/>
      <c r="EO1301" s="1"/>
      <c r="EP1301" s="1"/>
      <c r="EQ1301" s="1"/>
      <c r="ER1301" s="1"/>
      <c r="ES1301" s="1"/>
      <c r="ET1301" s="1"/>
      <c r="EU1301" s="1"/>
      <c r="EV1301" s="1"/>
      <c r="EW1301" s="1"/>
      <c r="EX1301" s="1"/>
      <c r="EY1301" s="1"/>
      <c r="EZ1301" s="1"/>
      <c r="FA1301" s="1"/>
      <c r="FB1301" s="1"/>
      <c r="FC1301" s="1"/>
      <c r="FD1301" s="1"/>
      <c r="FE1301" s="1"/>
      <c r="FF1301" s="1"/>
      <c r="FG1301" s="1"/>
      <c r="FH1301" s="1"/>
      <c r="FI1301" s="1"/>
      <c r="FJ1301" s="1"/>
      <c r="FK1301" s="1"/>
      <c r="FL1301" s="1"/>
      <c r="FM1301" s="1"/>
      <c r="FN1301" s="1"/>
      <c r="FO1301" s="1"/>
      <c r="FP1301" s="1"/>
      <c r="FQ1301" s="1"/>
      <c r="FR1301" s="1"/>
      <c r="FS1301" s="1"/>
      <c r="FT1301" s="1"/>
      <c r="FU1301" s="1"/>
      <c r="FV1301" s="1"/>
      <c r="FW1301" s="1"/>
      <c r="FX1301" s="1"/>
      <c r="FY1301" s="1"/>
      <c r="FZ1301" s="1"/>
      <c r="GA1301" s="1"/>
      <c r="GB1301" s="1"/>
      <c r="GC1301" s="1"/>
      <c r="GD1301" s="1"/>
      <c r="GE1301" s="1"/>
      <c r="GF1301" s="1"/>
      <c r="GG1301" s="1"/>
      <c r="GH1301" s="1"/>
      <c r="GI1301" s="1"/>
      <c r="GJ1301" s="1"/>
      <c r="GK1301" s="1"/>
      <c r="GL1301" s="1"/>
      <c r="GM1301" s="1"/>
      <c r="GN1301" s="1"/>
      <c r="GO1301" s="1"/>
      <c r="GP1301" s="1"/>
      <c r="GQ1301" s="1"/>
      <c r="GR1301" s="1"/>
      <c r="GS1301" s="1"/>
      <c r="GT1301" s="1"/>
      <c r="GU1301" s="1"/>
      <c r="GV1301" s="1"/>
      <c r="GW1301" s="1"/>
      <c r="GX1301" s="1"/>
      <c r="GY1301" s="1"/>
      <c r="GZ1301" s="1"/>
      <c r="HA1301" s="1"/>
      <c r="HB1301" s="1"/>
      <c r="HC1301" s="1"/>
      <c r="HD1301" s="1"/>
      <c r="HE1301" s="1"/>
      <c r="HF1301" s="1"/>
      <c r="HG1301" s="1"/>
      <c r="HH1301" s="1"/>
      <c r="HI1301" s="1"/>
      <c r="HJ1301" s="1"/>
      <c r="HK1301" s="1"/>
      <c r="HL1301" s="1"/>
      <c r="HM1301" s="1"/>
      <c r="HN1301" s="1"/>
      <c r="HO1301" s="1"/>
      <c r="HP1301" s="1"/>
      <c r="HQ1301" s="1"/>
      <c r="HR1301" s="1"/>
      <c r="HS1301" s="1"/>
      <c r="HT1301" s="1"/>
      <c r="HU1301" s="1"/>
      <c r="HV1301" s="1"/>
      <c r="HW1301" s="1"/>
      <c r="HX1301" s="1"/>
      <c r="HY1301" s="1"/>
      <c r="HZ1301" s="1"/>
      <c r="IA1301" s="1"/>
      <c r="IB1301" s="1"/>
      <c r="IC1301" s="1"/>
      <c r="ID1301" s="1"/>
      <c r="IE1301" s="1"/>
      <c r="IF1301" s="1"/>
      <c r="IG1301" s="1"/>
      <c r="IH1301" s="1"/>
      <c r="II1301" s="1"/>
      <c r="IJ1301" s="1"/>
      <c r="IK1301" s="1"/>
      <c r="IL1301" s="1"/>
      <c r="IM1301" s="1"/>
      <c r="IN1301" s="1"/>
      <c r="IO1301" s="1"/>
      <c r="IP1301" s="1"/>
      <c r="IQ1301" s="1"/>
      <c r="IR1301" s="1"/>
      <c r="IS1301" s="1"/>
      <c r="IT1301" s="1"/>
      <c r="IU1301" s="1"/>
      <c r="IV1301" s="1"/>
      <c r="IW1301" s="1"/>
      <c r="IX1301" s="1"/>
      <c r="IY1301" s="1"/>
      <c r="IZ1301" s="1"/>
      <c r="JA1301" s="1"/>
      <c r="JB1301" s="1"/>
      <c r="JC1301" s="1"/>
      <c r="JD1301" s="1"/>
    </row>
    <row r="1302" spans="1:264" s="347" customFormat="1" x14ac:dyDescent="0.2">
      <c r="B1302" s="348"/>
      <c r="BH1302" s="348"/>
      <c r="BI1302" s="348"/>
      <c r="BJ1302" s="348"/>
      <c r="BK1302" s="348"/>
      <c r="BL1302" s="826"/>
      <c r="BM1302" s="826"/>
      <c r="BN1302" s="348"/>
      <c r="BO1302" s="348"/>
      <c r="BP1302" s="351"/>
      <c r="BQ1302" s="351"/>
      <c r="BT1302" s="400"/>
      <c r="BU1302" s="400"/>
      <c r="BV1302" s="400"/>
      <c r="BW1302" s="489"/>
      <c r="BX1302" s="400"/>
      <c r="BY1302" s="590"/>
      <c r="BZ1302" s="348"/>
      <c r="CA1302" s="348"/>
      <c r="CB1302" s="400"/>
      <c r="CC1302" s="826"/>
      <c r="CD1302" s="348"/>
      <c r="CE1302" s="348"/>
      <c r="CF1302" s="826"/>
      <c r="CG1302" s="826"/>
      <c r="CH1302" s="348"/>
      <c r="CI1302" s="348"/>
      <c r="CJ1302" s="826"/>
      <c r="CK1302" s="826"/>
      <c r="CL1302" s="348"/>
      <c r="CM1302" s="348"/>
      <c r="CN1302" s="826"/>
      <c r="CO1302" s="826"/>
      <c r="CP1302" s="348"/>
      <c r="CQ1302" s="348"/>
      <c r="CR1302" s="826"/>
      <c r="CS1302" s="826"/>
      <c r="CT1302" s="348"/>
      <c r="CU1302" s="348"/>
      <c r="CV1302" s="826"/>
      <c r="CW1302" s="590"/>
      <c r="CX1302" s="500"/>
      <c r="CY1302" s="348"/>
      <c r="CZ1302" s="826"/>
      <c r="DA1302" s="590"/>
      <c r="DB1302" s="500"/>
      <c r="DC1302" s="348"/>
      <c r="DD1302" s="826"/>
      <c r="DE1302" s="590"/>
      <c r="DF1302" s="500"/>
      <c r="DG1302" s="348"/>
      <c r="DH1302" s="826"/>
      <c r="DI1302" s="826"/>
      <c r="DJ1302" s="348"/>
      <c r="DK1302" s="348"/>
      <c r="DL1302" s="826"/>
      <c r="DM1302" s="826"/>
      <c r="DN1302" s="348"/>
      <c r="DO1302" s="348"/>
      <c r="DP1302" s="826"/>
      <c r="DQ1302" s="826"/>
      <c r="DR1302" s="348"/>
      <c r="DS1302" s="348"/>
      <c r="DT1302" s="1"/>
      <c r="DU1302" s="1"/>
      <c r="DV1302" s="1"/>
      <c r="DW1302" s="1"/>
      <c r="DX1302" s="1"/>
      <c r="DY1302" s="1"/>
      <c r="DZ1302" s="1"/>
      <c r="EA1302" s="1"/>
      <c r="EB1302" s="1"/>
      <c r="EC1302" s="1"/>
      <c r="ED1302" s="1"/>
      <c r="EE1302" s="1"/>
      <c r="EF1302" s="1"/>
      <c r="EG1302" s="1"/>
      <c r="EH1302" s="1"/>
      <c r="EI1302" s="1"/>
      <c r="EJ1302" s="1"/>
      <c r="EK1302" s="1"/>
      <c r="EL1302" s="1"/>
      <c r="EM1302" s="1"/>
      <c r="EN1302" s="1"/>
      <c r="EO1302" s="1"/>
      <c r="EP1302" s="1"/>
      <c r="EQ1302" s="1"/>
      <c r="ER1302" s="1"/>
      <c r="ES1302" s="1"/>
      <c r="ET1302" s="1"/>
      <c r="EU1302" s="1"/>
      <c r="EV1302" s="1"/>
      <c r="EW1302" s="1"/>
      <c r="EX1302" s="1"/>
      <c r="EY1302" s="1"/>
      <c r="EZ1302" s="1"/>
      <c r="FA1302" s="1"/>
      <c r="FB1302" s="1"/>
      <c r="FC1302" s="1"/>
      <c r="FD1302" s="1"/>
      <c r="FE1302" s="1"/>
      <c r="FF1302" s="1"/>
      <c r="FG1302" s="1"/>
      <c r="FH1302" s="1"/>
      <c r="FI1302" s="1"/>
      <c r="FJ1302" s="1"/>
      <c r="FK1302" s="1"/>
      <c r="FL1302" s="1"/>
      <c r="FM1302" s="1"/>
      <c r="FN1302" s="1"/>
      <c r="FO1302" s="1"/>
      <c r="FP1302" s="1"/>
      <c r="FQ1302" s="1"/>
      <c r="FR1302" s="1"/>
      <c r="FS1302" s="1"/>
      <c r="FT1302" s="1"/>
      <c r="FU1302" s="1"/>
      <c r="FV1302" s="1"/>
      <c r="FW1302" s="1"/>
      <c r="FX1302" s="1"/>
      <c r="FY1302" s="1"/>
      <c r="FZ1302" s="1"/>
      <c r="GA1302" s="1"/>
      <c r="GB1302" s="1"/>
      <c r="GC1302" s="1"/>
      <c r="GD1302" s="1"/>
      <c r="GE1302" s="1"/>
      <c r="GF1302" s="1"/>
      <c r="GG1302" s="1"/>
      <c r="GH1302" s="1"/>
      <c r="GI1302" s="1"/>
      <c r="GJ1302" s="1"/>
      <c r="GK1302" s="1"/>
      <c r="GL1302" s="1"/>
      <c r="GM1302" s="1"/>
      <c r="GN1302" s="1"/>
      <c r="GO1302" s="1"/>
      <c r="GP1302" s="1"/>
      <c r="GQ1302" s="1"/>
      <c r="GR1302" s="1"/>
      <c r="GS1302" s="1"/>
      <c r="GT1302" s="1"/>
      <c r="GU1302" s="1"/>
      <c r="GV1302" s="1"/>
      <c r="GW1302" s="1"/>
      <c r="GX1302" s="1"/>
      <c r="GY1302" s="1"/>
      <c r="GZ1302" s="1"/>
      <c r="HA1302" s="1"/>
      <c r="HB1302" s="1"/>
      <c r="HC1302" s="1"/>
      <c r="HD1302" s="1"/>
      <c r="HE1302" s="1"/>
      <c r="HF1302" s="1"/>
      <c r="HG1302" s="1"/>
      <c r="HH1302" s="1"/>
      <c r="HI1302" s="1"/>
      <c r="HJ1302" s="1"/>
      <c r="HK1302" s="1"/>
      <c r="HL1302" s="1"/>
      <c r="HM1302" s="1"/>
      <c r="HN1302" s="1"/>
      <c r="HO1302" s="1"/>
      <c r="HP1302" s="1"/>
      <c r="HQ1302" s="1"/>
      <c r="HR1302" s="1"/>
      <c r="HS1302" s="1"/>
      <c r="HT1302" s="1"/>
      <c r="HU1302" s="1"/>
      <c r="HV1302" s="1"/>
      <c r="HW1302" s="1"/>
      <c r="HX1302" s="1"/>
      <c r="HY1302" s="1"/>
      <c r="HZ1302" s="1"/>
      <c r="IA1302" s="1"/>
      <c r="IB1302" s="1"/>
      <c r="IC1302" s="1"/>
      <c r="ID1302" s="1"/>
      <c r="IE1302" s="1"/>
      <c r="IF1302" s="1"/>
      <c r="IG1302" s="1"/>
      <c r="IH1302" s="1"/>
      <c r="II1302" s="1"/>
      <c r="IJ1302" s="1"/>
      <c r="IK1302" s="1"/>
      <c r="IL1302" s="1"/>
      <c r="IM1302" s="1"/>
      <c r="IN1302" s="1"/>
      <c r="IO1302" s="1"/>
      <c r="IP1302" s="1"/>
      <c r="IQ1302" s="1"/>
      <c r="IR1302" s="1"/>
      <c r="IS1302" s="1"/>
      <c r="IT1302" s="1"/>
      <c r="IU1302" s="1"/>
      <c r="IV1302" s="1"/>
      <c r="IW1302" s="1"/>
      <c r="IX1302" s="1"/>
      <c r="IY1302" s="1"/>
      <c r="IZ1302" s="1"/>
      <c r="JA1302" s="1"/>
      <c r="JB1302" s="1"/>
      <c r="JC1302" s="1"/>
      <c r="JD1302" s="1"/>
    </row>
    <row r="1303" spans="1:264" s="460" customFormat="1" ht="15" x14ac:dyDescent="0.25">
      <c r="A1303" s="568" t="s">
        <v>866</v>
      </c>
      <c r="B1303" s="569"/>
      <c r="C1303" s="568"/>
      <c r="D1303" s="568"/>
      <c r="E1303" s="568"/>
      <c r="F1303" s="568"/>
      <c r="G1303" s="568"/>
      <c r="H1303" s="568"/>
      <c r="I1303" s="568"/>
      <c r="J1303" s="568"/>
      <c r="K1303" s="568"/>
      <c r="L1303" s="568"/>
      <c r="M1303" s="568"/>
      <c r="N1303" s="568"/>
      <c r="O1303" s="568"/>
      <c r="P1303" s="568"/>
      <c r="Q1303" s="568"/>
      <c r="R1303" s="568"/>
      <c r="S1303" s="568"/>
      <c r="T1303" s="568"/>
      <c r="U1303" s="568"/>
      <c r="V1303" s="568"/>
      <c r="W1303" s="568"/>
      <c r="X1303" s="568"/>
      <c r="Y1303" s="568"/>
      <c r="Z1303" s="568"/>
      <c r="AA1303" s="568"/>
      <c r="AB1303" s="568"/>
      <c r="AC1303" s="568"/>
      <c r="AD1303" s="568"/>
      <c r="AE1303" s="568"/>
      <c r="AF1303" s="568"/>
      <c r="AG1303" s="568"/>
      <c r="AH1303" s="568"/>
      <c r="AI1303" s="568"/>
      <c r="AJ1303" s="568"/>
      <c r="AK1303" s="568"/>
      <c r="AL1303" s="568"/>
      <c r="AM1303" s="568"/>
      <c r="AN1303" s="568"/>
      <c r="AO1303" s="568"/>
      <c r="AP1303" s="568"/>
      <c r="AQ1303" s="568"/>
      <c r="AR1303" s="568"/>
      <c r="AS1303" s="568"/>
      <c r="AT1303" s="568"/>
      <c r="AU1303" s="568"/>
      <c r="AV1303" s="568"/>
      <c r="AW1303" s="568"/>
      <c r="AX1303" s="568"/>
      <c r="AY1303" s="568"/>
      <c r="AZ1303" s="568"/>
      <c r="BA1303" s="568"/>
      <c r="BB1303" s="568"/>
      <c r="BC1303" s="568"/>
      <c r="BD1303" s="568"/>
      <c r="BE1303" s="569" t="s">
        <v>867</v>
      </c>
      <c r="BF1303" s="569" t="s">
        <v>867</v>
      </c>
      <c r="BG1303" s="568"/>
      <c r="BH1303" s="569" t="s">
        <v>776</v>
      </c>
      <c r="BI1303" s="569" t="s">
        <v>776</v>
      </c>
      <c r="BJ1303" s="569"/>
      <c r="BK1303" s="569"/>
      <c r="BL1303" s="569"/>
      <c r="BM1303" s="569"/>
      <c r="BN1303" s="569"/>
      <c r="BO1303" s="569"/>
      <c r="BP1303" s="569"/>
      <c r="BQ1303" s="568"/>
      <c r="BR1303" s="568"/>
      <c r="BS1303" s="568"/>
      <c r="BT1303" s="569"/>
      <c r="BU1303" s="568"/>
      <c r="BV1303" s="568"/>
      <c r="BW1303" s="568"/>
      <c r="BX1303" s="569"/>
      <c r="BY1303" s="568"/>
      <c r="BZ1303" s="568"/>
      <c r="CA1303" s="568"/>
      <c r="CB1303" s="569"/>
      <c r="CC1303" s="568"/>
      <c r="CD1303" s="568"/>
      <c r="CE1303" s="568"/>
      <c r="CF1303" s="569"/>
      <c r="CG1303" s="568"/>
      <c r="CH1303" s="568"/>
      <c r="CI1303" s="568"/>
      <c r="CJ1303" s="569"/>
      <c r="CK1303" s="568"/>
      <c r="CL1303" s="568"/>
      <c r="CM1303" s="568"/>
      <c r="CN1303" s="569"/>
      <c r="CO1303" s="568"/>
      <c r="CP1303" s="568"/>
      <c r="CQ1303" s="568"/>
      <c r="CR1303" s="569"/>
      <c r="CS1303" s="568"/>
      <c r="CT1303" s="568"/>
      <c r="CU1303" s="568"/>
      <c r="CV1303" s="569"/>
      <c r="CW1303" s="568"/>
      <c r="CX1303" s="568"/>
      <c r="CY1303" s="568"/>
      <c r="CZ1303" s="569"/>
      <c r="DA1303" s="568"/>
      <c r="DB1303" s="568"/>
      <c r="DC1303" s="568"/>
      <c r="DD1303" s="569"/>
      <c r="DE1303" s="568"/>
      <c r="DF1303" s="568"/>
      <c r="DG1303" s="568"/>
      <c r="DH1303" s="569"/>
      <c r="DI1303" s="568"/>
      <c r="DJ1303" s="568"/>
      <c r="DK1303" s="568"/>
      <c r="DL1303" s="569"/>
      <c r="DM1303" s="568"/>
      <c r="DN1303" s="568"/>
      <c r="DO1303" s="568"/>
      <c r="DP1303" s="569"/>
      <c r="DQ1303" s="568"/>
      <c r="DR1303" s="568"/>
      <c r="DS1303" s="568"/>
      <c r="DT1303"/>
      <c r="DU1303"/>
      <c r="DV1303" s="1"/>
      <c r="DW1303" s="1"/>
      <c r="DX1303" s="1"/>
      <c r="DY1303" s="1"/>
      <c r="DZ1303" s="1"/>
      <c r="EA1303" s="1"/>
      <c r="EB1303" s="1"/>
      <c r="EC1303" s="1"/>
      <c r="ED1303" s="1"/>
      <c r="EE1303" s="1"/>
      <c r="EF1303" s="1"/>
      <c r="EG1303" s="1"/>
      <c r="EH1303" s="1"/>
      <c r="EI1303" s="1"/>
      <c r="EJ1303" s="1"/>
      <c r="EK1303" s="1"/>
      <c r="EL1303" s="1"/>
      <c r="EM1303" s="1"/>
      <c r="EN1303" s="1"/>
      <c r="EO1303" s="1"/>
      <c r="EP1303" s="1"/>
      <c r="EQ1303" s="1"/>
      <c r="ER1303" s="1"/>
      <c r="ES1303" s="1"/>
      <c r="ET1303" s="1"/>
      <c r="EU1303" s="1"/>
      <c r="EV1303" s="1"/>
      <c r="EW1303" s="1"/>
      <c r="EX1303" s="1"/>
      <c r="EY1303" s="1"/>
      <c r="EZ1303" s="1"/>
      <c r="FA1303" s="1"/>
      <c r="FB1303" s="1"/>
      <c r="FC1303" s="1"/>
      <c r="FD1303" s="1"/>
      <c r="FE1303" s="1"/>
      <c r="FF1303" s="1"/>
      <c r="FG1303" s="1"/>
      <c r="FH1303" s="1"/>
      <c r="FI1303" s="1"/>
      <c r="FJ1303" s="1"/>
      <c r="FK1303" s="1"/>
      <c r="FL1303" s="1"/>
      <c r="FM1303" s="1"/>
      <c r="FN1303" s="1"/>
      <c r="FO1303" s="1"/>
      <c r="FP1303" s="1"/>
      <c r="FQ1303" s="1"/>
      <c r="FR1303" s="1"/>
      <c r="FS1303" s="1"/>
      <c r="FT1303" s="1"/>
      <c r="FU1303" s="1"/>
      <c r="FV1303" s="1"/>
      <c r="FW1303" s="1"/>
      <c r="FX1303" s="1"/>
      <c r="FY1303" s="1"/>
      <c r="FZ1303" s="1"/>
      <c r="GA1303" s="1"/>
      <c r="GB1303" s="1"/>
      <c r="GC1303" s="1"/>
      <c r="GD1303" s="1"/>
      <c r="GE1303" s="1"/>
      <c r="GF1303" s="1"/>
      <c r="GG1303" s="1"/>
      <c r="GH1303" s="1"/>
      <c r="GI1303" s="1"/>
      <c r="GJ1303" s="1"/>
      <c r="GK1303" s="1"/>
      <c r="GL1303" s="1"/>
      <c r="GM1303" s="1"/>
      <c r="GN1303" s="1"/>
      <c r="GO1303" s="1"/>
      <c r="GP1303" s="1"/>
      <c r="GQ1303" s="1"/>
      <c r="GR1303" s="1"/>
      <c r="GS1303" s="1"/>
      <c r="GT1303" s="1"/>
      <c r="GU1303" s="1"/>
      <c r="GV1303" s="1"/>
      <c r="GW1303" s="1"/>
      <c r="GX1303" s="1"/>
      <c r="GY1303" s="1"/>
      <c r="GZ1303" s="1"/>
      <c r="HA1303" s="1"/>
      <c r="HB1303" s="1"/>
      <c r="HC1303" s="1"/>
      <c r="HD1303" s="1"/>
      <c r="HE1303" s="1"/>
      <c r="HF1303" s="1"/>
      <c r="HG1303" s="1"/>
      <c r="HH1303" s="1"/>
      <c r="HI1303" s="1"/>
      <c r="HJ1303" s="1"/>
      <c r="HK1303" s="1"/>
      <c r="HL1303" s="1"/>
      <c r="HM1303" s="1"/>
      <c r="HN1303" s="1"/>
      <c r="HO1303" s="1"/>
      <c r="HP1303" s="1"/>
      <c r="HQ1303" s="1"/>
      <c r="HR1303" s="1"/>
      <c r="HS1303" s="1"/>
      <c r="HT1303" s="1"/>
      <c r="HU1303" s="1"/>
      <c r="HV1303" s="1"/>
      <c r="HW1303" s="1"/>
      <c r="HX1303" s="1"/>
      <c r="HY1303" s="1"/>
      <c r="HZ1303" s="1"/>
      <c r="IA1303" s="1"/>
      <c r="IB1303" s="1"/>
      <c r="IC1303" s="1"/>
      <c r="ID1303" s="1"/>
      <c r="IE1303" s="1"/>
      <c r="IF1303" s="1"/>
      <c r="IG1303" s="1"/>
      <c r="IH1303" s="1"/>
      <c r="II1303" s="1"/>
      <c r="IJ1303" s="1"/>
      <c r="IK1303" s="1"/>
      <c r="IL1303" s="1"/>
      <c r="IM1303" s="1"/>
      <c r="IN1303" s="1"/>
      <c r="IO1303" s="1"/>
      <c r="IP1303" s="1"/>
      <c r="IQ1303" s="1"/>
      <c r="IR1303" s="1"/>
      <c r="IS1303" s="1"/>
      <c r="IT1303" s="1"/>
      <c r="IU1303" s="1"/>
      <c r="IV1303" s="1"/>
      <c r="IW1303" s="1"/>
      <c r="IX1303" s="1"/>
      <c r="IY1303" s="1"/>
      <c r="IZ1303" s="1"/>
      <c r="JA1303" s="1"/>
      <c r="JB1303" s="1"/>
      <c r="JC1303" s="1"/>
      <c r="JD1303" s="1"/>
    </row>
    <row r="1304" spans="1:264" s="347" customFormat="1" ht="15" x14ac:dyDescent="0.25">
      <c r="B1304" s="348"/>
      <c r="BH1304" s="348"/>
      <c r="BI1304" s="348"/>
      <c r="BJ1304" s="348"/>
      <c r="BK1304" s="348"/>
      <c r="BL1304" s="348"/>
      <c r="BM1304" s="348"/>
      <c r="BN1304" s="348"/>
      <c r="BO1304" s="348"/>
      <c r="BP1304" s="348"/>
      <c r="BT1304" s="348"/>
      <c r="BV1304" s="400"/>
      <c r="BX1304" s="500"/>
      <c r="CB1304" s="348"/>
      <c r="CC1304" s="506"/>
      <c r="CF1304" s="499"/>
      <c r="CJ1304" s="582"/>
      <c r="CK1304" s="506"/>
      <c r="CN1304" s="348"/>
      <c r="CR1304" s="348"/>
      <c r="CV1304" s="348"/>
      <c r="CW1304" s="827"/>
      <c r="CZ1304" s="348"/>
      <c r="DA1304" s="827"/>
      <c r="DD1304" s="348"/>
      <c r="DE1304" s="827"/>
      <c r="DH1304" s="348"/>
      <c r="DL1304" s="348"/>
      <c r="DP1304" s="348"/>
      <c r="DT1304"/>
      <c r="DU1304"/>
      <c r="DV1304" s="1"/>
      <c r="DW1304" s="1"/>
      <c r="DX1304" s="1"/>
      <c r="DY1304" s="1"/>
      <c r="DZ1304" s="1"/>
      <c r="EA1304" s="1"/>
      <c r="EB1304" s="1"/>
      <c r="EC1304" s="1"/>
      <c r="ED1304" s="1"/>
      <c r="EE1304" s="1"/>
      <c r="EF1304" s="1"/>
      <c r="EG1304" s="1"/>
      <c r="EH1304" s="1"/>
      <c r="EI1304" s="1"/>
      <c r="EJ1304" s="1"/>
      <c r="EK1304" s="1"/>
      <c r="EL1304" s="1"/>
      <c r="EM1304" s="1"/>
      <c r="EN1304" s="1"/>
      <c r="EO1304" s="1"/>
      <c r="EP1304" s="1"/>
      <c r="EQ1304" s="1"/>
      <c r="ER1304" s="1"/>
      <c r="ES1304" s="1"/>
      <c r="ET1304" s="1"/>
      <c r="EU1304" s="1"/>
      <c r="EV1304" s="1"/>
      <c r="EW1304" s="1"/>
      <c r="EX1304" s="1"/>
      <c r="EY1304" s="1"/>
      <c r="EZ1304" s="1"/>
      <c r="FA1304" s="1"/>
      <c r="FB1304" s="1"/>
      <c r="FC1304" s="1"/>
      <c r="FD1304" s="1"/>
      <c r="FE1304" s="1"/>
      <c r="FF1304" s="1"/>
      <c r="FG1304" s="1"/>
      <c r="FH1304" s="1"/>
      <c r="FI1304" s="1"/>
      <c r="FJ1304" s="1"/>
      <c r="FK1304" s="1"/>
      <c r="FL1304" s="1"/>
      <c r="FM1304" s="1"/>
      <c r="FN1304" s="1"/>
      <c r="FO1304" s="1"/>
      <c r="FP1304" s="1"/>
      <c r="FQ1304" s="1"/>
      <c r="FR1304" s="1"/>
      <c r="FS1304" s="1"/>
      <c r="FT1304" s="1"/>
      <c r="FU1304" s="1"/>
      <c r="FV1304" s="1"/>
      <c r="FW1304" s="1"/>
      <c r="FX1304" s="1"/>
      <c r="FY1304" s="1"/>
      <c r="FZ1304" s="1"/>
      <c r="GA1304" s="1"/>
      <c r="GB1304" s="1"/>
      <c r="GC1304" s="1"/>
      <c r="GD1304" s="1"/>
      <c r="GE1304" s="1"/>
      <c r="GF1304" s="1"/>
      <c r="GG1304" s="1"/>
      <c r="GH1304" s="1"/>
      <c r="GI1304" s="1"/>
      <c r="GJ1304" s="1"/>
      <c r="GK1304" s="1"/>
      <c r="GL1304" s="1"/>
      <c r="GM1304" s="1"/>
      <c r="GN1304" s="1"/>
      <c r="GO1304" s="1"/>
      <c r="GP1304" s="1"/>
      <c r="GQ1304" s="1"/>
      <c r="GR1304" s="1"/>
      <c r="GS1304" s="1"/>
      <c r="GT1304" s="1"/>
      <c r="GU1304" s="1"/>
      <c r="GV1304" s="1"/>
      <c r="GW1304" s="1"/>
      <c r="GX1304" s="1"/>
      <c r="GY1304" s="1"/>
      <c r="GZ1304" s="1"/>
      <c r="HA1304" s="1"/>
      <c r="HB1304" s="1"/>
      <c r="HC1304" s="1"/>
      <c r="HD1304" s="1"/>
      <c r="HE1304" s="1"/>
      <c r="HF1304" s="1"/>
      <c r="HG1304" s="1"/>
      <c r="HH1304" s="1"/>
      <c r="HI1304" s="1"/>
      <c r="HJ1304" s="1"/>
      <c r="HK1304" s="1"/>
      <c r="HL1304" s="1"/>
      <c r="HM1304" s="1"/>
      <c r="HN1304" s="1"/>
      <c r="HO1304" s="1"/>
      <c r="HP1304" s="1"/>
      <c r="HQ1304" s="1"/>
      <c r="HR1304" s="1"/>
      <c r="HS1304" s="1"/>
      <c r="HT1304" s="1"/>
      <c r="HU1304" s="1"/>
      <c r="HV1304" s="1"/>
      <c r="HW1304" s="1"/>
      <c r="HX1304" s="1"/>
      <c r="HY1304" s="1"/>
      <c r="HZ1304" s="1"/>
      <c r="IA1304" s="1"/>
      <c r="IB1304" s="1"/>
      <c r="IC1304" s="1"/>
      <c r="ID1304" s="1"/>
      <c r="IE1304" s="1"/>
      <c r="IF1304" s="1"/>
      <c r="IG1304" s="1"/>
      <c r="IH1304" s="1"/>
      <c r="II1304" s="1"/>
      <c r="IJ1304" s="1"/>
      <c r="IK1304" s="1"/>
      <c r="IL1304" s="1"/>
      <c r="IM1304" s="1"/>
      <c r="IN1304" s="1"/>
      <c r="IO1304" s="1"/>
      <c r="IP1304" s="1"/>
      <c r="IQ1304" s="1"/>
      <c r="IR1304" s="1"/>
      <c r="IS1304" s="1"/>
      <c r="IT1304" s="1"/>
      <c r="IU1304" s="1"/>
      <c r="IV1304" s="1"/>
      <c r="IW1304" s="1"/>
      <c r="IX1304" s="1"/>
      <c r="IY1304" s="1"/>
      <c r="IZ1304" s="1"/>
      <c r="JA1304" s="1"/>
      <c r="JB1304" s="1"/>
      <c r="JC1304" s="1"/>
      <c r="JD1304" s="1"/>
    </row>
    <row r="1305" spans="1:264" s="347" customFormat="1" ht="15" x14ac:dyDescent="0.25">
      <c r="A1305" s="347" t="s">
        <v>323</v>
      </c>
      <c r="B1305" s="348"/>
      <c r="BE1305" s="398">
        <v>261429</v>
      </c>
      <c r="BF1305" s="351">
        <f>BE1305</f>
        <v>261429</v>
      </c>
      <c r="BH1305" s="398">
        <v>271798</v>
      </c>
      <c r="BI1305" s="398">
        <v>279674</v>
      </c>
      <c r="BJ1305" s="351">
        <f>BI1305</f>
        <v>279674</v>
      </c>
      <c r="BK1305" s="393"/>
      <c r="BL1305" s="398">
        <v>282204</v>
      </c>
      <c r="BM1305" s="398">
        <v>289138</v>
      </c>
      <c r="BN1305" s="351">
        <f>BM1305</f>
        <v>289138</v>
      </c>
      <c r="BO1305" s="393">
        <f>+BN1305/BJ1305-1</f>
        <v>3.383939872851971E-2</v>
      </c>
      <c r="BP1305" s="398">
        <v>311524</v>
      </c>
      <c r="BQ1305" s="398">
        <v>319174</v>
      </c>
      <c r="BR1305" s="351">
        <f>BQ1305</f>
        <v>319174</v>
      </c>
      <c r="BS1305" s="393">
        <f>+BR1305/BN1305-1</f>
        <v>0.10388119168009746</v>
      </c>
      <c r="BT1305" s="398">
        <v>334957</v>
      </c>
      <c r="BU1305" s="398">
        <v>344030</v>
      </c>
      <c r="BV1305" s="351">
        <f>BU1305</f>
        <v>344030</v>
      </c>
      <c r="BW1305" s="393">
        <f>+BV1305/BR1305-1</f>
        <v>7.787601747009476E-2</v>
      </c>
      <c r="BX1305" s="398">
        <v>373526</v>
      </c>
      <c r="BY1305" s="398">
        <v>377259</v>
      </c>
      <c r="BZ1305" s="351">
        <f>BY1305</f>
        <v>377259</v>
      </c>
      <c r="CA1305" s="393">
        <f>+BZ1305/BV1305-1</f>
        <v>9.6587506903467624E-2</v>
      </c>
      <c r="CB1305" s="398">
        <v>366985</v>
      </c>
      <c r="CC1305" s="398">
        <v>369528</v>
      </c>
      <c r="CD1305" s="351">
        <f>CC1305</f>
        <v>369528</v>
      </c>
      <c r="CE1305" s="393">
        <f>+CD1305/BZ1305-1</f>
        <v>-2.049255286156193E-2</v>
      </c>
      <c r="CF1305" s="398">
        <v>369356</v>
      </c>
      <c r="CG1305" s="398">
        <v>372574</v>
      </c>
      <c r="CH1305" s="351">
        <f>CG1305</f>
        <v>372574</v>
      </c>
      <c r="CI1305" s="393">
        <f>+CH1305/CD1305-1</f>
        <v>8.2429477603862544E-3</v>
      </c>
      <c r="CJ1305" s="398">
        <v>375217</v>
      </c>
      <c r="CK1305" s="398">
        <v>374194</v>
      </c>
      <c r="CL1305" s="351">
        <f>CK1305</f>
        <v>374194</v>
      </c>
      <c r="CM1305" s="393">
        <f>+CL1305/CH1305-1</f>
        <v>4.3481294991061237E-3</v>
      </c>
      <c r="CN1305" s="398">
        <v>376900</v>
      </c>
      <c r="CO1305" s="398">
        <v>381550</v>
      </c>
      <c r="CP1305" s="351">
        <f>CO1305</f>
        <v>381550</v>
      </c>
      <c r="CQ1305" s="393">
        <f>+CP1305/CL1305-1</f>
        <v>1.9658252136592225E-2</v>
      </c>
      <c r="CR1305" s="398">
        <v>390687</v>
      </c>
      <c r="CS1305" s="398">
        <v>393647</v>
      </c>
      <c r="CT1305" s="351">
        <f>CS1305</f>
        <v>393647</v>
      </c>
      <c r="CU1305" s="393">
        <f>+CT1305/CP1305-1</f>
        <v>3.1704887957017425E-2</v>
      </c>
      <c r="CV1305" s="398">
        <v>402017</v>
      </c>
      <c r="CW1305" s="398">
        <v>362869</v>
      </c>
      <c r="CX1305" s="351">
        <f>CW1305</f>
        <v>362869</v>
      </c>
      <c r="CY1305" s="393">
        <f>+CX1305/CT1305-1</f>
        <v>-7.8186801880873014E-2</v>
      </c>
      <c r="CZ1305" s="398">
        <v>368735</v>
      </c>
      <c r="DA1305" s="398">
        <v>370444</v>
      </c>
      <c r="DB1305" s="351">
        <f>DA1305</f>
        <v>370444</v>
      </c>
      <c r="DC1305" s="393">
        <f>+DB1305/CX1305-1</f>
        <v>2.0875302106269755E-2</v>
      </c>
      <c r="DD1305" s="398">
        <v>385117</v>
      </c>
      <c r="DE1305" s="398">
        <v>398928</v>
      </c>
      <c r="DF1305" s="351">
        <f>DE1305</f>
        <v>398928</v>
      </c>
      <c r="DG1305" s="393">
        <f>+DF1305/DB1305-1</f>
        <v>7.6891513967023428E-2</v>
      </c>
      <c r="DH1305" s="398">
        <v>409119</v>
      </c>
      <c r="DI1305" s="351">
        <f ca="1">DI1321</f>
        <v>423035.70217825164</v>
      </c>
      <c r="DJ1305" s="351">
        <f ca="1">DI1305</f>
        <v>423035.70217825164</v>
      </c>
      <c r="DK1305" s="393">
        <f t="shared" ref="DK1305:DK1308" ca="1" si="945">+DJ1305/DF1305-1</f>
        <v>6.0431211091353854E-2</v>
      </c>
      <c r="DL1305" s="351">
        <f ca="1">DL1321</f>
        <v>434605.43783604458</v>
      </c>
      <c r="DM1305" s="351">
        <f ca="1">DM1321</f>
        <v>448846.79899896123</v>
      </c>
      <c r="DN1305" s="351">
        <f ca="1">DM1305</f>
        <v>448846.79899896123</v>
      </c>
      <c r="DO1305" s="393">
        <f t="shared" ref="DO1305:DO1308" ca="1" si="946">+DN1305/DJ1305-1</f>
        <v>6.1013991698113834E-2</v>
      </c>
      <c r="DP1305" s="351">
        <f ca="1">DP1321</f>
        <v>459077.5513190506</v>
      </c>
      <c r="DQ1305" s="351">
        <f ca="1">DQ1321</f>
        <v>471049.84316655208</v>
      </c>
      <c r="DR1305" s="351">
        <f ca="1">DQ1305</f>
        <v>471049.84316655208</v>
      </c>
      <c r="DS1305" s="393">
        <f t="shared" ref="DS1305:DS1308" ca="1" si="947">+DR1305/DN1305-1</f>
        <v>4.9466865347172151E-2</v>
      </c>
      <c r="DT1305"/>
      <c r="DU1305"/>
      <c r="DV1305" s="1"/>
      <c r="DW1305" s="1"/>
      <c r="DX1305" s="1"/>
      <c r="DY1305" s="1"/>
      <c r="DZ1305" s="1"/>
      <c r="EA1305" s="1"/>
      <c r="EB1305" s="1"/>
      <c r="EC1305" s="1"/>
      <c r="ED1305" s="1"/>
      <c r="EE1305" s="1"/>
      <c r="EF1305" s="1"/>
      <c r="EG1305" s="1"/>
      <c r="EH1305" s="1"/>
      <c r="EI1305" s="1"/>
      <c r="EJ1305" s="1"/>
      <c r="EK1305" s="1"/>
      <c r="EL1305" s="1"/>
      <c r="EM1305" s="1"/>
      <c r="EN1305" s="1"/>
      <c r="EO1305" s="1"/>
      <c r="EP1305" s="1"/>
      <c r="EQ1305" s="1"/>
      <c r="ER1305" s="1"/>
      <c r="ES1305" s="1"/>
      <c r="ET1305" s="1"/>
      <c r="EU1305" s="1"/>
      <c r="EV1305" s="1"/>
      <c r="EW1305" s="1"/>
      <c r="EX1305" s="1"/>
      <c r="EY1305" s="1"/>
      <c r="EZ1305" s="1"/>
      <c r="FA1305" s="1"/>
      <c r="FB1305" s="1"/>
      <c r="FC1305" s="1"/>
      <c r="FD1305" s="1"/>
      <c r="FE1305" s="1"/>
      <c r="FF1305" s="1"/>
      <c r="FG1305" s="1"/>
      <c r="FH1305" s="1"/>
      <c r="FI1305" s="1"/>
      <c r="FJ1305" s="1"/>
      <c r="FK1305" s="1"/>
      <c r="FL1305" s="1"/>
      <c r="FM1305" s="1"/>
      <c r="FN1305" s="1"/>
      <c r="FO1305" s="1"/>
      <c r="FP1305" s="1"/>
      <c r="FQ1305" s="1"/>
      <c r="FR1305" s="1"/>
      <c r="FS1305" s="1"/>
      <c r="FT1305" s="1"/>
      <c r="FU1305" s="1"/>
      <c r="FV1305" s="1"/>
      <c r="FW1305" s="1"/>
      <c r="FX1305" s="1"/>
      <c r="FY1305" s="1"/>
      <c r="FZ1305" s="1"/>
      <c r="GA1305" s="1"/>
      <c r="GB1305" s="1"/>
      <c r="GC1305" s="1"/>
      <c r="GD1305" s="1"/>
      <c r="GE1305" s="1"/>
      <c r="GF1305" s="1"/>
      <c r="GG1305" s="1"/>
      <c r="GH1305" s="1"/>
      <c r="GI1305" s="1"/>
      <c r="GJ1305" s="1"/>
      <c r="GK1305" s="1"/>
      <c r="GL1305" s="1"/>
      <c r="GM1305" s="1"/>
      <c r="GN1305" s="1"/>
      <c r="GO1305" s="1"/>
      <c r="GP1305" s="1"/>
      <c r="GQ1305" s="1"/>
      <c r="GR1305" s="1"/>
      <c r="GS1305" s="1"/>
      <c r="GT1305" s="1"/>
      <c r="GU1305" s="1"/>
      <c r="GV1305" s="1"/>
      <c r="GW1305" s="1"/>
      <c r="GX1305" s="1"/>
      <c r="GY1305" s="1"/>
      <c r="GZ1305" s="1"/>
      <c r="HA1305" s="1"/>
      <c r="HB1305" s="1"/>
      <c r="HC1305" s="1"/>
      <c r="HD1305" s="1"/>
      <c r="HE1305" s="1"/>
      <c r="HF1305" s="1"/>
      <c r="HG1305" s="1"/>
      <c r="HH1305" s="1"/>
      <c r="HI1305" s="1"/>
      <c r="HJ1305" s="1"/>
      <c r="HK1305" s="1"/>
      <c r="HL1305" s="1"/>
      <c r="HM1305" s="1"/>
      <c r="HN1305" s="1"/>
      <c r="HO1305" s="1"/>
      <c r="HP1305" s="1"/>
      <c r="HQ1305" s="1"/>
      <c r="HR1305" s="1"/>
      <c r="HS1305" s="1"/>
      <c r="HT1305" s="1"/>
      <c r="HU1305" s="1"/>
      <c r="HV1305" s="1"/>
      <c r="HW1305" s="1"/>
      <c r="HX1305" s="1"/>
      <c r="HY1305" s="1"/>
      <c r="HZ1305" s="1"/>
      <c r="IA1305" s="1"/>
      <c r="IB1305" s="1"/>
      <c r="IC1305" s="1"/>
      <c r="ID1305" s="1"/>
      <c r="IE1305" s="1"/>
      <c r="IF1305" s="1"/>
      <c r="IG1305" s="1"/>
      <c r="IH1305" s="1"/>
      <c r="II1305" s="1"/>
      <c r="IJ1305" s="1"/>
      <c r="IK1305" s="1"/>
      <c r="IL1305" s="1"/>
      <c r="IM1305" s="1"/>
      <c r="IN1305" s="1"/>
      <c r="IO1305" s="1"/>
      <c r="IP1305" s="1"/>
      <c r="IQ1305" s="1"/>
      <c r="IR1305" s="1"/>
      <c r="IS1305" s="1"/>
      <c r="IT1305" s="1"/>
      <c r="IU1305" s="1"/>
      <c r="IV1305" s="1"/>
      <c r="IW1305" s="1"/>
      <c r="IX1305" s="1"/>
      <c r="IY1305" s="1"/>
      <c r="IZ1305" s="1"/>
      <c r="JA1305" s="1"/>
      <c r="JB1305" s="1"/>
      <c r="JC1305" s="1"/>
      <c r="JD1305" s="1"/>
    </row>
    <row r="1306" spans="1:264" s="347" customFormat="1" ht="15" x14ac:dyDescent="0.25">
      <c r="A1306" s="347" t="s">
        <v>868</v>
      </c>
      <c r="B1306" s="348"/>
      <c r="BE1306" s="398">
        <v>4842</v>
      </c>
      <c r="BF1306" s="351">
        <f>BE1306</f>
        <v>4842</v>
      </c>
      <c r="BH1306" s="398">
        <v>4517</v>
      </c>
      <c r="BI1306" s="398">
        <v>5151</v>
      </c>
      <c r="BJ1306" s="351">
        <f>BI1306</f>
        <v>5151</v>
      </c>
      <c r="BK1306" s="348"/>
      <c r="BL1306" s="398">
        <v>5970</v>
      </c>
      <c r="BM1306" s="398">
        <v>5284</v>
      </c>
      <c r="BN1306" s="351">
        <f>BM1306</f>
        <v>5284</v>
      </c>
      <c r="BO1306" s="348"/>
      <c r="BP1306" s="398">
        <v>6466</v>
      </c>
      <c r="BQ1306" s="398">
        <v>6335</v>
      </c>
      <c r="BR1306" s="351">
        <f>BQ1306</f>
        <v>6335</v>
      </c>
      <c r="BT1306" s="398">
        <v>7451</v>
      </c>
      <c r="BU1306" s="398">
        <v>9439</v>
      </c>
      <c r="BV1306" s="351">
        <f>BU1306</f>
        <v>9439</v>
      </c>
      <c r="BX1306" s="398">
        <v>5707</v>
      </c>
      <c r="BY1306" s="398">
        <v>4650</v>
      </c>
      <c r="BZ1306" s="351">
        <f>BY1306</f>
        <v>4650</v>
      </c>
      <c r="CB1306" s="398">
        <v>4829</v>
      </c>
      <c r="CC1306" s="398">
        <v>8255</v>
      </c>
      <c r="CD1306" s="351">
        <f>CC1306</f>
        <v>8255</v>
      </c>
      <c r="CF1306" s="398">
        <v>5263</v>
      </c>
      <c r="CG1306" s="398">
        <v>10485</v>
      </c>
      <c r="CH1306" s="351">
        <f>CG1306</f>
        <v>10485</v>
      </c>
      <c r="CJ1306" s="398">
        <v>5428</v>
      </c>
      <c r="CK1306" s="398">
        <v>12457</v>
      </c>
      <c r="CL1306" s="351">
        <f>CK1306</f>
        <v>12457</v>
      </c>
      <c r="CN1306" s="398">
        <v>11161</v>
      </c>
      <c r="CO1306" s="398">
        <v>8307</v>
      </c>
      <c r="CP1306" s="351">
        <f>CO1306</f>
        <v>8307</v>
      </c>
      <c r="CR1306" s="398">
        <v>10803</v>
      </c>
      <c r="CS1306" s="398">
        <v>10683</v>
      </c>
      <c r="CT1306" s="351">
        <f>CS1306</f>
        <v>10683</v>
      </c>
      <c r="CU1306" s="1"/>
      <c r="CV1306" s="398">
        <v>13773</v>
      </c>
      <c r="CW1306" s="398">
        <v>15390</v>
      </c>
      <c r="CX1306" s="351">
        <f>CW1306</f>
        <v>15390</v>
      </c>
      <c r="CZ1306" s="398">
        <v>9627</v>
      </c>
      <c r="DA1306" s="398">
        <v>8488</v>
      </c>
      <c r="DB1306" s="351">
        <f>DA1306</f>
        <v>8488</v>
      </c>
      <c r="DD1306" s="398">
        <v>7949</v>
      </c>
      <c r="DE1306" s="398">
        <v>9752</v>
      </c>
      <c r="DF1306" s="351">
        <f>DE1306</f>
        <v>9752</v>
      </c>
      <c r="DG1306" s="393">
        <f t="shared" ref="DG1306:DG1308" si="948">+DF1306/DB1306-1</f>
        <v>0.14891611687087658</v>
      </c>
      <c r="DH1306" s="398">
        <v>9971</v>
      </c>
      <c r="DI1306" s="351">
        <f ca="1">+DI1366*DI1364</f>
        <v>9476.326752287303</v>
      </c>
      <c r="DJ1306" s="351">
        <f ca="1">DI1306</f>
        <v>9476.326752287303</v>
      </c>
      <c r="DK1306" s="393">
        <f t="shared" ca="1" si="945"/>
        <v>-2.8268380610407817E-2</v>
      </c>
      <c r="DL1306" s="351">
        <f ca="1">+DL1366*DL1364</f>
        <v>9754.7318911514212</v>
      </c>
      <c r="DM1306" s="351">
        <f ca="1">+DM1366*DM1364</f>
        <v>10058.174721684634</v>
      </c>
      <c r="DN1306" s="351">
        <f ca="1">DM1306</f>
        <v>10058.174721684634</v>
      </c>
      <c r="DO1306" s="393">
        <f t="shared" ca="1" si="946"/>
        <v>6.1400159007485744E-2</v>
      </c>
      <c r="DP1306" s="351">
        <f ca="1">+DP1366*DP1364</f>
        <v>10292.710291762107</v>
      </c>
      <c r="DQ1306" s="351">
        <f ca="1">+DQ1366*DQ1364</f>
        <v>10550.192820914257</v>
      </c>
      <c r="DR1306" s="351">
        <f ca="1">DQ1306</f>
        <v>10550.192820914257</v>
      </c>
      <c r="DS1306" s="393">
        <f t="shared" ca="1" si="947"/>
        <v>4.8917235268231218E-2</v>
      </c>
      <c r="DT1306"/>
      <c r="DU1306"/>
      <c r="DV1306" s="1"/>
      <c r="DW1306" s="1"/>
      <c r="DX1306" s="1"/>
      <c r="DY1306" s="1"/>
      <c r="DZ1306" s="1"/>
      <c r="EA1306" s="1"/>
      <c r="EB1306" s="1"/>
      <c r="EC1306" s="1"/>
      <c r="ED1306" s="1"/>
      <c r="EE1306" s="1"/>
      <c r="EF1306" s="1"/>
      <c r="EG1306" s="1"/>
      <c r="EH1306" s="1"/>
      <c r="EI1306" s="1"/>
      <c r="EJ1306" s="1"/>
      <c r="EK1306" s="1"/>
      <c r="EL1306" s="1"/>
      <c r="EM1306" s="1"/>
      <c r="EN1306" s="1"/>
      <c r="EO1306" s="1"/>
      <c r="EP1306" s="1"/>
      <c r="EQ1306" s="1"/>
      <c r="ER1306" s="1"/>
      <c r="ES1306" s="1"/>
      <c r="ET1306" s="1"/>
      <c r="EU1306" s="1"/>
      <c r="EV1306" s="1"/>
      <c r="EW1306" s="1"/>
      <c r="EX1306" s="1"/>
      <c r="EY1306" s="1"/>
      <c r="EZ1306" s="1"/>
      <c r="FA1306" s="1"/>
      <c r="FB1306" s="1"/>
      <c r="FC1306" s="1"/>
      <c r="FD1306" s="1"/>
      <c r="FE1306" s="1"/>
      <c r="FF1306" s="1"/>
      <c r="FG1306" s="1"/>
      <c r="FH1306" s="1"/>
      <c r="FI1306" s="1"/>
      <c r="FJ1306" s="1"/>
      <c r="FK1306" s="1"/>
      <c r="FL1306" s="1"/>
      <c r="FM1306" s="1"/>
      <c r="FN1306" s="1"/>
      <c r="FO1306" s="1"/>
      <c r="FP1306" s="1"/>
      <c r="FQ1306" s="1"/>
      <c r="FR1306" s="1"/>
      <c r="FS1306" s="1"/>
      <c r="FT1306" s="1"/>
      <c r="FU1306" s="1"/>
      <c r="FV1306" s="1"/>
      <c r="FW1306" s="1"/>
      <c r="FX1306" s="1"/>
      <c r="FY1306" s="1"/>
      <c r="FZ1306" s="1"/>
      <c r="GA1306" s="1"/>
      <c r="GB1306" s="1"/>
      <c r="GC1306" s="1"/>
      <c r="GD1306" s="1"/>
      <c r="GE1306" s="1"/>
      <c r="GF1306" s="1"/>
      <c r="GG1306" s="1"/>
      <c r="GH1306" s="1"/>
      <c r="GI1306" s="1"/>
      <c r="GJ1306" s="1"/>
      <c r="GK1306" s="1"/>
      <c r="GL1306" s="1"/>
      <c r="GM1306" s="1"/>
      <c r="GN1306" s="1"/>
      <c r="GO1306" s="1"/>
      <c r="GP1306" s="1"/>
      <c r="GQ1306" s="1"/>
      <c r="GR1306" s="1"/>
      <c r="GS1306" s="1"/>
      <c r="GT1306" s="1"/>
      <c r="GU1306" s="1"/>
      <c r="GV1306" s="1"/>
      <c r="GW1306" s="1"/>
      <c r="GX1306" s="1"/>
      <c r="GY1306" s="1"/>
      <c r="GZ1306" s="1"/>
      <c r="HA1306" s="1"/>
      <c r="HB1306" s="1"/>
      <c r="HC1306" s="1"/>
      <c r="HD1306" s="1"/>
      <c r="HE1306" s="1"/>
      <c r="HF1306" s="1"/>
      <c r="HG1306" s="1"/>
      <c r="HH1306" s="1"/>
      <c r="HI1306" s="1"/>
      <c r="HJ1306" s="1"/>
      <c r="HK1306" s="1"/>
      <c r="HL1306" s="1"/>
      <c r="HM1306" s="1"/>
      <c r="HN1306" s="1"/>
      <c r="HO1306" s="1"/>
      <c r="HP1306" s="1"/>
      <c r="HQ1306" s="1"/>
      <c r="HR1306" s="1"/>
      <c r="HS1306" s="1"/>
      <c r="HT1306" s="1"/>
      <c r="HU1306" s="1"/>
      <c r="HV1306" s="1"/>
      <c r="HW1306" s="1"/>
      <c r="HX1306" s="1"/>
      <c r="HY1306" s="1"/>
      <c r="HZ1306" s="1"/>
      <c r="IA1306" s="1"/>
      <c r="IB1306" s="1"/>
      <c r="IC1306" s="1"/>
      <c r="ID1306" s="1"/>
      <c r="IE1306" s="1"/>
      <c r="IF1306" s="1"/>
      <c r="IG1306" s="1"/>
      <c r="IH1306" s="1"/>
      <c r="II1306" s="1"/>
      <c r="IJ1306" s="1"/>
      <c r="IK1306" s="1"/>
      <c r="IL1306" s="1"/>
      <c r="IM1306" s="1"/>
      <c r="IN1306" s="1"/>
      <c r="IO1306" s="1"/>
      <c r="IP1306" s="1"/>
      <c r="IQ1306" s="1"/>
      <c r="IR1306" s="1"/>
      <c r="IS1306" s="1"/>
      <c r="IT1306" s="1"/>
      <c r="IU1306" s="1"/>
      <c r="IV1306" s="1"/>
      <c r="IW1306" s="1"/>
      <c r="IX1306" s="1"/>
      <c r="IY1306" s="1"/>
      <c r="IZ1306" s="1"/>
      <c r="JA1306" s="1"/>
      <c r="JB1306" s="1"/>
      <c r="JC1306" s="1"/>
      <c r="JD1306" s="1"/>
    </row>
    <row r="1307" spans="1:264" s="347" customFormat="1" ht="15" x14ac:dyDescent="0.25">
      <c r="A1307" s="347" t="s">
        <v>788</v>
      </c>
      <c r="B1307" s="348"/>
      <c r="BE1307" s="398">
        <v>9765</v>
      </c>
      <c r="BF1307" s="351">
        <f>BE1307</f>
        <v>9765</v>
      </c>
      <c r="BH1307" s="398">
        <v>10996</v>
      </c>
      <c r="BI1307" s="398">
        <v>16289</v>
      </c>
      <c r="BJ1307" s="351">
        <f>BI1307</f>
        <v>16289</v>
      </c>
      <c r="BK1307" s="348"/>
      <c r="BL1307" s="398">
        <v>17543</v>
      </c>
      <c r="BM1307" s="398">
        <v>14762</v>
      </c>
      <c r="BN1307" s="351">
        <f>BM1307</f>
        <v>14762</v>
      </c>
      <c r="BO1307" s="348"/>
      <c r="BP1307" s="398">
        <v>4846</v>
      </c>
      <c r="BQ1307" s="398">
        <v>10847</v>
      </c>
      <c r="BR1307" s="351">
        <f>BQ1307</f>
        <v>10847</v>
      </c>
      <c r="BT1307" s="398">
        <v>17511</v>
      </c>
      <c r="BU1307" s="398">
        <v>7448</v>
      </c>
      <c r="BV1307" s="351">
        <f>BU1307</f>
        <v>7448</v>
      </c>
      <c r="BX1307" s="398">
        <v>23498</v>
      </c>
      <c r="BY1307" s="398">
        <v>21404</v>
      </c>
      <c r="BZ1307" s="351">
        <f>BY1307</f>
        <v>21404</v>
      </c>
      <c r="CB1307" s="398">
        <v>27944</v>
      </c>
      <c r="CC1307" s="398">
        <v>24381</v>
      </c>
      <c r="CD1307" s="351">
        <f>CC1307</f>
        <v>24381</v>
      </c>
      <c r="CF1307" s="398">
        <v>13872</v>
      </c>
      <c r="CG1307" s="398">
        <v>9898</v>
      </c>
      <c r="CH1307" s="351">
        <f>CG1307</f>
        <v>9898</v>
      </c>
      <c r="CJ1307" s="398">
        <v>8998</v>
      </c>
      <c r="CK1307" s="398">
        <v>11085</v>
      </c>
      <c r="CL1307" s="351">
        <f>CK1307</f>
        <v>11085</v>
      </c>
      <c r="CN1307" s="398">
        <v>15561</v>
      </c>
      <c r="CO1307" s="398">
        <v>14619</v>
      </c>
      <c r="CP1307" s="351">
        <f>CO1307</f>
        <v>14619</v>
      </c>
      <c r="CR1307" s="398">
        <v>24356</v>
      </c>
      <c r="CS1307" s="398">
        <v>47640</v>
      </c>
      <c r="CT1307" s="351">
        <f>CS1307</f>
        <v>47640</v>
      </c>
      <c r="CU1307" s="1"/>
      <c r="CV1307" s="398">
        <v>47850</v>
      </c>
      <c r="CW1307" s="398">
        <v>46578</v>
      </c>
      <c r="CX1307" s="351">
        <f>CW1307</f>
        <v>46578</v>
      </c>
      <c r="CZ1307" s="398">
        <v>40307</v>
      </c>
      <c r="DA1307" s="398">
        <v>43644</v>
      </c>
      <c r="DB1307" s="351">
        <f>DA1307</f>
        <v>43644</v>
      </c>
      <c r="DD1307" s="398">
        <v>41679</v>
      </c>
      <c r="DE1307" s="398">
        <v>39841</v>
      </c>
      <c r="DF1307" s="351">
        <f>DE1307</f>
        <v>39841</v>
      </c>
      <c r="DG1307" s="393">
        <f t="shared" si="948"/>
        <v>-8.7136834387315565E-2</v>
      </c>
      <c r="DH1307" s="398">
        <v>35179</v>
      </c>
      <c r="DI1307" s="351">
        <f ca="1">+DI1368*DI1364</f>
        <v>36406.842399528032</v>
      </c>
      <c r="DJ1307" s="351">
        <f ca="1">DI1307</f>
        <v>36406.842399528032</v>
      </c>
      <c r="DK1307" s="393">
        <f t="shared" ca="1" si="945"/>
        <v>-8.6196571383046816E-2</v>
      </c>
      <c r="DL1307" s="351">
        <f ca="1">+DL1368*DL1364</f>
        <v>37476.439541838277</v>
      </c>
      <c r="DM1307" s="351">
        <f ca="1">+DM1368*DM1364</f>
        <v>38642.228311819519</v>
      </c>
      <c r="DN1307" s="351">
        <f ca="1">DM1307</f>
        <v>38642.228311819519</v>
      </c>
      <c r="DO1307" s="393">
        <f t="shared" ca="1" si="946"/>
        <v>6.1400159007485522E-2</v>
      </c>
      <c r="DP1307" s="351">
        <f ca="1">+DP1368*DP1364</f>
        <v>39543.284149181083</v>
      </c>
      <c r="DQ1307" s="351">
        <f ca="1">+DQ1368*DQ1364</f>
        <v>40532.499285437494</v>
      </c>
      <c r="DR1307" s="351">
        <f ca="1">DQ1307</f>
        <v>40532.499285437494</v>
      </c>
      <c r="DS1307" s="393">
        <f t="shared" ca="1" si="947"/>
        <v>4.8917235268230996E-2</v>
      </c>
      <c r="DT1307"/>
      <c r="DU1307"/>
      <c r="DV1307" s="1"/>
      <c r="DW1307" s="1"/>
      <c r="DX1307" s="1"/>
      <c r="DY1307" s="1"/>
      <c r="DZ1307" s="1"/>
      <c r="EA1307" s="1"/>
      <c r="EB1307" s="1"/>
      <c r="EC1307" s="1"/>
      <c r="ED1307" s="1"/>
      <c r="EE1307" s="1"/>
      <c r="EF1307" s="1"/>
      <c r="EG1307" s="1"/>
      <c r="EH1307" s="1"/>
      <c r="EI1307" s="1"/>
      <c r="EJ1307" s="1"/>
      <c r="EK1307" s="1"/>
      <c r="EL1307" s="1"/>
      <c r="EM1307" s="1"/>
      <c r="EN1307" s="1"/>
      <c r="EO1307" s="1"/>
      <c r="EP1307" s="1"/>
      <c r="EQ1307" s="1"/>
      <c r="ER1307" s="1"/>
      <c r="ES1307" s="1"/>
      <c r="ET1307" s="1"/>
      <c r="EU1307" s="1"/>
      <c r="EV1307" s="1"/>
      <c r="EW1307" s="1"/>
      <c r="EX1307" s="1"/>
      <c r="EY1307" s="1"/>
      <c r="EZ1307" s="1"/>
      <c r="FA1307" s="1"/>
      <c r="FB1307" s="1"/>
      <c r="FC1307" s="1"/>
      <c r="FD1307" s="1"/>
      <c r="FE1307" s="1"/>
      <c r="FF1307" s="1"/>
      <c r="FG1307" s="1"/>
      <c r="FH1307" s="1"/>
      <c r="FI1307" s="1"/>
      <c r="FJ1307" s="1"/>
      <c r="FK1307" s="1"/>
      <c r="FL1307" s="1"/>
      <c r="FM1307" s="1"/>
      <c r="FN1307" s="1"/>
      <c r="FO1307" s="1"/>
      <c r="FP1307" s="1"/>
      <c r="FQ1307" s="1"/>
      <c r="FR1307" s="1"/>
      <c r="FS1307" s="1"/>
      <c r="FT1307" s="1"/>
      <c r="FU1307" s="1"/>
      <c r="FV1307" s="1"/>
      <c r="FW1307" s="1"/>
      <c r="FX1307" s="1"/>
      <c r="FY1307" s="1"/>
      <c r="FZ1307" s="1"/>
      <c r="GA1307" s="1"/>
      <c r="GB1307" s="1"/>
      <c r="GC1307" s="1"/>
      <c r="GD1307" s="1"/>
      <c r="GE1307" s="1"/>
      <c r="GF1307" s="1"/>
      <c r="GG1307" s="1"/>
      <c r="GH1307" s="1"/>
      <c r="GI1307" s="1"/>
      <c r="GJ1307" s="1"/>
      <c r="GK1307" s="1"/>
      <c r="GL1307" s="1"/>
      <c r="GM1307" s="1"/>
      <c r="GN1307" s="1"/>
      <c r="GO1307" s="1"/>
      <c r="GP1307" s="1"/>
      <c r="GQ1307" s="1"/>
      <c r="GR1307" s="1"/>
      <c r="GS1307" s="1"/>
      <c r="GT1307" s="1"/>
      <c r="GU1307" s="1"/>
      <c r="GV1307" s="1"/>
      <c r="GW1307" s="1"/>
      <c r="GX1307" s="1"/>
      <c r="GY1307" s="1"/>
      <c r="GZ1307" s="1"/>
      <c r="HA1307" s="1"/>
      <c r="HB1307" s="1"/>
      <c r="HC1307" s="1"/>
      <c r="HD1307" s="1"/>
      <c r="HE1307" s="1"/>
      <c r="HF1307" s="1"/>
      <c r="HG1307" s="1"/>
      <c r="HH1307" s="1"/>
      <c r="HI1307" s="1"/>
      <c r="HJ1307" s="1"/>
      <c r="HK1307" s="1"/>
      <c r="HL1307" s="1"/>
      <c r="HM1307" s="1"/>
      <c r="HN1307" s="1"/>
      <c r="HO1307" s="1"/>
      <c r="HP1307" s="1"/>
      <c r="HQ1307" s="1"/>
      <c r="HR1307" s="1"/>
      <c r="HS1307" s="1"/>
      <c r="HT1307" s="1"/>
      <c r="HU1307" s="1"/>
      <c r="HV1307" s="1"/>
      <c r="HW1307" s="1"/>
      <c r="HX1307" s="1"/>
      <c r="HY1307" s="1"/>
      <c r="HZ1307" s="1"/>
      <c r="IA1307" s="1"/>
      <c r="IB1307" s="1"/>
      <c r="IC1307" s="1"/>
      <c r="ID1307" s="1"/>
      <c r="IE1307" s="1"/>
      <c r="IF1307" s="1"/>
      <c r="IG1307" s="1"/>
      <c r="IH1307" s="1"/>
      <c r="II1307" s="1"/>
      <c r="IJ1307" s="1"/>
      <c r="IK1307" s="1"/>
      <c r="IL1307" s="1"/>
      <c r="IM1307" s="1"/>
      <c r="IN1307" s="1"/>
      <c r="IO1307" s="1"/>
      <c r="IP1307" s="1"/>
      <c r="IQ1307" s="1"/>
      <c r="IR1307" s="1"/>
      <c r="IS1307" s="1"/>
      <c r="IT1307" s="1"/>
      <c r="IU1307" s="1"/>
      <c r="IV1307" s="1"/>
      <c r="IW1307" s="1"/>
      <c r="IX1307" s="1"/>
      <c r="IY1307" s="1"/>
      <c r="IZ1307" s="1"/>
      <c r="JA1307" s="1"/>
      <c r="JB1307" s="1"/>
      <c r="JC1307" s="1"/>
      <c r="JD1307" s="1"/>
    </row>
    <row r="1308" spans="1:264" s="347" customFormat="1" ht="15" x14ac:dyDescent="0.25">
      <c r="A1308" s="347" t="s">
        <v>869</v>
      </c>
      <c r="B1308" s="348"/>
      <c r="BE1308" s="398">
        <v>26751</v>
      </c>
      <c r="BF1308" s="351">
        <f>BE1308</f>
        <v>26751</v>
      </c>
      <c r="BH1308" s="398">
        <v>27631</v>
      </c>
      <c r="BI1308" s="398">
        <v>28044</v>
      </c>
      <c r="BJ1308" s="351">
        <f>BI1308</f>
        <v>28044</v>
      </c>
      <c r="BK1308" s="348"/>
      <c r="BL1308" s="398">
        <v>28480</v>
      </c>
      <c r="BM1308" s="398">
        <v>28531</v>
      </c>
      <c r="BN1308" s="351">
        <f>BM1308</f>
        <v>28531</v>
      </c>
      <c r="BO1308" s="348"/>
      <c r="BP1308" s="398">
        <v>30212</v>
      </c>
      <c r="BQ1308" s="398">
        <v>32365</v>
      </c>
      <c r="BR1308" s="351">
        <f>BQ1308</f>
        <v>32365</v>
      </c>
      <c r="BT1308" s="398">
        <v>32743</v>
      </c>
      <c r="BU1308" s="398">
        <v>33750</v>
      </c>
      <c r="BV1308" s="351">
        <f>BU1308</f>
        <v>33750</v>
      </c>
      <c r="BX1308" s="398">
        <v>33750</v>
      </c>
      <c r="BY1308" s="398">
        <v>33750</v>
      </c>
      <c r="BZ1308" s="351">
        <f>BY1308</f>
        <v>33750</v>
      </c>
      <c r="CB1308" s="398">
        <v>41078</v>
      </c>
      <c r="CC1308" s="398">
        <v>56448</v>
      </c>
      <c r="CD1308" s="351">
        <f>CC1308</f>
        <v>56448</v>
      </c>
      <c r="CF1308" s="398">
        <v>56653</v>
      </c>
      <c r="CG1308" s="398">
        <v>59805</v>
      </c>
      <c r="CH1308" s="351">
        <f>CG1308</f>
        <v>59805</v>
      </c>
      <c r="CJ1308" s="398">
        <v>59511</v>
      </c>
      <c r="CK1308" s="398">
        <v>57212</v>
      </c>
      <c r="CL1308" s="351">
        <f>CK1308</f>
        <v>57212</v>
      </c>
      <c r="CN1308" s="398">
        <v>49994</v>
      </c>
      <c r="CO1308" s="398">
        <v>46204</v>
      </c>
      <c r="CP1308" s="351">
        <f>CO1308</f>
        <v>46204</v>
      </c>
      <c r="CR1308" s="398">
        <v>46081</v>
      </c>
      <c r="CS1308" s="398">
        <v>45922</v>
      </c>
      <c r="CT1308" s="351">
        <f>CS1308</f>
        <v>45922</v>
      </c>
      <c r="CU1308" s="1"/>
      <c r="CV1308" s="398">
        <v>40740</v>
      </c>
      <c r="CW1308" s="398">
        <v>43155</v>
      </c>
      <c r="CX1308" s="351">
        <f>CW1308</f>
        <v>43155</v>
      </c>
      <c r="CZ1308" s="398">
        <v>44975</v>
      </c>
      <c r="DA1308" s="398">
        <v>44975</v>
      </c>
      <c r="DB1308" s="351">
        <f>DA1308</f>
        <v>44975</v>
      </c>
      <c r="DD1308" s="398">
        <v>47624</v>
      </c>
      <c r="DE1308" s="398">
        <v>47624</v>
      </c>
      <c r="DF1308" s="351">
        <f>DE1308</f>
        <v>47624</v>
      </c>
      <c r="DG1308" s="393">
        <f t="shared" si="948"/>
        <v>5.8899388549193965E-2</v>
      </c>
      <c r="DH1308" s="398">
        <v>51041</v>
      </c>
      <c r="DI1308" s="351">
        <f ca="1">+DI1369*DI1364</f>
        <v>52822.469169513344</v>
      </c>
      <c r="DJ1308" s="351">
        <f ca="1">DI1308</f>
        <v>52822.469169513344</v>
      </c>
      <c r="DK1308" s="393">
        <f t="shared" ca="1" si="945"/>
        <v>0.10915650028375068</v>
      </c>
      <c r="DL1308" s="351">
        <f ca="1">+DL1369*DL1364</f>
        <v>54374.341244917916</v>
      </c>
      <c r="DM1308" s="351">
        <f ca="1">+DM1369*DM1364</f>
        <v>56065.777175689473</v>
      </c>
      <c r="DN1308" s="351">
        <f ca="1">DM1308</f>
        <v>56065.777175689473</v>
      </c>
      <c r="DO1308" s="393">
        <f t="shared" ca="1" si="946"/>
        <v>6.1400159007485744E-2</v>
      </c>
      <c r="DP1308" s="351">
        <f ca="1">+DP1369*DP1364</f>
        <v>57373.113683116389</v>
      </c>
      <c r="DQ1308" s="351">
        <f ca="1">+DQ1369*DQ1364</f>
        <v>58808.359988288903</v>
      </c>
      <c r="DR1308" s="351">
        <f ca="1">DQ1308</f>
        <v>58808.359988288903</v>
      </c>
      <c r="DS1308" s="393">
        <f t="shared" ca="1" si="947"/>
        <v>4.8917235268231218E-2</v>
      </c>
      <c r="DT1308"/>
      <c r="DU1308"/>
      <c r="DV1308" s="1"/>
      <c r="DW1308" s="1"/>
      <c r="DX1308" s="1"/>
      <c r="DY1308" s="1"/>
      <c r="DZ1308" s="1"/>
      <c r="EA1308" s="1"/>
      <c r="EB1308" s="1"/>
      <c r="EC1308" s="1"/>
      <c r="ED1308" s="1"/>
      <c r="EE1308" s="1"/>
      <c r="EF1308" s="1"/>
      <c r="EG1308" s="1"/>
      <c r="EH1308" s="1"/>
      <c r="EI1308" s="1"/>
      <c r="EJ1308" s="1"/>
      <c r="EK1308" s="1"/>
      <c r="EL1308" s="1"/>
      <c r="EM1308" s="1"/>
      <c r="EN1308" s="1"/>
      <c r="EO1308" s="1"/>
      <c r="EP1308" s="1"/>
      <c r="EQ1308" s="1"/>
      <c r="ER1308" s="1"/>
      <c r="ES1308" s="1"/>
      <c r="ET1308" s="1"/>
      <c r="EU1308" s="1"/>
      <c r="EV1308" s="1"/>
      <c r="EW1308" s="1"/>
      <c r="EX1308" s="1"/>
      <c r="EY1308" s="1"/>
      <c r="EZ1308" s="1"/>
      <c r="FA1308" s="1"/>
      <c r="FB1308" s="1"/>
      <c r="FC1308" s="1"/>
      <c r="FD1308" s="1"/>
      <c r="FE1308" s="1"/>
      <c r="FF1308" s="1"/>
      <c r="FG1308" s="1"/>
      <c r="FH1308" s="1"/>
      <c r="FI1308" s="1"/>
      <c r="FJ1308" s="1"/>
      <c r="FK1308" s="1"/>
      <c r="FL1308" s="1"/>
      <c r="FM1308" s="1"/>
      <c r="FN1308" s="1"/>
      <c r="FO1308" s="1"/>
      <c r="FP1308" s="1"/>
      <c r="FQ1308" s="1"/>
      <c r="FR1308" s="1"/>
      <c r="FS1308" s="1"/>
      <c r="FT1308" s="1"/>
      <c r="FU1308" s="1"/>
      <c r="FV1308" s="1"/>
      <c r="FW1308" s="1"/>
      <c r="FX1308" s="1"/>
      <c r="FY1308" s="1"/>
      <c r="FZ1308" s="1"/>
      <c r="GA1308" s="1"/>
      <c r="GB1308" s="1"/>
      <c r="GC1308" s="1"/>
      <c r="GD1308" s="1"/>
      <c r="GE1308" s="1"/>
      <c r="GF1308" s="1"/>
      <c r="GG1308" s="1"/>
      <c r="GH1308" s="1"/>
      <c r="GI1308" s="1"/>
      <c r="GJ1308" s="1"/>
      <c r="GK1308" s="1"/>
      <c r="GL1308" s="1"/>
      <c r="GM1308" s="1"/>
      <c r="GN1308" s="1"/>
      <c r="GO1308" s="1"/>
      <c r="GP1308" s="1"/>
      <c r="GQ1308" s="1"/>
      <c r="GR1308" s="1"/>
      <c r="GS1308" s="1"/>
      <c r="GT1308" s="1"/>
      <c r="GU1308" s="1"/>
      <c r="GV1308" s="1"/>
      <c r="GW1308" s="1"/>
      <c r="GX1308" s="1"/>
      <c r="GY1308" s="1"/>
      <c r="GZ1308" s="1"/>
      <c r="HA1308" s="1"/>
      <c r="HB1308" s="1"/>
      <c r="HC1308" s="1"/>
      <c r="HD1308" s="1"/>
      <c r="HE1308" s="1"/>
      <c r="HF1308" s="1"/>
      <c r="HG1308" s="1"/>
      <c r="HH1308" s="1"/>
      <c r="HI1308" s="1"/>
      <c r="HJ1308" s="1"/>
      <c r="HK1308" s="1"/>
      <c r="HL1308" s="1"/>
      <c r="HM1308" s="1"/>
      <c r="HN1308" s="1"/>
      <c r="HO1308" s="1"/>
      <c r="HP1308" s="1"/>
      <c r="HQ1308" s="1"/>
      <c r="HR1308" s="1"/>
      <c r="HS1308" s="1"/>
      <c r="HT1308" s="1"/>
      <c r="HU1308" s="1"/>
      <c r="HV1308" s="1"/>
      <c r="HW1308" s="1"/>
      <c r="HX1308" s="1"/>
      <c r="HY1308" s="1"/>
      <c r="HZ1308" s="1"/>
      <c r="IA1308" s="1"/>
      <c r="IB1308" s="1"/>
      <c r="IC1308" s="1"/>
      <c r="ID1308" s="1"/>
      <c r="IE1308" s="1"/>
      <c r="IF1308" s="1"/>
      <c r="IG1308" s="1"/>
      <c r="IH1308" s="1"/>
      <c r="II1308" s="1"/>
      <c r="IJ1308" s="1"/>
      <c r="IK1308" s="1"/>
      <c r="IL1308" s="1"/>
      <c r="IM1308" s="1"/>
      <c r="IN1308" s="1"/>
      <c r="IO1308" s="1"/>
      <c r="IP1308" s="1"/>
      <c r="IQ1308" s="1"/>
      <c r="IR1308" s="1"/>
      <c r="IS1308" s="1"/>
      <c r="IT1308" s="1"/>
      <c r="IU1308" s="1"/>
      <c r="IV1308" s="1"/>
      <c r="IW1308" s="1"/>
      <c r="IX1308" s="1"/>
      <c r="IY1308" s="1"/>
      <c r="IZ1308" s="1"/>
      <c r="JA1308" s="1"/>
      <c r="JB1308" s="1"/>
      <c r="JC1308" s="1"/>
      <c r="JD1308" s="1"/>
    </row>
    <row r="1309" spans="1:264" s="347" customFormat="1" ht="15" x14ac:dyDescent="0.25">
      <c r="A1309" s="347" t="s">
        <v>1171</v>
      </c>
      <c r="B1309" s="348"/>
      <c r="BE1309" s="398">
        <v>0</v>
      </c>
      <c r="BF1309" s="351">
        <f>BE1309</f>
        <v>0</v>
      </c>
      <c r="BH1309" s="398">
        <v>0</v>
      </c>
      <c r="BI1309" s="398">
        <v>0</v>
      </c>
      <c r="BJ1309" s="351">
        <f>BI1309</f>
        <v>0</v>
      </c>
      <c r="BK1309" s="348"/>
      <c r="BL1309" s="398">
        <v>0</v>
      </c>
      <c r="BM1309" s="398">
        <v>0</v>
      </c>
      <c r="BN1309" s="351">
        <f>BM1309</f>
        <v>0</v>
      </c>
      <c r="BO1309" s="348"/>
      <c r="BP1309" s="398">
        <v>0</v>
      </c>
      <c r="BQ1309" s="398">
        <v>0</v>
      </c>
      <c r="BR1309" s="351">
        <f>BQ1309</f>
        <v>0</v>
      </c>
      <c r="BT1309" s="398">
        <v>0</v>
      </c>
      <c r="BU1309" s="398">
        <v>0</v>
      </c>
      <c r="BV1309" s="351">
        <f>BU1309</f>
        <v>0</v>
      </c>
      <c r="BX1309" s="398">
        <v>0</v>
      </c>
      <c r="BY1309" s="398">
        <v>0</v>
      </c>
      <c r="BZ1309" s="351">
        <f>BY1309</f>
        <v>0</v>
      </c>
      <c r="CB1309" s="398">
        <v>0</v>
      </c>
      <c r="CC1309" s="398">
        <v>0</v>
      </c>
      <c r="CD1309" s="351">
        <f>CC1309</f>
        <v>0</v>
      </c>
      <c r="CF1309" s="398">
        <v>0</v>
      </c>
      <c r="CG1309" s="398">
        <v>0</v>
      </c>
      <c r="CH1309" s="351">
        <f>CG1309</f>
        <v>0</v>
      </c>
      <c r="CJ1309" s="398">
        <v>0</v>
      </c>
      <c r="CK1309" s="398">
        <v>0</v>
      </c>
      <c r="CL1309" s="351">
        <f>CK1309</f>
        <v>0</v>
      </c>
      <c r="CN1309" s="398">
        <v>0</v>
      </c>
      <c r="CO1309" s="398">
        <v>0</v>
      </c>
      <c r="CP1309" s="351">
        <f>CO1309</f>
        <v>0</v>
      </c>
      <c r="CR1309" s="398">
        <v>0</v>
      </c>
      <c r="CS1309" s="398">
        <v>0</v>
      </c>
      <c r="CT1309" s="351">
        <f>CS1309</f>
        <v>0</v>
      </c>
      <c r="CU1309" s="1"/>
      <c r="CV1309" s="398">
        <v>0</v>
      </c>
      <c r="CW1309" s="398">
        <v>0</v>
      </c>
      <c r="CX1309" s="351">
        <f>CW1309</f>
        <v>0</v>
      </c>
      <c r="CZ1309" s="398">
        <v>0</v>
      </c>
      <c r="DA1309" s="398">
        <v>0</v>
      </c>
      <c r="DB1309" s="351">
        <f>DA1309</f>
        <v>0</v>
      </c>
      <c r="DD1309" s="398">
        <v>0</v>
      </c>
      <c r="DE1309" s="398">
        <v>0</v>
      </c>
      <c r="DF1309" s="351">
        <f>DE1309</f>
        <v>0</v>
      </c>
      <c r="DG1309" s="393"/>
      <c r="DH1309" s="398">
        <v>0</v>
      </c>
      <c r="DI1309" s="351">
        <f ca="1">DI1389</f>
        <v>0</v>
      </c>
      <c r="DJ1309" s="351">
        <f ca="1">DI1309</f>
        <v>0</v>
      </c>
      <c r="DK1309" s="393"/>
      <c r="DL1309" s="351">
        <f ca="1">DL1389</f>
        <v>0</v>
      </c>
      <c r="DM1309" s="351">
        <f ca="1">DM1389</f>
        <v>0</v>
      </c>
      <c r="DN1309" s="351">
        <f ca="1">DM1309</f>
        <v>0</v>
      </c>
      <c r="DO1309" s="393"/>
      <c r="DP1309" s="351">
        <f ca="1">DP1389</f>
        <v>0</v>
      </c>
      <c r="DQ1309" s="351">
        <f ca="1">DQ1389</f>
        <v>0</v>
      </c>
      <c r="DR1309" s="351">
        <f ca="1">DQ1309</f>
        <v>0</v>
      </c>
      <c r="DS1309" s="393"/>
      <c r="DT1309"/>
      <c r="DU1309"/>
      <c r="DV1309" s="1"/>
      <c r="DW1309" s="1"/>
      <c r="DX1309" s="1"/>
      <c r="DY1309" s="1"/>
      <c r="DZ1309" s="1"/>
      <c r="EA1309" s="1"/>
      <c r="EB1309" s="1"/>
      <c r="EC1309" s="1"/>
      <c r="ED1309" s="1"/>
      <c r="EE1309" s="1"/>
      <c r="EF1309" s="1"/>
      <c r="EG1309" s="1"/>
      <c r="EH1309" s="1"/>
      <c r="EI1309" s="1"/>
      <c r="EJ1309" s="1"/>
      <c r="EK1309" s="1"/>
      <c r="EL1309" s="1"/>
      <c r="EM1309" s="1"/>
      <c r="EN1309" s="1"/>
      <c r="EO1309" s="1"/>
      <c r="EP1309" s="1"/>
      <c r="EQ1309" s="1"/>
      <c r="ER1309" s="1"/>
      <c r="ES1309" s="1"/>
      <c r="ET1309" s="1"/>
      <c r="EU1309" s="1"/>
      <c r="EV1309" s="1"/>
      <c r="EW1309" s="1"/>
      <c r="EX1309" s="1"/>
      <c r="EY1309" s="1"/>
      <c r="EZ1309" s="1"/>
      <c r="FA1309" s="1"/>
      <c r="FB1309" s="1"/>
      <c r="FC1309" s="1"/>
      <c r="FD1309" s="1"/>
      <c r="FE1309" s="1"/>
      <c r="FF1309" s="1"/>
      <c r="FG1309" s="1"/>
      <c r="FH1309" s="1"/>
      <c r="FI1309" s="1"/>
      <c r="FJ1309" s="1"/>
      <c r="FK1309" s="1"/>
      <c r="FL1309" s="1"/>
      <c r="FM1309" s="1"/>
      <c r="FN1309" s="1"/>
      <c r="FO1309" s="1"/>
      <c r="FP1309" s="1"/>
      <c r="FQ1309" s="1"/>
      <c r="FR1309" s="1"/>
      <c r="FS1309" s="1"/>
      <c r="FT1309" s="1"/>
      <c r="FU1309" s="1"/>
      <c r="FV1309" s="1"/>
      <c r="FW1309" s="1"/>
      <c r="FX1309" s="1"/>
      <c r="FY1309" s="1"/>
      <c r="FZ1309" s="1"/>
      <c r="GA1309" s="1"/>
      <c r="GB1309" s="1"/>
      <c r="GC1309" s="1"/>
      <c r="GD1309" s="1"/>
      <c r="GE1309" s="1"/>
      <c r="GF1309" s="1"/>
      <c r="GG1309" s="1"/>
      <c r="GH1309" s="1"/>
      <c r="GI1309" s="1"/>
      <c r="GJ1309" s="1"/>
      <c r="GK1309" s="1"/>
      <c r="GL1309" s="1"/>
      <c r="GM1309" s="1"/>
      <c r="GN1309" s="1"/>
      <c r="GO1309" s="1"/>
      <c r="GP1309" s="1"/>
      <c r="GQ1309" s="1"/>
      <c r="GR1309" s="1"/>
      <c r="GS1309" s="1"/>
      <c r="GT1309" s="1"/>
      <c r="GU1309" s="1"/>
      <c r="GV1309" s="1"/>
      <c r="GW1309" s="1"/>
      <c r="GX1309" s="1"/>
      <c r="GY1309" s="1"/>
      <c r="GZ1309" s="1"/>
      <c r="HA1309" s="1"/>
      <c r="HB1309" s="1"/>
      <c r="HC1309" s="1"/>
      <c r="HD1309" s="1"/>
      <c r="HE1309" s="1"/>
      <c r="HF1309" s="1"/>
      <c r="HG1309" s="1"/>
      <c r="HH1309" s="1"/>
      <c r="HI1309" s="1"/>
      <c r="HJ1309" s="1"/>
      <c r="HK1309" s="1"/>
      <c r="HL1309" s="1"/>
      <c r="HM1309" s="1"/>
      <c r="HN1309" s="1"/>
      <c r="HO1309" s="1"/>
      <c r="HP1309" s="1"/>
      <c r="HQ1309" s="1"/>
      <c r="HR1309" s="1"/>
      <c r="HS1309" s="1"/>
      <c r="HT1309" s="1"/>
      <c r="HU1309" s="1"/>
      <c r="HV1309" s="1"/>
      <c r="HW1309" s="1"/>
      <c r="HX1309" s="1"/>
      <c r="HY1309" s="1"/>
      <c r="HZ1309" s="1"/>
      <c r="IA1309" s="1"/>
      <c r="IB1309" s="1"/>
      <c r="IC1309" s="1"/>
      <c r="ID1309" s="1"/>
      <c r="IE1309" s="1"/>
      <c r="IF1309" s="1"/>
      <c r="IG1309" s="1"/>
      <c r="IH1309" s="1"/>
      <c r="II1309" s="1"/>
      <c r="IJ1309" s="1"/>
      <c r="IK1309" s="1"/>
      <c r="IL1309" s="1"/>
      <c r="IM1309" s="1"/>
      <c r="IN1309" s="1"/>
      <c r="IO1309" s="1"/>
      <c r="IP1309" s="1"/>
      <c r="IQ1309" s="1"/>
      <c r="IR1309" s="1"/>
      <c r="IS1309" s="1"/>
      <c r="IT1309" s="1"/>
      <c r="IU1309" s="1"/>
      <c r="IV1309" s="1"/>
      <c r="IW1309" s="1"/>
      <c r="IX1309" s="1"/>
      <c r="IY1309" s="1"/>
      <c r="IZ1309" s="1"/>
      <c r="JA1309" s="1"/>
      <c r="JB1309" s="1"/>
      <c r="JC1309" s="1"/>
      <c r="JD1309" s="1"/>
    </row>
    <row r="1310" spans="1:264" s="411" customFormat="1" ht="15" x14ac:dyDescent="0.25">
      <c r="A1310" s="411" t="s">
        <v>870</v>
      </c>
      <c r="B1310" s="423"/>
      <c r="BE1310" s="397">
        <f>SUM(BE1305:BE1309)</f>
        <v>302787</v>
      </c>
      <c r="BF1310" s="397">
        <f>SUM(BF1305:BF1309)</f>
        <v>302787</v>
      </c>
      <c r="BH1310" s="397">
        <f>SUM(BH1305:BH1309)</f>
        <v>314942</v>
      </c>
      <c r="BI1310" s="397">
        <f>SUM(BI1305:BI1309)</f>
        <v>329158</v>
      </c>
      <c r="BJ1310" s="397">
        <f>SUM(BJ1305:BJ1309)</f>
        <v>329158</v>
      </c>
      <c r="BK1310" s="428">
        <f>+BJ1310/BF1310-1</f>
        <v>8.7094227955625492E-2</v>
      </c>
      <c r="BL1310" s="397">
        <f>SUM(BL1305:BL1309)</f>
        <v>334197</v>
      </c>
      <c r="BM1310" s="397">
        <f>SUM(BM1305:BM1309)</f>
        <v>337715</v>
      </c>
      <c r="BN1310" s="397">
        <f>SUM(BN1305:BN1309)</f>
        <v>337715</v>
      </c>
      <c r="BO1310" s="428">
        <f>+BN1310/BJ1310-1</f>
        <v>2.59966338354225E-2</v>
      </c>
      <c r="BP1310" s="397">
        <f>SUM(BP1305:BP1309)</f>
        <v>353048</v>
      </c>
      <c r="BQ1310" s="397">
        <f>SUM(BQ1305:BQ1309)</f>
        <v>368721</v>
      </c>
      <c r="BR1310" s="397">
        <f>SUM(BR1305:BR1309)</f>
        <v>368721</v>
      </c>
      <c r="BS1310" s="428">
        <f>+BR1310/BN1310-1</f>
        <v>9.1811142531424528E-2</v>
      </c>
      <c r="BT1310" s="397">
        <f>SUM(BT1305:BT1309)</f>
        <v>392662</v>
      </c>
      <c r="BU1310" s="397">
        <f>SUM(BU1305:BU1309)</f>
        <v>394667</v>
      </c>
      <c r="BV1310" s="397">
        <f>SUM(BV1305:BV1309)</f>
        <v>394667</v>
      </c>
      <c r="BW1310" s="428">
        <f>+BV1310/BR1310-1</f>
        <v>7.0367567890085025E-2</v>
      </c>
      <c r="BX1310" s="397">
        <f>SUM(BX1305:BX1309)</f>
        <v>436481</v>
      </c>
      <c r="BY1310" s="397">
        <f>SUM(BY1305:BY1309)</f>
        <v>437063</v>
      </c>
      <c r="BZ1310" s="397">
        <f>SUM(BZ1305:BZ1309)</f>
        <v>437063</v>
      </c>
      <c r="CA1310" s="428">
        <f>+BZ1310/BV1310-1</f>
        <v>0.10742220656908219</v>
      </c>
      <c r="CB1310" s="397">
        <f>SUM(CB1305:CB1309)</f>
        <v>440836</v>
      </c>
      <c r="CC1310" s="397">
        <f>SUM(CC1305:CC1309)</f>
        <v>458612</v>
      </c>
      <c r="CD1310" s="397">
        <f>SUM(CD1305:CD1309)</f>
        <v>458612</v>
      </c>
      <c r="CE1310" s="428">
        <f>+CD1310/BZ1310-1</f>
        <v>4.9304104900208978E-2</v>
      </c>
      <c r="CF1310" s="397">
        <f>SUM(CF1305:CF1309)</f>
        <v>445144</v>
      </c>
      <c r="CG1310" s="397">
        <f>SUM(CG1305:CG1309)</f>
        <v>452762</v>
      </c>
      <c r="CH1310" s="397">
        <f>SUM(CH1305:CH1309)</f>
        <v>452762</v>
      </c>
      <c r="CI1310" s="428">
        <f>+CH1310/CD1310-1</f>
        <v>-1.275588078811718E-2</v>
      </c>
      <c r="CJ1310" s="397">
        <f>SUM(CJ1305:CJ1309)</f>
        <v>449154</v>
      </c>
      <c r="CK1310" s="397">
        <f>SUM(CK1305:CK1309)</f>
        <v>454948</v>
      </c>
      <c r="CL1310" s="397">
        <f>SUM(CL1305:CL1309)</f>
        <v>454948</v>
      </c>
      <c r="CM1310" s="428">
        <f>+CL1310/CH1310-1</f>
        <v>4.8281437046395759E-3</v>
      </c>
      <c r="CN1310" s="397">
        <f>SUM(CN1305:CN1309)</f>
        <v>453616</v>
      </c>
      <c r="CO1310" s="397">
        <f>SUM(CO1305:CO1309)</f>
        <v>450680</v>
      </c>
      <c r="CP1310" s="397">
        <f>SUM(CP1305:CP1309)</f>
        <v>450680</v>
      </c>
      <c r="CQ1310" s="428">
        <f>+CP1310/CL1310-1</f>
        <v>-9.3812919278686291E-3</v>
      </c>
      <c r="CR1310" s="397">
        <f>SUM(CR1305:CR1309)</f>
        <v>471927</v>
      </c>
      <c r="CS1310" s="397">
        <f>SUM(CS1305:CS1309)</f>
        <v>497892</v>
      </c>
      <c r="CT1310" s="397">
        <f>SUM(CT1305:CT1309)</f>
        <v>497892</v>
      </c>
      <c r="CU1310" s="428">
        <f>+CT1310/CP1310-1</f>
        <v>0.10475725570249406</v>
      </c>
      <c r="CV1310" s="397">
        <f>SUM(CV1305:CV1309)</f>
        <v>504380</v>
      </c>
      <c r="CW1310" s="397">
        <f>SUM(CW1305:CW1309)</f>
        <v>467992</v>
      </c>
      <c r="CX1310" s="397">
        <f>SUM(CX1305:CX1309)</f>
        <v>467992</v>
      </c>
      <c r="CY1310" s="428">
        <f>+CX1310/CT1310-1</f>
        <v>-6.0053184224691303E-2</v>
      </c>
      <c r="CZ1310" s="397">
        <f>SUM(CZ1305:CZ1309)</f>
        <v>463644</v>
      </c>
      <c r="DA1310" s="397">
        <f>SUM(DA1305:DA1309)</f>
        <v>467551</v>
      </c>
      <c r="DB1310" s="397">
        <f>SUM(DB1305:DB1309)</f>
        <v>467551</v>
      </c>
      <c r="DC1310" s="428">
        <f>+DB1310/CX1310-1</f>
        <v>-9.4232380040681907E-4</v>
      </c>
      <c r="DD1310" s="397">
        <f>SUM(DD1305:DD1309)</f>
        <v>482369</v>
      </c>
      <c r="DE1310" s="397">
        <f>SUM(DE1305:DE1309)</f>
        <v>496145</v>
      </c>
      <c r="DF1310" s="397">
        <f>SUM(DF1305:DF1309)</f>
        <v>496145</v>
      </c>
      <c r="DG1310" s="428">
        <f>+DF1310/DB1310-1</f>
        <v>6.1156964694760507E-2</v>
      </c>
      <c r="DH1310" s="397">
        <f>SUM(DH1305:DH1309)</f>
        <v>505310</v>
      </c>
      <c r="DI1310" s="397">
        <f t="shared" ref="DI1310:DJ1310" ca="1" si="949">SUM(DI1305:DI1309)</f>
        <v>521741.34049958026</v>
      </c>
      <c r="DJ1310" s="397">
        <f t="shared" ca="1" si="949"/>
        <v>521741.34049958026</v>
      </c>
      <c r="DK1310" s="428">
        <f ca="1">+DJ1310/DF1310-1</f>
        <v>5.1590443317135692E-2</v>
      </c>
      <c r="DL1310" s="397">
        <f ca="1">SUM(DL1305:DL1309)</f>
        <v>536210.95051395218</v>
      </c>
      <c r="DM1310" s="397">
        <f t="shared" ref="DM1310" ca="1" si="950">SUM(DM1305:DM1309)</f>
        <v>553612.97920815484</v>
      </c>
      <c r="DN1310" s="397">
        <f t="shared" ref="DN1310" ca="1" si="951">SUM(DN1305:DN1309)</f>
        <v>553612.97920815484</v>
      </c>
      <c r="DO1310" s="428">
        <f ca="1">+DN1310/DJ1310-1</f>
        <v>6.108704876262383E-2</v>
      </c>
      <c r="DP1310" s="397">
        <f ca="1">SUM(DP1305:DP1309)</f>
        <v>566286.65944311023</v>
      </c>
      <c r="DQ1310" s="397">
        <f t="shared" ref="DQ1310" ca="1" si="952">SUM(DQ1305:DQ1309)</f>
        <v>580940.89526119281</v>
      </c>
      <c r="DR1310" s="397">
        <f t="shared" ref="DR1310" ca="1" si="953">SUM(DR1305:DR1309)</f>
        <v>580940.89526119281</v>
      </c>
      <c r="DS1310" s="428">
        <f ca="1">+DR1310/DN1310-1</f>
        <v>4.9362852894319298E-2</v>
      </c>
      <c r="DT1310"/>
      <c r="DU1310"/>
      <c r="DV1310" s="1"/>
      <c r="DW1310" s="1"/>
      <c r="DX1310" s="1"/>
      <c r="DY1310" s="1"/>
      <c r="DZ1310" s="1"/>
      <c r="EA1310" s="1"/>
      <c r="EB1310" s="1"/>
      <c r="EC1310" s="1"/>
      <c r="ED1310" s="1"/>
      <c r="EE1310" s="1"/>
      <c r="EF1310" s="1"/>
      <c r="EG1310" s="1"/>
      <c r="EH1310" s="1"/>
      <c r="EI1310" s="1"/>
      <c r="EJ1310" s="1"/>
      <c r="EK1310" s="1"/>
      <c r="EL1310" s="1"/>
      <c r="EM1310" s="1"/>
      <c r="EN1310" s="1"/>
      <c r="EO1310" s="1"/>
      <c r="EP1310" s="1"/>
      <c r="EQ1310" s="1"/>
      <c r="ER1310" s="1"/>
      <c r="ES1310" s="1"/>
      <c r="ET1310" s="1"/>
      <c r="EU1310" s="1"/>
      <c r="EV1310" s="1"/>
      <c r="EW1310" s="1"/>
      <c r="EX1310" s="1"/>
      <c r="EY1310" s="1"/>
      <c r="EZ1310" s="1"/>
      <c r="FA1310" s="1"/>
      <c r="FB1310" s="1"/>
      <c r="FC1310" s="1"/>
      <c r="FD1310" s="1"/>
      <c r="FE1310" s="1"/>
      <c r="FF1310" s="1"/>
      <c r="FG1310" s="1"/>
      <c r="FH1310" s="1"/>
      <c r="FI1310" s="1"/>
      <c r="FJ1310" s="1"/>
      <c r="FK1310" s="1"/>
      <c r="FL1310" s="1"/>
      <c r="FM1310" s="1"/>
      <c r="FN1310" s="1"/>
      <c r="FO1310" s="1"/>
      <c r="FP1310" s="1"/>
      <c r="FQ1310" s="1"/>
      <c r="FR1310" s="1"/>
      <c r="FS1310" s="1"/>
      <c r="FT1310" s="1"/>
      <c r="FU1310" s="1"/>
      <c r="FV1310" s="1"/>
      <c r="FW1310" s="1"/>
      <c r="FX1310" s="1"/>
      <c r="FY1310" s="1"/>
      <c r="FZ1310" s="1"/>
      <c r="GA1310" s="1"/>
      <c r="GB1310" s="1"/>
      <c r="GC1310" s="1"/>
      <c r="GD1310" s="1"/>
      <c r="GE1310" s="1"/>
      <c r="GF1310" s="1"/>
      <c r="GG1310" s="1"/>
      <c r="GH1310" s="1"/>
      <c r="GI1310" s="1"/>
      <c r="GJ1310" s="1"/>
      <c r="GK1310" s="1"/>
      <c r="GL1310" s="1"/>
      <c r="GM1310" s="1"/>
      <c r="GN1310" s="1"/>
      <c r="GO1310" s="1"/>
      <c r="GP1310" s="1"/>
      <c r="GQ1310" s="1"/>
      <c r="GR1310" s="1"/>
      <c r="GS1310" s="1"/>
      <c r="GT1310" s="1"/>
      <c r="GU1310" s="1"/>
      <c r="GV1310" s="1"/>
      <c r="GW1310" s="1"/>
      <c r="GX1310" s="1"/>
      <c r="GY1310" s="1"/>
      <c r="GZ1310" s="1"/>
      <c r="HA1310" s="1"/>
      <c r="HB1310" s="1"/>
      <c r="HC1310" s="1"/>
      <c r="HD1310" s="1"/>
      <c r="HE1310" s="1"/>
      <c r="HF1310" s="1"/>
      <c r="HG1310" s="1"/>
      <c r="HH1310" s="1"/>
      <c r="HI1310" s="1"/>
      <c r="HJ1310" s="1"/>
      <c r="HK1310" s="1"/>
      <c r="HL1310" s="1"/>
      <c r="HM1310" s="1"/>
      <c r="HN1310" s="1"/>
      <c r="HO1310" s="1"/>
      <c r="HP1310" s="1"/>
      <c r="HQ1310" s="1"/>
      <c r="HR1310" s="1"/>
      <c r="HS1310" s="1"/>
      <c r="HT1310" s="1"/>
      <c r="HU1310" s="1"/>
      <c r="HV1310" s="1"/>
      <c r="HW1310" s="1"/>
      <c r="HX1310" s="1"/>
      <c r="HY1310" s="1"/>
      <c r="HZ1310" s="1"/>
      <c r="IA1310" s="1"/>
      <c r="IB1310" s="1"/>
      <c r="IC1310" s="1"/>
      <c r="ID1310" s="1"/>
      <c r="IE1310" s="1"/>
      <c r="IF1310" s="1"/>
      <c r="IG1310" s="1"/>
      <c r="IH1310" s="1"/>
      <c r="II1310" s="1"/>
      <c r="IJ1310" s="1"/>
      <c r="IK1310" s="1"/>
      <c r="IL1310" s="1"/>
      <c r="IM1310" s="1"/>
      <c r="IN1310" s="1"/>
      <c r="IO1310" s="1"/>
      <c r="IP1310" s="1"/>
      <c r="IQ1310" s="1"/>
      <c r="IR1310" s="1"/>
      <c r="IS1310" s="1"/>
      <c r="IT1310" s="1"/>
      <c r="IU1310" s="1"/>
      <c r="IV1310" s="1"/>
      <c r="IW1310" s="1"/>
      <c r="IX1310" s="1"/>
      <c r="IY1310" s="1"/>
      <c r="IZ1310" s="1"/>
      <c r="JA1310" s="1"/>
      <c r="JB1310" s="1"/>
      <c r="JC1310" s="1"/>
      <c r="JD1310" s="1"/>
    </row>
    <row r="1311" spans="1:264" s="347" customFormat="1" ht="15" x14ac:dyDescent="0.25">
      <c r="B1311" s="348"/>
      <c r="BH1311" s="348"/>
      <c r="BI1311" s="348"/>
      <c r="BJ1311" s="348"/>
      <c r="BK1311" s="348"/>
      <c r="BL1311" s="348"/>
      <c r="BM1311" s="348"/>
      <c r="BN1311" s="348"/>
      <c r="BO1311" s="348"/>
      <c r="BP1311" s="348"/>
      <c r="BQ1311" s="348"/>
      <c r="BR1311" s="348"/>
      <c r="BT1311" s="348"/>
      <c r="BU1311" s="348"/>
      <c r="BV1311" s="348"/>
      <c r="BW1311" s="400"/>
      <c r="BX1311" s="351"/>
      <c r="BY1311" s="348"/>
      <c r="BZ1311" s="348"/>
      <c r="CA1311" s="400"/>
      <c r="CB1311" s="351"/>
      <c r="CC1311" s="348"/>
      <c r="CD1311" s="348"/>
      <c r="CF1311" s="351"/>
      <c r="CG1311" s="348"/>
      <c r="CH1311" s="348"/>
      <c r="CJ1311" s="351"/>
      <c r="CK1311" s="348"/>
      <c r="CL1311" s="348"/>
      <c r="CN1311" s="789"/>
      <c r="CO1311" s="348"/>
      <c r="CP1311" s="348"/>
      <c r="CR1311" s="351"/>
      <c r="CS1311" s="348"/>
      <c r="CT1311" s="348"/>
      <c r="CU1311" s="400"/>
      <c r="CV1311" s="351"/>
      <c r="CW1311" s="348"/>
      <c r="CX1311" s="348"/>
      <c r="CY1311" s="1"/>
      <c r="CZ1311" s="351"/>
      <c r="DA1311" s="348"/>
      <c r="DB1311" s="348"/>
      <c r="DC1311" s="1"/>
      <c r="DD1311" s="351"/>
      <c r="DE1311" s="348"/>
      <c r="DF1311" s="348"/>
      <c r="DG1311" s="1"/>
      <c r="DH1311" s="351"/>
      <c r="DI1311" s="1"/>
      <c r="DJ1311" s="1"/>
      <c r="DL1311" s="1"/>
      <c r="DM1311" s="1"/>
      <c r="DN1311" s="1"/>
      <c r="DP1311" s="1"/>
      <c r="DQ1311" s="1"/>
      <c r="DR1311" s="1"/>
      <c r="DT1311"/>
      <c r="DU1311"/>
      <c r="DV1311" s="1"/>
      <c r="DW1311" s="1"/>
      <c r="DX1311" s="1"/>
      <c r="DY1311" s="1"/>
      <c r="DZ1311" s="1"/>
      <c r="EA1311" s="1"/>
      <c r="EB1311" s="1"/>
      <c r="EC1311" s="1"/>
      <c r="ED1311" s="1"/>
      <c r="EE1311" s="1"/>
      <c r="EF1311" s="1"/>
      <c r="EG1311" s="1"/>
      <c r="EH1311" s="1"/>
      <c r="EI1311" s="1"/>
      <c r="EJ1311" s="1"/>
      <c r="EK1311" s="1"/>
      <c r="EL1311" s="1"/>
      <c r="EM1311" s="1"/>
      <c r="EN1311" s="1"/>
      <c r="EO1311" s="1"/>
      <c r="EP1311" s="1"/>
      <c r="EQ1311" s="1"/>
      <c r="ER1311" s="1"/>
      <c r="ES1311" s="1"/>
      <c r="ET1311" s="1"/>
      <c r="EU1311" s="1"/>
      <c r="EV1311" s="1"/>
      <c r="EW1311" s="1"/>
      <c r="EX1311" s="1"/>
      <c r="EY1311" s="1"/>
      <c r="EZ1311" s="1"/>
      <c r="FA1311" s="1"/>
      <c r="FB1311" s="1"/>
      <c r="FC1311" s="1"/>
      <c r="FD1311" s="1"/>
      <c r="FE1311" s="1"/>
      <c r="FF1311" s="1"/>
      <c r="FG1311" s="1"/>
      <c r="FH1311" s="1"/>
      <c r="FI1311" s="1"/>
      <c r="FJ1311" s="1"/>
      <c r="FK1311" s="1"/>
      <c r="FL1311" s="1"/>
      <c r="FM1311" s="1"/>
      <c r="FN1311" s="1"/>
      <c r="FO1311" s="1"/>
      <c r="FP1311" s="1"/>
      <c r="FQ1311" s="1"/>
      <c r="FR1311" s="1"/>
      <c r="FS1311" s="1"/>
      <c r="FT1311" s="1"/>
      <c r="FU1311" s="1"/>
      <c r="FV1311" s="1"/>
      <c r="FW1311" s="1"/>
      <c r="FX1311" s="1"/>
      <c r="FY1311" s="1"/>
      <c r="FZ1311" s="1"/>
      <c r="GA1311" s="1"/>
      <c r="GB1311" s="1"/>
      <c r="GC1311" s="1"/>
      <c r="GD1311" s="1"/>
      <c r="GE1311" s="1"/>
      <c r="GF1311" s="1"/>
      <c r="GG1311" s="1"/>
      <c r="GH1311" s="1"/>
      <c r="GI1311" s="1"/>
      <c r="GJ1311" s="1"/>
      <c r="GK1311" s="1"/>
      <c r="GL1311" s="1"/>
      <c r="GM1311" s="1"/>
      <c r="GN1311" s="1"/>
      <c r="GO1311" s="1"/>
      <c r="GP1311" s="1"/>
      <c r="GQ1311" s="1"/>
      <c r="GR1311" s="1"/>
      <c r="GS1311" s="1"/>
      <c r="GT1311" s="1"/>
      <c r="GU1311" s="1"/>
      <c r="GV1311" s="1"/>
      <c r="GW1311" s="1"/>
      <c r="GX1311" s="1"/>
      <c r="GY1311" s="1"/>
      <c r="GZ1311" s="1"/>
      <c r="HA1311" s="1"/>
      <c r="HB1311" s="1"/>
      <c r="HC1311" s="1"/>
      <c r="HD1311" s="1"/>
      <c r="HE1311" s="1"/>
      <c r="HF1311" s="1"/>
      <c r="HG1311" s="1"/>
      <c r="HH1311" s="1"/>
      <c r="HI1311" s="1"/>
      <c r="HJ1311" s="1"/>
      <c r="HK1311" s="1"/>
      <c r="HL1311" s="1"/>
      <c r="HM1311" s="1"/>
      <c r="HN1311" s="1"/>
      <c r="HO1311" s="1"/>
      <c r="HP1311" s="1"/>
      <c r="HQ1311" s="1"/>
      <c r="HR1311" s="1"/>
      <c r="HS1311" s="1"/>
      <c r="HT1311" s="1"/>
      <c r="HU1311" s="1"/>
      <c r="HV1311" s="1"/>
      <c r="HW1311" s="1"/>
      <c r="HX1311" s="1"/>
      <c r="HY1311" s="1"/>
      <c r="HZ1311" s="1"/>
      <c r="IA1311" s="1"/>
      <c r="IB1311" s="1"/>
      <c r="IC1311" s="1"/>
      <c r="ID1311" s="1"/>
      <c r="IE1311" s="1"/>
      <c r="IF1311" s="1"/>
      <c r="IG1311" s="1"/>
      <c r="IH1311" s="1"/>
      <c r="II1311" s="1"/>
      <c r="IJ1311" s="1"/>
      <c r="IK1311" s="1"/>
      <c r="IL1311" s="1"/>
      <c r="IM1311" s="1"/>
      <c r="IN1311" s="1"/>
      <c r="IO1311" s="1"/>
      <c r="IP1311" s="1"/>
      <c r="IQ1311" s="1"/>
      <c r="IR1311" s="1"/>
      <c r="IS1311" s="1"/>
      <c r="IT1311" s="1"/>
      <c r="IU1311" s="1"/>
      <c r="IV1311" s="1"/>
      <c r="IW1311" s="1"/>
      <c r="IX1311" s="1"/>
      <c r="IY1311" s="1"/>
      <c r="IZ1311" s="1"/>
      <c r="JA1311" s="1"/>
      <c r="JB1311" s="1"/>
      <c r="JC1311" s="1"/>
      <c r="JD1311" s="1"/>
    </row>
    <row r="1312" spans="1:264" s="347" customFormat="1" ht="15" x14ac:dyDescent="0.25">
      <c r="A1312" s="347" t="s">
        <v>808</v>
      </c>
      <c r="B1312" s="348"/>
      <c r="BH1312" s="348"/>
      <c r="BI1312" s="348"/>
      <c r="BJ1312" s="348"/>
      <c r="BK1312" s="348"/>
      <c r="BL1312" s="348"/>
      <c r="BM1312" s="348"/>
      <c r="BN1312" s="348"/>
      <c r="BO1312" s="348"/>
      <c r="BP1312" s="348"/>
      <c r="BQ1312" s="348"/>
      <c r="BR1312" s="348"/>
      <c r="BT1312" s="348"/>
      <c r="BU1312" s="348"/>
      <c r="BV1312" s="348"/>
      <c r="BW1312" s="400"/>
      <c r="BX1312" s="351"/>
      <c r="BY1312" s="348"/>
      <c r="BZ1312" s="348"/>
      <c r="CA1312" s="400"/>
      <c r="CB1312" s="351"/>
      <c r="CC1312" s="348"/>
      <c r="CD1312" s="348"/>
      <c r="CF1312" s="351">
        <f>CF1196</f>
        <v>48026</v>
      </c>
      <c r="CG1312" s="351">
        <f>CG1196</f>
        <v>48367</v>
      </c>
      <c r="CH1312" s="351">
        <f>CH1196</f>
        <v>48367</v>
      </c>
      <c r="CJ1312" s="351">
        <f>CJ1196</f>
        <v>52380</v>
      </c>
      <c r="CK1312" s="351">
        <f>CK1196</f>
        <v>52551</v>
      </c>
      <c r="CL1312" s="351">
        <f>CL1196</f>
        <v>52551</v>
      </c>
      <c r="CN1312" s="351">
        <f>CN1196</f>
        <v>57075</v>
      </c>
      <c r="CO1312" s="351">
        <f>CO1196</f>
        <v>58836</v>
      </c>
      <c r="CP1312" s="351">
        <f>CP1196</f>
        <v>58836</v>
      </c>
      <c r="CR1312" s="351">
        <f>CR1196</f>
        <v>55464</v>
      </c>
      <c r="CS1312" s="351">
        <f>CS1196</f>
        <v>57023</v>
      </c>
      <c r="CT1312" s="351">
        <f>CT1196</f>
        <v>57023</v>
      </c>
      <c r="CV1312" s="351">
        <f>CV1196</f>
        <v>57552</v>
      </c>
      <c r="CW1312" s="351">
        <f>CW1196</f>
        <v>56909</v>
      </c>
      <c r="CX1312" s="351">
        <f>CX1196</f>
        <v>56909</v>
      </c>
      <c r="CZ1312" s="351">
        <f>CZ1196</f>
        <v>57231</v>
      </c>
      <c r="DA1312" s="351">
        <f>DA1196</f>
        <v>57691</v>
      </c>
      <c r="DB1312" s="351">
        <f>DB1196</f>
        <v>57691</v>
      </c>
      <c r="DD1312" s="351">
        <f>DD1196</f>
        <v>58871</v>
      </c>
      <c r="DE1312" s="351">
        <f>DE1196</f>
        <v>60967</v>
      </c>
      <c r="DF1312" s="351">
        <f>DF1196</f>
        <v>60967</v>
      </c>
      <c r="DH1312" s="351">
        <f>DH1196</f>
        <v>61922</v>
      </c>
      <c r="DI1312" s="351">
        <f ca="1">DI1196</f>
        <v>63326.351952569283</v>
      </c>
      <c r="DJ1312" s="351">
        <f ca="1">DJ1196</f>
        <v>63326.351952569283</v>
      </c>
      <c r="DL1312" s="351">
        <f ca="1">DL1196</f>
        <v>64309.829527800233</v>
      </c>
      <c r="DM1312" s="351">
        <f ca="1">DM1196</f>
        <v>65587.383695239027</v>
      </c>
      <c r="DN1312" s="351">
        <f ca="1">DN1196</f>
        <v>65587.383695239027</v>
      </c>
      <c r="DP1312" s="351">
        <f ca="1">DP1196</f>
        <v>66520.232832290305</v>
      </c>
      <c r="DQ1312" s="351">
        <f ca="1">DQ1196</f>
        <v>67947.675340228219</v>
      </c>
      <c r="DR1312" s="351">
        <f ca="1">DR1196</f>
        <v>67947.675340228219</v>
      </c>
      <c r="DT1312"/>
      <c r="DU1312"/>
      <c r="DV1312" s="1"/>
      <c r="DW1312" s="1"/>
      <c r="DX1312" s="1"/>
      <c r="DY1312" s="1"/>
      <c r="DZ1312" s="1"/>
      <c r="EA1312" s="1"/>
      <c r="EB1312" s="1"/>
      <c r="EC1312" s="1"/>
      <c r="ED1312" s="1"/>
      <c r="EE1312" s="1"/>
      <c r="EF1312" s="1"/>
      <c r="EG1312" s="1"/>
      <c r="EH1312" s="1"/>
      <c r="EI1312" s="1"/>
      <c r="EJ1312" s="1"/>
      <c r="EK1312" s="1"/>
      <c r="EL1312" s="1"/>
      <c r="EM1312" s="1"/>
      <c r="EN1312" s="1"/>
      <c r="EO1312" s="1"/>
      <c r="EP1312" s="1"/>
      <c r="EQ1312" s="1"/>
      <c r="ER1312" s="1"/>
      <c r="ES1312" s="1"/>
      <c r="ET1312" s="1"/>
      <c r="EU1312" s="1"/>
      <c r="EV1312" s="1"/>
      <c r="EW1312" s="1"/>
      <c r="EX1312" s="1"/>
      <c r="EY1312" s="1"/>
      <c r="EZ1312" s="1"/>
      <c r="FA1312" s="1"/>
      <c r="FB1312" s="1"/>
      <c r="FC1312" s="1"/>
      <c r="FD1312" s="1"/>
      <c r="FE1312" s="1"/>
      <c r="FF1312" s="1"/>
      <c r="FG1312" s="1"/>
      <c r="FH1312" s="1"/>
      <c r="FI1312" s="1"/>
      <c r="FJ1312" s="1"/>
      <c r="FK1312" s="1"/>
      <c r="FL1312" s="1"/>
      <c r="FM1312" s="1"/>
      <c r="FN1312" s="1"/>
      <c r="FO1312" s="1"/>
      <c r="FP1312" s="1"/>
      <c r="FQ1312" s="1"/>
      <c r="FR1312" s="1"/>
      <c r="FS1312" s="1"/>
      <c r="FT1312" s="1"/>
      <c r="FU1312" s="1"/>
      <c r="FV1312" s="1"/>
      <c r="FW1312" s="1"/>
      <c r="FX1312" s="1"/>
      <c r="FY1312" s="1"/>
      <c r="FZ1312" s="1"/>
      <c r="GA1312" s="1"/>
      <c r="GB1312" s="1"/>
      <c r="GC1312" s="1"/>
      <c r="GD1312" s="1"/>
      <c r="GE1312" s="1"/>
      <c r="GF1312" s="1"/>
      <c r="GG1312" s="1"/>
      <c r="GH1312" s="1"/>
      <c r="GI1312" s="1"/>
      <c r="GJ1312" s="1"/>
      <c r="GK1312" s="1"/>
      <c r="GL1312" s="1"/>
      <c r="GM1312" s="1"/>
      <c r="GN1312" s="1"/>
      <c r="GO1312" s="1"/>
      <c r="GP1312" s="1"/>
      <c r="GQ1312" s="1"/>
      <c r="GR1312" s="1"/>
      <c r="GS1312" s="1"/>
      <c r="GT1312" s="1"/>
      <c r="GU1312" s="1"/>
      <c r="GV1312" s="1"/>
      <c r="GW1312" s="1"/>
      <c r="GX1312" s="1"/>
      <c r="GY1312" s="1"/>
      <c r="GZ1312" s="1"/>
      <c r="HA1312" s="1"/>
      <c r="HB1312" s="1"/>
      <c r="HC1312" s="1"/>
      <c r="HD1312" s="1"/>
      <c r="HE1312" s="1"/>
      <c r="HF1312" s="1"/>
      <c r="HG1312" s="1"/>
      <c r="HH1312" s="1"/>
      <c r="HI1312" s="1"/>
      <c r="HJ1312" s="1"/>
      <c r="HK1312" s="1"/>
      <c r="HL1312" s="1"/>
      <c r="HM1312" s="1"/>
      <c r="HN1312" s="1"/>
      <c r="HO1312" s="1"/>
      <c r="HP1312" s="1"/>
      <c r="HQ1312" s="1"/>
      <c r="HR1312" s="1"/>
      <c r="HS1312" s="1"/>
      <c r="HT1312" s="1"/>
      <c r="HU1312" s="1"/>
      <c r="HV1312" s="1"/>
      <c r="HW1312" s="1"/>
      <c r="HX1312" s="1"/>
      <c r="HY1312" s="1"/>
      <c r="HZ1312" s="1"/>
      <c r="IA1312" s="1"/>
      <c r="IB1312" s="1"/>
      <c r="IC1312" s="1"/>
      <c r="ID1312" s="1"/>
      <c r="IE1312" s="1"/>
      <c r="IF1312" s="1"/>
      <c r="IG1312" s="1"/>
      <c r="IH1312" s="1"/>
      <c r="II1312" s="1"/>
      <c r="IJ1312" s="1"/>
      <c r="IK1312" s="1"/>
      <c r="IL1312" s="1"/>
      <c r="IM1312" s="1"/>
      <c r="IN1312" s="1"/>
      <c r="IO1312" s="1"/>
      <c r="IP1312" s="1"/>
      <c r="IQ1312" s="1"/>
      <c r="IR1312" s="1"/>
      <c r="IS1312" s="1"/>
      <c r="IT1312" s="1"/>
      <c r="IU1312" s="1"/>
      <c r="IV1312" s="1"/>
      <c r="IW1312" s="1"/>
      <c r="IX1312" s="1"/>
      <c r="IY1312" s="1"/>
      <c r="IZ1312" s="1"/>
      <c r="JA1312" s="1"/>
      <c r="JB1312" s="1"/>
      <c r="JC1312" s="1"/>
      <c r="JD1312" s="1"/>
    </row>
    <row r="1313" spans="1:264" s="347" customFormat="1" ht="15" x14ac:dyDescent="0.25">
      <c r="A1313" s="347" t="s">
        <v>738</v>
      </c>
      <c r="B1313" s="348"/>
      <c r="BE1313" s="500">
        <f>BE1157</f>
        <v>0</v>
      </c>
      <c r="BF1313" s="500">
        <f>BF1157</f>
        <v>0</v>
      </c>
      <c r="BH1313" s="500">
        <f>BH1157</f>
        <v>8.1110172666713234E-2</v>
      </c>
      <c r="BI1313" s="500">
        <f>BI1157</f>
        <v>8.2118617806646046E-2</v>
      </c>
      <c r="BJ1313" s="500">
        <f>BJ1157</f>
        <v>8.2118617806646046E-2</v>
      </c>
      <c r="BK1313" s="348"/>
      <c r="BL1313" s="500">
        <f>BL1157</f>
        <v>8.5392747391508594E-2</v>
      </c>
      <c r="BM1313" s="500">
        <f>BM1157</f>
        <v>9.3013339650296845E-2</v>
      </c>
      <c r="BN1313" s="500">
        <f>BN1157</f>
        <v>9.3013339650296845E-2</v>
      </c>
      <c r="BO1313" s="348"/>
      <c r="BP1313" s="500">
        <f>BP1157</f>
        <v>9.2296231673880041E-2</v>
      </c>
      <c r="BQ1313" s="500">
        <f>BQ1157</f>
        <v>9.0577970877709704E-2</v>
      </c>
      <c r="BR1313" s="500">
        <f>BR1157</f>
        <v>9.0577970877709704E-2</v>
      </c>
      <c r="BS1313" s="348"/>
      <c r="BT1313" s="500">
        <f>BT1157</f>
        <v>0.10241887424808105</v>
      </c>
      <c r="BU1313" s="500">
        <f>BU1157</f>
        <v>0.10556494462420217</v>
      </c>
      <c r="BV1313" s="500">
        <f>BV1157</f>
        <v>0.10556494462420217</v>
      </c>
      <c r="BX1313" s="500">
        <f>BX1157</f>
        <v>9.9259761593288143E-2</v>
      </c>
      <c r="BY1313" s="500">
        <f>BY1157</f>
        <v>0.10103577745084805</v>
      </c>
      <c r="BZ1313" s="500">
        <f>BZ1157</f>
        <v>0.10103577745084805</v>
      </c>
      <c r="CA1313" s="461"/>
      <c r="CB1313" s="500">
        <f>CB1157</f>
        <v>0.10421562667295775</v>
      </c>
      <c r="CC1313" s="500">
        <f>CC1157</f>
        <v>0.10132748379894116</v>
      </c>
      <c r="CD1313" s="500">
        <f>CD1157</f>
        <v>0.10132748379894116</v>
      </c>
      <c r="CF1313" s="500">
        <f>CF1157</f>
        <v>0.10788868321262333</v>
      </c>
      <c r="CG1313" s="500">
        <f>CG1157</f>
        <v>0.10682654463051228</v>
      </c>
      <c r="CH1313" s="500">
        <f>CH1157</f>
        <v>0.10682654463051228</v>
      </c>
      <c r="CJ1313" s="500">
        <f>CJ1157</f>
        <v>0.11661924417905663</v>
      </c>
      <c r="CK1313" s="500">
        <f>CK1157</f>
        <v>0.115509904428638</v>
      </c>
      <c r="CL1313" s="500">
        <f>CL1157</f>
        <v>0.115509904428638</v>
      </c>
      <c r="CN1313" s="500">
        <f>CN1157</f>
        <v>0.12582228140100879</v>
      </c>
      <c r="CO1313" s="500">
        <f>CO1157</f>
        <v>0.1305493920298216</v>
      </c>
      <c r="CP1313" s="500">
        <f>CP1157</f>
        <v>0.1305493920298216</v>
      </c>
      <c r="CR1313" s="500">
        <f>CR1157</f>
        <v>0.11752665136769035</v>
      </c>
      <c r="CS1313" s="500">
        <f>CS1157</f>
        <v>0.11452885364697565</v>
      </c>
      <c r="CT1313" s="500">
        <f>CT1157</f>
        <v>0.11452885364697565</v>
      </c>
      <c r="CV1313" s="500">
        <f>CV1157</f>
        <v>0.11410444506126333</v>
      </c>
      <c r="CW1313" s="500">
        <f>CW1157</f>
        <v>0.12160250602574403</v>
      </c>
      <c r="CX1313" s="500">
        <f>CX1157</f>
        <v>0.12160250602574403</v>
      </c>
      <c r="CZ1313" s="500">
        <f>CZ1157</f>
        <v>0.12343737867846882</v>
      </c>
      <c r="DA1313" s="500">
        <f>DA1157</f>
        <v>0.12338974785638358</v>
      </c>
      <c r="DB1313" s="500">
        <f>DB1157</f>
        <v>0.12338974785638358</v>
      </c>
      <c r="DD1313" s="500">
        <f>DD1157</f>
        <v>0.12204557092184613</v>
      </c>
      <c r="DE1313" s="500">
        <f>DE1157</f>
        <v>0.12288141571516391</v>
      </c>
      <c r="DF1313" s="500">
        <f>DF1157</f>
        <v>0.12288141571516391</v>
      </c>
      <c r="DH1313" s="500">
        <f>DH1157</f>
        <v>0.12254259761334627</v>
      </c>
      <c r="DI1313" s="500">
        <f ca="1">DI1157</f>
        <v>0.12137499376977245</v>
      </c>
      <c r="DJ1313" s="500">
        <f ca="1">DJ1157</f>
        <v>0.12137499376977245</v>
      </c>
      <c r="DL1313" s="500">
        <f ca="1">DL1157</f>
        <v>0.11993382355612094</v>
      </c>
      <c r="DM1313" s="500">
        <f ca="1">DM1157</f>
        <v>0.1184715426814056</v>
      </c>
      <c r="DN1313" s="500">
        <f ca="1">DN1157</f>
        <v>0.1184715426814056</v>
      </c>
      <c r="DP1313" s="500">
        <f ca="1">DP1157</f>
        <v>0.11746741994188369</v>
      </c>
      <c r="DQ1313" s="500">
        <f ca="1">DQ1157</f>
        <v>0.11696142567081413</v>
      </c>
      <c r="DR1313" s="500">
        <f ca="1">DR1157</f>
        <v>0.11696142567081413</v>
      </c>
      <c r="DT1313"/>
      <c r="DU1313"/>
      <c r="DV1313" s="1"/>
      <c r="DW1313" s="1"/>
      <c r="DX1313" s="1"/>
      <c r="DY1313" s="1"/>
      <c r="DZ1313" s="1"/>
      <c r="EA1313" s="1"/>
      <c r="EB1313" s="1"/>
      <c r="EC1313" s="1"/>
      <c r="ED1313" s="1"/>
      <c r="EE1313" s="1"/>
      <c r="EF1313" s="1"/>
      <c r="EG1313" s="1"/>
      <c r="EH1313" s="1"/>
      <c r="EI1313" s="1"/>
      <c r="EJ1313" s="1"/>
      <c r="EK1313" s="1"/>
      <c r="EL1313" s="1"/>
      <c r="EM1313" s="1"/>
      <c r="EN1313" s="1"/>
      <c r="EO1313" s="1"/>
      <c r="EP1313" s="1"/>
      <c r="EQ1313" s="1"/>
      <c r="ER1313" s="1"/>
      <c r="ES1313" s="1"/>
      <c r="ET1313" s="1"/>
      <c r="EU1313" s="1"/>
      <c r="EV1313" s="1"/>
      <c r="EW1313" s="1"/>
      <c r="EX1313" s="1"/>
      <c r="EY1313" s="1"/>
      <c r="EZ1313" s="1"/>
      <c r="FA1313" s="1"/>
      <c r="FB1313" s="1"/>
      <c r="FC1313" s="1"/>
      <c r="FD1313" s="1"/>
      <c r="FE1313" s="1"/>
      <c r="FF1313" s="1"/>
      <c r="FG1313" s="1"/>
      <c r="FH1313" s="1"/>
      <c r="FI1313" s="1"/>
      <c r="FJ1313" s="1"/>
      <c r="FK1313" s="1"/>
      <c r="FL1313" s="1"/>
      <c r="FM1313" s="1"/>
      <c r="FN1313" s="1"/>
      <c r="FO1313" s="1"/>
      <c r="FP1313" s="1"/>
      <c r="FQ1313" s="1"/>
      <c r="FR1313" s="1"/>
      <c r="FS1313" s="1"/>
      <c r="FT1313" s="1"/>
      <c r="FU1313" s="1"/>
      <c r="FV1313" s="1"/>
      <c r="FW1313" s="1"/>
      <c r="FX1313" s="1"/>
      <c r="FY1313" s="1"/>
      <c r="FZ1313" s="1"/>
      <c r="GA1313" s="1"/>
      <c r="GB1313" s="1"/>
      <c r="GC1313" s="1"/>
      <c r="GD1313" s="1"/>
      <c r="GE1313" s="1"/>
      <c r="GF1313" s="1"/>
      <c r="GG1313" s="1"/>
      <c r="GH1313" s="1"/>
      <c r="GI1313" s="1"/>
      <c r="GJ1313" s="1"/>
      <c r="GK1313" s="1"/>
      <c r="GL1313" s="1"/>
      <c r="GM1313" s="1"/>
      <c r="GN1313" s="1"/>
      <c r="GO1313" s="1"/>
      <c r="GP1313" s="1"/>
      <c r="GQ1313" s="1"/>
      <c r="GR1313" s="1"/>
      <c r="GS1313" s="1"/>
      <c r="GT1313" s="1"/>
      <c r="GU1313" s="1"/>
      <c r="GV1313" s="1"/>
      <c r="GW1313" s="1"/>
      <c r="GX1313" s="1"/>
      <c r="GY1313" s="1"/>
      <c r="GZ1313" s="1"/>
      <c r="HA1313" s="1"/>
      <c r="HB1313" s="1"/>
      <c r="HC1313" s="1"/>
      <c r="HD1313" s="1"/>
      <c r="HE1313" s="1"/>
      <c r="HF1313" s="1"/>
      <c r="HG1313" s="1"/>
      <c r="HH1313" s="1"/>
      <c r="HI1313" s="1"/>
      <c r="HJ1313" s="1"/>
      <c r="HK1313" s="1"/>
      <c r="HL1313" s="1"/>
      <c r="HM1313" s="1"/>
      <c r="HN1313" s="1"/>
      <c r="HO1313" s="1"/>
      <c r="HP1313" s="1"/>
      <c r="HQ1313" s="1"/>
      <c r="HR1313" s="1"/>
      <c r="HS1313" s="1"/>
      <c r="HT1313" s="1"/>
      <c r="HU1313" s="1"/>
      <c r="HV1313" s="1"/>
      <c r="HW1313" s="1"/>
      <c r="HX1313" s="1"/>
      <c r="HY1313" s="1"/>
      <c r="HZ1313" s="1"/>
      <c r="IA1313" s="1"/>
      <c r="IB1313" s="1"/>
      <c r="IC1313" s="1"/>
      <c r="ID1313" s="1"/>
      <c r="IE1313" s="1"/>
      <c r="IF1313" s="1"/>
      <c r="IG1313" s="1"/>
      <c r="IH1313" s="1"/>
      <c r="II1313" s="1"/>
      <c r="IJ1313" s="1"/>
      <c r="IK1313" s="1"/>
      <c r="IL1313" s="1"/>
      <c r="IM1313" s="1"/>
      <c r="IN1313" s="1"/>
      <c r="IO1313" s="1"/>
      <c r="IP1313" s="1"/>
      <c r="IQ1313" s="1"/>
      <c r="IR1313" s="1"/>
      <c r="IS1313" s="1"/>
      <c r="IT1313" s="1"/>
      <c r="IU1313" s="1"/>
      <c r="IV1313" s="1"/>
      <c r="IW1313" s="1"/>
      <c r="IX1313" s="1"/>
      <c r="IY1313" s="1"/>
      <c r="IZ1313" s="1"/>
      <c r="JA1313" s="1"/>
      <c r="JB1313" s="1"/>
      <c r="JC1313" s="1"/>
      <c r="JD1313" s="1"/>
    </row>
    <row r="1314" spans="1:264" s="347" customFormat="1" ht="15" x14ac:dyDescent="0.25">
      <c r="B1314" s="348"/>
      <c r="BH1314" s="348"/>
      <c r="BI1314" s="348"/>
      <c r="BJ1314" s="348"/>
      <c r="BK1314" s="348"/>
      <c r="BL1314" s="348"/>
      <c r="BM1314" s="348"/>
      <c r="BN1314" s="348"/>
      <c r="BO1314" s="348"/>
      <c r="BP1314" s="348"/>
      <c r="BQ1314" s="348"/>
      <c r="BR1314" s="348"/>
      <c r="BT1314" s="348"/>
      <c r="BU1314" s="348"/>
      <c r="BV1314" s="794"/>
      <c r="BX1314" s="351"/>
      <c r="BY1314" s="348"/>
      <c r="BZ1314" s="351"/>
      <c r="CA1314" s="400"/>
      <c r="CB1314" s="351"/>
      <c r="CC1314" s="348"/>
      <c r="CD1314" s="351"/>
      <c r="CF1314" s="351"/>
      <c r="CG1314" s="348"/>
      <c r="CH1314" s="351"/>
      <c r="CJ1314" s="351"/>
      <c r="CK1314" s="348"/>
      <c r="CL1314" s="351"/>
      <c r="CN1314" s="351"/>
      <c r="CO1314" s="348"/>
      <c r="CP1314" s="351"/>
      <c r="CR1314" s="351"/>
      <c r="CS1314" s="348"/>
      <c r="CT1314" s="351"/>
      <c r="CV1314" s="351"/>
      <c r="CW1314" s="348"/>
      <c r="CX1314" s="351"/>
      <c r="CZ1314" s="351"/>
      <c r="DA1314" s="348"/>
      <c r="DB1314" s="351"/>
      <c r="DD1314" s="351"/>
      <c r="DE1314" s="348"/>
      <c r="DF1314" s="351"/>
      <c r="DH1314" s="351"/>
      <c r="DI1314" s="348"/>
      <c r="DJ1314" s="348"/>
      <c r="DL1314" s="348"/>
      <c r="DM1314" s="348"/>
      <c r="DN1314" s="348"/>
      <c r="DP1314" s="348"/>
      <c r="DQ1314" s="348"/>
      <c r="DR1314" s="348"/>
      <c r="DT1314"/>
      <c r="DU1314"/>
      <c r="DV1314" s="1"/>
      <c r="DW1314" s="1"/>
      <c r="DX1314" s="1"/>
      <c r="DY1314" s="1"/>
      <c r="DZ1314" s="1"/>
      <c r="EA1314" s="1"/>
      <c r="EB1314" s="1"/>
      <c r="EC1314" s="1"/>
      <c r="ED1314" s="1"/>
      <c r="EE1314" s="1"/>
      <c r="EF1314" s="1"/>
      <c r="EG1314" s="1"/>
      <c r="EH1314" s="1"/>
      <c r="EI1314" s="1"/>
      <c r="EJ1314" s="1"/>
      <c r="EK1314" s="1"/>
      <c r="EL1314" s="1"/>
      <c r="EM1314" s="1"/>
      <c r="EN1314" s="1"/>
      <c r="EO1314" s="1"/>
      <c r="EP1314" s="1"/>
      <c r="EQ1314" s="1"/>
      <c r="ER1314" s="1"/>
      <c r="ES1314" s="1"/>
      <c r="ET1314" s="1"/>
      <c r="EU1314" s="1"/>
      <c r="EV1314" s="1"/>
      <c r="EW1314" s="1"/>
      <c r="EX1314" s="1"/>
      <c r="EY1314" s="1"/>
      <c r="EZ1314" s="1"/>
      <c r="FA1314" s="1"/>
      <c r="FB1314" s="1"/>
      <c r="FC1314" s="1"/>
      <c r="FD1314" s="1"/>
      <c r="FE1314" s="1"/>
      <c r="FF1314" s="1"/>
      <c r="FG1314" s="1"/>
      <c r="FH1314" s="1"/>
      <c r="FI1314" s="1"/>
      <c r="FJ1314" s="1"/>
      <c r="FK1314" s="1"/>
      <c r="FL1314" s="1"/>
      <c r="FM1314" s="1"/>
      <c r="FN1314" s="1"/>
      <c r="FO1314" s="1"/>
      <c r="FP1314" s="1"/>
      <c r="FQ1314" s="1"/>
      <c r="FR1314" s="1"/>
      <c r="FS1314" s="1"/>
      <c r="FT1314" s="1"/>
      <c r="FU1314" s="1"/>
      <c r="FV1314" s="1"/>
      <c r="FW1314" s="1"/>
      <c r="FX1314" s="1"/>
      <c r="FY1314" s="1"/>
      <c r="FZ1314" s="1"/>
      <c r="GA1314" s="1"/>
      <c r="GB1314" s="1"/>
      <c r="GC1314" s="1"/>
      <c r="GD1314" s="1"/>
      <c r="GE1314" s="1"/>
      <c r="GF1314" s="1"/>
      <c r="GG1314" s="1"/>
      <c r="GH1314" s="1"/>
      <c r="GI1314" s="1"/>
      <c r="GJ1314" s="1"/>
      <c r="GK1314" s="1"/>
      <c r="GL1314" s="1"/>
      <c r="GM1314" s="1"/>
      <c r="GN1314" s="1"/>
      <c r="GO1314" s="1"/>
      <c r="GP1314" s="1"/>
      <c r="GQ1314" s="1"/>
      <c r="GR1314" s="1"/>
      <c r="GS1314" s="1"/>
      <c r="GT1314" s="1"/>
      <c r="GU1314" s="1"/>
      <c r="GV1314" s="1"/>
      <c r="GW1314" s="1"/>
      <c r="GX1314" s="1"/>
      <c r="GY1314" s="1"/>
      <c r="GZ1314" s="1"/>
      <c r="HA1314" s="1"/>
      <c r="HB1314" s="1"/>
      <c r="HC1314" s="1"/>
      <c r="HD1314" s="1"/>
      <c r="HE1314" s="1"/>
      <c r="HF1314" s="1"/>
      <c r="HG1314" s="1"/>
      <c r="HH1314" s="1"/>
      <c r="HI1314" s="1"/>
      <c r="HJ1314" s="1"/>
      <c r="HK1314" s="1"/>
      <c r="HL1314" s="1"/>
      <c r="HM1314" s="1"/>
      <c r="HN1314" s="1"/>
      <c r="HO1314" s="1"/>
      <c r="HP1314" s="1"/>
      <c r="HQ1314" s="1"/>
      <c r="HR1314" s="1"/>
      <c r="HS1314" s="1"/>
      <c r="HT1314" s="1"/>
      <c r="HU1314" s="1"/>
      <c r="HV1314" s="1"/>
      <c r="HW1314" s="1"/>
      <c r="HX1314" s="1"/>
      <c r="HY1314" s="1"/>
      <c r="HZ1314" s="1"/>
      <c r="IA1314" s="1"/>
      <c r="IB1314" s="1"/>
      <c r="IC1314" s="1"/>
      <c r="ID1314" s="1"/>
      <c r="IE1314" s="1"/>
      <c r="IF1314" s="1"/>
      <c r="IG1314" s="1"/>
      <c r="IH1314" s="1"/>
      <c r="II1314" s="1"/>
      <c r="IJ1314" s="1"/>
      <c r="IK1314" s="1"/>
      <c r="IL1314" s="1"/>
      <c r="IM1314" s="1"/>
      <c r="IN1314" s="1"/>
      <c r="IO1314" s="1"/>
      <c r="IP1314" s="1"/>
      <c r="IQ1314" s="1"/>
      <c r="IR1314" s="1"/>
      <c r="IS1314" s="1"/>
      <c r="IT1314" s="1"/>
      <c r="IU1314" s="1"/>
      <c r="IV1314" s="1"/>
      <c r="IW1314" s="1"/>
      <c r="IX1314" s="1"/>
      <c r="IY1314" s="1"/>
      <c r="IZ1314" s="1"/>
      <c r="JA1314" s="1"/>
      <c r="JB1314" s="1"/>
      <c r="JC1314" s="1"/>
      <c r="JD1314" s="1"/>
    </row>
    <row r="1315" spans="1:264" s="347" customFormat="1" ht="15" x14ac:dyDescent="0.25">
      <c r="A1315" s="347" t="s">
        <v>789</v>
      </c>
      <c r="B1315" s="348"/>
      <c r="BE1315" s="398">
        <f>54545+25705</f>
        <v>80250</v>
      </c>
      <c r="BF1315" s="351">
        <f>BE1315</f>
        <v>80250</v>
      </c>
      <c r="BH1315" s="398">
        <f>63637+2257</f>
        <v>65894</v>
      </c>
      <c r="BI1315" s="398">
        <f>66741+2432</f>
        <v>69173</v>
      </c>
      <c r="BJ1315" s="351">
        <f>BI1315</f>
        <v>69173</v>
      </c>
      <c r="BK1315" s="348"/>
      <c r="BL1315" s="398">
        <f>67797+6182</f>
        <v>73979</v>
      </c>
      <c r="BM1315" s="398">
        <f>65986+6040</f>
        <v>72026</v>
      </c>
      <c r="BN1315" s="351">
        <f>BM1315</f>
        <v>72026</v>
      </c>
      <c r="BO1315" s="348"/>
      <c r="BP1315" s="398">
        <f>72278+6416</f>
        <v>78694</v>
      </c>
      <c r="BQ1315" s="398">
        <f>74382+6728</f>
        <v>81110</v>
      </c>
      <c r="BR1315" s="351">
        <f>BQ1315</f>
        <v>81110</v>
      </c>
      <c r="BT1315" s="398">
        <f>75010+7044</f>
        <v>82054</v>
      </c>
      <c r="BU1315" s="398">
        <f>83758+7428</f>
        <v>91186</v>
      </c>
      <c r="BV1315" s="351">
        <f>BU1315</f>
        <v>91186</v>
      </c>
      <c r="BW1315" s="400"/>
      <c r="BX1315" s="398">
        <f>115647+4788</f>
        <v>120435</v>
      </c>
      <c r="BY1315" s="398">
        <f>134969+5017</f>
        <v>139986</v>
      </c>
      <c r="BZ1315" s="351">
        <f>BY1315</f>
        <v>139986</v>
      </c>
      <c r="CB1315" s="398">
        <f>136047+5404</f>
        <v>141451</v>
      </c>
      <c r="CC1315" s="398">
        <f>139203+5627</f>
        <v>144830</v>
      </c>
      <c r="CD1315" s="351">
        <f>CC1315</f>
        <v>144830</v>
      </c>
      <c r="CF1315" s="398">
        <f>143017+6632</f>
        <v>149649</v>
      </c>
      <c r="CG1315" s="398">
        <f>147956+6732</f>
        <v>154688</v>
      </c>
      <c r="CH1315" s="351">
        <f>CG1315</f>
        <v>154688</v>
      </c>
      <c r="CJ1315" s="398">
        <f>147865+6478</f>
        <v>154343</v>
      </c>
      <c r="CK1315" s="398">
        <f>148294+6635</f>
        <v>154929</v>
      </c>
      <c r="CL1315" s="351">
        <f>CK1315</f>
        <v>154929</v>
      </c>
      <c r="CM1315" s="393">
        <f t="shared" ref="CM1315:CM1316" si="954">+CL1315/CH1315-1</f>
        <v>1.5579747621017326E-3</v>
      </c>
      <c r="CN1315" s="398">
        <f>151950+6466</f>
        <v>158416</v>
      </c>
      <c r="CO1315" s="398">
        <f>159758+6523</f>
        <v>166281</v>
      </c>
      <c r="CP1315" s="351">
        <f>CO1315</f>
        <v>166281</v>
      </c>
      <c r="CQ1315" s="393">
        <f t="shared" ref="CQ1315:CQ1316" si="955">+CP1315/CL1315-1</f>
        <v>7.3272273105745134E-2</v>
      </c>
      <c r="CR1315" s="398">
        <f>167999+6380</f>
        <v>174379</v>
      </c>
      <c r="CS1315" s="398">
        <f>171819+6429</f>
        <v>178248</v>
      </c>
      <c r="CT1315" s="351">
        <f>CS1315</f>
        <v>178248</v>
      </c>
      <c r="CU1315" s="393">
        <f t="shared" ref="CU1315:CU1316" si="956">+CT1315/CP1315-1</f>
        <v>7.1968535190430671E-2</v>
      </c>
      <c r="CV1315" s="398">
        <f>171742+6680</f>
        <v>178422</v>
      </c>
      <c r="CW1315" s="398">
        <f>147716+7046</f>
        <v>154762</v>
      </c>
      <c r="CX1315" s="351">
        <f>CW1315</f>
        <v>154762</v>
      </c>
      <c r="CY1315" s="393">
        <f t="shared" ref="CY1315:CY1316" si="957">+CX1315/CT1315-1</f>
        <v>-0.13176024415421206</v>
      </c>
      <c r="CZ1315" s="398">
        <f>143896+6885</f>
        <v>150781</v>
      </c>
      <c r="DA1315" s="398">
        <f>145229+6953</f>
        <v>152182</v>
      </c>
      <c r="DB1315" s="351">
        <f>DA1315</f>
        <v>152182</v>
      </c>
      <c r="DC1315" s="393">
        <f t="shared" ref="DC1315:DC1316" si="958">+DB1315/CX1315-1</f>
        <v>-1.6670758971840671E-2</v>
      </c>
      <c r="DD1315" s="398">
        <f>144873+7197</f>
        <v>152070</v>
      </c>
      <c r="DE1315" s="398">
        <f>149143+7432</f>
        <v>156575</v>
      </c>
      <c r="DF1315" s="351">
        <f>DE1315</f>
        <v>156575</v>
      </c>
      <c r="DG1315" s="393">
        <f t="shared" ref="DG1315:DG1316" si="959">+DF1315/DB1315-1</f>
        <v>2.8866751652626421E-2</v>
      </c>
      <c r="DH1315" s="398">
        <f>154941+7497</f>
        <v>162438</v>
      </c>
      <c r="DI1315" s="351">
        <f>+DI1344*DI1345</f>
        <v>168255.32450895489</v>
      </c>
      <c r="DJ1315" s="351">
        <f t="shared" ref="DJ1315:DJ1321" si="960">DI1315</f>
        <v>168255.32450895489</v>
      </c>
      <c r="DK1315" s="393">
        <f t="shared" ref="DK1315:DK1321" si="961">+DJ1315/DF1315-1</f>
        <v>7.4598911122177203E-2</v>
      </c>
      <c r="DL1315" s="351">
        <f>+DL1344*DL1345</f>
        <v>173561.04624520853</v>
      </c>
      <c r="DM1315" s="351">
        <f>+DM1344*DM1345</f>
        <v>178643.12832161775</v>
      </c>
      <c r="DN1315" s="351">
        <f t="shared" ref="DN1315:DN1321" si="962">DM1315</f>
        <v>178643.12832161775</v>
      </c>
      <c r="DO1315" s="393">
        <f t="shared" ref="DO1315:DO1321" si="963">+DN1315/DJ1315-1</f>
        <v>6.1738336322961329E-2</v>
      </c>
      <c r="DP1315" s="351">
        <f>+DP1344*DP1345</f>
        <v>182939.33027845772</v>
      </c>
      <c r="DQ1315" s="351">
        <f>+DQ1344*DQ1345</f>
        <v>187340.40188027255</v>
      </c>
      <c r="DR1315" s="351">
        <f t="shared" ref="DR1315:DR1321" si="964">DQ1315</f>
        <v>187340.40188027255</v>
      </c>
      <c r="DS1315" s="393">
        <f t="shared" ref="DS1315:DS1321" si="965">+DR1315/DN1315-1</f>
        <v>4.868518392152632E-2</v>
      </c>
      <c r="DT1315"/>
      <c r="DU1315"/>
      <c r="DV1315" s="1"/>
      <c r="DW1315" s="1"/>
      <c r="DX1315" s="1"/>
      <c r="DY1315" s="1"/>
      <c r="DZ1315" s="1"/>
      <c r="EA1315" s="1"/>
      <c r="EB1315" s="1"/>
      <c r="EC1315" s="1"/>
      <c r="ED1315" s="1"/>
      <c r="EE1315" s="1"/>
      <c r="EF1315" s="1"/>
      <c r="EG1315" s="1"/>
      <c r="EH1315" s="1"/>
      <c r="EI1315" s="1"/>
      <c r="EJ1315" s="1"/>
      <c r="EK1315" s="1"/>
      <c r="EL1315" s="1"/>
      <c r="EM1315" s="1"/>
      <c r="EN1315" s="1"/>
      <c r="EO1315" s="1"/>
      <c r="EP1315" s="1"/>
      <c r="EQ1315" s="1"/>
      <c r="ER1315" s="1"/>
      <c r="ES1315" s="1"/>
      <c r="ET1315" s="1"/>
      <c r="EU1315" s="1"/>
      <c r="EV1315" s="1"/>
      <c r="EW1315" s="1"/>
      <c r="EX1315" s="1"/>
      <c r="EY1315" s="1"/>
      <c r="EZ1315" s="1"/>
      <c r="FA1315" s="1"/>
      <c r="FB1315" s="1"/>
      <c r="FC1315" s="1"/>
      <c r="FD1315" s="1"/>
      <c r="FE1315" s="1"/>
      <c r="FF1315" s="1"/>
      <c r="FG1315" s="1"/>
      <c r="FH1315" s="1"/>
      <c r="FI1315" s="1"/>
      <c r="FJ1315" s="1"/>
      <c r="FK1315" s="1"/>
      <c r="FL1315" s="1"/>
      <c r="FM1315" s="1"/>
      <c r="FN1315" s="1"/>
      <c r="FO1315" s="1"/>
      <c r="FP1315" s="1"/>
      <c r="FQ1315" s="1"/>
      <c r="FR1315" s="1"/>
      <c r="FS1315" s="1"/>
      <c r="FT1315" s="1"/>
      <c r="FU1315" s="1"/>
      <c r="FV1315" s="1"/>
      <c r="FW1315" s="1"/>
      <c r="FX1315" s="1"/>
      <c r="FY1315" s="1"/>
      <c r="FZ1315" s="1"/>
      <c r="GA1315" s="1"/>
      <c r="GB1315" s="1"/>
      <c r="GC1315" s="1"/>
      <c r="GD1315" s="1"/>
      <c r="GE1315" s="1"/>
      <c r="GF1315" s="1"/>
      <c r="GG1315" s="1"/>
      <c r="GH1315" s="1"/>
      <c r="GI1315" s="1"/>
      <c r="GJ1315" s="1"/>
      <c r="GK1315" s="1"/>
      <c r="GL1315" s="1"/>
      <c r="GM1315" s="1"/>
      <c r="GN1315" s="1"/>
      <c r="GO1315" s="1"/>
      <c r="GP1315" s="1"/>
      <c r="GQ1315" s="1"/>
      <c r="GR1315" s="1"/>
      <c r="GS1315" s="1"/>
      <c r="GT1315" s="1"/>
      <c r="GU1315" s="1"/>
      <c r="GV1315" s="1"/>
      <c r="GW1315" s="1"/>
      <c r="GX1315" s="1"/>
      <c r="GY1315" s="1"/>
      <c r="GZ1315" s="1"/>
      <c r="HA1315" s="1"/>
      <c r="HB1315" s="1"/>
      <c r="HC1315" s="1"/>
      <c r="HD1315" s="1"/>
      <c r="HE1315" s="1"/>
      <c r="HF1315" s="1"/>
      <c r="HG1315" s="1"/>
      <c r="HH1315" s="1"/>
      <c r="HI1315" s="1"/>
      <c r="HJ1315" s="1"/>
      <c r="HK1315" s="1"/>
      <c r="HL1315" s="1"/>
      <c r="HM1315" s="1"/>
      <c r="HN1315" s="1"/>
      <c r="HO1315" s="1"/>
      <c r="HP1315" s="1"/>
      <c r="HQ1315" s="1"/>
      <c r="HR1315" s="1"/>
      <c r="HS1315" s="1"/>
      <c r="HT1315" s="1"/>
      <c r="HU1315" s="1"/>
      <c r="HV1315" s="1"/>
      <c r="HW1315" s="1"/>
      <c r="HX1315" s="1"/>
      <c r="HY1315" s="1"/>
      <c r="HZ1315" s="1"/>
      <c r="IA1315" s="1"/>
      <c r="IB1315" s="1"/>
      <c r="IC1315" s="1"/>
      <c r="ID1315" s="1"/>
      <c r="IE1315" s="1"/>
      <c r="IF1315" s="1"/>
      <c r="IG1315" s="1"/>
      <c r="IH1315" s="1"/>
      <c r="II1315" s="1"/>
      <c r="IJ1315" s="1"/>
      <c r="IK1315" s="1"/>
      <c r="IL1315" s="1"/>
      <c r="IM1315" s="1"/>
      <c r="IN1315" s="1"/>
      <c r="IO1315" s="1"/>
      <c r="IP1315" s="1"/>
      <c r="IQ1315" s="1"/>
      <c r="IR1315" s="1"/>
      <c r="IS1315" s="1"/>
      <c r="IT1315" s="1"/>
      <c r="IU1315" s="1"/>
      <c r="IV1315" s="1"/>
      <c r="IW1315" s="1"/>
      <c r="IX1315" s="1"/>
      <c r="IY1315" s="1"/>
      <c r="IZ1315" s="1"/>
      <c r="JA1315" s="1"/>
      <c r="JB1315" s="1"/>
      <c r="JC1315" s="1"/>
      <c r="JD1315" s="1"/>
    </row>
    <row r="1316" spans="1:264" s="347" customFormat="1" ht="15" x14ac:dyDescent="0.25">
      <c r="A1316" s="347" t="s">
        <v>871</v>
      </c>
      <c r="B1316" s="348"/>
      <c r="BE1316" s="351">
        <f>+BE1317-BE1315</f>
        <v>176007</v>
      </c>
      <c r="BF1316" s="351">
        <f t="shared" ref="BF1316:BF1321" si="966">BE1316</f>
        <v>176007</v>
      </c>
      <c r="BH1316" s="351">
        <f>+BH1317-BH1315</f>
        <v>193389</v>
      </c>
      <c r="BI1316" s="351">
        <f>+BI1317-BI1315</f>
        <v>197733</v>
      </c>
      <c r="BJ1316" s="351">
        <f t="shared" ref="BJ1316:BJ1321" si="967">BI1316</f>
        <v>197733</v>
      </c>
      <c r="BK1316" s="348"/>
      <c r="BL1316" s="351">
        <f>+BL1317-BL1315</f>
        <v>195686</v>
      </c>
      <c r="BM1316" s="351">
        <f>+BM1317-BM1315</f>
        <v>204890</v>
      </c>
      <c r="BN1316" s="351">
        <f t="shared" ref="BN1316:BN1321" si="968">BM1316</f>
        <v>204890</v>
      </c>
      <c r="BO1316" s="348"/>
      <c r="BP1316" s="351">
        <f>+BP1317-BP1315</f>
        <v>218734</v>
      </c>
      <c r="BQ1316" s="351">
        <f>+BQ1317-BQ1315</f>
        <v>228004</v>
      </c>
      <c r="BR1316" s="351">
        <f t="shared" ref="BR1316:BR1321" si="969">BQ1316</f>
        <v>228004</v>
      </c>
      <c r="BT1316" s="351">
        <f>+BT1317-BT1315</f>
        <v>242754</v>
      </c>
      <c r="BU1316" s="351">
        <f>+BU1317-BU1315</f>
        <v>240758</v>
      </c>
      <c r="BV1316" s="351">
        <f t="shared" ref="BV1316:BV1321" si="970">BU1316</f>
        <v>240758</v>
      </c>
      <c r="BX1316" s="351">
        <f>+BX1317-BX1315</f>
        <v>243708</v>
      </c>
      <c r="BY1316" s="351">
        <f>+BY1317-BY1315</f>
        <v>229860</v>
      </c>
      <c r="BZ1316" s="351">
        <f t="shared" ref="BZ1316:BZ1321" si="971">BY1316</f>
        <v>229860</v>
      </c>
      <c r="CB1316" s="351">
        <f>+CB1317-CB1315</f>
        <v>218590</v>
      </c>
      <c r="CC1316" s="351">
        <f>+CC1317-CC1315</f>
        <v>217908</v>
      </c>
      <c r="CD1316" s="351">
        <f t="shared" ref="CD1316:CD1321" si="972">CC1316</f>
        <v>217908</v>
      </c>
      <c r="CF1316" s="351">
        <f>+CF1317-CF1315</f>
        <v>212938</v>
      </c>
      <c r="CG1316" s="351">
        <f>+CG1317-CG1315</f>
        <v>211020</v>
      </c>
      <c r="CH1316" s="351">
        <f t="shared" ref="CH1316:CH1321" si="973">CG1316</f>
        <v>211020</v>
      </c>
      <c r="CJ1316" s="351">
        <f>+CJ1317-CJ1315</f>
        <v>212960</v>
      </c>
      <c r="CK1316" s="351">
        <f>+CK1317-CK1315</f>
        <v>212807</v>
      </c>
      <c r="CL1316" s="351">
        <f t="shared" ref="CL1316:CL1321" si="974">CK1316</f>
        <v>212807</v>
      </c>
      <c r="CM1316" s="393">
        <f t="shared" si="954"/>
        <v>8.4683916216472532E-3</v>
      </c>
      <c r="CN1316" s="351">
        <f>+CN1317-CN1315</f>
        <v>210607</v>
      </c>
      <c r="CO1316" s="351">
        <f>+CO1317-CO1315</f>
        <v>207415</v>
      </c>
      <c r="CP1316" s="351">
        <f t="shared" ref="CP1316:CP1321" si="975">CO1316</f>
        <v>207415</v>
      </c>
      <c r="CQ1316" s="393">
        <f t="shared" si="955"/>
        <v>-2.5337512393859174E-2</v>
      </c>
      <c r="CR1316" s="351">
        <f>+CR1317-CR1315</f>
        <v>209164</v>
      </c>
      <c r="CS1316" s="351">
        <f>+CS1317-CS1315</f>
        <v>208146</v>
      </c>
      <c r="CT1316" s="351">
        <f t="shared" ref="CT1316:CT1321" si="976">CS1316</f>
        <v>208146</v>
      </c>
      <c r="CU1316" s="393">
        <f t="shared" si="956"/>
        <v>3.5243352698695052E-3</v>
      </c>
      <c r="CV1316" s="351">
        <f>+CV1317-CV1315</f>
        <v>217744</v>
      </c>
      <c r="CW1316" s="351">
        <f>+CW1317-CW1315</f>
        <v>202464</v>
      </c>
      <c r="CX1316" s="351">
        <f t="shared" ref="CX1316:CX1321" si="977">CW1316</f>
        <v>202464</v>
      </c>
      <c r="CY1316" s="393">
        <f t="shared" si="957"/>
        <v>-2.7298146493326847E-2</v>
      </c>
      <c r="CZ1316" s="351">
        <f>+CZ1317-CZ1315</f>
        <v>211696</v>
      </c>
      <c r="DA1316" s="351">
        <f>+DA1317-DA1315</f>
        <v>205759</v>
      </c>
      <c r="DB1316" s="351">
        <f t="shared" ref="DB1316:DB1321" si="978">DA1316</f>
        <v>205759</v>
      </c>
      <c r="DC1316" s="393">
        <f t="shared" si="958"/>
        <v>1.6274498182393016E-2</v>
      </c>
      <c r="DD1316" s="351">
        <f>+DD1317-DD1315</f>
        <v>215927</v>
      </c>
      <c r="DE1316" s="351">
        <f>+DE1317-DE1315</f>
        <v>226428</v>
      </c>
      <c r="DF1316" s="351">
        <f t="shared" ref="DF1316:DF1321" si="979">DE1316</f>
        <v>226428</v>
      </c>
      <c r="DG1316" s="393">
        <f t="shared" si="959"/>
        <v>0.10045247109482447</v>
      </c>
      <c r="DH1316" s="351">
        <f>+DH1317-DH1315</f>
        <v>231974</v>
      </c>
      <c r="DI1316" s="351">
        <f>DI1326</f>
        <v>239560.06352819389</v>
      </c>
      <c r="DJ1316" s="351">
        <f t="shared" si="960"/>
        <v>239560.06352819389</v>
      </c>
      <c r="DK1316" s="393">
        <f t="shared" si="961"/>
        <v>5.799664144096095E-2</v>
      </c>
      <c r="DL1316" s="351">
        <f>DL1326</f>
        <v>245376.91962341755</v>
      </c>
      <c r="DM1316" s="351">
        <f>DM1326</f>
        <v>254048.82682783296</v>
      </c>
      <c r="DN1316" s="351">
        <f t="shared" si="962"/>
        <v>254048.82682783296</v>
      </c>
      <c r="DO1316" s="393">
        <f t="shared" si="963"/>
        <v>6.0480712378563339E-2</v>
      </c>
      <c r="DP1316" s="351">
        <f>DP1326</f>
        <v>259606.68006495381</v>
      </c>
      <c r="DQ1316" s="351">
        <f>DQ1326</f>
        <v>266764.34713946097</v>
      </c>
      <c r="DR1316" s="351">
        <f t="shared" si="964"/>
        <v>266764.34713946097</v>
      </c>
      <c r="DS1316" s="393">
        <f t="shared" si="965"/>
        <v>5.0051482112315471E-2</v>
      </c>
      <c r="DT1316"/>
      <c r="DU1316"/>
      <c r="DV1316" s="1"/>
      <c r="DW1316" s="1"/>
      <c r="DX1316" s="1"/>
      <c r="DY1316" s="1"/>
      <c r="DZ1316" s="1"/>
      <c r="EA1316" s="1"/>
      <c r="EB1316" s="1"/>
      <c r="EC1316" s="1"/>
      <c r="ED1316" s="1"/>
      <c r="EE1316" s="1"/>
      <c r="EF1316" s="1"/>
      <c r="EG1316" s="1"/>
      <c r="EH1316" s="1"/>
      <c r="EI1316" s="1"/>
      <c r="EJ1316" s="1"/>
      <c r="EK1316" s="1"/>
      <c r="EL1316" s="1"/>
      <c r="EM1316" s="1"/>
      <c r="EN1316" s="1"/>
      <c r="EO1316" s="1"/>
      <c r="EP1316" s="1"/>
      <c r="EQ1316" s="1"/>
      <c r="ER1316" s="1"/>
      <c r="ES1316" s="1"/>
      <c r="ET1316" s="1"/>
      <c r="EU1316" s="1"/>
      <c r="EV1316" s="1"/>
      <c r="EW1316" s="1"/>
      <c r="EX1316" s="1"/>
      <c r="EY1316" s="1"/>
      <c r="EZ1316" s="1"/>
      <c r="FA1316" s="1"/>
      <c r="FB1316" s="1"/>
      <c r="FC1316" s="1"/>
      <c r="FD1316" s="1"/>
      <c r="FE1316" s="1"/>
      <c r="FF1316" s="1"/>
      <c r="FG1316" s="1"/>
      <c r="FH1316" s="1"/>
      <c r="FI1316" s="1"/>
      <c r="FJ1316" s="1"/>
      <c r="FK1316" s="1"/>
      <c r="FL1316" s="1"/>
      <c r="FM1316" s="1"/>
      <c r="FN1316" s="1"/>
      <c r="FO1316" s="1"/>
      <c r="FP1316" s="1"/>
      <c r="FQ1316" s="1"/>
      <c r="FR1316" s="1"/>
      <c r="FS1316" s="1"/>
      <c r="FT1316" s="1"/>
      <c r="FU1316" s="1"/>
      <c r="FV1316" s="1"/>
      <c r="FW1316" s="1"/>
      <c r="FX1316" s="1"/>
      <c r="FY1316" s="1"/>
      <c r="FZ1316" s="1"/>
      <c r="GA1316" s="1"/>
      <c r="GB1316" s="1"/>
      <c r="GC1316" s="1"/>
      <c r="GD1316" s="1"/>
      <c r="GE1316" s="1"/>
      <c r="GF1316" s="1"/>
      <c r="GG1316" s="1"/>
      <c r="GH1316" s="1"/>
      <c r="GI1316" s="1"/>
      <c r="GJ1316" s="1"/>
      <c r="GK1316" s="1"/>
      <c r="GL1316" s="1"/>
      <c r="GM1316" s="1"/>
      <c r="GN1316" s="1"/>
      <c r="GO1316" s="1"/>
      <c r="GP1316" s="1"/>
      <c r="GQ1316" s="1"/>
      <c r="GR1316" s="1"/>
      <c r="GS1316" s="1"/>
      <c r="GT1316" s="1"/>
      <c r="GU1316" s="1"/>
      <c r="GV1316" s="1"/>
      <c r="GW1316" s="1"/>
      <c r="GX1316" s="1"/>
      <c r="GY1316" s="1"/>
      <c r="GZ1316" s="1"/>
      <c r="HA1316" s="1"/>
      <c r="HB1316" s="1"/>
      <c r="HC1316" s="1"/>
      <c r="HD1316" s="1"/>
      <c r="HE1316" s="1"/>
      <c r="HF1316" s="1"/>
      <c r="HG1316" s="1"/>
      <c r="HH1316" s="1"/>
      <c r="HI1316" s="1"/>
      <c r="HJ1316" s="1"/>
      <c r="HK1316" s="1"/>
      <c r="HL1316" s="1"/>
      <c r="HM1316" s="1"/>
      <c r="HN1316" s="1"/>
      <c r="HO1316" s="1"/>
      <c r="HP1316" s="1"/>
      <c r="HQ1316" s="1"/>
      <c r="HR1316" s="1"/>
      <c r="HS1316" s="1"/>
      <c r="HT1316" s="1"/>
      <c r="HU1316" s="1"/>
      <c r="HV1316" s="1"/>
      <c r="HW1316" s="1"/>
      <c r="HX1316" s="1"/>
      <c r="HY1316" s="1"/>
      <c r="HZ1316" s="1"/>
      <c r="IA1316" s="1"/>
      <c r="IB1316" s="1"/>
      <c r="IC1316" s="1"/>
      <c r="ID1316" s="1"/>
      <c r="IE1316" s="1"/>
      <c r="IF1316" s="1"/>
      <c r="IG1316" s="1"/>
      <c r="IH1316" s="1"/>
      <c r="II1316" s="1"/>
      <c r="IJ1316" s="1"/>
      <c r="IK1316" s="1"/>
      <c r="IL1316" s="1"/>
      <c r="IM1316" s="1"/>
      <c r="IN1316" s="1"/>
      <c r="IO1316" s="1"/>
      <c r="IP1316" s="1"/>
      <c r="IQ1316" s="1"/>
      <c r="IR1316" s="1"/>
      <c r="IS1316" s="1"/>
      <c r="IT1316" s="1"/>
      <c r="IU1316" s="1"/>
      <c r="IV1316" s="1"/>
      <c r="IW1316" s="1"/>
      <c r="IX1316" s="1"/>
      <c r="IY1316" s="1"/>
      <c r="IZ1316" s="1"/>
      <c r="JA1316" s="1"/>
      <c r="JB1316" s="1"/>
      <c r="JC1316" s="1"/>
      <c r="JD1316" s="1"/>
    </row>
    <row r="1317" spans="1:264" s="347" customFormat="1" ht="15" x14ac:dyDescent="0.25">
      <c r="A1317" s="411" t="s">
        <v>872</v>
      </c>
      <c r="B1317" s="348"/>
      <c r="BE1317" s="396">
        <f>165416+36141+54700</f>
        <v>256257</v>
      </c>
      <c r="BF1317" s="397">
        <f t="shared" si="966"/>
        <v>256257</v>
      </c>
      <c r="BH1317" s="396">
        <f>193037+48373+17873</f>
        <v>259283</v>
      </c>
      <c r="BI1317" s="396">
        <f>198257+18257+50392</f>
        <v>266906</v>
      </c>
      <c r="BJ1317" s="397">
        <f t="shared" si="967"/>
        <v>266906</v>
      </c>
      <c r="BK1317" s="348"/>
      <c r="BL1317" s="396">
        <f>186375+34776+48514</f>
        <v>269665</v>
      </c>
      <c r="BM1317" s="396">
        <f>193754+48935+34227</f>
        <v>276916</v>
      </c>
      <c r="BN1317" s="397">
        <f t="shared" si="968"/>
        <v>276916</v>
      </c>
      <c r="BO1317" s="348"/>
      <c r="BP1317" s="396">
        <f>211596+48774+37058</f>
        <v>297428</v>
      </c>
      <c r="BQ1317" s="396">
        <f>221070+36963+51081</f>
        <v>309114</v>
      </c>
      <c r="BR1317" s="397">
        <f t="shared" si="969"/>
        <v>309114</v>
      </c>
      <c r="BT1317" s="396">
        <f>232934+54885+36989</f>
        <v>324808</v>
      </c>
      <c r="BU1317" s="396">
        <f>237882+56795+37267</f>
        <v>331944</v>
      </c>
      <c r="BV1317" s="397">
        <f t="shared" si="970"/>
        <v>331944</v>
      </c>
      <c r="BX1317" s="396">
        <f>282443+21196+60504</f>
        <v>364143</v>
      </c>
      <c r="BY1317" s="396">
        <f>289570+21524+58752</f>
        <v>369846</v>
      </c>
      <c r="BZ1317" s="397">
        <f t="shared" si="971"/>
        <v>369846</v>
      </c>
      <c r="CB1317" s="396">
        <f>282932+20926+56183</f>
        <v>360041</v>
      </c>
      <c r="CC1317" s="396">
        <f>286569+20276+55893</f>
        <v>362738</v>
      </c>
      <c r="CD1317" s="397">
        <f t="shared" si="972"/>
        <v>362738</v>
      </c>
      <c r="CF1317" s="396">
        <f>287610+21524+53453</f>
        <v>362587</v>
      </c>
      <c r="CG1317" s="396">
        <f>287731+24181+53796</f>
        <v>365708</v>
      </c>
      <c r="CH1317" s="397">
        <f t="shared" si="973"/>
        <v>365708</v>
      </c>
      <c r="CJ1317" s="396">
        <f>286889+56024+24390</f>
        <v>367303</v>
      </c>
      <c r="CK1317" s="396">
        <f>286114+58611+23011</f>
        <v>367736</v>
      </c>
      <c r="CL1317" s="397">
        <f t="shared" si="974"/>
        <v>367736</v>
      </c>
      <c r="CN1317" s="396">
        <f>287858+60136+21029</f>
        <v>369023</v>
      </c>
      <c r="CO1317" s="396">
        <f>289637+63705+20354</f>
        <v>373696</v>
      </c>
      <c r="CP1317" s="397">
        <f t="shared" si="975"/>
        <v>373696</v>
      </c>
      <c r="CR1317" s="396">
        <f>297722+65825+19996</f>
        <v>383543</v>
      </c>
      <c r="CS1317" s="396">
        <f>299913+67078+19403</f>
        <v>386394</v>
      </c>
      <c r="CT1317" s="397">
        <f t="shared" si="976"/>
        <v>386394</v>
      </c>
      <c r="CV1317" s="396">
        <f>305847+70865+19454</f>
        <v>396166</v>
      </c>
      <c r="CW1317" s="396">
        <f>362869-3316-2226-101</f>
        <v>357226</v>
      </c>
      <c r="CX1317" s="397">
        <f t="shared" si="977"/>
        <v>357226</v>
      </c>
      <c r="CZ1317" s="396">
        <f>368735-2846-165-3247</f>
        <v>362477</v>
      </c>
      <c r="DA1317" s="396">
        <f>370444-3214-2974-6315</f>
        <v>357941</v>
      </c>
      <c r="DB1317" s="397">
        <f t="shared" si="978"/>
        <v>357941</v>
      </c>
      <c r="DD1317" s="396">
        <f>385117-3685-4589-8846</f>
        <v>367997</v>
      </c>
      <c r="DE1317" s="396">
        <f>398928-4031-3841-8053</f>
        <v>383003</v>
      </c>
      <c r="DF1317" s="397">
        <f t="shared" si="979"/>
        <v>383003</v>
      </c>
      <c r="DH1317" s="396">
        <f>409119-4096-3327-7284</f>
        <v>394412</v>
      </c>
      <c r="DI1317" s="397">
        <f>SUM(DI1315:DI1316)</f>
        <v>407815.38803714875</v>
      </c>
      <c r="DJ1317" s="397">
        <f t="shared" si="960"/>
        <v>407815.38803714875</v>
      </c>
      <c r="DK1317" s="393">
        <f t="shared" si="961"/>
        <v>6.478379552418323E-2</v>
      </c>
      <c r="DL1317" s="397">
        <f>SUM(DL1315:DL1316)</f>
        <v>418937.96586862608</v>
      </c>
      <c r="DM1317" s="397">
        <f>SUM(DM1315:DM1316)</f>
        <v>432691.95514945069</v>
      </c>
      <c r="DN1317" s="397">
        <f t="shared" si="962"/>
        <v>432691.95514945069</v>
      </c>
      <c r="DO1317" s="393">
        <f t="shared" si="963"/>
        <v>6.099957932444644E-2</v>
      </c>
      <c r="DP1317" s="397">
        <f>SUM(DP1315:DP1316)</f>
        <v>442546.01034341153</v>
      </c>
      <c r="DQ1317" s="397">
        <f>SUM(DQ1315:DQ1316)</f>
        <v>454104.74901973351</v>
      </c>
      <c r="DR1317" s="397">
        <f t="shared" si="964"/>
        <v>454104.74901973351</v>
      </c>
      <c r="DS1317" s="393">
        <f t="shared" si="965"/>
        <v>4.9487386154168034E-2</v>
      </c>
      <c r="DT1317"/>
      <c r="DU1317"/>
      <c r="DV1317" s="1"/>
      <c r="DW1317" s="1"/>
      <c r="DX1317" s="1"/>
      <c r="DY1317" s="1"/>
      <c r="DZ1317" s="1"/>
      <c r="EA1317" s="1"/>
      <c r="EB1317" s="1"/>
      <c r="EC1317" s="1"/>
      <c r="ED1317" s="1"/>
      <c r="EE1317" s="1"/>
      <c r="EF1317" s="1"/>
      <c r="EG1317" s="1"/>
      <c r="EH1317" s="1"/>
      <c r="EI1317" s="1"/>
      <c r="EJ1317" s="1"/>
      <c r="EK1317" s="1"/>
      <c r="EL1317" s="1"/>
      <c r="EM1317" s="1"/>
      <c r="EN1317" s="1"/>
      <c r="EO1317" s="1"/>
      <c r="EP1317" s="1"/>
      <c r="EQ1317" s="1"/>
      <c r="ER1317" s="1"/>
      <c r="ES1317" s="1"/>
      <c r="ET1317" s="1"/>
      <c r="EU1317" s="1"/>
      <c r="EV1317" s="1"/>
      <c r="EW1317" s="1"/>
      <c r="EX1317" s="1"/>
      <c r="EY1317" s="1"/>
      <c r="EZ1317" s="1"/>
      <c r="FA1317" s="1"/>
      <c r="FB1317" s="1"/>
      <c r="FC1317" s="1"/>
      <c r="FD1317" s="1"/>
      <c r="FE1317" s="1"/>
      <c r="FF1317" s="1"/>
      <c r="FG1317" s="1"/>
      <c r="FH1317" s="1"/>
      <c r="FI1317" s="1"/>
      <c r="FJ1317" s="1"/>
      <c r="FK1317" s="1"/>
      <c r="FL1317" s="1"/>
      <c r="FM1317" s="1"/>
      <c r="FN1317" s="1"/>
      <c r="FO1317" s="1"/>
      <c r="FP1317" s="1"/>
      <c r="FQ1317" s="1"/>
      <c r="FR1317" s="1"/>
      <c r="FS1317" s="1"/>
      <c r="FT1317" s="1"/>
      <c r="FU1317" s="1"/>
      <c r="FV1317" s="1"/>
      <c r="FW1317" s="1"/>
      <c r="FX1317" s="1"/>
      <c r="FY1317" s="1"/>
      <c r="FZ1317" s="1"/>
      <c r="GA1317" s="1"/>
      <c r="GB1317" s="1"/>
      <c r="GC1317" s="1"/>
      <c r="GD1317" s="1"/>
      <c r="GE1317" s="1"/>
      <c r="GF1317" s="1"/>
      <c r="GG1317" s="1"/>
      <c r="GH1317" s="1"/>
      <c r="GI1317" s="1"/>
      <c r="GJ1317" s="1"/>
      <c r="GK1317" s="1"/>
      <c r="GL1317" s="1"/>
      <c r="GM1317" s="1"/>
      <c r="GN1317" s="1"/>
      <c r="GO1317" s="1"/>
      <c r="GP1317" s="1"/>
      <c r="GQ1317" s="1"/>
      <c r="GR1317" s="1"/>
      <c r="GS1317" s="1"/>
      <c r="GT1317" s="1"/>
      <c r="GU1317" s="1"/>
      <c r="GV1317" s="1"/>
      <c r="GW1317" s="1"/>
      <c r="GX1317" s="1"/>
      <c r="GY1317" s="1"/>
      <c r="GZ1317" s="1"/>
      <c r="HA1317" s="1"/>
      <c r="HB1317" s="1"/>
      <c r="HC1317" s="1"/>
      <c r="HD1317" s="1"/>
      <c r="HE1317" s="1"/>
      <c r="HF1317" s="1"/>
      <c r="HG1317" s="1"/>
      <c r="HH1317" s="1"/>
      <c r="HI1317" s="1"/>
      <c r="HJ1317" s="1"/>
      <c r="HK1317" s="1"/>
      <c r="HL1317" s="1"/>
      <c r="HM1317" s="1"/>
      <c r="HN1317" s="1"/>
      <c r="HO1317" s="1"/>
      <c r="HP1317" s="1"/>
      <c r="HQ1317" s="1"/>
      <c r="HR1317" s="1"/>
      <c r="HS1317" s="1"/>
      <c r="HT1317" s="1"/>
      <c r="HU1317" s="1"/>
      <c r="HV1317" s="1"/>
      <c r="HW1317" s="1"/>
      <c r="HX1317" s="1"/>
      <c r="HY1317" s="1"/>
      <c r="HZ1317" s="1"/>
      <c r="IA1317" s="1"/>
      <c r="IB1317" s="1"/>
      <c r="IC1317" s="1"/>
      <c r="ID1317" s="1"/>
      <c r="IE1317" s="1"/>
      <c r="IF1317" s="1"/>
      <c r="IG1317" s="1"/>
      <c r="IH1317" s="1"/>
      <c r="II1317" s="1"/>
      <c r="IJ1317" s="1"/>
      <c r="IK1317" s="1"/>
      <c r="IL1317" s="1"/>
      <c r="IM1317" s="1"/>
      <c r="IN1317" s="1"/>
      <c r="IO1317" s="1"/>
      <c r="IP1317" s="1"/>
      <c r="IQ1317" s="1"/>
      <c r="IR1317" s="1"/>
      <c r="IS1317" s="1"/>
      <c r="IT1317" s="1"/>
      <c r="IU1317" s="1"/>
      <c r="IV1317" s="1"/>
      <c r="IW1317" s="1"/>
      <c r="IX1317" s="1"/>
      <c r="IY1317" s="1"/>
      <c r="IZ1317" s="1"/>
      <c r="JA1317" s="1"/>
      <c r="JB1317" s="1"/>
      <c r="JC1317" s="1"/>
      <c r="JD1317" s="1"/>
    </row>
    <row r="1318" spans="1:264" s="347" customFormat="1" ht="15" x14ac:dyDescent="0.25">
      <c r="A1318" s="347" t="s">
        <v>873</v>
      </c>
      <c r="B1318" s="348"/>
      <c r="BE1318" s="398">
        <v>2833</v>
      </c>
      <c r="BF1318" s="351">
        <f t="shared" si="966"/>
        <v>2833</v>
      </c>
      <c r="BH1318" s="398">
        <v>5290</v>
      </c>
      <c r="BI1318" s="398">
        <v>5373</v>
      </c>
      <c r="BJ1318" s="351">
        <f t="shared" si="967"/>
        <v>5373</v>
      </c>
      <c r="BK1318" s="348"/>
      <c r="BL1318" s="398">
        <v>5722</v>
      </c>
      <c r="BM1318" s="398">
        <v>5010</v>
      </c>
      <c r="BN1318" s="351">
        <f t="shared" si="968"/>
        <v>5010</v>
      </c>
      <c r="BO1318" s="348"/>
      <c r="BP1318" s="398">
        <v>5016</v>
      </c>
      <c r="BQ1318" s="398">
        <v>1653</v>
      </c>
      <c r="BR1318" s="351">
        <f t="shared" si="969"/>
        <v>1653</v>
      </c>
      <c r="BT1318" s="398">
        <v>1567</v>
      </c>
      <c r="BU1318" s="398">
        <v>1511</v>
      </c>
      <c r="BV1318" s="351">
        <f t="shared" si="970"/>
        <v>1511</v>
      </c>
      <c r="BX1318" s="398">
        <v>1572</v>
      </c>
      <c r="BY1318" s="398">
        <v>1584</v>
      </c>
      <c r="BZ1318" s="351">
        <f t="shared" si="971"/>
        <v>1584</v>
      </c>
      <c r="CB1318" s="398">
        <v>1622</v>
      </c>
      <c r="CC1318" s="398">
        <v>2890</v>
      </c>
      <c r="CD1318" s="351">
        <f t="shared" si="972"/>
        <v>2890</v>
      </c>
      <c r="CF1318" s="398">
        <v>3049</v>
      </c>
      <c r="CG1318" s="398">
        <v>2905</v>
      </c>
      <c r="CH1318" s="351">
        <f t="shared" si="973"/>
        <v>2905</v>
      </c>
      <c r="CJ1318" s="398">
        <v>3191</v>
      </c>
      <c r="CK1318" s="398">
        <v>3015</v>
      </c>
      <c r="CL1318" s="351">
        <f t="shared" si="974"/>
        <v>3015</v>
      </c>
      <c r="CN1318" s="398">
        <v>2981</v>
      </c>
      <c r="CO1318" s="398">
        <v>3106</v>
      </c>
      <c r="CP1318" s="351">
        <f t="shared" si="975"/>
        <v>3106</v>
      </c>
      <c r="CR1318" s="398">
        <v>3486</v>
      </c>
      <c r="CS1318" s="398">
        <v>3439</v>
      </c>
      <c r="CT1318" s="351">
        <f t="shared" si="976"/>
        <v>3439</v>
      </c>
      <c r="CV1318" s="398">
        <v>3585</v>
      </c>
      <c r="CW1318" s="398">
        <v>3316</v>
      </c>
      <c r="CX1318" s="351">
        <f t="shared" si="977"/>
        <v>3316</v>
      </c>
      <c r="CZ1318" s="398">
        <v>3247</v>
      </c>
      <c r="DA1318" s="398">
        <v>3214</v>
      </c>
      <c r="DB1318" s="351">
        <f t="shared" si="978"/>
        <v>3214</v>
      </c>
      <c r="DD1318" s="398">
        <v>3685</v>
      </c>
      <c r="DE1318" s="398">
        <v>4031</v>
      </c>
      <c r="DF1318" s="351">
        <f t="shared" si="979"/>
        <v>4031</v>
      </c>
      <c r="DH1318" s="398">
        <v>4096</v>
      </c>
      <c r="DI1318" s="351">
        <f ca="1">DH1318*(1+DI$1365)</f>
        <v>4238.9614960194094</v>
      </c>
      <c r="DJ1318" s="351">
        <f t="shared" ca="1" si="960"/>
        <v>4238.9614960194094</v>
      </c>
      <c r="DK1318" s="393">
        <f t="shared" ca="1" si="961"/>
        <v>5.1590547263559827E-2</v>
      </c>
      <c r="DL1318" s="351">
        <f ca="1">DI1318*(1+DL$1365)</f>
        <v>4363.4980062926625</v>
      </c>
      <c r="DM1318" s="351">
        <f ca="1">DL1318*(1+DM$1365)</f>
        <v>4499.2344059016104</v>
      </c>
      <c r="DN1318" s="351">
        <f t="shared" ca="1" si="962"/>
        <v>4499.2344059016104</v>
      </c>
      <c r="DO1318" s="393">
        <f t="shared" ca="1" si="963"/>
        <v>6.1400159007485744E-2</v>
      </c>
      <c r="DP1318" s="351">
        <f ca="1">DM1318*(1+DP$1365)</f>
        <v>4604.1471296809386</v>
      </c>
      <c r="DQ1318" s="351">
        <f ca="1">DP1318*(1+DQ$1365)</f>
        <v>4719.3245138620196</v>
      </c>
      <c r="DR1318" s="351">
        <f t="shared" ca="1" si="964"/>
        <v>4719.3245138620196</v>
      </c>
      <c r="DS1318" s="393">
        <f t="shared" ca="1" si="965"/>
        <v>4.8917235268231218E-2</v>
      </c>
      <c r="DT1318"/>
      <c r="DU1318"/>
      <c r="DV1318" s="1"/>
      <c r="DW1318" s="1"/>
      <c r="DX1318" s="1"/>
      <c r="DY1318" s="1"/>
      <c r="DZ1318" s="1"/>
      <c r="EA1318" s="1"/>
      <c r="EB1318" s="1"/>
      <c r="EC1318" s="1"/>
      <c r="ED1318" s="1"/>
      <c r="EE1318" s="1"/>
      <c r="EF1318" s="1"/>
      <c r="EG1318" s="1"/>
      <c r="EH1318" s="1"/>
      <c r="EI1318" s="1"/>
      <c r="EJ1318" s="1"/>
      <c r="EK1318" s="1"/>
      <c r="EL1318" s="1"/>
      <c r="EM1318" s="1"/>
      <c r="EN1318" s="1"/>
      <c r="EO1318" s="1"/>
      <c r="EP1318" s="1"/>
      <c r="EQ1318" s="1"/>
      <c r="ER1318" s="1"/>
      <c r="ES1318" s="1"/>
      <c r="ET1318" s="1"/>
      <c r="EU1318" s="1"/>
      <c r="EV1318" s="1"/>
      <c r="EW1318" s="1"/>
      <c r="EX1318" s="1"/>
      <c r="EY1318" s="1"/>
      <c r="EZ1318" s="1"/>
      <c r="FA1318" s="1"/>
      <c r="FB1318" s="1"/>
      <c r="FC1318" s="1"/>
      <c r="FD1318" s="1"/>
      <c r="FE1318" s="1"/>
      <c r="FF1318" s="1"/>
      <c r="FG1318" s="1"/>
      <c r="FH1318" s="1"/>
      <c r="FI1318" s="1"/>
      <c r="FJ1318" s="1"/>
      <c r="FK1318" s="1"/>
      <c r="FL1318" s="1"/>
      <c r="FM1318" s="1"/>
      <c r="FN1318" s="1"/>
      <c r="FO1318" s="1"/>
      <c r="FP1318" s="1"/>
      <c r="FQ1318" s="1"/>
      <c r="FR1318" s="1"/>
      <c r="FS1318" s="1"/>
      <c r="FT1318" s="1"/>
      <c r="FU1318" s="1"/>
      <c r="FV1318" s="1"/>
      <c r="FW1318" s="1"/>
      <c r="FX1318" s="1"/>
      <c r="FY1318" s="1"/>
      <c r="FZ1318" s="1"/>
      <c r="GA1318" s="1"/>
      <c r="GB1318" s="1"/>
      <c r="GC1318" s="1"/>
      <c r="GD1318" s="1"/>
      <c r="GE1318" s="1"/>
      <c r="GF1318" s="1"/>
      <c r="GG1318" s="1"/>
      <c r="GH1318" s="1"/>
      <c r="GI1318" s="1"/>
      <c r="GJ1318" s="1"/>
      <c r="GK1318" s="1"/>
      <c r="GL1318" s="1"/>
      <c r="GM1318" s="1"/>
      <c r="GN1318" s="1"/>
      <c r="GO1318" s="1"/>
      <c r="GP1318" s="1"/>
      <c r="GQ1318" s="1"/>
      <c r="GR1318" s="1"/>
      <c r="GS1318" s="1"/>
      <c r="GT1318" s="1"/>
      <c r="GU1318" s="1"/>
      <c r="GV1318" s="1"/>
      <c r="GW1318" s="1"/>
      <c r="GX1318" s="1"/>
      <c r="GY1318" s="1"/>
      <c r="GZ1318" s="1"/>
      <c r="HA1318" s="1"/>
      <c r="HB1318" s="1"/>
      <c r="HC1318" s="1"/>
      <c r="HD1318" s="1"/>
      <c r="HE1318" s="1"/>
      <c r="HF1318" s="1"/>
      <c r="HG1318" s="1"/>
      <c r="HH1318" s="1"/>
      <c r="HI1318" s="1"/>
      <c r="HJ1318" s="1"/>
      <c r="HK1318" s="1"/>
      <c r="HL1318" s="1"/>
      <c r="HM1318" s="1"/>
      <c r="HN1318" s="1"/>
      <c r="HO1318" s="1"/>
      <c r="HP1318" s="1"/>
      <c r="HQ1318" s="1"/>
      <c r="HR1318" s="1"/>
      <c r="HS1318" s="1"/>
      <c r="HT1318" s="1"/>
      <c r="HU1318" s="1"/>
      <c r="HV1318" s="1"/>
      <c r="HW1318" s="1"/>
      <c r="HX1318" s="1"/>
      <c r="HY1318" s="1"/>
      <c r="HZ1318" s="1"/>
      <c r="IA1318" s="1"/>
      <c r="IB1318" s="1"/>
      <c r="IC1318" s="1"/>
      <c r="ID1318" s="1"/>
      <c r="IE1318" s="1"/>
      <c r="IF1318" s="1"/>
      <c r="IG1318" s="1"/>
      <c r="IH1318" s="1"/>
      <c r="II1318" s="1"/>
      <c r="IJ1318" s="1"/>
      <c r="IK1318" s="1"/>
      <c r="IL1318" s="1"/>
      <c r="IM1318" s="1"/>
      <c r="IN1318" s="1"/>
      <c r="IO1318" s="1"/>
      <c r="IP1318" s="1"/>
      <c r="IQ1318" s="1"/>
      <c r="IR1318" s="1"/>
      <c r="IS1318" s="1"/>
      <c r="IT1318" s="1"/>
      <c r="IU1318" s="1"/>
      <c r="IV1318" s="1"/>
      <c r="IW1318" s="1"/>
      <c r="IX1318" s="1"/>
      <c r="IY1318" s="1"/>
      <c r="IZ1318" s="1"/>
      <c r="JA1318" s="1"/>
      <c r="JB1318" s="1"/>
      <c r="JC1318" s="1"/>
      <c r="JD1318" s="1"/>
    </row>
    <row r="1319" spans="1:264" s="347" customFormat="1" ht="15" x14ac:dyDescent="0.25">
      <c r="A1319" s="347" t="s">
        <v>874</v>
      </c>
      <c r="B1319" s="348"/>
      <c r="BE1319" s="398">
        <v>2339</v>
      </c>
      <c r="BF1319" s="351">
        <f t="shared" si="966"/>
        <v>2339</v>
      </c>
      <c r="BH1319" s="398">
        <v>7225</v>
      </c>
      <c r="BI1319" s="398">
        <v>7395</v>
      </c>
      <c r="BJ1319" s="351">
        <f t="shared" si="967"/>
        <v>7395</v>
      </c>
      <c r="BK1319" s="348"/>
      <c r="BL1319" s="398">
        <v>6381</v>
      </c>
      <c r="BM1319" s="398">
        <v>6636</v>
      </c>
      <c r="BN1319" s="351">
        <f t="shared" si="968"/>
        <v>6636</v>
      </c>
      <c r="BO1319" s="348"/>
      <c r="BP1319" s="398">
        <v>8126</v>
      </c>
      <c r="BQ1319" s="398">
        <v>7712</v>
      </c>
      <c r="BR1319" s="351">
        <f t="shared" si="969"/>
        <v>7712</v>
      </c>
      <c r="BT1319" s="398">
        <v>7686</v>
      </c>
      <c r="BU1319" s="398">
        <v>8273</v>
      </c>
      <c r="BV1319" s="351">
        <f t="shared" si="970"/>
        <v>8273</v>
      </c>
      <c r="BX1319" s="398">
        <v>6332</v>
      </c>
      <c r="BY1319" s="398">
        <v>4958</v>
      </c>
      <c r="BZ1319" s="351">
        <f t="shared" si="971"/>
        <v>4958</v>
      </c>
      <c r="CB1319" s="398">
        <v>4498</v>
      </c>
      <c r="CC1319" s="398">
        <v>2882</v>
      </c>
      <c r="CD1319" s="351">
        <f t="shared" si="972"/>
        <v>2882</v>
      </c>
      <c r="CF1319" s="398">
        <v>2729</v>
      </c>
      <c r="CG1319" s="398">
        <v>2932</v>
      </c>
      <c r="CH1319" s="351">
        <f t="shared" si="973"/>
        <v>2932</v>
      </c>
      <c r="CJ1319" s="398">
        <v>4358</v>
      </c>
      <c r="CK1319" s="398">
        <v>3057</v>
      </c>
      <c r="CL1319" s="351">
        <f t="shared" si="974"/>
        <v>3057</v>
      </c>
      <c r="CN1319" s="398">
        <v>4446</v>
      </c>
      <c r="CO1319" s="398">
        <v>4157</v>
      </c>
      <c r="CP1319" s="351">
        <f t="shared" si="975"/>
        <v>4157</v>
      </c>
      <c r="CR1319" s="398">
        <v>3110</v>
      </c>
      <c r="CS1319" s="398">
        <v>3136</v>
      </c>
      <c r="CT1319" s="351">
        <f t="shared" si="976"/>
        <v>3136</v>
      </c>
      <c r="CV1319" s="398">
        <v>2119</v>
      </c>
      <c r="CW1319" s="398">
        <v>2226</v>
      </c>
      <c r="CX1319" s="351">
        <f t="shared" si="977"/>
        <v>2226</v>
      </c>
      <c r="CZ1319" s="398">
        <v>2846</v>
      </c>
      <c r="DA1319" s="398">
        <v>2974</v>
      </c>
      <c r="DB1319" s="351">
        <f t="shared" si="978"/>
        <v>2974</v>
      </c>
      <c r="DD1319" s="398">
        <v>4589</v>
      </c>
      <c r="DE1319" s="398">
        <v>3841</v>
      </c>
      <c r="DF1319" s="351">
        <f t="shared" si="979"/>
        <v>3841</v>
      </c>
      <c r="DH1319" s="398">
        <v>3327</v>
      </c>
      <c r="DI1319" s="351">
        <f ca="1">DH1319*(1+DI$1365)</f>
        <v>3443.1213128067811</v>
      </c>
      <c r="DJ1319" s="351">
        <f t="shared" ca="1" si="960"/>
        <v>3443.1213128067811</v>
      </c>
      <c r="DK1319" s="393">
        <f t="shared" ca="1" si="961"/>
        <v>-0.10358726560614917</v>
      </c>
      <c r="DL1319" s="351">
        <f ca="1">DI1319*(1+DL$1365)</f>
        <v>3544.2768229823459</v>
      </c>
      <c r="DM1319" s="351">
        <f ca="1">DL1319*(1+DM$1365)</f>
        <v>3654.5295088951807</v>
      </c>
      <c r="DN1319" s="351">
        <f t="shared" ca="1" si="962"/>
        <v>3654.5295088951807</v>
      </c>
      <c r="DO1319" s="393">
        <f t="shared" ca="1" si="963"/>
        <v>6.1400159007485744E-2</v>
      </c>
      <c r="DP1319" s="351">
        <f ca="1">DM1319*(1+DP$1365)</f>
        <v>3739.7454835079307</v>
      </c>
      <c r="DQ1319" s="351">
        <f ca="1">DP1319*(1+DQ$1365)</f>
        <v>3833.2989886764994</v>
      </c>
      <c r="DR1319" s="351">
        <f t="shared" ca="1" si="964"/>
        <v>3833.2989886764994</v>
      </c>
      <c r="DS1319" s="393">
        <f t="shared" ca="1" si="965"/>
        <v>4.8917235268231218E-2</v>
      </c>
      <c r="DT1319"/>
      <c r="DU1319"/>
      <c r="DV1319" s="1"/>
      <c r="DW1319" s="1"/>
      <c r="DX1319" s="1"/>
      <c r="DY1319" s="1"/>
      <c r="DZ1319" s="1"/>
      <c r="EA1319" s="1"/>
      <c r="EB1319" s="1"/>
      <c r="EC1319" s="1"/>
      <c r="ED1319" s="1"/>
      <c r="EE1319" s="1"/>
      <c r="EF1319" s="1"/>
      <c r="EG1319" s="1"/>
      <c r="EH1319" s="1"/>
      <c r="EI1319" s="1"/>
      <c r="EJ1319" s="1"/>
      <c r="EK1319" s="1"/>
      <c r="EL1319" s="1"/>
      <c r="EM1319" s="1"/>
      <c r="EN1319" s="1"/>
      <c r="EO1319" s="1"/>
      <c r="EP1319" s="1"/>
      <c r="EQ1319" s="1"/>
      <c r="ER1319" s="1"/>
      <c r="ES1319" s="1"/>
      <c r="ET1319" s="1"/>
      <c r="EU1319" s="1"/>
      <c r="EV1319" s="1"/>
      <c r="EW1319" s="1"/>
      <c r="EX1319" s="1"/>
      <c r="EY1319" s="1"/>
      <c r="EZ1319" s="1"/>
      <c r="FA1319" s="1"/>
      <c r="FB1319" s="1"/>
      <c r="FC1319" s="1"/>
      <c r="FD1319" s="1"/>
      <c r="FE1319" s="1"/>
      <c r="FF1319" s="1"/>
      <c r="FG1319" s="1"/>
      <c r="FH1319" s="1"/>
      <c r="FI1319" s="1"/>
      <c r="FJ1319" s="1"/>
      <c r="FK1319" s="1"/>
      <c r="FL1319" s="1"/>
      <c r="FM1319" s="1"/>
      <c r="FN1319" s="1"/>
      <c r="FO1319" s="1"/>
      <c r="FP1319" s="1"/>
      <c r="FQ1319" s="1"/>
      <c r="FR1319" s="1"/>
      <c r="FS1319" s="1"/>
      <c r="FT1319" s="1"/>
      <c r="FU1319" s="1"/>
      <c r="FV1319" s="1"/>
      <c r="FW1319" s="1"/>
      <c r="FX1319" s="1"/>
      <c r="FY1319" s="1"/>
      <c r="FZ1319" s="1"/>
      <c r="GA1319" s="1"/>
      <c r="GB1319" s="1"/>
      <c r="GC1319" s="1"/>
      <c r="GD1319" s="1"/>
      <c r="GE1319" s="1"/>
      <c r="GF1319" s="1"/>
      <c r="GG1319" s="1"/>
      <c r="GH1319" s="1"/>
      <c r="GI1319" s="1"/>
      <c r="GJ1319" s="1"/>
      <c r="GK1319" s="1"/>
      <c r="GL1319" s="1"/>
      <c r="GM1319" s="1"/>
      <c r="GN1319" s="1"/>
      <c r="GO1319" s="1"/>
      <c r="GP1319" s="1"/>
      <c r="GQ1319" s="1"/>
      <c r="GR1319" s="1"/>
      <c r="GS1319" s="1"/>
      <c r="GT1319" s="1"/>
      <c r="GU1319" s="1"/>
      <c r="GV1319" s="1"/>
      <c r="GW1319" s="1"/>
      <c r="GX1319" s="1"/>
      <c r="GY1319" s="1"/>
      <c r="GZ1319" s="1"/>
      <c r="HA1319" s="1"/>
      <c r="HB1319" s="1"/>
      <c r="HC1319" s="1"/>
      <c r="HD1319" s="1"/>
      <c r="HE1319" s="1"/>
      <c r="HF1319" s="1"/>
      <c r="HG1319" s="1"/>
      <c r="HH1319" s="1"/>
      <c r="HI1319" s="1"/>
      <c r="HJ1319" s="1"/>
      <c r="HK1319" s="1"/>
      <c r="HL1319" s="1"/>
      <c r="HM1319" s="1"/>
      <c r="HN1319" s="1"/>
      <c r="HO1319" s="1"/>
      <c r="HP1319" s="1"/>
      <c r="HQ1319" s="1"/>
      <c r="HR1319" s="1"/>
      <c r="HS1319" s="1"/>
      <c r="HT1319" s="1"/>
      <c r="HU1319" s="1"/>
      <c r="HV1319" s="1"/>
      <c r="HW1319" s="1"/>
      <c r="HX1319" s="1"/>
      <c r="HY1319" s="1"/>
      <c r="HZ1319" s="1"/>
      <c r="IA1319" s="1"/>
      <c r="IB1319" s="1"/>
      <c r="IC1319" s="1"/>
      <c r="ID1319" s="1"/>
      <c r="IE1319" s="1"/>
      <c r="IF1319" s="1"/>
      <c r="IG1319" s="1"/>
      <c r="IH1319" s="1"/>
      <c r="II1319" s="1"/>
      <c r="IJ1319" s="1"/>
      <c r="IK1319" s="1"/>
      <c r="IL1319" s="1"/>
      <c r="IM1319" s="1"/>
      <c r="IN1319" s="1"/>
      <c r="IO1319" s="1"/>
      <c r="IP1319" s="1"/>
      <c r="IQ1319" s="1"/>
      <c r="IR1319" s="1"/>
      <c r="IS1319" s="1"/>
      <c r="IT1319" s="1"/>
      <c r="IU1319" s="1"/>
      <c r="IV1319" s="1"/>
      <c r="IW1319" s="1"/>
      <c r="IX1319" s="1"/>
      <c r="IY1319" s="1"/>
      <c r="IZ1319" s="1"/>
      <c r="JA1319" s="1"/>
      <c r="JB1319" s="1"/>
      <c r="JC1319" s="1"/>
      <c r="JD1319" s="1"/>
    </row>
    <row r="1320" spans="1:264" s="347" customFormat="1" ht="15" x14ac:dyDescent="0.25">
      <c r="A1320" s="347" t="s">
        <v>875</v>
      </c>
      <c r="B1320" s="348"/>
      <c r="BE1320" s="398">
        <v>0</v>
      </c>
      <c r="BF1320" s="351">
        <f t="shared" si="966"/>
        <v>0</v>
      </c>
      <c r="BH1320" s="398">
        <v>0</v>
      </c>
      <c r="BI1320" s="398">
        <v>0</v>
      </c>
      <c r="BJ1320" s="351">
        <f t="shared" si="967"/>
        <v>0</v>
      </c>
      <c r="BK1320" s="348"/>
      <c r="BL1320" s="398">
        <v>436</v>
      </c>
      <c r="BM1320" s="398">
        <v>576</v>
      </c>
      <c r="BN1320" s="351">
        <f t="shared" si="968"/>
        <v>576</v>
      </c>
      <c r="BO1320" s="348"/>
      <c r="BP1320" s="398">
        <v>954</v>
      </c>
      <c r="BQ1320" s="398">
        <v>695</v>
      </c>
      <c r="BR1320" s="351">
        <f t="shared" si="969"/>
        <v>695</v>
      </c>
      <c r="BT1320" s="398">
        <v>896</v>
      </c>
      <c r="BU1320" s="398">
        <v>2302</v>
      </c>
      <c r="BV1320" s="351">
        <f t="shared" si="970"/>
        <v>2302</v>
      </c>
      <c r="BX1320" s="398">
        <v>1479</v>
      </c>
      <c r="BY1320" s="398">
        <v>871</v>
      </c>
      <c r="BZ1320" s="351">
        <f t="shared" si="971"/>
        <v>871</v>
      </c>
      <c r="CB1320" s="398">
        <v>824</v>
      </c>
      <c r="CC1320" s="398">
        <v>1018</v>
      </c>
      <c r="CD1320" s="351">
        <f t="shared" si="972"/>
        <v>1018</v>
      </c>
      <c r="CF1320" s="398">
        <v>991</v>
      </c>
      <c r="CG1320" s="398">
        <v>1029</v>
      </c>
      <c r="CH1320" s="351">
        <f t="shared" si="973"/>
        <v>1029</v>
      </c>
      <c r="CJ1320" s="398">
        <v>365</v>
      </c>
      <c r="CK1320" s="398">
        <v>386</v>
      </c>
      <c r="CL1320" s="351">
        <f t="shared" si="974"/>
        <v>386</v>
      </c>
      <c r="CN1320" s="398">
        <v>450</v>
      </c>
      <c r="CO1320" s="398">
        <v>591</v>
      </c>
      <c r="CP1320" s="351">
        <f t="shared" si="975"/>
        <v>591</v>
      </c>
      <c r="CR1320" s="398">
        <v>548</v>
      </c>
      <c r="CS1320" s="398">
        <v>678</v>
      </c>
      <c r="CT1320" s="351">
        <f t="shared" si="976"/>
        <v>678</v>
      </c>
      <c r="CV1320" s="398">
        <v>147</v>
      </c>
      <c r="CW1320" s="398">
        <v>101</v>
      </c>
      <c r="CX1320" s="351">
        <f t="shared" si="977"/>
        <v>101</v>
      </c>
      <c r="CZ1320" s="398">
        <v>165</v>
      </c>
      <c r="DA1320" s="398">
        <v>6315</v>
      </c>
      <c r="DB1320" s="351">
        <f t="shared" si="978"/>
        <v>6315</v>
      </c>
      <c r="DD1320" s="398">
        <v>8846</v>
      </c>
      <c r="DE1320" s="398">
        <v>8053</v>
      </c>
      <c r="DF1320" s="351">
        <f t="shared" si="979"/>
        <v>8053</v>
      </c>
      <c r="DH1320" s="398">
        <v>7284</v>
      </c>
      <c r="DI1320" s="351">
        <f ca="1">DH1320*(1+DI$1365)</f>
        <v>7538.2313322767041</v>
      </c>
      <c r="DJ1320" s="351">
        <f t="shared" ca="1" si="960"/>
        <v>7538.2313322767041</v>
      </c>
      <c r="DK1320" s="393">
        <f t="shared" ca="1" si="961"/>
        <v>-6.3922596265155285E-2</v>
      </c>
      <c r="DL1320" s="351">
        <f ca="1">DI1320*(1+DL$1365)</f>
        <v>7759.6971381434951</v>
      </c>
      <c r="DM1320" s="351">
        <f ca="1">DL1320*(1+DM$1365)</f>
        <v>8001.0799347137045</v>
      </c>
      <c r="DN1320" s="351">
        <f t="shared" ca="1" si="962"/>
        <v>8001.0799347137045</v>
      </c>
      <c r="DO1320" s="393">
        <f t="shared" ca="1" si="963"/>
        <v>6.1400159007485744E-2</v>
      </c>
      <c r="DP1320" s="351">
        <f ca="1">DM1320*(1+DP$1365)</f>
        <v>8187.6483624501852</v>
      </c>
      <c r="DQ1320" s="351">
        <f ca="1">DP1320*(1+DQ$1365)</f>
        <v>8392.470644280018</v>
      </c>
      <c r="DR1320" s="351">
        <f t="shared" ca="1" si="964"/>
        <v>8392.470644280018</v>
      </c>
      <c r="DS1320" s="393">
        <f t="shared" ca="1" si="965"/>
        <v>4.8917235268231218E-2</v>
      </c>
      <c r="DT1320"/>
      <c r="DU1320"/>
      <c r="DV1320" s="1"/>
      <c r="DW1320" s="1"/>
      <c r="DX1320" s="1"/>
      <c r="DY1320" s="1"/>
      <c r="DZ1320" s="1"/>
      <c r="EA1320" s="1"/>
      <c r="EB1320" s="1"/>
      <c r="EC1320" s="1"/>
      <c r="ED1320" s="1"/>
      <c r="EE1320" s="1"/>
      <c r="EF1320" s="1"/>
      <c r="EG1320" s="1"/>
      <c r="EH1320" s="1"/>
      <c r="EI1320" s="1"/>
      <c r="EJ1320" s="1"/>
      <c r="EK1320" s="1"/>
      <c r="EL1320" s="1"/>
      <c r="EM1320" s="1"/>
      <c r="EN1320" s="1"/>
      <c r="EO1320" s="1"/>
      <c r="EP1320" s="1"/>
      <c r="EQ1320" s="1"/>
      <c r="ER1320" s="1"/>
      <c r="ES1320" s="1"/>
      <c r="ET1320" s="1"/>
      <c r="EU1320" s="1"/>
      <c r="EV1320" s="1"/>
      <c r="EW1320" s="1"/>
      <c r="EX1320" s="1"/>
      <c r="EY1320" s="1"/>
      <c r="EZ1320" s="1"/>
      <c r="FA1320" s="1"/>
      <c r="FB1320" s="1"/>
      <c r="FC1320" s="1"/>
      <c r="FD1320" s="1"/>
      <c r="FE1320" s="1"/>
      <c r="FF1320" s="1"/>
      <c r="FG1320" s="1"/>
      <c r="FH1320" s="1"/>
      <c r="FI1320" s="1"/>
      <c r="FJ1320" s="1"/>
      <c r="FK1320" s="1"/>
      <c r="FL1320" s="1"/>
      <c r="FM1320" s="1"/>
      <c r="FN1320" s="1"/>
      <c r="FO1320" s="1"/>
      <c r="FP1320" s="1"/>
      <c r="FQ1320" s="1"/>
      <c r="FR1320" s="1"/>
      <c r="FS1320" s="1"/>
      <c r="FT1320" s="1"/>
      <c r="FU1320" s="1"/>
      <c r="FV1320" s="1"/>
      <c r="FW1320" s="1"/>
      <c r="FX1320" s="1"/>
      <c r="FY1320" s="1"/>
      <c r="FZ1320" s="1"/>
      <c r="GA1320" s="1"/>
      <c r="GB1320" s="1"/>
      <c r="GC1320" s="1"/>
      <c r="GD1320" s="1"/>
      <c r="GE1320" s="1"/>
      <c r="GF1320" s="1"/>
      <c r="GG1320" s="1"/>
      <c r="GH1320" s="1"/>
      <c r="GI1320" s="1"/>
      <c r="GJ1320" s="1"/>
      <c r="GK1320" s="1"/>
      <c r="GL1320" s="1"/>
      <c r="GM1320" s="1"/>
      <c r="GN1320" s="1"/>
      <c r="GO1320" s="1"/>
      <c r="GP1320" s="1"/>
      <c r="GQ1320" s="1"/>
      <c r="GR1320" s="1"/>
      <c r="GS1320" s="1"/>
      <c r="GT1320" s="1"/>
      <c r="GU1320" s="1"/>
      <c r="GV1320" s="1"/>
      <c r="GW1320" s="1"/>
      <c r="GX1320" s="1"/>
      <c r="GY1320" s="1"/>
      <c r="GZ1320" s="1"/>
      <c r="HA1320" s="1"/>
      <c r="HB1320" s="1"/>
      <c r="HC1320" s="1"/>
      <c r="HD1320" s="1"/>
      <c r="HE1320" s="1"/>
      <c r="HF1320" s="1"/>
      <c r="HG1320" s="1"/>
      <c r="HH1320" s="1"/>
      <c r="HI1320" s="1"/>
      <c r="HJ1320" s="1"/>
      <c r="HK1320" s="1"/>
      <c r="HL1320" s="1"/>
      <c r="HM1320" s="1"/>
      <c r="HN1320" s="1"/>
      <c r="HO1320" s="1"/>
      <c r="HP1320" s="1"/>
      <c r="HQ1320" s="1"/>
      <c r="HR1320" s="1"/>
      <c r="HS1320" s="1"/>
      <c r="HT1320" s="1"/>
      <c r="HU1320" s="1"/>
      <c r="HV1320" s="1"/>
      <c r="HW1320" s="1"/>
      <c r="HX1320" s="1"/>
      <c r="HY1320" s="1"/>
      <c r="HZ1320" s="1"/>
      <c r="IA1320" s="1"/>
      <c r="IB1320" s="1"/>
      <c r="IC1320" s="1"/>
      <c r="ID1320" s="1"/>
      <c r="IE1320" s="1"/>
      <c r="IF1320" s="1"/>
      <c r="IG1320" s="1"/>
      <c r="IH1320" s="1"/>
      <c r="II1320" s="1"/>
      <c r="IJ1320" s="1"/>
      <c r="IK1320" s="1"/>
      <c r="IL1320" s="1"/>
      <c r="IM1320" s="1"/>
      <c r="IN1320" s="1"/>
      <c r="IO1320" s="1"/>
      <c r="IP1320" s="1"/>
      <c r="IQ1320" s="1"/>
      <c r="IR1320" s="1"/>
      <c r="IS1320" s="1"/>
      <c r="IT1320" s="1"/>
      <c r="IU1320" s="1"/>
      <c r="IV1320" s="1"/>
      <c r="IW1320" s="1"/>
      <c r="IX1320" s="1"/>
      <c r="IY1320" s="1"/>
      <c r="IZ1320" s="1"/>
      <c r="JA1320" s="1"/>
      <c r="JB1320" s="1"/>
      <c r="JC1320" s="1"/>
      <c r="JD1320" s="1"/>
    </row>
    <row r="1321" spans="1:264" s="411" customFormat="1" ht="15" x14ac:dyDescent="0.25">
      <c r="A1321" s="411" t="s">
        <v>323</v>
      </c>
      <c r="B1321" s="423"/>
      <c r="BE1321" s="397">
        <f>SUM(BE1317:BE1320)</f>
        <v>261429</v>
      </c>
      <c r="BF1321" s="397">
        <f t="shared" si="966"/>
        <v>261429</v>
      </c>
      <c r="BH1321" s="397">
        <f>SUM(BH1317:BH1320)</f>
        <v>271798</v>
      </c>
      <c r="BI1321" s="397">
        <f>SUM(BI1317:BI1320)</f>
        <v>279674</v>
      </c>
      <c r="BJ1321" s="397">
        <f t="shared" si="967"/>
        <v>279674</v>
      </c>
      <c r="BK1321" s="423"/>
      <c r="BL1321" s="397">
        <f>SUM(BL1317:BL1320)</f>
        <v>282204</v>
      </c>
      <c r="BM1321" s="397">
        <f>SUM(BM1317:BM1320)</f>
        <v>289138</v>
      </c>
      <c r="BN1321" s="397">
        <f t="shared" si="968"/>
        <v>289138</v>
      </c>
      <c r="BO1321" s="423"/>
      <c r="BP1321" s="397">
        <f>SUM(BP1317:BP1320)</f>
        <v>311524</v>
      </c>
      <c r="BQ1321" s="397">
        <f>SUM(BQ1317:BQ1320)</f>
        <v>319174</v>
      </c>
      <c r="BR1321" s="397">
        <f t="shared" si="969"/>
        <v>319174</v>
      </c>
      <c r="BT1321" s="397">
        <f>SUM(BT1317:BT1320)</f>
        <v>334957</v>
      </c>
      <c r="BU1321" s="397">
        <f>SUM(BU1317:BU1320)</f>
        <v>344030</v>
      </c>
      <c r="BV1321" s="397">
        <f t="shared" si="970"/>
        <v>344030</v>
      </c>
      <c r="BX1321" s="397">
        <f>SUM(BX1317:BX1320)</f>
        <v>373526</v>
      </c>
      <c r="BY1321" s="397">
        <f>SUM(BY1317:BY1320)</f>
        <v>377259</v>
      </c>
      <c r="BZ1321" s="397">
        <f t="shared" si="971"/>
        <v>377259</v>
      </c>
      <c r="CB1321" s="397">
        <f>SUM(CB1317:CB1320)</f>
        <v>366985</v>
      </c>
      <c r="CC1321" s="397">
        <f>SUM(CC1317:CC1320)</f>
        <v>369528</v>
      </c>
      <c r="CD1321" s="397">
        <f t="shared" si="972"/>
        <v>369528</v>
      </c>
      <c r="CF1321" s="397">
        <f>SUM(CF1317:CF1320)</f>
        <v>369356</v>
      </c>
      <c r="CG1321" s="397">
        <f>SUM(CG1317:CG1320)</f>
        <v>372574</v>
      </c>
      <c r="CH1321" s="397">
        <f t="shared" si="973"/>
        <v>372574</v>
      </c>
      <c r="CJ1321" s="397">
        <f>SUM(CJ1317:CJ1320)</f>
        <v>375217</v>
      </c>
      <c r="CK1321" s="397">
        <f>SUM(CK1317:CK1320)</f>
        <v>374194</v>
      </c>
      <c r="CL1321" s="397">
        <f t="shared" si="974"/>
        <v>374194</v>
      </c>
      <c r="CN1321" s="397">
        <f>SUM(CN1317:CN1320)</f>
        <v>376900</v>
      </c>
      <c r="CO1321" s="397">
        <f>SUM(CO1317:CO1320)</f>
        <v>381550</v>
      </c>
      <c r="CP1321" s="397">
        <f t="shared" si="975"/>
        <v>381550</v>
      </c>
      <c r="CR1321" s="397">
        <f>SUM(CR1317:CR1320)</f>
        <v>390687</v>
      </c>
      <c r="CS1321" s="397">
        <f>SUM(CS1317:CS1320)</f>
        <v>393647</v>
      </c>
      <c r="CT1321" s="397">
        <f t="shared" si="976"/>
        <v>393647</v>
      </c>
      <c r="CV1321" s="397">
        <f>SUM(CV1317:CV1320)</f>
        <v>402017</v>
      </c>
      <c r="CW1321" s="397">
        <f>SUM(CW1317:CW1320)</f>
        <v>362869</v>
      </c>
      <c r="CX1321" s="397">
        <f t="shared" si="977"/>
        <v>362869</v>
      </c>
      <c r="CZ1321" s="397">
        <f>SUM(CZ1317:CZ1320)</f>
        <v>368735</v>
      </c>
      <c r="DA1321" s="397">
        <f>SUM(DA1317:DA1320)</f>
        <v>370444</v>
      </c>
      <c r="DB1321" s="397">
        <f t="shared" si="978"/>
        <v>370444</v>
      </c>
      <c r="DD1321" s="397">
        <f>SUM(DD1317:DD1320)</f>
        <v>385117</v>
      </c>
      <c r="DE1321" s="397">
        <f>SUM(DE1317:DE1320)</f>
        <v>398928</v>
      </c>
      <c r="DF1321" s="397">
        <f t="shared" si="979"/>
        <v>398928</v>
      </c>
      <c r="DH1321" s="397">
        <f>SUM(DH1317:DH1320)</f>
        <v>409119</v>
      </c>
      <c r="DI1321" s="397">
        <f ca="1">SUM(DI1317:DI1320)</f>
        <v>423035.70217825164</v>
      </c>
      <c r="DJ1321" s="397">
        <f t="shared" ca="1" si="960"/>
        <v>423035.70217825164</v>
      </c>
      <c r="DK1321" s="393">
        <f t="shared" ca="1" si="961"/>
        <v>6.0431211091353854E-2</v>
      </c>
      <c r="DL1321" s="397">
        <f ca="1">SUM(DL1317:DL1320)</f>
        <v>434605.43783604458</v>
      </c>
      <c r="DM1321" s="397">
        <f ca="1">SUM(DM1317:DM1320)</f>
        <v>448846.79899896123</v>
      </c>
      <c r="DN1321" s="397">
        <f t="shared" ca="1" si="962"/>
        <v>448846.79899896123</v>
      </c>
      <c r="DO1321" s="393">
        <f t="shared" ca="1" si="963"/>
        <v>6.1013991698113834E-2</v>
      </c>
      <c r="DP1321" s="397">
        <f ca="1">SUM(DP1317:DP1320)</f>
        <v>459077.5513190506</v>
      </c>
      <c r="DQ1321" s="397">
        <f ca="1">SUM(DQ1317:DQ1320)</f>
        <v>471049.84316655208</v>
      </c>
      <c r="DR1321" s="397">
        <f t="shared" ca="1" si="964"/>
        <v>471049.84316655208</v>
      </c>
      <c r="DS1321" s="393">
        <f t="shared" ca="1" si="965"/>
        <v>4.9466865347172151E-2</v>
      </c>
      <c r="DT1321"/>
      <c r="DU1321"/>
      <c r="DV1321" s="1"/>
      <c r="DW1321" s="1"/>
      <c r="DX1321" s="1"/>
      <c r="DY1321" s="1"/>
      <c r="DZ1321" s="1"/>
      <c r="EA1321" s="1"/>
      <c r="EB1321" s="1"/>
      <c r="EC1321" s="1"/>
      <c r="ED1321" s="1"/>
      <c r="EE1321" s="1"/>
      <c r="EF1321" s="1"/>
      <c r="EG1321" s="1"/>
      <c r="EH1321" s="1"/>
      <c r="EI1321" s="1"/>
      <c r="EJ1321" s="1"/>
      <c r="EK1321" s="1"/>
      <c r="EL1321" s="1"/>
      <c r="EM1321" s="1"/>
      <c r="EN1321" s="1"/>
      <c r="EO1321" s="1"/>
      <c r="EP1321" s="1"/>
      <c r="EQ1321" s="1"/>
      <c r="ER1321" s="1"/>
      <c r="ES1321" s="1"/>
      <c r="ET1321" s="1"/>
      <c r="EU1321" s="1"/>
      <c r="EV1321" s="1"/>
      <c r="EW1321" s="1"/>
      <c r="EX1321" s="1"/>
      <c r="EY1321" s="1"/>
      <c r="EZ1321" s="1"/>
      <c r="FA1321" s="1"/>
      <c r="FB1321" s="1"/>
      <c r="FC1321" s="1"/>
      <c r="FD1321" s="1"/>
      <c r="FE1321" s="1"/>
      <c r="FF1321" s="1"/>
      <c r="FG1321" s="1"/>
      <c r="FH1321" s="1"/>
      <c r="FI1321" s="1"/>
      <c r="FJ1321" s="1"/>
      <c r="FK1321" s="1"/>
      <c r="FL1321" s="1"/>
      <c r="FM1321" s="1"/>
      <c r="FN1321" s="1"/>
      <c r="FO1321" s="1"/>
      <c r="FP1321" s="1"/>
      <c r="FQ1321" s="1"/>
      <c r="FR1321" s="1"/>
      <c r="FS1321" s="1"/>
      <c r="FT1321" s="1"/>
      <c r="FU1321" s="1"/>
      <c r="FV1321" s="1"/>
      <c r="FW1321" s="1"/>
      <c r="FX1321" s="1"/>
      <c r="FY1321" s="1"/>
      <c r="FZ1321" s="1"/>
      <c r="GA1321" s="1"/>
      <c r="GB1321" s="1"/>
      <c r="GC1321" s="1"/>
      <c r="GD1321" s="1"/>
      <c r="GE1321" s="1"/>
      <c r="GF1321" s="1"/>
      <c r="GG1321" s="1"/>
      <c r="GH1321" s="1"/>
      <c r="GI1321" s="1"/>
      <c r="GJ1321" s="1"/>
      <c r="GK1321" s="1"/>
      <c r="GL1321" s="1"/>
      <c r="GM1321" s="1"/>
      <c r="GN1321" s="1"/>
      <c r="GO1321" s="1"/>
      <c r="GP1321" s="1"/>
      <c r="GQ1321" s="1"/>
      <c r="GR1321" s="1"/>
      <c r="GS1321" s="1"/>
      <c r="GT1321" s="1"/>
      <c r="GU1321" s="1"/>
      <c r="GV1321" s="1"/>
      <c r="GW1321" s="1"/>
      <c r="GX1321" s="1"/>
      <c r="GY1321" s="1"/>
      <c r="GZ1321" s="1"/>
      <c r="HA1321" s="1"/>
      <c r="HB1321" s="1"/>
      <c r="HC1321" s="1"/>
      <c r="HD1321" s="1"/>
      <c r="HE1321" s="1"/>
      <c r="HF1321" s="1"/>
      <c r="HG1321" s="1"/>
      <c r="HH1321" s="1"/>
      <c r="HI1321" s="1"/>
      <c r="HJ1321" s="1"/>
      <c r="HK1321" s="1"/>
      <c r="HL1321" s="1"/>
      <c r="HM1321" s="1"/>
      <c r="HN1321" s="1"/>
      <c r="HO1321" s="1"/>
      <c r="HP1321" s="1"/>
      <c r="HQ1321" s="1"/>
      <c r="HR1321" s="1"/>
      <c r="HS1321" s="1"/>
      <c r="HT1321" s="1"/>
      <c r="HU1321" s="1"/>
      <c r="HV1321" s="1"/>
      <c r="HW1321" s="1"/>
      <c r="HX1321" s="1"/>
      <c r="HY1321" s="1"/>
      <c r="HZ1321" s="1"/>
      <c r="IA1321" s="1"/>
      <c r="IB1321" s="1"/>
      <c r="IC1321" s="1"/>
      <c r="ID1321" s="1"/>
      <c r="IE1321" s="1"/>
      <c r="IF1321" s="1"/>
      <c r="IG1321" s="1"/>
      <c r="IH1321" s="1"/>
      <c r="II1321" s="1"/>
      <c r="IJ1321" s="1"/>
      <c r="IK1321" s="1"/>
      <c r="IL1321" s="1"/>
      <c r="IM1321" s="1"/>
      <c r="IN1321" s="1"/>
      <c r="IO1321" s="1"/>
      <c r="IP1321" s="1"/>
      <c r="IQ1321" s="1"/>
      <c r="IR1321" s="1"/>
      <c r="IS1321" s="1"/>
      <c r="IT1321" s="1"/>
      <c r="IU1321" s="1"/>
      <c r="IV1321" s="1"/>
      <c r="IW1321" s="1"/>
      <c r="IX1321" s="1"/>
      <c r="IY1321" s="1"/>
      <c r="IZ1321" s="1"/>
      <c r="JA1321" s="1"/>
      <c r="JB1321" s="1"/>
      <c r="JC1321" s="1"/>
      <c r="JD1321" s="1"/>
    </row>
    <row r="1322" spans="1:264" s="347" customFormat="1" ht="15" x14ac:dyDescent="0.25">
      <c r="B1322" s="348"/>
      <c r="BE1322" s="828">
        <f>BE1321-BE1305</f>
        <v>0</v>
      </c>
      <c r="BF1322" s="828"/>
      <c r="BH1322" s="828">
        <f>BH1321-BH1305</f>
        <v>0</v>
      </c>
      <c r="BI1322" s="828">
        <f>BI1321-BI1305</f>
        <v>0</v>
      </c>
      <c r="BJ1322" s="348"/>
      <c r="BK1322" s="348"/>
      <c r="BL1322" s="828">
        <f>BL1321-BL1305</f>
        <v>0</v>
      </c>
      <c r="BM1322" s="828">
        <f>BM1321-BM1305</f>
        <v>0</v>
      </c>
      <c r="BN1322" s="829"/>
      <c r="BO1322" s="829"/>
      <c r="BP1322" s="828">
        <f>BP1321-BP1305</f>
        <v>0</v>
      </c>
      <c r="BQ1322" s="828">
        <f>BQ1321-BQ1305</f>
        <v>0</v>
      </c>
      <c r="BR1322" s="829"/>
      <c r="BT1322" s="828">
        <f>BT1321-BT1305</f>
        <v>0</v>
      </c>
      <c r="BU1322" s="828">
        <f>BU1321-BU1305</f>
        <v>0</v>
      </c>
      <c r="BV1322" s="829"/>
      <c r="BX1322" s="828">
        <f>BX1321-BX1305</f>
        <v>0</v>
      </c>
      <c r="BY1322" s="828">
        <f>BY1321-BY1305</f>
        <v>0</v>
      </c>
      <c r="BZ1322" s="829"/>
      <c r="CB1322" s="828">
        <f>CB1321-CB1305</f>
        <v>0</v>
      </c>
      <c r="CC1322" s="828">
        <f>CC1321-CC1305</f>
        <v>0</v>
      </c>
      <c r="CD1322" s="829"/>
      <c r="CF1322" s="828">
        <f>CF1321-CF1305</f>
        <v>0</v>
      </c>
      <c r="CG1322" s="828">
        <f>CG1321-CG1305</f>
        <v>0</v>
      </c>
      <c r="CH1322" s="829"/>
      <c r="CJ1322" s="828">
        <f>CJ1321-CJ1305</f>
        <v>0</v>
      </c>
      <c r="CK1322" s="828">
        <f>CK1321-CK1305</f>
        <v>0</v>
      </c>
      <c r="CL1322" s="829"/>
      <c r="CN1322" s="828">
        <f>CN1321-CN1305</f>
        <v>0</v>
      </c>
      <c r="CO1322" s="828">
        <f>CO1321-CO1305</f>
        <v>0</v>
      </c>
      <c r="CP1322" s="829"/>
      <c r="CR1322" s="828">
        <f>CR1321-CR1305</f>
        <v>0</v>
      </c>
      <c r="CS1322" s="828">
        <f>CS1321-CS1305</f>
        <v>0</v>
      </c>
      <c r="CT1322" s="829"/>
      <c r="CU1322" s="1"/>
      <c r="CV1322" s="828">
        <f>CV1321-CV1305</f>
        <v>0</v>
      </c>
      <c r="CW1322" s="828">
        <f>CW1321-CW1305</f>
        <v>0</v>
      </c>
      <c r="CX1322" s="829"/>
      <c r="CZ1322" s="828">
        <f>CZ1321-CZ1305</f>
        <v>0</v>
      </c>
      <c r="DA1322" s="828">
        <f>DA1321-DA1305</f>
        <v>0</v>
      </c>
      <c r="DB1322" s="829"/>
      <c r="DD1322" s="828">
        <f>DD1321-DD1305</f>
        <v>0</v>
      </c>
      <c r="DE1322" s="828">
        <f>DE1321-DE1305</f>
        <v>0</v>
      </c>
      <c r="DF1322" s="829"/>
      <c r="DH1322" s="828">
        <f>DH1321-DH1305</f>
        <v>0</v>
      </c>
      <c r="DI1322" s="348"/>
      <c r="DJ1322" s="348"/>
      <c r="DL1322" s="348"/>
      <c r="DM1322" s="348"/>
      <c r="DN1322" s="348"/>
      <c r="DP1322" s="348"/>
      <c r="DQ1322" s="348"/>
      <c r="DR1322" s="348"/>
      <c r="DT1322"/>
      <c r="DU1322"/>
      <c r="DV1322" s="1"/>
      <c r="DW1322" s="1"/>
      <c r="DX1322" s="1"/>
      <c r="DY1322" s="1"/>
      <c r="DZ1322" s="1"/>
      <c r="EA1322" s="1"/>
      <c r="EB1322" s="1"/>
      <c r="EC1322" s="1"/>
      <c r="ED1322" s="1"/>
      <c r="EE1322" s="1"/>
      <c r="EF1322" s="1"/>
      <c r="EG1322" s="1"/>
      <c r="EH1322" s="1"/>
      <c r="EI1322" s="1"/>
      <c r="EJ1322" s="1"/>
      <c r="EK1322" s="1"/>
      <c r="EL1322" s="1"/>
      <c r="EM1322" s="1"/>
      <c r="EN1322" s="1"/>
      <c r="EO1322" s="1"/>
      <c r="EP1322" s="1"/>
      <c r="EQ1322" s="1"/>
      <c r="ER1322" s="1"/>
      <c r="ES1322" s="1"/>
      <c r="ET1322" s="1"/>
      <c r="EU1322" s="1"/>
      <c r="EV1322" s="1"/>
      <c r="EW1322" s="1"/>
      <c r="EX1322" s="1"/>
      <c r="EY1322" s="1"/>
      <c r="EZ1322" s="1"/>
      <c r="FA1322" s="1"/>
      <c r="FB1322" s="1"/>
      <c r="FC1322" s="1"/>
      <c r="FD1322" s="1"/>
      <c r="FE1322" s="1"/>
      <c r="FF1322" s="1"/>
      <c r="FG1322" s="1"/>
      <c r="FH1322" s="1"/>
      <c r="FI1322" s="1"/>
      <c r="FJ1322" s="1"/>
      <c r="FK1322" s="1"/>
      <c r="FL1322" s="1"/>
      <c r="FM1322" s="1"/>
      <c r="FN1322" s="1"/>
      <c r="FO1322" s="1"/>
      <c r="FP1322" s="1"/>
      <c r="FQ1322" s="1"/>
      <c r="FR1322" s="1"/>
      <c r="FS1322" s="1"/>
      <c r="FT1322" s="1"/>
      <c r="FU1322" s="1"/>
      <c r="FV1322" s="1"/>
      <c r="FW1322" s="1"/>
      <c r="FX1322" s="1"/>
      <c r="FY1322" s="1"/>
      <c r="FZ1322" s="1"/>
      <c r="GA1322" s="1"/>
      <c r="GB1322" s="1"/>
      <c r="GC1322" s="1"/>
      <c r="GD1322" s="1"/>
      <c r="GE1322" s="1"/>
      <c r="GF1322" s="1"/>
      <c r="GG1322" s="1"/>
      <c r="GH1322" s="1"/>
      <c r="GI1322" s="1"/>
      <c r="GJ1322" s="1"/>
      <c r="GK1322" s="1"/>
      <c r="GL1322" s="1"/>
      <c r="GM1322" s="1"/>
      <c r="GN1322" s="1"/>
      <c r="GO1322" s="1"/>
      <c r="GP1322" s="1"/>
      <c r="GQ1322" s="1"/>
      <c r="GR1322" s="1"/>
      <c r="GS1322" s="1"/>
      <c r="GT1322" s="1"/>
      <c r="GU1322" s="1"/>
      <c r="GV1322" s="1"/>
      <c r="GW1322" s="1"/>
      <c r="GX1322" s="1"/>
      <c r="GY1322" s="1"/>
      <c r="GZ1322" s="1"/>
      <c r="HA1322" s="1"/>
      <c r="HB1322" s="1"/>
      <c r="HC1322" s="1"/>
      <c r="HD1322" s="1"/>
      <c r="HE1322" s="1"/>
      <c r="HF1322" s="1"/>
      <c r="HG1322" s="1"/>
      <c r="HH1322" s="1"/>
      <c r="HI1322" s="1"/>
      <c r="HJ1322" s="1"/>
      <c r="HK1322" s="1"/>
      <c r="HL1322" s="1"/>
      <c r="HM1322" s="1"/>
      <c r="HN1322" s="1"/>
      <c r="HO1322" s="1"/>
      <c r="HP1322" s="1"/>
      <c r="HQ1322" s="1"/>
      <c r="HR1322" s="1"/>
      <c r="HS1322" s="1"/>
      <c r="HT1322" s="1"/>
      <c r="HU1322" s="1"/>
      <c r="HV1322" s="1"/>
      <c r="HW1322" s="1"/>
      <c r="HX1322" s="1"/>
      <c r="HY1322" s="1"/>
      <c r="HZ1322" s="1"/>
      <c r="IA1322" s="1"/>
      <c r="IB1322" s="1"/>
      <c r="IC1322" s="1"/>
      <c r="ID1322" s="1"/>
      <c r="IE1322" s="1"/>
      <c r="IF1322" s="1"/>
      <c r="IG1322" s="1"/>
      <c r="IH1322" s="1"/>
      <c r="II1322" s="1"/>
      <c r="IJ1322" s="1"/>
      <c r="IK1322" s="1"/>
      <c r="IL1322" s="1"/>
      <c r="IM1322" s="1"/>
      <c r="IN1322" s="1"/>
      <c r="IO1322" s="1"/>
      <c r="IP1322" s="1"/>
      <c r="IQ1322" s="1"/>
      <c r="IR1322" s="1"/>
      <c r="IS1322" s="1"/>
      <c r="IT1322" s="1"/>
      <c r="IU1322" s="1"/>
      <c r="IV1322" s="1"/>
      <c r="IW1322" s="1"/>
      <c r="IX1322" s="1"/>
      <c r="IY1322" s="1"/>
      <c r="IZ1322" s="1"/>
      <c r="JA1322" s="1"/>
      <c r="JB1322" s="1"/>
      <c r="JC1322" s="1"/>
      <c r="JD1322" s="1"/>
    </row>
    <row r="1323" spans="1:264" s="347" customFormat="1" ht="15" x14ac:dyDescent="0.25">
      <c r="A1323" s="347" t="s">
        <v>876</v>
      </c>
      <c r="B1323" s="348"/>
      <c r="BE1323" s="828"/>
      <c r="BF1323" s="828"/>
      <c r="BH1323" s="828"/>
      <c r="BI1323" s="828"/>
      <c r="BJ1323" s="348"/>
      <c r="BK1323" s="348"/>
      <c r="BL1323" s="828"/>
      <c r="BM1323" s="828"/>
      <c r="BN1323" s="829"/>
      <c r="BO1323" s="829"/>
      <c r="BP1323" s="828"/>
      <c r="BQ1323" s="828"/>
      <c r="BR1323" s="829"/>
      <c r="BT1323" s="828"/>
      <c r="BU1323" s="828"/>
      <c r="BV1323" s="829"/>
      <c r="BX1323" s="828"/>
      <c r="BY1323" s="828"/>
      <c r="BZ1323" s="829"/>
      <c r="CB1323" s="828"/>
      <c r="CC1323" s="828"/>
      <c r="CD1323" s="829"/>
      <c r="CF1323" s="398">
        <f>68915+30121+1406+1034</f>
        <v>101476</v>
      </c>
      <c r="CG1323" s="398">
        <f>64683+30478+1590+822</f>
        <v>97573</v>
      </c>
      <c r="CH1323" s="351">
        <f>CG1323</f>
        <v>97573</v>
      </c>
      <c r="CJ1323" s="398">
        <f>67236+31560+1309+756</f>
        <v>100861</v>
      </c>
      <c r="CK1323" s="398">
        <f>69577+30890+957+742</f>
        <v>102166</v>
      </c>
      <c r="CL1323" s="351">
        <f>CK1323</f>
        <v>102166</v>
      </c>
      <c r="CM1323" s="393">
        <f t="shared" ref="CM1323:CM1325" si="980">+CL1323/CH1323-1</f>
        <v>4.7072448320744531E-2</v>
      </c>
      <c r="CN1323" s="398">
        <f>69157+30662+1194+752</f>
        <v>101765</v>
      </c>
      <c r="CO1323" s="398">
        <f>66664+29845+1234+805</f>
        <v>98548</v>
      </c>
      <c r="CP1323" s="351">
        <f>CO1323</f>
        <v>98548</v>
      </c>
      <c r="CQ1323" s="393">
        <f t="shared" ref="CQ1323:CQ1325" si="981">+CP1323/CL1323-1</f>
        <v>-3.5412955386332046E-2</v>
      </c>
      <c r="CR1323" s="398">
        <f>68406+1289+30141+641</f>
        <v>100477</v>
      </c>
      <c r="CS1323" s="398">
        <f>69621+29671+506+573</f>
        <v>100371</v>
      </c>
      <c r="CT1323" s="351">
        <f>CS1323</f>
        <v>100371</v>
      </c>
      <c r="CU1323" s="393">
        <f t="shared" ref="CU1323:CU1325" si="982">+CT1323/CP1323-1</f>
        <v>1.8498599667167159E-2</v>
      </c>
      <c r="CV1323" s="398">
        <f>75544+30211+383+481</f>
        <v>106619</v>
      </c>
      <c r="CW1323" s="398">
        <f>80251+22466+530</f>
        <v>103247</v>
      </c>
      <c r="CX1323" s="351">
        <f>CW1323</f>
        <v>103247</v>
      </c>
      <c r="CY1323" s="393">
        <f t="shared" ref="CY1323:CY1325" si="983">+CX1323/CT1323-1</f>
        <v>2.8653694792320383E-2</v>
      </c>
      <c r="CZ1323" s="398">
        <f>83483+26216+779</f>
        <v>110478</v>
      </c>
      <c r="DA1323" s="398">
        <f>86125+27048+1023</f>
        <v>114196</v>
      </c>
      <c r="DB1323" s="351">
        <f>DA1323</f>
        <v>114196</v>
      </c>
      <c r="DC1323" s="393">
        <f t="shared" ref="DC1323:DC1325" si="984">+DB1323/CX1323-1</f>
        <v>0.10604666479413449</v>
      </c>
      <c r="DD1323" s="398">
        <f>93147+28783+811</f>
        <v>122741</v>
      </c>
      <c r="DE1323" s="398">
        <f>96933+27667+930</f>
        <v>125530</v>
      </c>
      <c r="DF1323" s="351">
        <f>DE1323</f>
        <v>125530</v>
      </c>
      <c r="DG1323" s="393">
        <f t="shared" ref="DG1323:DG1325" si="985">+DF1323/DB1323-1</f>
        <v>9.9250411573084785E-2</v>
      </c>
      <c r="DH1323" s="398">
        <f>102005+30014+659</f>
        <v>132678</v>
      </c>
      <c r="DI1323" s="351">
        <f>DI1335*DI1350</f>
        <v>137016.86442788292</v>
      </c>
      <c r="DJ1323" s="351">
        <f>DI1323</f>
        <v>137016.86442788292</v>
      </c>
      <c r="DK1323" s="393">
        <f t="shared" ref="DK1323:DK1325" si="986">+DJ1323/DF1323-1</f>
        <v>9.1506926056583504E-2</v>
      </c>
      <c r="DL1323" s="351">
        <f>DL1335*DL1350</f>
        <v>140343.82707456782</v>
      </c>
      <c r="DM1323" s="351">
        <f>DM1335*DM1350</f>
        <v>145303.74199635829</v>
      </c>
      <c r="DN1323" s="351">
        <f>DM1323</f>
        <v>145303.74199635829</v>
      </c>
      <c r="DO1323" s="393">
        <f t="shared" ref="DO1323:DO1325" si="987">+DN1323/DJ1323-1</f>
        <v>6.0480712378563339E-2</v>
      </c>
      <c r="DP1323" s="351">
        <f>DP1335*DP1350</f>
        <v>148482.56743280689</v>
      </c>
      <c r="DQ1323" s="351">
        <f>DQ1335*DQ1350</f>
        <v>152576.40963974156</v>
      </c>
      <c r="DR1323" s="351">
        <f>DQ1323</f>
        <v>152576.40963974156</v>
      </c>
      <c r="DS1323" s="393">
        <f t="shared" ref="DS1323:DS1325" si="988">+DR1323/DN1323-1</f>
        <v>5.0051482112315693E-2</v>
      </c>
      <c r="DT1323"/>
      <c r="DU1323"/>
      <c r="DV1323" s="1"/>
      <c r="DW1323" s="1"/>
      <c r="DX1323" s="1"/>
      <c r="DY1323" s="1"/>
      <c r="DZ1323" s="1"/>
      <c r="EA1323" s="1"/>
      <c r="EB1323" s="1"/>
      <c r="EC1323" s="1"/>
      <c r="ED1323" s="1"/>
      <c r="EE1323" s="1"/>
      <c r="EF1323" s="1"/>
      <c r="EG1323" s="1"/>
      <c r="EH1323" s="1"/>
      <c r="EI1323" s="1"/>
      <c r="EJ1323" s="1"/>
      <c r="EK1323" s="1"/>
      <c r="EL1323" s="1"/>
      <c r="EM1323" s="1"/>
      <c r="EN1323" s="1"/>
      <c r="EO1323" s="1"/>
      <c r="EP1323" s="1"/>
      <c r="EQ1323" s="1"/>
      <c r="ER1323" s="1"/>
      <c r="ES1323" s="1"/>
      <c r="ET1323" s="1"/>
      <c r="EU1323" s="1"/>
      <c r="EV1323" s="1"/>
      <c r="EW1323" s="1"/>
      <c r="EX1323" s="1"/>
      <c r="EY1323" s="1"/>
      <c r="EZ1323" s="1"/>
      <c r="FA1323" s="1"/>
      <c r="FB1323" s="1"/>
      <c r="FC1323" s="1"/>
      <c r="FD1323" s="1"/>
      <c r="FE1323" s="1"/>
      <c r="FF1323" s="1"/>
      <c r="FG1323" s="1"/>
      <c r="FH1323" s="1"/>
      <c r="FI1323" s="1"/>
      <c r="FJ1323" s="1"/>
      <c r="FK1323" s="1"/>
      <c r="FL1323" s="1"/>
      <c r="FM1323" s="1"/>
      <c r="FN1323" s="1"/>
      <c r="FO1323" s="1"/>
      <c r="FP1323" s="1"/>
      <c r="FQ1323" s="1"/>
      <c r="FR1323" s="1"/>
      <c r="FS1323" s="1"/>
      <c r="FT1323" s="1"/>
      <c r="FU1323" s="1"/>
      <c r="FV1323" s="1"/>
      <c r="FW1323" s="1"/>
      <c r="FX1323" s="1"/>
      <c r="FY1323" s="1"/>
      <c r="FZ1323" s="1"/>
      <c r="GA1323" s="1"/>
      <c r="GB1323" s="1"/>
      <c r="GC1323" s="1"/>
      <c r="GD1323" s="1"/>
      <c r="GE1323" s="1"/>
      <c r="GF1323" s="1"/>
      <c r="GG1323" s="1"/>
      <c r="GH1323" s="1"/>
      <c r="GI1323" s="1"/>
      <c r="GJ1323" s="1"/>
      <c r="GK1323" s="1"/>
      <c r="GL1323" s="1"/>
      <c r="GM1323" s="1"/>
      <c r="GN1323" s="1"/>
      <c r="GO1323" s="1"/>
      <c r="GP1323" s="1"/>
      <c r="GQ1323" s="1"/>
      <c r="GR1323" s="1"/>
      <c r="GS1323" s="1"/>
      <c r="GT1323" s="1"/>
      <c r="GU1323" s="1"/>
      <c r="GV1323" s="1"/>
      <c r="GW1323" s="1"/>
      <c r="GX1323" s="1"/>
      <c r="GY1323" s="1"/>
      <c r="GZ1323" s="1"/>
      <c r="HA1323" s="1"/>
      <c r="HB1323" s="1"/>
      <c r="HC1323" s="1"/>
      <c r="HD1323" s="1"/>
      <c r="HE1323" s="1"/>
      <c r="HF1323" s="1"/>
      <c r="HG1323" s="1"/>
      <c r="HH1323" s="1"/>
      <c r="HI1323" s="1"/>
      <c r="HJ1323" s="1"/>
      <c r="HK1323" s="1"/>
      <c r="HL1323" s="1"/>
      <c r="HM1323" s="1"/>
      <c r="HN1323" s="1"/>
      <c r="HO1323" s="1"/>
      <c r="HP1323" s="1"/>
      <c r="HQ1323" s="1"/>
      <c r="HR1323" s="1"/>
      <c r="HS1323" s="1"/>
      <c r="HT1323" s="1"/>
      <c r="HU1323" s="1"/>
      <c r="HV1323" s="1"/>
      <c r="HW1323" s="1"/>
      <c r="HX1323" s="1"/>
      <c r="HY1323" s="1"/>
      <c r="HZ1323" s="1"/>
      <c r="IA1323" s="1"/>
      <c r="IB1323" s="1"/>
      <c r="IC1323" s="1"/>
      <c r="ID1323" s="1"/>
      <c r="IE1323" s="1"/>
      <c r="IF1323" s="1"/>
      <c r="IG1323" s="1"/>
      <c r="IH1323" s="1"/>
      <c r="II1323" s="1"/>
      <c r="IJ1323" s="1"/>
      <c r="IK1323" s="1"/>
      <c r="IL1323" s="1"/>
      <c r="IM1323" s="1"/>
      <c r="IN1323" s="1"/>
      <c r="IO1323" s="1"/>
      <c r="IP1323" s="1"/>
      <c r="IQ1323" s="1"/>
      <c r="IR1323" s="1"/>
      <c r="IS1323" s="1"/>
      <c r="IT1323" s="1"/>
      <c r="IU1323" s="1"/>
      <c r="IV1323" s="1"/>
      <c r="IW1323" s="1"/>
      <c r="IX1323" s="1"/>
      <c r="IY1323" s="1"/>
      <c r="IZ1323" s="1"/>
      <c r="JA1323" s="1"/>
      <c r="JB1323" s="1"/>
      <c r="JC1323" s="1"/>
      <c r="JD1323" s="1"/>
    </row>
    <row r="1324" spans="1:264" s="347" customFormat="1" ht="15" x14ac:dyDescent="0.25">
      <c r="A1324" s="347" t="s">
        <v>877</v>
      </c>
      <c r="B1324" s="348"/>
      <c r="BE1324" s="828"/>
      <c r="BF1324" s="828"/>
      <c r="BH1324" s="828"/>
      <c r="BI1324" s="828"/>
      <c r="BJ1324" s="348"/>
      <c r="BK1324" s="348"/>
      <c r="BL1324" s="828"/>
      <c r="BM1324" s="828"/>
      <c r="BN1324" s="829"/>
      <c r="BO1324" s="829"/>
      <c r="BP1324" s="828"/>
      <c r="BQ1324" s="828"/>
      <c r="BR1324" s="829"/>
      <c r="BT1324" s="828"/>
      <c r="BU1324" s="828"/>
      <c r="BV1324" s="829"/>
      <c r="BX1324" s="828"/>
      <c r="BY1324" s="828"/>
      <c r="BZ1324" s="829"/>
      <c r="CB1324" s="828"/>
      <c r="CC1324" s="828"/>
      <c r="CD1324" s="829"/>
      <c r="CF1324" s="398">
        <v>53453</v>
      </c>
      <c r="CG1324" s="398">
        <v>53796</v>
      </c>
      <c r="CH1324" s="351">
        <f>CG1324</f>
        <v>53796</v>
      </c>
      <c r="CJ1324" s="398">
        <v>56024</v>
      </c>
      <c r="CK1324" s="398">
        <v>58611</v>
      </c>
      <c r="CL1324" s="351">
        <f>CK1324</f>
        <v>58611</v>
      </c>
      <c r="CM1324" s="393">
        <f t="shared" si="980"/>
        <v>8.9504795895605671E-2</v>
      </c>
      <c r="CN1324" s="398">
        <v>60136</v>
      </c>
      <c r="CO1324" s="398">
        <v>63705</v>
      </c>
      <c r="CP1324" s="351">
        <f>CO1324</f>
        <v>63705</v>
      </c>
      <c r="CQ1324" s="393">
        <f t="shared" si="981"/>
        <v>8.6912013103342289E-2</v>
      </c>
      <c r="CR1324" s="398">
        <v>65825</v>
      </c>
      <c r="CS1324" s="398">
        <v>67078</v>
      </c>
      <c r="CT1324" s="351">
        <f>CS1324</f>
        <v>67078</v>
      </c>
      <c r="CU1324" s="393">
        <f t="shared" si="982"/>
        <v>5.294717840043961E-2</v>
      </c>
      <c r="CV1324" s="398">
        <v>70865</v>
      </c>
      <c r="CW1324" s="398">
        <v>3868</v>
      </c>
      <c r="CX1324" s="351">
        <f>CW1324</f>
        <v>3868</v>
      </c>
      <c r="CY1324" s="393">
        <f t="shared" si="983"/>
        <v>-0.9423357881868869</v>
      </c>
      <c r="CZ1324" s="398">
        <v>3514</v>
      </c>
      <c r="DA1324" s="398">
        <v>3660</v>
      </c>
      <c r="DB1324" s="351">
        <f>DA1324</f>
        <v>3660</v>
      </c>
      <c r="DC1324" s="393">
        <f t="shared" si="984"/>
        <v>-5.3774560496380519E-2</v>
      </c>
      <c r="DD1324" s="398">
        <v>4786</v>
      </c>
      <c r="DE1324" s="398">
        <v>4675</v>
      </c>
      <c r="DF1324" s="351">
        <f>DE1324</f>
        <v>4675</v>
      </c>
      <c r="DG1324" s="393">
        <f t="shared" si="985"/>
        <v>0.27732240437158473</v>
      </c>
      <c r="DH1324" s="398">
        <v>4304</v>
      </c>
      <c r="DI1324" s="351">
        <f>DI1336*DI1351</f>
        <v>4444.7503316119328</v>
      </c>
      <c r="DJ1324" s="351">
        <f>DI1324</f>
        <v>4444.7503316119328</v>
      </c>
      <c r="DK1324" s="393">
        <f t="shared" si="986"/>
        <v>-4.9251265965362001E-2</v>
      </c>
      <c r="DL1324" s="351">
        <f>DL1336*DL1351</f>
        <v>4552.6751362617752</v>
      </c>
      <c r="DM1324" s="351">
        <f>DM1336*DM1351</f>
        <v>4713.5719980126778</v>
      </c>
      <c r="DN1324" s="351">
        <f>DM1324</f>
        <v>4713.5719980126778</v>
      </c>
      <c r="DO1324" s="393">
        <f t="shared" si="987"/>
        <v>6.0480712378563339E-2</v>
      </c>
      <c r="DP1324" s="351">
        <f>DP1336*DP1351</f>
        <v>4816.6913145419794</v>
      </c>
      <c r="DQ1324" s="351">
        <f>DQ1336*DQ1351</f>
        <v>4949.4932625563215</v>
      </c>
      <c r="DR1324" s="351">
        <f>DQ1324</f>
        <v>4949.4932625563215</v>
      </c>
      <c r="DS1324" s="393">
        <f t="shared" si="988"/>
        <v>5.0051482112315693E-2</v>
      </c>
      <c r="DT1324"/>
      <c r="DU1324"/>
      <c r="DV1324" s="1"/>
      <c r="DW1324" s="1"/>
      <c r="DX1324" s="1"/>
      <c r="DY1324" s="1"/>
      <c r="DZ1324" s="1"/>
      <c r="EA1324" s="1"/>
      <c r="EB1324" s="1"/>
      <c r="EC1324" s="1"/>
      <c r="ED1324" s="1"/>
      <c r="EE1324" s="1"/>
      <c r="EF1324" s="1"/>
      <c r="EG1324" s="1"/>
      <c r="EH1324" s="1"/>
      <c r="EI1324" s="1"/>
      <c r="EJ1324" s="1"/>
      <c r="EK1324" s="1"/>
      <c r="EL1324" s="1"/>
      <c r="EM1324" s="1"/>
      <c r="EN1324" s="1"/>
      <c r="EO1324" s="1"/>
      <c r="EP1324" s="1"/>
      <c r="EQ1324" s="1"/>
      <c r="ER1324" s="1"/>
      <c r="ES1324" s="1"/>
      <c r="ET1324" s="1"/>
      <c r="EU1324" s="1"/>
      <c r="EV1324" s="1"/>
      <c r="EW1324" s="1"/>
      <c r="EX1324" s="1"/>
      <c r="EY1324" s="1"/>
      <c r="EZ1324" s="1"/>
      <c r="FA1324" s="1"/>
      <c r="FB1324" s="1"/>
      <c r="FC1324" s="1"/>
      <c r="FD1324" s="1"/>
      <c r="FE1324" s="1"/>
      <c r="FF1324" s="1"/>
      <c r="FG1324" s="1"/>
      <c r="FH1324" s="1"/>
      <c r="FI1324" s="1"/>
      <c r="FJ1324" s="1"/>
      <c r="FK1324" s="1"/>
      <c r="FL1324" s="1"/>
      <c r="FM1324" s="1"/>
      <c r="FN1324" s="1"/>
      <c r="FO1324" s="1"/>
      <c r="FP1324" s="1"/>
      <c r="FQ1324" s="1"/>
      <c r="FR1324" s="1"/>
      <c r="FS1324" s="1"/>
      <c r="FT1324" s="1"/>
      <c r="FU1324" s="1"/>
      <c r="FV1324" s="1"/>
      <c r="FW1324" s="1"/>
      <c r="FX1324" s="1"/>
      <c r="FY1324" s="1"/>
      <c r="FZ1324" s="1"/>
      <c r="GA1324" s="1"/>
      <c r="GB1324" s="1"/>
      <c r="GC1324" s="1"/>
      <c r="GD1324" s="1"/>
      <c r="GE1324" s="1"/>
      <c r="GF1324" s="1"/>
      <c r="GG1324" s="1"/>
      <c r="GH1324" s="1"/>
      <c r="GI1324" s="1"/>
      <c r="GJ1324" s="1"/>
      <c r="GK1324" s="1"/>
      <c r="GL1324" s="1"/>
      <c r="GM1324" s="1"/>
      <c r="GN1324" s="1"/>
      <c r="GO1324" s="1"/>
      <c r="GP1324" s="1"/>
      <c r="GQ1324" s="1"/>
      <c r="GR1324" s="1"/>
      <c r="GS1324" s="1"/>
      <c r="GT1324" s="1"/>
      <c r="GU1324" s="1"/>
      <c r="GV1324" s="1"/>
      <c r="GW1324" s="1"/>
      <c r="GX1324" s="1"/>
      <c r="GY1324" s="1"/>
      <c r="GZ1324" s="1"/>
      <c r="HA1324" s="1"/>
      <c r="HB1324" s="1"/>
      <c r="HC1324" s="1"/>
      <c r="HD1324" s="1"/>
      <c r="HE1324" s="1"/>
      <c r="HF1324" s="1"/>
      <c r="HG1324" s="1"/>
      <c r="HH1324" s="1"/>
      <c r="HI1324" s="1"/>
      <c r="HJ1324" s="1"/>
      <c r="HK1324" s="1"/>
      <c r="HL1324" s="1"/>
      <c r="HM1324" s="1"/>
      <c r="HN1324" s="1"/>
      <c r="HO1324" s="1"/>
      <c r="HP1324" s="1"/>
      <c r="HQ1324" s="1"/>
      <c r="HR1324" s="1"/>
      <c r="HS1324" s="1"/>
      <c r="HT1324" s="1"/>
      <c r="HU1324" s="1"/>
      <c r="HV1324" s="1"/>
      <c r="HW1324" s="1"/>
      <c r="HX1324" s="1"/>
      <c r="HY1324" s="1"/>
      <c r="HZ1324" s="1"/>
      <c r="IA1324" s="1"/>
      <c r="IB1324" s="1"/>
      <c r="IC1324" s="1"/>
      <c r="ID1324" s="1"/>
      <c r="IE1324" s="1"/>
      <c r="IF1324" s="1"/>
      <c r="IG1324" s="1"/>
      <c r="IH1324" s="1"/>
      <c r="II1324" s="1"/>
      <c r="IJ1324" s="1"/>
      <c r="IK1324" s="1"/>
      <c r="IL1324" s="1"/>
      <c r="IM1324" s="1"/>
      <c r="IN1324" s="1"/>
      <c r="IO1324" s="1"/>
      <c r="IP1324" s="1"/>
      <c r="IQ1324" s="1"/>
      <c r="IR1324" s="1"/>
      <c r="IS1324" s="1"/>
      <c r="IT1324" s="1"/>
      <c r="IU1324" s="1"/>
      <c r="IV1324" s="1"/>
      <c r="IW1324" s="1"/>
      <c r="IX1324" s="1"/>
      <c r="IY1324" s="1"/>
      <c r="IZ1324" s="1"/>
      <c r="JA1324" s="1"/>
      <c r="JB1324" s="1"/>
      <c r="JC1324" s="1"/>
      <c r="JD1324" s="1"/>
    </row>
    <row r="1325" spans="1:264" s="347" customFormat="1" ht="15" x14ac:dyDescent="0.25">
      <c r="A1325" s="347" t="s">
        <v>878</v>
      </c>
      <c r="B1325" s="348"/>
      <c r="BE1325" s="828"/>
      <c r="BF1325" s="828"/>
      <c r="BH1325" s="828"/>
      <c r="BI1325" s="828"/>
      <c r="BJ1325" s="348"/>
      <c r="BK1325" s="348"/>
      <c r="BL1325" s="828"/>
      <c r="BM1325" s="828"/>
      <c r="BN1325" s="829"/>
      <c r="BO1325" s="829"/>
      <c r="BP1325" s="828"/>
      <c r="BQ1325" s="828"/>
      <c r="BR1325" s="829"/>
      <c r="BT1325" s="828"/>
      <c r="BU1325" s="828"/>
      <c r="BV1325" s="829"/>
      <c r="BX1325" s="828"/>
      <c r="BY1325" s="828"/>
      <c r="BZ1325" s="829"/>
      <c r="CB1325" s="828"/>
      <c r="CC1325" s="828"/>
      <c r="CD1325" s="829"/>
      <c r="CF1325" s="351">
        <f>CF1326-SUM(CF1323:CF1324)</f>
        <v>58009</v>
      </c>
      <c r="CG1325" s="351">
        <f>CG1326-SUM(CG1323:CG1324)</f>
        <v>59651</v>
      </c>
      <c r="CH1325" s="351">
        <f>CG1325</f>
        <v>59651</v>
      </c>
      <c r="CJ1325" s="351">
        <f>CJ1326-SUM(CJ1323:CJ1324)</f>
        <v>56075</v>
      </c>
      <c r="CK1325" s="351">
        <f>CK1326-SUM(CK1323:CK1324)</f>
        <v>52030</v>
      </c>
      <c r="CL1325" s="351">
        <f>CK1325</f>
        <v>52030</v>
      </c>
      <c r="CM1325" s="393">
        <f t="shared" si="980"/>
        <v>-0.12775980285326316</v>
      </c>
      <c r="CN1325" s="351">
        <f>CN1326-SUM(CN1323:CN1324)</f>
        <v>48706</v>
      </c>
      <c r="CO1325" s="351">
        <f>CO1326-SUM(CO1323:CO1324)</f>
        <v>45162</v>
      </c>
      <c r="CP1325" s="351">
        <f>CO1325</f>
        <v>45162</v>
      </c>
      <c r="CQ1325" s="393">
        <f t="shared" si="981"/>
        <v>-0.1320007687872381</v>
      </c>
      <c r="CR1325" s="351">
        <f>CR1326-SUM(CR1323:CR1324)</f>
        <v>42862</v>
      </c>
      <c r="CS1325" s="351">
        <f>CS1326-SUM(CS1323:CS1324)</f>
        <v>40697</v>
      </c>
      <c r="CT1325" s="351">
        <f>CS1325</f>
        <v>40697</v>
      </c>
      <c r="CU1325" s="393">
        <f t="shared" si="982"/>
        <v>-9.8866303529515975E-2</v>
      </c>
      <c r="CV1325" s="351">
        <f>CV1326-SUM(CV1323:CV1324)</f>
        <v>40260</v>
      </c>
      <c r="CW1325" s="351">
        <f>CW1326-SUM(CW1323:CW1324)</f>
        <v>95349</v>
      </c>
      <c r="CX1325" s="351">
        <f>CW1325</f>
        <v>95349</v>
      </c>
      <c r="CY1325" s="393">
        <f t="shared" si="983"/>
        <v>1.3428999680566136</v>
      </c>
      <c r="CZ1325" s="351">
        <f>CZ1326-SUM(CZ1323:CZ1324)</f>
        <v>97704</v>
      </c>
      <c r="DA1325" s="351">
        <f>DA1326-SUM(DA1323:DA1324)</f>
        <v>87903</v>
      </c>
      <c r="DB1325" s="351">
        <f>DA1325</f>
        <v>87903</v>
      </c>
      <c r="DC1325" s="393">
        <f t="shared" si="984"/>
        <v>-7.8092061794040823E-2</v>
      </c>
      <c r="DD1325" s="351">
        <f>DD1326-SUM(DD1323:DD1324)</f>
        <v>88400</v>
      </c>
      <c r="DE1325" s="351">
        <f>DE1326-SUM(DE1323:DE1324)</f>
        <v>96223</v>
      </c>
      <c r="DF1325" s="351">
        <f>DE1325</f>
        <v>96223</v>
      </c>
      <c r="DG1325" s="393">
        <f t="shared" si="985"/>
        <v>9.4649784421464656E-2</v>
      </c>
      <c r="DH1325" s="351">
        <f>DH1326-SUM(DH1323:DH1324)</f>
        <v>94992</v>
      </c>
      <c r="DI1325" s="351">
        <f>DI1337*DI1353</f>
        <v>98098.448768699047</v>
      </c>
      <c r="DJ1325" s="351">
        <f>DI1325</f>
        <v>98098.448768699047</v>
      </c>
      <c r="DK1325" s="393">
        <f t="shared" si="986"/>
        <v>1.9490649519335879E-2</v>
      </c>
      <c r="DL1325" s="351">
        <f>DL1337*DL1353</f>
        <v>100480.41741258795</v>
      </c>
      <c r="DM1325" s="351">
        <f>DM1337*DM1353</f>
        <v>104031.51283346197</v>
      </c>
      <c r="DN1325" s="351">
        <f>DM1325</f>
        <v>104031.51283346197</v>
      </c>
      <c r="DO1325" s="393">
        <f t="shared" si="987"/>
        <v>6.0480712378563339E-2</v>
      </c>
      <c r="DP1325" s="351">
        <f>DP1337*DP1353</f>
        <v>106307.42131760495</v>
      </c>
      <c r="DQ1325" s="351">
        <f>DQ1337*DQ1353</f>
        <v>109238.44423716312</v>
      </c>
      <c r="DR1325" s="351">
        <f>DQ1325</f>
        <v>109238.44423716312</v>
      </c>
      <c r="DS1325" s="393">
        <f t="shared" si="988"/>
        <v>5.0051482112315471E-2</v>
      </c>
      <c r="DT1325"/>
      <c r="DU1325"/>
      <c r="DV1325" s="1"/>
      <c r="DW1325" s="1"/>
      <c r="DX1325" s="1"/>
      <c r="DY1325" s="1"/>
      <c r="DZ1325" s="1"/>
      <c r="EA1325" s="1"/>
      <c r="EB1325" s="1"/>
      <c r="EC1325" s="1"/>
      <c r="ED1325" s="1"/>
      <c r="EE1325" s="1"/>
      <c r="EF1325" s="1"/>
      <c r="EG1325" s="1"/>
      <c r="EH1325" s="1"/>
      <c r="EI1325" s="1"/>
      <c r="EJ1325" s="1"/>
      <c r="EK1325" s="1"/>
      <c r="EL1325" s="1"/>
      <c r="EM1325" s="1"/>
      <c r="EN1325" s="1"/>
      <c r="EO1325" s="1"/>
      <c r="EP1325" s="1"/>
      <c r="EQ1325" s="1"/>
      <c r="ER1325" s="1"/>
      <c r="ES1325" s="1"/>
      <c r="ET1325" s="1"/>
      <c r="EU1325" s="1"/>
      <c r="EV1325" s="1"/>
      <c r="EW1325" s="1"/>
      <c r="EX1325" s="1"/>
      <c r="EY1325" s="1"/>
      <c r="EZ1325" s="1"/>
      <c r="FA1325" s="1"/>
      <c r="FB1325" s="1"/>
      <c r="FC1325" s="1"/>
      <c r="FD1325" s="1"/>
      <c r="FE1325" s="1"/>
      <c r="FF1325" s="1"/>
      <c r="FG1325" s="1"/>
      <c r="FH1325" s="1"/>
      <c r="FI1325" s="1"/>
      <c r="FJ1325" s="1"/>
      <c r="FK1325" s="1"/>
      <c r="FL1325" s="1"/>
      <c r="FM1325" s="1"/>
      <c r="FN1325" s="1"/>
      <c r="FO1325" s="1"/>
      <c r="FP1325" s="1"/>
      <c r="FQ1325" s="1"/>
      <c r="FR1325" s="1"/>
      <c r="FS1325" s="1"/>
      <c r="FT1325" s="1"/>
      <c r="FU1325" s="1"/>
      <c r="FV1325" s="1"/>
      <c r="FW1325" s="1"/>
      <c r="FX1325" s="1"/>
      <c r="FY1325" s="1"/>
      <c r="FZ1325" s="1"/>
      <c r="GA1325" s="1"/>
      <c r="GB1325" s="1"/>
      <c r="GC1325" s="1"/>
      <c r="GD1325" s="1"/>
      <c r="GE1325" s="1"/>
      <c r="GF1325" s="1"/>
      <c r="GG1325" s="1"/>
      <c r="GH1325" s="1"/>
      <c r="GI1325" s="1"/>
      <c r="GJ1325" s="1"/>
      <c r="GK1325" s="1"/>
      <c r="GL1325" s="1"/>
      <c r="GM1325" s="1"/>
      <c r="GN1325" s="1"/>
      <c r="GO1325" s="1"/>
      <c r="GP1325" s="1"/>
      <c r="GQ1325" s="1"/>
      <c r="GR1325" s="1"/>
      <c r="GS1325" s="1"/>
      <c r="GT1325" s="1"/>
      <c r="GU1325" s="1"/>
      <c r="GV1325" s="1"/>
      <c r="GW1325" s="1"/>
      <c r="GX1325" s="1"/>
      <c r="GY1325" s="1"/>
      <c r="GZ1325" s="1"/>
      <c r="HA1325" s="1"/>
      <c r="HB1325" s="1"/>
      <c r="HC1325" s="1"/>
      <c r="HD1325" s="1"/>
      <c r="HE1325" s="1"/>
      <c r="HF1325" s="1"/>
      <c r="HG1325" s="1"/>
      <c r="HH1325" s="1"/>
      <c r="HI1325" s="1"/>
      <c r="HJ1325" s="1"/>
      <c r="HK1325" s="1"/>
      <c r="HL1325" s="1"/>
      <c r="HM1325" s="1"/>
      <c r="HN1325" s="1"/>
      <c r="HO1325" s="1"/>
      <c r="HP1325" s="1"/>
      <c r="HQ1325" s="1"/>
      <c r="HR1325" s="1"/>
      <c r="HS1325" s="1"/>
      <c r="HT1325" s="1"/>
      <c r="HU1325" s="1"/>
      <c r="HV1325" s="1"/>
      <c r="HW1325" s="1"/>
      <c r="HX1325" s="1"/>
      <c r="HY1325" s="1"/>
      <c r="HZ1325" s="1"/>
      <c r="IA1325" s="1"/>
      <c r="IB1325" s="1"/>
      <c r="IC1325" s="1"/>
      <c r="ID1325" s="1"/>
      <c r="IE1325" s="1"/>
      <c r="IF1325" s="1"/>
      <c r="IG1325" s="1"/>
      <c r="IH1325" s="1"/>
      <c r="II1325" s="1"/>
      <c r="IJ1325" s="1"/>
      <c r="IK1325" s="1"/>
      <c r="IL1325" s="1"/>
      <c r="IM1325" s="1"/>
      <c r="IN1325" s="1"/>
      <c r="IO1325" s="1"/>
      <c r="IP1325" s="1"/>
      <c r="IQ1325" s="1"/>
      <c r="IR1325" s="1"/>
      <c r="IS1325" s="1"/>
      <c r="IT1325" s="1"/>
      <c r="IU1325" s="1"/>
      <c r="IV1325" s="1"/>
      <c r="IW1325" s="1"/>
      <c r="IX1325" s="1"/>
      <c r="IY1325" s="1"/>
      <c r="IZ1325" s="1"/>
      <c r="JA1325" s="1"/>
      <c r="JB1325" s="1"/>
      <c r="JC1325" s="1"/>
      <c r="JD1325" s="1"/>
    </row>
    <row r="1326" spans="1:264" s="411" customFormat="1" ht="15" x14ac:dyDescent="0.25">
      <c r="A1326" s="411" t="s">
        <v>879</v>
      </c>
      <c r="B1326" s="423"/>
      <c r="BE1326" s="830"/>
      <c r="BF1326" s="830"/>
      <c r="BH1326" s="830"/>
      <c r="BI1326" s="830"/>
      <c r="BJ1326" s="423"/>
      <c r="BK1326" s="423"/>
      <c r="BL1326" s="830"/>
      <c r="BM1326" s="830"/>
      <c r="BN1326" s="831"/>
      <c r="BO1326" s="831"/>
      <c r="BP1326" s="830"/>
      <c r="BQ1326" s="830"/>
      <c r="BR1326" s="831"/>
      <c r="BT1326" s="830"/>
      <c r="BU1326" s="830"/>
      <c r="BV1326" s="831"/>
      <c r="BX1326" s="830"/>
      <c r="BY1326" s="830"/>
      <c r="BZ1326" s="831"/>
      <c r="CB1326" s="830"/>
      <c r="CC1326" s="830"/>
      <c r="CD1326" s="831"/>
      <c r="CF1326" s="397">
        <f>CF1316</f>
        <v>212938</v>
      </c>
      <c r="CG1326" s="397">
        <f>CG1316</f>
        <v>211020</v>
      </c>
      <c r="CH1326" s="397">
        <f>CG1326</f>
        <v>211020</v>
      </c>
      <c r="CJ1326" s="397">
        <f>CJ1316</f>
        <v>212960</v>
      </c>
      <c r="CK1326" s="397">
        <f>CK1316</f>
        <v>212807</v>
      </c>
      <c r="CL1326" s="397">
        <f>CK1326</f>
        <v>212807</v>
      </c>
      <c r="CN1326" s="397">
        <f>CN1316</f>
        <v>210607</v>
      </c>
      <c r="CO1326" s="397">
        <f>CO1316</f>
        <v>207415</v>
      </c>
      <c r="CP1326" s="397">
        <f>CO1326</f>
        <v>207415</v>
      </c>
      <c r="CR1326" s="397">
        <f>CR1316</f>
        <v>209164</v>
      </c>
      <c r="CS1326" s="397">
        <f>CS1316</f>
        <v>208146</v>
      </c>
      <c r="CT1326" s="397">
        <f>CS1326</f>
        <v>208146</v>
      </c>
      <c r="CV1326" s="397">
        <f>CV1316</f>
        <v>217744</v>
      </c>
      <c r="CW1326" s="397">
        <f>CW1316</f>
        <v>202464</v>
      </c>
      <c r="CX1326" s="397">
        <f>CW1326</f>
        <v>202464</v>
      </c>
      <c r="CZ1326" s="397">
        <f>CZ1316</f>
        <v>211696</v>
      </c>
      <c r="DA1326" s="397">
        <f>DA1316</f>
        <v>205759</v>
      </c>
      <c r="DB1326" s="397">
        <f>DA1326</f>
        <v>205759</v>
      </c>
      <c r="DD1326" s="397">
        <f>DD1316</f>
        <v>215927</v>
      </c>
      <c r="DE1326" s="397">
        <f>DE1316</f>
        <v>226428</v>
      </c>
      <c r="DF1326" s="397">
        <f>DE1326</f>
        <v>226428</v>
      </c>
      <c r="DH1326" s="397">
        <f>DH1316</f>
        <v>231974</v>
      </c>
      <c r="DI1326" s="397">
        <f>SUM(DI1323:DI1325)</f>
        <v>239560.06352819389</v>
      </c>
      <c r="DJ1326" s="397">
        <f>DI1326</f>
        <v>239560.06352819389</v>
      </c>
      <c r="DL1326" s="397">
        <f>SUM(DL1323:DL1325)</f>
        <v>245376.91962341755</v>
      </c>
      <c r="DM1326" s="397">
        <f>SUM(DM1323:DM1325)</f>
        <v>254048.82682783296</v>
      </c>
      <c r="DN1326" s="397">
        <f>DM1326</f>
        <v>254048.82682783296</v>
      </c>
      <c r="DP1326" s="397">
        <f>SUM(DP1323:DP1325)</f>
        <v>259606.68006495381</v>
      </c>
      <c r="DQ1326" s="397">
        <f>SUM(DQ1323:DQ1325)</f>
        <v>266764.34713946097</v>
      </c>
      <c r="DR1326" s="397">
        <f>DQ1326</f>
        <v>266764.34713946097</v>
      </c>
      <c r="DT1326"/>
      <c r="DU1326"/>
      <c r="DV1326" s="451"/>
      <c r="DW1326" s="451"/>
      <c r="DX1326" s="451"/>
      <c r="DY1326" s="451"/>
      <c r="DZ1326" s="451"/>
      <c r="EA1326" s="451"/>
      <c r="EB1326" s="451"/>
      <c r="EC1326" s="451"/>
      <c r="ED1326" s="451"/>
      <c r="EE1326" s="451"/>
      <c r="EF1326" s="451"/>
      <c r="EG1326" s="451"/>
      <c r="EH1326" s="451"/>
      <c r="EI1326" s="451"/>
      <c r="EJ1326" s="451"/>
      <c r="EK1326" s="451"/>
      <c r="EL1326" s="451"/>
      <c r="EM1326" s="451"/>
      <c r="EN1326" s="451"/>
      <c r="EO1326" s="451"/>
      <c r="EP1326" s="451"/>
      <c r="EQ1326" s="451"/>
      <c r="ER1326" s="451"/>
      <c r="ES1326" s="451"/>
      <c r="ET1326" s="451"/>
      <c r="EU1326" s="451"/>
      <c r="EV1326" s="451"/>
      <c r="EW1326" s="451"/>
      <c r="EX1326" s="451"/>
      <c r="EY1326" s="451"/>
      <c r="EZ1326" s="451"/>
      <c r="FA1326" s="451"/>
      <c r="FB1326" s="451"/>
      <c r="FC1326" s="451"/>
      <c r="FD1326" s="451"/>
      <c r="FE1326" s="451"/>
      <c r="FF1326" s="451"/>
      <c r="FG1326" s="451"/>
      <c r="FH1326" s="451"/>
      <c r="FI1326" s="451"/>
      <c r="FJ1326" s="451"/>
      <c r="FK1326" s="451"/>
      <c r="FL1326" s="451"/>
      <c r="FM1326" s="451"/>
      <c r="FN1326" s="451"/>
      <c r="FO1326" s="451"/>
      <c r="FP1326" s="451"/>
      <c r="FQ1326" s="451"/>
      <c r="FR1326" s="451"/>
      <c r="FS1326" s="451"/>
      <c r="FT1326" s="451"/>
      <c r="FU1326" s="451"/>
      <c r="FV1326" s="451"/>
      <c r="FW1326" s="451"/>
      <c r="FX1326" s="451"/>
      <c r="FY1326" s="451"/>
      <c r="FZ1326" s="451"/>
      <c r="GA1326" s="451"/>
      <c r="GB1326" s="451"/>
      <c r="GC1326" s="451"/>
      <c r="GD1326" s="451"/>
      <c r="GE1326" s="451"/>
      <c r="GF1326" s="451"/>
      <c r="GG1326" s="451"/>
      <c r="GH1326" s="451"/>
      <c r="GI1326" s="451"/>
      <c r="GJ1326" s="451"/>
      <c r="GK1326" s="451"/>
      <c r="GL1326" s="451"/>
      <c r="GM1326" s="451"/>
      <c r="GN1326" s="451"/>
      <c r="GO1326" s="451"/>
      <c r="GP1326" s="451"/>
      <c r="GQ1326" s="451"/>
      <c r="GR1326" s="451"/>
      <c r="GS1326" s="451"/>
      <c r="GT1326" s="451"/>
      <c r="GU1326" s="451"/>
      <c r="GV1326" s="451"/>
      <c r="GW1326" s="451"/>
      <c r="GX1326" s="451"/>
      <c r="GY1326" s="451"/>
      <c r="GZ1326" s="451"/>
      <c r="HA1326" s="451"/>
      <c r="HB1326" s="451"/>
      <c r="HC1326" s="451"/>
      <c r="HD1326" s="451"/>
      <c r="HE1326" s="451"/>
      <c r="HF1326" s="451"/>
      <c r="HG1326" s="451"/>
      <c r="HH1326" s="451"/>
      <c r="HI1326" s="451"/>
      <c r="HJ1326" s="451"/>
      <c r="HK1326" s="451"/>
      <c r="HL1326" s="451"/>
      <c r="HM1326" s="451"/>
      <c r="HN1326" s="451"/>
      <c r="HO1326" s="451"/>
      <c r="HP1326" s="451"/>
      <c r="HQ1326" s="451"/>
      <c r="HR1326" s="451"/>
      <c r="HS1326" s="451"/>
      <c r="HT1326" s="451"/>
      <c r="HU1326" s="451"/>
      <c r="HV1326" s="451"/>
      <c r="HW1326" s="451"/>
      <c r="HX1326" s="451"/>
      <c r="HY1326" s="451"/>
      <c r="HZ1326" s="451"/>
      <c r="IA1326" s="451"/>
      <c r="IB1326" s="451"/>
      <c r="IC1326" s="451"/>
      <c r="ID1326" s="451"/>
      <c r="IE1326" s="451"/>
      <c r="IF1326" s="451"/>
      <c r="IG1326" s="451"/>
      <c r="IH1326" s="451"/>
      <c r="II1326" s="451"/>
      <c r="IJ1326" s="451"/>
      <c r="IK1326" s="451"/>
      <c r="IL1326" s="451"/>
      <c r="IM1326" s="451"/>
      <c r="IN1326" s="451"/>
      <c r="IO1326" s="451"/>
      <c r="IP1326" s="451"/>
      <c r="IQ1326" s="451"/>
      <c r="IR1326" s="451"/>
      <c r="IS1326" s="451"/>
      <c r="IT1326" s="451"/>
      <c r="IU1326" s="451"/>
      <c r="IV1326" s="451"/>
      <c r="IW1326" s="451"/>
      <c r="IX1326" s="451"/>
      <c r="IY1326" s="451"/>
      <c r="IZ1326" s="451"/>
      <c r="JA1326" s="451"/>
      <c r="JB1326" s="451"/>
      <c r="JC1326" s="451"/>
      <c r="JD1326" s="451"/>
    </row>
    <row r="1327" spans="1:264" s="347" customFormat="1" ht="15" x14ac:dyDescent="0.25">
      <c r="B1327" s="348"/>
      <c r="BH1327" s="348"/>
      <c r="BI1327" s="348"/>
      <c r="BJ1327" s="348"/>
      <c r="BK1327" s="348"/>
      <c r="BL1327" s="828"/>
      <c r="BM1327" s="828"/>
      <c r="BN1327" s="829"/>
      <c r="BO1327" s="829"/>
      <c r="BP1327" s="828"/>
      <c r="BQ1327" s="828"/>
      <c r="BR1327" s="829"/>
      <c r="BT1327" s="828"/>
      <c r="BU1327" s="828"/>
      <c r="BV1327" s="829"/>
      <c r="BX1327" s="828"/>
      <c r="BY1327" s="348"/>
      <c r="BZ1327" s="348"/>
      <c r="CB1327" s="828"/>
      <c r="CC1327" s="348"/>
      <c r="CD1327" s="348"/>
      <c r="CF1327" s="828"/>
      <c r="CG1327" s="348"/>
      <c r="CH1327" s="348"/>
      <c r="CJ1327" s="828"/>
      <c r="CK1327" s="348"/>
      <c r="CL1327" s="348"/>
      <c r="CM1327" s="832"/>
      <c r="CN1327" s="828"/>
      <c r="CO1327" s="348"/>
      <c r="CP1327" s="348"/>
      <c r="CQ1327" s="832"/>
      <c r="CR1327" s="828"/>
      <c r="CS1327" s="348"/>
      <c r="CT1327" s="348"/>
      <c r="CU1327" s="832"/>
      <c r="CV1327" s="828"/>
      <c r="CW1327" s="348"/>
      <c r="CX1327" s="348"/>
      <c r="CZ1327" s="828"/>
      <c r="DA1327" s="348"/>
      <c r="DB1327" s="348"/>
      <c r="DD1327" s="828"/>
      <c r="DE1327" s="348"/>
      <c r="DF1327" s="348"/>
      <c r="DH1327" s="828"/>
      <c r="DI1327" s="833"/>
      <c r="DJ1327" s="833"/>
      <c r="DL1327" s="833"/>
      <c r="DM1327" s="833"/>
      <c r="DN1327" s="833"/>
      <c r="DP1327" s="833"/>
      <c r="DQ1327" s="833"/>
      <c r="DR1327" s="833"/>
      <c r="DT1327"/>
      <c r="DU1327"/>
      <c r="DV1327" s="1"/>
      <c r="DW1327" s="1"/>
      <c r="DX1327" s="1"/>
      <c r="DY1327" s="1"/>
      <c r="DZ1327" s="1"/>
      <c r="EA1327" s="1"/>
      <c r="EB1327" s="1"/>
      <c r="EC1327" s="1"/>
      <c r="ED1327" s="1"/>
      <c r="EE1327" s="1"/>
      <c r="EF1327" s="1"/>
      <c r="EG1327" s="1"/>
      <c r="EH1327" s="1"/>
      <c r="EI1327" s="1"/>
      <c r="EJ1327" s="1"/>
      <c r="EK1327" s="1"/>
      <c r="EL1327" s="1"/>
      <c r="EM1327" s="1"/>
      <c r="EN1327" s="1"/>
      <c r="EO1327" s="1"/>
      <c r="EP1327" s="1"/>
      <c r="EQ1327" s="1"/>
      <c r="ER1327" s="1"/>
      <c r="ES1327" s="1"/>
      <c r="ET1327" s="1"/>
      <c r="EU1327" s="1"/>
      <c r="EV1327" s="1"/>
      <c r="EW1327" s="1"/>
      <c r="EX1327" s="1"/>
      <c r="EY1327" s="1"/>
      <c r="EZ1327" s="1"/>
      <c r="FA1327" s="1"/>
      <c r="FB1327" s="1"/>
      <c r="FC1327" s="1"/>
      <c r="FD1327" s="1"/>
      <c r="FE1327" s="1"/>
      <c r="FF1327" s="1"/>
      <c r="FG1327" s="1"/>
      <c r="FH1327" s="1"/>
      <c r="FI1327" s="1"/>
      <c r="FJ1327" s="1"/>
      <c r="FK1327" s="1"/>
      <c r="FL1327" s="1"/>
      <c r="FM1327" s="1"/>
      <c r="FN1327" s="1"/>
      <c r="FO1327" s="1"/>
      <c r="FP1327" s="1"/>
      <c r="FQ1327" s="1"/>
      <c r="FR1327" s="1"/>
      <c r="FS1327" s="1"/>
      <c r="FT1327" s="1"/>
      <c r="FU1327" s="1"/>
      <c r="FV1327" s="1"/>
      <c r="FW1327" s="1"/>
      <c r="FX1327" s="1"/>
      <c r="FY1327" s="1"/>
      <c r="FZ1327" s="1"/>
      <c r="GA1327" s="1"/>
      <c r="GB1327" s="1"/>
      <c r="GC1327" s="1"/>
      <c r="GD1327" s="1"/>
      <c r="GE1327" s="1"/>
      <c r="GF1327" s="1"/>
      <c r="GG1327" s="1"/>
      <c r="GH1327" s="1"/>
      <c r="GI1327" s="1"/>
      <c r="GJ1327" s="1"/>
      <c r="GK1327" s="1"/>
      <c r="GL1327" s="1"/>
      <c r="GM1327" s="1"/>
      <c r="GN1327" s="1"/>
      <c r="GO1327" s="1"/>
      <c r="GP1327" s="1"/>
      <c r="GQ1327" s="1"/>
      <c r="GR1327" s="1"/>
      <c r="GS1327" s="1"/>
      <c r="GT1327" s="1"/>
      <c r="GU1327" s="1"/>
      <c r="GV1327" s="1"/>
      <c r="GW1327" s="1"/>
      <c r="GX1327" s="1"/>
      <c r="GY1327" s="1"/>
      <c r="GZ1327" s="1"/>
      <c r="HA1327" s="1"/>
      <c r="HB1327" s="1"/>
      <c r="HC1327" s="1"/>
      <c r="HD1327" s="1"/>
      <c r="HE1327" s="1"/>
      <c r="HF1327" s="1"/>
      <c r="HG1327" s="1"/>
      <c r="HH1327" s="1"/>
      <c r="HI1327" s="1"/>
      <c r="HJ1327" s="1"/>
      <c r="HK1327" s="1"/>
      <c r="HL1327" s="1"/>
      <c r="HM1327" s="1"/>
      <c r="HN1327" s="1"/>
      <c r="HO1327" s="1"/>
      <c r="HP1327" s="1"/>
      <c r="HQ1327" s="1"/>
      <c r="HR1327" s="1"/>
      <c r="HS1327" s="1"/>
      <c r="HT1327" s="1"/>
      <c r="HU1327" s="1"/>
      <c r="HV1327" s="1"/>
      <c r="HW1327" s="1"/>
      <c r="HX1327" s="1"/>
      <c r="HY1327" s="1"/>
      <c r="HZ1327" s="1"/>
      <c r="IA1327" s="1"/>
      <c r="IB1327" s="1"/>
      <c r="IC1327" s="1"/>
      <c r="ID1327" s="1"/>
      <c r="IE1327" s="1"/>
      <c r="IF1327" s="1"/>
      <c r="IG1327" s="1"/>
      <c r="IH1327" s="1"/>
      <c r="II1327" s="1"/>
      <c r="IJ1327" s="1"/>
      <c r="IK1327" s="1"/>
      <c r="IL1327" s="1"/>
      <c r="IM1327" s="1"/>
      <c r="IN1327" s="1"/>
      <c r="IO1327" s="1"/>
      <c r="IP1327" s="1"/>
      <c r="IQ1327" s="1"/>
      <c r="IR1327" s="1"/>
      <c r="IS1327" s="1"/>
      <c r="IT1327" s="1"/>
      <c r="IU1327" s="1"/>
      <c r="IV1327" s="1"/>
      <c r="IW1327" s="1"/>
      <c r="IX1327" s="1"/>
      <c r="IY1327" s="1"/>
      <c r="IZ1327" s="1"/>
      <c r="JA1327" s="1"/>
      <c r="JB1327" s="1"/>
      <c r="JC1327" s="1"/>
      <c r="JD1327" s="1"/>
    </row>
    <row r="1328" spans="1:264" s="347" customFormat="1" ht="15" x14ac:dyDescent="0.25">
      <c r="A1328" s="387" t="s">
        <v>880</v>
      </c>
      <c r="B1328" s="348"/>
      <c r="BD1328" s="707"/>
      <c r="BE1328" s="707">
        <f>353610+57360</f>
        <v>410970</v>
      </c>
      <c r="BF1328" s="389">
        <f>BE1328</f>
        <v>410970</v>
      </c>
      <c r="BH1328" s="707">
        <f>418544+4863</f>
        <v>423407</v>
      </c>
      <c r="BI1328" s="707">
        <f>429124+5238</f>
        <v>434362</v>
      </c>
      <c r="BJ1328" s="389">
        <f>BI1328</f>
        <v>434362</v>
      </c>
      <c r="BK1328" s="348"/>
      <c r="BL1328" s="707">
        <f>446695+10279</f>
        <v>456974</v>
      </c>
      <c r="BM1328" s="707">
        <f>460788+10165</f>
        <v>470953</v>
      </c>
      <c r="BN1328" s="389">
        <f>BM1328</f>
        <v>470953</v>
      </c>
      <c r="BO1328" s="829"/>
      <c r="BP1328" s="707">
        <f>475529+10987</f>
        <v>486516</v>
      </c>
      <c r="BQ1328" s="707">
        <f>484838+11972</f>
        <v>496810</v>
      </c>
      <c r="BR1328" s="389">
        <f>BQ1328</f>
        <v>496810</v>
      </c>
      <c r="BT1328" s="707">
        <f>500936+12743</f>
        <v>513679</v>
      </c>
      <c r="BU1328" s="707">
        <f>520332+13721</f>
        <v>534053</v>
      </c>
      <c r="BV1328" s="389">
        <f>BU1328</f>
        <v>534053</v>
      </c>
      <c r="BX1328" s="707">
        <f>537699+11111</f>
        <v>548810</v>
      </c>
      <c r="BY1328" s="707">
        <f>546367+11654</f>
        <v>558021</v>
      </c>
      <c r="BZ1328" s="389">
        <f>BY1328</f>
        <v>558021</v>
      </c>
      <c r="CB1328" s="707">
        <f>551545+12614</f>
        <v>564159</v>
      </c>
      <c r="CC1328" s="707">
        <f>559026+13188</f>
        <v>572214</v>
      </c>
      <c r="CD1328" s="389">
        <f>CC1328</f>
        <v>572214</v>
      </c>
      <c r="CF1328" s="707">
        <f>567354+14521</f>
        <v>581875</v>
      </c>
      <c r="CG1328" s="707">
        <f>577736+14933</f>
        <v>592669</v>
      </c>
      <c r="CH1328" s="389">
        <f>CG1328</f>
        <v>592669</v>
      </c>
      <c r="CJ1328" s="707">
        <v>605434</v>
      </c>
      <c r="CK1328" s="707">
        <f>599513+15102</f>
        <v>614615</v>
      </c>
      <c r="CL1328" s="389">
        <f>CK1328</f>
        <v>614615</v>
      </c>
      <c r="CN1328" s="707">
        <f>623810+14771</f>
        <v>638581</v>
      </c>
      <c r="CO1328" s="707">
        <f>647947+15012</f>
        <v>662959</v>
      </c>
      <c r="CP1328" s="389">
        <f>CO1328</f>
        <v>662959</v>
      </c>
      <c r="CR1328" s="707">
        <v>691397</v>
      </c>
      <c r="CS1328" s="707">
        <v>701224</v>
      </c>
      <c r="CT1328" s="389">
        <f>CS1328</f>
        <v>701224</v>
      </c>
      <c r="CV1328" s="707">
        <v>720208</v>
      </c>
      <c r="CW1328" s="707">
        <v>652371</v>
      </c>
      <c r="CX1328" s="389">
        <f>CW1328</f>
        <v>652371</v>
      </c>
      <c r="CZ1328" s="707">
        <v>651955</v>
      </c>
      <c r="DA1328" s="707">
        <v>666728</v>
      </c>
      <c r="DB1328" s="389">
        <f>DA1328</f>
        <v>666728</v>
      </c>
      <c r="DD1328" s="707">
        <v>689600</v>
      </c>
      <c r="DE1328" s="707">
        <v>709385</v>
      </c>
      <c r="DF1328" s="389">
        <f>DE1328</f>
        <v>709385</v>
      </c>
      <c r="DH1328" s="707">
        <v>738789</v>
      </c>
      <c r="DI1328" s="389">
        <f>+DI1332*DI1346</f>
        <v>765246.94307148736</v>
      </c>
      <c r="DJ1328" s="389">
        <f>DI1328</f>
        <v>765246.94307148736</v>
      </c>
      <c r="DL1328" s="389">
        <f>+DL1332*DL1346</f>
        <v>789378.05066826334</v>
      </c>
      <c r="DM1328" s="389">
        <f>+DM1332*DM1346</f>
        <v>812492.01621295302</v>
      </c>
      <c r="DN1328" s="389">
        <f>DM1328</f>
        <v>812492.01621295302</v>
      </c>
      <c r="DP1328" s="389">
        <f>+DP1332*DP1346</f>
        <v>832031.69749129831</v>
      </c>
      <c r="DQ1328" s="389">
        <f>+DQ1332*DQ1346</f>
        <v>852048.33945705241</v>
      </c>
      <c r="DR1328" s="389">
        <f>DQ1328</f>
        <v>852048.33945705241</v>
      </c>
      <c r="DT1328"/>
      <c r="DU1328"/>
      <c r="DV1328" s="1"/>
      <c r="DW1328" s="1"/>
      <c r="DX1328" s="1"/>
      <c r="DY1328" s="1"/>
      <c r="DZ1328" s="1"/>
      <c r="EA1328" s="1"/>
      <c r="EB1328" s="1"/>
      <c r="EC1328" s="1"/>
      <c r="ED1328" s="1"/>
      <c r="EE1328" s="1"/>
      <c r="EF1328" s="1"/>
      <c r="EG1328" s="1"/>
      <c r="EH1328" s="1"/>
      <c r="EI1328" s="1"/>
      <c r="EJ1328" s="1"/>
      <c r="EK1328" s="1"/>
      <c r="EL1328" s="1"/>
      <c r="EM1328" s="1"/>
      <c r="EN1328" s="1"/>
      <c r="EO1328" s="1"/>
      <c r="EP1328" s="1"/>
      <c r="EQ1328" s="1"/>
      <c r="ER1328" s="1"/>
      <c r="ES1328" s="1"/>
      <c r="ET1328" s="1"/>
      <c r="EU1328" s="1"/>
      <c r="EV1328" s="1"/>
      <c r="EW1328" s="1"/>
      <c r="EX1328" s="1"/>
      <c r="EY1328" s="1"/>
      <c r="EZ1328" s="1"/>
      <c r="FA1328" s="1"/>
      <c r="FB1328" s="1"/>
      <c r="FC1328" s="1"/>
      <c r="FD1328" s="1"/>
      <c r="FE1328" s="1"/>
      <c r="FF1328" s="1"/>
      <c r="FG1328" s="1"/>
      <c r="FH1328" s="1"/>
      <c r="FI1328" s="1"/>
      <c r="FJ1328" s="1"/>
      <c r="FK1328" s="1"/>
      <c r="FL1328" s="1"/>
      <c r="FM1328" s="1"/>
      <c r="FN1328" s="1"/>
      <c r="FO1328" s="1"/>
      <c r="FP1328" s="1"/>
      <c r="FQ1328" s="1"/>
      <c r="FR1328" s="1"/>
      <c r="FS1328" s="1"/>
      <c r="FT1328" s="1"/>
      <c r="FU1328" s="1"/>
      <c r="FV1328" s="1"/>
      <c r="FW1328" s="1"/>
      <c r="FX1328" s="1"/>
      <c r="FY1328" s="1"/>
      <c r="FZ1328" s="1"/>
      <c r="GA1328" s="1"/>
      <c r="GB1328" s="1"/>
      <c r="GC1328" s="1"/>
      <c r="GD1328" s="1"/>
      <c r="GE1328" s="1"/>
      <c r="GF1328" s="1"/>
      <c r="GG1328" s="1"/>
      <c r="GH1328" s="1"/>
      <c r="GI1328" s="1"/>
      <c r="GJ1328" s="1"/>
      <c r="GK1328" s="1"/>
      <c r="GL1328" s="1"/>
      <c r="GM1328" s="1"/>
      <c r="GN1328" s="1"/>
      <c r="GO1328" s="1"/>
      <c r="GP1328" s="1"/>
      <c r="GQ1328" s="1"/>
      <c r="GR1328" s="1"/>
      <c r="GS1328" s="1"/>
      <c r="GT1328" s="1"/>
      <c r="GU1328" s="1"/>
      <c r="GV1328" s="1"/>
      <c r="GW1328" s="1"/>
      <c r="GX1328" s="1"/>
      <c r="GY1328" s="1"/>
      <c r="GZ1328" s="1"/>
      <c r="HA1328" s="1"/>
      <c r="HB1328" s="1"/>
      <c r="HC1328" s="1"/>
      <c r="HD1328" s="1"/>
      <c r="HE1328" s="1"/>
      <c r="HF1328" s="1"/>
      <c r="HG1328" s="1"/>
      <c r="HH1328" s="1"/>
      <c r="HI1328" s="1"/>
      <c r="HJ1328" s="1"/>
      <c r="HK1328" s="1"/>
      <c r="HL1328" s="1"/>
      <c r="HM1328" s="1"/>
      <c r="HN1328" s="1"/>
      <c r="HO1328" s="1"/>
      <c r="HP1328" s="1"/>
      <c r="HQ1328" s="1"/>
      <c r="HR1328" s="1"/>
      <c r="HS1328" s="1"/>
      <c r="HT1328" s="1"/>
      <c r="HU1328" s="1"/>
      <c r="HV1328" s="1"/>
      <c r="HW1328" s="1"/>
      <c r="HX1328" s="1"/>
      <c r="HY1328" s="1"/>
      <c r="HZ1328" s="1"/>
      <c r="IA1328" s="1"/>
      <c r="IB1328" s="1"/>
      <c r="IC1328" s="1"/>
      <c r="ID1328" s="1"/>
      <c r="IE1328" s="1"/>
      <c r="IF1328" s="1"/>
      <c r="IG1328" s="1"/>
      <c r="IH1328" s="1"/>
      <c r="II1328" s="1"/>
      <c r="IJ1328" s="1"/>
      <c r="IK1328" s="1"/>
      <c r="IL1328" s="1"/>
      <c r="IM1328" s="1"/>
      <c r="IN1328" s="1"/>
      <c r="IO1328" s="1"/>
      <c r="IP1328" s="1"/>
      <c r="IQ1328" s="1"/>
      <c r="IR1328" s="1"/>
      <c r="IS1328" s="1"/>
      <c r="IT1328" s="1"/>
      <c r="IU1328" s="1"/>
      <c r="IV1328" s="1"/>
      <c r="IW1328" s="1"/>
      <c r="IX1328" s="1"/>
      <c r="IY1328" s="1"/>
      <c r="IZ1328" s="1"/>
      <c r="JA1328" s="1"/>
      <c r="JB1328" s="1"/>
      <c r="JC1328" s="1"/>
      <c r="JD1328" s="1"/>
    </row>
    <row r="1329" spans="1:264" s="347" customFormat="1" ht="15" x14ac:dyDescent="0.25">
      <c r="A1329" s="387" t="s">
        <v>881</v>
      </c>
      <c r="B1329" s="348"/>
      <c r="BD1329" s="389"/>
      <c r="BE1329" s="389">
        <f>+BE1330-BE1328</f>
        <v>324217</v>
      </c>
      <c r="BF1329" s="389">
        <f>+BF1330-BF1328</f>
        <v>324217</v>
      </c>
      <c r="BH1329" s="389">
        <f>+BH1330-BH1328</f>
        <v>337960</v>
      </c>
      <c r="BI1329" s="389">
        <f>+BI1330-BI1328</f>
        <v>361694</v>
      </c>
      <c r="BJ1329" s="389">
        <f>+BJ1330-BJ1328</f>
        <v>361694</v>
      </c>
      <c r="BK1329" s="348"/>
      <c r="BL1329" s="389">
        <f>+BL1330-BL1328</f>
        <v>372691</v>
      </c>
      <c r="BM1329" s="389">
        <f>+BM1330-BM1328</f>
        <v>380181</v>
      </c>
      <c r="BN1329" s="389">
        <f>+BN1330-BN1328</f>
        <v>380181</v>
      </c>
      <c r="BO1329" s="829"/>
      <c r="BP1329" s="389">
        <f>+BP1330-BP1328</f>
        <v>417171</v>
      </c>
      <c r="BQ1329" s="389">
        <f>+BQ1330-BQ1328</f>
        <v>423209</v>
      </c>
      <c r="BR1329" s="389">
        <f>+BR1330-BR1328</f>
        <v>423209</v>
      </c>
      <c r="BT1329" s="389">
        <f>+BT1330-BT1328</f>
        <v>442739</v>
      </c>
      <c r="BU1329" s="389">
        <f>+BU1330-BU1328</f>
        <v>448803</v>
      </c>
      <c r="BV1329" s="389">
        <f>+BV1330-BV1328</f>
        <v>448803</v>
      </c>
      <c r="BX1329" s="389">
        <f>+BX1330-BX1328</f>
        <v>468502</v>
      </c>
      <c r="BY1329" s="389">
        <f>+BY1330-BY1328</f>
        <v>469729</v>
      </c>
      <c r="BZ1329" s="389">
        <f>+BZ1330-BZ1328</f>
        <v>469729</v>
      </c>
      <c r="CB1329" s="389">
        <f>+CB1330-CB1328</f>
        <v>455924</v>
      </c>
      <c r="CC1329" s="389">
        <f>+CC1330-CC1328</f>
        <v>450172</v>
      </c>
      <c r="CD1329" s="389">
        <f>+CD1330-CD1328</f>
        <v>450172</v>
      </c>
      <c r="CF1329" s="389">
        <f>+CF1330-CF1328</f>
        <v>447252</v>
      </c>
      <c r="CG1329" s="389">
        <f>+CG1330-CG1328</f>
        <v>442530</v>
      </c>
      <c r="CH1329" s="389">
        <f>+CH1330-CH1328</f>
        <v>442530</v>
      </c>
      <c r="CJ1329" s="389">
        <f>+CJ1330-CJ1328</f>
        <v>443057</v>
      </c>
      <c r="CK1329" s="389">
        <f>+CK1330-CK1328</f>
        <v>460749</v>
      </c>
      <c r="CL1329" s="389">
        <f>+CL1330-CL1328</f>
        <v>460749</v>
      </c>
      <c r="CN1329" s="389">
        <f>+CN1330-CN1328</f>
        <v>503119</v>
      </c>
      <c r="CO1329" s="389">
        <f>+CO1330-CO1328</f>
        <v>545711</v>
      </c>
      <c r="CP1329" s="389">
        <f>+CP1330-CP1328</f>
        <v>545711</v>
      </c>
      <c r="CR1329" s="389">
        <f>+CR1330-CR1328</f>
        <v>575197</v>
      </c>
      <c r="CS1329" s="389">
        <f>+CS1330-CS1328</f>
        <v>589701</v>
      </c>
      <c r="CT1329" s="389">
        <f>+CT1330-CT1328</f>
        <v>589701</v>
      </c>
      <c r="CV1329" s="389">
        <f>+CV1330-CV1328</f>
        <v>593924</v>
      </c>
      <c r="CW1329" s="389">
        <f>+CW1330-CW1328</f>
        <v>641128</v>
      </c>
      <c r="CX1329" s="389">
        <f>+CX1330-CX1328</f>
        <v>641128</v>
      </c>
      <c r="CZ1329" s="389">
        <f>+CZ1330-CZ1328</f>
        <v>644583</v>
      </c>
      <c r="DA1329" s="389">
        <f>+DA1330-DA1328</f>
        <v>593068</v>
      </c>
      <c r="DB1329" s="389">
        <f>+DB1330-DB1328</f>
        <v>593068</v>
      </c>
      <c r="DD1329" s="389">
        <f>+DD1330-DD1328</f>
        <v>623508</v>
      </c>
      <c r="DE1329" s="389">
        <f>+DE1330-DE1328</f>
        <v>622485</v>
      </c>
      <c r="DF1329" s="389">
        <f>+DF1330-DF1328</f>
        <v>622485</v>
      </c>
      <c r="DH1329" s="389">
        <f>+DH1330-DH1328</f>
        <v>641008</v>
      </c>
      <c r="DI1329" s="389">
        <f>+DI1355*DI1333</f>
        <v>661970.38117237494</v>
      </c>
      <c r="DJ1329" s="389">
        <f>DI1329</f>
        <v>661970.38117237494</v>
      </c>
      <c r="DL1329" s="389">
        <f>+DL1355*DL1333</f>
        <v>678043.95533106138</v>
      </c>
      <c r="DM1329" s="389">
        <f>+DM1355*DM1333</f>
        <v>702006.8213991893</v>
      </c>
      <c r="DN1329" s="389">
        <f>DM1329</f>
        <v>702006.8213991893</v>
      </c>
      <c r="DP1329" s="389">
        <f>+DP1355*DP1333</f>
        <v>717364.69938474102</v>
      </c>
      <c r="DQ1329" s="389">
        <f>+DQ1355*DQ1333</f>
        <v>737143.30326317437</v>
      </c>
      <c r="DR1329" s="389">
        <f>DQ1329</f>
        <v>737143.30326317437</v>
      </c>
      <c r="DT1329"/>
      <c r="DU1329"/>
      <c r="DV1329" s="1"/>
      <c r="DW1329" s="1"/>
      <c r="DX1329" s="1"/>
      <c r="DY1329" s="1"/>
      <c r="DZ1329" s="1"/>
      <c r="EA1329" s="1"/>
      <c r="EB1329" s="1"/>
      <c r="EC1329" s="1"/>
      <c r="ED1329" s="1"/>
      <c r="EE1329" s="1"/>
      <c r="EF1329" s="1"/>
      <c r="EG1329" s="1"/>
      <c r="EH1329" s="1"/>
      <c r="EI1329" s="1"/>
      <c r="EJ1329" s="1"/>
      <c r="EK1329" s="1"/>
      <c r="EL1329" s="1"/>
      <c r="EM1329" s="1"/>
      <c r="EN1329" s="1"/>
      <c r="EO1329" s="1"/>
      <c r="EP1329" s="1"/>
      <c r="EQ1329" s="1"/>
      <c r="ER1329" s="1"/>
      <c r="ES1329" s="1"/>
      <c r="ET1329" s="1"/>
      <c r="EU1329" s="1"/>
      <c r="EV1329" s="1"/>
      <c r="EW1329" s="1"/>
      <c r="EX1329" s="1"/>
      <c r="EY1329" s="1"/>
      <c r="EZ1329" s="1"/>
      <c r="FA1329" s="1"/>
      <c r="FB1329" s="1"/>
      <c r="FC1329" s="1"/>
      <c r="FD1329" s="1"/>
      <c r="FE1329" s="1"/>
      <c r="FF1329" s="1"/>
      <c r="FG1329" s="1"/>
      <c r="FH1329" s="1"/>
      <c r="FI1329" s="1"/>
      <c r="FJ1329" s="1"/>
      <c r="FK1329" s="1"/>
      <c r="FL1329" s="1"/>
      <c r="FM1329" s="1"/>
      <c r="FN1329" s="1"/>
      <c r="FO1329" s="1"/>
      <c r="FP1329" s="1"/>
      <c r="FQ1329" s="1"/>
      <c r="FR1329" s="1"/>
      <c r="FS1329" s="1"/>
      <c r="FT1329" s="1"/>
      <c r="FU1329" s="1"/>
      <c r="FV1329" s="1"/>
      <c r="FW1329" s="1"/>
      <c r="FX1329" s="1"/>
      <c r="FY1329" s="1"/>
      <c r="FZ1329" s="1"/>
      <c r="GA1329" s="1"/>
      <c r="GB1329" s="1"/>
      <c r="GC1329" s="1"/>
      <c r="GD1329" s="1"/>
      <c r="GE1329" s="1"/>
      <c r="GF1329" s="1"/>
      <c r="GG1329" s="1"/>
      <c r="GH1329" s="1"/>
      <c r="GI1329" s="1"/>
      <c r="GJ1329" s="1"/>
      <c r="GK1329" s="1"/>
      <c r="GL1329" s="1"/>
      <c r="GM1329" s="1"/>
      <c r="GN1329" s="1"/>
      <c r="GO1329" s="1"/>
      <c r="GP1329" s="1"/>
      <c r="GQ1329" s="1"/>
      <c r="GR1329" s="1"/>
      <c r="GS1329" s="1"/>
      <c r="GT1329" s="1"/>
      <c r="GU1329" s="1"/>
      <c r="GV1329" s="1"/>
      <c r="GW1329" s="1"/>
      <c r="GX1329" s="1"/>
      <c r="GY1329" s="1"/>
      <c r="GZ1329" s="1"/>
      <c r="HA1329" s="1"/>
      <c r="HB1329" s="1"/>
      <c r="HC1329" s="1"/>
      <c r="HD1329" s="1"/>
      <c r="HE1329" s="1"/>
      <c r="HF1329" s="1"/>
      <c r="HG1329" s="1"/>
      <c r="HH1329" s="1"/>
      <c r="HI1329" s="1"/>
      <c r="HJ1329" s="1"/>
      <c r="HK1329" s="1"/>
      <c r="HL1329" s="1"/>
      <c r="HM1329" s="1"/>
      <c r="HN1329" s="1"/>
      <c r="HO1329" s="1"/>
      <c r="HP1329" s="1"/>
      <c r="HQ1329" s="1"/>
      <c r="HR1329" s="1"/>
      <c r="HS1329" s="1"/>
      <c r="HT1329" s="1"/>
      <c r="HU1329" s="1"/>
      <c r="HV1329" s="1"/>
      <c r="HW1329" s="1"/>
      <c r="HX1329" s="1"/>
      <c r="HY1329" s="1"/>
      <c r="HZ1329" s="1"/>
      <c r="IA1329" s="1"/>
      <c r="IB1329" s="1"/>
      <c r="IC1329" s="1"/>
      <c r="ID1329" s="1"/>
      <c r="IE1329" s="1"/>
      <c r="IF1329" s="1"/>
      <c r="IG1329" s="1"/>
      <c r="IH1329" s="1"/>
      <c r="II1329" s="1"/>
      <c r="IJ1329" s="1"/>
      <c r="IK1329" s="1"/>
      <c r="IL1329" s="1"/>
      <c r="IM1329" s="1"/>
      <c r="IN1329" s="1"/>
      <c r="IO1329" s="1"/>
      <c r="IP1329" s="1"/>
      <c r="IQ1329" s="1"/>
      <c r="IR1329" s="1"/>
      <c r="IS1329" s="1"/>
      <c r="IT1329" s="1"/>
      <c r="IU1329" s="1"/>
      <c r="IV1329" s="1"/>
      <c r="IW1329" s="1"/>
      <c r="IX1329" s="1"/>
      <c r="IY1329" s="1"/>
      <c r="IZ1329" s="1"/>
      <c r="JA1329" s="1"/>
      <c r="JB1329" s="1"/>
      <c r="JC1329" s="1"/>
      <c r="JD1329" s="1"/>
    </row>
    <row r="1330" spans="1:264" s="347" customFormat="1" ht="15" x14ac:dyDescent="0.25">
      <c r="A1330" s="387" t="s">
        <v>882</v>
      </c>
      <c r="B1330" s="348"/>
      <c r="BD1330" s="707"/>
      <c r="BE1330" s="707">
        <v>735187</v>
      </c>
      <c r="BF1330" s="389">
        <f>BE1330</f>
        <v>735187</v>
      </c>
      <c r="BH1330" s="707">
        <v>761367</v>
      </c>
      <c r="BI1330" s="707">
        <v>796056</v>
      </c>
      <c r="BJ1330" s="389">
        <f>BI1330</f>
        <v>796056</v>
      </c>
      <c r="BK1330" s="348"/>
      <c r="BL1330" s="707">
        <v>829665</v>
      </c>
      <c r="BM1330" s="707">
        <v>851134</v>
      </c>
      <c r="BN1330" s="389">
        <f>BM1330</f>
        <v>851134</v>
      </c>
      <c r="BO1330" s="829"/>
      <c r="BP1330" s="707">
        <v>903687</v>
      </c>
      <c r="BQ1330" s="707">
        <v>920019</v>
      </c>
      <c r="BR1330" s="389">
        <f>BQ1330</f>
        <v>920019</v>
      </c>
      <c r="BT1330" s="707">
        <v>956418</v>
      </c>
      <c r="BU1330" s="707">
        <v>982856</v>
      </c>
      <c r="BV1330" s="389">
        <f>BU1330</f>
        <v>982856</v>
      </c>
      <c r="BX1330" s="707">
        <v>1017312</v>
      </c>
      <c r="BY1330" s="707">
        <v>1027750</v>
      </c>
      <c r="BZ1330" s="389">
        <f>BY1330</f>
        <v>1027750</v>
      </c>
      <c r="CB1330" s="707">
        <v>1020083</v>
      </c>
      <c r="CC1330" s="707">
        <v>1022386</v>
      </c>
      <c r="CD1330" s="389">
        <f>CC1330</f>
        <v>1022386</v>
      </c>
      <c r="CF1330" s="707">
        <v>1029127</v>
      </c>
      <c r="CG1330" s="707">
        <f>1035199</f>
        <v>1035199</v>
      </c>
      <c r="CH1330" s="389">
        <f>CG1330</f>
        <v>1035199</v>
      </c>
      <c r="CJ1330" s="707">
        <v>1048491</v>
      </c>
      <c r="CK1330" s="707">
        <v>1075364</v>
      </c>
      <c r="CL1330" s="389">
        <f>CK1330</f>
        <v>1075364</v>
      </c>
      <c r="CN1330" s="707">
        <v>1141700</v>
      </c>
      <c r="CO1330" s="707">
        <v>1208670</v>
      </c>
      <c r="CP1330" s="389">
        <f>CO1330</f>
        <v>1208670</v>
      </c>
      <c r="CQ1330" s="393">
        <f>+CP1330/CL1330-1</f>
        <v>0.12396360674153128</v>
      </c>
      <c r="CR1330" s="707">
        <v>1266594</v>
      </c>
      <c r="CS1330" s="707">
        <v>1290925</v>
      </c>
      <c r="CT1330" s="389">
        <f>CS1330</f>
        <v>1290925</v>
      </c>
      <c r="CV1330" s="707">
        <v>1314132</v>
      </c>
      <c r="CW1330" s="707">
        <v>1293499</v>
      </c>
      <c r="CX1330" s="389">
        <f>CW1330</f>
        <v>1293499</v>
      </c>
      <c r="CZ1330" s="707">
        <v>1296538</v>
      </c>
      <c r="DA1330" s="707">
        <v>1259796</v>
      </c>
      <c r="DB1330" s="389">
        <f>DA1330</f>
        <v>1259796</v>
      </c>
      <c r="DD1330" s="707">
        <v>1313108</v>
      </c>
      <c r="DE1330" s="707">
        <v>1331870</v>
      </c>
      <c r="DF1330" s="389">
        <f>DE1330</f>
        <v>1331870</v>
      </c>
      <c r="DH1330" s="707">
        <v>1379797</v>
      </c>
      <c r="DI1330" s="389">
        <f>SUM(DI1328:DI1329)</f>
        <v>1427217.3242438622</v>
      </c>
      <c r="DJ1330" s="389">
        <f>SUM(DJ1328:DJ1329)</f>
        <v>1427217.3242438622</v>
      </c>
      <c r="DL1330" s="389">
        <f>SUM(DL1328:DL1329)</f>
        <v>1467422.0059993248</v>
      </c>
      <c r="DM1330" s="389">
        <f>SUM(DM1328:DM1329)</f>
        <v>1514498.8376121423</v>
      </c>
      <c r="DN1330" s="389">
        <f>SUM(DN1328:DN1329)</f>
        <v>1514498.8376121423</v>
      </c>
      <c r="DP1330" s="389">
        <f>SUM(DP1328:DP1329)</f>
        <v>1549396.3968760394</v>
      </c>
      <c r="DQ1330" s="389">
        <f>SUM(DQ1328:DQ1329)</f>
        <v>1589191.6427202267</v>
      </c>
      <c r="DR1330" s="389">
        <f>SUM(DR1328:DR1329)</f>
        <v>1589191.6427202267</v>
      </c>
      <c r="DT1330"/>
      <c r="DU1330"/>
      <c r="DV1330" s="1"/>
      <c r="DW1330" s="1"/>
      <c r="DX1330" s="1"/>
      <c r="DY1330" s="1"/>
      <c r="DZ1330" s="1"/>
      <c r="EA1330" s="1"/>
      <c r="EB1330" s="1"/>
      <c r="EC1330" s="1"/>
      <c r="ED1330" s="1"/>
      <c r="EE1330" s="1"/>
      <c r="EF1330" s="1"/>
      <c r="EG1330" s="1"/>
      <c r="EH1330" s="1"/>
      <c r="EI1330" s="1"/>
      <c r="EJ1330" s="1"/>
      <c r="EK1330" s="1"/>
      <c r="EL1330" s="1"/>
      <c r="EM1330" s="1"/>
      <c r="EN1330" s="1"/>
      <c r="EO1330" s="1"/>
      <c r="EP1330" s="1"/>
      <c r="EQ1330" s="1"/>
      <c r="ER1330" s="1"/>
      <c r="ES1330" s="1"/>
      <c r="ET1330" s="1"/>
      <c r="EU1330" s="1"/>
      <c r="EV1330" s="1"/>
      <c r="EW1330" s="1"/>
      <c r="EX1330" s="1"/>
      <c r="EY1330" s="1"/>
      <c r="EZ1330" s="1"/>
      <c r="FA1330" s="1"/>
      <c r="FB1330" s="1"/>
      <c r="FC1330" s="1"/>
      <c r="FD1330" s="1"/>
      <c r="FE1330" s="1"/>
      <c r="FF1330" s="1"/>
      <c r="FG1330" s="1"/>
      <c r="FH1330" s="1"/>
      <c r="FI1330" s="1"/>
      <c r="FJ1330" s="1"/>
      <c r="FK1330" s="1"/>
      <c r="FL1330" s="1"/>
      <c r="FM1330" s="1"/>
      <c r="FN1330" s="1"/>
      <c r="FO1330" s="1"/>
      <c r="FP1330" s="1"/>
      <c r="FQ1330" s="1"/>
      <c r="FR1330" s="1"/>
      <c r="FS1330" s="1"/>
      <c r="FT1330" s="1"/>
      <c r="FU1330" s="1"/>
      <c r="FV1330" s="1"/>
      <c r="FW1330" s="1"/>
      <c r="FX1330" s="1"/>
      <c r="FY1330" s="1"/>
      <c r="FZ1330" s="1"/>
      <c r="GA1330" s="1"/>
      <c r="GB1330" s="1"/>
      <c r="GC1330" s="1"/>
      <c r="GD1330" s="1"/>
      <c r="GE1330" s="1"/>
      <c r="GF1330" s="1"/>
      <c r="GG1330" s="1"/>
      <c r="GH1330" s="1"/>
      <c r="GI1330" s="1"/>
      <c r="GJ1330" s="1"/>
      <c r="GK1330" s="1"/>
      <c r="GL1330" s="1"/>
      <c r="GM1330" s="1"/>
      <c r="GN1330" s="1"/>
      <c r="GO1330" s="1"/>
      <c r="GP1330" s="1"/>
      <c r="GQ1330" s="1"/>
      <c r="GR1330" s="1"/>
      <c r="GS1330" s="1"/>
      <c r="GT1330" s="1"/>
      <c r="GU1330" s="1"/>
      <c r="GV1330" s="1"/>
      <c r="GW1330" s="1"/>
      <c r="GX1330" s="1"/>
      <c r="GY1330" s="1"/>
      <c r="GZ1330" s="1"/>
      <c r="HA1330" s="1"/>
      <c r="HB1330" s="1"/>
      <c r="HC1330" s="1"/>
      <c r="HD1330" s="1"/>
      <c r="HE1330" s="1"/>
      <c r="HF1330" s="1"/>
      <c r="HG1330" s="1"/>
      <c r="HH1330" s="1"/>
      <c r="HI1330" s="1"/>
      <c r="HJ1330" s="1"/>
      <c r="HK1330" s="1"/>
      <c r="HL1330" s="1"/>
      <c r="HM1330" s="1"/>
      <c r="HN1330" s="1"/>
      <c r="HO1330" s="1"/>
      <c r="HP1330" s="1"/>
      <c r="HQ1330" s="1"/>
      <c r="HR1330" s="1"/>
      <c r="HS1330" s="1"/>
      <c r="HT1330" s="1"/>
      <c r="HU1330" s="1"/>
      <c r="HV1330" s="1"/>
      <c r="HW1330" s="1"/>
      <c r="HX1330" s="1"/>
      <c r="HY1330" s="1"/>
      <c r="HZ1330" s="1"/>
      <c r="IA1330" s="1"/>
      <c r="IB1330" s="1"/>
      <c r="IC1330" s="1"/>
      <c r="ID1330" s="1"/>
      <c r="IE1330" s="1"/>
      <c r="IF1330" s="1"/>
      <c r="IG1330" s="1"/>
      <c r="IH1330" s="1"/>
      <c r="II1330" s="1"/>
      <c r="IJ1330" s="1"/>
      <c r="IK1330" s="1"/>
      <c r="IL1330" s="1"/>
      <c r="IM1330" s="1"/>
      <c r="IN1330" s="1"/>
      <c r="IO1330" s="1"/>
      <c r="IP1330" s="1"/>
      <c r="IQ1330" s="1"/>
      <c r="IR1330" s="1"/>
      <c r="IS1330" s="1"/>
      <c r="IT1330" s="1"/>
      <c r="IU1330" s="1"/>
      <c r="IV1330" s="1"/>
      <c r="IW1330" s="1"/>
      <c r="IX1330" s="1"/>
      <c r="IY1330" s="1"/>
      <c r="IZ1330" s="1"/>
      <c r="JA1330" s="1"/>
      <c r="JB1330" s="1"/>
      <c r="JC1330" s="1"/>
      <c r="JD1330" s="1"/>
    </row>
    <row r="1331" spans="1:264" s="347" customFormat="1" ht="15" x14ac:dyDescent="0.25">
      <c r="A1331" s="387"/>
      <c r="B1331" s="348"/>
      <c r="BD1331" s="828"/>
      <c r="BE1331" s="348"/>
      <c r="BF1331" s="348"/>
      <c r="BH1331" s="828"/>
      <c r="BI1331" s="348"/>
      <c r="BJ1331" s="348"/>
      <c r="BK1331" s="348"/>
      <c r="BL1331" s="828"/>
      <c r="BM1331" s="828"/>
      <c r="BN1331" s="829"/>
      <c r="BO1331" s="829"/>
      <c r="BP1331" s="828"/>
      <c r="BQ1331" s="388"/>
      <c r="BR1331" s="389"/>
      <c r="BT1331" s="828"/>
      <c r="BU1331" s="388"/>
      <c r="BV1331" s="389"/>
      <c r="BX1331" s="828"/>
      <c r="BY1331" s="389"/>
      <c r="BZ1331" s="389"/>
      <c r="CB1331" s="828"/>
      <c r="CC1331" s="389"/>
      <c r="CD1331" s="389"/>
      <c r="CF1331" s="828"/>
      <c r="CG1331" s="389"/>
      <c r="CH1331" s="389"/>
      <c r="CJ1331" s="828"/>
      <c r="CK1331" s="389"/>
      <c r="CL1331" s="389"/>
      <c r="CN1331" s="389"/>
      <c r="CO1331" s="389"/>
      <c r="CP1331" s="389"/>
      <c r="CR1331" s="389"/>
      <c r="CS1331" s="389"/>
      <c r="CT1331" s="389"/>
      <c r="CV1331" s="389"/>
      <c r="CW1331" s="389"/>
      <c r="CX1331" s="389"/>
      <c r="CZ1331" s="389"/>
      <c r="DA1331" s="389"/>
      <c r="DB1331" s="389"/>
      <c r="DD1331" s="389"/>
      <c r="DE1331" s="389"/>
      <c r="DF1331" s="389"/>
      <c r="DH1331" s="389"/>
      <c r="DI1331" s="389"/>
      <c r="DJ1331" s="389"/>
      <c r="DL1331" s="389"/>
      <c r="DM1331" s="389"/>
      <c r="DN1331" s="389"/>
      <c r="DP1331" s="389"/>
      <c r="DQ1331" s="389"/>
      <c r="DR1331" s="389"/>
      <c r="DT1331"/>
      <c r="DU1331"/>
      <c r="DV1331" s="1"/>
      <c r="DW1331" s="1"/>
      <c r="DX1331" s="1"/>
      <c r="DY1331" s="1"/>
      <c r="DZ1331" s="1"/>
      <c r="EA1331" s="1"/>
      <c r="EB1331" s="1"/>
      <c r="EC1331" s="1"/>
      <c r="ED1331" s="1"/>
      <c r="EE1331" s="1"/>
      <c r="EF1331" s="1"/>
      <c r="EG1331" s="1"/>
      <c r="EH1331" s="1"/>
      <c r="EI1331" s="1"/>
      <c r="EJ1331" s="1"/>
      <c r="EK1331" s="1"/>
      <c r="EL1331" s="1"/>
      <c r="EM1331" s="1"/>
      <c r="EN1331" s="1"/>
      <c r="EO1331" s="1"/>
      <c r="EP1331" s="1"/>
      <c r="EQ1331" s="1"/>
      <c r="ER1331" s="1"/>
      <c r="ES1331" s="1"/>
      <c r="ET1331" s="1"/>
      <c r="EU1331" s="1"/>
      <c r="EV1331" s="1"/>
      <c r="EW1331" s="1"/>
      <c r="EX1331" s="1"/>
      <c r="EY1331" s="1"/>
      <c r="EZ1331" s="1"/>
      <c r="FA1331" s="1"/>
      <c r="FB1331" s="1"/>
      <c r="FC1331" s="1"/>
      <c r="FD1331" s="1"/>
      <c r="FE1331" s="1"/>
      <c r="FF1331" s="1"/>
      <c r="FG1331" s="1"/>
      <c r="FH1331" s="1"/>
      <c r="FI1331" s="1"/>
      <c r="FJ1331" s="1"/>
      <c r="FK1331" s="1"/>
      <c r="FL1331" s="1"/>
      <c r="FM1331" s="1"/>
      <c r="FN1331" s="1"/>
      <c r="FO1331" s="1"/>
      <c r="FP1331" s="1"/>
      <c r="FQ1331" s="1"/>
      <c r="FR1331" s="1"/>
      <c r="FS1331" s="1"/>
      <c r="FT1331" s="1"/>
      <c r="FU1331" s="1"/>
      <c r="FV1331" s="1"/>
      <c r="FW1331" s="1"/>
      <c r="FX1331" s="1"/>
      <c r="FY1331" s="1"/>
      <c r="FZ1331" s="1"/>
      <c r="GA1331" s="1"/>
      <c r="GB1331" s="1"/>
      <c r="GC1331" s="1"/>
      <c r="GD1331" s="1"/>
      <c r="GE1331" s="1"/>
      <c r="GF1331" s="1"/>
      <c r="GG1331" s="1"/>
      <c r="GH1331" s="1"/>
      <c r="GI1331" s="1"/>
      <c r="GJ1331" s="1"/>
      <c r="GK1331" s="1"/>
      <c r="GL1331" s="1"/>
      <c r="GM1331" s="1"/>
      <c r="GN1331" s="1"/>
      <c r="GO1331" s="1"/>
      <c r="GP1331" s="1"/>
      <c r="GQ1331" s="1"/>
      <c r="GR1331" s="1"/>
      <c r="GS1331" s="1"/>
      <c r="GT1331" s="1"/>
      <c r="GU1331" s="1"/>
      <c r="GV1331" s="1"/>
      <c r="GW1331" s="1"/>
      <c r="GX1331" s="1"/>
      <c r="GY1331" s="1"/>
      <c r="GZ1331" s="1"/>
      <c r="HA1331" s="1"/>
      <c r="HB1331" s="1"/>
      <c r="HC1331" s="1"/>
      <c r="HD1331" s="1"/>
      <c r="HE1331" s="1"/>
      <c r="HF1331" s="1"/>
      <c r="HG1331" s="1"/>
      <c r="HH1331" s="1"/>
      <c r="HI1331" s="1"/>
      <c r="HJ1331" s="1"/>
      <c r="HK1331" s="1"/>
      <c r="HL1331" s="1"/>
      <c r="HM1331" s="1"/>
      <c r="HN1331" s="1"/>
      <c r="HO1331" s="1"/>
      <c r="HP1331" s="1"/>
      <c r="HQ1331" s="1"/>
      <c r="HR1331" s="1"/>
      <c r="HS1331" s="1"/>
      <c r="HT1331" s="1"/>
      <c r="HU1331" s="1"/>
      <c r="HV1331" s="1"/>
      <c r="HW1331" s="1"/>
      <c r="HX1331" s="1"/>
      <c r="HY1331" s="1"/>
      <c r="HZ1331" s="1"/>
      <c r="IA1331" s="1"/>
      <c r="IB1331" s="1"/>
      <c r="IC1331" s="1"/>
      <c r="ID1331" s="1"/>
      <c r="IE1331" s="1"/>
      <c r="IF1331" s="1"/>
      <c r="IG1331" s="1"/>
      <c r="IH1331" s="1"/>
      <c r="II1331" s="1"/>
      <c r="IJ1331" s="1"/>
      <c r="IK1331" s="1"/>
      <c r="IL1331" s="1"/>
      <c r="IM1331" s="1"/>
      <c r="IN1331" s="1"/>
      <c r="IO1331" s="1"/>
      <c r="IP1331" s="1"/>
      <c r="IQ1331" s="1"/>
      <c r="IR1331" s="1"/>
      <c r="IS1331" s="1"/>
      <c r="IT1331" s="1"/>
      <c r="IU1331" s="1"/>
      <c r="IV1331" s="1"/>
      <c r="IW1331" s="1"/>
      <c r="IX1331" s="1"/>
      <c r="IY1331" s="1"/>
      <c r="IZ1331" s="1"/>
      <c r="JA1331" s="1"/>
      <c r="JB1331" s="1"/>
      <c r="JC1331" s="1"/>
      <c r="JD1331" s="1"/>
    </row>
    <row r="1332" spans="1:264" s="347" customFormat="1" ht="15" x14ac:dyDescent="0.25">
      <c r="A1332" s="821" t="s">
        <v>883</v>
      </c>
      <c r="B1332" s="478"/>
      <c r="C1332" s="478"/>
      <c r="D1332" s="478"/>
      <c r="E1332" s="478"/>
      <c r="F1332" s="478"/>
      <c r="G1332" s="478"/>
      <c r="H1332" s="478"/>
      <c r="I1332" s="478"/>
      <c r="J1332" s="478"/>
      <c r="K1332" s="478"/>
      <c r="L1332" s="478"/>
      <c r="M1332" s="478"/>
      <c r="N1332" s="478"/>
      <c r="O1332" s="478"/>
      <c r="P1332" s="478"/>
      <c r="Q1332" s="478"/>
      <c r="R1332" s="478"/>
      <c r="S1332" s="478"/>
      <c r="T1332" s="478"/>
      <c r="U1332" s="478"/>
      <c r="V1332" s="478"/>
      <c r="W1332" s="478"/>
      <c r="X1332" s="478"/>
      <c r="Y1332" s="478"/>
      <c r="Z1332" s="478"/>
      <c r="AA1332" s="478"/>
      <c r="AB1332" s="478"/>
      <c r="AC1332" s="478"/>
      <c r="AD1332" s="478"/>
      <c r="AE1332" s="478"/>
      <c r="AF1332" s="478"/>
      <c r="AG1332" s="478"/>
      <c r="AH1332" s="478"/>
      <c r="AI1332" s="478"/>
      <c r="AJ1332" s="478"/>
      <c r="AK1332" s="478"/>
      <c r="AL1332" s="478"/>
      <c r="AM1332" s="478"/>
      <c r="AN1332" s="478"/>
      <c r="AO1332" s="478"/>
      <c r="AP1332" s="478"/>
      <c r="AQ1332" s="478"/>
      <c r="AR1332" s="478"/>
      <c r="AS1332" s="478"/>
      <c r="AT1332" s="478"/>
      <c r="AU1332" s="478"/>
      <c r="AV1332" s="478"/>
      <c r="AW1332" s="478"/>
      <c r="AX1332" s="478"/>
      <c r="AY1332" s="478"/>
      <c r="AZ1332" s="478"/>
      <c r="BA1332" s="478"/>
      <c r="BB1332" s="478"/>
      <c r="BC1332" s="478"/>
      <c r="BD1332" s="478"/>
      <c r="BE1332" s="478">
        <f>+BE1328/BE1346</f>
        <v>1.164283629997082</v>
      </c>
      <c r="BF1332" s="478">
        <f>+BF1328/BF1346</f>
        <v>1.164283629997082</v>
      </c>
      <c r="BG1332" s="478"/>
      <c r="BH1332" s="478">
        <f>+BH1328/BH1346</f>
        <v>1.1792161712035381</v>
      </c>
      <c r="BI1332" s="478">
        <f>+BI1328/BI1346</f>
        <v>1.1650091191932197</v>
      </c>
      <c r="BJ1332" s="478">
        <f>+BJ1328/BJ1346</f>
        <v>1.1650091191932197</v>
      </c>
      <c r="BK1332" s="478"/>
      <c r="BL1332" s="478">
        <f>+BL1328/BL1346</f>
        <v>1.1807472979502405</v>
      </c>
      <c r="BM1332" s="478">
        <f>+BM1328/BM1346</f>
        <v>1.1783104194553211</v>
      </c>
      <c r="BN1332" s="478">
        <f>+BN1328/BN1346</f>
        <v>1.1783104194553211</v>
      </c>
      <c r="BO1332" s="478"/>
      <c r="BP1332" s="478">
        <f>+BP1328/BP1346</f>
        <v>1.1828594352123121</v>
      </c>
      <c r="BQ1332" s="478">
        <f>+BQ1328/BQ1346</f>
        <v>1.1749055813986486</v>
      </c>
      <c r="BR1332" s="478">
        <f>+BR1328/BR1346</f>
        <v>1.1749055813986486</v>
      </c>
      <c r="BS1332" s="478"/>
      <c r="BT1332" s="478">
        <f>+BT1328/BT1346</f>
        <v>1.1749935952568302</v>
      </c>
      <c r="BU1332" s="478">
        <f>+BU1328/BU1346</f>
        <v>1.1709788323824641</v>
      </c>
      <c r="BV1332" s="478">
        <f>+BV1328/BV1346</f>
        <v>1.1709788323824641</v>
      </c>
      <c r="BW1332" s="478"/>
      <c r="BX1332" s="478">
        <f>+BX1328/BX1346</f>
        <v>1.161423988216671</v>
      </c>
      <c r="BY1332" s="478">
        <f>+BY1328/BY1346</f>
        <v>1.14852929977339</v>
      </c>
      <c r="BZ1332" s="478">
        <f>+BZ1328/BZ1346</f>
        <v>1.14852929977339</v>
      </c>
      <c r="CA1332" s="478"/>
      <c r="CB1332" s="478">
        <f>+CB1328/CB1346</f>
        <v>1.1450634072678856</v>
      </c>
      <c r="CC1332" s="478">
        <f>+CC1328/CC1346</f>
        <v>1.1406297030887145</v>
      </c>
      <c r="CD1332" s="478">
        <f>+CD1328/CD1346</f>
        <v>1.1406297030887145</v>
      </c>
      <c r="CE1332" s="478"/>
      <c r="CF1332" s="478">
        <f>+CF1328/CF1346</f>
        <v>1.1353547770265655</v>
      </c>
      <c r="CG1332" s="478">
        <f>+CG1328/CG1346</f>
        <v>1.1333360104944716</v>
      </c>
      <c r="CH1332" s="478">
        <f>+CH1328/CH1346</f>
        <v>1.1333360104944716</v>
      </c>
      <c r="CI1332" s="478"/>
      <c r="CJ1332" s="478">
        <f>+CJ1328/CJ1346</f>
        <v>1.1314619970472257</v>
      </c>
      <c r="CK1332" s="478">
        <f>+CK1328/CK1346</f>
        <v>1.1321378573533747</v>
      </c>
      <c r="CL1332" s="478">
        <f>+CL1328/CL1346</f>
        <v>1.1321378573533747</v>
      </c>
      <c r="CM1332" s="478"/>
      <c r="CN1332" s="478">
        <f>+CN1328/CN1346</f>
        <v>1.1417136584197183</v>
      </c>
      <c r="CO1332" s="478">
        <f>+CO1328/CO1346</f>
        <v>1.1435138230565962</v>
      </c>
      <c r="CP1332" s="478">
        <f>+CP1328/CP1346</f>
        <v>1.1435138230565962</v>
      </c>
      <c r="CQ1332" s="478"/>
      <c r="CR1332" s="478">
        <f>+CR1328/CR1346</f>
        <v>1.1410886105197142</v>
      </c>
      <c r="CS1332" s="478">
        <f>+CS1328/CS1346</f>
        <v>1.1273824625035973</v>
      </c>
      <c r="CT1332" s="478">
        <f>+CT1328/CT1346</f>
        <v>1.1273824625035973</v>
      </c>
      <c r="CU1332" s="478"/>
      <c r="CV1332" s="478">
        <f>+CV1328/CV1346</f>
        <v>1.1265113572731282</v>
      </c>
      <c r="CW1332" s="478">
        <f>+CW1328/CW1346</f>
        <v>1.0002345841421121</v>
      </c>
      <c r="CX1332" s="478">
        <f>+CX1328/CX1346</f>
        <v>1.0002345841421121</v>
      </c>
      <c r="CY1332" s="478"/>
      <c r="CZ1332" s="478">
        <f>+CZ1328/CZ1346</f>
        <v>1.0022983734587829</v>
      </c>
      <c r="DA1332" s="478">
        <f>+DA1328/DA1346</f>
        <v>1.003049491425468</v>
      </c>
      <c r="DB1332" s="478">
        <f>+DB1328/DB1346</f>
        <v>1.003049491425468</v>
      </c>
      <c r="DC1332" s="478"/>
      <c r="DD1332" s="478">
        <f>+DD1328/DD1346</f>
        <v>1.0063201458113529</v>
      </c>
      <c r="DE1332" s="478">
        <f>+DE1328/DE1346</f>
        <v>1.0021515493132842</v>
      </c>
      <c r="DF1332" s="478">
        <f>+DF1328/DF1346</f>
        <v>1.0021515493132842</v>
      </c>
      <c r="DG1332" s="478"/>
      <c r="DH1332" s="478">
        <f>+DH1328/DH1346</f>
        <v>1.0117791582441782</v>
      </c>
      <c r="DI1332" s="834">
        <f>DH1332</f>
        <v>1.0117791582441782</v>
      </c>
      <c r="DJ1332" s="470">
        <f>DI1332</f>
        <v>1.0117791582441782</v>
      </c>
      <c r="DK1332" s="478"/>
      <c r="DL1332" s="834">
        <f>DI1332</f>
        <v>1.0117791582441782</v>
      </c>
      <c r="DM1332" s="834">
        <f>DL1332</f>
        <v>1.0117791582441782</v>
      </c>
      <c r="DN1332" s="470">
        <f>DM1332</f>
        <v>1.0117791582441782</v>
      </c>
      <c r="DO1332" s="478"/>
      <c r="DP1332" s="834">
        <f>DM1332</f>
        <v>1.0117791582441782</v>
      </c>
      <c r="DQ1332" s="834">
        <f>DP1332</f>
        <v>1.0117791582441782</v>
      </c>
      <c r="DR1332" s="470">
        <f>DQ1332</f>
        <v>1.0117791582441782</v>
      </c>
      <c r="DS1332" s="478"/>
      <c r="DT1332"/>
      <c r="DU1332"/>
      <c r="DV1332" s="1"/>
      <c r="DW1332" s="1"/>
      <c r="DX1332" s="1"/>
      <c r="DY1332" s="1"/>
      <c r="DZ1332" s="1"/>
      <c r="EA1332" s="1"/>
      <c r="EB1332" s="1"/>
      <c r="EC1332" s="1"/>
      <c r="ED1332" s="1"/>
      <c r="EE1332" s="1"/>
      <c r="EF1332" s="1"/>
      <c r="EG1332" s="1"/>
      <c r="EH1332" s="1"/>
      <c r="EI1332" s="1"/>
      <c r="EJ1332" s="1"/>
      <c r="EK1332" s="1"/>
      <c r="EL1332" s="1"/>
      <c r="EM1332" s="1"/>
      <c r="EN1332" s="1"/>
      <c r="EO1332" s="1"/>
      <c r="EP1332" s="1"/>
      <c r="EQ1332" s="1"/>
      <c r="ER1332" s="1"/>
      <c r="ES1332" s="1"/>
      <c r="ET1332" s="1"/>
      <c r="EU1332" s="1"/>
      <c r="EV1332" s="1"/>
      <c r="EW1332" s="1"/>
      <c r="EX1332" s="1"/>
      <c r="EY1332" s="1"/>
      <c r="EZ1332" s="1"/>
      <c r="FA1332" s="1"/>
      <c r="FB1332" s="1"/>
      <c r="FC1332" s="1"/>
      <c r="FD1332" s="1"/>
      <c r="FE1332" s="1"/>
      <c r="FF1332" s="1"/>
      <c r="FG1332" s="1"/>
      <c r="FH1332" s="1"/>
      <c r="FI1332" s="1"/>
      <c r="FJ1332" s="1"/>
      <c r="FK1332" s="1"/>
      <c r="FL1332" s="1"/>
      <c r="FM1332" s="1"/>
      <c r="FN1332" s="1"/>
      <c r="FO1332" s="1"/>
      <c r="FP1332" s="1"/>
      <c r="FQ1332" s="1"/>
      <c r="FR1332" s="1"/>
      <c r="FS1332" s="1"/>
      <c r="FT1332" s="1"/>
      <c r="FU1332" s="1"/>
      <c r="FV1332" s="1"/>
      <c r="FW1332" s="1"/>
      <c r="FX1332" s="1"/>
      <c r="FY1332" s="1"/>
      <c r="FZ1332" s="1"/>
      <c r="GA1332" s="1"/>
      <c r="GB1332" s="1"/>
      <c r="GC1332" s="1"/>
      <c r="GD1332" s="1"/>
      <c r="GE1332" s="1"/>
      <c r="GF1332" s="1"/>
      <c r="GG1332" s="1"/>
      <c r="GH1332" s="1"/>
      <c r="GI1332" s="1"/>
      <c r="GJ1332" s="1"/>
      <c r="GK1332" s="1"/>
      <c r="GL1332" s="1"/>
      <c r="GM1332" s="1"/>
      <c r="GN1332" s="1"/>
      <c r="GO1332" s="1"/>
      <c r="GP1332" s="1"/>
      <c r="GQ1332" s="1"/>
      <c r="GR1332" s="1"/>
      <c r="GS1332" s="1"/>
      <c r="GT1332" s="1"/>
      <c r="GU1332" s="1"/>
      <c r="GV1332" s="1"/>
      <c r="GW1332" s="1"/>
      <c r="GX1332" s="1"/>
      <c r="GY1332" s="1"/>
      <c r="GZ1332" s="1"/>
      <c r="HA1332" s="1"/>
      <c r="HB1332" s="1"/>
      <c r="HC1332" s="1"/>
      <c r="HD1332" s="1"/>
      <c r="HE1332" s="1"/>
      <c r="HF1332" s="1"/>
      <c r="HG1332" s="1"/>
      <c r="HH1332" s="1"/>
      <c r="HI1332" s="1"/>
      <c r="HJ1332" s="1"/>
      <c r="HK1332" s="1"/>
      <c r="HL1332" s="1"/>
      <c r="HM1332" s="1"/>
      <c r="HN1332" s="1"/>
      <c r="HO1332" s="1"/>
      <c r="HP1332" s="1"/>
      <c r="HQ1332" s="1"/>
      <c r="HR1332" s="1"/>
      <c r="HS1332" s="1"/>
      <c r="HT1332" s="1"/>
      <c r="HU1332" s="1"/>
      <c r="HV1332" s="1"/>
      <c r="HW1332" s="1"/>
      <c r="HX1332" s="1"/>
      <c r="HY1332" s="1"/>
      <c r="HZ1332" s="1"/>
      <c r="IA1332" s="1"/>
      <c r="IB1332" s="1"/>
      <c r="IC1332" s="1"/>
      <c r="ID1332" s="1"/>
      <c r="IE1332" s="1"/>
      <c r="IF1332" s="1"/>
      <c r="IG1332" s="1"/>
      <c r="IH1332" s="1"/>
      <c r="II1332" s="1"/>
      <c r="IJ1332" s="1"/>
      <c r="IK1332" s="1"/>
      <c r="IL1332" s="1"/>
      <c r="IM1332" s="1"/>
      <c r="IN1332" s="1"/>
      <c r="IO1332" s="1"/>
      <c r="IP1332" s="1"/>
      <c r="IQ1332" s="1"/>
      <c r="IR1332" s="1"/>
      <c r="IS1332" s="1"/>
      <c r="IT1332" s="1"/>
      <c r="IU1332" s="1"/>
      <c r="IV1332" s="1"/>
      <c r="IW1332" s="1"/>
      <c r="IX1332" s="1"/>
      <c r="IY1332" s="1"/>
      <c r="IZ1332" s="1"/>
      <c r="JA1332" s="1"/>
      <c r="JB1332" s="1"/>
      <c r="JC1332" s="1"/>
      <c r="JD1332" s="1"/>
    </row>
    <row r="1333" spans="1:264" s="347" customFormat="1" ht="15" x14ac:dyDescent="0.25">
      <c r="A1333" s="821" t="s">
        <v>884</v>
      </c>
      <c r="B1333" s="478"/>
      <c r="C1333" s="478"/>
      <c r="D1333" s="478"/>
      <c r="E1333" s="478"/>
      <c r="F1333" s="478"/>
      <c r="G1333" s="478"/>
      <c r="H1333" s="478"/>
      <c r="I1333" s="478"/>
      <c r="J1333" s="478"/>
      <c r="K1333" s="478"/>
      <c r="L1333" s="478"/>
      <c r="M1333" s="478"/>
      <c r="N1333" s="478"/>
      <c r="O1333" s="478"/>
      <c r="P1333" s="478"/>
      <c r="Q1333" s="478"/>
      <c r="R1333" s="478"/>
      <c r="S1333" s="478"/>
      <c r="T1333" s="478"/>
      <c r="U1333" s="478"/>
      <c r="V1333" s="478"/>
      <c r="W1333" s="478"/>
      <c r="X1333" s="478"/>
      <c r="Y1333" s="478"/>
      <c r="Z1333" s="478"/>
      <c r="AA1333" s="478"/>
      <c r="AB1333" s="478"/>
      <c r="AC1333" s="478"/>
      <c r="AD1333" s="478"/>
      <c r="AE1333" s="478"/>
      <c r="AF1333" s="478"/>
      <c r="AG1333" s="478"/>
      <c r="AH1333" s="478"/>
      <c r="AI1333" s="478"/>
      <c r="AJ1333" s="478"/>
      <c r="AK1333" s="478"/>
      <c r="AL1333" s="478"/>
      <c r="AM1333" s="478"/>
      <c r="AN1333" s="478"/>
      <c r="AO1333" s="478"/>
      <c r="AP1333" s="478"/>
      <c r="AQ1333" s="478"/>
      <c r="AR1333" s="478"/>
      <c r="AS1333" s="478"/>
      <c r="AT1333" s="478"/>
      <c r="AU1333" s="478"/>
      <c r="AV1333" s="478"/>
      <c r="AW1333" s="478"/>
      <c r="AX1333" s="478"/>
      <c r="AY1333" s="478"/>
      <c r="AZ1333" s="478"/>
      <c r="BA1333" s="478"/>
      <c r="BB1333" s="478"/>
      <c r="BC1333" s="478"/>
      <c r="BD1333" s="478"/>
      <c r="BE1333" s="478">
        <f>BE1329/BE1355</f>
        <v>1.7143816493580659</v>
      </c>
      <c r="BF1333" s="478">
        <f>BF1329/BF1355</f>
        <v>1.7143816493580659</v>
      </c>
      <c r="BG1333" s="478"/>
      <c r="BH1333" s="478">
        <f>BH1329/BH1355</f>
        <v>1.7772589110108437</v>
      </c>
      <c r="BI1333" s="478">
        <f>BI1329/BI1355</f>
        <v>1.845556457003485</v>
      </c>
      <c r="BJ1333" s="478">
        <f>BJ1329/BJ1355</f>
        <v>1.845556457003485</v>
      </c>
      <c r="BK1333" s="478"/>
      <c r="BL1333" s="478">
        <f>BL1329/BL1355</f>
        <v>1.8201891049747503</v>
      </c>
      <c r="BM1333" s="478">
        <f>BM1329/BM1355</f>
        <v>1.8239174446608648</v>
      </c>
      <c r="BN1333" s="478">
        <f>BN1329/BN1355</f>
        <v>1.8239174446608648</v>
      </c>
      <c r="BO1333" s="478"/>
      <c r="BP1333" s="478">
        <f>BP1329/BP1355</f>
        <v>1.927839625126506</v>
      </c>
      <c r="BQ1333" s="478">
        <f>BQ1329/BQ1355</f>
        <v>1.8950703247791296</v>
      </c>
      <c r="BR1333" s="478">
        <f>BR1329/BR1355</f>
        <v>1.8950703247791296</v>
      </c>
      <c r="BS1333" s="478"/>
      <c r="BT1333" s="478">
        <f>BT1329/BT1355</f>
        <v>1.855943358261511</v>
      </c>
      <c r="BU1333" s="478">
        <f>BU1329/BU1355</f>
        <v>1.8269572084540984</v>
      </c>
      <c r="BV1333" s="478">
        <f>BV1329/BV1355</f>
        <v>1.8269572084540984</v>
      </c>
      <c r="BW1333" s="478"/>
      <c r="BX1333" s="478">
        <f>BX1329/BX1355</f>
        <v>1.8989372481942948</v>
      </c>
      <c r="BY1333" s="478">
        <f>BY1329/BY1355</f>
        <v>1.8703497979255013</v>
      </c>
      <c r="BZ1333" s="478">
        <f>BZ1329/BZ1355</f>
        <v>1.8703497979255013</v>
      </c>
      <c r="CA1333" s="478"/>
      <c r="CB1333" s="478">
        <f>CB1329/CB1355</f>
        <v>1.8337449221735109</v>
      </c>
      <c r="CC1333" s="478">
        <f>CC1329/CC1355</f>
        <v>1.8244570261365065</v>
      </c>
      <c r="CD1333" s="478">
        <f>CD1329/CD1355</f>
        <v>1.8244570261365065</v>
      </c>
      <c r="CE1333" s="478"/>
      <c r="CF1333" s="478">
        <f>CF1329/CF1355</f>
        <v>1.8110447930417317</v>
      </c>
      <c r="CG1333" s="478">
        <f>CG1329/CG1355</f>
        <v>1.8588152273901484</v>
      </c>
      <c r="CH1333" s="478">
        <f>CH1329/CH1355</f>
        <v>1.8588152273901484</v>
      </c>
      <c r="CI1333" s="478"/>
      <c r="CJ1333" s="478">
        <f>CJ1329/CJ1355</f>
        <v>1.8750322692589285</v>
      </c>
      <c r="CK1333" s="478">
        <f>CK1329/CK1355</f>
        <v>1.9422201426475796</v>
      </c>
      <c r="CL1333" s="478">
        <f>CL1329/CL1355</f>
        <v>1.9422201426475796</v>
      </c>
      <c r="CM1333" s="478"/>
      <c r="CN1333" s="478">
        <f>CN1329/CN1355</f>
        <v>2.1395207416384938</v>
      </c>
      <c r="CO1333" s="478">
        <f>CO1329/CO1355</f>
        <v>2.2880005031235586</v>
      </c>
      <c r="CP1333" s="478">
        <f>CP1329/CP1355</f>
        <v>2.2880005031235586</v>
      </c>
      <c r="CQ1333" s="478"/>
      <c r="CR1333" s="478">
        <f>CR1329/CR1355</f>
        <v>2.3515917890097668</v>
      </c>
      <c r="CS1333" s="478">
        <f>CS1329/CS1355</f>
        <v>2.2424649199528464</v>
      </c>
      <c r="CT1333" s="478">
        <f>CT1329/CT1355</f>
        <v>2.2424649199528464</v>
      </c>
      <c r="CU1333" s="478"/>
      <c r="CV1333" s="478">
        <f>CV1329/CV1355</f>
        <v>2.1714970988157609</v>
      </c>
      <c r="CW1333" s="478">
        <f>CW1329/CW1355</f>
        <v>2.2813263922742171</v>
      </c>
      <c r="CX1333" s="478">
        <f>CX1329/CX1355</f>
        <v>2.2813263922742171</v>
      </c>
      <c r="CY1333" s="478"/>
      <c r="CZ1333" s="478">
        <f>CZ1329/CZ1355</f>
        <v>2.3157533582183389</v>
      </c>
      <c r="DA1333" s="478">
        <f>DA1329/DA1355</f>
        <v>2.0791384309037433</v>
      </c>
      <c r="DB1333" s="478">
        <f>DB1329/DB1355</f>
        <v>2.0791384309037433</v>
      </c>
      <c r="DC1333" s="478"/>
      <c r="DD1333" s="478">
        <f>DD1329/DD1355</f>
        <v>2.1344607432004521</v>
      </c>
      <c r="DE1333" s="478">
        <f>DE1329/DE1355</f>
        <v>2.0209174049821277</v>
      </c>
      <c r="DF1333" s="478">
        <f>DF1329/DF1355</f>
        <v>2.0209174049821277</v>
      </c>
      <c r="DG1333" s="478"/>
      <c r="DH1333" s="478">
        <f>DH1329/DH1355</f>
        <v>2.0106900878293601</v>
      </c>
      <c r="DI1333" s="834">
        <f>DH1333</f>
        <v>2.0106900878293601</v>
      </c>
      <c r="DJ1333" s="470">
        <f>DI1333</f>
        <v>2.0106900878293601</v>
      </c>
      <c r="DK1333" s="478"/>
      <c r="DL1333" s="834">
        <f>DI1333</f>
        <v>2.0106900878293601</v>
      </c>
      <c r="DM1333" s="834">
        <f>DL1333</f>
        <v>2.0106900878293601</v>
      </c>
      <c r="DN1333" s="470">
        <f>DM1333</f>
        <v>2.0106900878293601</v>
      </c>
      <c r="DO1333" s="478"/>
      <c r="DP1333" s="834">
        <f>DM1333</f>
        <v>2.0106900878293601</v>
      </c>
      <c r="DQ1333" s="834">
        <f>DP1333</f>
        <v>2.0106900878293601</v>
      </c>
      <c r="DR1333" s="470">
        <f>DQ1333</f>
        <v>2.0106900878293601</v>
      </c>
      <c r="DS1333" s="478"/>
      <c r="DT1333"/>
      <c r="DU1333"/>
      <c r="DV1333" s="1"/>
      <c r="DW1333" s="1"/>
      <c r="DX1333" s="1"/>
      <c r="DY1333" s="1"/>
      <c r="DZ1333" s="1"/>
      <c r="EA1333" s="1"/>
      <c r="EB1333" s="1"/>
      <c r="EC1333" s="1"/>
      <c r="ED1333" s="1"/>
      <c r="EE1333" s="1"/>
      <c r="EF1333" s="1"/>
      <c r="EG1333" s="1"/>
      <c r="EH1333" s="1"/>
      <c r="EI1333" s="1"/>
      <c r="EJ1333" s="1"/>
      <c r="EK1333" s="1"/>
      <c r="EL1333" s="1"/>
      <c r="EM1333" s="1"/>
      <c r="EN1333" s="1"/>
      <c r="EO1333" s="1"/>
      <c r="EP1333" s="1"/>
      <c r="EQ1333" s="1"/>
      <c r="ER1333" s="1"/>
      <c r="ES1333" s="1"/>
      <c r="ET1333" s="1"/>
      <c r="EU1333" s="1"/>
      <c r="EV1333" s="1"/>
      <c r="EW1333" s="1"/>
      <c r="EX1333" s="1"/>
      <c r="EY1333" s="1"/>
      <c r="EZ1333" s="1"/>
      <c r="FA1333" s="1"/>
      <c r="FB1333" s="1"/>
      <c r="FC1333" s="1"/>
      <c r="FD1333" s="1"/>
      <c r="FE1333" s="1"/>
      <c r="FF1333" s="1"/>
      <c r="FG1333" s="1"/>
      <c r="FH1333" s="1"/>
      <c r="FI1333" s="1"/>
      <c r="FJ1333" s="1"/>
      <c r="FK1333" s="1"/>
      <c r="FL1333" s="1"/>
      <c r="FM1333" s="1"/>
      <c r="FN1333" s="1"/>
      <c r="FO1333" s="1"/>
      <c r="FP1333" s="1"/>
      <c r="FQ1333" s="1"/>
      <c r="FR1333" s="1"/>
      <c r="FS1333" s="1"/>
      <c r="FT1333" s="1"/>
      <c r="FU1333" s="1"/>
      <c r="FV1333" s="1"/>
      <c r="FW1333" s="1"/>
      <c r="FX1333" s="1"/>
      <c r="FY1333" s="1"/>
      <c r="FZ1333" s="1"/>
      <c r="GA1333" s="1"/>
      <c r="GB1333" s="1"/>
      <c r="GC1333" s="1"/>
      <c r="GD1333" s="1"/>
      <c r="GE1333" s="1"/>
      <c r="GF1333" s="1"/>
      <c r="GG1333" s="1"/>
      <c r="GH1333" s="1"/>
      <c r="GI1333" s="1"/>
      <c r="GJ1333" s="1"/>
      <c r="GK1333" s="1"/>
      <c r="GL1333" s="1"/>
      <c r="GM1333" s="1"/>
      <c r="GN1333" s="1"/>
      <c r="GO1333" s="1"/>
      <c r="GP1333" s="1"/>
      <c r="GQ1333" s="1"/>
      <c r="GR1333" s="1"/>
      <c r="GS1333" s="1"/>
      <c r="GT1333" s="1"/>
      <c r="GU1333" s="1"/>
      <c r="GV1333" s="1"/>
      <c r="GW1333" s="1"/>
      <c r="GX1333" s="1"/>
      <c r="GY1333" s="1"/>
      <c r="GZ1333" s="1"/>
      <c r="HA1333" s="1"/>
      <c r="HB1333" s="1"/>
      <c r="HC1333" s="1"/>
      <c r="HD1333" s="1"/>
      <c r="HE1333" s="1"/>
      <c r="HF1333" s="1"/>
      <c r="HG1333" s="1"/>
      <c r="HH1333" s="1"/>
      <c r="HI1333" s="1"/>
      <c r="HJ1333" s="1"/>
      <c r="HK1333" s="1"/>
      <c r="HL1333" s="1"/>
      <c r="HM1333" s="1"/>
      <c r="HN1333" s="1"/>
      <c r="HO1333" s="1"/>
      <c r="HP1333" s="1"/>
      <c r="HQ1333" s="1"/>
      <c r="HR1333" s="1"/>
      <c r="HS1333" s="1"/>
      <c r="HT1333" s="1"/>
      <c r="HU1333" s="1"/>
      <c r="HV1333" s="1"/>
      <c r="HW1333" s="1"/>
      <c r="HX1333" s="1"/>
      <c r="HY1333" s="1"/>
      <c r="HZ1333" s="1"/>
      <c r="IA1333" s="1"/>
      <c r="IB1333" s="1"/>
      <c r="IC1333" s="1"/>
      <c r="ID1333" s="1"/>
      <c r="IE1333" s="1"/>
      <c r="IF1333" s="1"/>
      <c r="IG1333" s="1"/>
      <c r="IH1333" s="1"/>
      <c r="II1333" s="1"/>
      <c r="IJ1333" s="1"/>
      <c r="IK1333" s="1"/>
      <c r="IL1333" s="1"/>
      <c r="IM1333" s="1"/>
      <c r="IN1333" s="1"/>
      <c r="IO1333" s="1"/>
      <c r="IP1333" s="1"/>
      <c r="IQ1333" s="1"/>
      <c r="IR1333" s="1"/>
      <c r="IS1333" s="1"/>
      <c r="IT1333" s="1"/>
      <c r="IU1333" s="1"/>
      <c r="IV1333" s="1"/>
      <c r="IW1333" s="1"/>
      <c r="IX1333" s="1"/>
      <c r="IY1333" s="1"/>
      <c r="IZ1333" s="1"/>
      <c r="JA1333" s="1"/>
      <c r="JB1333" s="1"/>
      <c r="JC1333" s="1"/>
      <c r="JD1333" s="1"/>
    </row>
    <row r="1334" spans="1:264" s="347" customFormat="1" ht="15" x14ac:dyDescent="0.25">
      <c r="B1334" s="348"/>
      <c r="BD1334" s="828"/>
      <c r="BE1334" s="348"/>
      <c r="BF1334" s="348"/>
      <c r="BH1334" s="828"/>
      <c r="BI1334" s="348"/>
      <c r="BJ1334" s="348"/>
      <c r="BK1334" s="348"/>
      <c r="BL1334" s="828"/>
      <c r="BM1334" s="828"/>
      <c r="BN1334" s="829"/>
      <c r="BO1334" s="829"/>
      <c r="BP1334" s="828"/>
      <c r="BQ1334" s="828"/>
      <c r="BR1334" s="829"/>
      <c r="BT1334" s="828"/>
      <c r="BU1334" s="828"/>
      <c r="BV1334" s="829"/>
      <c r="BX1334" s="828"/>
      <c r="BZ1334" s="348"/>
      <c r="CA1334" s="500"/>
      <c r="CB1334" s="828"/>
      <c r="CD1334" s="348"/>
      <c r="CF1334" s="828"/>
      <c r="CH1334" s="348"/>
      <c r="CJ1334" s="828"/>
      <c r="CL1334" s="348"/>
      <c r="CN1334" s="828"/>
      <c r="CP1334" s="348"/>
      <c r="CR1334" s="828"/>
      <c r="CT1334" s="348"/>
      <c r="CV1334" s="828"/>
      <c r="CX1334" s="348"/>
      <c r="CZ1334" s="828"/>
      <c r="DB1334" s="348"/>
      <c r="DD1334" s="828"/>
      <c r="DF1334" s="348"/>
      <c r="DH1334" s="828"/>
      <c r="DI1334" s="348"/>
      <c r="DJ1334" s="348"/>
      <c r="DL1334" s="348"/>
      <c r="DM1334" s="348"/>
      <c r="DN1334" s="348"/>
      <c r="DP1334" s="348"/>
      <c r="DQ1334" s="348"/>
      <c r="DR1334" s="348"/>
      <c r="DT1334"/>
      <c r="DU1334"/>
      <c r="DV1334" s="1"/>
      <c r="DW1334" s="1"/>
      <c r="DX1334" s="1"/>
      <c r="DY1334" s="1"/>
      <c r="DZ1334" s="1"/>
      <c r="EA1334" s="1"/>
      <c r="EB1334" s="1"/>
      <c r="EC1334" s="1"/>
      <c r="ED1334" s="1"/>
      <c r="EE1334" s="1"/>
      <c r="EF1334" s="1"/>
      <c r="EG1334" s="1"/>
      <c r="EH1334" s="1"/>
      <c r="EI1334" s="1"/>
      <c r="EJ1334" s="1"/>
      <c r="EK1334" s="1"/>
      <c r="EL1334" s="1"/>
      <c r="EM1334" s="1"/>
      <c r="EN1334" s="1"/>
      <c r="EO1334" s="1"/>
      <c r="EP1334" s="1"/>
      <c r="EQ1334" s="1"/>
      <c r="ER1334" s="1"/>
      <c r="ES1334" s="1"/>
      <c r="ET1334" s="1"/>
      <c r="EU1334" s="1"/>
      <c r="EV1334" s="1"/>
      <c r="EW1334" s="1"/>
      <c r="EX1334" s="1"/>
      <c r="EY1334" s="1"/>
      <c r="EZ1334" s="1"/>
      <c r="FA1334" s="1"/>
      <c r="FB1334" s="1"/>
      <c r="FC1334" s="1"/>
      <c r="FD1334" s="1"/>
      <c r="FE1334" s="1"/>
      <c r="FF1334" s="1"/>
      <c r="FG1334" s="1"/>
      <c r="FH1334" s="1"/>
      <c r="FI1334" s="1"/>
      <c r="FJ1334" s="1"/>
      <c r="FK1334" s="1"/>
      <c r="FL1334" s="1"/>
      <c r="FM1334" s="1"/>
      <c r="FN1334" s="1"/>
      <c r="FO1334" s="1"/>
      <c r="FP1334" s="1"/>
      <c r="FQ1334" s="1"/>
      <c r="FR1334" s="1"/>
      <c r="FS1334" s="1"/>
      <c r="FT1334" s="1"/>
      <c r="FU1334" s="1"/>
      <c r="FV1334" s="1"/>
      <c r="FW1334" s="1"/>
      <c r="FX1334" s="1"/>
      <c r="FY1334" s="1"/>
      <c r="FZ1334" s="1"/>
      <c r="GA1334" s="1"/>
      <c r="GB1334" s="1"/>
      <c r="GC1334" s="1"/>
      <c r="GD1334" s="1"/>
      <c r="GE1334" s="1"/>
      <c r="GF1334" s="1"/>
      <c r="GG1334" s="1"/>
      <c r="GH1334" s="1"/>
      <c r="GI1334" s="1"/>
      <c r="GJ1334" s="1"/>
      <c r="GK1334" s="1"/>
      <c r="GL1334" s="1"/>
      <c r="GM1334" s="1"/>
      <c r="GN1334" s="1"/>
      <c r="GO1334" s="1"/>
      <c r="GP1334" s="1"/>
      <c r="GQ1334" s="1"/>
      <c r="GR1334" s="1"/>
      <c r="GS1334" s="1"/>
      <c r="GT1334" s="1"/>
      <c r="GU1334" s="1"/>
      <c r="GV1334" s="1"/>
      <c r="GW1334" s="1"/>
      <c r="GX1334" s="1"/>
      <c r="GY1334" s="1"/>
      <c r="GZ1334" s="1"/>
      <c r="HA1334" s="1"/>
      <c r="HB1334" s="1"/>
      <c r="HC1334" s="1"/>
      <c r="HD1334" s="1"/>
      <c r="HE1334" s="1"/>
      <c r="HF1334" s="1"/>
      <c r="HG1334" s="1"/>
      <c r="HH1334" s="1"/>
      <c r="HI1334" s="1"/>
      <c r="HJ1334" s="1"/>
      <c r="HK1334" s="1"/>
      <c r="HL1334" s="1"/>
      <c r="HM1334" s="1"/>
      <c r="HN1334" s="1"/>
      <c r="HO1334" s="1"/>
      <c r="HP1334" s="1"/>
      <c r="HQ1334" s="1"/>
      <c r="HR1334" s="1"/>
      <c r="HS1334" s="1"/>
      <c r="HT1334" s="1"/>
      <c r="HU1334" s="1"/>
      <c r="HV1334" s="1"/>
      <c r="HW1334" s="1"/>
      <c r="HX1334" s="1"/>
      <c r="HY1334" s="1"/>
      <c r="HZ1334" s="1"/>
      <c r="IA1334" s="1"/>
      <c r="IB1334" s="1"/>
      <c r="IC1334" s="1"/>
      <c r="ID1334" s="1"/>
      <c r="IE1334" s="1"/>
      <c r="IF1334" s="1"/>
      <c r="IG1334" s="1"/>
      <c r="IH1334" s="1"/>
      <c r="II1334" s="1"/>
      <c r="IJ1334" s="1"/>
      <c r="IK1334" s="1"/>
      <c r="IL1334" s="1"/>
      <c r="IM1334" s="1"/>
      <c r="IN1334" s="1"/>
      <c r="IO1334" s="1"/>
      <c r="IP1334" s="1"/>
      <c r="IQ1334" s="1"/>
      <c r="IR1334" s="1"/>
      <c r="IS1334" s="1"/>
      <c r="IT1334" s="1"/>
      <c r="IU1334" s="1"/>
      <c r="IV1334" s="1"/>
      <c r="IW1334" s="1"/>
      <c r="IX1334" s="1"/>
      <c r="IY1334" s="1"/>
      <c r="IZ1334" s="1"/>
      <c r="JA1334" s="1"/>
      <c r="JB1334" s="1"/>
      <c r="JC1334" s="1"/>
      <c r="JD1334" s="1"/>
    </row>
    <row r="1335" spans="1:264" s="347" customFormat="1" ht="15" x14ac:dyDescent="0.25">
      <c r="A1335" s="387" t="s">
        <v>885</v>
      </c>
      <c r="B1335" s="348"/>
      <c r="BD1335" s="828"/>
      <c r="BE1335" s="348"/>
      <c r="BF1335" s="348"/>
      <c r="BH1335" s="828"/>
      <c r="BI1335" s="348"/>
      <c r="BJ1335" s="348"/>
      <c r="BK1335" s="348"/>
      <c r="BL1335" s="828"/>
      <c r="BM1335" s="828"/>
      <c r="BN1335" s="829"/>
      <c r="BO1335" s="829"/>
      <c r="BP1335" s="828"/>
      <c r="BQ1335" s="828"/>
      <c r="BR1335" s="829"/>
      <c r="BT1335" s="828"/>
      <c r="BU1335" s="828"/>
      <c r="BV1335" s="829"/>
      <c r="BX1335" s="828"/>
      <c r="BZ1335" s="348"/>
      <c r="CA1335" s="500"/>
      <c r="CB1335" s="828"/>
      <c r="CD1335" s="399"/>
      <c r="CF1335" s="399">
        <f>124901+51395+1423+1034</f>
        <v>178753</v>
      </c>
      <c r="CG1335" s="399">
        <f>118844+52068+1590+822</f>
        <v>173324</v>
      </c>
      <c r="CH1335" s="351">
        <f>CG1335</f>
        <v>173324</v>
      </c>
      <c r="CJ1335" s="399">
        <f>121557+51824+1309+856</f>
        <v>175546</v>
      </c>
      <c r="CK1335" s="399">
        <f>122967+51856+957+741</f>
        <v>176521</v>
      </c>
      <c r="CL1335" s="351">
        <f>CK1335</f>
        <v>176521</v>
      </c>
      <c r="CN1335" s="399">
        <f>123693+54412+1194+752</f>
        <v>180051</v>
      </c>
      <c r="CO1335" s="399">
        <f>120937+56740+1234+805</f>
        <v>179716</v>
      </c>
      <c r="CP1335" s="351">
        <f>CO1335</f>
        <v>179716</v>
      </c>
      <c r="CR1335" s="399">
        <f>131667+59889</f>
        <v>191556</v>
      </c>
      <c r="CS1335" s="399">
        <f>136307+61031</f>
        <v>197338</v>
      </c>
      <c r="CT1335" s="351">
        <f>CS1335</f>
        <v>197338</v>
      </c>
      <c r="CU1335" s="393">
        <f t="shared" ref="CU1335:CU1337" si="989">+CT1335/CP1335-1</f>
        <v>9.8054708540141089E-2</v>
      </c>
      <c r="CV1335" s="399">
        <f>145378+62502</f>
        <v>207880</v>
      </c>
      <c r="CW1335" s="399">
        <v>196874</v>
      </c>
      <c r="CX1335" s="351">
        <f>CW1335</f>
        <v>196874</v>
      </c>
      <c r="CZ1335" s="399">
        <v>206974</v>
      </c>
      <c r="DA1335" s="399">
        <v>214081</v>
      </c>
      <c r="DB1335" s="351">
        <f>DA1335</f>
        <v>214081</v>
      </c>
      <c r="DD1335" s="399">
        <v>229491</v>
      </c>
      <c r="DE1335" s="399">
        <v>235084</v>
      </c>
      <c r="DF1335" s="351">
        <f>DE1335</f>
        <v>235084</v>
      </c>
      <c r="DH1335" s="399">
        <v>249825</v>
      </c>
      <c r="DI1335" s="351">
        <f>DI1340*DI1338</f>
        <v>257994.83076090872</v>
      </c>
      <c r="DJ1335" s="351">
        <f>DI1335</f>
        <v>257994.83076090872</v>
      </c>
      <c r="DL1335" s="351">
        <f>DL1340*DL1338</f>
        <v>264259.30899549212</v>
      </c>
      <c r="DM1335" s="351">
        <f>DM1340*DM1338</f>
        <v>273598.54191531538</v>
      </c>
      <c r="DN1335" s="351">
        <f>DM1335</f>
        <v>273598.54191531538</v>
      </c>
      <c r="DP1335" s="351">
        <f>DP1340*DP1338</f>
        <v>279584.08635117335</v>
      </c>
      <c r="DQ1335" s="351">
        <f>DQ1340*DQ1338</f>
        <v>287292.55444194539</v>
      </c>
      <c r="DR1335" s="351">
        <f>DQ1335</f>
        <v>287292.55444194539</v>
      </c>
      <c r="DT1335"/>
      <c r="DU1335"/>
      <c r="DV1335" s="1"/>
      <c r="DW1335" s="1"/>
      <c r="DX1335" s="1"/>
      <c r="DY1335" s="1"/>
      <c r="DZ1335" s="1"/>
      <c r="EA1335" s="1"/>
      <c r="EB1335" s="1"/>
      <c r="EC1335" s="1"/>
      <c r="ED1335" s="1"/>
      <c r="EE1335" s="1"/>
      <c r="EF1335" s="1"/>
      <c r="EG1335" s="1"/>
      <c r="EH1335" s="1"/>
      <c r="EI1335" s="1"/>
      <c r="EJ1335" s="1"/>
      <c r="EK1335" s="1"/>
      <c r="EL1335" s="1"/>
      <c r="EM1335" s="1"/>
      <c r="EN1335" s="1"/>
      <c r="EO1335" s="1"/>
      <c r="EP1335" s="1"/>
      <c r="EQ1335" s="1"/>
      <c r="ER1335" s="1"/>
      <c r="ES1335" s="1"/>
      <c r="ET1335" s="1"/>
      <c r="EU1335" s="1"/>
      <c r="EV1335" s="1"/>
      <c r="EW1335" s="1"/>
      <c r="EX1335" s="1"/>
      <c r="EY1335" s="1"/>
      <c r="EZ1335" s="1"/>
      <c r="FA1335" s="1"/>
      <c r="FB1335" s="1"/>
      <c r="FC1335" s="1"/>
      <c r="FD1335" s="1"/>
      <c r="FE1335" s="1"/>
      <c r="FF1335" s="1"/>
      <c r="FG1335" s="1"/>
      <c r="FH1335" s="1"/>
      <c r="FI1335" s="1"/>
      <c r="FJ1335" s="1"/>
      <c r="FK1335" s="1"/>
      <c r="FL1335" s="1"/>
      <c r="FM1335" s="1"/>
      <c r="FN1335" s="1"/>
      <c r="FO1335" s="1"/>
      <c r="FP1335" s="1"/>
      <c r="FQ1335" s="1"/>
      <c r="FR1335" s="1"/>
      <c r="FS1335" s="1"/>
      <c r="FT1335" s="1"/>
      <c r="FU1335" s="1"/>
      <c r="FV1335" s="1"/>
      <c r="FW1335" s="1"/>
      <c r="FX1335" s="1"/>
      <c r="FY1335" s="1"/>
      <c r="FZ1335" s="1"/>
      <c r="GA1335" s="1"/>
      <c r="GB1335" s="1"/>
      <c r="GC1335" s="1"/>
      <c r="GD1335" s="1"/>
      <c r="GE1335" s="1"/>
      <c r="GF1335" s="1"/>
      <c r="GG1335" s="1"/>
      <c r="GH1335" s="1"/>
      <c r="GI1335" s="1"/>
      <c r="GJ1335" s="1"/>
      <c r="GK1335" s="1"/>
      <c r="GL1335" s="1"/>
      <c r="GM1335" s="1"/>
      <c r="GN1335" s="1"/>
      <c r="GO1335" s="1"/>
      <c r="GP1335" s="1"/>
      <c r="GQ1335" s="1"/>
      <c r="GR1335" s="1"/>
      <c r="GS1335" s="1"/>
      <c r="GT1335" s="1"/>
      <c r="GU1335" s="1"/>
      <c r="GV1335" s="1"/>
      <c r="GW1335" s="1"/>
      <c r="GX1335" s="1"/>
      <c r="GY1335" s="1"/>
      <c r="GZ1335" s="1"/>
      <c r="HA1335" s="1"/>
      <c r="HB1335" s="1"/>
      <c r="HC1335" s="1"/>
      <c r="HD1335" s="1"/>
      <c r="HE1335" s="1"/>
      <c r="HF1335" s="1"/>
      <c r="HG1335" s="1"/>
      <c r="HH1335" s="1"/>
      <c r="HI1335" s="1"/>
      <c r="HJ1335" s="1"/>
      <c r="HK1335" s="1"/>
      <c r="HL1335" s="1"/>
      <c r="HM1335" s="1"/>
      <c r="HN1335" s="1"/>
      <c r="HO1335" s="1"/>
      <c r="HP1335" s="1"/>
      <c r="HQ1335" s="1"/>
      <c r="HR1335" s="1"/>
      <c r="HS1335" s="1"/>
      <c r="HT1335" s="1"/>
      <c r="HU1335" s="1"/>
      <c r="HV1335" s="1"/>
      <c r="HW1335" s="1"/>
      <c r="HX1335" s="1"/>
      <c r="HY1335" s="1"/>
      <c r="HZ1335" s="1"/>
      <c r="IA1335" s="1"/>
      <c r="IB1335" s="1"/>
      <c r="IC1335" s="1"/>
      <c r="ID1335" s="1"/>
      <c r="IE1335" s="1"/>
      <c r="IF1335" s="1"/>
      <c r="IG1335" s="1"/>
      <c r="IH1335" s="1"/>
      <c r="II1335" s="1"/>
      <c r="IJ1335" s="1"/>
      <c r="IK1335" s="1"/>
      <c r="IL1335" s="1"/>
      <c r="IM1335" s="1"/>
      <c r="IN1335" s="1"/>
      <c r="IO1335" s="1"/>
      <c r="IP1335" s="1"/>
      <c r="IQ1335" s="1"/>
      <c r="IR1335" s="1"/>
      <c r="IS1335" s="1"/>
      <c r="IT1335" s="1"/>
      <c r="IU1335" s="1"/>
      <c r="IV1335" s="1"/>
      <c r="IW1335" s="1"/>
      <c r="IX1335" s="1"/>
      <c r="IY1335" s="1"/>
      <c r="IZ1335" s="1"/>
      <c r="JA1335" s="1"/>
      <c r="JB1335" s="1"/>
      <c r="JC1335" s="1"/>
      <c r="JD1335" s="1"/>
    </row>
    <row r="1336" spans="1:264" s="347" customFormat="1" ht="15" x14ac:dyDescent="0.25">
      <c r="A1336" s="387" t="s">
        <v>886</v>
      </c>
      <c r="B1336" s="348"/>
      <c r="BD1336" s="828"/>
      <c r="BE1336" s="348"/>
      <c r="BF1336" s="348"/>
      <c r="BH1336" s="828"/>
      <c r="BI1336" s="348"/>
      <c r="BJ1336" s="348"/>
      <c r="BK1336" s="348"/>
      <c r="BL1336" s="828"/>
      <c r="BM1336" s="828"/>
      <c r="BN1336" s="829"/>
      <c r="BO1336" s="829"/>
      <c r="BP1336" s="828"/>
      <c r="BQ1336" s="828"/>
      <c r="BR1336" s="829"/>
      <c r="BT1336" s="828"/>
      <c r="BU1336" s="828"/>
      <c r="BV1336" s="829"/>
      <c r="BX1336" s="828"/>
      <c r="BZ1336" s="348"/>
      <c r="CA1336" s="500"/>
      <c r="CB1336" s="828"/>
      <c r="CD1336" s="399"/>
      <c r="CF1336" s="399">
        <v>60941</v>
      </c>
      <c r="CG1336" s="399">
        <v>61266</v>
      </c>
      <c r="CH1336" s="351">
        <f>CG1336</f>
        <v>61266</v>
      </c>
      <c r="CJ1336" s="399">
        <v>64230</v>
      </c>
      <c r="CK1336" s="399">
        <v>66433</v>
      </c>
      <c r="CL1336" s="351">
        <f>CK1336</f>
        <v>66433</v>
      </c>
      <c r="CN1336" s="399">
        <v>68697</v>
      </c>
      <c r="CO1336" s="399">
        <v>73840</v>
      </c>
      <c r="CP1336" s="351">
        <f>CO1336</f>
        <v>73840</v>
      </c>
      <c r="CR1336" s="399">
        <v>76072</v>
      </c>
      <c r="CS1336" s="399">
        <v>76937</v>
      </c>
      <c r="CT1336" s="351">
        <f>CS1336</f>
        <v>76937</v>
      </c>
      <c r="CU1336" s="393">
        <f t="shared" si="989"/>
        <v>4.1942036836402963E-2</v>
      </c>
      <c r="CV1336" s="399">
        <v>79340</v>
      </c>
      <c r="CW1336" s="399">
        <v>4641</v>
      </c>
      <c r="CX1336" s="351">
        <f>CW1336</f>
        <v>4641</v>
      </c>
      <c r="CZ1336" s="399">
        <v>4398</v>
      </c>
      <c r="DA1336" s="399">
        <v>4587</v>
      </c>
      <c r="DB1336" s="351">
        <f>DA1336</f>
        <v>4587</v>
      </c>
      <c r="DD1336" s="399">
        <v>5929</v>
      </c>
      <c r="DE1336" s="399">
        <v>5796</v>
      </c>
      <c r="DF1336" s="351">
        <f>DE1336</f>
        <v>5796</v>
      </c>
      <c r="DH1336" s="399">
        <v>5343</v>
      </c>
      <c r="DI1336" s="351">
        <f>DI1341*DI1338</f>
        <v>5517.7279325749432</v>
      </c>
      <c r="DJ1336" s="351">
        <f>DI1336</f>
        <v>5517.7279325749432</v>
      </c>
      <c r="DL1336" s="351">
        <f>DL1341*DL1338</f>
        <v>5651.7061461539652</v>
      </c>
      <c r="DM1336" s="351">
        <f>DM1341*DM1338</f>
        <v>5851.4440486481735</v>
      </c>
      <c r="DN1336" s="351">
        <f>DM1336</f>
        <v>5851.4440486481735</v>
      </c>
      <c r="DP1336" s="351">
        <f>DP1341*DP1338</f>
        <v>5979.4567131965141</v>
      </c>
      <c r="DQ1336" s="351">
        <f>DQ1341*DQ1338</f>
        <v>6144.317495780303</v>
      </c>
      <c r="DR1336" s="351">
        <f>DQ1336</f>
        <v>6144.317495780303</v>
      </c>
      <c r="DT1336"/>
      <c r="DU1336"/>
      <c r="DV1336" s="1"/>
      <c r="DW1336" s="1"/>
      <c r="DX1336" s="1"/>
      <c r="DY1336" s="1"/>
      <c r="DZ1336" s="1"/>
      <c r="EA1336" s="1"/>
      <c r="EB1336" s="1"/>
      <c r="EC1336" s="1"/>
      <c r="ED1336" s="1"/>
      <c r="EE1336" s="1"/>
      <c r="EF1336" s="1"/>
      <c r="EG1336" s="1"/>
      <c r="EH1336" s="1"/>
      <c r="EI1336" s="1"/>
      <c r="EJ1336" s="1"/>
      <c r="EK1336" s="1"/>
      <c r="EL1336" s="1"/>
      <c r="EM1336" s="1"/>
      <c r="EN1336" s="1"/>
      <c r="EO1336" s="1"/>
      <c r="EP1336" s="1"/>
      <c r="EQ1336" s="1"/>
      <c r="ER1336" s="1"/>
      <c r="ES1336" s="1"/>
      <c r="ET1336" s="1"/>
      <c r="EU1336" s="1"/>
      <c r="EV1336" s="1"/>
      <c r="EW1336" s="1"/>
      <c r="EX1336" s="1"/>
      <c r="EY1336" s="1"/>
      <c r="EZ1336" s="1"/>
      <c r="FA1336" s="1"/>
      <c r="FB1336" s="1"/>
      <c r="FC1336" s="1"/>
      <c r="FD1336" s="1"/>
      <c r="FE1336" s="1"/>
      <c r="FF1336" s="1"/>
      <c r="FG1336" s="1"/>
      <c r="FH1336" s="1"/>
      <c r="FI1336" s="1"/>
      <c r="FJ1336" s="1"/>
      <c r="FK1336" s="1"/>
      <c r="FL1336" s="1"/>
      <c r="FM1336" s="1"/>
      <c r="FN1336" s="1"/>
      <c r="FO1336" s="1"/>
      <c r="FP1336" s="1"/>
      <c r="FQ1336" s="1"/>
      <c r="FR1336" s="1"/>
      <c r="FS1336" s="1"/>
      <c r="FT1336" s="1"/>
      <c r="FU1336" s="1"/>
      <c r="FV1336" s="1"/>
      <c r="FW1336" s="1"/>
      <c r="FX1336" s="1"/>
      <c r="FY1336" s="1"/>
      <c r="FZ1336" s="1"/>
      <c r="GA1336" s="1"/>
      <c r="GB1336" s="1"/>
      <c r="GC1336" s="1"/>
      <c r="GD1336" s="1"/>
      <c r="GE1336" s="1"/>
      <c r="GF1336" s="1"/>
      <c r="GG1336" s="1"/>
      <c r="GH1336" s="1"/>
      <c r="GI1336" s="1"/>
      <c r="GJ1336" s="1"/>
      <c r="GK1336" s="1"/>
      <c r="GL1336" s="1"/>
      <c r="GM1336" s="1"/>
      <c r="GN1336" s="1"/>
      <c r="GO1336" s="1"/>
      <c r="GP1336" s="1"/>
      <c r="GQ1336" s="1"/>
      <c r="GR1336" s="1"/>
      <c r="GS1336" s="1"/>
      <c r="GT1336" s="1"/>
      <c r="GU1336" s="1"/>
      <c r="GV1336" s="1"/>
      <c r="GW1336" s="1"/>
      <c r="GX1336" s="1"/>
      <c r="GY1336" s="1"/>
      <c r="GZ1336" s="1"/>
      <c r="HA1336" s="1"/>
      <c r="HB1336" s="1"/>
      <c r="HC1336" s="1"/>
      <c r="HD1336" s="1"/>
      <c r="HE1336" s="1"/>
      <c r="HF1336" s="1"/>
      <c r="HG1336" s="1"/>
      <c r="HH1336" s="1"/>
      <c r="HI1336" s="1"/>
      <c r="HJ1336" s="1"/>
      <c r="HK1336" s="1"/>
      <c r="HL1336" s="1"/>
      <c r="HM1336" s="1"/>
      <c r="HN1336" s="1"/>
      <c r="HO1336" s="1"/>
      <c r="HP1336" s="1"/>
      <c r="HQ1336" s="1"/>
      <c r="HR1336" s="1"/>
      <c r="HS1336" s="1"/>
      <c r="HT1336" s="1"/>
      <c r="HU1336" s="1"/>
      <c r="HV1336" s="1"/>
      <c r="HW1336" s="1"/>
      <c r="HX1336" s="1"/>
      <c r="HY1336" s="1"/>
      <c r="HZ1336" s="1"/>
      <c r="IA1336" s="1"/>
      <c r="IB1336" s="1"/>
      <c r="IC1336" s="1"/>
      <c r="ID1336" s="1"/>
      <c r="IE1336" s="1"/>
      <c r="IF1336" s="1"/>
      <c r="IG1336" s="1"/>
      <c r="IH1336" s="1"/>
      <c r="II1336" s="1"/>
      <c r="IJ1336" s="1"/>
      <c r="IK1336" s="1"/>
      <c r="IL1336" s="1"/>
      <c r="IM1336" s="1"/>
      <c r="IN1336" s="1"/>
      <c r="IO1336" s="1"/>
      <c r="IP1336" s="1"/>
      <c r="IQ1336" s="1"/>
      <c r="IR1336" s="1"/>
      <c r="IS1336" s="1"/>
      <c r="IT1336" s="1"/>
      <c r="IU1336" s="1"/>
      <c r="IV1336" s="1"/>
      <c r="IW1336" s="1"/>
      <c r="IX1336" s="1"/>
      <c r="IY1336" s="1"/>
      <c r="IZ1336" s="1"/>
      <c r="JA1336" s="1"/>
      <c r="JB1336" s="1"/>
      <c r="JC1336" s="1"/>
      <c r="JD1336" s="1"/>
    </row>
    <row r="1337" spans="1:264" s="347" customFormat="1" ht="15" x14ac:dyDescent="0.25">
      <c r="A1337" s="387" t="s">
        <v>887</v>
      </c>
      <c r="B1337" s="348"/>
      <c r="BD1337" s="828"/>
      <c r="BE1337" s="348"/>
      <c r="BF1337" s="348"/>
      <c r="BH1337" s="828"/>
      <c r="BI1337" s="348"/>
      <c r="BJ1337" s="348"/>
      <c r="BK1337" s="348"/>
      <c r="BL1337" s="828"/>
      <c r="BM1337" s="828"/>
      <c r="BN1337" s="829"/>
      <c r="BO1337" s="829"/>
      <c r="BP1337" s="828"/>
      <c r="BQ1337" s="828"/>
      <c r="BR1337" s="829"/>
      <c r="BT1337" s="828"/>
      <c r="BU1337" s="828"/>
      <c r="BV1337" s="829"/>
      <c r="BX1337" s="828"/>
      <c r="BZ1337" s="348"/>
      <c r="CA1337" s="500"/>
      <c r="CB1337" s="828"/>
      <c r="CD1337" s="348"/>
      <c r="CF1337" s="351">
        <f>CF1338-SUM(CF1335:CF1336)</f>
        <v>207558</v>
      </c>
      <c r="CG1337" s="351">
        <f>CG1338-SUM(CG1335:CG1336)</f>
        <v>207940</v>
      </c>
      <c r="CH1337" s="351">
        <f>CG1337</f>
        <v>207940</v>
      </c>
      <c r="CJ1337" s="351">
        <f>CJ1338-SUM(CJ1335:CJ1336)</f>
        <v>203281</v>
      </c>
      <c r="CK1337" s="351">
        <f>CK1338-SUM(CK1335:CK1336)</f>
        <v>217795</v>
      </c>
      <c r="CL1337" s="351">
        <f>CK1337</f>
        <v>217795</v>
      </c>
      <c r="CN1337" s="351">
        <f>CN1338-SUM(CN1335:CN1336)</f>
        <v>254371</v>
      </c>
      <c r="CO1337" s="351">
        <f>CO1338-SUM(CO1335:CO1336)</f>
        <v>292155</v>
      </c>
      <c r="CP1337" s="351">
        <f>CO1337</f>
        <v>292155</v>
      </c>
      <c r="CR1337" s="351">
        <f>CR1338-SUM(CR1335:CR1336)</f>
        <v>307569</v>
      </c>
      <c r="CS1337" s="351">
        <f>CS1338-SUM(CS1335:CS1336)</f>
        <v>315426</v>
      </c>
      <c r="CT1337" s="351">
        <f>CS1337</f>
        <v>315426</v>
      </c>
      <c r="CU1337" s="393">
        <f t="shared" si="989"/>
        <v>7.9652923961595734E-2</v>
      </c>
      <c r="CV1337" s="351">
        <f>CV1338-SUM(CV1335:CV1336)</f>
        <v>306704</v>
      </c>
      <c r="CW1337" s="351">
        <f>CW1338-SUM(CW1335:CW1336)</f>
        <v>439613</v>
      </c>
      <c r="CX1337" s="351">
        <f>CW1337</f>
        <v>439613</v>
      </c>
      <c r="CZ1337" s="351">
        <f>CZ1338-SUM(CZ1335:CZ1336)</f>
        <v>433211</v>
      </c>
      <c r="DA1337" s="351">
        <f>DA1338-SUM(DA1335:DA1336)</f>
        <v>374400</v>
      </c>
      <c r="DB1337" s="351">
        <f>DA1337</f>
        <v>374400</v>
      </c>
      <c r="DD1337" s="351">
        <f>DD1338-SUM(DD1335:DD1336)</f>
        <v>388088</v>
      </c>
      <c r="DE1337" s="351">
        <f>DE1338-SUM(DE1335:DE1336)</f>
        <v>381605</v>
      </c>
      <c r="DF1337" s="351">
        <f>DE1337</f>
        <v>381605</v>
      </c>
      <c r="DH1337" s="351">
        <f>DH1338-SUM(DH1335:DH1336)</f>
        <v>385840</v>
      </c>
      <c r="DI1337" s="351">
        <f>DI1338-SUM(DI1335:DI1336)</f>
        <v>398457.82247889129</v>
      </c>
      <c r="DJ1337" s="351">
        <f>DI1337</f>
        <v>398457.82247889129</v>
      </c>
      <c r="DL1337" s="351">
        <f>DL1338-SUM(DL1335:DL1336)</f>
        <v>408132.9401894153</v>
      </c>
      <c r="DM1337" s="351">
        <f>DM1338-SUM(DM1335:DM1336)</f>
        <v>422556.83543522574</v>
      </c>
      <c r="DN1337" s="351">
        <f>DM1337</f>
        <v>422556.83543522574</v>
      </c>
      <c r="DP1337" s="351">
        <f>DP1338-SUM(DP1335:DP1336)</f>
        <v>431801.15632037114</v>
      </c>
      <c r="DQ1337" s="351">
        <f>DQ1338-SUM(DQ1335:DQ1336)</f>
        <v>443706.43132544868</v>
      </c>
      <c r="DR1337" s="351">
        <f>DQ1337</f>
        <v>443706.43132544868</v>
      </c>
      <c r="DT1337"/>
      <c r="DU1337"/>
      <c r="DV1337" s="1"/>
      <c r="DW1337" s="1"/>
      <c r="DX1337" s="1"/>
      <c r="DY1337" s="1"/>
      <c r="DZ1337" s="1"/>
      <c r="EA1337" s="1"/>
      <c r="EB1337" s="1"/>
      <c r="EC1337" s="1"/>
      <c r="ED1337" s="1"/>
      <c r="EE1337" s="1"/>
      <c r="EF1337" s="1"/>
      <c r="EG1337" s="1"/>
      <c r="EH1337" s="1"/>
      <c r="EI1337" s="1"/>
      <c r="EJ1337" s="1"/>
      <c r="EK1337" s="1"/>
      <c r="EL1337" s="1"/>
      <c r="EM1337" s="1"/>
      <c r="EN1337" s="1"/>
      <c r="EO1337" s="1"/>
      <c r="EP1337" s="1"/>
      <c r="EQ1337" s="1"/>
      <c r="ER1337" s="1"/>
      <c r="ES1337" s="1"/>
      <c r="ET1337" s="1"/>
      <c r="EU1337" s="1"/>
      <c r="EV1337" s="1"/>
      <c r="EW1337" s="1"/>
      <c r="EX1337" s="1"/>
      <c r="EY1337" s="1"/>
      <c r="EZ1337" s="1"/>
      <c r="FA1337" s="1"/>
      <c r="FB1337" s="1"/>
      <c r="FC1337" s="1"/>
      <c r="FD1337" s="1"/>
      <c r="FE1337" s="1"/>
      <c r="FF1337" s="1"/>
      <c r="FG1337" s="1"/>
      <c r="FH1337" s="1"/>
      <c r="FI1337" s="1"/>
      <c r="FJ1337" s="1"/>
      <c r="FK1337" s="1"/>
      <c r="FL1337" s="1"/>
      <c r="FM1337" s="1"/>
      <c r="FN1337" s="1"/>
      <c r="FO1337" s="1"/>
      <c r="FP1337" s="1"/>
      <c r="FQ1337" s="1"/>
      <c r="FR1337" s="1"/>
      <c r="FS1337" s="1"/>
      <c r="FT1337" s="1"/>
      <c r="FU1337" s="1"/>
      <c r="FV1337" s="1"/>
      <c r="FW1337" s="1"/>
      <c r="FX1337" s="1"/>
      <c r="FY1337" s="1"/>
      <c r="FZ1337" s="1"/>
      <c r="GA1337" s="1"/>
      <c r="GB1337" s="1"/>
      <c r="GC1337" s="1"/>
      <c r="GD1337" s="1"/>
      <c r="GE1337" s="1"/>
      <c r="GF1337" s="1"/>
      <c r="GG1337" s="1"/>
      <c r="GH1337" s="1"/>
      <c r="GI1337" s="1"/>
      <c r="GJ1337" s="1"/>
      <c r="GK1337" s="1"/>
      <c r="GL1337" s="1"/>
      <c r="GM1337" s="1"/>
      <c r="GN1337" s="1"/>
      <c r="GO1337" s="1"/>
      <c r="GP1337" s="1"/>
      <c r="GQ1337" s="1"/>
      <c r="GR1337" s="1"/>
      <c r="GS1337" s="1"/>
      <c r="GT1337" s="1"/>
      <c r="GU1337" s="1"/>
      <c r="GV1337" s="1"/>
      <c r="GW1337" s="1"/>
      <c r="GX1337" s="1"/>
      <c r="GY1337" s="1"/>
      <c r="GZ1337" s="1"/>
      <c r="HA1337" s="1"/>
      <c r="HB1337" s="1"/>
      <c r="HC1337" s="1"/>
      <c r="HD1337" s="1"/>
      <c r="HE1337" s="1"/>
      <c r="HF1337" s="1"/>
      <c r="HG1337" s="1"/>
      <c r="HH1337" s="1"/>
      <c r="HI1337" s="1"/>
      <c r="HJ1337" s="1"/>
      <c r="HK1337" s="1"/>
      <c r="HL1337" s="1"/>
      <c r="HM1337" s="1"/>
      <c r="HN1337" s="1"/>
      <c r="HO1337" s="1"/>
      <c r="HP1337" s="1"/>
      <c r="HQ1337" s="1"/>
      <c r="HR1337" s="1"/>
      <c r="HS1337" s="1"/>
      <c r="HT1337" s="1"/>
      <c r="HU1337" s="1"/>
      <c r="HV1337" s="1"/>
      <c r="HW1337" s="1"/>
      <c r="HX1337" s="1"/>
      <c r="HY1337" s="1"/>
      <c r="HZ1337" s="1"/>
      <c r="IA1337" s="1"/>
      <c r="IB1337" s="1"/>
      <c r="IC1337" s="1"/>
      <c r="ID1337" s="1"/>
      <c r="IE1337" s="1"/>
      <c r="IF1337" s="1"/>
      <c r="IG1337" s="1"/>
      <c r="IH1337" s="1"/>
      <c r="II1337" s="1"/>
      <c r="IJ1337" s="1"/>
      <c r="IK1337" s="1"/>
      <c r="IL1337" s="1"/>
      <c r="IM1337" s="1"/>
      <c r="IN1337" s="1"/>
      <c r="IO1337" s="1"/>
      <c r="IP1337" s="1"/>
      <c r="IQ1337" s="1"/>
      <c r="IR1337" s="1"/>
      <c r="IS1337" s="1"/>
      <c r="IT1337" s="1"/>
      <c r="IU1337" s="1"/>
      <c r="IV1337" s="1"/>
      <c r="IW1337" s="1"/>
      <c r="IX1337" s="1"/>
      <c r="IY1337" s="1"/>
      <c r="IZ1337" s="1"/>
      <c r="JA1337" s="1"/>
      <c r="JB1337" s="1"/>
      <c r="JC1337" s="1"/>
      <c r="JD1337" s="1"/>
    </row>
    <row r="1338" spans="1:264" s="347" customFormat="1" ht="15" x14ac:dyDescent="0.25">
      <c r="A1338" s="564" t="s">
        <v>881</v>
      </c>
      <c r="B1338" s="348"/>
      <c r="BD1338" s="828"/>
      <c r="BE1338" s="348"/>
      <c r="BF1338" s="348"/>
      <c r="BH1338" s="828"/>
      <c r="BI1338" s="348"/>
      <c r="BJ1338" s="348"/>
      <c r="BK1338" s="348"/>
      <c r="BL1338" s="828"/>
      <c r="BM1338" s="828"/>
      <c r="BN1338" s="829"/>
      <c r="BO1338" s="829"/>
      <c r="BP1338" s="828"/>
      <c r="BQ1338" s="828"/>
      <c r="BR1338" s="829"/>
      <c r="BT1338" s="828"/>
      <c r="BU1338" s="828"/>
      <c r="BV1338" s="829"/>
      <c r="BX1338" s="828"/>
      <c r="BZ1338" s="348"/>
      <c r="CA1338" s="500"/>
      <c r="CB1338" s="828"/>
      <c r="CD1338" s="348"/>
      <c r="CF1338" s="397">
        <f>CF1329</f>
        <v>447252</v>
      </c>
      <c r="CG1338" s="397">
        <f>CG1329</f>
        <v>442530</v>
      </c>
      <c r="CH1338" s="397">
        <f>CG1338</f>
        <v>442530</v>
      </c>
      <c r="CJ1338" s="397">
        <f>CJ1329</f>
        <v>443057</v>
      </c>
      <c r="CK1338" s="397">
        <f>CK1329</f>
        <v>460749</v>
      </c>
      <c r="CL1338" s="397">
        <f>CK1338</f>
        <v>460749</v>
      </c>
      <c r="CN1338" s="397">
        <f>CN1329</f>
        <v>503119</v>
      </c>
      <c r="CO1338" s="397">
        <f>CO1329</f>
        <v>545711</v>
      </c>
      <c r="CP1338" s="397">
        <f>CO1338</f>
        <v>545711</v>
      </c>
      <c r="CR1338" s="397">
        <f>CR1329</f>
        <v>575197</v>
      </c>
      <c r="CS1338" s="397">
        <f>CS1329</f>
        <v>589701</v>
      </c>
      <c r="CT1338" s="397">
        <f>CS1338</f>
        <v>589701</v>
      </c>
      <c r="CV1338" s="397">
        <f>CV1329</f>
        <v>593924</v>
      </c>
      <c r="CW1338" s="397">
        <f>CW1329</f>
        <v>641128</v>
      </c>
      <c r="CX1338" s="397">
        <f>CW1338</f>
        <v>641128</v>
      </c>
      <c r="CZ1338" s="397">
        <f>CZ1329</f>
        <v>644583</v>
      </c>
      <c r="DA1338" s="397">
        <f>DA1329</f>
        <v>593068</v>
      </c>
      <c r="DB1338" s="397">
        <f>DA1338</f>
        <v>593068</v>
      </c>
      <c r="DD1338" s="397">
        <f>DD1329</f>
        <v>623508</v>
      </c>
      <c r="DE1338" s="397">
        <f>DE1329</f>
        <v>622485</v>
      </c>
      <c r="DF1338" s="397">
        <f>DE1338</f>
        <v>622485</v>
      </c>
      <c r="DH1338" s="397">
        <f>DH1329</f>
        <v>641008</v>
      </c>
      <c r="DI1338" s="397">
        <f>DI1329</f>
        <v>661970.38117237494</v>
      </c>
      <c r="DJ1338" s="397">
        <f>DI1338</f>
        <v>661970.38117237494</v>
      </c>
      <c r="DL1338" s="397">
        <f>DL1329</f>
        <v>678043.95533106138</v>
      </c>
      <c r="DM1338" s="397">
        <f>DM1329</f>
        <v>702006.8213991893</v>
      </c>
      <c r="DN1338" s="397">
        <f>DM1338</f>
        <v>702006.8213991893</v>
      </c>
      <c r="DP1338" s="397">
        <f>DP1329</f>
        <v>717364.69938474102</v>
      </c>
      <c r="DQ1338" s="397">
        <f>DQ1329</f>
        <v>737143.30326317437</v>
      </c>
      <c r="DR1338" s="397">
        <f>DQ1338</f>
        <v>737143.30326317437</v>
      </c>
      <c r="DT1338"/>
      <c r="DU1338"/>
      <c r="DV1338" s="1"/>
      <c r="DW1338" s="1"/>
      <c r="DX1338" s="1"/>
      <c r="DY1338" s="1"/>
      <c r="DZ1338" s="1"/>
      <c r="EA1338" s="1"/>
      <c r="EB1338" s="1"/>
      <c r="EC1338" s="1"/>
      <c r="ED1338" s="1"/>
      <c r="EE1338" s="1"/>
      <c r="EF1338" s="1"/>
      <c r="EG1338" s="1"/>
      <c r="EH1338" s="1"/>
      <c r="EI1338" s="1"/>
      <c r="EJ1338" s="1"/>
      <c r="EK1338" s="1"/>
      <c r="EL1338" s="1"/>
      <c r="EM1338" s="1"/>
      <c r="EN1338" s="1"/>
      <c r="EO1338" s="1"/>
      <c r="EP1338" s="1"/>
      <c r="EQ1338" s="1"/>
      <c r="ER1338" s="1"/>
      <c r="ES1338" s="1"/>
      <c r="ET1338" s="1"/>
      <c r="EU1338" s="1"/>
      <c r="EV1338" s="1"/>
      <c r="EW1338" s="1"/>
      <c r="EX1338" s="1"/>
      <c r="EY1338" s="1"/>
      <c r="EZ1338" s="1"/>
      <c r="FA1338" s="1"/>
      <c r="FB1338" s="1"/>
      <c r="FC1338" s="1"/>
      <c r="FD1338" s="1"/>
      <c r="FE1338" s="1"/>
      <c r="FF1338" s="1"/>
      <c r="FG1338" s="1"/>
      <c r="FH1338" s="1"/>
      <c r="FI1338" s="1"/>
      <c r="FJ1338" s="1"/>
      <c r="FK1338" s="1"/>
      <c r="FL1338" s="1"/>
      <c r="FM1338" s="1"/>
      <c r="FN1338" s="1"/>
      <c r="FO1338" s="1"/>
      <c r="FP1338" s="1"/>
      <c r="FQ1338" s="1"/>
      <c r="FR1338" s="1"/>
      <c r="FS1338" s="1"/>
      <c r="FT1338" s="1"/>
      <c r="FU1338" s="1"/>
      <c r="FV1338" s="1"/>
      <c r="FW1338" s="1"/>
      <c r="FX1338" s="1"/>
      <c r="FY1338" s="1"/>
      <c r="FZ1338" s="1"/>
      <c r="GA1338" s="1"/>
      <c r="GB1338" s="1"/>
      <c r="GC1338" s="1"/>
      <c r="GD1338" s="1"/>
      <c r="GE1338" s="1"/>
      <c r="GF1338" s="1"/>
      <c r="GG1338" s="1"/>
      <c r="GH1338" s="1"/>
      <c r="GI1338" s="1"/>
      <c r="GJ1338" s="1"/>
      <c r="GK1338" s="1"/>
      <c r="GL1338" s="1"/>
      <c r="GM1338" s="1"/>
      <c r="GN1338" s="1"/>
      <c r="GO1338" s="1"/>
      <c r="GP1338" s="1"/>
      <c r="GQ1338" s="1"/>
      <c r="GR1338" s="1"/>
      <c r="GS1338" s="1"/>
      <c r="GT1338" s="1"/>
      <c r="GU1338" s="1"/>
      <c r="GV1338" s="1"/>
      <c r="GW1338" s="1"/>
      <c r="GX1338" s="1"/>
      <c r="GY1338" s="1"/>
      <c r="GZ1338" s="1"/>
      <c r="HA1338" s="1"/>
      <c r="HB1338" s="1"/>
      <c r="HC1338" s="1"/>
      <c r="HD1338" s="1"/>
      <c r="HE1338" s="1"/>
      <c r="HF1338" s="1"/>
      <c r="HG1338" s="1"/>
      <c r="HH1338" s="1"/>
      <c r="HI1338" s="1"/>
      <c r="HJ1338" s="1"/>
      <c r="HK1338" s="1"/>
      <c r="HL1338" s="1"/>
      <c r="HM1338" s="1"/>
      <c r="HN1338" s="1"/>
      <c r="HO1338" s="1"/>
      <c r="HP1338" s="1"/>
      <c r="HQ1338" s="1"/>
      <c r="HR1338" s="1"/>
      <c r="HS1338" s="1"/>
      <c r="HT1338" s="1"/>
      <c r="HU1338" s="1"/>
      <c r="HV1338" s="1"/>
      <c r="HW1338" s="1"/>
      <c r="HX1338" s="1"/>
      <c r="HY1338" s="1"/>
      <c r="HZ1338" s="1"/>
      <c r="IA1338" s="1"/>
      <c r="IB1338" s="1"/>
      <c r="IC1338" s="1"/>
      <c r="ID1338" s="1"/>
      <c r="IE1338" s="1"/>
      <c r="IF1338" s="1"/>
      <c r="IG1338" s="1"/>
      <c r="IH1338" s="1"/>
      <c r="II1338" s="1"/>
      <c r="IJ1338" s="1"/>
      <c r="IK1338" s="1"/>
      <c r="IL1338" s="1"/>
      <c r="IM1338" s="1"/>
      <c r="IN1338" s="1"/>
      <c r="IO1338" s="1"/>
      <c r="IP1338" s="1"/>
      <c r="IQ1338" s="1"/>
      <c r="IR1338" s="1"/>
      <c r="IS1338" s="1"/>
      <c r="IT1338" s="1"/>
      <c r="IU1338" s="1"/>
      <c r="IV1338" s="1"/>
      <c r="IW1338" s="1"/>
      <c r="IX1338" s="1"/>
      <c r="IY1338" s="1"/>
      <c r="IZ1338" s="1"/>
      <c r="JA1338" s="1"/>
      <c r="JB1338" s="1"/>
      <c r="JC1338" s="1"/>
      <c r="JD1338" s="1"/>
    </row>
    <row r="1339" spans="1:264" s="347" customFormat="1" ht="15" x14ac:dyDescent="0.25">
      <c r="A1339" s="578" t="s">
        <v>888</v>
      </c>
      <c r="B1339" s="348"/>
      <c r="BD1339" s="828"/>
      <c r="BE1339" s="348"/>
      <c r="BF1339" s="348"/>
      <c r="BH1339" s="828"/>
      <c r="BI1339" s="348"/>
      <c r="BJ1339" s="348"/>
      <c r="BK1339" s="348"/>
      <c r="BL1339" s="828"/>
      <c r="BM1339" s="828"/>
      <c r="BN1339" s="829"/>
      <c r="BO1339" s="829"/>
      <c r="BP1339" s="828"/>
      <c r="BQ1339" s="828"/>
      <c r="BR1339" s="829"/>
      <c r="BT1339" s="828"/>
      <c r="BU1339" s="828"/>
      <c r="BV1339" s="829"/>
      <c r="BX1339" s="828"/>
      <c r="BZ1339" s="348"/>
      <c r="CA1339" s="500"/>
      <c r="CB1339" s="828"/>
      <c r="CD1339" s="348"/>
      <c r="CF1339" s="828"/>
      <c r="CH1339" s="348"/>
      <c r="CJ1339" s="828"/>
      <c r="CK1339" s="348"/>
      <c r="CL1339" s="348"/>
      <c r="CN1339" s="828"/>
      <c r="CO1339" s="348"/>
      <c r="CP1339" s="348"/>
      <c r="CR1339" s="828"/>
      <c r="CS1339" s="348"/>
      <c r="CT1339" s="348"/>
      <c r="CV1339" s="828"/>
      <c r="CW1339" s="348"/>
      <c r="CX1339" s="348"/>
      <c r="CZ1339" s="828"/>
      <c r="DA1339" s="348"/>
      <c r="DB1339" s="348"/>
      <c r="DD1339" s="828"/>
      <c r="DE1339" s="348"/>
      <c r="DF1339" s="348"/>
      <c r="DH1339" s="828"/>
      <c r="DI1339" s="348"/>
      <c r="DJ1339" s="348"/>
      <c r="DL1339" s="348"/>
      <c r="DM1339" s="348"/>
      <c r="DN1339" s="348"/>
      <c r="DP1339" s="348"/>
      <c r="DQ1339" s="348"/>
      <c r="DR1339" s="348"/>
      <c r="DT1339"/>
      <c r="DU1339"/>
      <c r="DV1339" s="1"/>
      <c r="DW1339" s="1"/>
      <c r="DX1339" s="1"/>
      <c r="DY1339" s="1"/>
      <c r="DZ1339" s="1"/>
      <c r="EA1339" s="1"/>
      <c r="EB1339" s="1"/>
      <c r="EC1339" s="1"/>
      <c r="ED1339" s="1"/>
      <c r="EE1339" s="1"/>
      <c r="EF1339" s="1"/>
      <c r="EG1339" s="1"/>
      <c r="EH1339" s="1"/>
      <c r="EI1339" s="1"/>
      <c r="EJ1339" s="1"/>
      <c r="EK1339" s="1"/>
      <c r="EL1339" s="1"/>
      <c r="EM1339" s="1"/>
      <c r="EN1339" s="1"/>
      <c r="EO1339" s="1"/>
      <c r="EP1339" s="1"/>
      <c r="EQ1339" s="1"/>
      <c r="ER1339" s="1"/>
      <c r="ES1339" s="1"/>
      <c r="ET1339" s="1"/>
      <c r="EU1339" s="1"/>
      <c r="EV1339" s="1"/>
      <c r="EW1339" s="1"/>
      <c r="EX1339" s="1"/>
      <c r="EY1339" s="1"/>
      <c r="EZ1339" s="1"/>
      <c r="FA1339" s="1"/>
      <c r="FB1339" s="1"/>
      <c r="FC1339" s="1"/>
      <c r="FD1339" s="1"/>
      <c r="FE1339" s="1"/>
      <c r="FF1339" s="1"/>
      <c r="FG1339" s="1"/>
      <c r="FH1339" s="1"/>
      <c r="FI1339" s="1"/>
      <c r="FJ1339" s="1"/>
      <c r="FK1339" s="1"/>
      <c r="FL1339" s="1"/>
      <c r="FM1339" s="1"/>
      <c r="FN1339" s="1"/>
      <c r="FO1339" s="1"/>
      <c r="FP1339" s="1"/>
      <c r="FQ1339" s="1"/>
      <c r="FR1339" s="1"/>
      <c r="FS1339" s="1"/>
      <c r="FT1339" s="1"/>
      <c r="FU1339" s="1"/>
      <c r="FV1339" s="1"/>
      <c r="FW1339" s="1"/>
      <c r="FX1339" s="1"/>
      <c r="FY1339" s="1"/>
      <c r="FZ1339" s="1"/>
      <c r="GA1339" s="1"/>
      <c r="GB1339" s="1"/>
      <c r="GC1339" s="1"/>
      <c r="GD1339" s="1"/>
      <c r="GE1339" s="1"/>
      <c r="GF1339" s="1"/>
      <c r="GG1339" s="1"/>
      <c r="GH1339" s="1"/>
      <c r="GI1339" s="1"/>
      <c r="GJ1339" s="1"/>
      <c r="GK1339" s="1"/>
      <c r="GL1339" s="1"/>
      <c r="GM1339" s="1"/>
      <c r="GN1339" s="1"/>
      <c r="GO1339" s="1"/>
      <c r="GP1339" s="1"/>
      <c r="GQ1339" s="1"/>
      <c r="GR1339" s="1"/>
      <c r="GS1339" s="1"/>
      <c r="GT1339" s="1"/>
      <c r="GU1339" s="1"/>
      <c r="GV1339" s="1"/>
      <c r="GW1339" s="1"/>
      <c r="GX1339" s="1"/>
      <c r="GY1339" s="1"/>
      <c r="GZ1339" s="1"/>
      <c r="HA1339" s="1"/>
      <c r="HB1339" s="1"/>
      <c r="HC1339" s="1"/>
      <c r="HD1339" s="1"/>
      <c r="HE1339" s="1"/>
      <c r="HF1339" s="1"/>
      <c r="HG1339" s="1"/>
      <c r="HH1339" s="1"/>
      <c r="HI1339" s="1"/>
      <c r="HJ1339" s="1"/>
      <c r="HK1339" s="1"/>
      <c r="HL1339" s="1"/>
      <c r="HM1339" s="1"/>
      <c r="HN1339" s="1"/>
      <c r="HO1339" s="1"/>
      <c r="HP1339" s="1"/>
      <c r="HQ1339" s="1"/>
      <c r="HR1339" s="1"/>
      <c r="HS1339" s="1"/>
      <c r="HT1339" s="1"/>
      <c r="HU1339" s="1"/>
      <c r="HV1339" s="1"/>
      <c r="HW1339" s="1"/>
      <c r="HX1339" s="1"/>
      <c r="HY1339" s="1"/>
      <c r="HZ1339" s="1"/>
      <c r="IA1339" s="1"/>
      <c r="IB1339" s="1"/>
      <c r="IC1339" s="1"/>
      <c r="ID1339" s="1"/>
      <c r="IE1339" s="1"/>
      <c r="IF1339" s="1"/>
      <c r="IG1339" s="1"/>
      <c r="IH1339" s="1"/>
      <c r="II1339" s="1"/>
      <c r="IJ1339" s="1"/>
      <c r="IK1339" s="1"/>
      <c r="IL1339" s="1"/>
      <c r="IM1339" s="1"/>
      <c r="IN1339" s="1"/>
      <c r="IO1339" s="1"/>
      <c r="IP1339" s="1"/>
      <c r="IQ1339" s="1"/>
      <c r="IR1339" s="1"/>
      <c r="IS1339" s="1"/>
      <c r="IT1339" s="1"/>
      <c r="IU1339" s="1"/>
      <c r="IV1339" s="1"/>
      <c r="IW1339" s="1"/>
      <c r="IX1339" s="1"/>
      <c r="IY1339" s="1"/>
      <c r="IZ1339" s="1"/>
      <c r="JA1339" s="1"/>
      <c r="JB1339" s="1"/>
      <c r="JC1339" s="1"/>
      <c r="JD1339" s="1"/>
    </row>
    <row r="1340" spans="1:264" s="347" customFormat="1" ht="15" x14ac:dyDescent="0.25">
      <c r="A1340" s="821" t="str">
        <f>+A1335</f>
        <v>Corporate EAD</v>
      </c>
      <c r="B1340" s="446"/>
      <c r="C1340" s="447"/>
      <c r="D1340" s="447"/>
      <c r="E1340" s="447"/>
      <c r="F1340" s="447"/>
      <c r="G1340" s="447"/>
      <c r="H1340" s="447"/>
      <c r="I1340" s="447"/>
      <c r="J1340" s="447"/>
      <c r="K1340" s="447"/>
      <c r="L1340" s="447"/>
      <c r="M1340" s="447"/>
      <c r="N1340" s="447"/>
      <c r="O1340" s="447"/>
      <c r="P1340" s="447"/>
      <c r="Q1340" s="447"/>
      <c r="R1340" s="447"/>
      <c r="S1340" s="447"/>
      <c r="T1340" s="447"/>
      <c r="U1340" s="447"/>
      <c r="V1340" s="447"/>
      <c r="W1340" s="447"/>
      <c r="X1340" s="447"/>
      <c r="Y1340" s="447"/>
      <c r="Z1340" s="447"/>
      <c r="AA1340" s="447"/>
      <c r="AB1340" s="447"/>
      <c r="AC1340" s="447"/>
      <c r="AD1340" s="447"/>
      <c r="AE1340" s="447"/>
      <c r="AF1340" s="447"/>
      <c r="AG1340" s="447"/>
      <c r="AH1340" s="447"/>
      <c r="AI1340" s="447"/>
      <c r="AJ1340" s="447"/>
      <c r="AK1340" s="447"/>
      <c r="AL1340" s="447"/>
      <c r="AM1340" s="447"/>
      <c r="AN1340" s="447"/>
      <c r="AO1340" s="447"/>
      <c r="AP1340" s="447"/>
      <c r="AQ1340" s="447"/>
      <c r="AR1340" s="447"/>
      <c r="AS1340" s="447"/>
      <c r="AT1340" s="447"/>
      <c r="AU1340" s="447"/>
      <c r="AV1340" s="447"/>
      <c r="AW1340" s="447"/>
      <c r="AX1340" s="447"/>
      <c r="AY1340" s="447"/>
      <c r="AZ1340" s="447"/>
      <c r="BA1340" s="447"/>
      <c r="BB1340" s="447"/>
      <c r="BC1340" s="447"/>
      <c r="BD1340" s="835"/>
      <c r="BE1340" s="446"/>
      <c r="BF1340" s="446"/>
      <c r="BG1340" s="447"/>
      <c r="BH1340" s="835"/>
      <c r="BI1340" s="446"/>
      <c r="BJ1340" s="446"/>
      <c r="BK1340" s="446"/>
      <c r="BL1340" s="835"/>
      <c r="BM1340" s="835"/>
      <c r="BN1340" s="836"/>
      <c r="BO1340" s="836"/>
      <c r="BP1340" s="835"/>
      <c r="BQ1340" s="835"/>
      <c r="BR1340" s="836"/>
      <c r="BS1340" s="447"/>
      <c r="BT1340" s="835"/>
      <c r="BU1340" s="835"/>
      <c r="BV1340" s="836"/>
      <c r="BW1340" s="447"/>
      <c r="BX1340" s="835"/>
      <c r="BY1340" s="447"/>
      <c r="BZ1340" s="446"/>
      <c r="CA1340" s="837"/>
      <c r="CB1340" s="835"/>
      <c r="CC1340" s="447"/>
      <c r="CD1340" s="446"/>
      <c r="CE1340" s="447"/>
      <c r="CF1340" s="797">
        <f>CF1335/CF1338</f>
        <v>0.39966953753141404</v>
      </c>
      <c r="CG1340" s="797">
        <f>CG1335/CG1338</f>
        <v>0.39166610173321581</v>
      </c>
      <c r="CH1340" s="797">
        <f>CH1335/CH1338</f>
        <v>0.39166610173321581</v>
      </c>
      <c r="CI1340" s="605"/>
      <c r="CJ1340" s="797">
        <f>CJ1335/CJ1338</f>
        <v>0.39621538537930784</v>
      </c>
      <c r="CK1340" s="797">
        <f>CK1335/CK1338</f>
        <v>0.38311748913182664</v>
      </c>
      <c r="CL1340" s="797">
        <f>CL1335/CL1338</f>
        <v>0.38311748913182664</v>
      </c>
      <c r="CM1340" s="605"/>
      <c r="CN1340" s="797">
        <f>CN1335/CN1338</f>
        <v>0.35786960937670809</v>
      </c>
      <c r="CO1340" s="797">
        <f>CO1335/CO1338</f>
        <v>0.32932449593282892</v>
      </c>
      <c r="CP1340" s="797">
        <f>CP1335/CP1338</f>
        <v>0.32932449593282892</v>
      </c>
      <c r="CQ1340" s="605"/>
      <c r="CR1340" s="797">
        <f>CR1335/CR1338</f>
        <v>0.3330267716973489</v>
      </c>
      <c r="CS1340" s="797">
        <f>CS1335/CS1338</f>
        <v>0.33464077557948857</v>
      </c>
      <c r="CT1340" s="797">
        <f>CT1335/CT1338</f>
        <v>0.33464077557948857</v>
      </c>
      <c r="CU1340" s="605"/>
      <c r="CV1340" s="797">
        <f>CV1335/CV1338</f>
        <v>0.35001111253291667</v>
      </c>
      <c r="CW1340" s="797">
        <f>CW1335/CW1338</f>
        <v>0.30707440635879263</v>
      </c>
      <c r="CX1340" s="797">
        <f>CX1335/CX1338</f>
        <v>0.30707440635879263</v>
      </c>
      <c r="CY1340" s="605"/>
      <c r="CZ1340" s="797">
        <f>CZ1335/CZ1338</f>
        <v>0.32109751575824991</v>
      </c>
      <c r="DA1340" s="797">
        <f>DA1335/DA1338</f>
        <v>0.36097209763467258</v>
      </c>
      <c r="DB1340" s="797">
        <f>DB1335/DB1338</f>
        <v>0.36097209763467258</v>
      </c>
      <c r="DC1340" s="605"/>
      <c r="DD1340" s="797">
        <f>DD1335/DD1338</f>
        <v>0.36806424296079604</v>
      </c>
      <c r="DE1340" s="797">
        <f>DE1335/DE1338</f>
        <v>0.37765408001799239</v>
      </c>
      <c r="DF1340" s="797">
        <f>DF1335/DF1338</f>
        <v>0.37765408001799239</v>
      </c>
      <c r="DG1340" s="605"/>
      <c r="DH1340" s="797">
        <f>DH1335/DH1338</f>
        <v>0.38973772558220804</v>
      </c>
      <c r="DI1340" s="838">
        <f>DH1340</f>
        <v>0.38973772558220804</v>
      </c>
      <c r="DJ1340" s="797">
        <f>DJ1335/DJ1338</f>
        <v>0.38973772558220804</v>
      </c>
      <c r="DK1340" s="605"/>
      <c r="DL1340" s="838">
        <f>DI1340</f>
        <v>0.38973772558220804</v>
      </c>
      <c r="DM1340" s="838">
        <f>DL1340</f>
        <v>0.38973772558220804</v>
      </c>
      <c r="DN1340" s="797">
        <f>DN1335/DN1338</f>
        <v>0.38973772558220804</v>
      </c>
      <c r="DO1340" s="605"/>
      <c r="DP1340" s="838">
        <f>DM1340</f>
        <v>0.38973772558220804</v>
      </c>
      <c r="DQ1340" s="838">
        <f>DP1340</f>
        <v>0.38973772558220804</v>
      </c>
      <c r="DR1340" s="797">
        <f>DR1335/DR1338</f>
        <v>0.38973772558220804</v>
      </c>
      <c r="DS1340" s="605"/>
      <c r="DT1340"/>
      <c r="DU1340"/>
      <c r="DV1340" s="1"/>
      <c r="DW1340" s="1"/>
      <c r="DX1340" s="1"/>
      <c r="DY1340" s="1"/>
      <c r="DZ1340" s="1"/>
      <c r="EA1340" s="1"/>
      <c r="EB1340" s="1"/>
      <c r="EC1340" s="1"/>
      <c r="ED1340" s="1"/>
      <c r="EE1340" s="1"/>
      <c r="EF1340" s="1"/>
      <c r="EG1340" s="1"/>
      <c r="EH1340" s="1"/>
      <c r="EI1340" s="1"/>
      <c r="EJ1340" s="1"/>
      <c r="EK1340" s="1"/>
      <c r="EL1340" s="1"/>
      <c r="EM1340" s="1"/>
      <c r="EN1340" s="1"/>
      <c r="EO1340" s="1"/>
      <c r="EP1340" s="1"/>
      <c r="EQ1340" s="1"/>
      <c r="ER1340" s="1"/>
      <c r="ES1340" s="1"/>
      <c r="ET1340" s="1"/>
      <c r="EU1340" s="1"/>
      <c r="EV1340" s="1"/>
      <c r="EW1340" s="1"/>
      <c r="EX1340" s="1"/>
      <c r="EY1340" s="1"/>
      <c r="EZ1340" s="1"/>
      <c r="FA1340" s="1"/>
      <c r="FB1340" s="1"/>
      <c r="FC1340" s="1"/>
      <c r="FD1340" s="1"/>
      <c r="FE1340" s="1"/>
      <c r="FF1340" s="1"/>
      <c r="FG1340" s="1"/>
      <c r="FH1340" s="1"/>
      <c r="FI1340" s="1"/>
      <c r="FJ1340" s="1"/>
      <c r="FK1340" s="1"/>
      <c r="FL1340" s="1"/>
      <c r="FM1340" s="1"/>
      <c r="FN1340" s="1"/>
      <c r="FO1340" s="1"/>
      <c r="FP1340" s="1"/>
      <c r="FQ1340" s="1"/>
      <c r="FR1340" s="1"/>
      <c r="FS1340" s="1"/>
      <c r="FT1340" s="1"/>
      <c r="FU1340" s="1"/>
      <c r="FV1340" s="1"/>
      <c r="FW1340" s="1"/>
      <c r="FX1340" s="1"/>
      <c r="FY1340" s="1"/>
      <c r="FZ1340" s="1"/>
      <c r="GA1340" s="1"/>
      <c r="GB1340" s="1"/>
      <c r="GC1340" s="1"/>
      <c r="GD1340" s="1"/>
      <c r="GE1340" s="1"/>
      <c r="GF1340" s="1"/>
      <c r="GG1340" s="1"/>
      <c r="GH1340" s="1"/>
      <c r="GI1340" s="1"/>
      <c r="GJ1340" s="1"/>
      <c r="GK1340" s="1"/>
      <c r="GL1340" s="1"/>
      <c r="GM1340" s="1"/>
      <c r="GN1340" s="1"/>
      <c r="GO1340" s="1"/>
      <c r="GP1340" s="1"/>
      <c r="GQ1340" s="1"/>
      <c r="GR1340" s="1"/>
      <c r="GS1340" s="1"/>
      <c r="GT1340" s="1"/>
      <c r="GU1340" s="1"/>
      <c r="GV1340" s="1"/>
      <c r="GW1340" s="1"/>
      <c r="GX1340" s="1"/>
      <c r="GY1340" s="1"/>
      <c r="GZ1340" s="1"/>
      <c r="HA1340" s="1"/>
      <c r="HB1340" s="1"/>
      <c r="HC1340" s="1"/>
      <c r="HD1340" s="1"/>
      <c r="HE1340" s="1"/>
      <c r="HF1340" s="1"/>
      <c r="HG1340" s="1"/>
      <c r="HH1340" s="1"/>
      <c r="HI1340" s="1"/>
      <c r="HJ1340" s="1"/>
      <c r="HK1340" s="1"/>
      <c r="HL1340" s="1"/>
      <c r="HM1340" s="1"/>
      <c r="HN1340" s="1"/>
      <c r="HO1340" s="1"/>
      <c r="HP1340" s="1"/>
      <c r="HQ1340" s="1"/>
      <c r="HR1340" s="1"/>
      <c r="HS1340" s="1"/>
      <c r="HT1340" s="1"/>
      <c r="HU1340" s="1"/>
      <c r="HV1340" s="1"/>
      <c r="HW1340" s="1"/>
      <c r="HX1340" s="1"/>
      <c r="HY1340" s="1"/>
      <c r="HZ1340" s="1"/>
      <c r="IA1340" s="1"/>
      <c r="IB1340" s="1"/>
      <c r="IC1340" s="1"/>
      <c r="ID1340" s="1"/>
      <c r="IE1340" s="1"/>
      <c r="IF1340" s="1"/>
      <c r="IG1340" s="1"/>
      <c r="IH1340" s="1"/>
      <c r="II1340" s="1"/>
      <c r="IJ1340" s="1"/>
      <c r="IK1340" s="1"/>
      <c r="IL1340" s="1"/>
      <c r="IM1340" s="1"/>
      <c r="IN1340" s="1"/>
      <c r="IO1340" s="1"/>
      <c r="IP1340" s="1"/>
      <c r="IQ1340" s="1"/>
      <c r="IR1340" s="1"/>
      <c r="IS1340" s="1"/>
      <c r="IT1340" s="1"/>
      <c r="IU1340" s="1"/>
      <c r="IV1340" s="1"/>
      <c r="IW1340" s="1"/>
      <c r="IX1340" s="1"/>
      <c r="IY1340" s="1"/>
      <c r="IZ1340" s="1"/>
      <c r="JA1340" s="1"/>
      <c r="JB1340" s="1"/>
      <c r="JC1340" s="1"/>
      <c r="JD1340" s="1"/>
    </row>
    <row r="1341" spans="1:264" s="347" customFormat="1" ht="15" x14ac:dyDescent="0.25">
      <c r="A1341" s="821" t="str">
        <f>+A1336</f>
        <v>Specialised Lending EAD</v>
      </c>
      <c r="B1341" s="446"/>
      <c r="C1341" s="447"/>
      <c r="D1341" s="447"/>
      <c r="E1341" s="447"/>
      <c r="F1341" s="447"/>
      <c r="G1341" s="447"/>
      <c r="H1341" s="447"/>
      <c r="I1341" s="447"/>
      <c r="J1341" s="447"/>
      <c r="K1341" s="447"/>
      <c r="L1341" s="447"/>
      <c r="M1341" s="447"/>
      <c r="N1341" s="447"/>
      <c r="O1341" s="447"/>
      <c r="P1341" s="447"/>
      <c r="Q1341" s="447"/>
      <c r="R1341" s="447"/>
      <c r="S1341" s="447"/>
      <c r="T1341" s="447"/>
      <c r="U1341" s="447"/>
      <c r="V1341" s="447"/>
      <c r="W1341" s="447"/>
      <c r="X1341" s="447"/>
      <c r="Y1341" s="447"/>
      <c r="Z1341" s="447"/>
      <c r="AA1341" s="447"/>
      <c r="AB1341" s="447"/>
      <c r="AC1341" s="447"/>
      <c r="AD1341" s="447"/>
      <c r="AE1341" s="447"/>
      <c r="AF1341" s="447"/>
      <c r="AG1341" s="447"/>
      <c r="AH1341" s="447"/>
      <c r="AI1341" s="447"/>
      <c r="AJ1341" s="447"/>
      <c r="AK1341" s="447"/>
      <c r="AL1341" s="447"/>
      <c r="AM1341" s="447"/>
      <c r="AN1341" s="447"/>
      <c r="AO1341" s="447"/>
      <c r="AP1341" s="447"/>
      <c r="AQ1341" s="447"/>
      <c r="AR1341" s="447"/>
      <c r="AS1341" s="447"/>
      <c r="AT1341" s="447"/>
      <c r="AU1341" s="447"/>
      <c r="AV1341" s="447"/>
      <c r="AW1341" s="447"/>
      <c r="AX1341" s="447"/>
      <c r="AY1341" s="447"/>
      <c r="AZ1341" s="447"/>
      <c r="BA1341" s="447"/>
      <c r="BB1341" s="447"/>
      <c r="BC1341" s="447"/>
      <c r="BD1341" s="835"/>
      <c r="BE1341" s="446"/>
      <c r="BF1341" s="446"/>
      <c r="BG1341" s="447"/>
      <c r="BH1341" s="835"/>
      <c r="BI1341" s="446"/>
      <c r="BJ1341" s="446"/>
      <c r="BK1341" s="446"/>
      <c r="BL1341" s="835"/>
      <c r="BM1341" s="835"/>
      <c r="BN1341" s="836"/>
      <c r="BO1341" s="836"/>
      <c r="BP1341" s="835"/>
      <c r="BQ1341" s="835"/>
      <c r="BR1341" s="836"/>
      <c r="BS1341" s="447"/>
      <c r="BT1341" s="835"/>
      <c r="BU1341" s="835"/>
      <c r="BV1341" s="836"/>
      <c r="BW1341" s="447"/>
      <c r="BX1341" s="835"/>
      <c r="BY1341" s="447"/>
      <c r="BZ1341" s="446"/>
      <c r="CA1341" s="837"/>
      <c r="CB1341" s="835"/>
      <c r="CC1341" s="447"/>
      <c r="CD1341" s="446"/>
      <c r="CE1341" s="447"/>
      <c r="CF1341" s="797">
        <f>CF1336/CF1338</f>
        <v>0.13625651757845689</v>
      </c>
      <c r="CG1341" s="797">
        <f>CG1336/CG1338</f>
        <v>0.13844485119652905</v>
      </c>
      <c r="CH1341" s="797">
        <f>CH1336/CH1338</f>
        <v>0.13844485119652905</v>
      </c>
      <c r="CI1341" s="605"/>
      <c r="CJ1341" s="797">
        <f>CJ1336/CJ1338</f>
        <v>0.14497006028569687</v>
      </c>
      <c r="CK1341" s="797">
        <f>CK1336/CK1338</f>
        <v>0.14418479475810039</v>
      </c>
      <c r="CL1341" s="797">
        <f>CL1336/CL1338</f>
        <v>0.14418479475810039</v>
      </c>
      <c r="CM1341" s="605"/>
      <c r="CN1341" s="797">
        <f>CN1336/CN1338</f>
        <v>0.13654224944794371</v>
      </c>
      <c r="CO1341" s="797">
        <f>CO1336/CO1338</f>
        <v>0.13530971521556281</v>
      </c>
      <c r="CP1341" s="797">
        <f>CP1336/CP1338</f>
        <v>0.13530971521556281</v>
      </c>
      <c r="CQ1341" s="605"/>
      <c r="CR1341" s="797">
        <f>CR1336/CR1338</f>
        <v>0.13225381912631673</v>
      </c>
      <c r="CS1341" s="797">
        <f>CS1336/CS1338</f>
        <v>0.1304678133494771</v>
      </c>
      <c r="CT1341" s="797">
        <f>CT1336/CT1338</f>
        <v>0.1304678133494771</v>
      </c>
      <c r="CU1341" s="605"/>
      <c r="CV1341" s="797">
        <f>CV1336/CV1338</f>
        <v>0.13358611539523577</v>
      </c>
      <c r="CW1341" s="797">
        <f>CW1336/CW1338</f>
        <v>7.2388041077600732E-3</v>
      </c>
      <c r="CX1341" s="797">
        <f>CX1336/CX1338</f>
        <v>7.2388041077600732E-3</v>
      </c>
      <c r="CY1341" s="605"/>
      <c r="CZ1341" s="797">
        <f>CZ1336/CZ1338</f>
        <v>6.8230158102214923E-3</v>
      </c>
      <c r="DA1341" s="797">
        <f>DA1336/DA1338</f>
        <v>7.7343576116060894E-3</v>
      </c>
      <c r="DB1341" s="797">
        <f>DB1336/DB1338</f>
        <v>7.7343576116060894E-3</v>
      </c>
      <c r="DC1341" s="605"/>
      <c r="DD1341" s="797">
        <f>DD1336/DD1338</f>
        <v>9.5091001238155719E-3</v>
      </c>
      <c r="DE1341" s="797">
        <f>DE1336/DE1338</f>
        <v>9.3110677365719659E-3</v>
      </c>
      <c r="DF1341" s="797">
        <f>DF1336/DF1338</f>
        <v>9.3110677365719659E-3</v>
      </c>
      <c r="DG1341" s="605"/>
      <c r="DH1341" s="797">
        <f>DH1336/DH1338</f>
        <v>8.3353093877143493E-3</v>
      </c>
      <c r="DI1341" s="838">
        <f>DH1341</f>
        <v>8.3353093877143493E-3</v>
      </c>
      <c r="DJ1341" s="797">
        <f>DJ1336/DJ1338</f>
        <v>8.3353093877143493E-3</v>
      </c>
      <c r="DK1341" s="605"/>
      <c r="DL1341" s="838">
        <f>DI1341</f>
        <v>8.3353093877143493E-3</v>
      </c>
      <c r="DM1341" s="838">
        <f>DL1341</f>
        <v>8.3353093877143493E-3</v>
      </c>
      <c r="DN1341" s="797">
        <f>DN1336/DN1338</f>
        <v>8.3353093877143493E-3</v>
      </c>
      <c r="DO1341" s="605"/>
      <c r="DP1341" s="838">
        <f>DM1341</f>
        <v>8.3353093877143493E-3</v>
      </c>
      <c r="DQ1341" s="838">
        <f>DP1341</f>
        <v>8.3353093877143493E-3</v>
      </c>
      <c r="DR1341" s="797">
        <f>DR1336/DR1338</f>
        <v>8.3353093877143493E-3</v>
      </c>
      <c r="DS1341" s="605"/>
      <c r="DT1341"/>
      <c r="DU1341"/>
      <c r="DV1341" s="1"/>
      <c r="DW1341" s="1"/>
      <c r="DX1341" s="1"/>
      <c r="DY1341" s="1"/>
      <c r="DZ1341" s="1"/>
      <c r="EA1341" s="1"/>
      <c r="EB1341" s="1"/>
      <c r="EC1341" s="1"/>
      <c r="ED1341" s="1"/>
      <c r="EE1341" s="1"/>
      <c r="EF1341" s="1"/>
      <c r="EG1341" s="1"/>
      <c r="EH1341" s="1"/>
      <c r="EI1341" s="1"/>
      <c r="EJ1341" s="1"/>
      <c r="EK1341" s="1"/>
      <c r="EL1341" s="1"/>
      <c r="EM1341" s="1"/>
      <c r="EN1341" s="1"/>
      <c r="EO1341" s="1"/>
      <c r="EP1341" s="1"/>
      <c r="EQ1341" s="1"/>
      <c r="ER1341" s="1"/>
      <c r="ES1341" s="1"/>
      <c r="ET1341" s="1"/>
      <c r="EU1341" s="1"/>
      <c r="EV1341" s="1"/>
      <c r="EW1341" s="1"/>
      <c r="EX1341" s="1"/>
      <c r="EY1341" s="1"/>
      <c r="EZ1341" s="1"/>
      <c r="FA1341" s="1"/>
      <c r="FB1341" s="1"/>
      <c r="FC1341" s="1"/>
      <c r="FD1341" s="1"/>
      <c r="FE1341" s="1"/>
      <c r="FF1341" s="1"/>
      <c r="FG1341" s="1"/>
      <c r="FH1341" s="1"/>
      <c r="FI1341" s="1"/>
      <c r="FJ1341" s="1"/>
      <c r="FK1341" s="1"/>
      <c r="FL1341" s="1"/>
      <c r="FM1341" s="1"/>
      <c r="FN1341" s="1"/>
      <c r="FO1341" s="1"/>
      <c r="FP1341" s="1"/>
      <c r="FQ1341" s="1"/>
      <c r="FR1341" s="1"/>
      <c r="FS1341" s="1"/>
      <c r="FT1341" s="1"/>
      <c r="FU1341" s="1"/>
      <c r="FV1341" s="1"/>
      <c r="FW1341" s="1"/>
      <c r="FX1341" s="1"/>
      <c r="FY1341" s="1"/>
      <c r="FZ1341" s="1"/>
      <c r="GA1341" s="1"/>
      <c r="GB1341" s="1"/>
      <c r="GC1341" s="1"/>
      <c r="GD1341" s="1"/>
      <c r="GE1341" s="1"/>
      <c r="GF1341" s="1"/>
      <c r="GG1341" s="1"/>
      <c r="GH1341" s="1"/>
      <c r="GI1341" s="1"/>
      <c r="GJ1341" s="1"/>
      <c r="GK1341" s="1"/>
      <c r="GL1341" s="1"/>
      <c r="GM1341" s="1"/>
      <c r="GN1341" s="1"/>
      <c r="GO1341" s="1"/>
      <c r="GP1341" s="1"/>
      <c r="GQ1341" s="1"/>
      <c r="GR1341" s="1"/>
      <c r="GS1341" s="1"/>
      <c r="GT1341" s="1"/>
      <c r="GU1341" s="1"/>
      <c r="GV1341" s="1"/>
      <c r="GW1341" s="1"/>
      <c r="GX1341" s="1"/>
      <c r="GY1341" s="1"/>
      <c r="GZ1341" s="1"/>
      <c r="HA1341" s="1"/>
      <c r="HB1341" s="1"/>
      <c r="HC1341" s="1"/>
      <c r="HD1341" s="1"/>
      <c r="HE1341" s="1"/>
      <c r="HF1341" s="1"/>
      <c r="HG1341" s="1"/>
      <c r="HH1341" s="1"/>
      <c r="HI1341" s="1"/>
      <c r="HJ1341" s="1"/>
      <c r="HK1341" s="1"/>
      <c r="HL1341" s="1"/>
      <c r="HM1341" s="1"/>
      <c r="HN1341" s="1"/>
      <c r="HO1341" s="1"/>
      <c r="HP1341" s="1"/>
      <c r="HQ1341" s="1"/>
      <c r="HR1341" s="1"/>
      <c r="HS1341" s="1"/>
      <c r="HT1341" s="1"/>
      <c r="HU1341" s="1"/>
      <c r="HV1341" s="1"/>
      <c r="HW1341" s="1"/>
      <c r="HX1341" s="1"/>
      <c r="HY1341" s="1"/>
      <c r="HZ1341" s="1"/>
      <c r="IA1341" s="1"/>
      <c r="IB1341" s="1"/>
      <c r="IC1341" s="1"/>
      <c r="ID1341" s="1"/>
      <c r="IE1341" s="1"/>
      <c r="IF1341" s="1"/>
      <c r="IG1341" s="1"/>
      <c r="IH1341" s="1"/>
      <c r="II1341" s="1"/>
      <c r="IJ1341" s="1"/>
      <c r="IK1341" s="1"/>
      <c r="IL1341" s="1"/>
      <c r="IM1341" s="1"/>
      <c r="IN1341" s="1"/>
      <c r="IO1341" s="1"/>
      <c r="IP1341" s="1"/>
      <c r="IQ1341" s="1"/>
      <c r="IR1341" s="1"/>
      <c r="IS1341" s="1"/>
      <c r="IT1341" s="1"/>
      <c r="IU1341" s="1"/>
      <c r="IV1341" s="1"/>
      <c r="IW1341" s="1"/>
      <c r="IX1341" s="1"/>
      <c r="IY1341" s="1"/>
      <c r="IZ1341" s="1"/>
      <c r="JA1341" s="1"/>
      <c r="JB1341" s="1"/>
      <c r="JC1341" s="1"/>
      <c r="JD1341" s="1"/>
    </row>
    <row r="1342" spans="1:264" s="347" customFormat="1" ht="15" x14ac:dyDescent="0.25">
      <c r="A1342" s="565" t="str">
        <f>+A1337</f>
        <v>Other Non Housing AD</v>
      </c>
      <c r="B1342" s="348"/>
      <c r="BD1342" s="828"/>
      <c r="BE1342" s="348"/>
      <c r="BF1342" s="348"/>
      <c r="BH1342" s="828"/>
      <c r="BI1342" s="348"/>
      <c r="BJ1342" s="348"/>
      <c r="BK1342" s="348"/>
      <c r="BL1342" s="828"/>
      <c r="BM1342" s="828"/>
      <c r="BN1342" s="829"/>
      <c r="BO1342" s="829"/>
      <c r="BP1342" s="828"/>
      <c r="BQ1342" s="828"/>
      <c r="BR1342" s="829"/>
      <c r="BT1342" s="828"/>
      <c r="BU1342" s="828"/>
      <c r="BV1342" s="829"/>
      <c r="BX1342" s="828"/>
      <c r="BZ1342" s="348"/>
      <c r="CA1342" s="500"/>
      <c r="CB1342" s="828"/>
      <c r="CD1342" s="348"/>
      <c r="CF1342" s="483">
        <f>CF1337/CF1338</f>
        <v>0.46407394489012904</v>
      </c>
      <c r="CG1342" s="483">
        <f>CG1337/CG1338</f>
        <v>0.46988904707025514</v>
      </c>
      <c r="CH1342" s="483">
        <f>CH1337/CH1338</f>
        <v>0.46988904707025514</v>
      </c>
      <c r="CI1342" s="413"/>
      <c r="CJ1342" s="483">
        <f>CJ1337/CJ1338</f>
        <v>0.45881455433499529</v>
      </c>
      <c r="CK1342" s="483">
        <f>CK1337/CK1338</f>
        <v>0.47269771611007294</v>
      </c>
      <c r="CL1342" s="483">
        <f>CL1337/CL1338</f>
        <v>0.47269771611007294</v>
      </c>
      <c r="CM1342" s="413"/>
      <c r="CN1342" s="483">
        <f>CN1337/CN1338</f>
        <v>0.50558814117534823</v>
      </c>
      <c r="CO1342" s="483">
        <f>CO1337/CO1338</f>
        <v>0.53536578885160824</v>
      </c>
      <c r="CP1342" s="483">
        <f>CP1337/CP1338</f>
        <v>0.53536578885160824</v>
      </c>
      <c r="CQ1342" s="413"/>
      <c r="CR1342" s="483">
        <f>CR1337/CR1338</f>
        <v>0.53471940917633431</v>
      </c>
      <c r="CS1342" s="483">
        <f>CS1337/CS1338</f>
        <v>0.53489141107103433</v>
      </c>
      <c r="CT1342" s="483">
        <f>CT1337/CT1338</f>
        <v>0.53489141107103433</v>
      </c>
      <c r="CU1342" s="413"/>
      <c r="CV1342" s="483">
        <f>CV1337/CV1338</f>
        <v>0.51640277207184759</v>
      </c>
      <c r="CW1342" s="483">
        <f>CW1337/CW1338</f>
        <v>0.68568678953344731</v>
      </c>
      <c r="CX1342" s="483">
        <f>CX1337/CX1338</f>
        <v>0.68568678953344731</v>
      </c>
      <c r="CY1342" s="413"/>
      <c r="CZ1342" s="483">
        <f>CZ1337/CZ1338</f>
        <v>0.67207946843152855</v>
      </c>
      <c r="DA1342" s="483">
        <f>DA1337/DA1338</f>
        <v>0.63129354475372135</v>
      </c>
      <c r="DB1342" s="483">
        <f>DB1337/DB1338</f>
        <v>0.63129354475372135</v>
      </c>
      <c r="DC1342" s="413"/>
      <c r="DD1342" s="483">
        <f>DD1337/DD1338</f>
        <v>0.62242665691538845</v>
      </c>
      <c r="DE1342" s="483">
        <f>DE1337/DE1338</f>
        <v>0.61303485224543564</v>
      </c>
      <c r="DF1342" s="483">
        <f>DF1337/DF1338</f>
        <v>0.61303485224543564</v>
      </c>
      <c r="DG1342" s="413"/>
      <c r="DH1342" s="483">
        <f>DH1337/DH1338</f>
        <v>0.60192696503007759</v>
      </c>
      <c r="DI1342" s="483">
        <f>DI1337/DI1338</f>
        <v>0.60192696503007759</v>
      </c>
      <c r="DJ1342" s="483">
        <f>DJ1337/DJ1338</f>
        <v>0.60192696503007759</v>
      </c>
      <c r="DK1342" s="413"/>
      <c r="DL1342" s="483">
        <f>DL1337/DL1338</f>
        <v>0.60192696503007759</v>
      </c>
      <c r="DM1342" s="483">
        <f>DM1337/DM1338</f>
        <v>0.60192696503007759</v>
      </c>
      <c r="DN1342" s="483">
        <f>DN1337/DN1338</f>
        <v>0.60192696503007759</v>
      </c>
      <c r="DO1342" s="413"/>
      <c r="DP1342" s="483">
        <f>DP1337/DP1338</f>
        <v>0.60192696503007759</v>
      </c>
      <c r="DQ1342" s="483">
        <f>DQ1337/DQ1338</f>
        <v>0.60192696503007759</v>
      </c>
      <c r="DR1342" s="483">
        <f>DR1337/DR1338</f>
        <v>0.60192696503007759</v>
      </c>
      <c r="DS1342" s="413"/>
      <c r="DT1342"/>
      <c r="DU1342"/>
      <c r="DV1342" s="1"/>
      <c r="DW1342" s="1"/>
      <c r="DX1342" s="1"/>
      <c r="DY1342" s="1"/>
      <c r="DZ1342" s="1"/>
      <c r="EA1342" s="1"/>
      <c r="EB1342" s="1"/>
      <c r="EC1342" s="1"/>
      <c r="ED1342" s="1"/>
      <c r="EE1342" s="1"/>
      <c r="EF1342" s="1"/>
      <c r="EG1342" s="1"/>
      <c r="EH1342" s="1"/>
      <c r="EI1342" s="1"/>
      <c r="EJ1342" s="1"/>
      <c r="EK1342" s="1"/>
      <c r="EL1342" s="1"/>
      <c r="EM1342" s="1"/>
      <c r="EN1342" s="1"/>
      <c r="EO1342" s="1"/>
      <c r="EP1342" s="1"/>
      <c r="EQ1342" s="1"/>
      <c r="ER1342" s="1"/>
      <c r="ES1342" s="1"/>
      <c r="ET1342" s="1"/>
      <c r="EU1342" s="1"/>
      <c r="EV1342" s="1"/>
      <c r="EW1342" s="1"/>
      <c r="EX1342" s="1"/>
      <c r="EY1342" s="1"/>
      <c r="EZ1342" s="1"/>
      <c r="FA1342" s="1"/>
      <c r="FB1342" s="1"/>
      <c r="FC1342" s="1"/>
      <c r="FD1342" s="1"/>
      <c r="FE1342" s="1"/>
      <c r="FF1342" s="1"/>
      <c r="FG1342" s="1"/>
      <c r="FH1342" s="1"/>
      <c r="FI1342" s="1"/>
      <c r="FJ1342" s="1"/>
      <c r="FK1342" s="1"/>
      <c r="FL1342" s="1"/>
      <c r="FM1342" s="1"/>
      <c r="FN1342" s="1"/>
      <c r="FO1342" s="1"/>
      <c r="FP1342" s="1"/>
      <c r="FQ1342" s="1"/>
      <c r="FR1342" s="1"/>
      <c r="FS1342" s="1"/>
      <c r="FT1342" s="1"/>
      <c r="FU1342" s="1"/>
      <c r="FV1342" s="1"/>
      <c r="FW1342" s="1"/>
      <c r="FX1342" s="1"/>
      <c r="FY1342" s="1"/>
      <c r="FZ1342" s="1"/>
      <c r="GA1342" s="1"/>
      <c r="GB1342" s="1"/>
      <c r="GC1342" s="1"/>
      <c r="GD1342" s="1"/>
      <c r="GE1342" s="1"/>
      <c r="GF1342" s="1"/>
      <c r="GG1342" s="1"/>
      <c r="GH1342" s="1"/>
      <c r="GI1342" s="1"/>
      <c r="GJ1342" s="1"/>
      <c r="GK1342" s="1"/>
      <c r="GL1342" s="1"/>
      <c r="GM1342" s="1"/>
      <c r="GN1342" s="1"/>
      <c r="GO1342" s="1"/>
      <c r="GP1342" s="1"/>
      <c r="GQ1342" s="1"/>
      <c r="GR1342" s="1"/>
      <c r="GS1342" s="1"/>
      <c r="GT1342" s="1"/>
      <c r="GU1342" s="1"/>
      <c r="GV1342" s="1"/>
      <c r="GW1342" s="1"/>
      <c r="GX1342" s="1"/>
      <c r="GY1342" s="1"/>
      <c r="GZ1342" s="1"/>
      <c r="HA1342" s="1"/>
      <c r="HB1342" s="1"/>
      <c r="HC1342" s="1"/>
      <c r="HD1342" s="1"/>
      <c r="HE1342" s="1"/>
      <c r="HF1342" s="1"/>
      <c r="HG1342" s="1"/>
      <c r="HH1342" s="1"/>
      <c r="HI1342" s="1"/>
      <c r="HJ1342" s="1"/>
      <c r="HK1342" s="1"/>
      <c r="HL1342" s="1"/>
      <c r="HM1342" s="1"/>
      <c r="HN1342" s="1"/>
      <c r="HO1342" s="1"/>
      <c r="HP1342" s="1"/>
      <c r="HQ1342" s="1"/>
      <c r="HR1342" s="1"/>
      <c r="HS1342" s="1"/>
      <c r="HT1342" s="1"/>
      <c r="HU1342" s="1"/>
      <c r="HV1342" s="1"/>
      <c r="HW1342" s="1"/>
      <c r="HX1342" s="1"/>
      <c r="HY1342" s="1"/>
      <c r="HZ1342" s="1"/>
      <c r="IA1342" s="1"/>
      <c r="IB1342" s="1"/>
      <c r="IC1342" s="1"/>
      <c r="ID1342" s="1"/>
      <c r="IE1342" s="1"/>
      <c r="IF1342" s="1"/>
      <c r="IG1342" s="1"/>
      <c r="IH1342" s="1"/>
      <c r="II1342" s="1"/>
      <c r="IJ1342" s="1"/>
      <c r="IK1342" s="1"/>
      <c r="IL1342" s="1"/>
      <c r="IM1342" s="1"/>
      <c r="IN1342" s="1"/>
      <c r="IO1342" s="1"/>
      <c r="IP1342" s="1"/>
      <c r="IQ1342" s="1"/>
      <c r="IR1342" s="1"/>
      <c r="IS1342" s="1"/>
      <c r="IT1342" s="1"/>
      <c r="IU1342" s="1"/>
      <c r="IV1342" s="1"/>
      <c r="IW1342" s="1"/>
      <c r="IX1342" s="1"/>
      <c r="IY1342" s="1"/>
      <c r="IZ1342" s="1"/>
      <c r="JA1342" s="1"/>
      <c r="JB1342" s="1"/>
      <c r="JC1342" s="1"/>
      <c r="JD1342" s="1"/>
    </row>
    <row r="1343" spans="1:264" s="347" customFormat="1" ht="15" x14ac:dyDescent="0.25">
      <c r="A1343" s="564"/>
      <c r="B1343" s="348"/>
      <c r="BD1343" s="828"/>
      <c r="BE1343" s="348"/>
      <c r="BF1343" s="348"/>
      <c r="BH1343" s="828"/>
      <c r="BI1343" s="348"/>
      <c r="BJ1343" s="348"/>
      <c r="BK1343" s="348"/>
      <c r="BL1343" s="828"/>
      <c r="BM1343" s="828"/>
      <c r="BN1343" s="829"/>
      <c r="BO1343" s="829"/>
      <c r="BP1343" s="828"/>
      <c r="BQ1343" s="828"/>
      <c r="BR1343" s="829"/>
      <c r="BT1343" s="828"/>
      <c r="BU1343" s="828"/>
      <c r="BV1343" s="829"/>
      <c r="BX1343" s="828"/>
      <c r="BZ1343" s="348"/>
      <c r="CA1343" s="500"/>
      <c r="CB1343" s="828"/>
      <c r="CD1343" s="348"/>
      <c r="CF1343" s="828"/>
      <c r="CH1343" s="348"/>
      <c r="CJ1343" s="828"/>
      <c r="CL1343" s="348"/>
      <c r="CN1343" s="828"/>
      <c r="CO1343" s="348"/>
      <c r="CP1343" s="348"/>
      <c r="CR1343" s="828"/>
      <c r="CS1343" s="348"/>
      <c r="CT1343" s="348"/>
      <c r="CV1343" s="828"/>
      <c r="CW1343" s="348"/>
      <c r="CX1343" s="348"/>
      <c r="CZ1343" s="828"/>
      <c r="DA1343" s="348"/>
      <c r="DB1343" s="348"/>
      <c r="DD1343" s="828"/>
      <c r="DE1343" s="348"/>
      <c r="DF1343" s="348"/>
      <c r="DH1343" s="828"/>
      <c r="DI1343" s="348"/>
      <c r="DJ1343" s="348"/>
      <c r="DL1343" s="348"/>
      <c r="DM1343" s="348"/>
      <c r="DN1343" s="348"/>
      <c r="DP1343" s="348"/>
      <c r="DQ1343" s="348"/>
      <c r="DR1343" s="348"/>
      <c r="DT1343"/>
      <c r="DU1343"/>
      <c r="DV1343" s="1"/>
      <c r="DW1343" s="1"/>
      <c r="DX1343" s="1"/>
      <c r="DY1343" s="1"/>
      <c r="DZ1343" s="1"/>
      <c r="EA1343" s="1"/>
      <c r="EB1343" s="1"/>
      <c r="EC1343" s="1"/>
      <c r="ED1343" s="1"/>
      <c r="EE1343" s="1"/>
      <c r="EF1343" s="1"/>
      <c r="EG1343" s="1"/>
      <c r="EH1343" s="1"/>
      <c r="EI1343" s="1"/>
      <c r="EJ1343" s="1"/>
      <c r="EK1343" s="1"/>
      <c r="EL1343" s="1"/>
      <c r="EM1343" s="1"/>
      <c r="EN1343" s="1"/>
      <c r="EO1343" s="1"/>
      <c r="EP1343" s="1"/>
      <c r="EQ1343" s="1"/>
      <c r="ER1343" s="1"/>
      <c r="ES1343" s="1"/>
      <c r="ET1343" s="1"/>
      <c r="EU1343" s="1"/>
      <c r="EV1343" s="1"/>
      <c r="EW1343" s="1"/>
      <c r="EX1343" s="1"/>
      <c r="EY1343" s="1"/>
      <c r="EZ1343" s="1"/>
      <c r="FA1343" s="1"/>
      <c r="FB1343" s="1"/>
      <c r="FC1343" s="1"/>
      <c r="FD1343" s="1"/>
      <c r="FE1343" s="1"/>
      <c r="FF1343" s="1"/>
      <c r="FG1343" s="1"/>
      <c r="FH1343" s="1"/>
      <c r="FI1343" s="1"/>
      <c r="FJ1343" s="1"/>
      <c r="FK1343" s="1"/>
      <c r="FL1343" s="1"/>
      <c r="FM1343" s="1"/>
      <c r="FN1343" s="1"/>
      <c r="FO1343" s="1"/>
      <c r="FP1343" s="1"/>
      <c r="FQ1343" s="1"/>
      <c r="FR1343" s="1"/>
      <c r="FS1343" s="1"/>
      <c r="FT1343" s="1"/>
      <c r="FU1343" s="1"/>
      <c r="FV1343" s="1"/>
      <c r="FW1343" s="1"/>
      <c r="FX1343" s="1"/>
      <c r="FY1343" s="1"/>
      <c r="FZ1343" s="1"/>
      <c r="GA1343" s="1"/>
      <c r="GB1343" s="1"/>
      <c r="GC1343" s="1"/>
      <c r="GD1343" s="1"/>
      <c r="GE1343" s="1"/>
      <c r="GF1343" s="1"/>
      <c r="GG1343" s="1"/>
      <c r="GH1343" s="1"/>
      <c r="GI1343" s="1"/>
      <c r="GJ1343" s="1"/>
      <c r="GK1343" s="1"/>
      <c r="GL1343" s="1"/>
      <c r="GM1343" s="1"/>
      <c r="GN1343" s="1"/>
      <c r="GO1343" s="1"/>
      <c r="GP1343" s="1"/>
      <c r="GQ1343" s="1"/>
      <c r="GR1343" s="1"/>
      <c r="GS1343" s="1"/>
      <c r="GT1343" s="1"/>
      <c r="GU1343" s="1"/>
      <c r="GV1343" s="1"/>
      <c r="GW1343" s="1"/>
      <c r="GX1343" s="1"/>
      <c r="GY1343" s="1"/>
      <c r="GZ1343" s="1"/>
      <c r="HA1343" s="1"/>
      <c r="HB1343" s="1"/>
      <c r="HC1343" s="1"/>
      <c r="HD1343" s="1"/>
      <c r="HE1343" s="1"/>
      <c r="HF1343" s="1"/>
      <c r="HG1343" s="1"/>
      <c r="HH1343" s="1"/>
      <c r="HI1343" s="1"/>
      <c r="HJ1343" s="1"/>
      <c r="HK1343" s="1"/>
      <c r="HL1343" s="1"/>
      <c r="HM1343" s="1"/>
      <c r="HN1343" s="1"/>
      <c r="HO1343" s="1"/>
      <c r="HP1343" s="1"/>
      <c r="HQ1343" s="1"/>
      <c r="HR1343" s="1"/>
      <c r="HS1343" s="1"/>
      <c r="HT1343" s="1"/>
      <c r="HU1343" s="1"/>
      <c r="HV1343" s="1"/>
      <c r="HW1343" s="1"/>
      <c r="HX1343" s="1"/>
      <c r="HY1343" s="1"/>
      <c r="HZ1343" s="1"/>
      <c r="IA1343" s="1"/>
      <c r="IB1343" s="1"/>
      <c r="IC1343" s="1"/>
      <c r="ID1343" s="1"/>
      <c r="IE1343" s="1"/>
      <c r="IF1343" s="1"/>
      <c r="IG1343" s="1"/>
      <c r="IH1343" s="1"/>
      <c r="II1343" s="1"/>
      <c r="IJ1343" s="1"/>
      <c r="IK1343" s="1"/>
      <c r="IL1343" s="1"/>
      <c r="IM1343" s="1"/>
      <c r="IN1343" s="1"/>
      <c r="IO1343" s="1"/>
      <c r="IP1343" s="1"/>
      <c r="IQ1343" s="1"/>
      <c r="IR1343" s="1"/>
      <c r="IS1343" s="1"/>
      <c r="IT1343" s="1"/>
      <c r="IU1343" s="1"/>
      <c r="IV1343" s="1"/>
      <c r="IW1343" s="1"/>
      <c r="IX1343" s="1"/>
      <c r="IY1343" s="1"/>
      <c r="IZ1343" s="1"/>
      <c r="JA1343" s="1"/>
      <c r="JB1343" s="1"/>
      <c r="JC1343" s="1"/>
      <c r="JD1343" s="1"/>
    </row>
    <row r="1344" spans="1:264" s="347" customFormat="1" ht="15.75" thickBot="1" x14ac:dyDescent="0.3">
      <c r="A1344" s="347" t="s">
        <v>880</v>
      </c>
      <c r="B1344" s="348"/>
      <c r="BD1344" s="456"/>
      <c r="BE1344" s="456">
        <f>BE1328</f>
        <v>410970</v>
      </c>
      <c r="BF1344" s="456">
        <f>BF1328</f>
        <v>410970</v>
      </c>
      <c r="BH1344" s="456">
        <f>BH1328</f>
        <v>423407</v>
      </c>
      <c r="BI1344" s="456">
        <f>BI1328</f>
        <v>434362</v>
      </c>
      <c r="BJ1344" s="456">
        <f>BJ1328</f>
        <v>434362</v>
      </c>
      <c r="BK1344" s="348"/>
      <c r="BL1344" s="456">
        <f>BL1328</f>
        <v>456974</v>
      </c>
      <c r="BM1344" s="456">
        <f>BM1328</f>
        <v>470953</v>
      </c>
      <c r="BN1344" s="456">
        <f>BN1328</f>
        <v>470953</v>
      </c>
      <c r="BO1344" s="829"/>
      <c r="BP1344" s="456">
        <f>BP1328</f>
        <v>486516</v>
      </c>
      <c r="BQ1344" s="456">
        <f>BQ1328</f>
        <v>496810</v>
      </c>
      <c r="BR1344" s="456">
        <f>BR1328</f>
        <v>496810</v>
      </c>
      <c r="BT1344" s="456">
        <f>BT1328</f>
        <v>513679</v>
      </c>
      <c r="BU1344" s="456">
        <f>BU1328</f>
        <v>534053</v>
      </c>
      <c r="BV1344" s="456">
        <f>BV1328</f>
        <v>534053</v>
      </c>
      <c r="BX1344" s="456">
        <f>BX1328</f>
        <v>548810</v>
      </c>
      <c r="BY1344" s="456">
        <f>BY1328</f>
        <v>558021</v>
      </c>
      <c r="BZ1344" s="456">
        <f>BZ1328</f>
        <v>558021</v>
      </c>
      <c r="CB1344" s="456">
        <f>CB1328</f>
        <v>564159</v>
      </c>
      <c r="CC1344" s="456">
        <f>CC1328</f>
        <v>572214</v>
      </c>
      <c r="CD1344" s="456">
        <f>CD1328</f>
        <v>572214</v>
      </c>
      <c r="CF1344" s="456">
        <f>CF1328</f>
        <v>581875</v>
      </c>
      <c r="CG1344" s="456">
        <f>CG1328</f>
        <v>592669</v>
      </c>
      <c r="CH1344" s="456">
        <f>CH1328</f>
        <v>592669</v>
      </c>
      <c r="CJ1344" s="456">
        <f>CJ1328</f>
        <v>605434</v>
      </c>
      <c r="CK1344" s="456">
        <f>CK1328</f>
        <v>614615</v>
      </c>
      <c r="CL1344" s="456">
        <f>CL1328</f>
        <v>614615</v>
      </c>
      <c r="CN1344" s="456">
        <f>CN1328</f>
        <v>638581</v>
      </c>
      <c r="CO1344" s="456">
        <f>CO1328</f>
        <v>662959</v>
      </c>
      <c r="CP1344" s="456">
        <f>CP1328</f>
        <v>662959</v>
      </c>
      <c r="CR1344" s="456">
        <f>CR1328</f>
        <v>691397</v>
      </c>
      <c r="CS1344" s="456">
        <f>CS1328</f>
        <v>701224</v>
      </c>
      <c r="CT1344" s="456">
        <f>CT1328</f>
        <v>701224</v>
      </c>
      <c r="CV1344" s="456">
        <f>CV1328</f>
        <v>720208</v>
      </c>
      <c r="CW1344" s="456">
        <f>CW1328</f>
        <v>652371</v>
      </c>
      <c r="CX1344" s="456">
        <f>CX1328</f>
        <v>652371</v>
      </c>
      <c r="CZ1344" s="456">
        <f>CZ1328</f>
        <v>651955</v>
      </c>
      <c r="DA1344" s="456">
        <f>DA1328</f>
        <v>666728</v>
      </c>
      <c r="DB1344" s="456">
        <f>DB1328</f>
        <v>666728</v>
      </c>
      <c r="DD1344" s="456">
        <f>DD1328</f>
        <v>689600</v>
      </c>
      <c r="DE1344" s="456">
        <f>DE1328</f>
        <v>709385</v>
      </c>
      <c r="DF1344" s="456">
        <f>DF1328</f>
        <v>709385</v>
      </c>
      <c r="DH1344" s="456">
        <f>DH1328</f>
        <v>738789</v>
      </c>
      <c r="DI1344" s="456">
        <f>DI1328</f>
        <v>765246.94307148736</v>
      </c>
      <c r="DJ1344" s="456">
        <f>DJ1328</f>
        <v>765246.94307148736</v>
      </c>
      <c r="DL1344" s="456">
        <f>DL1328</f>
        <v>789378.05066826334</v>
      </c>
      <c r="DM1344" s="456">
        <f>DM1328</f>
        <v>812492.01621295302</v>
      </c>
      <c r="DN1344" s="456">
        <f>DN1328</f>
        <v>812492.01621295302</v>
      </c>
      <c r="DP1344" s="456">
        <f>DP1328</f>
        <v>832031.69749129831</v>
      </c>
      <c r="DQ1344" s="456">
        <f>DQ1328</f>
        <v>852048.33945705241</v>
      </c>
      <c r="DR1344" s="456">
        <f>DR1328</f>
        <v>852048.33945705241</v>
      </c>
      <c r="DT1344"/>
      <c r="DU1344"/>
      <c r="DV1344" s="1"/>
      <c r="DW1344" s="1"/>
      <c r="DX1344" s="1"/>
      <c r="DY1344" s="1"/>
      <c r="DZ1344" s="1"/>
      <c r="EA1344" s="1"/>
      <c r="EB1344" s="1"/>
      <c r="EC1344" s="1"/>
      <c r="ED1344" s="1"/>
      <c r="EE1344" s="1"/>
      <c r="EF1344" s="1"/>
      <c r="EG1344" s="1"/>
      <c r="EH1344" s="1"/>
      <c r="EI1344" s="1"/>
      <c r="EJ1344" s="1"/>
      <c r="EK1344" s="1"/>
      <c r="EL1344" s="1"/>
      <c r="EM1344" s="1"/>
      <c r="EN1344" s="1"/>
      <c r="EO1344" s="1"/>
      <c r="EP1344" s="1"/>
      <c r="EQ1344" s="1"/>
      <c r="ER1344" s="1"/>
      <c r="ES1344" s="1"/>
      <c r="ET1344" s="1"/>
      <c r="EU1344" s="1"/>
      <c r="EV1344" s="1"/>
      <c r="EW1344" s="1"/>
      <c r="EX1344" s="1"/>
      <c r="EY1344" s="1"/>
      <c r="EZ1344" s="1"/>
      <c r="FA1344" s="1"/>
      <c r="FB1344" s="1"/>
      <c r="FC1344" s="1"/>
      <c r="FD1344" s="1"/>
      <c r="FE1344" s="1"/>
      <c r="FF1344" s="1"/>
      <c r="FG1344" s="1"/>
      <c r="FH1344" s="1"/>
      <c r="FI1344" s="1"/>
      <c r="FJ1344" s="1"/>
      <c r="FK1344" s="1"/>
      <c r="FL1344" s="1"/>
      <c r="FM1344" s="1"/>
      <c r="FN1344" s="1"/>
      <c r="FO1344" s="1"/>
      <c r="FP1344" s="1"/>
      <c r="FQ1344" s="1"/>
      <c r="FR1344" s="1"/>
      <c r="FS1344" s="1"/>
      <c r="FT1344" s="1"/>
      <c r="FU1344" s="1"/>
      <c r="FV1344" s="1"/>
      <c r="FW1344" s="1"/>
      <c r="FX1344" s="1"/>
      <c r="FY1344" s="1"/>
      <c r="FZ1344" s="1"/>
      <c r="GA1344" s="1"/>
      <c r="GB1344" s="1"/>
      <c r="GC1344" s="1"/>
      <c r="GD1344" s="1"/>
      <c r="GE1344" s="1"/>
      <c r="GF1344" s="1"/>
      <c r="GG1344" s="1"/>
      <c r="GH1344" s="1"/>
      <c r="GI1344" s="1"/>
      <c r="GJ1344" s="1"/>
      <c r="GK1344" s="1"/>
      <c r="GL1344" s="1"/>
      <c r="GM1344" s="1"/>
      <c r="GN1344" s="1"/>
      <c r="GO1344" s="1"/>
      <c r="GP1344" s="1"/>
      <c r="GQ1344" s="1"/>
      <c r="GR1344" s="1"/>
      <c r="GS1344" s="1"/>
      <c r="GT1344" s="1"/>
      <c r="GU1344" s="1"/>
      <c r="GV1344" s="1"/>
      <c r="GW1344" s="1"/>
      <c r="GX1344" s="1"/>
      <c r="GY1344" s="1"/>
      <c r="GZ1344" s="1"/>
      <c r="HA1344" s="1"/>
      <c r="HB1344" s="1"/>
      <c r="HC1344" s="1"/>
      <c r="HD1344" s="1"/>
      <c r="HE1344" s="1"/>
      <c r="HF1344" s="1"/>
      <c r="HG1344" s="1"/>
      <c r="HH1344" s="1"/>
      <c r="HI1344" s="1"/>
      <c r="HJ1344" s="1"/>
      <c r="HK1344" s="1"/>
      <c r="HL1344" s="1"/>
      <c r="HM1344" s="1"/>
      <c r="HN1344" s="1"/>
      <c r="HO1344" s="1"/>
      <c r="HP1344" s="1"/>
      <c r="HQ1344" s="1"/>
      <c r="HR1344" s="1"/>
      <c r="HS1344" s="1"/>
      <c r="HT1344" s="1"/>
      <c r="HU1344" s="1"/>
      <c r="HV1344" s="1"/>
      <c r="HW1344" s="1"/>
      <c r="HX1344" s="1"/>
      <c r="HY1344" s="1"/>
      <c r="HZ1344" s="1"/>
      <c r="IA1344" s="1"/>
      <c r="IB1344" s="1"/>
      <c r="IC1344" s="1"/>
      <c r="ID1344" s="1"/>
      <c r="IE1344" s="1"/>
      <c r="IF1344" s="1"/>
      <c r="IG1344" s="1"/>
      <c r="IH1344" s="1"/>
      <c r="II1344" s="1"/>
      <c r="IJ1344" s="1"/>
      <c r="IK1344" s="1"/>
      <c r="IL1344" s="1"/>
      <c r="IM1344" s="1"/>
      <c r="IN1344" s="1"/>
      <c r="IO1344" s="1"/>
      <c r="IP1344" s="1"/>
      <c r="IQ1344" s="1"/>
      <c r="IR1344" s="1"/>
      <c r="IS1344" s="1"/>
      <c r="IT1344" s="1"/>
      <c r="IU1344" s="1"/>
      <c r="IV1344" s="1"/>
      <c r="IW1344" s="1"/>
      <c r="IX1344" s="1"/>
      <c r="IY1344" s="1"/>
      <c r="IZ1344" s="1"/>
      <c r="JA1344" s="1"/>
      <c r="JB1344" s="1"/>
      <c r="JC1344" s="1"/>
      <c r="JD1344" s="1"/>
    </row>
    <row r="1345" spans="1:264" s="424" customFormat="1" ht="15.75" thickBot="1" x14ac:dyDescent="0.3">
      <c r="A1345" s="839" t="s">
        <v>889</v>
      </c>
      <c r="B1345" s="840"/>
      <c r="C1345" s="839"/>
      <c r="D1345" s="839"/>
      <c r="E1345" s="839"/>
      <c r="F1345" s="839"/>
      <c r="G1345" s="839"/>
      <c r="H1345" s="839"/>
      <c r="I1345" s="839"/>
      <c r="J1345" s="839"/>
      <c r="K1345" s="839"/>
      <c r="L1345" s="839"/>
      <c r="M1345" s="839"/>
      <c r="N1345" s="839"/>
      <c r="O1345" s="839"/>
      <c r="P1345" s="839"/>
      <c r="Q1345" s="839"/>
      <c r="R1345" s="839"/>
      <c r="S1345" s="839"/>
      <c r="T1345" s="839"/>
      <c r="U1345" s="839"/>
      <c r="V1345" s="839"/>
      <c r="W1345" s="839"/>
      <c r="X1345" s="839"/>
      <c r="Y1345" s="839"/>
      <c r="Z1345" s="839"/>
      <c r="AA1345" s="839"/>
      <c r="AB1345" s="839"/>
      <c r="AC1345" s="839"/>
      <c r="AD1345" s="839"/>
      <c r="AE1345" s="839"/>
      <c r="AF1345" s="839"/>
      <c r="AG1345" s="839"/>
      <c r="AH1345" s="839"/>
      <c r="AI1345" s="839"/>
      <c r="AJ1345" s="839"/>
      <c r="AK1345" s="839"/>
      <c r="AL1345" s="839"/>
      <c r="AM1345" s="839"/>
      <c r="AN1345" s="839"/>
      <c r="AO1345" s="839"/>
      <c r="AP1345" s="839"/>
      <c r="AQ1345" s="839"/>
      <c r="AR1345" s="839"/>
      <c r="AS1345" s="839"/>
      <c r="AT1345" s="839"/>
      <c r="AU1345" s="839"/>
      <c r="AV1345" s="839"/>
      <c r="AW1345" s="839"/>
      <c r="AX1345" s="839"/>
      <c r="AY1345" s="839"/>
      <c r="AZ1345" s="839"/>
      <c r="BA1345" s="839"/>
      <c r="BB1345" s="839"/>
      <c r="BC1345" s="839"/>
      <c r="BD1345" s="841"/>
      <c r="BE1345" s="841">
        <f>BE1315/BE1344</f>
        <v>0.19526972771735163</v>
      </c>
      <c r="BF1345" s="841">
        <f>BF1315/BF1344</f>
        <v>0.19526972771735163</v>
      </c>
      <c r="BG1345" s="839"/>
      <c r="BH1345" s="841">
        <f>BH1315/BH1344</f>
        <v>0.1556280363810707</v>
      </c>
      <c r="BI1345" s="841">
        <f>BI1315/BI1344</f>
        <v>0.15925196034643915</v>
      </c>
      <c r="BJ1345" s="841">
        <f>BJ1315/BJ1344</f>
        <v>0.15925196034643915</v>
      </c>
      <c r="BK1345" s="840"/>
      <c r="BL1345" s="841">
        <f>BL1315/BL1344</f>
        <v>0.16188886019773555</v>
      </c>
      <c r="BM1345" s="841">
        <f>BM1315/BM1344</f>
        <v>0.15293670493658604</v>
      </c>
      <c r="BN1345" s="841">
        <f>BN1315/BN1344</f>
        <v>0.15293670493658604</v>
      </c>
      <c r="BO1345" s="840"/>
      <c r="BP1345" s="841">
        <f>BP1315/BP1344</f>
        <v>0.1617500760509418</v>
      </c>
      <c r="BQ1345" s="841">
        <f>BQ1315/BQ1344</f>
        <v>0.16326160906584006</v>
      </c>
      <c r="BR1345" s="841">
        <f>BR1315/BR1344</f>
        <v>0.16326160906584006</v>
      </c>
      <c r="BS1345" s="839"/>
      <c r="BT1345" s="841">
        <f>BT1315/BT1344</f>
        <v>0.15973789078393316</v>
      </c>
      <c r="BU1345" s="841">
        <f>BU1315/BU1344</f>
        <v>0.17074335318779221</v>
      </c>
      <c r="BV1345" s="841">
        <f>BV1315/BV1344</f>
        <v>0.17074335318779221</v>
      </c>
      <c r="BW1345" s="839"/>
      <c r="BX1345" s="841">
        <f>BX1315/BX1344</f>
        <v>0.21944753193272717</v>
      </c>
      <c r="BY1345" s="841">
        <f>BY1315/BY1344</f>
        <v>0.25086152671673645</v>
      </c>
      <c r="BZ1345" s="841">
        <f>BZ1315/BZ1344</f>
        <v>0.25086152671673645</v>
      </c>
      <c r="CA1345" s="839"/>
      <c r="CB1345" s="841">
        <f>CB1315/CB1344</f>
        <v>0.25072896116165833</v>
      </c>
      <c r="CC1345" s="841">
        <f>CC1315/CC1344</f>
        <v>0.25310460771669341</v>
      </c>
      <c r="CD1345" s="841">
        <f>CD1315/CD1344</f>
        <v>0.25310460771669341</v>
      </c>
      <c r="CE1345" s="839"/>
      <c r="CF1345" s="841">
        <f>CF1315/CF1344</f>
        <v>0.25718410311493017</v>
      </c>
      <c r="CG1345" s="841">
        <f>CG1315/CG1344</f>
        <v>0.2610023470098824</v>
      </c>
      <c r="CH1345" s="841">
        <f>CH1315/CH1344</f>
        <v>0.2610023470098824</v>
      </c>
      <c r="CI1345" s="839"/>
      <c r="CJ1345" s="841">
        <f>CJ1315/CJ1344</f>
        <v>0.25492952163241578</v>
      </c>
      <c r="CK1345" s="841">
        <f>CK1315/CK1344</f>
        <v>0.25207487614197505</v>
      </c>
      <c r="CL1345" s="841">
        <f>CL1315/CL1344</f>
        <v>0.25207487614197505</v>
      </c>
      <c r="CM1345" s="839"/>
      <c r="CN1345" s="841">
        <f>CN1315/CN1344</f>
        <v>0.24807502885303509</v>
      </c>
      <c r="CO1345" s="841">
        <f>CO1315/CO1344</f>
        <v>0.25081641549477418</v>
      </c>
      <c r="CP1345" s="841">
        <f>CP1315/CP1344</f>
        <v>0.25081641549477418</v>
      </c>
      <c r="CQ1345" s="839"/>
      <c r="CR1345" s="841">
        <f>CR1315/CR1344</f>
        <v>0.25221254937467186</v>
      </c>
      <c r="CS1345" s="841">
        <f>CS1315/CS1344</f>
        <v>0.25419552097475273</v>
      </c>
      <c r="CT1345" s="841">
        <f>CT1315/CT1344</f>
        <v>0.25419552097475273</v>
      </c>
      <c r="CU1345" s="839"/>
      <c r="CV1345" s="841">
        <f>CV1315/CV1344</f>
        <v>0.24773676493457444</v>
      </c>
      <c r="CW1345" s="841">
        <f>CW1315/CW1344</f>
        <v>0.23723004241451567</v>
      </c>
      <c r="CX1345" s="841">
        <f>CX1315/CX1344</f>
        <v>0.23723004241451567</v>
      </c>
      <c r="CY1345" s="839"/>
      <c r="CZ1345" s="841">
        <f>CZ1315/CZ1344</f>
        <v>0.23127516469694995</v>
      </c>
      <c r="DA1345" s="841">
        <f>DA1315/DA1344</f>
        <v>0.22825200081592492</v>
      </c>
      <c r="DB1345" s="841">
        <f>DB1315/DB1344</f>
        <v>0.22825200081592492</v>
      </c>
      <c r="DC1345" s="839"/>
      <c r="DD1345" s="841">
        <f>DD1315/DD1344</f>
        <v>0.22051914153132252</v>
      </c>
      <c r="DE1345" s="841">
        <f>DE1315/DE1344</f>
        <v>0.22071935549807228</v>
      </c>
      <c r="DF1345" s="841">
        <f>DF1315/DF1344</f>
        <v>0.22071935549807228</v>
      </c>
      <c r="DG1345" s="839"/>
      <c r="DH1345" s="841">
        <f>DH1315/DH1344</f>
        <v>0.21987062611923025</v>
      </c>
      <c r="DI1345" s="842">
        <f>DH1345</f>
        <v>0.21987062611923025</v>
      </c>
      <c r="DJ1345" s="841">
        <f>DJ1315/DJ1344</f>
        <v>0.21987062611923028</v>
      </c>
      <c r="DK1345" s="839"/>
      <c r="DL1345" s="842">
        <f>DI1345</f>
        <v>0.21987062611923025</v>
      </c>
      <c r="DM1345" s="842">
        <f>DL1345</f>
        <v>0.21987062611923025</v>
      </c>
      <c r="DN1345" s="841">
        <f>DN1315/DN1344</f>
        <v>0.21987062611923025</v>
      </c>
      <c r="DO1345" s="839"/>
      <c r="DP1345" s="842">
        <f>DM1345</f>
        <v>0.21987062611923025</v>
      </c>
      <c r="DQ1345" s="842">
        <f>DP1345</f>
        <v>0.21987062611923025</v>
      </c>
      <c r="DR1345" s="841">
        <f>DR1315/DR1344</f>
        <v>0.21987062611923025</v>
      </c>
      <c r="DS1345" s="839"/>
      <c r="DT1345"/>
      <c r="DU1345"/>
      <c r="DV1345" s="1"/>
      <c r="DW1345" s="1"/>
      <c r="DX1345" s="1"/>
      <c r="DY1345" s="1"/>
      <c r="DZ1345" s="1"/>
      <c r="EA1345" s="1"/>
      <c r="EB1345" s="1"/>
      <c r="EC1345" s="1"/>
      <c r="ED1345" s="1"/>
      <c r="EE1345" s="1"/>
      <c r="EF1345" s="1"/>
      <c r="EG1345" s="1"/>
      <c r="EH1345" s="1"/>
      <c r="EI1345" s="1"/>
      <c r="EJ1345" s="1"/>
      <c r="EK1345" s="1"/>
      <c r="EL1345" s="1"/>
      <c r="EM1345" s="1"/>
      <c r="EN1345" s="1"/>
      <c r="EO1345" s="1"/>
      <c r="EP1345" s="1"/>
      <c r="EQ1345" s="1"/>
      <c r="ER1345" s="1"/>
      <c r="ES1345" s="1"/>
      <c r="ET1345" s="1"/>
      <c r="EU1345" s="1"/>
      <c r="EV1345" s="1"/>
      <c r="EW1345" s="1"/>
      <c r="EX1345" s="1"/>
      <c r="EY1345" s="1"/>
      <c r="EZ1345" s="1"/>
      <c r="FA1345" s="1"/>
      <c r="FB1345" s="1"/>
      <c r="FC1345" s="1"/>
      <c r="FD1345" s="1"/>
      <c r="FE1345" s="1"/>
      <c r="FF1345" s="1"/>
      <c r="FG1345" s="1"/>
      <c r="FH1345" s="1"/>
      <c r="FI1345" s="1"/>
      <c r="FJ1345" s="1"/>
      <c r="FK1345" s="1"/>
      <c r="FL1345" s="1"/>
      <c r="FM1345" s="1"/>
      <c r="FN1345" s="1"/>
      <c r="FO1345" s="1"/>
      <c r="FP1345" s="1"/>
      <c r="FQ1345" s="1"/>
      <c r="FR1345" s="1"/>
      <c r="FS1345" s="1"/>
      <c r="FT1345" s="1"/>
      <c r="FU1345" s="1"/>
      <c r="FV1345" s="1"/>
      <c r="FW1345" s="1"/>
      <c r="FX1345" s="1"/>
      <c r="FY1345" s="1"/>
      <c r="FZ1345" s="1"/>
      <c r="GA1345" s="1"/>
      <c r="GB1345" s="1"/>
      <c r="GC1345" s="1"/>
      <c r="GD1345" s="1"/>
      <c r="GE1345" s="1"/>
      <c r="GF1345" s="1"/>
      <c r="GG1345" s="1"/>
      <c r="GH1345" s="1"/>
      <c r="GI1345" s="1"/>
      <c r="GJ1345" s="1"/>
      <c r="GK1345" s="1"/>
      <c r="GL1345" s="1"/>
      <c r="GM1345" s="1"/>
      <c r="GN1345" s="1"/>
      <c r="GO1345" s="1"/>
      <c r="GP1345" s="1"/>
      <c r="GQ1345" s="1"/>
      <c r="GR1345" s="1"/>
      <c r="GS1345" s="1"/>
      <c r="GT1345" s="1"/>
      <c r="GU1345" s="1"/>
      <c r="GV1345" s="1"/>
      <c r="GW1345" s="1"/>
      <c r="GX1345" s="1"/>
      <c r="GY1345" s="1"/>
      <c r="GZ1345" s="1"/>
      <c r="HA1345" s="1"/>
      <c r="HB1345" s="1"/>
      <c r="HC1345" s="1"/>
      <c r="HD1345" s="1"/>
      <c r="HE1345" s="1"/>
      <c r="HF1345" s="1"/>
      <c r="HG1345" s="1"/>
      <c r="HH1345" s="1"/>
      <c r="HI1345" s="1"/>
      <c r="HJ1345" s="1"/>
      <c r="HK1345" s="1"/>
      <c r="HL1345" s="1"/>
      <c r="HM1345" s="1"/>
      <c r="HN1345" s="1"/>
      <c r="HO1345" s="1"/>
      <c r="HP1345" s="1"/>
      <c r="HQ1345" s="1"/>
      <c r="HR1345" s="1"/>
      <c r="HS1345" s="1"/>
      <c r="HT1345" s="1"/>
      <c r="HU1345" s="1"/>
      <c r="HV1345" s="1"/>
      <c r="HW1345" s="1"/>
      <c r="HX1345" s="1"/>
      <c r="HY1345" s="1"/>
      <c r="HZ1345" s="1"/>
      <c r="IA1345" s="1"/>
      <c r="IB1345" s="1"/>
      <c r="IC1345" s="1"/>
      <c r="ID1345" s="1"/>
      <c r="IE1345" s="1"/>
      <c r="IF1345" s="1"/>
      <c r="IG1345" s="1"/>
      <c r="IH1345" s="1"/>
      <c r="II1345" s="1"/>
      <c r="IJ1345" s="1"/>
      <c r="IK1345" s="1"/>
      <c r="IL1345" s="1"/>
      <c r="IM1345" s="1"/>
      <c r="IN1345" s="1"/>
      <c r="IO1345" s="1"/>
      <c r="IP1345" s="1"/>
      <c r="IQ1345" s="1"/>
      <c r="IR1345" s="1"/>
      <c r="IS1345" s="1"/>
      <c r="IT1345" s="1"/>
      <c r="IU1345" s="1"/>
      <c r="IV1345" s="1"/>
      <c r="IW1345" s="1"/>
      <c r="IX1345" s="1"/>
      <c r="IY1345" s="1"/>
      <c r="IZ1345" s="1"/>
      <c r="JA1345" s="1"/>
      <c r="JB1345" s="1"/>
      <c r="JC1345" s="1"/>
      <c r="JD1345" s="1"/>
    </row>
    <row r="1346" spans="1:264" s="347" customFormat="1" ht="15" x14ac:dyDescent="0.25">
      <c r="A1346" s="347" t="s">
        <v>89</v>
      </c>
      <c r="B1346" s="348"/>
      <c r="BD1346" s="351"/>
      <c r="BE1346" s="351">
        <f>BE183</f>
        <v>352981</v>
      </c>
      <c r="BF1346" s="351">
        <f>BE1346</f>
        <v>352981</v>
      </c>
      <c r="BH1346" s="351">
        <f>BH183</f>
        <v>359058</v>
      </c>
      <c r="BI1346" s="351">
        <f>BI183</f>
        <v>372840</v>
      </c>
      <c r="BJ1346" s="351">
        <f>BI1346</f>
        <v>372840</v>
      </c>
      <c r="BK1346" s="348"/>
      <c r="BL1346" s="351">
        <f>BL183</f>
        <v>387021</v>
      </c>
      <c r="BM1346" s="351">
        <f>BM183</f>
        <v>399685</v>
      </c>
      <c r="BN1346" s="351">
        <f>BM1346</f>
        <v>399685</v>
      </c>
      <c r="BO1346" s="348"/>
      <c r="BP1346" s="351">
        <f>BP183</f>
        <v>411305</v>
      </c>
      <c r="BQ1346" s="351">
        <f>BQ183</f>
        <v>422851</v>
      </c>
      <c r="BR1346" s="351">
        <f>BQ1346</f>
        <v>422851</v>
      </c>
      <c r="BT1346" s="351">
        <f>BT183</f>
        <v>437176</v>
      </c>
      <c r="BU1346" s="351">
        <f>BU183</f>
        <v>456074</v>
      </c>
      <c r="BV1346" s="351">
        <f t="shared" ref="BV1346:BV1360" si="990">BU1346</f>
        <v>456074</v>
      </c>
      <c r="BX1346" s="351">
        <f>BX183</f>
        <v>472532</v>
      </c>
      <c r="BY1346" s="351">
        <f>BY183</f>
        <v>485857</v>
      </c>
      <c r="BZ1346" s="351">
        <f>BY1346</f>
        <v>485857</v>
      </c>
      <c r="CB1346" s="351">
        <f>CB183</f>
        <v>492688</v>
      </c>
      <c r="CC1346" s="351">
        <f>CC183</f>
        <v>501665</v>
      </c>
      <c r="CD1346" s="351">
        <f>CC1346</f>
        <v>501665</v>
      </c>
      <c r="CF1346" s="351">
        <f>CF183</f>
        <v>512505</v>
      </c>
      <c r="CG1346" s="351">
        <f>CG183</f>
        <v>522942</v>
      </c>
      <c r="CH1346" s="351">
        <f>CG1346</f>
        <v>522942</v>
      </c>
      <c r="CJ1346" s="351">
        <f>CJ183</f>
        <v>535090</v>
      </c>
      <c r="CK1346" s="351">
        <f>CK183</f>
        <v>542880</v>
      </c>
      <c r="CL1346" s="351">
        <f>CK1346</f>
        <v>542880</v>
      </c>
      <c r="CN1346" s="351">
        <f>CN183</f>
        <v>559318</v>
      </c>
      <c r="CO1346" s="351">
        <f>CO183</f>
        <v>579756</v>
      </c>
      <c r="CP1346" s="351">
        <f>CO1346</f>
        <v>579756</v>
      </c>
      <c r="CR1346" s="351">
        <f>CR183</f>
        <v>605910</v>
      </c>
      <c r="CS1346" s="351">
        <f>CS183</f>
        <v>621993</v>
      </c>
      <c r="CT1346" s="351">
        <f>CS1346</f>
        <v>621993</v>
      </c>
      <c r="CV1346" s="351">
        <f>CV183</f>
        <v>639326</v>
      </c>
      <c r="CW1346" s="351">
        <f>CW183</f>
        <v>652218</v>
      </c>
      <c r="CX1346" s="351">
        <f>CW1346</f>
        <v>652218</v>
      </c>
      <c r="CZ1346" s="351">
        <f>CZ183</f>
        <v>650460</v>
      </c>
      <c r="DA1346" s="351">
        <f>DA183</f>
        <v>664701</v>
      </c>
      <c r="DB1346" s="351">
        <f>DA1346</f>
        <v>664701</v>
      </c>
      <c r="DD1346" s="351">
        <f>DD183</f>
        <v>685269</v>
      </c>
      <c r="DE1346" s="351">
        <f>DE183</f>
        <v>707862</v>
      </c>
      <c r="DF1346" s="351">
        <f>DE1346</f>
        <v>707862</v>
      </c>
      <c r="DH1346" s="351">
        <f>DH183</f>
        <v>730188</v>
      </c>
      <c r="DI1346" s="351">
        <f>DI183</f>
        <v>756337.91903707723</v>
      </c>
      <c r="DJ1346" s="351"/>
      <c r="DL1346" s="351">
        <f>DL183</f>
        <v>780188.09167618619</v>
      </c>
      <c r="DM1346" s="351">
        <f>DM183</f>
        <v>803032.96385639708</v>
      </c>
      <c r="DN1346" s="351"/>
      <c r="DP1346" s="351">
        <f>DP183</f>
        <v>822345.1636770122</v>
      </c>
      <c r="DQ1346" s="351">
        <f>DQ183</f>
        <v>842128.77139679424</v>
      </c>
      <c r="DR1346" s="351"/>
      <c r="DT1346"/>
      <c r="DU1346"/>
      <c r="DV1346" s="1"/>
      <c r="DW1346" s="1"/>
      <c r="DX1346" s="1"/>
      <c r="DY1346" s="1"/>
      <c r="DZ1346" s="1"/>
      <c r="EA1346" s="1"/>
      <c r="EB1346" s="1"/>
      <c r="EC1346" s="1"/>
      <c r="ED1346" s="1"/>
      <c r="EE1346" s="1"/>
      <c r="EF1346" s="1"/>
      <c r="EG1346" s="1"/>
      <c r="EH1346" s="1"/>
      <c r="EI1346" s="1"/>
      <c r="EJ1346" s="1"/>
      <c r="EK1346" s="1"/>
      <c r="EL1346" s="1"/>
      <c r="EM1346" s="1"/>
      <c r="EN1346" s="1"/>
      <c r="EO1346" s="1"/>
      <c r="EP1346" s="1"/>
      <c r="EQ1346" s="1"/>
      <c r="ER1346" s="1"/>
      <c r="ES1346" s="1"/>
      <c r="ET1346" s="1"/>
      <c r="EU1346" s="1"/>
      <c r="EV1346" s="1"/>
      <c r="EW1346" s="1"/>
      <c r="EX1346" s="1"/>
      <c r="EY1346" s="1"/>
      <c r="EZ1346" s="1"/>
      <c r="FA1346" s="1"/>
      <c r="FB1346" s="1"/>
      <c r="FC1346" s="1"/>
      <c r="FD1346" s="1"/>
      <c r="FE1346" s="1"/>
      <c r="FF1346" s="1"/>
      <c r="FG1346" s="1"/>
      <c r="FH1346" s="1"/>
      <c r="FI1346" s="1"/>
      <c r="FJ1346" s="1"/>
      <c r="FK1346" s="1"/>
      <c r="FL1346" s="1"/>
      <c r="FM1346" s="1"/>
      <c r="FN1346" s="1"/>
      <c r="FO1346" s="1"/>
      <c r="FP1346" s="1"/>
      <c r="FQ1346" s="1"/>
      <c r="FR1346" s="1"/>
      <c r="FS1346" s="1"/>
      <c r="FT1346" s="1"/>
      <c r="FU1346" s="1"/>
      <c r="FV1346" s="1"/>
      <c r="FW1346" s="1"/>
      <c r="FX1346" s="1"/>
      <c r="FY1346" s="1"/>
      <c r="FZ1346" s="1"/>
      <c r="GA1346" s="1"/>
      <c r="GB1346" s="1"/>
      <c r="GC1346" s="1"/>
      <c r="GD1346" s="1"/>
      <c r="GE1346" s="1"/>
      <c r="GF1346" s="1"/>
      <c r="GG1346" s="1"/>
      <c r="GH1346" s="1"/>
      <c r="GI1346" s="1"/>
      <c r="GJ1346" s="1"/>
      <c r="GK1346" s="1"/>
      <c r="GL1346" s="1"/>
      <c r="GM1346" s="1"/>
      <c r="GN1346" s="1"/>
      <c r="GO1346" s="1"/>
      <c r="GP1346" s="1"/>
      <c r="GQ1346" s="1"/>
      <c r="GR1346" s="1"/>
      <c r="GS1346" s="1"/>
      <c r="GT1346" s="1"/>
      <c r="GU1346" s="1"/>
      <c r="GV1346" s="1"/>
      <c r="GW1346" s="1"/>
      <c r="GX1346" s="1"/>
      <c r="GY1346" s="1"/>
      <c r="GZ1346" s="1"/>
      <c r="HA1346" s="1"/>
      <c r="HB1346" s="1"/>
      <c r="HC1346" s="1"/>
      <c r="HD1346" s="1"/>
      <c r="HE1346" s="1"/>
      <c r="HF1346" s="1"/>
      <c r="HG1346" s="1"/>
      <c r="HH1346" s="1"/>
      <c r="HI1346" s="1"/>
      <c r="HJ1346" s="1"/>
      <c r="HK1346" s="1"/>
      <c r="HL1346" s="1"/>
      <c r="HM1346" s="1"/>
      <c r="HN1346" s="1"/>
      <c r="HO1346" s="1"/>
      <c r="HP1346" s="1"/>
      <c r="HQ1346" s="1"/>
      <c r="HR1346" s="1"/>
      <c r="HS1346" s="1"/>
      <c r="HT1346" s="1"/>
      <c r="HU1346" s="1"/>
      <c r="HV1346" s="1"/>
      <c r="HW1346" s="1"/>
      <c r="HX1346" s="1"/>
      <c r="HY1346" s="1"/>
      <c r="HZ1346" s="1"/>
      <c r="IA1346" s="1"/>
      <c r="IB1346" s="1"/>
      <c r="IC1346" s="1"/>
      <c r="ID1346" s="1"/>
      <c r="IE1346" s="1"/>
      <c r="IF1346" s="1"/>
      <c r="IG1346" s="1"/>
      <c r="IH1346" s="1"/>
      <c r="II1346" s="1"/>
      <c r="IJ1346" s="1"/>
      <c r="IK1346" s="1"/>
      <c r="IL1346" s="1"/>
      <c r="IM1346" s="1"/>
      <c r="IN1346" s="1"/>
      <c r="IO1346" s="1"/>
      <c r="IP1346" s="1"/>
      <c r="IQ1346" s="1"/>
      <c r="IR1346" s="1"/>
      <c r="IS1346" s="1"/>
      <c r="IT1346" s="1"/>
      <c r="IU1346" s="1"/>
      <c r="IV1346" s="1"/>
      <c r="IW1346" s="1"/>
      <c r="IX1346" s="1"/>
      <c r="IY1346" s="1"/>
      <c r="IZ1346" s="1"/>
      <c r="JA1346" s="1"/>
      <c r="JB1346" s="1"/>
      <c r="JC1346" s="1"/>
      <c r="JD1346" s="1"/>
    </row>
    <row r="1347" spans="1:264" s="424" customFormat="1" ht="15" x14ac:dyDescent="0.25">
      <c r="A1347" s="424" t="s">
        <v>890</v>
      </c>
      <c r="B1347" s="536"/>
      <c r="BD1347" s="481"/>
      <c r="BE1347" s="481">
        <f>+BE1315/BE1346</f>
        <v>0.22734934741529997</v>
      </c>
      <c r="BF1347" s="481">
        <f>BE1347</f>
        <v>0.22734934741529997</v>
      </c>
      <c r="BH1347" s="481">
        <f>+BH1315/BH1346</f>
        <v>0.18351909719321113</v>
      </c>
      <c r="BI1347" s="481">
        <f>+BI1315/BI1346</f>
        <v>0.18552998605299861</v>
      </c>
      <c r="BJ1347" s="481">
        <f>BI1347</f>
        <v>0.18552998605299861</v>
      </c>
      <c r="BK1347" s="536"/>
      <c r="BL1347" s="481">
        <f>+BL1315/BL1346</f>
        <v>0.19114983424672047</v>
      </c>
      <c r="BM1347" s="481">
        <f>+BM1315/BM1346</f>
        <v>0.18020691294394336</v>
      </c>
      <c r="BN1347" s="481">
        <f>BM1347</f>
        <v>0.18020691294394336</v>
      </c>
      <c r="BO1347" s="536"/>
      <c r="BP1347" s="481">
        <f>+BP1315/BP1346</f>
        <v>0.19132760360316553</v>
      </c>
      <c r="BQ1347" s="481">
        <f>+BQ1315/BQ1346</f>
        <v>0.1918169757195797</v>
      </c>
      <c r="BR1347" s="481">
        <f>BQ1347</f>
        <v>0.1918169757195797</v>
      </c>
      <c r="BT1347" s="481">
        <f>+BT1315/BT1346</f>
        <v>0.1876909985909565</v>
      </c>
      <c r="BU1347" s="481">
        <f>+BU1315/BU1346</f>
        <v>0.19993685235290765</v>
      </c>
      <c r="BV1347" s="481">
        <f t="shared" si="990"/>
        <v>0.19993685235290765</v>
      </c>
      <c r="BX1347" s="481">
        <f>+BX1315/BX1346</f>
        <v>0.25487162774161326</v>
      </c>
      <c r="BY1347" s="481">
        <f>+BY1315/BY1346</f>
        <v>0.28812181362005695</v>
      </c>
      <c r="BZ1347" s="481">
        <f>BY1347</f>
        <v>0.28812181362005695</v>
      </c>
      <c r="CB1347" s="481">
        <f>+CB1315/CB1346</f>
        <v>0.2871005585685058</v>
      </c>
      <c r="CC1347" s="481">
        <f>+CC1315/CC1346</f>
        <v>0.28869863355027758</v>
      </c>
      <c r="CD1347" s="481">
        <f>CC1347</f>
        <v>0.28869863355027758</v>
      </c>
      <c r="CF1347" s="481">
        <f>+CF1315/CF1346</f>
        <v>0.29199520004682883</v>
      </c>
      <c r="CG1347" s="481">
        <f>+CG1315/CG1346</f>
        <v>0.29580335868987384</v>
      </c>
      <c r="CH1347" s="481">
        <f>CG1347</f>
        <v>0.29580335868987384</v>
      </c>
      <c r="CJ1347" s="481">
        <f>+CJ1315/CJ1346</f>
        <v>0.28844306565250705</v>
      </c>
      <c r="CK1347" s="481">
        <f>+CK1315/CK1346</f>
        <v>0.2853835101679929</v>
      </c>
      <c r="CL1347" s="481">
        <f>CK1347</f>
        <v>0.2853835101679929</v>
      </c>
      <c r="CN1347" s="481">
        <f>+CN1315/CN1346</f>
        <v>0.28323064875437587</v>
      </c>
      <c r="CO1347" s="481">
        <f>+CO1315/CO1346</f>
        <v>0.28681203816778095</v>
      </c>
      <c r="CP1347" s="481">
        <f>CO1347</f>
        <v>0.28681203816778095</v>
      </c>
      <c r="CR1347" s="481">
        <f>+CR1315/CR1346</f>
        <v>0.28779686752157912</v>
      </c>
      <c r="CS1347" s="481">
        <f>+CS1315/CS1346</f>
        <v>0.28657557239390152</v>
      </c>
      <c r="CT1347" s="481">
        <f>CS1347</f>
        <v>0.28657557239390152</v>
      </c>
      <c r="CV1347" s="481">
        <f>+CV1315/CV1346</f>
        <v>0.27907827931290141</v>
      </c>
      <c r="CW1347" s="481">
        <f>+CW1315/CW1346</f>
        <v>0.23728569282049866</v>
      </c>
      <c r="CX1347" s="481">
        <f>CW1347</f>
        <v>0.23728569282049866</v>
      </c>
      <c r="CZ1347" s="481">
        <f>+CZ1315/CZ1346</f>
        <v>0.23180672139716507</v>
      </c>
      <c r="DA1347" s="481">
        <f>+DA1315/DA1346</f>
        <v>0.228948053335259</v>
      </c>
      <c r="DB1347" s="481">
        <f>DA1347</f>
        <v>0.228948053335259</v>
      </c>
      <c r="DD1347" s="481">
        <f>+DD1315/DD1346</f>
        <v>0.22191285465999483</v>
      </c>
      <c r="DE1347" s="481">
        <f>+DE1315/DE1346</f>
        <v>0.22119424407582269</v>
      </c>
      <c r="DF1347" s="481">
        <f>DE1347</f>
        <v>0.22119424407582269</v>
      </c>
      <c r="DH1347" s="481">
        <f>+DH1315/DH1346</f>
        <v>0.22246051701753522</v>
      </c>
      <c r="DI1347" s="481">
        <f>+DI1315/DI1346</f>
        <v>0.22246051701753522</v>
      </c>
      <c r="DJ1347" s="481">
        <f>DI1347</f>
        <v>0.22246051701753522</v>
      </c>
      <c r="DL1347" s="481">
        <f>+DL1315/DL1346</f>
        <v>0.22246051701753519</v>
      </c>
      <c r="DM1347" s="481">
        <f>+DM1315/DM1346</f>
        <v>0.22246051701753519</v>
      </c>
      <c r="DN1347" s="481">
        <f>DM1347</f>
        <v>0.22246051701753519</v>
      </c>
      <c r="DP1347" s="481">
        <f>+DP1315/DP1346</f>
        <v>0.22246051701753519</v>
      </c>
      <c r="DQ1347" s="481">
        <f>+DQ1315/DQ1346</f>
        <v>0.22246051701753519</v>
      </c>
      <c r="DR1347" s="481">
        <f>DQ1347</f>
        <v>0.22246051701753519</v>
      </c>
      <c r="DT1347"/>
      <c r="DU1347"/>
      <c r="DV1347" s="1"/>
      <c r="DW1347" s="1"/>
      <c r="DX1347" s="1"/>
      <c r="DY1347" s="1"/>
      <c r="DZ1347" s="1"/>
      <c r="EA1347" s="1"/>
      <c r="EB1347" s="1"/>
      <c r="EC1347" s="1"/>
      <c r="ED1347" s="1"/>
      <c r="EE1347" s="1"/>
      <c r="EF1347" s="1"/>
      <c r="EG1347" s="1"/>
      <c r="EH1347" s="1"/>
      <c r="EI1347" s="1"/>
      <c r="EJ1347" s="1"/>
      <c r="EK1347" s="1"/>
      <c r="EL1347" s="1"/>
      <c r="EM1347" s="1"/>
      <c r="EN1347" s="1"/>
      <c r="EO1347" s="1"/>
      <c r="EP1347" s="1"/>
      <c r="EQ1347" s="1"/>
      <c r="ER1347" s="1"/>
      <c r="ES1347" s="1"/>
      <c r="ET1347" s="1"/>
      <c r="EU1347" s="1"/>
      <c r="EV1347" s="1"/>
      <c r="EW1347" s="1"/>
      <c r="EX1347" s="1"/>
      <c r="EY1347" s="1"/>
      <c r="EZ1347" s="1"/>
      <c r="FA1347" s="1"/>
      <c r="FB1347" s="1"/>
      <c r="FC1347" s="1"/>
      <c r="FD1347" s="1"/>
      <c r="FE1347" s="1"/>
      <c r="FF1347" s="1"/>
      <c r="FG1347" s="1"/>
      <c r="FH1347" s="1"/>
      <c r="FI1347" s="1"/>
      <c r="FJ1347" s="1"/>
      <c r="FK1347" s="1"/>
      <c r="FL1347" s="1"/>
      <c r="FM1347" s="1"/>
      <c r="FN1347" s="1"/>
      <c r="FO1347" s="1"/>
      <c r="FP1347" s="1"/>
      <c r="FQ1347" s="1"/>
      <c r="FR1347" s="1"/>
      <c r="FS1347" s="1"/>
      <c r="FT1347" s="1"/>
      <c r="FU1347" s="1"/>
      <c r="FV1347" s="1"/>
      <c r="FW1347" s="1"/>
      <c r="FX1347" s="1"/>
      <c r="FY1347" s="1"/>
      <c r="FZ1347" s="1"/>
      <c r="GA1347" s="1"/>
      <c r="GB1347" s="1"/>
      <c r="GC1347" s="1"/>
      <c r="GD1347" s="1"/>
      <c r="GE1347" s="1"/>
      <c r="GF1347" s="1"/>
      <c r="GG1347" s="1"/>
      <c r="GH1347" s="1"/>
      <c r="GI1347" s="1"/>
      <c r="GJ1347" s="1"/>
      <c r="GK1347" s="1"/>
      <c r="GL1347" s="1"/>
      <c r="GM1347" s="1"/>
      <c r="GN1347" s="1"/>
      <c r="GO1347" s="1"/>
      <c r="GP1347" s="1"/>
      <c r="GQ1347" s="1"/>
      <c r="GR1347" s="1"/>
      <c r="GS1347" s="1"/>
      <c r="GT1347" s="1"/>
      <c r="GU1347" s="1"/>
      <c r="GV1347" s="1"/>
      <c r="GW1347" s="1"/>
      <c r="GX1347" s="1"/>
      <c r="GY1347" s="1"/>
      <c r="GZ1347" s="1"/>
      <c r="HA1347" s="1"/>
      <c r="HB1347" s="1"/>
      <c r="HC1347" s="1"/>
      <c r="HD1347" s="1"/>
      <c r="HE1347" s="1"/>
      <c r="HF1347" s="1"/>
      <c r="HG1347" s="1"/>
      <c r="HH1347" s="1"/>
      <c r="HI1347" s="1"/>
      <c r="HJ1347" s="1"/>
      <c r="HK1347" s="1"/>
      <c r="HL1347" s="1"/>
      <c r="HM1347" s="1"/>
      <c r="HN1347" s="1"/>
      <c r="HO1347" s="1"/>
      <c r="HP1347" s="1"/>
      <c r="HQ1347" s="1"/>
      <c r="HR1347" s="1"/>
      <c r="HS1347" s="1"/>
      <c r="HT1347" s="1"/>
      <c r="HU1347" s="1"/>
      <c r="HV1347" s="1"/>
      <c r="HW1347" s="1"/>
      <c r="HX1347" s="1"/>
      <c r="HY1347" s="1"/>
      <c r="HZ1347" s="1"/>
      <c r="IA1347" s="1"/>
      <c r="IB1347" s="1"/>
      <c r="IC1347" s="1"/>
      <c r="ID1347" s="1"/>
      <c r="IE1347" s="1"/>
      <c r="IF1347" s="1"/>
      <c r="IG1347" s="1"/>
      <c r="IH1347" s="1"/>
      <c r="II1347" s="1"/>
      <c r="IJ1347" s="1"/>
      <c r="IK1347" s="1"/>
      <c r="IL1347" s="1"/>
      <c r="IM1347" s="1"/>
      <c r="IN1347" s="1"/>
      <c r="IO1347" s="1"/>
      <c r="IP1347" s="1"/>
      <c r="IQ1347" s="1"/>
      <c r="IR1347" s="1"/>
      <c r="IS1347" s="1"/>
      <c r="IT1347" s="1"/>
      <c r="IU1347" s="1"/>
      <c r="IV1347" s="1"/>
      <c r="IW1347" s="1"/>
      <c r="IX1347" s="1"/>
      <c r="IY1347" s="1"/>
      <c r="IZ1347" s="1"/>
      <c r="JA1347" s="1"/>
      <c r="JB1347" s="1"/>
      <c r="JC1347" s="1"/>
      <c r="JD1347" s="1"/>
    </row>
    <row r="1348" spans="1:264" s="424" customFormat="1" ht="15" x14ac:dyDescent="0.25">
      <c r="A1348" s="424" t="s">
        <v>891</v>
      </c>
      <c r="B1348" s="348"/>
      <c r="C1348" s="347"/>
      <c r="D1348" s="347"/>
      <c r="E1348" s="347"/>
      <c r="F1348" s="347"/>
      <c r="G1348" s="347"/>
      <c r="H1348" s="347"/>
      <c r="I1348" s="347"/>
      <c r="J1348" s="347"/>
      <c r="K1348" s="347"/>
      <c r="L1348" s="347"/>
      <c r="M1348" s="347"/>
      <c r="N1348" s="347"/>
      <c r="O1348" s="347"/>
      <c r="P1348" s="347"/>
      <c r="Q1348" s="347"/>
      <c r="R1348" s="347"/>
      <c r="S1348" s="347"/>
      <c r="T1348" s="347"/>
      <c r="U1348" s="347"/>
      <c r="V1348" s="347"/>
      <c r="W1348" s="347"/>
      <c r="X1348" s="347"/>
      <c r="Y1348" s="347"/>
      <c r="Z1348" s="347"/>
      <c r="AA1348" s="347"/>
      <c r="AB1348" s="347"/>
      <c r="AC1348" s="347"/>
      <c r="AD1348" s="347"/>
      <c r="AE1348" s="347"/>
      <c r="AF1348" s="347"/>
      <c r="AG1348" s="347"/>
      <c r="AH1348" s="347"/>
      <c r="AI1348" s="347"/>
      <c r="AJ1348" s="347"/>
      <c r="AK1348" s="347"/>
      <c r="AL1348" s="347"/>
      <c r="AM1348" s="347"/>
      <c r="AN1348" s="347"/>
      <c r="AO1348" s="347"/>
      <c r="AP1348" s="347"/>
      <c r="AQ1348" s="347"/>
      <c r="AR1348" s="347"/>
      <c r="AS1348" s="347"/>
      <c r="AT1348" s="347"/>
      <c r="AU1348" s="347"/>
      <c r="AV1348" s="347"/>
      <c r="AW1348" s="347"/>
      <c r="AX1348" s="347"/>
      <c r="AY1348" s="347"/>
      <c r="AZ1348" s="347"/>
      <c r="BA1348" s="347"/>
      <c r="BB1348" s="347"/>
      <c r="BC1348" s="347"/>
      <c r="BD1348" s="428"/>
      <c r="BE1348" s="428">
        <f>+BE1315/BE1346</f>
        <v>0.22734934741529997</v>
      </c>
      <c r="BF1348" s="428">
        <f>+BF1315/BF1346</f>
        <v>0.22734934741529997</v>
      </c>
      <c r="BG1348" s="347"/>
      <c r="BH1348" s="428">
        <f>+BH1315/BH1346</f>
        <v>0.18351909719321113</v>
      </c>
      <c r="BI1348" s="428">
        <f>+BI1315/BI1346</f>
        <v>0.18552998605299861</v>
      </c>
      <c r="BJ1348" s="428">
        <f>+BJ1315/BJ1346</f>
        <v>0.18552998605299861</v>
      </c>
      <c r="BK1348" s="348"/>
      <c r="BL1348" s="428">
        <f>+BL1315/BL1346</f>
        <v>0.19114983424672047</v>
      </c>
      <c r="BM1348" s="428">
        <f>+BM1315/BM1346</f>
        <v>0.18020691294394336</v>
      </c>
      <c r="BN1348" s="428">
        <f>+BN1315/BN1346</f>
        <v>0.18020691294394336</v>
      </c>
      <c r="BO1348" s="348"/>
      <c r="BP1348" s="428">
        <f>+BP1315/BP1346</f>
        <v>0.19132760360316553</v>
      </c>
      <c r="BQ1348" s="428">
        <f>+BQ1315/BQ1346</f>
        <v>0.1918169757195797</v>
      </c>
      <c r="BR1348" s="428">
        <f>+BR1315/BR1346</f>
        <v>0.1918169757195797</v>
      </c>
      <c r="BS1348" s="347"/>
      <c r="BT1348" s="428">
        <f>+BT1315/BT1346</f>
        <v>0.1876909985909565</v>
      </c>
      <c r="BU1348" s="428">
        <f>+BU1315/BU1346</f>
        <v>0.19993685235290765</v>
      </c>
      <c r="BV1348" s="428">
        <f>+BV1315/BV1346</f>
        <v>0.19993685235290765</v>
      </c>
      <c r="BW1348" s="347"/>
      <c r="BX1348" s="428">
        <f>+BX1315/BX1346</f>
        <v>0.25487162774161326</v>
      </c>
      <c r="BY1348" s="428">
        <f>+BY1315/BY1346</f>
        <v>0.28812181362005695</v>
      </c>
      <c r="BZ1348" s="428">
        <f>+BZ1315/BZ1346</f>
        <v>0.28812181362005695</v>
      </c>
      <c r="CA1348" s="347"/>
      <c r="CB1348" s="428">
        <f>+CB1315/CB1346</f>
        <v>0.2871005585685058</v>
      </c>
      <c r="CC1348" s="428">
        <f>+CC1315/CC1346</f>
        <v>0.28869863355027758</v>
      </c>
      <c r="CD1348" s="428">
        <f>+CD1315/CD1346</f>
        <v>0.28869863355027758</v>
      </c>
      <c r="CE1348" s="347"/>
      <c r="CF1348" s="428">
        <f>+CF1315/CF1346</f>
        <v>0.29199520004682883</v>
      </c>
      <c r="CG1348" s="428">
        <f>+CG1315/CG1346</f>
        <v>0.29580335868987384</v>
      </c>
      <c r="CH1348" s="428">
        <f>+CH1315/CH1346</f>
        <v>0.29580335868987384</v>
      </c>
      <c r="CI1348" s="347"/>
      <c r="CJ1348" s="428">
        <f>+CJ1315/CJ1346</f>
        <v>0.28844306565250705</v>
      </c>
      <c r="CK1348" s="428">
        <f>+CK1315/CK1346</f>
        <v>0.2853835101679929</v>
      </c>
      <c r="CL1348" s="428">
        <f>+CL1315/CL1346</f>
        <v>0.2853835101679929</v>
      </c>
      <c r="CM1348" s="347"/>
      <c r="CN1348" s="428">
        <f>+CN1315/CN1346</f>
        <v>0.28323064875437587</v>
      </c>
      <c r="CO1348" s="428">
        <f>+CO1315/CO1346</f>
        <v>0.28681203816778095</v>
      </c>
      <c r="CP1348" s="428">
        <f>+CP1315/CP1346</f>
        <v>0.28681203816778095</v>
      </c>
      <c r="CQ1348" s="347"/>
      <c r="CR1348" s="428">
        <f>+CR1315/CR1346</f>
        <v>0.28779686752157912</v>
      </c>
      <c r="CS1348" s="428">
        <f>+CS1315/CS1346</f>
        <v>0.28657557239390152</v>
      </c>
      <c r="CT1348" s="428">
        <f>+CT1315/CT1346</f>
        <v>0.28657557239390152</v>
      </c>
      <c r="CU1348" s="347"/>
      <c r="CV1348" s="428">
        <f>+CV1315/CV1346</f>
        <v>0.27907827931290141</v>
      </c>
      <c r="CW1348" s="428">
        <f>+CW1315/CW1346</f>
        <v>0.23728569282049866</v>
      </c>
      <c r="CX1348" s="428">
        <f>+CX1315/CX1346</f>
        <v>0.23728569282049866</v>
      </c>
      <c r="CY1348" s="347"/>
      <c r="CZ1348" s="428">
        <f>+CZ1315/CZ1346</f>
        <v>0.23180672139716507</v>
      </c>
      <c r="DA1348" s="428">
        <f>+DA1315/DA1346</f>
        <v>0.228948053335259</v>
      </c>
      <c r="DB1348" s="428">
        <f>+DB1315/DB1346</f>
        <v>0.228948053335259</v>
      </c>
      <c r="DC1348" s="347"/>
      <c r="DD1348" s="428">
        <f>+DD1315/DD1346</f>
        <v>0.22191285465999483</v>
      </c>
      <c r="DE1348" s="428">
        <f>+DE1315/DE1346</f>
        <v>0.22119424407582269</v>
      </c>
      <c r="DF1348" s="428">
        <f>+DF1315/DF1346</f>
        <v>0.22119424407582269</v>
      </c>
      <c r="DG1348" s="347"/>
      <c r="DH1348" s="428">
        <f>+DH1315/DH1346</f>
        <v>0.22246051701753522</v>
      </c>
      <c r="DI1348" s="428">
        <f>+DI1315/DI1346</f>
        <v>0.22246051701753522</v>
      </c>
      <c r="DJ1348" s="428"/>
      <c r="DK1348" s="347"/>
      <c r="DL1348" s="428">
        <f>+DL1315/DL1346</f>
        <v>0.22246051701753519</v>
      </c>
      <c r="DM1348" s="428">
        <f>+DM1315/DM1346</f>
        <v>0.22246051701753519</v>
      </c>
      <c r="DN1348" s="428"/>
      <c r="DO1348" s="347"/>
      <c r="DP1348" s="428">
        <f>+DP1315/DP1346</f>
        <v>0.22246051701753519</v>
      </c>
      <c r="DQ1348" s="428">
        <f>+DQ1315/DQ1346</f>
        <v>0.22246051701753519</v>
      </c>
      <c r="DR1348" s="428"/>
      <c r="DS1348" s="347"/>
      <c r="DT1348"/>
      <c r="DU1348"/>
      <c r="DV1348" s="1"/>
      <c r="DW1348" s="1"/>
      <c r="DX1348" s="1"/>
      <c r="DY1348" s="1"/>
      <c r="DZ1348" s="1"/>
      <c r="EA1348" s="1"/>
      <c r="EB1348" s="1"/>
      <c r="EC1348" s="1"/>
      <c r="ED1348" s="1"/>
      <c r="EE1348" s="1"/>
      <c r="EF1348" s="1"/>
      <c r="EG1348" s="1"/>
      <c r="EH1348" s="1"/>
      <c r="EI1348" s="1"/>
      <c r="EJ1348" s="1"/>
      <c r="EK1348" s="1"/>
      <c r="EL1348" s="1"/>
      <c r="EM1348" s="1"/>
      <c r="EN1348" s="1"/>
      <c r="EO1348" s="1"/>
      <c r="EP1348" s="1"/>
      <c r="EQ1348" s="1"/>
      <c r="ER1348" s="1"/>
      <c r="ES1348" s="1"/>
      <c r="ET1348" s="1"/>
      <c r="EU1348" s="1"/>
      <c r="EV1348" s="1"/>
      <c r="EW1348" s="1"/>
      <c r="EX1348" s="1"/>
      <c r="EY1348" s="1"/>
      <c r="EZ1348" s="1"/>
      <c r="FA1348" s="1"/>
      <c r="FB1348" s="1"/>
      <c r="FC1348" s="1"/>
      <c r="FD1348" s="1"/>
      <c r="FE1348" s="1"/>
      <c r="FF1348" s="1"/>
      <c r="FG1348" s="1"/>
      <c r="FH1348" s="1"/>
      <c r="FI1348" s="1"/>
      <c r="FJ1348" s="1"/>
      <c r="FK1348" s="1"/>
      <c r="FL1348" s="1"/>
      <c r="FM1348" s="1"/>
      <c r="FN1348" s="1"/>
      <c r="FO1348" s="1"/>
      <c r="FP1348" s="1"/>
      <c r="FQ1348" s="1"/>
      <c r="FR1348" s="1"/>
      <c r="FS1348" s="1"/>
      <c r="FT1348" s="1"/>
      <c r="FU1348" s="1"/>
      <c r="FV1348" s="1"/>
      <c r="FW1348" s="1"/>
      <c r="FX1348" s="1"/>
      <c r="FY1348" s="1"/>
      <c r="FZ1348" s="1"/>
      <c r="GA1348" s="1"/>
      <c r="GB1348" s="1"/>
      <c r="GC1348" s="1"/>
      <c r="GD1348" s="1"/>
      <c r="GE1348" s="1"/>
      <c r="GF1348" s="1"/>
      <c r="GG1348" s="1"/>
      <c r="GH1348" s="1"/>
      <c r="GI1348" s="1"/>
      <c r="GJ1348" s="1"/>
      <c r="GK1348" s="1"/>
      <c r="GL1348" s="1"/>
      <c r="GM1348" s="1"/>
      <c r="GN1348" s="1"/>
      <c r="GO1348" s="1"/>
      <c r="GP1348" s="1"/>
      <c r="GQ1348" s="1"/>
      <c r="GR1348" s="1"/>
      <c r="GS1348" s="1"/>
      <c r="GT1348" s="1"/>
      <c r="GU1348" s="1"/>
      <c r="GV1348" s="1"/>
      <c r="GW1348" s="1"/>
      <c r="GX1348" s="1"/>
      <c r="GY1348" s="1"/>
      <c r="GZ1348" s="1"/>
      <c r="HA1348" s="1"/>
      <c r="HB1348" s="1"/>
      <c r="HC1348" s="1"/>
      <c r="HD1348" s="1"/>
      <c r="HE1348" s="1"/>
      <c r="HF1348" s="1"/>
      <c r="HG1348" s="1"/>
      <c r="HH1348" s="1"/>
      <c r="HI1348" s="1"/>
      <c r="HJ1348" s="1"/>
      <c r="HK1348" s="1"/>
      <c r="HL1348" s="1"/>
      <c r="HM1348" s="1"/>
      <c r="HN1348" s="1"/>
      <c r="HO1348" s="1"/>
      <c r="HP1348" s="1"/>
      <c r="HQ1348" s="1"/>
      <c r="HR1348" s="1"/>
      <c r="HS1348" s="1"/>
      <c r="HT1348" s="1"/>
      <c r="HU1348" s="1"/>
      <c r="HV1348" s="1"/>
      <c r="HW1348" s="1"/>
      <c r="HX1348" s="1"/>
      <c r="HY1348" s="1"/>
      <c r="HZ1348" s="1"/>
      <c r="IA1348" s="1"/>
      <c r="IB1348" s="1"/>
      <c r="IC1348" s="1"/>
      <c r="ID1348" s="1"/>
      <c r="IE1348" s="1"/>
      <c r="IF1348" s="1"/>
      <c r="IG1348" s="1"/>
      <c r="IH1348" s="1"/>
      <c r="II1348" s="1"/>
      <c r="IJ1348" s="1"/>
      <c r="IK1348" s="1"/>
      <c r="IL1348" s="1"/>
      <c r="IM1348" s="1"/>
      <c r="IN1348" s="1"/>
      <c r="IO1348" s="1"/>
      <c r="IP1348" s="1"/>
      <c r="IQ1348" s="1"/>
      <c r="IR1348" s="1"/>
      <c r="IS1348" s="1"/>
      <c r="IT1348" s="1"/>
      <c r="IU1348" s="1"/>
      <c r="IV1348" s="1"/>
      <c r="IW1348" s="1"/>
      <c r="IX1348" s="1"/>
      <c r="IY1348" s="1"/>
      <c r="IZ1348" s="1"/>
      <c r="JA1348" s="1"/>
      <c r="JB1348" s="1"/>
      <c r="JC1348" s="1"/>
      <c r="JD1348" s="1"/>
    </row>
    <row r="1349" spans="1:264" s="424" customFormat="1" ht="15.75" thickBot="1" x14ac:dyDescent="0.3">
      <c r="B1349" s="348"/>
      <c r="C1349" s="347"/>
      <c r="D1349" s="347"/>
      <c r="E1349" s="347"/>
      <c r="F1349" s="347"/>
      <c r="G1349" s="347"/>
      <c r="H1349" s="347"/>
      <c r="I1349" s="347"/>
      <c r="J1349" s="347"/>
      <c r="K1349" s="347"/>
      <c r="L1349" s="347"/>
      <c r="M1349" s="347"/>
      <c r="N1349" s="347"/>
      <c r="O1349" s="347"/>
      <c r="P1349" s="347"/>
      <c r="Q1349" s="347"/>
      <c r="R1349" s="347"/>
      <c r="S1349" s="347"/>
      <c r="T1349" s="347"/>
      <c r="U1349" s="347"/>
      <c r="V1349" s="347"/>
      <c r="W1349" s="347"/>
      <c r="X1349" s="347"/>
      <c r="Y1349" s="347"/>
      <c r="Z1349" s="347"/>
      <c r="AA1349" s="347"/>
      <c r="AB1349" s="347"/>
      <c r="AC1349" s="347"/>
      <c r="AD1349" s="347"/>
      <c r="AE1349" s="347"/>
      <c r="AF1349" s="347"/>
      <c r="AG1349" s="347"/>
      <c r="AH1349" s="347"/>
      <c r="AI1349" s="347"/>
      <c r="AJ1349" s="347"/>
      <c r="AK1349" s="347"/>
      <c r="AL1349" s="347"/>
      <c r="AM1349" s="347"/>
      <c r="AN1349" s="347"/>
      <c r="AO1349" s="347"/>
      <c r="AP1349" s="347"/>
      <c r="AQ1349" s="347"/>
      <c r="AR1349" s="347"/>
      <c r="AS1349" s="347"/>
      <c r="AT1349" s="347"/>
      <c r="AU1349" s="347"/>
      <c r="AV1349" s="347"/>
      <c r="AW1349" s="347"/>
      <c r="AX1349" s="347"/>
      <c r="AY1349" s="347"/>
      <c r="AZ1349" s="347"/>
      <c r="BA1349" s="347"/>
      <c r="BB1349" s="347"/>
      <c r="BC1349" s="347"/>
      <c r="BD1349" s="428"/>
      <c r="BE1349" s="428"/>
      <c r="BF1349" s="428"/>
      <c r="BG1349" s="347"/>
      <c r="BH1349" s="428"/>
      <c r="BI1349" s="428"/>
      <c r="BJ1349" s="428"/>
      <c r="BK1349" s="348"/>
      <c r="BL1349" s="428"/>
      <c r="BM1349" s="428"/>
      <c r="BN1349" s="428"/>
      <c r="BO1349" s="348"/>
      <c r="BP1349" s="428"/>
      <c r="BQ1349" s="428"/>
      <c r="BR1349" s="428"/>
      <c r="BS1349" s="347"/>
      <c r="BT1349" s="428"/>
      <c r="BU1349" s="428"/>
      <c r="BV1349" s="428"/>
      <c r="BW1349" s="347"/>
      <c r="BX1349" s="428"/>
      <c r="BY1349" s="428"/>
      <c r="BZ1349" s="428"/>
      <c r="CA1349" s="347"/>
      <c r="CB1349" s="428"/>
      <c r="CC1349" s="428"/>
      <c r="CD1349" s="428"/>
      <c r="CE1349" s="347"/>
      <c r="CF1349" s="428"/>
      <c r="CG1349" s="428"/>
      <c r="CH1349" s="428"/>
      <c r="CI1349" s="347"/>
      <c r="CJ1349" s="428"/>
      <c r="CK1349" s="428"/>
      <c r="CL1349" s="428"/>
      <c r="CM1349" s="347"/>
      <c r="CN1349" s="428"/>
      <c r="CO1349" s="428"/>
      <c r="CP1349" s="428"/>
      <c r="CQ1349" s="347"/>
      <c r="CR1349" s="428"/>
      <c r="CS1349" s="428"/>
      <c r="CT1349" s="428"/>
      <c r="CU1349" s="347"/>
      <c r="CV1349" s="428"/>
      <c r="CW1349" s="428"/>
      <c r="CX1349" s="428"/>
      <c r="CY1349" s="347"/>
      <c r="CZ1349" s="428"/>
      <c r="DA1349" s="428"/>
      <c r="DB1349" s="428"/>
      <c r="DC1349" s="347"/>
      <c r="DD1349" s="428"/>
      <c r="DE1349" s="428"/>
      <c r="DF1349" s="428"/>
      <c r="DG1349" s="347"/>
      <c r="DH1349" s="428"/>
      <c r="DI1349" s="428"/>
      <c r="DJ1349" s="428"/>
      <c r="DK1349" s="347"/>
      <c r="DL1349" s="428"/>
      <c r="DM1349" s="428"/>
      <c r="DN1349" s="428"/>
      <c r="DO1349" s="347"/>
      <c r="DP1349" s="428"/>
      <c r="DQ1349" s="428"/>
      <c r="DR1349" s="428"/>
      <c r="DS1349" s="347"/>
      <c r="DT1349"/>
      <c r="DU1349"/>
      <c r="DV1349" s="1"/>
      <c r="DW1349" s="1"/>
      <c r="DX1349" s="1"/>
      <c r="DY1349" s="1"/>
      <c r="DZ1349" s="1"/>
      <c r="EA1349" s="1"/>
      <c r="EB1349" s="1"/>
      <c r="EC1349" s="1"/>
      <c r="ED1349" s="1"/>
      <c r="EE1349" s="1"/>
      <c r="EF1349" s="1"/>
      <c r="EG1349" s="1"/>
      <c r="EH1349" s="1"/>
      <c r="EI1349" s="1"/>
      <c r="EJ1349" s="1"/>
      <c r="EK1349" s="1"/>
      <c r="EL1349" s="1"/>
      <c r="EM1349" s="1"/>
      <c r="EN1349" s="1"/>
      <c r="EO1349" s="1"/>
      <c r="EP1349" s="1"/>
      <c r="EQ1349" s="1"/>
      <c r="ER1349" s="1"/>
      <c r="ES1349" s="1"/>
      <c r="ET1349" s="1"/>
      <c r="EU1349" s="1"/>
      <c r="EV1349" s="1"/>
      <c r="EW1349" s="1"/>
      <c r="EX1349" s="1"/>
      <c r="EY1349" s="1"/>
      <c r="EZ1349" s="1"/>
      <c r="FA1349" s="1"/>
      <c r="FB1349" s="1"/>
      <c r="FC1349" s="1"/>
      <c r="FD1349" s="1"/>
      <c r="FE1349" s="1"/>
      <c r="FF1349" s="1"/>
      <c r="FG1349" s="1"/>
      <c r="FH1349" s="1"/>
      <c r="FI1349" s="1"/>
      <c r="FJ1349" s="1"/>
      <c r="FK1349" s="1"/>
      <c r="FL1349" s="1"/>
      <c r="FM1349" s="1"/>
      <c r="FN1349" s="1"/>
      <c r="FO1349" s="1"/>
      <c r="FP1349" s="1"/>
      <c r="FQ1349" s="1"/>
      <c r="FR1349" s="1"/>
      <c r="FS1349" s="1"/>
      <c r="FT1349" s="1"/>
      <c r="FU1349" s="1"/>
      <c r="FV1349" s="1"/>
      <c r="FW1349" s="1"/>
      <c r="FX1349" s="1"/>
      <c r="FY1349" s="1"/>
      <c r="FZ1349" s="1"/>
      <c r="GA1349" s="1"/>
      <c r="GB1349" s="1"/>
      <c r="GC1349" s="1"/>
      <c r="GD1349" s="1"/>
      <c r="GE1349" s="1"/>
      <c r="GF1349" s="1"/>
      <c r="GG1349" s="1"/>
      <c r="GH1349" s="1"/>
      <c r="GI1349" s="1"/>
      <c r="GJ1349" s="1"/>
      <c r="GK1349" s="1"/>
      <c r="GL1349" s="1"/>
      <c r="GM1349" s="1"/>
      <c r="GN1349" s="1"/>
      <c r="GO1349" s="1"/>
      <c r="GP1349" s="1"/>
      <c r="GQ1349" s="1"/>
      <c r="GR1349" s="1"/>
      <c r="GS1349" s="1"/>
      <c r="GT1349" s="1"/>
      <c r="GU1349" s="1"/>
      <c r="GV1349" s="1"/>
      <c r="GW1349" s="1"/>
      <c r="GX1349" s="1"/>
      <c r="GY1349" s="1"/>
      <c r="GZ1349" s="1"/>
      <c r="HA1349" s="1"/>
      <c r="HB1349" s="1"/>
      <c r="HC1349" s="1"/>
      <c r="HD1349" s="1"/>
      <c r="HE1349" s="1"/>
      <c r="HF1349" s="1"/>
      <c r="HG1349" s="1"/>
      <c r="HH1349" s="1"/>
      <c r="HI1349" s="1"/>
      <c r="HJ1349" s="1"/>
      <c r="HK1349" s="1"/>
      <c r="HL1349" s="1"/>
      <c r="HM1349" s="1"/>
      <c r="HN1349" s="1"/>
      <c r="HO1349" s="1"/>
      <c r="HP1349" s="1"/>
      <c r="HQ1349" s="1"/>
      <c r="HR1349" s="1"/>
      <c r="HS1349" s="1"/>
      <c r="HT1349" s="1"/>
      <c r="HU1349" s="1"/>
      <c r="HV1349" s="1"/>
      <c r="HW1349" s="1"/>
      <c r="HX1349" s="1"/>
      <c r="HY1349" s="1"/>
      <c r="HZ1349" s="1"/>
      <c r="IA1349" s="1"/>
      <c r="IB1349" s="1"/>
      <c r="IC1349" s="1"/>
      <c r="ID1349" s="1"/>
      <c r="IE1349" s="1"/>
      <c r="IF1349" s="1"/>
      <c r="IG1349" s="1"/>
      <c r="IH1349" s="1"/>
      <c r="II1349" s="1"/>
      <c r="IJ1349" s="1"/>
      <c r="IK1349" s="1"/>
      <c r="IL1349" s="1"/>
      <c r="IM1349" s="1"/>
      <c r="IN1349" s="1"/>
      <c r="IO1349" s="1"/>
      <c r="IP1349" s="1"/>
      <c r="IQ1349" s="1"/>
      <c r="IR1349" s="1"/>
      <c r="IS1349" s="1"/>
      <c r="IT1349" s="1"/>
      <c r="IU1349" s="1"/>
      <c r="IV1349" s="1"/>
      <c r="IW1349" s="1"/>
      <c r="IX1349" s="1"/>
      <c r="IY1349" s="1"/>
      <c r="IZ1349" s="1"/>
      <c r="JA1349" s="1"/>
      <c r="JB1349" s="1"/>
      <c r="JC1349" s="1"/>
      <c r="JD1349" s="1"/>
    </row>
    <row r="1350" spans="1:264" s="347" customFormat="1" ht="15.75" thickBot="1" x14ac:dyDescent="0.3">
      <c r="A1350" s="821" t="s">
        <v>892</v>
      </c>
      <c r="B1350" s="446"/>
      <c r="C1350" s="447"/>
      <c r="D1350" s="447"/>
      <c r="E1350" s="447"/>
      <c r="F1350" s="447"/>
      <c r="G1350" s="447"/>
      <c r="H1350" s="447"/>
      <c r="I1350" s="447"/>
      <c r="J1350" s="447"/>
      <c r="K1350" s="447"/>
      <c r="L1350" s="447"/>
      <c r="M1350" s="447"/>
      <c r="N1350" s="447"/>
      <c r="O1350" s="447"/>
      <c r="P1350" s="447"/>
      <c r="Q1350" s="447"/>
      <c r="R1350" s="447"/>
      <c r="S1350" s="447"/>
      <c r="T1350" s="447"/>
      <c r="U1350" s="447"/>
      <c r="V1350" s="447"/>
      <c r="W1350" s="447"/>
      <c r="X1350" s="447"/>
      <c r="Y1350" s="447"/>
      <c r="Z1350" s="447"/>
      <c r="AA1350" s="447"/>
      <c r="AB1350" s="447"/>
      <c r="AC1350" s="447"/>
      <c r="AD1350" s="447"/>
      <c r="AE1350" s="447"/>
      <c r="AF1350" s="447"/>
      <c r="AG1350" s="447"/>
      <c r="AH1350" s="447"/>
      <c r="AI1350" s="447"/>
      <c r="AJ1350" s="447"/>
      <c r="AK1350" s="447"/>
      <c r="AL1350" s="447"/>
      <c r="AM1350" s="447"/>
      <c r="AN1350" s="447"/>
      <c r="AO1350" s="447"/>
      <c r="AP1350" s="447"/>
      <c r="AQ1350" s="447"/>
      <c r="AR1350" s="447"/>
      <c r="AS1350" s="447"/>
      <c r="AT1350" s="447"/>
      <c r="AU1350" s="447"/>
      <c r="AV1350" s="447"/>
      <c r="AW1350" s="447"/>
      <c r="AX1350" s="447"/>
      <c r="AY1350" s="447"/>
      <c r="AZ1350" s="447"/>
      <c r="BA1350" s="447"/>
      <c r="BB1350" s="447"/>
      <c r="BC1350" s="447"/>
      <c r="BD1350" s="835"/>
      <c r="BE1350" s="446"/>
      <c r="BF1350" s="446"/>
      <c r="BG1350" s="447"/>
      <c r="BH1350" s="835"/>
      <c r="BI1350" s="446"/>
      <c r="BJ1350" s="446"/>
      <c r="BK1350" s="446"/>
      <c r="BL1350" s="835"/>
      <c r="BM1350" s="835"/>
      <c r="BN1350" s="836"/>
      <c r="BO1350" s="836"/>
      <c r="BP1350" s="835"/>
      <c r="BQ1350" s="835"/>
      <c r="BR1350" s="836"/>
      <c r="BS1350" s="447"/>
      <c r="BT1350" s="835"/>
      <c r="BU1350" s="835"/>
      <c r="BV1350" s="836"/>
      <c r="BW1350" s="447"/>
      <c r="BX1350" s="835"/>
      <c r="BY1350" s="447"/>
      <c r="BZ1350" s="446"/>
      <c r="CA1350" s="837"/>
      <c r="CB1350" s="835"/>
      <c r="CC1350" s="447"/>
      <c r="CD1350" s="446"/>
      <c r="CE1350" s="447"/>
      <c r="CF1350" s="797">
        <f t="shared" ref="CF1350:CH1351" si="991">CF1323/CF1335</f>
        <v>0.56768837446084819</v>
      </c>
      <c r="CG1350" s="797">
        <f t="shared" si="991"/>
        <v>0.56295146661743323</v>
      </c>
      <c r="CH1350" s="797">
        <f t="shared" si="991"/>
        <v>0.56295146661743323</v>
      </c>
      <c r="CI1350" s="605"/>
      <c r="CJ1350" s="797">
        <f t="shared" ref="CJ1350:CL1351" si="992">CJ1323/CJ1335</f>
        <v>0.57455595684322058</v>
      </c>
      <c r="CK1350" s="797">
        <f t="shared" si="992"/>
        <v>0.57877532984744029</v>
      </c>
      <c r="CL1350" s="797">
        <f t="shared" si="992"/>
        <v>0.57877532984744029</v>
      </c>
      <c r="CM1350" s="605"/>
      <c r="CN1350" s="797">
        <f>CN1323/CN1335</f>
        <v>0.56520097083604093</v>
      </c>
      <c r="CO1350" s="797">
        <f t="shared" ref="CO1350:CP1351" si="993">CO1323/CO1335</f>
        <v>0.54835406975450152</v>
      </c>
      <c r="CP1350" s="797">
        <f t="shared" si="993"/>
        <v>0.54835406975450152</v>
      </c>
      <c r="CQ1350" s="605"/>
      <c r="CR1350" s="797">
        <f>CR1323/CR1335</f>
        <v>0.52453068554365301</v>
      </c>
      <c r="CS1350" s="797">
        <f t="shared" ref="CS1350:CT1351" si="994">CS1323/CS1335</f>
        <v>0.50862479603522892</v>
      </c>
      <c r="CT1350" s="797">
        <f t="shared" si="994"/>
        <v>0.50862479603522892</v>
      </c>
      <c r="CU1350" s="605"/>
      <c r="CV1350" s="797">
        <f>CV1323/CV1335</f>
        <v>0.51288724263998464</v>
      </c>
      <c r="CW1350" s="797">
        <f t="shared" ref="CW1350:CX1351" si="995">CW1323/CW1335</f>
        <v>0.52443187013013404</v>
      </c>
      <c r="CX1350" s="797">
        <f t="shared" si="995"/>
        <v>0.52443187013013404</v>
      </c>
      <c r="CY1350" s="447"/>
      <c r="CZ1350" s="797">
        <f>CZ1323/CZ1335</f>
        <v>0.53377718940543262</v>
      </c>
      <c r="DA1350" s="797">
        <f t="shared" ref="DA1350:DB1351" si="996">DA1323/DA1335</f>
        <v>0.53342426464749326</v>
      </c>
      <c r="DB1350" s="797">
        <f t="shared" si="996"/>
        <v>0.53342426464749326</v>
      </c>
      <c r="DC1350" s="447"/>
      <c r="DD1350" s="797">
        <f>DD1323/DD1335</f>
        <v>0.53484014623667164</v>
      </c>
      <c r="DE1350" s="797">
        <f t="shared" ref="DE1350:DF1350" si="997">DE1323/DE1335</f>
        <v>0.53397934355379351</v>
      </c>
      <c r="DF1350" s="797">
        <f t="shared" si="997"/>
        <v>0.53397934355379351</v>
      </c>
      <c r="DG1350" s="447"/>
      <c r="DH1350" s="797">
        <f>DH1323/DH1335</f>
        <v>0.53108375863104174</v>
      </c>
      <c r="DI1350" s="842">
        <f>DH1350</f>
        <v>0.53108375863104174</v>
      </c>
      <c r="DJ1350" s="797">
        <f>DJ1323/DJ1335</f>
        <v>0.53108375863104174</v>
      </c>
      <c r="DK1350" s="447"/>
      <c r="DL1350" s="842">
        <f>DI1350</f>
        <v>0.53108375863104174</v>
      </c>
      <c r="DM1350" s="842">
        <f>DL1350</f>
        <v>0.53108375863104174</v>
      </c>
      <c r="DN1350" s="797">
        <f>DN1323/DN1335</f>
        <v>0.53108375863104174</v>
      </c>
      <c r="DO1350" s="447"/>
      <c r="DP1350" s="842">
        <f>DM1350</f>
        <v>0.53108375863104174</v>
      </c>
      <c r="DQ1350" s="842">
        <f>DP1350</f>
        <v>0.53108375863104174</v>
      </c>
      <c r="DR1350" s="797">
        <f>DR1323/DR1335</f>
        <v>0.53108375863104174</v>
      </c>
      <c r="DS1350" s="447"/>
      <c r="DT1350"/>
      <c r="DU1350"/>
      <c r="DV1350" s="1"/>
      <c r="DW1350" s="1"/>
      <c r="DX1350" s="1"/>
      <c r="DY1350" s="1"/>
      <c r="DZ1350" s="1"/>
      <c r="EA1350" s="1"/>
      <c r="EB1350" s="1"/>
      <c r="EC1350" s="1"/>
      <c r="ED1350" s="1"/>
      <c r="EE1350" s="1"/>
      <c r="EF1350" s="1"/>
      <c r="EG1350" s="1"/>
      <c r="EH1350" s="1"/>
      <c r="EI1350" s="1"/>
      <c r="EJ1350" s="1"/>
      <c r="EK1350" s="1"/>
      <c r="EL1350" s="1"/>
      <c r="EM1350" s="1"/>
      <c r="EN1350" s="1"/>
      <c r="EO1350" s="1"/>
      <c r="EP1350" s="1"/>
      <c r="EQ1350" s="1"/>
      <c r="ER1350" s="1"/>
      <c r="ES1350" s="1"/>
      <c r="ET1350" s="1"/>
      <c r="EU1350" s="1"/>
      <c r="EV1350" s="1"/>
      <c r="EW1350" s="1"/>
      <c r="EX1350" s="1"/>
      <c r="EY1350" s="1"/>
      <c r="EZ1350" s="1"/>
      <c r="FA1350" s="1"/>
      <c r="FB1350" s="1"/>
      <c r="FC1350" s="1"/>
      <c r="FD1350" s="1"/>
      <c r="FE1350" s="1"/>
      <c r="FF1350" s="1"/>
      <c r="FG1350" s="1"/>
      <c r="FH1350" s="1"/>
      <c r="FI1350" s="1"/>
      <c r="FJ1350" s="1"/>
      <c r="FK1350" s="1"/>
      <c r="FL1350" s="1"/>
      <c r="FM1350" s="1"/>
      <c r="FN1350" s="1"/>
      <c r="FO1350" s="1"/>
      <c r="FP1350" s="1"/>
      <c r="FQ1350" s="1"/>
      <c r="FR1350" s="1"/>
      <c r="FS1350" s="1"/>
      <c r="FT1350" s="1"/>
      <c r="FU1350" s="1"/>
      <c r="FV1350" s="1"/>
      <c r="FW1350" s="1"/>
      <c r="FX1350" s="1"/>
      <c r="FY1350" s="1"/>
      <c r="FZ1350" s="1"/>
      <c r="GA1350" s="1"/>
      <c r="GB1350" s="1"/>
      <c r="GC1350" s="1"/>
      <c r="GD1350" s="1"/>
      <c r="GE1350" s="1"/>
      <c r="GF1350" s="1"/>
      <c r="GG1350" s="1"/>
      <c r="GH1350" s="1"/>
      <c r="GI1350" s="1"/>
      <c r="GJ1350" s="1"/>
      <c r="GK1350" s="1"/>
      <c r="GL1350" s="1"/>
      <c r="GM1350" s="1"/>
      <c r="GN1350" s="1"/>
      <c r="GO1350" s="1"/>
      <c r="GP1350" s="1"/>
      <c r="GQ1350" s="1"/>
      <c r="GR1350" s="1"/>
      <c r="GS1350" s="1"/>
      <c r="GT1350" s="1"/>
      <c r="GU1350" s="1"/>
      <c r="GV1350" s="1"/>
      <c r="GW1350" s="1"/>
      <c r="GX1350" s="1"/>
      <c r="GY1350" s="1"/>
      <c r="GZ1350" s="1"/>
      <c r="HA1350" s="1"/>
      <c r="HB1350" s="1"/>
      <c r="HC1350" s="1"/>
      <c r="HD1350" s="1"/>
      <c r="HE1350" s="1"/>
      <c r="HF1350" s="1"/>
      <c r="HG1350" s="1"/>
      <c r="HH1350" s="1"/>
      <c r="HI1350" s="1"/>
      <c r="HJ1350" s="1"/>
      <c r="HK1350" s="1"/>
      <c r="HL1350" s="1"/>
      <c r="HM1350" s="1"/>
      <c r="HN1350" s="1"/>
      <c r="HO1350" s="1"/>
      <c r="HP1350" s="1"/>
      <c r="HQ1350" s="1"/>
      <c r="HR1350" s="1"/>
      <c r="HS1350" s="1"/>
      <c r="HT1350" s="1"/>
      <c r="HU1350" s="1"/>
      <c r="HV1350" s="1"/>
      <c r="HW1350" s="1"/>
      <c r="HX1350" s="1"/>
      <c r="HY1350" s="1"/>
      <c r="HZ1350" s="1"/>
      <c r="IA1350" s="1"/>
      <c r="IB1350" s="1"/>
      <c r="IC1350" s="1"/>
      <c r="ID1350" s="1"/>
      <c r="IE1350" s="1"/>
      <c r="IF1350" s="1"/>
      <c r="IG1350" s="1"/>
      <c r="IH1350" s="1"/>
      <c r="II1350" s="1"/>
      <c r="IJ1350" s="1"/>
      <c r="IK1350" s="1"/>
      <c r="IL1350" s="1"/>
      <c r="IM1350" s="1"/>
      <c r="IN1350" s="1"/>
      <c r="IO1350" s="1"/>
      <c r="IP1350" s="1"/>
      <c r="IQ1350" s="1"/>
      <c r="IR1350" s="1"/>
      <c r="IS1350" s="1"/>
      <c r="IT1350" s="1"/>
      <c r="IU1350" s="1"/>
      <c r="IV1350" s="1"/>
      <c r="IW1350" s="1"/>
      <c r="IX1350" s="1"/>
      <c r="IY1350" s="1"/>
      <c r="IZ1350" s="1"/>
      <c r="JA1350" s="1"/>
      <c r="JB1350" s="1"/>
      <c r="JC1350" s="1"/>
      <c r="JD1350" s="1"/>
    </row>
    <row r="1351" spans="1:264" s="347" customFormat="1" ht="15.75" thickBot="1" x14ac:dyDescent="0.3">
      <c r="A1351" s="821" t="s">
        <v>893</v>
      </c>
      <c r="B1351" s="446"/>
      <c r="C1351" s="447"/>
      <c r="D1351" s="447"/>
      <c r="E1351" s="447"/>
      <c r="F1351" s="447"/>
      <c r="G1351" s="447"/>
      <c r="H1351" s="447"/>
      <c r="I1351" s="447"/>
      <c r="J1351" s="447"/>
      <c r="K1351" s="447"/>
      <c r="L1351" s="447"/>
      <c r="M1351" s="447"/>
      <c r="N1351" s="447"/>
      <c r="O1351" s="447"/>
      <c r="P1351" s="447"/>
      <c r="Q1351" s="447"/>
      <c r="R1351" s="447"/>
      <c r="S1351" s="447"/>
      <c r="T1351" s="447"/>
      <c r="U1351" s="447"/>
      <c r="V1351" s="447"/>
      <c r="W1351" s="447"/>
      <c r="X1351" s="447"/>
      <c r="Y1351" s="447"/>
      <c r="Z1351" s="447"/>
      <c r="AA1351" s="447"/>
      <c r="AB1351" s="447"/>
      <c r="AC1351" s="447"/>
      <c r="AD1351" s="447"/>
      <c r="AE1351" s="447"/>
      <c r="AF1351" s="447"/>
      <c r="AG1351" s="447"/>
      <c r="AH1351" s="447"/>
      <c r="AI1351" s="447"/>
      <c r="AJ1351" s="447"/>
      <c r="AK1351" s="447"/>
      <c r="AL1351" s="447"/>
      <c r="AM1351" s="447"/>
      <c r="AN1351" s="447"/>
      <c r="AO1351" s="447"/>
      <c r="AP1351" s="447"/>
      <c r="AQ1351" s="447"/>
      <c r="AR1351" s="447"/>
      <c r="AS1351" s="447"/>
      <c r="AT1351" s="447"/>
      <c r="AU1351" s="447"/>
      <c r="AV1351" s="447"/>
      <c r="AW1351" s="447"/>
      <c r="AX1351" s="447"/>
      <c r="AY1351" s="447"/>
      <c r="AZ1351" s="447"/>
      <c r="BA1351" s="447"/>
      <c r="BB1351" s="447"/>
      <c r="BC1351" s="447"/>
      <c r="BD1351" s="835"/>
      <c r="BE1351" s="446"/>
      <c r="BF1351" s="446"/>
      <c r="BG1351" s="447"/>
      <c r="BH1351" s="835"/>
      <c r="BI1351" s="446"/>
      <c r="BJ1351" s="446"/>
      <c r="BK1351" s="446"/>
      <c r="BL1351" s="835"/>
      <c r="BM1351" s="835"/>
      <c r="BN1351" s="836"/>
      <c r="BO1351" s="836"/>
      <c r="BP1351" s="835"/>
      <c r="BQ1351" s="835"/>
      <c r="BR1351" s="836"/>
      <c r="BS1351" s="447"/>
      <c r="BT1351" s="835"/>
      <c r="BU1351" s="835"/>
      <c r="BV1351" s="836"/>
      <c r="BW1351" s="447"/>
      <c r="BX1351" s="835"/>
      <c r="BY1351" s="447"/>
      <c r="BZ1351" s="446"/>
      <c r="CA1351" s="837"/>
      <c r="CB1351" s="835"/>
      <c r="CC1351" s="447"/>
      <c r="CD1351" s="446"/>
      <c r="CE1351" s="447"/>
      <c r="CF1351" s="797">
        <f t="shared" si="991"/>
        <v>0.87712705731773355</v>
      </c>
      <c r="CG1351" s="797">
        <f t="shared" si="991"/>
        <v>0.87807266673195572</v>
      </c>
      <c r="CH1351" s="797">
        <f t="shared" si="991"/>
        <v>0.87807266673195572</v>
      </c>
      <c r="CI1351" s="605"/>
      <c r="CJ1351" s="797">
        <f t="shared" si="992"/>
        <v>0.87224038611240851</v>
      </c>
      <c r="CK1351" s="797">
        <f t="shared" si="992"/>
        <v>0.88225731187813283</v>
      </c>
      <c r="CL1351" s="797">
        <f t="shared" si="992"/>
        <v>0.88225731187813283</v>
      </c>
      <c r="CM1351" s="605"/>
      <c r="CN1351" s="797">
        <f>CN1324/CN1336</f>
        <v>0.87538029317146304</v>
      </c>
      <c r="CO1351" s="797">
        <f t="shared" si="993"/>
        <v>0.8627437703141928</v>
      </c>
      <c r="CP1351" s="797">
        <f t="shared" si="993"/>
        <v>0.8627437703141928</v>
      </c>
      <c r="CQ1351" s="605"/>
      <c r="CR1351" s="797">
        <f>CR1324/CR1336</f>
        <v>0.86529866442317804</v>
      </c>
      <c r="CS1351" s="797">
        <f t="shared" si="994"/>
        <v>0.87185619402888082</v>
      </c>
      <c r="CT1351" s="797">
        <f t="shared" si="994"/>
        <v>0.87185619402888082</v>
      </c>
      <c r="CU1351" s="605"/>
      <c r="CV1351" s="797">
        <f>CV1324/CV1336</f>
        <v>0.8931812452735064</v>
      </c>
      <c r="CW1351" s="797">
        <f t="shared" si="995"/>
        <v>0.83344106873518642</v>
      </c>
      <c r="CX1351" s="797">
        <f t="shared" si="995"/>
        <v>0.83344106873518642</v>
      </c>
      <c r="CY1351" s="447"/>
      <c r="CZ1351" s="797">
        <f>CZ1324/CZ1336</f>
        <v>0.79899954524783989</v>
      </c>
      <c r="DA1351" s="797">
        <f t="shared" si="996"/>
        <v>0.79790712884238069</v>
      </c>
      <c r="DB1351" s="797">
        <f t="shared" si="996"/>
        <v>0.79790712884238069</v>
      </c>
      <c r="DC1351" s="447"/>
      <c r="DD1351" s="797">
        <f>DD1324/DD1336</f>
        <v>0.8072187552707033</v>
      </c>
      <c r="DE1351" s="797">
        <f t="shared" ref="DE1351:DF1351" si="998">DE1324/DE1336</f>
        <v>0.8065907522429262</v>
      </c>
      <c r="DF1351" s="797">
        <f t="shared" si="998"/>
        <v>0.8065907522429262</v>
      </c>
      <c r="DG1351" s="447"/>
      <c r="DH1351" s="797">
        <f>DH1324/DH1336</f>
        <v>0.80553995882463036</v>
      </c>
      <c r="DI1351" s="842">
        <f>DH1351</f>
        <v>0.80553995882463036</v>
      </c>
      <c r="DJ1351" s="797">
        <f>DJ1324/DJ1336</f>
        <v>0.80553995882463036</v>
      </c>
      <c r="DK1351" s="447"/>
      <c r="DL1351" s="842">
        <f>DI1351</f>
        <v>0.80553995882463036</v>
      </c>
      <c r="DM1351" s="842">
        <f>DL1351</f>
        <v>0.80553995882463036</v>
      </c>
      <c r="DN1351" s="797">
        <f>DN1324/DN1336</f>
        <v>0.80553995882463036</v>
      </c>
      <c r="DO1351" s="447"/>
      <c r="DP1351" s="842">
        <f>DM1351</f>
        <v>0.80553995882463036</v>
      </c>
      <c r="DQ1351" s="842">
        <f>DP1351</f>
        <v>0.80553995882463036</v>
      </c>
      <c r="DR1351" s="797">
        <f>DR1324/DR1336</f>
        <v>0.80553995882463036</v>
      </c>
      <c r="DS1351" s="447"/>
      <c r="DT1351"/>
      <c r="DU1351"/>
      <c r="DV1351" s="1"/>
      <c r="DW1351" s="1"/>
      <c r="DX1351" s="1"/>
      <c r="DY1351" s="1"/>
      <c r="DZ1351" s="1"/>
      <c r="EA1351" s="1"/>
      <c r="EB1351" s="1"/>
      <c r="EC1351" s="1"/>
      <c r="ED1351" s="1"/>
      <c r="EE1351" s="1"/>
      <c r="EF1351" s="1"/>
      <c r="EG1351" s="1"/>
      <c r="EH1351" s="1"/>
      <c r="EI1351" s="1"/>
      <c r="EJ1351" s="1"/>
      <c r="EK1351" s="1"/>
      <c r="EL1351" s="1"/>
      <c r="EM1351" s="1"/>
      <c r="EN1351" s="1"/>
      <c r="EO1351" s="1"/>
      <c r="EP1351" s="1"/>
      <c r="EQ1351" s="1"/>
      <c r="ER1351" s="1"/>
      <c r="ES1351" s="1"/>
      <c r="ET1351" s="1"/>
      <c r="EU1351" s="1"/>
      <c r="EV1351" s="1"/>
      <c r="EW1351" s="1"/>
      <c r="EX1351" s="1"/>
      <c r="EY1351" s="1"/>
      <c r="EZ1351" s="1"/>
      <c r="FA1351" s="1"/>
      <c r="FB1351" s="1"/>
      <c r="FC1351" s="1"/>
      <c r="FD1351" s="1"/>
      <c r="FE1351" s="1"/>
      <c r="FF1351" s="1"/>
      <c r="FG1351" s="1"/>
      <c r="FH1351" s="1"/>
      <c r="FI1351" s="1"/>
      <c r="FJ1351" s="1"/>
      <c r="FK1351" s="1"/>
      <c r="FL1351" s="1"/>
      <c r="FM1351" s="1"/>
      <c r="FN1351" s="1"/>
      <c r="FO1351" s="1"/>
      <c r="FP1351" s="1"/>
      <c r="FQ1351" s="1"/>
      <c r="FR1351" s="1"/>
      <c r="FS1351" s="1"/>
      <c r="FT1351" s="1"/>
      <c r="FU1351" s="1"/>
      <c r="FV1351" s="1"/>
      <c r="FW1351" s="1"/>
      <c r="FX1351" s="1"/>
      <c r="FY1351" s="1"/>
      <c r="FZ1351" s="1"/>
      <c r="GA1351" s="1"/>
      <c r="GB1351" s="1"/>
      <c r="GC1351" s="1"/>
      <c r="GD1351" s="1"/>
      <c r="GE1351" s="1"/>
      <c r="GF1351" s="1"/>
      <c r="GG1351" s="1"/>
      <c r="GH1351" s="1"/>
      <c r="GI1351" s="1"/>
      <c r="GJ1351" s="1"/>
      <c r="GK1351" s="1"/>
      <c r="GL1351" s="1"/>
      <c r="GM1351" s="1"/>
      <c r="GN1351" s="1"/>
      <c r="GO1351" s="1"/>
      <c r="GP1351" s="1"/>
      <c r="GQ1351" s="1"/>
      <c r="GR1351" s="1"/>
      <c r="GS1351" s="1"/>
      <c r="GT1351" s="1"/>
      <c r="GU1351" s="1"/>
      <c r="GV1351" s="1"/>
      <c r="GW1351" s="1"/>
      <c r="GX1351" s="1"/>
      <c r="GY1351" s="1"/>
      <c r="GZ1351" s="1"/>
      <c r="HA1351" s="1"/>
      <c r="HB1351" s="1"/>
      <c r="HC1351" s="1"/>
      <c r="HD1351" s="1"/>
      <c r="HE1351" s="1"/>
      <c r="HF1351" s="1"/>
      <c r="HG1351" s="1"/>
      <c r="HH1351" s="1"/>
      <c r="HI1351" s="1"/>
      <c r="HJ1351" s="1"/>
      <c r="HK1351" s="1"/>
      <c r="HL1351" s="1"/>
      <c r="HM1351" s="1"/>
      <c r="HN1351" s="1"/>
      <c r="HO1351" s="1"/>
      <c r="HP1351" s="1"/>
      <c r="HQ1351" s="1"/>
      <c r="HR1351" s="1"/>
      <c r="HS1351" s="1"/>
      <c r="HT1351" s="1"/>
      <c r="HU1351" s="1"/>
      <c r="HV1351" s="1"/>
      <c r="HW1351" s="1"/>
      <c r="HX1351" s="1"/>
      <c r="HY1351" s="1"/>
      <c r="HZ1351" s="1"/>
      <c r="IA1351" s="1"/>
      <c r="IB1351" s="1"/>
      <c r="IC1351" s="1"/>
      <c r="ID1351" s="1"/>
      <c r="IE1351" s="1"/>
      <c r="IF1351" s="1"/>
      <c r="IG1351" s="1"/>
      <c r="IH1351" s="1"/>
      <c r="II1351" s="1"/>
      <c r="IJ1351" s="1"/>
      <c r="IK1351" s="1"/>
      <c r="IL1351" s="1"/>
      <c r="IM1351" s="1"/>
      <c r="IN1351" s="1"/>
      <c r="IO1351" s="1"/>
      <c r="IP1351" s="1"/>
      <c r="IQ1351" s="1"/>
      <c r="IR1351" s="1"/>
      <c r="IS1351" s="1"/>
      <c r="IT1351" s="1"/>
      <c r="IU1351" s="1"/>
      <c r="IV1351" s="1"/>
      <c r="IW1351" s="1"/>
      <c r="IX1351" s="1"/>
      <c r="IY1351" s="1"/>
      <c r="IZ1351" s="1"/>
      <c r="JA1351" s="1"/>
      <c r="JB1351" s="1"/>
      <c r="JC1351" s="1"/>
      <c r="JD1351" s="1"/>
    </row>
    <row r="1352" spans="1:264" s="347" customFormat="1" ht="15" x14ac:dyDescent="0.25">
      <c r="A1352" s="565" t="s">
        <v>894</v>
      </c>
      <c r="B1352" s="348"/>
      <c r="BD1352" s="828"/>
      <c r="BE1352" s="348"/>
      <c r="BF1352" s="348"/>
      <c r="BH1352" s="828"/>
      <c r="BI1352" s="348"/>
      <c r="BJ1352" s="348"/>
      <c r="BK1352" s="348"/>
      <c r="BL1352" s="828"/>
      <c r="BM1352" s="828"/>
      <c r="BN1352" s="829"/>
      <c r="BO1352" s="829"/>
      <c r="BP1352" s="828"/>
      <c r="BQ1352" s="828"/>
      <c r="BR1352" s="829"/>
      <c r="BT1352" s="828"/>
      <c r="BU1352" s="828"/>
      <c r="BV1352" s="829"/>
      <c r="BX1352" s="828"/>
      <c r="BZ1352" s="348"/>
      <c r="CA1352" s="500"/>
      <c r="CB1352" s="828"/>
      <c r="CD1352" s="348"/>
      <c r="CF1352" s="419">
        <f>SUM(CF1323:CF1324)/SUM(CF1335:CF1336)</f>
        <v>0.64636161105409395</v>
      </c>
      <c r="CG1352" s="419">
        <f>SUM(CG1323:CG1324)/SUM(CG1335:CG1336)</f>
        <v>0.6452491581056311</v>
      </c>
      <c r="CH1352" s="419">
        <f>SUM(CH1323:CH1324)/SUM(CH1335:CH1336)</f>
        <v>0.6452491581056311</v>
      </c>
      <c r="CI1352" s="413"/>
      <c r="CJ1352" s="419">
        <f>SUM(CJ1323:CJ1324)/SUM(CJ1335:CJ1336)</f>
        <v>0.65429817829974646</v>
      </c>
      <c r="CK1352" s="419">
        <f>SUM(CK1323:CK1324)/SUM(CK1335:CK1336)</f>
        <v>0.66175901611004551</v>
      </c>
      <c r="CL1352" s="419">
        <f>SUM(CL1323:CL1324)/SUM(CL1335:CL1336)</f>
        <v>0.66175901611004551</v>
      </c>
      <c r="CM1352" s="413"/>
      <c r="CN1352" s="419">
        <f>SUM(CN1323:CN1324)/SUM(CN1335:CN1336)</f>
        <v>0.6508635245308505</v>
      </c>
      <c r="CO1352" s="419">
        <f>SUM(CO1323:CO1324)/SUM(CO1335:CO1336)</f>
        <v>0.63990992127971735</v>
      </c>
      <c r="CP1352" s="419">
        <f>SUM(CP1323:CP1324)/SUM(CP1335:CP1336)</f>
        <v>0.63990992127971735</v>
      </c>
      <c r="CQ1352" s="413"/>
      <c r="CR1352" s="419">
        <f>SUM(CR1323:CR1324)/SUM(CR1335:CR1336)</f>
        <v>0.62139238046841139</v>
      </c>
      <c r="CS1352" s="419">
        <f>SUM(CS1323:CS1324)/SUM(CS1335:CS1336)</f>
        <v>0.61051499407528942</v>
      </c>
      <c r="CT1352" s="419">
        <f>SUM(CT1323:CT1324)/SUM(CT1335:CT1336)</f>
        <v>0.61051499407528942</v>
      </c>
      <c r="CU1352" s="413"/>
      <c r="CV1352" s="419">
        <f>SUM(CV1323:CV1324)/SUM(CV1335:CV1336)</f>
        <v>0.61793746953554762</v>
      </c>
      <c r="CW1352" s="419">
        <f>SUM(CW1323:CW1324)/SUM(CW1335:CW1336)</f>
        <v>0.53154851996129315</v>
      </c>
      <c r="CX1352" s="419">
        <f>SUM(CX1323:CX1324)/SUM(CX1335:CX1336)</f>
        <v>0.53154851996129315</v>
      </c>
      <c r="CZ1352" s="419">
        <f>SUM(CZ1323:CZ1324)/SUM(CZ1335:CZ1336)</f>
        <v>0.5392956493764548</v>
      </c>
      <c r="DA1352" s="419">
        <f>SUM(DA1323:DA1324)/SUM(DA1335:DA1336)</f>
        <v>0.53897232333949185</v>
      </c>
      <c r="DB1352" s="419">
        <f>SUM(DB1323:DB1324)/SUM(DB1335:DB1336)</f>
        <v>0.53897232333949185</v>
      </c>
      <c r="DD1352" s="419">
        <f>SUM(DD1323:DD1324)/SUM(DD1335:DD1336)</f>
        <v>0.54169994053181547</v>
      </c>
      <c r="DE1352" s="419">
        <f>SUM(DE1323:DE1324)/SUM(DE1335:DE1336)</f>
        <v>0.54053885752241781</v>
      </c>
      <c r="DF1352" s="419">
        <f>SUM(DF1323:DF1324)/SUM(DF1335:DF1336)</f>
        <v>0.54053885752241781</v>
      </c>
      <c r="DH1352" s="419">
        <f>SUM(DH1323:DH1324)/SUM(DH1335:DH1336)</f>
        <v>0.53683063707047907</v>
      </c>
      <c r="DI1352" s="419">
        <f>SUM(DI1323:DI1324)/SUM(DI1335:DI1336)</f>
        <v>0.53683063707047907</v>
      </c>
      <c r="DJ1352" s="419">
        <f>SUM(DJ1323:DJ1324)/SUM(DJ1335:DJ1336)</f>
        <v>0.53683063707047907</v>
      </c>
      <c r="DL1352" s="419">
        <f>SUM(DL1323:DL1324)/SUM(DL1335:DL1336)</f>
        <v>0.53683063707047907</v>
      </c>
      <c r="DM1352" s="419">
        <f>SUM(DM1323:DM1324)/SUM(DM1335:DM1336)</f>
        <v>0.53683063707047907</v>
      </c>
      <c r="DN1352" s="419">
        <f>SUM(DN1323:DN1324)/SUM(DN1335:DN1336)</f>
        <v>0.53683063707047907</v>
      </c>
      <c r="DP1352" s="419">
        <f>SUM(DP1323:DP1324)/SUM(DP1335:DP1336)</f>
        <v>0.53683063707047907</v>
      </c>
      <c r="DQ1352" s="419">
        <f>SUM(DQ1323:DQ1324)/SUM(DQ1335:DQ1336)</f>
        <v>0.53683063707047907</v>
      </c>
      <c r="DR1352" s="419">
        <f>SUM(DR1323:DR1324)/SUM(DR1335:DR1336)</f>
        <v>0.53683063707047907</v>
      </c>
      <c r="DT1352"/>
      <c r="DU1352"/>
      <c r="DV1352" s="1"/>
      <c r="DW1352" s="1"/>
      <c r="DX1352" s="1"/>
      <c r="DY1352" s="1"/>
      <c r="DZ1352" s="1"/>
      <c r="EA1352" s="1"/>
      <c r="EB1352" s="1"/>
      <c r="EC1352" s="1"/>
      <c r="ED1352" s="1"/>
      <c r="EE1352" s="1"/>
      <c r="EF1352" s="1"/>
      <c r="EG1352" s="1"/>
      <c r="EH1352" s="1"/>
      <c r="EI1352" s="1"/>
      <c r="EJ1352" s="1"/>
      <c r="EK1352" s="1"/>
      <c r="EL1352" s="1"/>
      <c r="EM1352" s="1"/>
      <c r="EN1352" s="1"/>
      <c r="EO1352" s="1"/>
      <c r="EP1352" s="1"/>
      <c r="EQ1352" s="1"/>
      <c r="ER1352" s="1"/>
      <c r="ES1352" s="1"/>
      <c r="ET1352" s="1"/>
      <c r="EU1352" s="1"/>
      <c r="EV1352" s="1"/>
      <c r="EW1352" s="1"/>
      <c r="EX1352" s="1"/>
      <c r="EY1352" s="1"/>
      <c r="EZ1352" s="1"/>
      <c r="FA1352" s="1"/>
      <c r="FB1352" s="1"/>
      <c r="FC1352" s="1"/>
      <c r="FD1352" s="1"/>
      <c r="FE1352" s="1"/>
      <c r="FF1352" s="1"/>
      <c r="FG1352" s="1"/>
      <c r="FH1352" s="1"/>
      <c r="FI1352" s="1"/>
      <c r="FJ1352" s="1"/>
      <c r="FK1352" s="1"/>
      <c r="FL1352" s="1"/>
      <c r="FM1352" s="1"/>
      <c r="FN1352" s="1"/>
      <c r="FO1352" s="1"/>
      <c r="FP1352" s="1"/>
      <c r="FQ1352" s="1"/>
      <c r="FR1352" s="1"/>
      <c r="FS1352" s="1"/>
      <c r="FT1352" s="1"/>
      <c r="FU1352" s="1"/>
      <c r="FV1352" s="1"/>
      <c r="FW1352" s="1"/>
      <c r="FX1352" s="1"/>
      <c r="FY1352" s="1"/>
      <c r="FZ1352" s="1"/>
      <c r="GA1352" s="1"/>
      <c r="GB1352" s="1"/>
      <c r="GC1352" s="1"/>
      <c r="GD1352" s="1"/>
      <c r="GE1352" s="1"/>
      <c r="GF1352" s="1"/>
      <c r="GG1352" s="1"/>
      <c r="GH1352" s="1"/>
      <c r="GI1352" s="1"/>
      <c r="GJ1352" s="1"/>
      <c r="GK1352" s="1"/>
      <c r="GL1352" s="1"/>
      <c r="GM1352" s="1"/>
      <c r="GN1352" s="1"/>
      <c r="GO1352" s="1"/>
      <c r="GP1352" s="1"/>
      <c r="GQ1352" s="1"/>
      <c r="GR1352" s="1"/>
      <c r="GS1352" s="1"/>
      <c r="GT1352" s="1"/>
      <c r="GU1352" s="1"/>
      <c r="GV1352" s="1"/>
      <c r="GW1352" s="1"/>
      <c r="GX1352" s="1"/>
      <c r="GY1352" s="1"/>
      <c r="GZ1352" s="1"/>
      <c r="HA1352" s="1"/>
      <c r="HB1352" s="1"/>
      <c r="HC1352" s="1"/>
      <c r="HD1352" s="1"/>
      <c r="HE1352" s="1"/>
      <c r="HF1352" s="1"/>
      <c r="HG1352" s="1"/>
      <c r="HH1352" s="1"/>
      <c r="HI1352" s="1"/>
      <c r="HJ1352" s="1"/>
      <c r="HK1352" s="1"/>
      <c r="HL1352" s="1"/>
      <c r="HM1352" s="1"/>
      <c r="HN1352" s="1"/>
      <c r="HO1352" s="1"/>
      <c r="HP1352" s="1"/>
      <c r="HQ1352" s="1"/>
      <c r="HR1352" s="1"/>
      <c r="HS1352" s="1"/>
      <c r="HT1352" s="1"/>
      <c r="HU1352" s="1"/>
      <c r="HV1352" s="1"/>
      <c r="HW1352" s="1"/>
      <c r="HX1352" s="1"/>
      <c r="HY1352" s="1"/>
      <c r="HZ1352" s="1"/>
      <c r="IA1352" s="1"/>
      <c r="IB1352" s="1"/>
      <c r="IC1352" s="1"/>
      <c r="ID1352" s="1"/>
      <c r="IE1352" s="1"/>
      <c r="IF1352" s="1"/>
      <c r="IG1352" s="1"/>
      <c r="IH1352" s="1"/>
      <c r="II1352" s="1"/>
      <c r="IJ1352" s="1"/>
      <c r="IK1352" s="1"/>
      <c r="IL1352" s="1"/>
      <c r="IM1352" s="1"/>
      <c r="IN1352" s="1"/>
      <c r="IO1352" s="1"/>
      <c r="IP1352" s="1"/>
      <c r="IQ1352" s="1"/>
      <c r="IR1352" s="1"/>
      <c r="IS1352" s="1"/>
      <c r="IT1352" s="1"/>
      <c r="IU1352" s="1"/>
      <c r="IV1352" s="1"/>
      <c r="IW1352" s="1"/>
      <c r="IX1352" s="1"/>
      <c r="IY1352" s="1"/>
      <c r="IZ1352" s="1"/>
      <c r="JA1352" s="1"/>
      <c r="JB1352" s="1"/>
      <c r="JC1352" s="1"/>
      <c r="JD1352" s="1"/>
    </row>
    <row r="1353" spans="1:264" s="347" customFormat="1" ht="15" x14ac:dyDescent="0.25">
      <c r="A1353" s="821" t="s">
        <v>895</v>
      </c>
      <c r="B1353" s="446"/>
      <c r="C1353" s="447"/>
      <c r="D1353" s="447"/>
      <c r="E1353" s="447"/>
      <c r="F1353" s="447"/>
      <c r="G1353" s="447"/>
      <c r="H1353" s="447"/>
      <c r="I1353" s="447"/>
      <c r="J1353" s="447"/>
      <c r="K1353" s="447"/>
      <c r="L1353" s="447"/>
      <c r="M1353" s="447"/>
      <c r="N1353" s="447"/>
      <c r="O1353" s="447"/>
      <c r="P1353" s="447"/>
      <c r="Q1353" s="447"/>
      <c r="R1353" s="447"/>
      <c r="S1353" s="447"/>
      <c r="T1353" s="447"/>
      <c r="U1353" s="447"/>
      <c r="V1353" s="447"/>
      <c r="W1353" s="447"/>
      <c r="X1353" s="447"/>
      <c r="Y1353" s="447"/>
      <c r="Z1353" s="447"/>
      <c r="AA1353" s="447"/>
      <c r="AB1353" s="447"/>
      <c r="AC1353" s="447"/>
      <c r="AD1353" s="447"/>
      <c r="AE1353" s="447"/>
      <c r="AF1353" s="447"/>
      <c r="AG1353" s="447"/>
      <c r="AH1353" s="447"/>
      <c r="AI1353" s="447"/>
      <c r="AJ1353" s="447"/>
      <c r="AK1353" s="447"/>
      <c r="AL1353" s="447"/>
      <c r="AM1353" s="447"/>
      <c r="AN1353" s="447"/>
      <c r="AO1353" s="447"/>
      <c r="AP1353" s="447"/>
      <c r="AQ1353" s="447"/>
      <c r="AR1353" s="447"/>
      <c r="AS1353" s="447"/>
      <c r="AT1353" s="447"/>
      <c r="AU1353" s="447"/>
      <c r="AV1353" s="447"/>
      <c r="AW1353" s="447"/>
      <c r="AX1353" s="447"/>
      <c r="AY1353" s="447"/>
      <c r="AZ1353" s="447"/>
      <c r="BA1353" s="447"/>
      <c r="BB1353" s="447"/>
      <c r="BC1353" s="447"/>
      <c r="BD1353" s="835"/>
      <c r="BE1353" s="446"/>
      <c r="BF1353" s="446"/>
      <c r="BG1353" s="447"/>
      <c r="BH1353" s="835"/>
      <c r="BI1353" s="446"/>
      <c r="BJ1353" s="446"/>
      <c r="BK1353" s="446"/>
      <c r="BL1353" s="835"/>
      <c r="BM1353" s="835"/>
      <c r="BN1353" s="836"/>
      <c r="BO1353" s="836"/>
      <c r="BP1353" s="835"/>
      <c r="BQ1353" s="835"/>
      <c r="BR1353" s="836"/>
      <c r="BS1353" s="447"/>
      <c r="BT1353" s="835"/>
      <c r="BU1353" s="835"/>
      <c r="BV1353" s="836"/>
      <c r="BW1353" s="447"/>
      <c r="BX1353" s="835"/>
      <c r="BY1353" s="447"/>
      <c r="BZ1353" s="446"/>
      <c r="CA1353" s="837"/>
      <c r="CB1353" s="835"/>
      <c r="CC1353" s="447"/>
      <c r="CD1353" s="446"/>
      <c r="CE1353" s="447"/>
      <c r="CF1353" s="797">
        <f>CF1325/CF1337</f>
        <v>0.27948332514285162</v>
      </c>
      <c r="CG1353" s="797">
        <f>CG1325/CG1337</f>
        <v>0.28686640377031836</v>
      </c>
      <c r="CH1353" s="797">
        <f>CH1325/CH1337</f>
        <v>0.28686640377031836</v>
      </c>
      <c r="CI1353" s="605"/>
      <c r="CJ1353" s="797">
        <f>CJ1325/CJ1337</f>
        <v>0.27584968590276515</v>
      </c>
      <c r="CK1353" s="797">
        <f>CK1325/CK1337</f>
        <v>0.2388943731490622</v>
      </c>
      <c r="CL1353" s="797">
        <f>CL1325/CL1337</f>
        <v>0.2388943731490622</v>
      </c>
      <c r="CM1353" s="605"/>
      <c r="CN1353" s="797">
        <f>CN1325/CN1337</f>
        <v>0.19147622960164484</v>
      </c>
      <c r="CO1353" s="797">
        <f>CO1325/CO1337</f>
        <v>0.15458232787390255</v>
      </c>
      <c r="CP1353" s="797">
        <f>CP1325/CP1337</f>
        <v>0.15458232787390255</v>
      </c>
      <c r="CQ1353" s="605"/>
      <c r="CR1353" s="797">
        <f>CR1325/CR1337</f>
        <v>0.13935734745699338</v>
      </c>
      <c r="CS1353" s="797">
        <f>CS1325/CS1337</f>
        <v>0.12902233804442245</v>
      </c>
      <c r="CT1353" s="797">
        <f>CT1325/CT1337</f>
        <v>0.12902233804442245</v>
      </c>
      <c r="CU1353" s="605"/>
      <c r="CV1353" s="797">
        <f>CV1325/CV1337</f>
        <v>0.13126662841045439</v>
      </c>
      <c r="CW1353" s="797">
        <f>CW1325/CW1337</f>
        <v>0.21689304001474025</v>
      </c>
      <c r="CX1353" s="797">
        <f>CX1325/CX1337</f>
        <v>0.21689304001474025</v>
      </c>
      <c r="CY1353" s="447"/>
      <c r="CZ1353" s="797">
        <f>CZ1325/CZ1337</f>
        <v>0.22553443933787462</v>
      </c>
      <c r="DA1353" s="797">
        <f>DA1325/DA1337</f>
        <v>0.23478365384615385</v>
      </c>
      <c r="DB1353" s="797">
        <f>DB1325/DB1337</f>
        <v>0.23478365384615385</v>
      </c>
      <c r="DC1353" s="447"/>
      <c r="DD1353" s="797">
        <f>DD1325/DD1337</f>
        <v>0.22778338933437778</v>
      </c>
      <c r="DE1353" s="797">
        <f>DE1325/DE1337</f>
        <v>0.25215340469857578</v>
      </c>
      <c r="DF1353" s="797">
        <f>DF1325/DF1337</f>
        <v>0.25215340469857578</v>
      </c>
      <c r="DG1353" s="447"/>
      <c r="DH1353" s="797">
        <f>DH1325/DH1337</f>
        <v>0.24619531411984241</v>
      </c>
      <c r="DI1353" s="838">
        <f>DH1353</f>
        <v>0.24619531411984241</v>
      </c>
      <c r="DJ1353" s="797">
        <f>DJ1325/DJ1337</f>
        <v>0.24619531411984241</v>
      </c>
      <c r="DK1353" s="447"/>
      <c r="DL1353" s="838">
        <f>DI1353</f>
        <v>0.24619531411984241</v>
      </c>
      <c r="DM1353" s="838">
        <f>DL1353</f>
        <v>0.24619531411984241</v>
      </c>
      <c r="DN1353" s="797">
        <f>DN1325/DN1337</f>
        <v>0.24619531411984244</v>
      </c>
      <c r="DO1353" s="447"/>
      <c r="DP1353" s="838">
        <f>DM1353</f>
        <v>0.24619531411984241</v>
      </c>
      <c r="DQ1353" s="838">
        <f>DP1353</f>
        <v>0.24619531411984241</v>
      </c>
      <c r="DR1353" s="797">
        <f>DR1325/DR1337</f>
        <v>0.24619531411984238</v>
      </c>
      <c r="DS1353" s="447"/>
      <c r="DT1353"/>
      <c r="DU1353"/>
      <c r="DV1353" s="1"/>
      <c r="DW1353" s="1"/>
      <c r="DX1353" s="1"/>
      <c r="DY1353" s="1"/>
      <c r="DZ1353" s="1"/>
      <c r="EA1353" s="1"/>
      <c r="EB1353" s="1"/>
      <c r="EC1353" s="1"/>
      <c r="ED1353" s="1"/>
      <c r="EE1353" s="1"/>
      <c r="EF1353" s="1"/>
      <c r="EG1353" s="1"/>
      <c r="EH1353" s="1"/>
      <c r="EI1353" s="1"/>
      <c r="EJ1353" s="1"/>
      <c r="EK1353" s="1"/>
      <c r="EL1353" s="1"/>
      <c r="EM1353" s="1"/>
      <c r="EN1353" s="1"/>
      <c r="EO1353" s="1"/>
      <c r="EP1353" s="1"/>
      <c r="EQ1353" s="1"/>
      <c r="ER1353" s="1"/>
      <c r="ES1353" s="1"/>
      <c r="ET1353" s="1"/>
      <c r="EU1353" s="1"/>
      <c r="EV1353" s="1"/>
      <c r="EW1353" s="1"/>
      <c r="EX1353" s="1"/>
      <c r="EY1353" s="1"/>
      <c r="EZ1353" s="1"/>
      <c r="FA1353" s="1"/>
      <c r="FB1353" s="1"/>
      <c r="FC1353" s="1"/>
      <c r="FD1353" s="1"/>
      <c r="FE1353" s="1"/>
      <c r="FF1353" s="1"/>
      <c r="FG1353" s="1"/>
      <c r="FH1353" s="1"/>
      <c r="FI1353" s="1"/>
      <c r="FJ1353" s="1"/>
      <c r="FK1353" s="1"/>
      <c r="FL1353" s="1"/>
      <c r="FM1353" s="1"/>
      <c r="FN1353" s="1"/>
      <c r="FO1353" s="1"/>
      <c r="FP1353" s="1"/>
      <c r="FQ1353" s="1"/>
      <c r="FR1353" s="1"/>
      <c r="FS1353" s="1"/>
      <c r="FT1353" s="1"/>
      <c r="FU1353" s="1"/>
      <c r="FV1353" s="1"/>
      <c r="FW1353" s="1"/>
      <c r="FX1353" s="1"/>
      <c r="FY1353" s="1"/>
      <c r="FZ1353" s="1"/>
      <c r="GA1353" s="1"/>
      <c r="GB1353" s="1"/>
      <c r="GC1353" s="1"/>
      <c r="GD1353" s="1"/>
      <c r="GE1353" s="1"/>
      <c r="GF1353" s="1"/>
      <c r="GG1353" s="1"/>
      <c r="GH1353" s="1"/>
      <c r="GI1353" s="1"/>
      <c r="GJ1353" s="1"/>
      <c r="GK1353" s="1"/>
      <c r="GL1353" s="1"/>
      <c r="GM1353" s="1"/>
      <c r="GN1353" s="1"/>
      <c r="GO1353" s="1"/>
      <c r="GP1353" s="1"/>
      <c r="GQ1353" s="1"/>
      <c r="GR1353" s="1"/>
      <c r="GS1353" s="1"/>
      <c r="GT1353" s="1"/>
      <c r="GU1353" s="1"/>
      <c r="GV1353" s="1"/>
      <c r="GW1353" s="1"/>
      <c r="GX1353" s="1"/>
      <c r="GY1353" s="1"/>
      <c r="GZ1353" s="1"/>
      <c r="HA1353" s="1"/>
      <c r="HB1353" s="1"/>
      <c r="HC1353" s="1"/>
      <c r="HD1353" s="1"/>
      <c r="HE1353" s="1"/>
      <c r="HF1353" s="1"/>
      <c r="HG1353" s="1"/>
      <c r="HH1353" s="1"/>
      <c r="HI1353" s="1"/>
      <c r="HJ1353" s="1"/>
      <c r="HK1353" s="1"/>
      <c r="HL1353" s="1"/>
      <c r="HM1353" s="1"/>
      <c r="HN1353" s="1"/>
      <c r="HO1353" s="1"/>
      <c r="HP1353" s="1"/>
      <c r="HQ1353" s="1"/>
      <c r="HR1353" s="1"/>
      <c r="HS1353" s="1"/>
      <c r="HT1353" s="1"/>
      <c r="HU1353" s="1"/>
      <c r="HV1353" s="1"/>
      <c r="HW1353" s="1"/>
      <c r="HX1353" s="1"/>
      <c r="HY1353" s="1"/>
      <c r="HZ1353" s="1"/>
      <c r="IA1353" s="1"/>
      <c r="IB1353" s="1"/>
      <c r="IC1353" s="1"/>
      <c r="ID1353" s="1"/>
      <c r="IE1353" s="1"/>
      <c r="IF1353" s="1"/>
      <c r="IG1353" s="1"/>
      <c r="IH1353" s="1"/>
      <c r="II1353" s="1"/>
      <c r="IJ1353" s="1"/>
      <c r="IK1353" s="1"/>
      <c r="IL1353" s="1"/>
      <c r="IM1353" s="1"/>
      <c r="IN1353" s="1"/>
      <c r="IO1353" s="1"/>
      <c r="IP1353" s="1"/>
      <c r="IQ1353" s="1"/>
      <c r="IR1353" s="1"/>
      <c r="IS1353" s="1"/>
      <c r="IT1353" s="1"/>
      <c r="IU1353" s="1"/>
      <c r="IV1353" s="1"/>
      <c r="IW1353" s="1"/>
      <c r="IX1353" s="1"/>
      <c r="IY1353" s="1"/>
      <c r="IZ1353" s="1"/>
      <c r="JA1353" s="1"/>
      <c r="JB1353" s="1"/>
      <c r="JC1353" s="1"/>
      <c r="JD1353" s="1"/>
    </row>
    <row r="1354" spans="1:264" s="424" customFormat="1" ht="15" x14ac:dyDescent="0.25">
      <c r="B1354" s="348"/>
      <c r="C1354" s="347"/>
      <c r="D1354" s="347"/>
      <c r="E1354" s="347"/>
      <c r="F1354" s="347"/>
      <c r="G1354" s="347"/>
      <c r="H1354" s="347"/>
      <c r="I1354" s="347"/>
      <c r="J1354" s="347"/>
      <c r="K1354" s="347"/>
      <c r="L1354" s="347"/>
      <c r="M1354" s="347"/>
      <c r="N1354" s="347"/>
      <c r="O1354" s="347"/>
      <c r="P1354" s="347"/>
      <c r="Q1354" s="347"/>
      <c r="R1354" s="347"/>
      <c r="S1354" s="347"/>
      <c r="T1354" s="347"/>
      <c r="U1354" s="347"/>
      <c r="V1354" s="347"/>
      <c r="W1354" s="347"/>
      <c r="X1354" s="347"/>
      <c r="Y1354" s="347"/>
      <c r="Z1354" s="347"/>
      <c r="AA1354" s="347"/>
      <c r="AB1354" s="347"/>
      <c r="AC1354" s="347"/>
      <c r="AD1354" s="347"/>
      <c r="AE1354" s="347"/>
      <c r="AF1354" s="347"/>
      <c r="AG1354" s="347"/>
      <c r="AH1354" s="347"/>
      <c r="AI1354" s="347"/>
      <c r="AJ1354" s="347"/>
      <c r="AK1354" s="347"/>
      <c r="AL1354" s="347"/>
      <c r="AM1354" s="347"/>
      <c r="AN1354" s="347"/>
      <c r="AO1354" s="347"/>
      <c r="AP1354" s="347"/>
      <c r="AQ1354" s="347"/>
      <c r="AR1354" s="347"/>
      <c r="AS1354" s="347"/>
      <c r="AT1354" s="347"/>
      <c r="AU1354" s="347"/>
      <c r="AV1354" s="347"/>
      <c r="AW1354" s="347"/>
      <c r="AX1354" s="347"/>
      <c r="AY1354" s="347"/>
      <c r="AZ1354" s="347"/>
      <c r="BA1354" s="347"/>
      <c r="BB1354" s="347"/>
      <c r="BC1354" s="347"/>
      <c r="BD1354" s="428"/>
      <c r="BE1354" s="428"/>
      <c r="BF1354" s="428"/>
      <c r="BG1354" s="347"/>
      <c r="BH1354" s="428"/>
      <c r="BI1354" s="428"/>
      <c r="BJ1354" s="428"/>
      <c r="BK1354" s="348"/>
      <c r="BL1354" s="428"/>
      <c r="BM1354" s="428"/>
      <c r="BN1354" s="428"/>
      <c r="BO1354" s="348"/>
      <c r="BP1354" s="428"/>
      <c r="BQ1354" s="428"/>
      <c r="BR1354" s="428"/>
      <c r="BS1354" s="347"/>
      <c r="BT1354" s="428"/>
      <c r="BU1354" s="428"/>
      <c r="BV1354" s="428"/>
      <c r="BW1354" s="347"/>
      <c r="BX1354" s="428"/>
      <c r="BY1354" s="428"/>
      <c r="BZ1354" s="428"/>
      <c r="CA1354" s="347"/>
      <c r="CB1354" s="428"/>
      <c r="CC1354" s="428"/>
      <c r="CD1354" s="428"/>
      <c r="CE1354" s="347"/>
      <c r="CF1354" s="428"/>
      <c r="CG1354" s="428"/>
      <c r="CH1354" s="428"/>
      <c r="CI1354" s="347"/>
      <c r="CJ1354" s="428"/>
      <c r="CK1354" s="428"/>
      <c r="CL1354" s="428"/>
      <c r="CM1354" s="347"/>
      <c r="CN1354" s="428"/>
      <c r="CO1354" s="428"/>
      <c r="CP1354" s="428"/>
      <c r="CQ1354" s="347"/>
      <c r="CR1354" s="428"/>
      <c r="CS1354" s="428"/>
      <c r="CT1354" s="428"/>
      <c r="CU1354" s="347"/>
      <c r="CV1354" s="428"/>
      <c r="CW1354" s="428"/>
      <c r="CX1354" s="428"/>
      <c r="CY1354" s="347"/>
      <c r="CZ1354" s="428"/>
      <c r="DA1354" s="428"/>
      <c r="DB1354" s="428"/>
      <c r="DC1354" s="347"/>
      <c r="DD1354" s="428"/>
      <c r="DE1354" s="428"/>
      <c r="DF1354" s="428"/>
      <c r="DG1354" s="347"/>
      <c r="DH1354" s="428"/>
      <c r="DI1354" s="428"/>
      <c r="DJ1354" s="428"/>
      <c r="DK1354" s="347"/>
      <c r="DL1354" s="428"/>
      <c r="DM1354" s="428"/>
      <c r="DN1354" s="428"/>
      <c r="DO1354" s="347"/>
      <c r="DP1354" s="428"/>
      <c r="DQ1354" s="428"/>
      <c r="DR1354" s="428"/>
      <c r="DS1354" s="347"/>
      <c r="DT1354"/>
      <c r="DU1354"/>
      <c r="DV1354" s="1"/>
      <c r="DW1354" s="1"/>
      <c r="DX1354" s="1"/>
      <c r="DY1354" s="1"/>
      <c r="DZ1354" s="1"/>
      <c r="EA1354" s="1"/>
      <c r="EB1354" s="1"/>
      <c r="EC1354" s="1"/>
      <c r="ED1354" s="1"/>
      <c r="EE1354" s="1"/>
      <c r="EF1354" s="1"/>
      <c r="EG1354" s="1"/>
      <c r="EH1354" s="1"/>
      <c r="EI1354" s="1"/>
      <c r="EJ1354" s="1"/>
      <c r="EK1354" s="1"/>
      <c r="EL1354" s="1"/>
      <c r="EM1354" s="1"/>
      <c r="EN1354" s="1"/>
      <c r="EO1354" s="1"/>
      <c r="EP1354" s="1"/>
      <c r="EQ1354" s="1"/>
      <c r="ER1354" s="1"/>
      <c r="ES1354" s="1"/>
      <c r="ET1354" s="1"/>
      <c r="EU1354" s="1"/>
      <c r="EV1354" s="1"/>
      <c r="EW1354" s="1"/>
      <c r="EX1354" s="1"/>
      <c r="EY1354" s="1"/>
      <c r="EZ1354" s="1"/>
      <c r="FA1354" s="1"/>
      <c r="FB1354" s="1"/>
      <c r="FC1354" s="1"/>
      <c r="FD1354" s="1"/>
      <c r="FE1354" s="1"/>
      <c r="FF1354" s="1"/>
      <c r="FG1354" s="1"/>
      <c r="FH1354" s="1"/>
      <c r="FI1354" s="1"/>
      <c r="FJ1354" s="1"/>
      <c r="FK1354" s="1"/>
      <c r="FL1354" s="1"/>
      <c r="FM1354" s="1"/>
      <c r="FN1354" s="1"/>
      <c r="FO1354" s="1"/>
      <c r="FP1354" s="1"/>
      <c r="FQ1354" s="1"/>
      <c r="FR1354" s="1"/>
      <c r="FS1354" s="1"/>
      <c r="FT1354" s="1"/>
      <c r="FU1354" s="1"/>
      <c r="FV1354" s="1"/>
      <c r="FW1354" s="1"/>
      <c r="FX1354" s="1"/>
      <c r="FY1354" s="1"/>
      <c r="FZ1354" s="1"/>
      <c r="GA1354" s="1"/>
      <c r="GB1354" s="1"/>
      <c r="GC1354" s="1"/>
      <c r="GD1354" s="1"/>
      <c r="GE1354" s="1"/>
      <c r="GF1354" s="1"/>
      <c r="GG1354" s="1"/>
      <c r="GH1354" s="1"/>
      <c r="GI1354" s="1"/>
      <c r="GJ1354" s="1"/>
      <c r="GK1354" s="1"/>
      <c r="GL1354" s="1"/>
      <c r="GM1354" s="1"/>
      <c r="GN1354" s="1"/>
      <c r="GO1354" s="1"/>
      <c r="GP1354" s="1"/>
      <c r="GQ1354" s="1"/>
      <c r="GR1354" s="1"/>
      <c r="GS1354" s="1"/>
      <c r="GT1354" s="1"/>
      <c r="GU1354" s="1"/>
      <c r="GV1354" s="1"/>
      <c r="GW1354" s="1"/>
      <c r="GX1354" s="1"/>
      <c r="GY1354" s="1"/>
      <c r="GZ1354" s="1"/>
      <c r="HA1354" s="1"/>
      <c r="HB1354" s="1"/>
      <c r="HC1354" s="1"/>
      <c r="HD1354" s="1"/>
      <c r="HE1354" s="1"/>
      <c r="HF1354" s="1"/>
      <c r="HG1354" s="1"/>
      <c r="HH1354" s="1"/>
      <c r="HI1354" s="1"/>
      <c r="HJ1354" s="1"/>
      <c r="HK1354" s="1"/>
      <c r="HL1354" s="1"/>
      <c r="HM1354" s="1"/>
      <c r="HN1354" s="1"/>
      <c r="HO1354" s="1"/>
      <c r="HP1354" s="1"/>
      <c r="HQ1354" s="1"/>
      <c r="HR1354" s="1"/>
      <c r="HS1354" s="1"/>
      <c r="HT1354" s="1"/>
      <c r="HU1354" s="1"/>
      <c r="HV1354" s="1"/>
      <c r="HW1354" s="1"/>
      <c r="HX1354" s="1"/>
      <c r="HY1354" s="1"/>
      <c r="HZ1354" s="1"/>
      <c r="IA1354" s="1"/>
      <c r="IB1354" s="1"/>
      <c r="IC1354" s="1"/>
      <c r="ID1354" s="1"/>
      <c r="IE1354" s="1"/>
      <c r="IF1354" s="1"/>
      <c r="IG1354" s="1"/>
      <c r="IH1354" s="1"/>
      <c r="II1354" s="1"/>
      <c r="IJ1354" s="1"/>
      <c r="IK1354" s="1"/>
      <c r="IL1354" s="1"/>
      <c r="IM1354" s="1"/>
      <c r="IN1354" s="1"/>
      <c r="IO1354" s="1"/>
      <c r="IP1354" s="1"/>
      <c r="IQ1354" s="1"/>
      <c r="IR1354" s="1"/>
      <c r="IS1354" s="1"/>
      <c r="IT1354" s="1"/>
      <c r="IU1354" s="1"/>
      <c r="IV1354" s="1"/>
      <c r="IW1354" s="1"/>
      <c r="IX1354" s="1"/>
      <c r="IY1354" s="1"/>
      <c r="IZ1354" s="1"/>
      <c r="JA1354" s="1"/>
      <c r="JB1354" s="1"/>
      <c r="JC1354" s="1"/>
      <c r="JD1354" s="1"/>
    </row>
    <row r="1355" spans="1:264" s="347" customFormat="1" ht="15" x14ac:dyDescent="0.25">
      <c r="A1355" s="347" t="s">
        <v>615</v>
      </c>
      <c r="B1355" s="348"/>
      <c r="BD1355" s="351"/>
      <c r="BE1355" s="351">
        <f>+BE184+BE186</f>
        <v>189116</v>
      </c>
      <c r="BF1355" s="351">
        <f>BE1355</f>
        <v>189116</v>
      </c>
      <c r="BH1355" s="351">
        <f>+BH184+BH186</f>
        <v>190158</v>
      </c>
      <c r="BI1355" s="351">
        <f>+BI184+BI186</f>
        <v>195981</v>
      </c>
      <c r="BJ1355" s="351">
        <f>BI1355</f>
        <v>195981</v>
      </c>
      <c r="BK1355" s="348"/>
      <c r="BL1355" s="351">
        <f>+BL184+BL186</f>
        <v>204754</v>
      </c>
      <c r="BM1355" s="351">
        <f>+BM184+BM186</f>
        <v>208442</v>
      </c>
      <c r="BN1355" s="351">
        <f>BM1355</f>
        <v>208442</v>
      </c>
      <c r="BO1355" s="348"/>
      <c r="BP1355" s="351">
        <f>+BP184+BP186</f>
        <v>216393</v>
      </c>
      <c r="BQ1355" s="351">
        <f>+BQ184+BQ186</f>
        <v>223321</v>
      </c>
      <c r="BR1355" s="351">
        <f>BQ1355</f>
        <v>223321</v>
      </c>
      <c r="BT1355" s="351">
        <f>+BT184+BT186</f>
        <v>238552</v>
      </c>
      <c r="BU1355" s="351">
        <f>+BU184+BU186</f>
        <v>245656</v>
      </c>
      <c r="BV1355" s="351">
        <f t="shared" si="990"/>
        <v>245656</v>
      </c>
      <c r="BX1355" s="351">
        <f>+BX184+BX186</f>
        <v>246718</v>
      </c>
      <c r="BY1355" s="351">
        <f>+BY184+BY186</f>
        <v>251145</v>
      </c>
      <c r="BZ1355" s="351">
        <f>BY1355</f>
        <v>251145</v>
      </c>
      <c r="CB1355" s="351">
        <f>+CB184+CB186</f>
        <v>248630</v>
      </c>
      <c r="CC1355" s="351">
        <f>+CC184+CC186</f>
        <v>246743</v>
      </c>
      <c r="CD1355" s="351">
        <f>CC1355</f>
        <v>246743</v>
      </c>
      <c r="CF1355" s="351">
        <f>+CF184+CF186</f>
        <v>246958</v>
      </c>
      <c r="CG1355" s="351">
        <f>+CG184+CG186</f>
        <v>238071</v>
      </c>
      <c r="CH1355" s="351">
        <f>CG1355</f>
        <v>238071</v>
      </c>
      <c r="CJ1355" s="351">
        <f>+CJ184+CJ186</f>
        <v>236293</v>
      </c>
      <c r="CK1355" s="351">
        <f>+CK184+CK186</f>
        <v>237228</v>
      </c>
      <c r="CL1355" s="351">
        <f>CK1355</f>
        <v>237228</v>
      </c>
      <c r="CN1355" s="351">
        <f>+CN184+CN186</f>
        <v>235155</v>
      </c>
      <c r="CO1355" s="351">
        <f>+CO184+CO186</f>
        <v>238510</v>
      </c>
      <c r="CP1355" s="351">
        <f>CO1355</f>
        <v>238510</v>
      </c>
      <c r="CR1355" s="351">
        <f>+CR184+CR186</f>
        <v>244599</v>
      </c>
      <c r="CS1355" s="351">
        <f>+CS184+CS186</f>
        <v>262970</v>
      </c>
      <c r="CT1355" s="351">
        <f>CS1355</f>
        <v>262970</v>
      </c>
      <c r="CV1355" s="351">
        <f>+CV184+CV186</f>
        <v>273509</v>
      </c>
      <c r="CW1355" s="351">
        <f>+CW184+CW186</f>
        <v>281033</v>
      </c>
      <c r="CX1355" s="351">
        <f>CW1355</f>
        <v>281033</v>
      </c>
      <c r="CZ1355" s="351">
        <f>+CZ184+CZ186</f>
        <v>278347</v>
      </c>
      <c r="DA1355" s="351">
        <f>+DA184+DA186</f>
        <v>285247</v>
      </c>
      <c r="DB1355" s="351">
        <f>DA1355</f>
        <v>285247</v>
      </c>
      <c r="DD1355" s="351">
        <f>+DD184+DD186</f>
        <v>292115</v>
      </c>
      <c r="DE1355" s="351">
        <f>+DE184+DE186</f>
        <v>308021</v>
      </c>
      <c r="DF1355" s="351">
        <f>DE1355</f>
        <v>308021</v>
      </c>
      <c r="DH1355" s="351">
        <f>+DH184+DH186</f>
        <v>318800</v>
      </c>
      <c r="DI1355" s="351">
        <f>+DI184+DI186</f>
        <v>329225.46601251955</v>
      </c>
      <c r="DJ1355" s="351"/>
      <c r="DL1355" s="351">
        <f>+DL184+DL186</f>
        <v>337219.52449820028</v>
      </c>
      <c r="DM1355" s="351">
        <f>+DM184+DM186</f>
        <v>349137.25673012121</v>
      </c>
      <c r="DN1355" s="351"/>
      <c r="DP1355" s="351">
        <f>+DP184+DP186</f>
        <v>356775.36967378791</v>
      </c>
      <c r="DQ1355" s="351">
        <f>+DQ184+DQ186</f>
        <v>366612.09389009181</v>
      </c>
      <c r="DR1355" s="351"/>
      <c r="DT1355"/>
      <c r="DU1355"/>
      <c r="DV1355" s="1"/>
      <c r="DW1355" s="1"/>
      <c r="DX1355" s="1"/>
      <c r="DY1355" s="1"/>
      <c r="DZ1355" s="1"/>
      <c r="EA1355" s="1"/>
      <c r="EB1355" s="1"/>
      <c r="EC1355" s="1"/>
      <c r="ED1355" s="1"/>
      <c r="EE1355" s="1"/>
      <c r="EF1355" s="1"/>
      <c r="EG1355" s="1"/>
      <c r="EH1355" s="1"/>
      <c r="EI1355" s="1"/>
      <c r="EJ1355" s="1"/>
      <c r="EK1355" s="1"/>
      <c r="EL1355" s="1"/>
      <c r="EM1355" s="1"/>
      <c r="EN1355" s="1"/>
      <c r="EO1355" s="1"/>
      <c r="EP1355" s="1"/>
      <c r="EQ1355" s="1"/>
      <c r="ER1355" s="1"/>
      <c r="ES1355" s="1"/>
      <c r="ET1355" s="1"/>
      <c r="EU1355" s="1"/>
      <c r="EV1355" s="1"/>
      <c r="EW1355" s="1"/>
      <c r="EX1355" s="1"/>
      <c r="EY1355" s="1"/>
      <c r="EZ1355" s="1"/>
      <c r="FA1355" s="1"/>
      <c r="FB1355" s="1"/>
      <c r="FC1355" s="1"/>
      <c r="FD1355" s="1"/>
      <c r="FE1355" s="1"/>
      <c r="FF1355" s="1"/>
      <c r="FG1355" s="1"/>
      <c r="FH1355" s="1"/>
      <c r="FI1355" s="1"/>
      <c r="FJ1355" s="1"/>
      <c r="FK1355" s="1"/>
      <c r="FL1355" s="1"/>
      <c r="FM1355" s="1"/>
      <c r="FN1355" s="1"/>
      <c r="FO1355" s="1"/>
      <c r="FP1355" s="1"/>
      <c r="FQ1355" s="1"/>
      <c r="FR1355" s="1"/>
      <c r="FS1355" s="1"/>
      <c r="FT1355" s="1"/>
      <c r="FU1355" s="1"/>
      <c r="FV1355" s="1"/>
      <c r="FW1355" s="1"/>
      <c r="FX1355" s="1"/>
      <c r="FY1355" s="1"/>
      <c r="FZ1355" s="1"/>
      <c r="GA1355" s="1"/>
      <c r="GB1355" s="1"/>
      <c r="GC1355" s="1"/>
      <c r="GD1355" s="1"/>
      <c r="GE1355" s="1"/>
      <c r="GF1355" s="1"/>
      <c r="GG1355" s="1"/>
      <c r="GH1355" s="1"/>
      <c r="GI1355" s="1"/>
      <c r="GJ1355" s="1"/>
      <c r="GK1355" s="1"/>
      <c r="GL1355" s="1"/>
      <c r="GM1355" s="1"/>
      <c r="GN1355" s="1"/>
      <c r="GO1355" s="1"/>
      <c r="GP1355" s="1"/>
      <c r="GQ1355" s="1"/>
      <c r="GR1355" s="1"/>
      <c r="GS1355" s="1"/>
      <c r="GT1355" s="1"/>
      <c r="GU1355" s="1"/>
      <c r="GV1355" s="1"/>
      <c r="GW1355" s="1"/>
      <c r="GX1355" s="1"/>
      <c r="GY1355" s="1"/>
      <c r="GZ1355" s="1"/>
      <c r="HA1355" s="1"/>
      <c r="HB1355" s="1"/>
      <c r="HC1355" s="1"/>
      <c r="HD1355" s="1"/>
      <c r="HE1355" s="1"/>
      <c r="HF1355" s="1"/>
      <c r="HG1355" s="1"/>
      <c r="HH1355" s="1"/>
      <c r="HI1355" s="1"/>
      <c r="HJ1355" s="1"/>
      <c r="HK1355" s="1"/>
      <c r="HL1355" s="1"/>
      <c r="HM1355" s="1"/>
      <c r="HN1355" s="1"/>
      <c r="HO1355" s="1"/>
      <c r="HP1355" s="1"/>
      <c r="HQ1355" s="1"/>
      <c r="HR1355" s="1"/>
      <c r="HS1355" s="1"/>
      <c r="HT1355" s="1"/>
      <c r="HU1355" s="1"/>
      <c r="HV1355" s="1"/>
      <c r="HW1355" s="1"/>
      <c r="HX1355" s="1"/>
      <c r="HY1355" s="1"/>
      <c r="HZ1355" s="1"/>
      <c r="IA1355" s="1"/>
      <c r="IB1355" s="1"/>
      <c r="IC1355" s="1"/>
      <c r="ID1355" s="1"/>
      <c r="IE1355" s="1"/>
      <c r="IF1355" s="1"/>
      <c r="IG1355" s="1"/>
      <c r="IH1355" s="1"/>
      <c r="II1355" s="1"/>
      <c r="IJ1355" s="1"/>
      <c r="IK1355" s="1"/>
      <c r="IL1355" s="1"/>
      <c r="IM1355" s="1"/>
      <c r="IN1355" s="1"/>
      <c r="IO1355" s="1"/>
      <c r="IP1355" s="1"/>
      <c r="IQ1355" s="1"/>
      <c r="IR1355" s="1"/>
      <c r="IS1355" s="1"/>
      <c r="IT1355" s="1"/>
      <c r="IU1355" s="1"/>
      <c r="IV1355" s="1"/>
      <c r="IW1355" s="1"/>
      <c r="IX1355" s="1"/>
      <c r="IY1355" s="1"/>
      <c r="IZ1355" s="1"/>
      <c r="JA1355" s="1"/>
      <c r="JB1355" s="1"/>
      <c r="JC1355" s="1"/>
      <c r="JD1355" s="1"/>
    </row>
    <row r="1356" spans="1:264" s="424" customFormat="1" ht="15" x14ac:dyDescent="0.25">
      <c r="A1356" s="839" t="s">
        <v>896</v>
      </c>
      <c r="B1356" s="840"/>
      <c r="C1356" s="839"/>
      <c r="D1356" s="839"/>
      <c r="E1356" s="839"/>
      <c r="F1356" s="839"/>
      <c r="G1356" s="839"/>
      <c r="H1356" s="839"/>
      <c r="I1356" s="839"/>
      <c r="J1356" s="839"/>
      <c r="K1356" s="839"/>
      <c r="L1356" s="839"/>
      <c r="M1356" s="839"/>
      <c r="N1356" s="839"/>
      <c r="O1356" s="839"/>
      <c r="P1356" s="839"/>
      <c r="Q1356" s="839"/>
      <c r="R1356" s="839"/>
      <c r="S1356" s="839"/>
      <c r="T1356" s="839"/>
      <c r="U1356" s="839"/>
      <c r="V1356" s="839"/>
      <c r="W1356" s="839"/>
      <c r="X1356" s="839"/>
      <c r="Y1356" s="839"/>
      <c r="Z1356" s="839"/>
      <c r="AA1356" s="839"/>
      <c r="AB1356" s="839"/>
      <c r="AC1356" s="839"/>
      <c r="AD1356" s="839"/>
      <c r="AE1356" s="839"/>
      <c r="AF1356" s="839"/>
      <c r="AG1356" s="839"/>
      <c r="AH1356" s="839"/>
      <c r="AI1356" s="839"/>
      <c r="AJ1356" s="839"/>
      <c r="AK1356" s="839"/>
      <c r="AL1356" s="839"/>
      <c r="AM1356" s="839"/>
      <c r="AN1356" s="839"/>
      <c r="AO1356" s="839"/>
      <c r="AP1356" s="839"/>
      <c r="AQ1356" s="839"/>
      <c r="AR1356" s="839"/>
      <c r="AS1356" s="839"/>
      <c r="AT1356" s="839"/>
      <c r="AU1356" s="839"/>
      <c r="AV1356" s="839"/>
      <c r="AW1356" s="839"/>
      <c r="AX1356" s="839"/>
      <c r="AY1356" s="839"/>
      <c r="AZ1356" s="839"/>
      <c r="BA1356" s="839"/>
      <c r="BB1356" s="839"/>
      <c r="BC1356" s="839"/>
      <c r="BD1356" s="841"/>
      <c r="BE1356" s="841">
        <f>+BE1316/BE1355</f>
        <v>0.93068275555743563</v>
      </c>
      <c r="BF1356" s="841">
        <f>BE1356</f>
        <v>0.93068275555743563</v>
      </c>
      <c r="BG1356" s="839"/>
      <c r="BH1356" s="841">
        <f>+BH1316/BH1355</f>
        <v>1.0169911336888271</v>
      </c>
      <c r="BI1356" s="841">
        <f>+BI1316/BI1355</f>
        <v>1.0089396421081636</v>
      </c>
      <c r="BJ1356" s="841">
        <f>BI1356</f>
        <v>1.0089396421081636</v>
      </c>
      <c r="BK1356" s="840"/>
      <c r="BL1356" s="841">
        <f>+BL1316/BL1355</f>
        <v>0.95571270890922766</v>
      </c>
      <c r="BM1356" s="841">
        <f>+BM1316/BM1355</f>
        <v>0.98295928843515223</v>
      </c>
      <c r="BN1356" s="841">
        <f>BM1356</f>
        <v>0.98295928843515223</v>
      </c>
      <c r="BO1356" s="840"/>
      <c r="BP1356" s="841">
        <f>+BP1316/BP1355</f>
        <v>1.010818279704057</v>
      </c>
      <c r="BQ1356" s="841">
        <f>+BQ1316/BQ1355</f>
        <v>1.0209698147509638</v>
      </c>
      <c r="BR1356" s="841">
        <f>BQ1356</f>
        <v>1.0209698147509638</v>
      </c>
      <c r="BS1356" s="839"/>
      <c r="BT1356" s="841">
        <f>+BT1316/BT1355</f>
        <v>1.0176146081357524</v>
      </c>
      <c r="BU1356" s="841">
        <f>+BU1316/BU1355</f>
        <v>0.98006154948383106</v>
      </c>
      <c r="BV1356" s="841">
        <f t="shared" si="990"/>
        <v>0.98006154948383106</v>
      </c>
      <c r="BW1356" s="839"/>
      <c r="BX1356" s="841">
        <f>+BX1316/BX1355</f>
        <v>0.98779983625029388</v>
      </c>
      <c r="BY1356" s="841">
        <f>+BY1316/BY1355</f>
        <v>0.915248163411575</v>
      </c>
      <c r="BZ1356" s="841">
        <f>BY1356</f>
        <v>0.915248163411575</v>
      </c>
      <c r="CA1356" s="839"/>
      <c r="CB1356" s="841">
        <f>+CB1316/CB1355</f>
        <v>0.87917789486385389</v>
      </c>
      <c r="CC1356" s="841">
        <f>+CC1316/CC1355</f>
        <v>0.88313751555261955</v>
      </c>
      <c r="CD1356" s="841">
        <f>CC1356</f>
        <v>0.88313751555261955</v>
      </c>
      <c r="CE1356" s="839"/>
      <c r="CF1356" s="841">
        <f>+CF1316/CF1355</f>
        <v>0.86224378234355636</v>
      </c>
      <c r="CG1356" s="841">
        <f>+CG1316/CG1355</f>
        <v>0.88637423289690886</v>
      </c>
      <c r="CH1356" s="841">
        <f>CG1356</f>
        <v>0.88637423289690886</v>
      </c>
      <c r="CI1356" s="839"/>
      <c r="CJ1356" s="841">
        <f>+CJ1316/CJ1355</f>
        <v>0.90125395166170819</v>
      </c>
      <c r="CK1356" s="841">
        <f>+CK1316/CK1355</f>
        <v>0.89705683983340923</v>
      </c>
      <c r="CL1356" s="841">
        <f>CK1356</f>
        <v>0.89705683983340923</v>
      </c>
      <c r="CM1356" s="839"/>
      <c r="CN1356" s="841">
        <f>+CN1316/CN1355</f>
        <v>0.89560927898620057</v>
      </c>
      <c r="CO1356" s="841">
        <f>+CO1316/CO1355</f>
        <v>0.86962810783614941</v>
      </c>
      <c r="CP1356" s="841">
        <f>CO1356</f>
        <v>0.86962810783614941</v>
      </c>
      <c r="CQ1356" s="839"/>
      <c r="CR1356" s="841">
        <f>+CR1316/CR1355</f>
        <v>0.85513023356595896</v>
      </c>
      <c r="CS1356" s="841">
        <f>+CS1316/CS1355</f>
        <v>0.79151994524090197</v>
      </c>
      <c r="CT1356" s="841">
        <f>CS1356</f>
        <v>0.79151994524090197</v>
      </c>
      <c r="CU1356" s="839"/>
      <c r="CV1356" s="841">
        <f>+CV1316/CV1355</f>
        <v>0.79611274217667427</v>
      </c>
      <c r="CW1356" s="841">
        <f>+CW1316/CW1355</f>
        <v>0.72042785011012944</v>
      </c>
      <c r="CX1356" s="841">
        <f>CW1356</f>
        <v>0.72042785011012944</v>
      </c>
      <c r="CY1356" s="839"/>
      <c r="CZ1356" s="841">
        <f>+CZ1316/CZ1355</f>
        <v>0.76054708690950501</v>
      </c>
      <c r="DA1356" s="841">
        <f>+DA1316/DA1355</f>
        <v>0.72133624542939978</v>
      </c>
      <c r="DB1356" s="841">
        <f>DA1356</f>
        <v>0.72133624542939978</v>
      </c>
      <c r="DC1356" s="839"/>
      <c r="DD1356" s="841">
        <f>+DD1316/DD1355</f>
        <v>0.73918491005254783</v>
      </c>
      <c r="DE1356" s="841">
        <f>+DE1316/DE1355</f>
        <v>0.73510572331107293</v>
      </c>
      <c r="DF1356" s="841">
        <f>DE1356</f>
        <v>0.73510572331107293</v>
      </c>
      <c r="DG1356" s="839"/>
      <c r="DH1356" s="841">
        <f>+DH1316/DH1355</f>
        <v>0.72764742785445424</v>
      </c>
      <c r="DI1356" s="841">
        <f>+DI1316/DI1355</f>
        <v>0.72764742785445424</v>
      </c>
      <c r="DJ1356" s="841">
        <f>DI1356</f>
        <v>0.72764742785445424</v>
      </c>
      <c r="DK1356" s="839"/>
      <c r="DL1356" s="841">
        <f>+DL1316/DL1355</f>
        <v>0.72764742785445424</v>
      </c>
      <c r="DM1356" s="841">
        <f>+DM1316/DM1355</f>
        <v>0.72764742785445435</v>
      </c>
      <c r="DN1356" s="841">
        <f>DM1356</f>
        <v>0.72764742785445435</v>
      </c>
      <c r="DO1356" s="839"/>
      <c r="DP1356" s="841">
        <f>+DP1316/DP1355</f>
        <v>0.72764742785445413</v>
      </c>
      <c r="DQ1356" s="841">
        <f>+DQ1316/DQ1355</f>
        <v>0.72764742785445413</v>
      </c>
      <c r="DR1356" s="841">
        <f>DQ1356</f>
        <v>0.72764742785445413</v>
      </c>
      <c r="DS1356" s="839"/>
      <c r="DT1356"/>
      <c r="DU1356"/>
      <c r="DV1356" s="1"/>
      <c r="DW1356" s="1"/>
      <c r="DX1356" s="1"/>
      <c r="DY1356" s="1"/>
      <c r="DZ1356" s="1"/>
      <c r="EA1356" s="1"/>
      <c r="EB1356" s="1"/>
      <c r="EC1356" s="1"/>
      <c r="ED1356" s="1"/>
      <c r="EE1356" s="1"/>
      <c r="EF1356" s="1"/>
      <c r="EG1356" s="1"/>
      <c r="EH1356" s="1"/>
      <c r="EI1356" s="1"/>
      <c r="EJ1356" s="1"/>
      <c r="EK1356" s="1"/>
      <c r="EL1356" s="1"/>
      <c r="EM1356" s="1"/>
      <c r="EN1356" s="1"/>
      <c r="EO1356" s="1"/>
      <c r="EP1356" s="1"/>
      <c r="EQ1356" s="1"/>
      <c r="ER1356" s="1"/>
      <c r="ES1356" s="1"/>
      <c r="ET1356" s="1"/>
      <c r="EU1356" s="1"/>
      <c r="EV1356" s="1"/>
      <c r="EW1356" s="1"/>
      <c r="EX1356" s="1"/>
      <c r="EY1356" s="1"/>
      <c r="EZ1356" s="1"/>
      <c r="FA1356" s="1"/>
      <c r="FB1356" s="1"/>
      <c r="FC1356" s="1"/>
      <c r="FD1356" s="1"/>
      <c r="FE1356" s="1"/>
      <c r="FF1356" s="1"/>
      <c r="FG1356" s="1"/>
      <c r="FH1356" s="1"/>
      <c r="FI1356" s="1"/>
      <c r="FJ1356" s="1"/>
      <c r="FK1356" s="1"/>
      <c r="FL1356" s="1"/>
      <c r="FM1356" s="1"/>
      <c r="FN1356" s="1"/>
      <c r="FO1356" s="1"/>
      <c r="FP1356" s="1"/>
      <c r="FQ1356" s="1"/>
      <c r="FR1356" s="1"/>
      <c r="FS1356" s="1"/>
      <c r="FT1356" s="1"/>
      <c r="FU1356" s="1"/>
      <c r="FV1356" s="1"/>
      <c r="FW1356" s="1"/>
      <c r="FX1356" s="1"/>
      <c r="FY1356" s="1"/>
      <c r="FZ1356" s="1"/>
      <c r="GA1356" s="1"/>
      <c r="GB1356" s="1"/>
      <c r="GC1356" s="1"/>
      <c r="GD1356" s="1"/>
      <c r="GE1356" s="1"/>
      <c r="GF1356" s="1"/>
      <c r="GG1356" s="1"/>
      <c r="GH1356" s="1"/>
      <c r="GI1356" s="1"/>
      <c r="GJ1356" s="1"/>
      <c r="GK1356" s="1"/>
      <c r="GL1356" s="1"/>
      <c r="GM1356" s="1"/>
      <c r="GN1356" s="1"/>
      <c r="GO1356" s="1"/>
      <c r="GP1356" s="1"/>
      <c r="GQ1356" s="1"/>
      <c r="GR1356" s="1"/>
      <c r="GS1356" s="1"/>
      <c r="GT1356" s="1"/>
      <c r="GU1356" s="1"/>
      <c r="GV1356" s="1"/>
      <c r="GW1356" s="1"/>
      <c r="GX1356" s="1"/>
      <c r="GY1356" s="1"/>
      <c r="GZ1356" s="1"/>
      <c r="HA1356" s="1"/>
      <c r="HB1356" s="1"/>
      <c r="HC1356" s="1"/>
      <c r="HD1356" s="1"/>
      <c r="HE1356" s="1"/>
      <c r="HF1356" s="1"/>
      <c r="HG1356" s="1"/>
      <c r="HH1356" s="1"/>
      <c r="HI1356" s="1"/>
      <c r="HJ1356" s="1"/>
      <c r="HK1356" s="1"/>
      <c r="HL1356" s="1"/>
      <c r="HM1356" s="1"/>
      <c r="HN1356" s="1"/>
      <c r="HO1356" s="1"/>
      <c r="HP1356" s="1"/>
      <c r="HQ1356" s="1"/>
      <c r="HR1356" s="1"/>
      <c r="HS1356" s="1"/>
      <c r="HT1356" s="1"/>
      <c r="HU1356" s="1"/>
      <c r="HV1356" s="1"/>
      <c r="HW1356" s="1"/>
      <c r="HX1356" s="1"/>
      <c r="HY1356" s="1"/>
      <c r="HZ1356" s="1"/>
      <c r="IA1356" s="1"/>
      <c r="IB1356" s="1"/>
      <c r="IC1356" s="1"/>
      <c r="ID1356" s="1"/>
      <c r="IE1356" s="1"/>
      <c r="IF1356" s="1"/>
      <c r="IG1356" s="1"/>
      <c r="IH1356" s="1"/>
      <c r="II1356" s="1"/>
      <c r="IJ1356" s="1"/>
      <c r="IK1356" s="1"/>
      <c r="IL1356" s="1"/>
      <c r="IM1356" s="1"/>
      <c r="IN1356" s="1"/>
      <c r="IO1356" s="1"/>
      <c r="IP1356" s="1"/>
      <c r="IQ1356" s="1"/>
      <c r="IR1356" s="1"/>
      <c r="IS1356" s="1"/>
      <c r="IT1356" s="1"/>
      <c r="IU1356" s="1"/>
      <c r="IV1356" s="1"/>
      <c r="IW1356" s="1"/>
      <c r="IX1356" s="1"/>
      <c r="IY1356" s="1"/>
      <c r="IZ1356" s="1"/>
      <c r="JA1356" s="1"/>
      <c r="JB1356" s="1"/>
      <c r="JC1356" s="1"/>
      <c r="JD1356" s="1"/>
    </row>
    <row r="1357" spans="1:264" s="424" customFormat="1" ht="15" x14ac:dyDescent="0.25">
      <c r="A1357" s="839" t="s">
        <v>897</v>
      </c>
      <c r="B1357" s="840"/>
      <c r="C1357" s="839"/>
      <c r="D1357" s="839"/>
      <c r="E1357" s="839"/>
      <c r="F1357" s="839"/>
      <c r="G1357" s="839"/>
      <c r="H1357" s="839"/>
      <c r="I1357" s="839"/>
      <c r="J1357" s="839"/>
      <c r="K1357" s="839"/>
      <c r="L1357" s="839"/>
      <c r="M1357" s="839"/>
      <c r="N1357" s="839"/>
      <c r="O1357" s="839"/>
      <c r="P1357" s="839"/>
      <c r="Q1357" s="839"/>
      <c r="R1357" s="839"/>
      <c r="S1357" s="839"/>
      <c r="T1357" s="839"/>
      <c r="U1357" s="839"/>
      <c r="V1357" s="839"/>
      <c r="W1357" s="839"/>
      <c r="X1357" s="839"/>
      <c r="Y1357" s="839"/>
      <c r="Z1357" s="839"/>
      <c r="AA1357" s="839"/>
      <c r="AB1357" s="839"/>
      <c r="AC1357" s="839"/>
      <c r="AD1357" s="839"/>
      <c r="AE1357" s="839"/>
      <c r="AF1357" s="839"/>
      <c r="AG1357" s="839"/>
      <c r="AH1357" s="839"/>
      <c r="AI1357" s="839"/>
      <c r="AJ1357" s="839"/>
      <c r="AK1357" s="839"/>
      <c r="AL1357" s="839"/>
      <c r="AM1357" s="839"/>
      <c r="AN1357" s="839"/>
      <c r="AO1357" s="839"/>
      <c r="AP1357" s="839"/>
      <c r="AQ1357" s="839"/>
      <c r="AR1357" s="839"/>
      <c r="AS1357" s="839"/>
      <c r="AT1357" s="839"/>
      <c r="AU1357" s="839"/>
      <c r="AV1357" s="839"/>
      <c r="AW1357" s="839"/>
      <c r="AX1357" s="839"/>
      <c r="AY1357" s="839"/>
      <c r="AZ1357" s="839"/>
      <c r="BA1357" s="839"/>
      <c r="BB1357" s="839"/>
      <c r="BC1357" s="839"/>
      <c r="BD1357" s="841"/>
      <c r="BE1357" s="841">
        <f>BE1316/BE1329</f>
        <v>0.5428678940339341</v>
      </c>
      <c r="BF1357" s="841">
        <f>BF1316/BF1329</f>
        <v>0.5428678940339341</v>
      </c>
      <c r="BG1357" s="839"/>
      <c r="BH1357" s="841">
        <f>BH1316/BH1329</f>
        <v>0.57222452361226184</v>
      </c>
      <c r="BI1357" s="841">
        <f>BI1316/BI1329</f>
        <v>0.54668587258843115</v>
      </c>
      <c r="BJ1357" s="841">
        <f>BJ1316/BJ1329</f>
        <v>0.54668587258843115</v>
      </c>
      <c r="BK1357" s="840"/>
      <c r="BL1357" s="841">
        <f>BL1316/BL1329</f>
        <v>0.52506231704012174</v>
      </c>
      <c r="BM1357" s="841">
        <f>BM1316/BM1329</f>
        <v>0.53892751084351931</v>
      </c>
      <c r="BN1357" s="841">
        <f>BN1316/BN1329</f>
        <v>0.53892751084351931</v>
      </c>
      <c r="BO1357" s="840"/>
      <c r="BP1357" s="841">
        <f>BP1316/BP1329</f>
        <v>0.52432695465408674</v>
      </c>
      <c r="BQ1357" s="841">
        <f>BQ1316/BQ1329</f>
        <v>0.5387503573884298</v>
      </c>
      <c r="BR1357" s="841">
        <f>BR1316/BR1329</f>
        <v>0.5387503573884298</v>
      </c>
      <c r="BS1357" s="839"/>
      <c r="BT1357" s="841">
        <f>BT1316/BT1329</f>
        <v>0.54830046596301663</v>
      </c>
      <c r="BU1357" s="841">
        <f>BU1316/BU1329</f>
        <v>0.53644472073493266</v>
      </c>
      <c r="BV1357" s="841">
        <f>BV1316/BV1329</f>
        <v>0.53644472073493266</v>
      </c>
      <c r="BW1357" s="839"/>
      <c r="BX1357" s="841">
        <f>BX1316/BX1329</f>
        <v>0.52018561286824816</v>
      </c>
      <c r="BY1357" s="841">
        <f>BY1316/BY1329</f>
        <v>0.48934598459963086</v>
      </c>
      <c r="BZ1357" s="841">
        <f>BZ1316/BZ1329</f>
        <v>0.48934598459963086</v>
      </c>
      <c r="CA1357" s="839"/>
      <c r="CB1357" s="841">
        <f>CB1316/CB1329</f>
        <v>0.47944394241145455</v>
      </c>
      <c r="CC1357" s="841">
        <f>CC1316/CC1329</f>
        <v>0.48405498342855618</v>
      </c>
      <c r="CD1357" s="841">
        <f>CD1316/CD1329</f>
        <v>0.48405498342855618</v>
      </c>
      <c r="CE1357" s="843"/>
      <c r="CF1357" s="841">
        <f>CF1316/CF1329</f>
        <v>0.4761029576167351</v>
      </c>
      <c r="CG1357" s="841">
        <f>CG1316/CG1329</f>
        <v>0.47684902718459765</v>
      </c>
      <c r="CH1357" s="841">
        <f>CH1316/CH1329</f>
        <v>0.47684902718459765</v>
      </c>
      <c r="CI1357" s="843"/>
      <c r="CJ1357" s="841">
        <f>CJ1316/CJ1329</f>
        <v>0.48066050192187459</v>
      </c>
      <c r="CK1357" s="841">
        <f>CK1316/CK1329</f>
        <v>0.46187186515868728</v>
      </c>
      <c r="CL1357" s="841">
        <f>CL1316/CL1329</f>
        <v>0.46187186515868728</v>
      </c>
      <c r="CM1357" s="844"/>
      <c r="CN1357" s="841">
        <f>CN1316/CN1329</f>
        <v>0.41860275600802194</v>
      </c>
      <c r="CO1357" s="841">
        <f>CO1316/CO1329</f>
        <v>0.38008213138456071</v>
      </c>
      <c r="CP1357" s="841">
        <f>CP1316/CP1329</f>
        <v>0.38008213138456071</v>
      </c>
      <c r="CQ1357" s="844"/>
      <c r="CR1357" s="841">
        <f>CR1316/CR1329</f>
        <v>0.36363889241425112</v>
      </c>
      <c r="CS1357" s="841">
        <f>CS1316/CS1329</f>
        <v>0.35296870787059881</v>
      </c>
      <c r="CT1357" s="841">
        <f>CT1316/CT1329</f>
        <v>0.35296870787059881</v>
      </c>
      <c r="CU1357" s="844"/>
      <c r="CV1357" s="841">
        <f>CV1316/CV1329</f>
        <v>0.36661929809201177</v>
      </c>
      <c r="CW1357" s="841">
        <f>CW1316/CW1329</f>
        <v>0.31579341410763528</v>
      </c>
      <c r="CX1357" s="841">
        <f>CX1316/CX1329</f>
        <v>0.31579341410763528</v>
      </c>
      <c r="CY1357" s="844"/>
      <c r="CZ1357" s="841">
        <f>CZ1316/CZ1329</f>
        <v>0.32842318211929261</v>
      </c>
      <c r="DA1357" s="841">
        <f>DA1316/DA1329</f>
        <v>0.3469399799011243</v>
      </c>
      <c r="DB1357" s="841">
        <f>DB1316/DB1329</f>
        <v>0.3469399799011243</v>
      </c>
      <c r="DC1357" s="844"/>
      <c r="DD1357" s="841">
        <f>DD1316/DD1329</f>
        <v>0.34630991101958597</v>
      </c>
      <c r="DE1357" s="841">
        <f>DE1316/DE1329</f>
        <v>0.36374852406082075</v>
      </c>
      <c r="DF1357" s="841">
        <f>DF1316/DF1329</f>
        <v>0.36374852406082075</v>
      </c>
      <c r="DG1357" s="844"/>
      <c r="DH1357" s="841">
        <f>DH1316/DH1329</f>
        <v>0.36188939919626589</v>
      </c>
      <c r="DI1357" s="841">
        <f>DI1316/DI1329</f>
        <v>0.36188939919626589</v>
      </c>
      <c r="DJ1357" s="492">
        <f>DJ1316/DJ1329</f>
        <v>0.36188939919626589</v>
      </c>
      <c r="DK1357" s="844"/>
      <c r="DL1357" s="841">
        <f>DL1316/DL1329</f>
        <v>0.36188939919626589</v>
      </c>
      <c r="DM1357" s="841">
        <f>DM1316/DM1329</f>
        <v>0.36188939919626589</v>
      </c>
      <c r="DN1357" s="492">
        <f>DN1316/DN1329</f>
        <v>0.36188939919626589</v>
      </c>
      <c r="DO1357" s="844"/>
      <c r="DP1357" s="841">
        <f>DP1316/DP1329</f>
        <v>0.36188939919626589</v>
      </c>
      <c r="DQ1357" s="841">
        <f>DQ1316/DQ1329</f>
        <v>0.36188939919626584</v>
      </c>
      <c r="DR1357" s="492">
        <f>DR1316/DR1329</f>
        <v>0.36188939919626584</v>
      </c>
      <c r="DS1357" s="844"/>
      <c r="DT1357"/>
      <c r="DU1357"/>
      <c r="DV1357" s="1"/>
      <c r="DW1357" s="1"/>
      <c r="DX1357" s="1"/>
      <c r="DY1357" s="1"/>
      <c r="DZ1357" s="1"/>
      <c r="EA1357" s="1"/>
      <c r="EB1357" s="1"/>
      <c r="EC1357" s="1"/>
      <c r="ED1357" s="1"/>
      <c r="EE1357" s="1"/>
      <c r="EF1357" s="1"/>
      <c r="EG1357" s="1"/>
      <c r="EH1357" s="1"/>
      <c r="EI1357" s="1"/>
      <c r="EJ1357" s="1"/>
      <c r="EK1357" s="1"/>
      <c r="EL1357" s="1"/>
      <c r="EM1357" s="1"/>
      <c r="EN1357" s="1"/>
      <c r="EO1357" s="1"/>
      <c r="EP1357" s="1"/>
      <c r="EQ1357" s="1"/>
      <c r="ER1357" s="1"/>
      <c r="ES1357" s="1"/>
      <c r="ET1357" s="1"/>
      <c r="EU1357" s="1"/>
      <c r="EV1357" s="1"/>
      <c r="EW1357" s="1"/>
      <c r="EX1357" s="1"/>
      <c r="EY1357" s="1"/>
      <c r="EZ1357" s="1"/>
      <c r="FA1357" s="1"/>
      <c r="FB1357" s="1"/>
      <c r="FC1357" s="1"/>
      <c r="FD1357" s="1"/>
      <c r="FE1357" s="1"/>
      <c r="FF1357" s="1"/>
      <c r="FG1357" s="1"/>
      <c r="FH1357" s="1"/>
      <c r="FI1357" s="1"/>
      <c r="FJ1357" s="1"/>
      <c r="FK1357" s="1"/>
      <c r="FL1357" s="1"/>
      <c r="FM1357" s="1"/>
      <c r="FN1357" s="1"/>
      <c r="FO1357" s="1"/>
      <c r="FP1357" s="1"/>
      <c r="FQ1357" s="1"/>
      <c r="FR1357" s="1"/>
      <c r="FS1357" s="1"/>
      <c r="FT1357" s="1"/>
      <c r="FU1357" s="1"/>
      <c r="FV1357" s="1"/>
      <c r="FW1357" s="1"/>
      <c r="FX1357" s="1"/>
      <c r="FY1357" s="1"/>
      <c r="FZ1357" s="1"/>
      <c r="GA1357" s="1"/>
      <c r="GB1357" s="1"/>
      <c r="GC1357" s="1"/>
      <c r="GD1357" s="1"/>
      <c r="GE1357" s="1"/>
      <c r="GF1357" s="1"/>
      <c r="GG1357" s="1"/>
      <c r="GH1357" s="1"/>
      <c r="GI1357" s="1"/>
      <c r="GJ1357" s="1"/>
      <c r="GK1357" s="1"/>
      <c r="GL1357" s="1"/>
      <c r="GM1357" s="1"/>
      <c r="GN1357" s="1"/>
      <c r="GO1357" s="1"/>
      <c r="GP1357" s="1"/>
      <c r="GQ1357" s="1"/>
      <c r="GR1357" s="1"/>
      <c r="GS1357" s="1"/>
      <c r="GT1357" s="1"/>
      <c r="GU1357" s="1"/>
      <c r="GV1357" s="1"/>
      <c r="GW1357" s="1"/>
      <c r="GX1357" s="1"/>
      <c r="GY1357" s="1"/>
      <c r="GZ1357" s="1"/>
      <c r="HA1357" s="1"/>
      <c r="HB1357" s="1"/>
      <c r="HC1357" s="1"/>
      <c r="HD1357" s="1"/>
      <c r="HE1357" s="1"/>
      <c r="HF1357" s="1"/>
      <c r="HG1357" s="1"/>
      <c r="HH1357" s="1"/>
      <c r="HI1357" s="1"/>
      <c r="HJ1357" s="1"/>
      <c r="HK1357" s="1"/>
      <c r="HL1357" s="1"/>
      <c r="HM1357" s="1"/>
      <c r="HN1357" s="1"/>
      <c r="HO1357" s="1"/>
      <c r="HP1357" s="1"/>
      <c r="HQ1357" s="1"/>
      <c r="HR1357" s="1"/>
      <c r="HS1357" s="1"/>
      <c r="HT1357" s="1"/>
      <c r="HU1357" s="1"/>
      <c r="HV1357" s="1"/>
      <c r="HW1357" s="1"/>
      <c r="HX1357" s="1"/>
      <c r="HY1357" s="1"/>
      <c r="HZ1357" s="1"/>
      <c r="IA1357" s="1"/>
      <c r="IB1357" s="1"/>
      <c r="IC1357" s="1"/>
      <c r="ID1357" s="1"/>
      <c r="IE1357" s="1"/>
      <c r="IF1357" s="1"/>
      <c r="IG1357" s="1"/>
      <c r="IH1357" s="1"/>
      <c r="II1357" s="1"/>
      <c r="IJ1357" s="1"/>
      <c r="IK1357" s="1"/>
      <c r="IL1357" s="1"/>
      <c r="IM1357" s="1"/>
      <c r="IN1357" s="1"/>
      <c r="IO1357" s="1"/>
      <c r="IP1357" s="1"/>
      <c r="IQ1357" s="1"/>
      <c r="IR1357" s="1"/>
      <c r="IS1357" s="1"/>
      <c r="IT1357" s="1"/>
      <c r="IU1357" s="1"/>
      <c r="IV1357" s="1"/>
      <c r="IW1357" s="1"/>
      <c r="IX1357" s="1"/>
      <c r="IY1357" s="1"/>
      <c r="IZ1357" s="1"/>
      <c r="JA1357" s="1"/>
      <c r="JB1357" s="1"/>
      <c r="JC1357" s="1"/>
      <c r="JD1357" s="1"/>
    </row>
    <row r="1358" spans="1:264" s="347" customFormat="1" ht="15" x14ac:dyDescent="0.25">
      <c r="A1358" s="347" t="s">
        <v>272</v>
      </c>
      <c r="B1358" s="348"/>
      <c r="BD1358" s="351"/>
      <c r="BE1358" s="351">
        <f>+BE1346+BE1355</f>
        <v>542097</v>
      </c>
      <c r="BF1358" s="351">
        <f>BE1358</f>
        <v>542097</v>
      </c>
      <c r="BH1358" s="351">
        <f>+BH1346+BH1355</f>
        <v>549216</v>
      </c>
      <c r="BI1358" s="351">
        <f>+BI1346+BI1355</f>
        <v>568821</v>
      </c>
      <c r="BJ1358" s="351">
        <f>BI1358</f>
        <v>568821</v>
      </c>
      <c r="BK1358" s="348"/>
      <c r="BL1358" s="351">
        <f>+BL1346+BL1355</f>
        <v>591775</v>
      </c>
      <c r="BM1358" s="351">
        <f>+BM1346+BM1355</f>
        <v>608127</v>
      </c>
      <c r="BN1358" s="351">
        <f>BM1358</f>
        <v>608127</v>
      </c>
      <c r="BO1358" s="348"/>
      <c r="BP1358" s="351">
        <f>+BP1346+BP1355</f>
        <v>627698</v>
      </c>
      <c r="BQ1358" s="351">
        <f>+BQ1346+BQ1355</f>
        <v>646172</v>
      </c>
      <c r="BR1358" s="351">
        <f>BQ1358</f>
        <v>646172</v>
      </c>
      <c r="BT1358" s="351">
        <f>+BT1346+BT1355</f>
        <v>675728</v>
      </c>
      <c r="BU1358" s="351">
        <f>+BU1346+BU1355</f>
        <v>701730</v>
      </c>
      <c r="BV1358" s="351">
        <f t="shared" si="990"/>
        <v>701730</v>
      </c>
      <c r="BX1358" s="351">
        <f>+BX1346+BX1355</f>
        <v>719250</v>
      </c>
      <c r="BY1358" s="351">
        <f>+BY1346+BY1355</f>
        <v>737002</v>
      </c>
      <c r="BZ1358" s="351">
        <f>BY1358</f>
        <v>737002</v>
      </c>
      <c r="CB1358" s="351">
        <f>+CB1346+CB1355</f>
        <v>741318</v>
      </c>
      <c r="CC1358" s="351">
        <f>+CC1346+CC1355</f>
        <v>748408</v>
      </c>
      <c r="CD1358" s="351">
        <f>CC1358</f>
        <v>748408</v>
      </c>
      <c r="CF1358" s="351">
        <f>+CF1346+CF1355</f>
        <v>759463</v>
      </c>
      <c r="CG1358" s="351">
        <f>+CG1346+CG1355</f>
        <v>761013</v>
      </c>
      <c r="CH1358" s="351">
        <f>CG1358</f>
        <v>761013</v>
      </c>
      <c r="CJ1358" s="351">
        <f>+CJ1346+CJ1355</f>
        <v>771383</v>
      </c>
      <c r="CK1358" s="351">
        <f>+CK1346+CK1355</f>
        <v>780108</v>
      </c>
      <c r="CL1358" s="351">
        <f>CK1358</f>
        <v>780108</v>
      </c>
      <c r="CN1358" s="351">
        <f>+CN1346+CN1355</f>
        <v>794473</v>
      </c>
      <c r="CO1358" s="351">
        <f>+CO1346+CO1355</f>
        <v>818266</v>
      </c>
      <c r="CP1358" s="351">
        <f>CO1358</f>
        <v>818266</v>
      </c>
      <c r="CQ1358" s="393">
        <f>+CP1358/CL1358-1</f>
        <v>4.8913740148800011E-2</v>
      </c>
      <c r="CR1358" s="351">
        <f>+CR1346+CR1355</f>
        <v>850509</v>
      </c>
      <c r="CS1358" s="351">
        <f>+CS1346+CS1355</f>
        <v>884963</v>
      </c>
      <c r="CT1358" s="351">
        <f>CS1358</f>
        <v>884963</v>
      </c>
      <c r="CU1358" s="393">
        <f>+CT1358/CP1358-1</f>
        <v>8.151016906482722E-2</v>
      </c>
      <c r="CV1358" s="351">
        <f>+CV1346+CV1355</f>
        <v>912835</v>
      </c>
      <c r="CW1358" s="351">
        <f>+CW1346+CW1355</f>
        <v>933251</v>
      </c>
      <c r="CX1358" s="351">
        <f>CW1358</f>
        <v>933251</v>
      </c>
      <c r="CY1358" s="393">
        <f>+CX1358/CT1358-1</f>
        <v>5.456499311270635E-2</v>
      </c>
      <c r="CZ1358" s="351">
        <f>+CZ1346+CZ1355</f>
        <v>928807</v>
      </c>
      <c r="DA1358" s="351">
        <f>+DA1346+DA1355</f>
        <v>949948</v>
      </c>
      <c r="DB1358" s="351">
        <f>DA1358</f>
        <v>949948</v>
      </c>
      <c r="DC1358" s="393">
        <f>+DB1358/CX1358-1</f>
        <v>1.7891221118434331E-2</v>
      </c>
      <c r="DD1358" s="351">
        <f>+DD1346+DD1355</f>
        <v>977384</v>
      </c>
      <c r="DE1358" s="351">
        <f>+DE1346+DE1355</f>
        <v>1015883</v>
      </c>
      <c r="DF1358" s="351">
        <f>DE1358</f>
        <v>1015883</v>
      </c>
      <c r="DG1358" s="393">
        <f>+DF1358/DB1358-1</f>
        <v>6.9409062390783482E-2</v>
      </c>
      <c r="DH1358" s="351">
        <f>+DH1346+DH1355</f>
        <v>1048988</v>
      </c>
      <c r="DI1358" s="351">
        <f>+DI1346+DI1355</f>
        <v>1085563.3850495969</v>
      </c>
      <c r="DJ1358" s="351">
        <f>DI1358</f>
        <v>1085563.3850495969</v>
      </c>
      <c r="DK1358" s="393">
        <f>+DJ1358/DF1358-1</f>
        <v>6.8590954912718161E-2</v>
      </c>
      <c r="DL1358" s="351">
        <f>+DL1346+DL1355</f>
        <v>1117407.6161743863</v>
      </c>
      <c r="DM1358" s="351">
        <f>+DM1346+DM1355</f>
        <v>1152170.2205865183</v>
      </c>
      <c r="DN1358" s="351">
        <f>DM1358</f>
        <v>1152170.2205865183</v>
      </c>
      <c r="DO1358" s="393">
        <f>+DN1358/DJ1358-1</f>
        <v>6.1356928995793591E-2</v>
      </c>
      <c r="DP1358" s="351">
        <f>+DP1346+DP1355</f>
        <v>1179120.5333508002</v>
      </c>
      <c r="DQ1358" s="351">
        <f>+DQ1346+DQ1355</f>
        <v>1208740.865286886</v>
      </c>
      <c r="DR1358" s="351">
        <f>DQ1358</f>
        <v>1208740.865286886</v>
      </c>
      <c r="DS1358" s="393">
        <f>+DR1358/DN1358-1</f>
        <v>4.9099207469162076E-2</v>
      </c>
      <c r="DT1358"/>
      <c r="DU1358"/>
      <c r="DV1358" s="1"/>
      <c r="DW1358" s="1"/>
      <c r="DX1358" s="1"/>
      <c r="DY1358" s="1"/>
      <c r="DZ1358" s="1"/>
      <c r="EA1358" s="1"/>
      <c r="EB1358" s="1"/>
      <c r="EC1358" s="1"/>
      <c r="ED1358" s="1"/>
      <c r="EE1358" s="1"/>
      <c r="EF1358" s="1"/>
      <c r="EG1358" s="1"/>
      <c r="EH1358" s="1"/>
      <c r="EI1358" s="1"/>
      <c r="EJ1358" s="1"/>
      <c r="EK1358" s="1"/>
      <c r="EL1358" s="1"/>
      <c r="EM1358" s="1"/>
      <c r="EN1358" s="1"/>
      <c r="EO1358" s="1"/>
      <c r="EP1358" s="1"/>
      <c r="EQ1358" s="1"/>
      <c r="ER1358" s="1"/>
      <c r="ES1358" s="1"/>
      <c r="ET1358" s="1"/>
      <c r="EU1358" s="1"/>
      <c r="EV1358" s="1"/>
      <c r="EW1358" s="1"/>
      <c r="EX1358" s="1"/>
      <c r="EY1358" s="1"/>
      <c r="EZ1358" s="1"/>
      <c r="FA1358" s="1"/>
      <c r="FB1358" s="1"/>
      <c r="FC1358" s="1"/>
      <c r="FD1358" s="1"/>
      <c r="FE1358" s="1"/>
      <c r="FF1358" s="1"/>
      <c r="FG1358" s="1"/>
      <c r="FH1358" s="1"/>
      <c r="FI1358" s="1"/>
      <c r="FJ1358" s="1"/>
      <c r="FK1358" s="1"/>
      <c r="FL1358" s="1"/>
      <c r="FM1358" s="1"/>
      <c r="FN1358" s="1"/>
      <c r="FO1358" s="1"/>
      <c r="FP1358" s="1"/>
      <c r="FQ1358" s="1"/>
      <c r="FR1358" s="1"/>
      <c r="FS1358" s="1"/>
      <c r="FT1358" s="1"/>
      <c r="FU1358" s="1"/>
      <c r="FV1358" s="1"/>
      <c r="FW1358" s="1"/>
      <c r="FX1358" s="1"/>
      <c r="FY1358" s="1"/>
      <c r="FZ1358" s="1"/>
      <c r="GA1358" s="1"/>
      <c r="GB1358" s="1"/>
      <c r="GC1358" s="1"/>
      <c r="GD1358" s="1"/>
      <c r="GE1358" s="1"/>
      <c r="GF1358" s="1"/>
      <c r="GG1358" s="1"/>
      <c r="GH1358" s="1"/>
      <c r="GI1358" s="1"/>
      <c r="GJ1358" s="1"/>
      <c r="GK1358" s="1"/>
      <c r="GL1358" s="1"/>
      <c r="GM1358" s="1"/>
      <c r="GN1358" s="1"/>
      <c r="GO1358" s="1"/>
      <c r="GP1358" s="1"/>
      <c r="GQ1358" s="1"/>
      <c r="GR1358" s="1"/>
      <c r="GS1358" s="1"/>
      <c r="GT1358" s="1"/>
      <c r="GU1358" s="1"/>
      <c r="GV1358" s="1"/>
      <c r="GW1358" s="1"/>
      <c r="GX1358" s="1"/>
      <c r="GY1358" s="1"/>
      <c r="GZ1358" s="1"/>
      <c r="HA1358" s="1"/>
      <c r="HB1358" s="1"/>
      <c r="HC1358" s="1"/>
      <c r="HD1358" s="1"/>
      <c r="HE1358" s="1"/>
      <c r="HF1358" s="1"/>
      <c r="HG1358" s="1"/>
      <c r="HH1358" s="1"/>
      <c r="HI1358" s="1"/>
      <c r="HJ1358" s="1"/>
      <c r="HK1358" s="1"/>
      <c r="HL1358" s="1"/>
      <c r="HM1358" s="1"/>
      <c r="HN1358" s="1"/>
      <c r="HO1358" s="1"/>
      <c r="HP1358" s="1"/>
      <c r="HQ1358" s="1"/>
      <c r="HR1358" s="1"/>
      <c r="HS1358" s="1"/>
      <c r="HT1358" s="1"/>
      <c r="HU1358" s="1"/>
      <c r="HV1358" s="1"/>
      <c r="HW1358" s="1"/>
      <c r="HX1358" s="1"/>
      <c r="HY1358" s="1"/>
      <c r="HZ1358" s="1"/>
      <c r="IA1358" s="1"/>
      <c r="IB1358" s="1"/>
      <c r="IC1358" s="1"/>
      <c r="ID1358" s="1"/>
      <c r="IE1358" s="1"/>
      <c r="IF1358" s="1"/>
      <c r="IG1358" s="1"/>
      <c r="IH1358" s="1"/>
      <c r="II1358" s="1"/>
      <c r="IJ1358" s="1"/>
      <c r="IK1358" s="1"/>
      <c r="IL1358" s="1"/>
      <c r="IM1358" s="1"/>
      <c r="IN1358" s="1"/>
      <c r="IO1358" s="1"/>
      <c r="IP1358" s="1"/>
      <c r="IQ1358" s="1"/>
      <c r="IR1358" s="1"/>
      <c r="IS1358" s="1"/>
      <c r="IT1358" s="1"/>
      <c r="IU1358" s="1"/>
      <c r="IV1358" s="1"/>
      <c r="IW1358" s="1"/>
      <c r="IX1358" s="1"/>
      <c r="IY1358" s="1"/>
      <c r="IZ1358" s="1"/>
      <c r="JA1358" s="1"/>
      <c r="JB1358" s="1"/>
      <c r="JC1358" s="1"/>
      <c r="JD1358" s="1"/>
    </row>
    <row r="1359" spans="1:264" s="347" customFormat="1" ht="15" x14ac:dyDescent="0.25">
      <c r="A1359" s="424" t="s">
        <v>891</v>
      </c>
      <c r="B1359" s="348"/>
      <c r="BD1359" s="428"/>
      <c r="BE1359" s="428">
        <f>+BE1317/BE1358</f>
        <v>0.47271429282951205</v>
      </c>
      <c r="BF1359" s="428">
        <f>BE1359</f>
        <v>0.47271429282951205</v>
      </c>
      <c r="BH1359" s="428">
        <f>+BH1317/BH1358</f>
        <v>0.47209658859173803</v>
      </c>
      <c r="BI1359" s="428">
        <f>+BI1317/BI1358</f>
        <v>0.46922669873299333</v>
      </c>
      <c r="BJ1359" s="428">
        <f>BI1359</f>
        <v>0.46922669873299333</v>
      </c>
      <c r="BK1359" s="348"/>
      <c r="BL1359" s="428">
        <f>+BL1317/BL1358</f>
        <v>0.45568839508259051</v>
      </c>
      <c r="BM1359" s="428">
        <f>+BM1317/BM1358</f>
        <v>0.45535883129675214</v>
      </c>
      <c r="BN1359" s="428">
        <f>BM1359</f>
        <v>0.45535883129675214</v>
      </c>
      <c r="BO1359" s="348"/>
      <c r="BP1359" s="428">
        <f>+BP1317/BP1358</f>
        <v>0.47383933037862158</v>
      </c>
      <c r="BQ1359" s="428">
        <f>+BQ1317/BQ1358</f>
        <v>0.47837727416229736</v>
      </c>
      <c r="BR1359" s="428">
        <f>BQ1359</f>
        <v>0.47837727416229736</v>
      </c>
      <c r="BT1359" s="428">
        <f>+BT1317/BT1358</f>
        <v>0.48067861624795777</v>
      </c>
      <c r="BU1359" s="428">
        <f>+BU1317/BU1358</f>
        <v>0.47303663802317131</v>
      </c>
      <c r="BV1359" s="428">
        <f t="shared" si="990"/>
        <v>0.47303663802317131</v>
      </c>
      <c r="BX1359" s="428">
        <f>+BX1317/BX1358</f>
        <v>0.50628154327424402</v>
      </c>
      <c r="BY1359" s="428">
        <f>+BY1317/BY1358</f>
        <v>0.50182496112629271</v>
      </c>
      <c r="BZ1359" s="428">
        <f>BY1359</f>
        <v>0.50182496112629271</v>
      </c>
      <c r="CB1359" s="428">
        <f>+CB1317/CB1358</f>
        <v>0.48567686202142668</v>
      </c>
      <c r="CC1359" s="428">
        <f>+CC1317/CC1358</f>
        <v>0.48467947964212033</v>
      </c>
      <c r="CD1359" s="428">
        <f>CC1359</f>
        <v>0.48467947964212033</v>
      </c>
      <c r="CF1359" s="428">
        <f>+CF1317/CF1358</f>
        <v>0.47742549669964174</v>
      </c>
      <c r="CG1359" s="428">
        <f>+CG1317/CG1358</f>
        <v>0.4805542086666062</v>
      </c>
      <c r="CH1359" s="428">
        <f>CG1359</f>
        <v>0.4805542086666062</v>
      </c>
      <c r="CJ1359" s="428">
        <f>+CJ1317/CJ1358</f>
        <v>0.47616164732694394</v>
      </c>
      <c r="CK1359" s="428">
        <f>+CK1317/CK1358</f>
        <v>0.47139114071384985</v>
      </c>
      <c r="CL1359" s="428">
        <f>CK1359</f>
        <v>0.47139114071384985</v>
      </c>
      <c r="CN1359" s="428">
        <f>+CN1317/CN1358</f>
        <v>0.46448777994972767</v>
      </c>
      <c r="CO1359" s="428">
        <f>+CO1317/CO1358</f>
        <v>0.45669256696477672</v>
      </c>
      <c r="CP1359" s="428">
        <f>CO1359</f>
        <v>0.45669256696477672</v>
      </c>
      <c r="CR1359" s="428">
        <f>+CR1317/CR1358</f>
        <v>0.45095701515210301</v>
      </c>
      <c r="CS1359" s="428">
        <f>+CS1317/CS1358</f>
        <v>0.4366216440687351</v>
      </c>
      <c r="CT1359" s="428">
        <f>CS1359</f>
        <v>0.4366216440687351</v>
      </c>
      <c r="CV1359" s="428">
        <f>+CV1317/CV1358</f>
        <v>0.43399519080666277</v>
      </c>
      <c r="CW1359" s="428">
        <f>+CW1317/CW1358</f>
        <v>0.38277590916055809</v>
      </c>
      <c r="CX1359" s="428">
        <f>CW1359</f>
        <v>0.38277590916055809</v>
      </c>
      <c r="CZ1359" s="428">
        <f>+CZ1317/CZ1358</f>
        <v>0.39026083998074951</v>
      </c>
      <c r="DA1359" s="428">
        <f>+DA1317/DA1358</f>
        <v>0.376800624876309</v>
      </c>
      <c r="DB1359" s="428">
        <f>DA1359</f>
        <v>0.376800624876309</v>
      </c>
      <c r="DD1359" s="428">
        <f>+DD1317/DD1358</f>
        <v>0.37651219991323781</v>
      </c>
      <c r="DE1359" s="428">
        <f>+DE1317/DE1358</f>
        <v>0.3770148727757035</v>
      </c>
      <c r="DF1359" s="428">
        <f>DE1359</f>
        <v>0.3770148727757035</v>
      </c>
      <c r="DH1359" s="428">
        <f>+DH1317/DH1358</f>
        <v>0.37599286169145879</v>
      </c>
      <c r="DI1359" s="428">
        <f>+DI1317/DI1358</f>
        <v>0.3756716499962981</v>
      </c>
      <c r="DJ1359" s="428">
        <f>DI1359</f>
        <v>0.3756716499962981</v>
      </c>
      <c r="DL1359" s="428">
        <f>+DL1317/DL1358</f>
        <v>0.37491955469475269</v>
      </c>
      <c r="DM1359" s="428">
        <f>+DM1317/DM1358</f>
        <v>0.37554516461047449</v>
      </c>
      <c r="DN1359" s="428">
        <f>DM1359</f>
        <v>0.37554516461047449</v>
      </c>
      <c r="DP1359" s="428">
        <f>+DP1317/DP1358</f>
        <v>0.37531872088241353</v>
      </c>
      <c r="DQ1359" s="428">
        <f>+DQ1317/DQ1358</f>
        <v>0.37568412060922174</v>
      </c>
      <c r="DR1359" s="428">
        <f>DQ1359</f>
        <v>0.37568412060922174</v>
      </c>
      <c r="DT1359"/>
      <c r="DU1359"/>
      <c r="DV1359" s="1"/>
      <c r="DW1359" s="1"/>
      <c r="DX1359" s="1"/>
      <c r="DY1359" s="1"/>
      <c r="DZ1359" s="1"/>
      <c r="EA1359" s="1"/>
      <c r="EB1359" s="1"/>
      <c r="EC1359" s="1"/>
      <c r="ED1359" s="1"/>
      <c r="EE1359" s="1"/>
      <c r="EF1359" s="1"/>
      <c r="EG1359" s="1"/>
      <c r="EH1359" s="1"/>
      <c r="EI1359" s="1"/>
      <c r="EJ1359" s="1"/>
      <c r="EK1359" s="1"/>
      <c r="EL1359" s="1"/>
      <c r="EM1359" s="1"/>
      <c r="EN1359" s="1"/>
      <c r="EO1359" s="1"/>
      <c r="EP1359" s="1"/>
      <c r="EQ1359" s="1"/>
      <c r="ER1359" s="1"/>
      <c r="ES1359" s="1"/>
      <c r="ET1359" s="1"/>
      <c r="EU1359" s="1"/>
      <c r="EV1359" s="1"/>
      <c r="EW1359" s="1"/>
      <c r="EX1359" s="1"/>
      <c r="EY1359" s="1"/>
      <c r="EZ1359" s="1"/>
      <c r="FA1359" s="1"/>
      <c r="FB1359" s="1"/>
      <c r="FC1359" s="1"/>
      <c r="FD1359" s="1"/>
      <c r="FE1359" s="1"/>
      <c r="FF1359" s="1"/>
      <c r="FG1359" s="1"/>
      <c r="FH1359" s="1"/>
      <c r="FI1359" s="1"/>
      <c r="FJ1359" s="1"/>
      <c r="FK1359" s="1"/>
      <c r="FL1359" s="1"/>
      <c r="FM1359" s="1"/>
      <c r="FN1359" s="1"/>
      <c r="FO1359" s="1"/>
      <c r="FP1359" s="1"/>
      <c r="FQ1359" s="1"/>
      <c r="FR1359" s="1"/>
      <c r="FS1359" s="1"/>
      <c r="FT1359" s="1"/>
      <c r="FU1359" s="1"/>
      <c r="FV1359" s="1"/>
      <c r="FW1359" s="1"/>
      <c r="FX1359" s="1"/>
      <c r="FY1359" s="1"/>
      <c r="FZ1359" s="1"/>
      <c r="GA1359" s="1"/>
      <c r="GB1359" s="1"/>
      <c r="GC1359" s="1"/>
      <c r="GD1359" s="1"/>
      <c r="GE1359" s="1"/>
      <c r="GF1359" s="1"/>
      <c r="GG1359" s="1"/>
      <c r="GH1359" s="1"/>
      <c r="GI1359" s="1"/>
      <c r="GJ1359" s="1"/>
      <c r="GK1359" s="1"/>
      <c r="GL1359" s="1"/>
      <c r="GM1359" s="1"/>
      <c r="GN1359" s="1"/>
      <c r="GO1359" s="1"/>
      <c r="GP1359" s="1"/>
      <c r="GQ1359" s="1"/>
      <c r="GR1359" s="1"/>
      <c r="GS1359" s="1"/>
      <c r="GT1359" s="1"/>
      <c r="GU1359" s="1"/>
      <c r="GV1359" s="1"/>
      <c r="GW1359" s="1"/>
      <c r="GX1359" s="1"/>
      <c r="GY1359" s="1"/>
      <c r="GZ1359" s="1"/>
      <c r="HA1359" s="1"/>
      <c r="HB1359" s="1"/>
      <c r="HC1359" s="1"/>
      <c r="HD1359" s="1"/>
      <c r="HE1359" s="1"/>
      <c r="HF1359" s="1"/>
      <c r="HG1359" s="1"/>
      <c r="HH1359" s="1"/>
      <c r="HI1359" s="1"/>
      <c r="HJ1359" s="1"/>
      <c r="HK1359" s="1"/>
      <c r="HL1359" s="1"/>
      <c r="HM1359" s="1"/>
      <c r="HN1359" s="1"/>
      <c r="HO1359" s="1"/>
      <c r="HP1359" s="1"/>
      <c r="HQ1359" s="1"/>
      <c r="HR1359" s="1"/>
      <c r="HS1359" s="1"/>
      <c r="HT1359" s="1"/>
      <c r="HU1359" s="1"/>
      <c r="HV1359" s="1"/>
      <c r="HW1359" s="1"/>
      <c r="HX1359" s="1"/>
      <c r="HY1359" s="1"/>
      <c r="HZ1359" s="1"/>
      <c r="IA1359" s="1"/>
      <c r="IB1359" s="1"/>
      <c r="IC1359" s="1"/>
      <c r="ID1359" s="1"/>
      <c r="IE1359" s="1"/>
      <c r="IF1359" s="1"/>
      <c r="IG1359" s="1"/>
      <c r="IH1359" s="1"/>
      <c r="II1359" s="1"/>
      <c r="IJ1359" s="1"/>
      <c r="IK1359" s="1"/>
      <c r="IL1359" s="1"/>
      <c r="IM1359" s="1"/>
      <c r="IN1359" s="1"/>
      <c r="IO1359" s="1"/>
      <c r="IP1359" s="1"/>
      <c r="IQ1359" s="1"/>
      <c r="IR1359" s="1"/>
      <c r="IS1359" s="1"/>
      <c r="IT1359" s="1"/>
      <c r="IU1359" s="1"/>
      <c r="IV1359" s="1"/>
      <c r="IW1359" s="1"/>
      <c r="IX1359" s="1"/>
      <c r="IY1359" s="1"/>
      <c r="IZ1359" s="1"/>
      <c r="JA1359" s="1"/>
      <c r="JB1359" s="1"/>
      <c r="JC1359" s="1"/>
      <c r="JD1359" s="1"/>
    </row>
    <row r="1360" spans="1:264" s="347" customFormat="1" ht="15" x14ac:dyDescent="0.25">
      <c r="A1360" s="424" t="s">
        <v>898</v>
      </c>
      <c r="B1360" s="348"/>
      <c r="BD1360" s="428"/>
      <c r="BE1360" s="428">
        <f>BE1321/BE1358</f>
        <v>0.48225502078041382</v>
      </c>
      <c r="BF1360" s="428">
        <f>BE1360</f>
        <v>0.48225502078041382</v>
      </c>
      <c r="BH1360" s="428">
        <f>BH1321/BH1358</f>
        <v>0.49488361591796304</v>
      </c>
      <c r="BI1360" s="428">
        <f>BI1321/BI1358</f>
        <v>0.49167312739860169</v>
      </c>
      <c r="BJ1360" s="428">
        <f>BI1360</f>
        <v>0.49167312739860169</v>
      </c>
      <c r="BK1360" s="348"/>
      <c r="BL1360" s="428">
        <f>BL1321/BL1358</f>
        <v>0.47687719150014785</v>
      </c>
      <c r="BM1360" s="428">
        <f>BM1321/BM1358</f>
        <v>0.47545660692585595</v>
      </c>
      <c r="BN1360" s="428">
        <f>BM1360</f>
        <v>0.47545660692585595</v>
      </c>
      <c r="BO1360" s="348"/>
      <c r="BP1360" s="428">
        <f>BP1321/BP1358</f>
        <v>0.49629598947264447</v>
      </c>
      <c r="BQ1360" s="428">
        <f>BQ1321/BQ1358</f>
        <v>0.49394588437753417</v>
      </c>
      <c r="BR1360" s="428">
        <f>BQ1360</f>
        <v>0.49394588437753417</v>
      </c>
      <c r="BT1360" s="428">
        <f>BT1321/BT1358</f>
        <v>0.49569797314895936</v>
      </c>
      <c r="BU1360" s="428">
        <f>BU1321/BU1358</f>
        <v>0.49025978652758184</v>
      </c>
      <c r="BV1360" s="428">
        <f t="shared" si="990"/>
        <v>0.49025978652758184</v>
      </c>
      <c r="BX1360" s="428">
        <f>BX1321/BX1358</f>
        <v>0.51932707681612789</v>
      </c>
      <c r="BY1360" s="428">
        <f>BY1321/BY1358</f>
        <v>0.51188327847142889</v>
      </c>
      <c r="BZ1360" s="428">
        <f>BY1360</f>
        <v>0.51188327847142889</v>
      </c>
      <c r="CB1360" s="428">
        <f>CB1321/CB1358</f>
        <v>0.49504396224022618</v>
      </c>
      <c r="CC1360" s="428">
        <f>CC1321/CC1358</f>
        <v>0.49375207106284275</v>
      </c>
      <c r="CD1360" s="428">
        <f>CC1360</f>
        <v>0.49375207106284275</v>
      </c>
      <c r="CF1360" s="428">
        <f>CF1321/CF1358</f>
        <v>0.48633837329797502</v>
      </c>
      <c r="CG1360" s="428">
        <f>CG1321/CG1358</f>
        <v>0.48957639357014926</v>
      </c>
      <c r="CH1360" s="428">
        <f>CG1360</f>
        <v>0.48957639357014926</v>
      </c>
      <c r="CJ1360" s="428">
        <f>CJ1321/CJ1358</f>
        <v>0.48642114228599803</v>
      </c>
      <c r="CK1360" s="428">
        <f>CK1321/CK1358</f>
        <v>0.47966948166151352</v>
      </c>
      <c r="CL1360" s="428">
        <f>CK1360</f>
        <v>0.47966948166151352</v>
      </c>
      <c r="CN1360" s="428">
        <f>CN1321/CN1358</f>
        <v>0.47440252846855713</v>
      </c>
      <c r="CO1360" s="428">
        <f>CO1321/CO1358</f>
        <v>0.46629091273497858</v>
      </c>
      <c r="CP1360" s="428">
        <f>CO1360</f>
        <v>0.46629091273497858</v>
      </c>
      <c r="CR1360" s="428">
        <f>CR1321/CR1358</f>
        <v>0.45935669111085242</v>
      </c>
      <c r="CS1360" s="428">
        <f>CS1321/CS1358</f>
        <v>0.44481746694494573</v>
      </c>
      <c r="CT1360" s="428">
        <f>CS1360</f>
        <v>0.44481746694494573</v>
      </c>
      <c r="CV1360" s="428">
        <f>CV1321/CV1358</f>
        <v>0.44040489245044284</v>
      </c>
      <c r="CW1360" s="428">
        <f>CW1321/CW1358</f>
        <v>0.38882251398605522</v>
      </c>
      <c r="CX1360" s="428">
        <f>CW1360</f>
        <v>0.38882251398605522</v>
      </c>
      <c r="CZ1360" s="428">
        <f>CZ1321/CZ1358</f>
        <v>0.39699851529973396</v>
      </c>
      <c r="DA1360" s="428">
        <f>DA1321/DA1358</f>
        <v>0.38996239794178206</v>
      </c>
      <c r="DB1360" s="428">
        <f>DA1360</f>
        <v>0.38996239794178206</v>
      </c>
      <c r="DD1360" s="428">
        <f>DD1321/DD1358</f>
        <v>0.39402834505168899</v>
      </c>
      <c r="DE1360" s="428">
        <f>DE1321/DE1358</f>
        <v>0.39269089058484097</v>
      </c>
      <c r="DF1360" s="428">
        <f>DE1360</f>
        <v>0.39269089058484097</v>
      </c>
      <c r="DH1360" s="428">
        <f>DH1321/DH1358</f>
        <v>0.39001304114060409</v>
      </c>
      <c r="DI1360" s="428">
        <f ca="1">DI1321/DI1358</f>
        <v>0.3896923090851338</v>
      </c>
      <c r="DJ1360" s="428">
        <f ca="1">DI1360</f>
        <v>0.3896923090851338</v>
      </c>
      <c r="DL1360" s="428">
        <f ca="1">DL1321/DL1358</f>
        <v>0.38894082297736782</v>
      </c>
      <c r="DM1360" s="428">
        <f ca="1">DM1321/DM1358</f>
        <v>0.38956639477322491</v>
      </c>
      <c r="DN1360" s="428">
        <f ca="1">DM1360</f>
        <v>0.38956639477322491</v>
      </c>
      <c r="DP1360" s="428">
        <f ca="1">DP1321/DP1358</f>
        <v>0.38933895079789138</v>
      </c>
      <c r="DQ1360" s="428">
        <f ca="1">DQ1321/DQ1358</f>
        <v>0.38970291871016688</v>
      </c>
      <c r="DR1360" s="428">
        <f ca="1">DQ1360</f>
        <v>0.38970291871016688</v>
      </c>
      <c r="DT1360"/>
      <c r="DU1360"/>
      <c r="DV1360" s="1"/>
      <c r="DW1360" s="1"/>
      <c r="DX1360" s="1"/>
      <c r="DY1360" s="1"/>
      <c r="DZ1360" s="1"/>
      <c r="EA1360" s="1"/>
      <c r="EB1360" s="1"/>
      <c r="EC1360" s="1"/>
      <c r="ED1360" s="1"/>
      <c r="EE1360" s="1"/>
      <c r="EF1360" s="1"/>
      <c r="EG1360" s="1"/>
      <c r="EH1360" s="1"/>
      <c r="EI1360" s="1"/>
      <c r="EJ1360" s="1"/>
      <c r="EK1360" s="1"/>
      <c r="EL1360" s="1"/>
      <c r="EM1360" s="1"/>
      <c r="EN1360" s="1"/>
      <c r="EO1360" s="1"/>
      <c r="EP1360" s="1"/>
      <c r="EQ1360" s="1"/>
      <c r="ER1360" s="1"/>
      <c r="ES1360" s="1"/>
      <c r="ET1360" s="1"/>
      <c r="EU1360" s="1"/>
      <c r="EV1360" s="1"/>
      <c r="EW1360" s="1"/>
      <c r="EX1360" s="1"/>
      <c r="EY1360" s="1"/>
      <c r="EZ1360" s="1"/>
      <c r="FA1360" s="1"/>
      <c r="FB1360" s="1"/>
      <c r="FC1360" s="1"/>
      <c r="FD1360" s="1"/>
      <c r="FE1360" s="1"/>
      <c r="FF1360" s="1"/>
      <c r="FG1360" s="1"/>
      <c r="FH1360" s="1"/>
      <c r="FI1360" s="1"/>
      <c r="FJ1360" s="1"/>
      <c r="FK1360" s="1"/>
      <c r="FL1360" s="1"/>
      <c r="FM1360" s="1"/>
      <c r="FN1360" s="1"/>
      <c r="FO1360" s="1"/>
      <c r="FP1360" s="1"/>
      <c r="FQ1360" s="1"/>
      <c r="FR1360" s="1"/>
      <c r="FS1360" s="1"/>
      <c r="FT1360" s="1"/>
      <c r="FU1360" s="1"/>
      <c r="FV1360" s="1"/>
      <c r="FW1360" s="1"/>
      <c r="FX1360" s="1"/>
      <c r="FY1360" s="1"/>
      <c r="FZ1360" s="1"/>
      <c r="GA1360" s="1"/>
      <c r="GB1360" s="1"/>
      <c r="GC1360" s="1"/>
      <c r="GD1360" s="1"/>
      <c r="GE1360" s="1"/>
      <c r="GF1360" s="1"/>
      <c r="GG1360" s="1"/>
      <c r="GH1360" s="1"/>
      <c r="GI1360" s="1"/>
      <c r="GJ1360" s="1"/>
      <c r="GK1360" s="1"/>
      <c r="GL1360" s="1"/>
      <c r="GM1360" s="1"/>
      <c r="GN1360" s="1"/>
      <c r="GO1360" s="1"/>
      <c r="GP1360" s="1"/>
      <c r="GQ1360" s="1"/>
      <c r="GR1360" s="1"/>
      <c r="GS1360" s="1"/>
      <c r="GT1360" s="1"/>
      <c r="GU1360" s="1"/>
      <c r="GV1360" s="1"/>
      <c r="GW1360" s="1"/>
      <c r="GX1360" s="1"/>
      <c r="GY1360" s="1"/>
      <c r="GZ1360" s="1"/>
      <c r="HA1360" s="1"/>
      <c r="HB1360" s="1"/>
      <c r="HC1360" s="1"/>
      <c r="HD1360" s="1"/>
      <c r="HE1360" s="1"/>
      <c r="HF1360" s="1"/>
      <c r="HG1360" s="1"/>
      <c r="HH1360" s="1"/>
      <c r="HI1360" s="1"/>
      <c r="HJ1360" s="1"/>
      <c r="HK1360" s="1"/>
      <c r="HL1360" s="1"/>
      <c r="HM1360" s="1"/>
      <c r="HN1360" s="1"/>
      <c r="HO1360" s="1"/>
      <c r="HP1360" s="1"/>
      <c r="HQ1360" s="1"/>
      <c r="HR1360" s="1"/>
      <c r="HS1360" s="1"/>
      <c r="HT1360" s="1"/>
      <c r="HU1360" s="1"/>
      <c r="HV1360" s="1"/>
      <c r="HW1360" s="1"/>
      <c r="HX1360" s="1"/>
      <c r="HY1360" s="1"/>
      <c r="HZ1360" s="1"/>
      <c r="IA1360" s="1"/>
      <c r="IB1360" s="1"/>
      <c r="IC1360" s="1"/>
      <c r="ID1360" s="1"/>
      <c r="IE1360" s="1"/>
      <c r="IF1360" s="1"/>
      <c r="IG1360" s="1"/>
      <c r="IH1360" s="1"/>
      <c r="II1360" s="1"/>
      <c r="IJ1360" s="1"/>
      <c r="IK1360" s="1"/>
      <c r="IL1360" s="1"/>
      <c r="IM1360" s="1"/>
      <c r="IN1360" s="1"/>
      <c r="IO1360" s="1"/>
      <c r="IP1360" s="1"/>
      <c r="IQ1360" s="1"/>
      <c r="IR1360" s="1"/>
      <c r="IS1360" s="1"/>
      <c r="IT1360" s="1"/>
      <c r="IU1360" s="1"/>
      <c r="IV1360" s="1"/>
      <c r="IW1360" s="1"/>
      <c r="IX1360" s="1"/>
      <c r="IY1360" s="1"/>
      <c r="IZ1360" s="1"/>
      <c r="JA1360" s="1"/>
      <c r="JB1360" s="1"/>
      <c r="JC1360" s="1"/>
      <c r="JD1360" s="1"/>
    </row>
    <row r="1361" spans="1:264" s="347" customFormat="1" ht="15" x14ac:dyDescent="0.25">
      <c r="A1361" s="424" t="s">
        <v>899</v>
      </c>
      <c r="B1361" s="348"/>
      <c r="BD1361" s="428"/>
      <c r="BE1361" s="428"/>
      <c r="BF1361" s="428"/>
      <c r="BH1361" s="428"/>
      <c r="BI1361" s="428"/>
      <c r="BJ1361" s="428"/>
      <c r="BK1361" s="348"/>
      <c r="BL1361" s="428">
        <f>BL1321/BL1330</f>
        <v>0.34014210554862506</v>
      </c>
      <c r="BM1361" s="428">
        <f>BM1321/BM1330</f>
        <v>0.3397091409813261</v>
      </c>
      <c r="BN1361" s="428">
        <f>BN1321/BN1330</f>
        <v>0.3397091409813261</v>
      </c>
      <c r="BO1361" s="348"/>
      <c r="BP1361" s="428">
        <f>BP1321/BP1330</f>
        <v>0.34472555209934413</v>
      </c>
      <c r="BQ1361" s="428">
        <f>BQ1321/BQ1330</f>
        <v>0.34692109619475248</v>
      </c>
      <c r="BR1361" s="428">
        <f>BR1321/BR1330</f>
        <v>0.34692109619475248</v>
      </c>
      <c r="BT1361" s="428">
        <f>BT1321/BT1330</f>
        <v>0.35022030116539005</v>
      </c>
      <c r="BU1361" s="428">
        <f>BU1321/BU1330</f>
        <v>0.35003093026852355</v>
      </c>
      <c r="BV1361" s="428">
        <f>BV1321/BV1330</f>
        <v>0.35003093026852355</v>
      </c>
      <c r="BX1361" s="428">
        <f>BX1321/BX1330</f>
        <v>0.3671695605674562</v>
      </c>
      <c r="BY1361" s="428">
        <f>BY1321/BY1330</f>
        <v>0.36707273169545124</v>
      </c>
      <c r="BZ1361" s="428">
        <f>BZ1321/BZ1330</f>
        <v>0.36707273169545124</v>
      </c>
      <c r="CB1361" s="428">
        <f>CB1321/CB1330</f>
        <v>0.35975994110283183</v>
      </c>
      <c r="CC1361" s="428">
        <f>CC1321/CC1330</f>
        <v>0.36143687413560044</v>
      </c>
      <c r="CD1361" s="428">
        <f>CD1321/CD1330</f>
        <v>0.36143687413560044</v>
      </c>
      <c r="CF1361" s="428">
        <f>CF1321/CF1330</f>
        <v>0.35890225404639076</v>
      </c>
      <c r="CG1361" s="428">
        <f>CG1321/CG1330</f>
        <v>0.35990567997071093</v>
      </c>
      <c r="CH1361" s="428">
        <f>CH1321/CH1330</f>
        <v>0.35990567997071093</v>
      </c>
      <c r="CJ1361" s="428">
        <f>CJ1321/CJ1330</f>
        <v>0.35786382524981142</v>
      </c>
      <c r="CK1361" s="428">
        <f>CK1321/CK1330</f>
        <v>0.34796961772943857</v>
      </c>
      <c r="CL1361" s="428">
        <f>CL1321/CL1330</f>
        <v>0.34796961772943857</v>
      </c>
      <c r="CN1361" s="428">
        <f>CN1321/CN1330</f>
        <v>0.33012174827012353</v>
      </c>
      <c r="CO1361" s="428">
        <f>CO1321/CO1330</f>
        <v>0.31567756294108401</v>
      </c>
      <c r="CP1361" s="428">
        <f>CP1321/CP1330</f>
        <v>0.31567756294108401</v>
      </c>
      <c r="CR1361" s="428">
        <f>CR1321/CR1330</f>
        <v>0.30845480082804749</v>
      </c>
      <c r="CS1361" s="428">
        <f>CS1321/CS1330</f>
        <v>0.30493405891124581</v>
      </c>
      <c r="CT1361" s="428">
        <f>CT1321/CT1330</f>
        <v>0.30493405891124581</v>
      </c>
      <c r="CU1361" s="413"/>
      <c r="CV1361" s="428">
        <f>CV1321/CV1330</f>
        <v>0.3059182791378644</v>
      </c>
      <c r="CW1361" s="428">
        <f>CW1321/CW1330</f>
        <v>0.28053288019550071</v>
      </c>
      <c r="CX1361" s="428">
        <f>CX1321/CX1330</f>
        <v>0.28053288019550071</v>
      </c>
      <c r="CY1361" s="413"/>
      <c r="CZ1361" s="428">
        <f>CZ1321/CZ1330</f>
        <v>0.28439968593284576</v>
      </c>
      <c r="DA1361" s="428">
        <f>DA1321/DA1330</f>
        <v>0.29405078282515584</v>
      </c>
      <c r="DB1361" s="428">
        <f>DB1321/DB1330</f>
        <v>0.29405078282515584</v>
      </c>
      <c r="DC1361" s="413"/>
      <c r="DD1361" s="428">
        <f>DD1321/DD1330</f>
        <v>0.29328661465774331</v>
      </c>
      <c r="DE1361" s="428">
        <f>DE1321/DE1330</f>
        <v>0.29952472838940736</v>
      </c>
      <c r="DF1361" s="428">
        <f>DF1321/DF1330</f>
        <v>0.29952472838940736</v>
      </c>
      <c r="DG1361" s="413"/>
      <c r="DH1361" s="428">
        <f>DH1321/DH1330</f>
        <v>0.29650666003767223</v>
      </c>
      <c r="DI1361" s="428">
        <f ca="1">DI1321/DI1330</f>
        <v>0.29640594672740211</v>
      </c>
      <c r="DJ1361" s="428">
        <f ca="1">DJ1321/DJ1330</f>
        <v>0.29640594672740211</v>
      </c>
      <c r="DK1361" s="413"/>
      <c r="DL1361" s="428">
        <f ca="1">DL1321/DL1330</f>
        <v>0.29616936100128549</v>
      </c>
      <c r="DM1361" s="428">
        <f ca="1">DM1321/DM1330</f>
        <v>0.29636655232211495</v>
      </c>
      <c r="DN1361" s="428">
        <f ca="1">DN1321/DN1330</f>
        <v>0.29636655232211495</v>
      </c>
      <c r="DO1361" s="413"/>
      <c r="DP1361" s="428">
        <f ca="1">DP1321/DP1330</f>
        <v>0.29629444875737593</v>
      </c>
      <c r="DQ1361" s="428">
        <f ca="1">DQ1321/DQ1330</f>
        <v>0.29640845729609672</v>
      </c>
      <c r="DR1361" s="428">
        <f ca="1">DR1321/DR1330</f>
        <v>0.29640845729609672</v>
      </c>
      <c r="DS1361" s="413"/>
      <c r="DT1361"/>
      <c r="DU1361"/>
      <c r="DV1361" s="1"/>
      <c r="DW1361" s="1"/>
      <c r="DX1361" s="1"/>
      <c r="DY1361" s="1"/>
      <c r="DZ1361" s="1"/>
      <c r="EA1361" s="1"/>
      <c r="EB1361" s="1"/>
      <c r="EC1361" s="1"/>
      <c r="ED1361" s="1"/>
      <c r="EE1361" s="1"/>
      <c r="EF1361" s="1"/>
      <c r="EG1361" s="1"/>
      <c r="EH1361" s="1"/>
      <c r="EI1361" s="1"/>
      <c r="EJ1361" s="1"/>
      <c r="EK1361" s="1"/>
      <c r="EL1361" s="1"/>
      <c r="EM1361" s="1"/>
      <c r="EN1361" s="1"/>
      <c r="EO1361" s="1"/>
      <c r="EP1361" s="1"/>
      <c r="EQ1361" s="1"/>
      <c r="ER1361" s="1"/>
      <c r="ES1361" s="1"/>
      <c r="ET1361" s="1"/>
      <c r="EU1361" s="1"/>
      <c r="EV1361" s="1"/>
      <c r="EW1361" s="1"/>
      <c r="EX1361" s="1"/>
      <c r="EY1361" s="1"/>
      <c r="EZ1361" s="1"/>
      <c r="FA1361" s="1"/>
      <c r="FB1361" s="1"/>
      <c r="FC1361" s="1"/>
      <c r="FD1361" s="1"/>
      <c r="FE1361" s="1"/>
      <c r="FF1361" s="1"/>
      <c r="FG1361" s="1"/>
      <c r="FH1361" s="1"/>
      <c r="FI1361" s="1"/>
      <c r="FJ1361" s="1"/>
      <c r="FK1361" s="1"/>
      <c r="FL1361" s="1"/>
      <c r="FM1361" s="1"/>
      <c r="FN1361" s="1"/>
      <c r="FO1361" s="1"/>
      <c r="FP1361" s="1"/>
      <c r="FQ1361" s="1"/>
      <c r="FR1361" s="1"/>
      <c r="FS1361" s="1"/>
      <c r="FT1361" s="1"/>
      <c r="FU1361" s="1"/>
      <c r="FV1361" s="1"/>
      <c r="FW1361" s="1"/>
      <c r="FX1361" s="1"/>
      <c r="FY1361" s="1"/>
      <c r="FZ1361" s="1"/>
      <c r="GA1361" s="1"/>
      <c r="GB1361" s="1"/>
      <c r="GC1361" s="1"/>
      <c r="GD1361" s="1"/>
      <c r="GE1361" s="1"/>
      <c r="GF1361" s="1"/>
      <c r="GG1361" s="1"/>
      <c r="GH1361" s="1"/>
      <c r="GI1361" s="1"/>
      <c r="GJ1361" s="1"/>
      <c r="GK1361" s="1"/>
      <c r="GL1361" s="1"/>
      <c r="GM1361" s="1"/>
      <c r="GN1361" s="1"/>
      <c r="GO1361" s="1"/>
      <c r="GP1361" s="1"/>
      <c r="GQ1361" s="1"/>
      <c r="GR1361" s="1"/>
      <c r="GS1361" s="1"/>
      <c r="GT1361" s="1"/>
      <c r="GU1361" s="1"/>
      <c r="GV1361" s="1"/>
      <c r="GW1361" s="1"/>
      <c r="GX1361" s="1"/>
      <c r="GY1361" s="1"/>
      <c r="GZ1361" s="1"/>
      <c r="HA1361" s="1"/>
      <c r="HB1361" s="1"/>
      <c r="HC1361" s="1"/>
      <c r="HD1361" s="1"/>
      <c r="HE1361" s="1"/>
      <c r="HF1361" s="1"/>
      <c r="HG1361" s="1"/>
      <c r="HH1361" s="1"/>
      <c r="HI1361" s="1"/>
      <c r="HJ1361" s="1"/>
      <c r="HK1361" s="1"/>
      <c r="HL1361" s="1"/>
      <c r="HM1361" s="1"/>
      <c r="HN1361" s="1"/>
      <c r="HO1361" s="1"/>
      <c r="HP1361" s="1"/>
      <c r="HQ1361" s="1"/>
      <c r="HR1361" s="1"/>
      <c r="HS1361" s="1"/>
      <c r="HT1361" s="1"/>
      <c r="HU1361" s="1"/>
      <c r="HV1361" s="1"/>
      <c r="HW1361" s="1"/>
      <c r="HX1361" s="1"/>
      <c r="HY1361" s="1"/>
      <c r="HZ1361" s="1"/>
      <c r="IA1361" s="1"/>
      <c r="IB1361" s="1"/>
      <c r="IC1361" s="1"/>
      <c r="ID1361" s="1"/>
      <c r="IE1361" s="1"/>
      <c r="IF1361" s="1"/>
      <c r="IG1361" s="1"/>
      <c r="IH1361" s="1"/>
      <c r="II1361" s="1"/>
      <c r="IJ1361" s="1"/>
      <c r="IK1361" s="1"/>
      <c r="IL1361" s="1"/>
      <c r="IM1361" s="1"/>
      <c r="IN1361" s="1"/>
      <c r="IO1361" s="1"/>
      <c r="IP1361" s="1"/>
      <c r="IQ1361" s="1"/>
      <c r="IR1361" s="1"/>
      <c r="IS1361" s="1"/>
      <c r="IT1361" s="1"/>
      <c r="IU1361" s="1"/>
      <c r="IV1361" s="1"/>
      <c r="IW1361" s="1"/>
      <c r="IX1361" s="1"/>
      <c r="IY1361" s="1"/>
      <c r="IZ1361" s="1"/>
      <c r="JA1361" s="1"/>
      <c r="JB1361" s="1"/>
      <c r="JC1361" s="1"/>
      <c r="JD1361" s="1"/>
    </row>
    <row r="1362" spans="1:264" s="429" customFormat="1" ht="15" x14ac:dyDescent="0.25">
      <c r="A1362" s="429" t="s">
        <v>900</v>
      </c>
      <c r="B1362" s="408"/>
      <c r="BD1362" s="845"/>
      <c r="BE1362" s="845">
        <f>BE1307/BE1305</f>
        <v>3.7352397782954454E-2</v>
      </c>
      <c r="BF1362" s="845">
        <f>BF1307/BF1305</f>
        <v>3.7352397782954454E-2</v>
      </c>
      <c r="BH1362" s="845">
        <f>BH1307/BH1305</f>
        <v>4.0456515500481974E-2</v>
      </c>
      <c r="BI1362" s="845">
        <f>BI1307/BI1305</f>
        <v>5.8242811273125139E-2</v>
      </c>
      <c r="BJ1362" s="845"/>
      <c r="BK1362" s="408"/>
      <c r="BL1362" s="845">
        <f>BL1307/BL1305</f>
        <v>6.2164249975195249E-2</v>
      </c>
      <c r="BM1362" s="845">
        <f>BM1307/BM1305</f>
        <v>5.1055205472819207E-2</v>
      </c>
      <c r="BN1362" s="845">
        <f>BN1307/BN1305</f>
        <v>5.1055205472819207E-2</v>
      </c>
      <c r="BO1362" s="408"/>
      <c r="BP1362" s="845">
        <f>BP1307/BP1305</f>
        <v>1.555578382403924E-2</v>
      </c>
      <c r="BQ1362" s="845">
        <f>BQ1307/BQ1305</f>
        <v>3.3984597742923922E-2</v>
      </c>
      <c r="BR1362" s="845">
        <f>BR1307/BR1305</f>
        <v>3.3984597742923922E-2</v>
      </c>
      <c r="BT1362" s="845">
        <f>BT1307/BT1305</f>
        <v>5.2278352146693456E-2</v>
      </c>
      <c r="BU1362" s="845">
        <f>BU1307/BU1305</f>
        <v>2.1649274772548906E-2</v>
      </c>
      <c r="BV1362" s="845">
        <f>BV1307/BV1305</f>
        <v>2.1649274772548906E-2</v>
      </c>
      <c r="BX1362" s="845">
        <f>BX1307/BX1305</f>
        <v>6.2908606094354877E-2</v>
      </c>
      <c r="BY1362" s="845">
        <f>BY1307/BY1305</f>
        <v>5.6735558329953695E-2</v>
      </c>
      <c r="BZ1362" s="845">
        <f>BZ1307/BZ1305</f>
        <v>5.6735558329953695E-2</v>
      </c>
      <c r="CB1362" s="845">
        <f>CB1307/CB1305</f>
        <v>7.6144801558646807E-2</v>
      </c>
      <c r="CC1362" s="845">
        <f>CC1307/CC1305</f>
        <v>6.5978762096512308E-2</v>
      </c>
      <c r="CD1362" s="845">
        <f>CD1307/CD1305</f>
        <v>6.5978762096512308E-2</v>
      </c>
      <c r="CF1362" s="845">
        <f>CF1307/CF1305</f>
        <v>3.7557261828696432E-2</v>
      </c>
      <c r="CG1362" s="845">
        <f>CG1307/CG1305</f>
        <v>2.6566534433427991E-2</v>
      </c>
      <c r="CH1362" s="845">
        <f>CH1307/CH1305</f>
        <v>2.6566534433427991E-2</v>
      </c>
      <c r="CJ1362" s="845">
        <f>CJ1307/CJ1305</f>
        <v>2.3980789782978917E-2</v>
      </c>
      <c r="CK1362" s="845">
        <f>CK1307/CK1305</f>
        <v>2.9623671143845173E-2</v>
      </c>
      <c r="CL1362" s="845">
        <f>CL1307/CL1305</f>
        <v>2.9623671143845173E-2</v>
      </c>
      <c r="CN1362" s="845">
        <f>CN1307/CN1305</f>
        <v>4.1286813478376226E-2</v>
      </c>
      <c r="CO1362" s="845">
        <f>CO1307/CO1305</f>
        <v>3.8314768706591534E-2</v>
      </c>
      <c r="CP1362" s="845">
        <f>CP1307/CP1305</f>
        <v>3.8314768706591534E-2</v>
      </c>
      <c r="CR1362" s="845">
        <f>CR1307/CR1305</f>
        <v>6.2341465162649386E-2</v>
      </c>
      <c r="CS1362" s="845">
        <f>CS1307/CS1305</f>
        <v>0.12102213404395308</v>
      </c>
      <c r="CT1362" s="845">
        <f>CT1307/CT1305</f>
        <v>0.12102213404395308</v>
      </c>
      <c r="CV1362" s="845">
        <f>CV1307/CV1305</f>
        <v>0.11902481735846991</v>
      </c>
      <c r="CW1362" s="845">
        <f>CW1307/CW1305</f>
        <v>0.1283603724760175</v>
      </c>
      <c r="CX1362" s="845">
        <f>CX1307/CX1305</f>
        <v>0.1283603724760175</v>
      </c>
      <c r="CZ1362" s="845">
        <f>CZ1307/CZ1305</f>
        <v>0.10931156521621219</v>
      </c>
      <c r="DA1362" s="845">
        <f>DA1307/DA1305</f>
        <v>0.1178153783027934</v>
      </c>
      <c r="DB1362" s="845">
        <f>DB1307/DB1305</f>
        <v>0.1178153783027934</v>
      </c>
      <c r="DD1362" s="845">
        <f>DD1307/DD1305</f>
        <v>0.10822425392802706</v>
      </c>
      <c r="DE1362" s="845">
        <f>DE1307/DE1305</f>
        <v>9.9870152007379781E-2</v>
      </c>
      <c r="DF1362" s="845">
        <f>DF1307/DF1305</f>
        <v>9.9870152007379781E-2</v>
      </c>
      <c r="DH1362" s="845">
        <f>DH1307/DH1305</f>
        <v>8.5987206656254048E-2</v>
      </c>
      <c r="DI1362" s="845">
        <f ca="1">DI1307/DI1305</f>
        <v>8.6060921600861789E-2</v>
      </c>
      <c r="DJ1362" s="845">
        <f ca="1">DJ1307/DJ1305</f>
        <v>8.6060921600861789E-2</v>
      </c>
      <c r="DL1362" s="845">
        <f ca="1">DL1307/DL1305</f>
        <v>8.6230949452538397E-2</v>
      </c>
      <c r="DM1362" s="845">
        <f ca="1">DM1307/DM1305</f>
        <v>8.6092244387174402E-2</v>
      </c>
      <c r="DN1362" s="845">
        <f ca="1">DN1307/DN1305</f>
        <v>8.6092244387174402E-2</v>
      </c>
      <c r="DP1362" s="845">
        <f ca="1">DP1307/DP1305</f>
        <v>8.6136392501795875E-2</v>
      </c>
      <c r="DQ1362" s="845">
        <f ca="1">DQ1307/DQ1305</f>
        <v>8.6047155886868981E-2</v>
      </c>
      <c r="DR1362" s="845">
        <f ca="1">DR1307/DR1305</f>
        <v>8.6047155886868981E-2</v>
      </c>
      <c r="DT1362"/>
      <c r="DU1362"/>
      <c r="DV1362" s="1"/>
      <c r="DW1362" s="1"/>
      <c r="DX1362" s="1"/>
      <c r="DY1362" s="1"/>
      <c r="DZ1362" s="1"/>
      <c r="EA1362" s="1"/>
      <c r="EB1362" s="1"/>
      <c r="EC1362" s="1"/>
      <c r="ED1362" s="1"/>
      <c r="EE1362" s="1"/>
      <c r="EF1362" s="1"/>
      <c r="EG1362" s="1"/>
      <c r="EH1362" s="1"/>
      <c r="EI1362" s="1"/>
      <c r="EJ1362" s="1"/>
      <c r="EK1362" s="1"/>
      <c r="EL1362" s="1"/>
      <c r="EM1362" s="1"/>
      <c r="EN1362" s="1"/>
      <c r="EO1362" s="1"/>
      <c r="EP1362" s="1"/>
      <c r="EQ1362" s="1"/>
      <c r="ER1362" s="1"/>
      <c r="ES1362" s="1"/>
      <c r="ET1362" s="1"/>
      <c r="EU1362" s="1"/>
      <c r="EV1362" s="1"/>
      <c r="EW1362" s="1"/>
      <c r="EX1362" s="1"/>
      <c r="EY1362" s="1"/>
      <c r="EZ1362" s="1"/>
      <c r="FA1362" s="1"/>
      <c r="FB1362" s="1"/>
      <c r="FC1362" s="1"/>
      <c r="FD1362" s="1"/>
      <c r="FE1362" s="1"/>
      <c r="FF1362" s="1"/>
      <c r="FG1362" s="1"/>
      <c r="FH1362" s="1"/>
      <c r="FI1362" s="1"/>
      <c r="FJ1362" s="1"/>
      <c r="FK1362" s="1"/>
      <c r="FL1362" s="1"/>
      <c r="FM1362" s="1"/>
      <c r="FN1362" s="1"/>
      <c r="FO1362" s="1"/>
      <c r="FP1362" s="1"/>
      <c r="FQ1362" s="1"/>
      <c r="FR1362" s="1"/>
      <c r="FS1362" s="1"/>
      <c r="FT1362" s="1"/>
      <c r="FU1362" s="1"/>
      <c r="FV1362" s="1"/>
      <c r="FW1362" s="1"/>
      <c r="FX1362" s="1"/>
      <c r="FY1362" s="1"/>
      <c r="FZ1362" s="1"/>
      <c r="GA1362" s="1"/>
      <c r="GB1362" s="1"/>
      <c r="GC1362" s="1"/>
      <c r="GD1362" s="1"/>
      <c r="GE1362" s="1"/>
      <c r="GF1362" s="1"/>
      <c r="GG1362" s="1"/>
      <c r="GH1362" s="1"/>
      <c r="GI1362" s="1"/>
      <c r="GJ1362" s="1"/>
      <c r="GK1362" s="1"/>
      <c r="GL1362" s="1"/>
      <c r="GM1362" s="1"/>
      <c r="GN1362" s="1"/>
      <c r="GO1362" s="1"/>
      <c r="GP1362" s="1"/>
      <c r="GQ1362" s="1"/>
      <c r="GR1362" s="1"/>
      <c r="GS1362" s="1"/>
      <c r="GT1362" s="1"/>
      <c r="GU1362" s="1"/>
      <c r="GV1362" s="1"/>
      <c r="GW1362" s="1"/>
      <c r="GX1362" s="1"/>
      <c r="GY1362" s="1"/>
      <c r="GZ1362" s="1"/>
      <c r="HA1362" s="1"/>
      <c r="HB1362" s="1"/>
      <c r="HC1362" s="1"/>
      <c r="HD1362" s="1"/>
      <c r="HE1362" s="1"/>
      <c r="HF1362" s="1"/>
      <c r="HG1362" s="1"/>
      <c r="HH1362" s="1"/>
      <c r="HI1362" s="1"/>
      <c r="HJ1362" s="1"/>
      <c r="HK1362" s="1"/>
      <c r="HL1362" s="1"/>
      <c r="HM1362" s="1"/>
      <c r="HN1362" s="1"/>
      <c r="HO1362" s="1"/>
      <c r="HP1362" s="1"/>
      <c r="HQ1362" s="1"/>
      <c r="HR1362" s="1"/>
      <c r="HS1362" s="1"/>
      <c r="HT1362" s="1"/>
      <c r="HU1362" s="1"/>
      <c r="HV1362" s="1"/>
      <c r="HW1362" s="1"/>
      <c r="HX1362" s="1"/>
      <c r="HY1362" s="1"/>
      <c r="HZ1362" s="1"/>
      <c r="IA1362" s="1"/>
      <c r="IB1362" s="1"/>
      <c r="IC1362" s="1"/>
      <c r="ID1362" s="1"/>
      <c r="IE1362" s="1"/>
      <c r="IF1362" s="1"/>
      <c r="IG1362" s="1"/>
      <c r="IH1362" s="1"/>
      <c r="II1362" s="1"/>
      <c r="IJ1362" s="1"/>
      <c r="IK1362" s="1"/>
      <c r="IL1362" s="1"/>
      <c r="IM1362" s="1"/>
      <c r="IN1362" s="1"/>
      <c r="IO1362" s="1"/>
      <c r="IP1362" s="1"/>
      <c r="IQ1362" s="1"/>
      <c r="IR1362" s="1"/>
      <c r="IS1362" s="1"/>
      <c r="IT1362" s="1"/>
      <c r="IU1362" s="1"/>
      <c r="IV1362" s="1"/>
      <c r="IW1362" s="1"/>
      <c r="IX1362" s="1"/>
      <c r="IY1362" s="1"/>
      <c r="IZ1362" s="1"/>
      <c r="JA1362" s="1"/>
      <c r="JB1362" s="1"/>
      <c r="JC1362" s="1"/>
      <c r="JD1362" s="1"/>
    </row>
    <row r="1363" spans="1:264" s="429" customFormat="1" ht="15" x14ac:dyDescent="0.25">
      <c r="A1363" s="429" t="s">
        <v>901</v>
      </c>
      <c r="B1363" s="408"/>
      <c r="BD1363" s="845"/>
      <c r="BE1363" s="394">
        <f>BE1308/BE1305</f>
        <v>0.10232606176055449</v>
      </c>
      <c r="BF1363" s="394">
        <f>BF1308/BF1305</f>
        <v>0.10232606176055449</v>
      </c>
      <c r="BH1363" s="394">
        <f>BH1308/BH1305</f>
        <v>0.101660056365389</v>
      </c>
      <c r="BI1363" s="394">
        <f>BI1308/BI1305</f>
        <v>0.10027389031515264</v>
      </c>
      <c r="BJ1363" s="845"/>
      <c r="BK1363" s="408"/>
      <c r="BL1363" s="394">
        <f>BL1308/BL1305</f>
        <v>0.10091990191492679</v>
      </c>
      <c r="BM1363" s="394">
        <f>BM1308/BM1305</f>
        <v>9.8676064716502157E-2</v>
      </c>
      <c r="BN1363" s="394">
        <f>BN1308/BN1305</f>
        <v>9.8676064716502157E-2</v>
      </c>
      <c r="BO1363" s="408"/>
      <c r="BP1363" s="394">
        <f>BP1308/BP1305</f>
        <v>9.6981291971084085E-2</v>
      </c>
      <c r="BQ1363" s="394">
        <f>BQ1308/BQ1305</f>
        <v>0.10140236986721976</v>
      </c>
      <c r="BR1363" s="394">
        <f>BR1308/BR1305</f>
        <v>0.10140236986721976</v>
      </c>
      <c r="BT1363" s="394">
        <f>BT1308/BT1305</f>
        <v>9.77528458876811E-2</v>
      </c>
      <c r="BU1363" s="394">
        <f>BU1308/BU1305</f>
        <v>9.8101909717175834E-2</v>
      </c>
      <c r="BV1363" s="394">
        <f>BV1308/BV1305</f>
        <v>9.8101909717175834E-2</v>
      </c>
      <c r="BX1363" s="394">
        <f>BX1308/BX1305</f>
        <v>9.0355155999850084E-2</v>
      </c>
      <c r="BY1363" s="394">
        <f>BY1308/BY1305</f>
        <v>8.9461086415433433E-2</v>
      </c>
      <c r="BZ1363" s="394">
        <f>BZ1308/BZ1305</f>
        <v>8.9461086415433433E-2</v>
      </c>
      <c r="CB1363" s="394">
        <f>CB1308/CB1305</f>
        <v>0.11193373026145483</v>
      </c>
      <c r="CC1363" s="394">
        <f>CC1308/CC1305</f>
        <v>0.15275703059037474</v>
      </c>
      <c r="CD1363" s="394">
        <f>CD1308/CD1305</f>
        <v>0.15275703059037474</v>
      </c>
      <c r="CF1363" s="394">
        <f>CF1308/CF1305</f>
        <v>0.15338318586945929</v>
      </c>
      <c r="CG1363" s="394">
        <f>CG1308/CG1305</f>
        <v>0.16051844734200454</v>
      </c>
      <c r="CH1363" s="394">
        <f>CH1308/CH1305</f>
        <v>0.16051844734200454</v>
      </c>
      <c r="CJ1363" s="394">
        <f>CJ1308/CJ1305</f>
        <v>0.15860422102410071</v>
      </c>
      <c r="CK1363" s="394">
        <f>CK1308/CK1305</f>
        <v>0.15289395340384934</v>
      </c>
      <c r="CL1363" s="394">
        <f>CL1308/CL1305</f>
        <v>0.15289395340384934</v>
      </c>
      <c r="CN1363" s="394">
        <f>CN1308/CN1305</f>
        <v>0.13264526399575485</v>
      </c>
      <c r="CO1363" s="394">
        <f>CO1308/CO1305</f>
        <v>0.12109553138513957</v>
      </c>
      <c r="CP1363" s="394">
        <f>CP1308/CP1305</f>
        <v>0.12109553138513957</v>
      </c>
      <c r="CR1363" s="394">
        <f>CR1308/CR1305</f>
        <v>0.11794863919198745</v>
      </c>
      <c r="CS1363" s="394">
        <f>CS1308/CS1305</f>
        <v>0.11665781779106661</v>
      </c>
      <c r="CT1363" s="394">
        <f>CT1308/CT1305</f>
        <v>0.11665781779106661</v>
      </c>
      <c r="CV1363" s="394">
        <f>CV1308/CV1305</f>
        <v>0.10133899810207031</v>
      </c>
      <c r="CW1363" s="394">
        <f>CW1308/CW1305</f>
        <v>0.1189272161578972</v>
      </c>
      <c r="CX1363" s="394">
        <f>CX1308/CX1305</f>
        <v>0.1189272161578972</v>
      </c>
      <c r="CZ1363" s="394">
        <f>CZ1308/CZ1305</f>
        <v>0.1219710632296907</v>
      </c>
      <c r="DA1363" s="394">
        <f>DA1308/DA1305</f>
        <v>0.12140836401723337</v>
      </c>
      <c r="DB1363" s="394">
        <f>DB1308/DB1305</f>
        <v>0.12140836401723337</v>
      </c>
      <c r="DD1363" s="394">
        <f>DD1308/DD1305</f>
        <v>0.1236611211657756</v>
      </c>
      <c r="DE1363" s="394">
        <f>DE1308/DE1305</f>
        <v>0.11937993823446838</v>
      </c>
      <c r="DF1363" s="394">
        <f>DF1308/DF1305</f>
        <v>0.11937993823446838</v>
      </c>
      <c r="DH1363" s="394">
        <f>DH1308/DH1305</f>
        <v>0.12475832215076788</v>
      </c>
      <c r="DI1363" s="394">
        <f ca="1">DI1308/DI1305</f>
        <v>0.12486527472155508</v>
      </c>
      <c r="DJ1363" s="394">
        <f ca="1">DJ1308/DJ1305</f>
        <v>0.12486527472155508</v>
      </c>
      <c r="DL1363" s="394">
        <f ca="1">DL1308/DL1305</f>
        <v>0.12511196711125988</v>
      </c>
      <c r="DM1363" s="394">
        <f ca="1">DM1308/DM1305</f>
        <v>0.12491072076425619</v>
      </c>
      <c r="DN1363" s="394">
        <f ca="1">DN1308/DN1305</f>
        <v>0.12491072076425619</v>
      </c>
      <c r="DP1363" s="394">
        <f ca="1">DP1308/DP1305</f>
        <v>0.12497477499883916</v>
      </c>
      <c r="DQ1363" s="394">
        <f ca="1">DQ1308/DQ1305</f>
        <v>0.1248453021297274</v>
      </c>
      <c r="DR1363" s="394">
        <f ca="1">DR1308/DR1305</f>
        <v>0.1248453021297274</v>
      </c>
      <c r="DT1363"/>
      <c r="DU1363"/>
      <c r="DV1363" s="1"/>
      <c r="DW1363" s="1"/>
      <c r="DX1363" s="1"/>
      <c r="DY1363" s="1"/>
      <c r="DZ1363" s="1"/>
      <c r="EA1363" s="1"/>
      <c r="EB1363" s="1"/>
      <c r="EC1363" s="1"/>
      <c r="ED1363" s="1"/>
      <c r="EE1363" s="1"/>
      <c r="EF1363" s="1"/>
      <c r="EG1363" s="1"/>
      <c r="EH1363" s="1"/>
      <c r="EI1363" s="1"/>
      <c r="EJ1363" s="1"/>
      <c r="EK1363" s="1"/>
      <c r="EL1363" s="1"/>
      <c r="EM1363" s="1"/>
      <c r="EN1363" s="1"/>
      <c r="EO1363" s="1"/>
      <c r="EP1363" s="1"/>
      <c r="EQ1363" s="1"/>
      <c r="ER1363" s="1"/>
      <c r="ES1363" s="1"/>
      <c r="ET1363" s="1"/>
      <c r="EU1363" s="1"/>
      <c r="EV1363" s="1"/>
      <c r="EW1363" s="1"/>
      <c r="EX1363" s="1"/>
      <c r="EY1363" s="1"/>
      <c r="EZ1363" s="1"/>
      <c r="FA1363" s="1"/>
      <c r="FB1363" s="1"/>
      <c r="FC1363" s="1"/>
      <c r="FD1363" s="1"/>
      <c r="FE1363" s="1"/>
      <c r="FF1363" s="1"/>
      <c r="FG1363" s="1"/>
      <c r="FH1363" s="1"/>
      <c r="FI1363" s="1"/>
      <c r="FJ1363" s="1"/>
      <c r="FK1363" s="1"/>
      <c r="FL1363" s="1"/>
      <c r="FM1363" s="1"/>
      <c r="FN1363" s="1"/>
      <c r="FO1363" s="1"/>
      <c r="FP1363" s="1"/>
      <c r="FQ1363" s="1"/>
      <c r="FR1363" s="1"/>
      <c r="FS1363" s="1"/>
      <c r="FT1363" s="1"/>
      <c r="FU1363" s="1"/>
      <c r="FV1363" s="1"/>
      <c r="FW1363" s="1"/>
      <c r="FX1363" s="1"/>
      <c r="FY1363" s="1"/>
      <c r="FZ1363" s="1"/>
      <c r="GA1363" s="1"/>
      <c r="GB1363" s="1"/>
      <c r="GC1363" s="1"/>
      <c r="GD1363" s="1"/>
      <c r="GE1363" s="1"/>
      <c r="GF1363" s="1"/>
      <c r="GG1363" s="1"/>
      <c r="GH1363" s="1"/>
      <c r="GI1363" s="1"/>
      <c r="GJ1363" s="1"/>
      <c r="GK1363" s="1"/>
      <c r="GL1363" s="1"/>
      <c r="GM1363" s="1"/>
      <c r="GN1363" s="1"/>
      <c r="GO1363" s="1"/>
      <c r="GP1363" s="1"/>
      <c r="GQ1363" s="1"/>
      <c r="GR1363" s="1"/>
      <c r="GS1363" s="1"/>
      <c r="GT1363" s="1"/>
      <c r="GU1363" s="1"/>
      <c r="GV1363" s="1"/>
      <c r="GW1363" s="1"/>
      <c r="GX1363" s="1"/>
      <c r="GY1363" s="1"/>
      <c r="GZ1363" s="1"/>
      <c r="HA1363" s="1"/>
      <c r="HB1363" s="1"/>
      <c r="HC1363" s="1"/>
      <c r="HD1363" s="1"/>
      <c r="HE1363" s="1"/>
      <c r="HF1363" s="1"/>
      <c r="HG1363" s="1"/>
      <c r="HH1363" s="1"/>
      <c r="HI1363" s="1"/>
      <c r="HJ1363" s="1"/>
      <c r="HK1363" s="1"/>
      <c r="HL1363" s="1"/>
      <c r="HM1363" s="1"/>
      <c r="HN1363" s="1"/>
      <c r="HO1363" s="1"/>
      <c r="HP1363" s="1"/>
      <c r="HQ1363" s="1"/>
      <c r="HR1363" s="1"/>
      <c r="HS1363" s="1"/>
      <c r="HT1363" s="1"/>
      <c r="HU1363" s="1"/>
      <c r="HV1363" s="1"/>
      <c r="HW1363" s="1"/>
      <c r="HX1363" s="1"/>
      <c r="HY1363" s="1"/>
      <c r="HZ1363" s="1"/>
      <c r="IA1363" s="1"/>
      <c r="IB1363" s="1"/>
      <c r="IC1363" s="1"/>
      <c r="ID1363" s="1"/>
      <c r="IE1363" s="1"/>
      <c r="IF1363" s="1"/>
      <c r="IG1363" s="1"/>
      <c r="IH1363" s="1"/>
      <c r="II1363" s="1"/>
      <c r="IJ1363" s="1"/>
      <c r="IK1363" s="1"/>
      <c r="IL1363" s="1"/>
      <c r="IM1363" s="1"/>
      <c r="IN1363" s="1"/>
      <c r="IO1363" s="1"/>
      <c r="IP1363" s="1"/>
      <c r="IQ1363" s="1"/>
      <c r="IR1363" s="1"/>
      <c r="IS1363" s="1"/>
      <c r="IT1363" s="1"/>
      <c r="IU1363" s="1"/>
      <c r="IV1363" s="1"/>
      <c r="IW1363" s="1"/>
      <c r="IX1363" s="1"/>
      <c r="IY1363" s="1"/>
      <c r="IZ1363" s="1"/>
      <c r="JA1363" s="1"/>
      <c r="JB1363" s="1"/>
      <c r="JC1363" s="1"/>
      <c r="JD1363" s="1"/>
    </row>
    <row r="1364" spans="1:264" s="347" customFormat="1" ht="15" x14ac:dyDescent="0.25">
      <c r="A1364" s="347" t="s">
        <v>87</v>
      </c>
      <c r="B1364" s="348"/>
      <c r="BD1364" s="351"/>
      <c r="BE1364" s="351"/>
      <c r="BF1364" s="351"/>
      <c r="BH1364" s="351">
        <f>BH387</f>
        <v>722183</v>
      </c>
      <c r="BI1364" s="351">
        <f>BI387</f>
        <v>753857</v>
      </c>
      <c r="BJ1364" s="351">
        <f>BI1364</f>
        <v>753857</v>
      </c>
      <c r="BK1364" s="348"/>
      <c r="BL1364" s="351">
        <f>BL387</f>
        <v>782301</v>
      </c>
      <c r="BM1364" s="351">
        <f>BM387</f>
        <v>791451</v>
      </c>
      <c r="BN1364" s="351">
        <f>BN387</f>
        <v>791451</v>
      </c>
      <c r="BO1364" s="348"/>
      <c r="BP1364" s="351">
        <f>BP387</f>
        <v>850714</v>
      </c>
      <c r="BQ1364" s="351">
        <f>BQ387</f>
        <v>873446</v>
      </c>
      <c r="BR1364" s="351">
        <f>BR387</f>
        <v>873446</v>
      </c>
      <c r="BT1364" s="351">
        <f>BT387</f>
        <v>903075</v>
      </c>
      <c r="BU1364" s="351">
        <f>BU387</f>
        <v>933078</v>
      </c>
      <c r="BV1364" s="351">
        <f>BV387</f>
        <v>933078</v>
      </c>
      <c r="BX1364" s="351">
        <f>BX387</f>
        <v>971663</v>
      </c>
      <c r="BY1364" s="351">
        <f>BY387</f>
        <v>976318</v>
      </c>
      <c r="BZ1364" s="351">
        <f>BZ387</f>
        <v>976318</v>
      </c>
      <c r="CB1364" s="351">
        <f>CB387</f>
        <v>961930</v>
      </c>
      <c r="CC1364" s="351">
        <f>CC387</f>
        <v>975165</v>
      </c>
      <c r="CD1364" s="351">
        <f>CD387</f>
        <v>975165</v>
      </c>
      <c r="CF1364" s="351">
        <f>CF387</f>
        <v>980430</v>
      </c>
      <c r="CG1364" s="351">
        <f>CG387</f>
        <v>976502</v>
      </c>
      <c r="CH1364" s="351">
        <f>CH387</f>
        <v>976502</v>
      </c>
      <c r="CJ1364" s="351">
        <f>CJ387</f>
        <v>979868</v>
      </c>
      <c r="CK1364" s="351">
        <f>CK387</f>
        <v>1015471</v>
      </c>
      <c r="CL1364" s="351">
        <f>CL387</f>
        <v>1015471</v>
      </c>
      <c r="CN1364" s="351">
        <f>CN387</f>
        <v>1059220</v>
      </c>
      <c r="CO1364" s="351">
        <f>CO387</f>
        <v>1091962</v>
      </c>
      <c r="CP1364" s="351">
        <f>CP387</f>
        <v>1091962</v>
      </c>
      <c r="CR1364" s="351">
        <f>CR387</f>
        <v>1149813</v>
      </c>
      <c r="CS1364" s="351">
        <f>CS387</f>
        <v>1215260</v>
      </c>
      <c r="CT1364" s="351">
        <f>CT387</f>
        <v>1215260</v>
      </c>
      <c r="CV1364" s="351">
        <f>CV387</f>
        <v>1232181</v>
      </c>
      <c r="CW1364" s="351">
        <f>CW387</f>
        <v>1252423</v>
      </c>
      <c r="CX1364" s="351">
        <f>CX387</f>
        <v>1252423</v>
      </c>
      <c r="CZ1364" s="351">
        <f>CZ387</f>
        <v>1275969</v>
      </c>
      <c r="DA1364" s="351">
        <f>DA387</f>
        <v>1254076</v>
      </c>
      <c r="DB1364" s="351">
        <f>DB387</f>
        <v>1254076</v>
      </c>
      <c r="DD1364" s="351">
        <f>DD387</f>
        <v>1308566</v>
      </c>
      <c r="DE1364" s="351">
        <f>DE387</f>
        <v>1353799</v>
      </c>
      <c r="DF1364" s="351">
        <f>DF387</f>
        <v>1353799</v>
      </c>
      <c r="DH1364" s="351">
        <f>DH387</f>
        <v>1408728</v>
      </c>
      <c r="DI1364" s="351">
        <f ca="1">DI387</f>
        <v>1457896.423428816</v>
      </c>
      <c r="DJ1364" s="351">
        <f ca="1">DJ387</f>
        <v>1457896.423428816</v>
      </c>
      <c r="DL1364" s="351">
        <f ca="1">DL387</f>
        <v>1500727.9832540648</v>
      </c>
      <c r="DM1364" s="351">
        <f ca="1">DM387</f>
        <v>1547411.4956437899</v>
      </c>
      <c r="DN1364" s="351">
        <f ca="1">DN387</f>
        <v>1547411.4956437899</v>
      </c>
      <c r="DP1364" s="351">
        <f ca="1">DP387</f>
        <v>1583493.8910403242</v>
      </c>
      <c r="DQ1364" s="351">
        <f ca="1">DQ387</f>
        <v>1623106.5878329626</v>
      </c>
      <c r="DR1364" s="351">
        <f ca="1">DR387</f>
        <v>1623106.5878329626</v>
      </c>
      <c r="DT1364"/>
      <c r="DU1364"/>
      <c r="DV1364" s="1"/>
      <c r="DW1364" s="1"/>
      <c r="DX1364" s="1"/>
      <c r="DY1364" s="1"/>
      <c r="DZ1364" s="1"/>
      <c r="EA1364" s="1"/>
      <c r="EB1364" s="1"/>
      <c r="EC1364" s="1"/>
      <c r="ED1364" s="1"/>
      <c r="EE1364" s="1"/>
      <c r="EF1364" s="1"/>
      <c r="EG1364" s="1"/>
      <c r="EH1364" s="1"/>
      <c r="EI1364" s="1"/>
      <c r="EJ1364" s="1"/>
      <c r="EK1364" s="1"/>
      <c r="EL1364" s="1"/>
      <c r="EM1364" s="1"/>
      <c r="EN1364" s="1"/>
      <c r="EO1364" s="1"/>
      <c r="EP1364" s="1"/>
      <c r="EQ1364" s="1"/>
      <c r="ER1364" s="1"/>
      <c r="ES1364" s="1"/>
      <c r="ET1364" s="1"/>
      <c r="EU1364" s="1"/>
      <c r="EV1364" s="1"/>
      <c r="EW1364" s="1"/>
      <c r="EX1364" s="1"/>
      <c r="EY1364" s="1"/>
      <c r="EZ1364" s="1"/>
      <c r="FA1364" s="1"/>
      <c r="FB1364" s="1"/>
      <c r="FC1364" s="1"/>
      <c r="FD1364" s="1"/>
      <c r="FE1364" s="1"/>
      <c r="FF1364" s="1"/>
      <c r="FG1364" s="1"/>
      <c r="FH1364" s="1"/>
      <c r="FI1364" s="1"/>
      <c r="FJ1364" s="1"/>
      <c r="FK1364" s="1"/>
      <c r="FL1364" s="1"/>
      <c r="FM1364" s="1"/>
      <c r="FN1364" s="1"/>
      <c r="FO1364" s="1"/>
      <c r="FP1364" s="1"/>
      <c r="FQ1364" s="1"/>
      <c r="FR1364" s="1"/>
      <c r="FS1364" s="1"/>
      <c r="FT1364" s="1"/>
      <c r="FU1364" s="1"/>
      <c r="FV1364" s="1"/>
      <c r="FW1364" s="1"/>
      <c r="FX1364" s="1"/>
      <c r="FY1364" s="1"/>
      <c r="FZ1364" s="1"/>
      <c r="GA1364" s="1"/>
      <c r="GB1364" s="1"/>
      <c r="GC1364" s="1"/>
      <c r="GD1364" s="1"/>
      <c r="GE1364" s="1"/>
      <c r="GF1364" s="1"/>
      <c r="GG1364" s="1"/>
      <c r="GH1364" s="1"/>
      <c r="GI1364" s="1"/>
      <c r="GJ1364" s="1"/>
      <c r="GK1364" s="1"/>
      <c r="GL1364" s="1"/>
      <c r="GM1364" s="1"/>
      <c r="GN1364" s="1"/>
      <c r="GO1364" s="1"/>
      <c r="GP1364" s="1"/>
      <c r="GQ1364" s="1"/>
      <c r="GR1364" s="1"/>
      <c r="GS1364" s="1"/>
      <c r="GT1364" s="1"/>
      <c r="GU1364" s="1"/>
      <c r="GV1364" s="1"/>
      <c r="GW1364" s="1"/>
      <c r="GX1364" s="1"/>
      <c r="GY1364" s="1"/>
      <c r="GZ1364" s="1"/>
      <c r="HA1364" s="1"/>
      <c r="HB1364" s="1"/>
      <c r="HC1364" s="1"/>
      <c r="HD1364" s="1"/>
      <c r="HE1364" s="1"/>
      <c r="HF1364" s="1"/>
      <c r="HG1364" s="1"/>
      <c r="HH1364" s="1"/>
      <c r="HI1364" s="1"/>
      <c r="HJ1364" s="1"/>
      <c r="HK1364" s="1"/>
      <c r="HL1364" s="1"/>
      <c r="HM1364" s="1"/>
      <c r="HN1364" s="1"/>
      <c r="HO1364" s="1"/>
      <c r="HP1364" s="1"/>
      <c r="HQ1364" s="1"/>
      <c r="HR1364" s="1"/>
      <c r="HS1364" s="1"/>
      <c r="HT1364" s="1"/>
      <c r="HU1364" s="1"/>
      <c r="HV1364" s="1"/>
      <c r="HW1364" s="1"/>
      <c r="HX1364" s="1"/>
      <c r="HY1364" s="1"/>
      <c r="HZ1364" s="1"/>
      <c r="IA1364" s="1"/>
      <c r="IB1364" s="1"/>
      <c r="IC1364" s="1"/>
      <c r="ID1364" s="1"/>
      <c r="IE1364" s="1"/>
      <c r="IF1364" s="1"/>
      <c r="IG1364" s="1"/>
      <c r="IH1364" s="1"/>
      <c r="II1364" s="1"/>
      <c r="IJ1364" s="1"/>
      <c r="IK1364" s="1"/>
      <c r="IL1364" s="1"/>
      <c r="IM1364" s="1"/>
      <c r="IN1364" s="1"/>
      <c r="IO1364" s="1"/>
      <c r="IP1364" s="1"/>
      <c r="IQ1364" s="1"/>
      <c r="IR1364" s="1"/>
      <c r="IS1364" s="1"/>
      <c r="IT1364" s="1"/>
      <c r="IU1364" s="1"/>
      <c r="IV1364" s="1"/>
      <c r="IW1364" s="1"/>
      <c r="IX1364" s="1"/>
      <c r="IY1364" s="1"/>
      <c r="IZ1364" s="1"/>
      <c r="JA1364" s="1"/>
      <c r="JB1364" s="1"/>
      <c r="JC1364" s="1"/>
      <c r="JD1364" s="1"/>
    </row>
    <row r="1365" spans="1:264" s="424" customFormat="1" ht="15" x14ac:dyDescent="0.25">
      <c r="A1365" s="424" t="s">
        <v>273</v>
      </c>
      <c r="B1365" s="536"/>
      <c r="BD1365" s="428"/>
      <c r="BE1365" s="428"/>
      <c r="BF1365" s="428"/>
      <c r="BH1365" s="428"/>
      <c r="BI1365" s="428">
        <f>+BI1364/BH1364-1</f>
        <v>4.3858689556525166E-2</v>
      </c>
      <c r="BJ1365" s="428"/>
      <c r="BK1365" s="536"/>
      <c r="BL1365" s="428">
        <f>+BL1364/BI1364-1</f>
        <v>3.7731293866078097E-2</v>
      </c>
      <c r="BM1365" s="428">
        <f>+BM1364/BL1364-1</f>
        <v>1.1696265248286819E-2</v>
      </c>
      <c r="BN1365" s="536"/>
      <c r="BO1365" s="536"/>
      <c r="BP1365" s="428">
        <f>+BP1364/BM1364-1</f>
        <v>7.4878924911333744E-2</v>
      </c>
      <c r="BQ1365" s="428">
        <f>+BQ1364/BP1364-1</f>
        <v>2.6721083701455539E-2</v>
      </c>
      <c r="BR1365" s="536"/>
      <c r="BT1365" s="428">
        <f>+BT1364/BQ1364-1</f>
        <v>3.3921959686116887E-2</v>
      </c>
      <c r="BU1365" s="428">
        <f>+BU1364/BT1364-1</f>
        <v>3.3223154223071205E-2</v>
      </c>
      <c r="BV1365" s="536"/>
      <c r="BX1365" s="428">
        <f>+BX1364/BU1364-1</f>
        <v>4.1352384259408126E-2</v>
      </c>
      <c r="BY1365" s="428">
        <f>+BY1364/BX1364-1</f>
        <v>4.7907556426456388E-3</v>
      </c>
      <c r="BZ1365" s="536"/>
      <c r="CB1365" s="428">
        <f>+CB1364/BY1364-1</f>
        <v>-1.4737001673635008E-2</v>
      </c>
      <c r="CC1365" s="428">
        <f>+CC1364/CB1364-1</f>
        <v>1.3758797417691593E-2</v>
      </c>
      <c r="CD1365" s="536"/>
      <c r="CF1365" s="428">
        <f>+CF1364/CC1364-1</f>
        <v>5.3990863084709684E-3</v>
      </c>
      <c r="CG1365" s="428">
        <f>+CG1364/CF1364-1</f>
        <v>-4.0064053527534282E-3</v>
      </c>
      <c r="CH1365" s="536"/>
      <c r="CJ1365" s="428">
        <f>+CJ1364/CG1364-1</f>
        <v>3.4469975483921722E-3</v>
      </c>
      <c r="CK1365" s="428">
        <f>+CK1364/CJ1364-1</f>
        <v>3.6334485869525368E-2</v>
      </c>
      <c r="CL1365" s="536"/>
      <c r="CN1365" s="428">
        <f>+CN1364/CK1364-1</f>
        <v>4.3082471089770147E-2</v>
      </c>
      <c r="CO1365" s="428">
        <f>+CO1364/CN1364-1</f>
        <v>3.0911425388493452E-2</v>
      </c>
      <c r="CP1365" s="536"/>
      <c r="CR1365" s="428">
        <f>+CR1364/CO1364-1</f>
        <v>5.2978949816935073E-2</v>
      </c>
      <c r="CS1365" s="428">
        <f>+CS1364/CR1364-1</f>
        <v>5.6919690419224622E-2</v>
      </c>
      <c r="CT1365" s="536"/>
      <c r="CV1365" s="428">
        <f>+CV1364/CS1364-1</f>
        <v>1.3923769399140973E-2</v>
      </c>
      <c r="CW1365" s="428">
        <f>+CW1364/CV1364-1</f>
        <v>1.6427781308103295E-2</v>
      </c>
      <c r="CX1365" s="536"/>
      <c r="CZ1365" s="428">
        <f>+CZ1364/CW1364-1</f>
        <v>1.8800357387240618E-2</v>
      </c>
      <c r="DA1365" s="428">
        <f>+DA1364/CZ1364-1</f>
        <v>-1.7157940357485191E-2</v>
      </c>
      <c r="DB1365" s="536"/>
      <c r="DD1365" s="428">
        <f>+DD1364/DA1364-1</f>
        <v>4.3450317205655731E-2</v>
      </c>
      <c r="DE1365" s="428">
        <f>+DE1364/DD1364-1</f>
        <v>3.4566846456349998E-2</v>
      </c>
      <c r="DF1365" s="536"/>
      <c r="DH1365" s="428">
        <f>+DH1364/DE1364-1</f>
        <v>4.0573969991113845E-2</v>
      </c>
      <c r="DI1365" s="428">
        <f ca="1">+DI1364/DH1364-1</f>
        <v>3.4902708989113629E-2</v>
      </c>
      <c r="DJ1365" s="536"/>
      <c r="DL1365" s="428">
        <f ca="1">+DL1364/DI1364-1</f>
        <v>2.9379014268046344E-2</v>
      </c>
      <c r="DM1365" s="428">
        <f ca="1">+DM1364/DL1364-1</f>
        <v>3.1107244557738056E-2</v>
      </c>
      <c r="DN1365" s="536"/>
      <c r="DP1365" s="428">
        <f ca="1">+DP1364/DM1364-1</f>
        <v>2.3317905740077638E-2</v>
      </c>
      <c r="DQ1365" s="428">
        <f ca="1">+DQ1364/DP1364-1</f>
        <v>2.5016008597679829E-2</v>
      </c>
      <c r="DR1365" s="536"/>
      <c r="DT1365"/>
      <c r="DU1365"/>
      <c r="DV1365" s="1"/>
      <c r="DW1365" s="1"/>
      <c r="DX1365" s="1"/>
      <c r="DY1365" s="1"/>
      <c r="DZ1365" s="1"/>
      <c r="EA1365" s="1"/>
      <c r="EB1365" s="1"/>
      <c r="EC1365" s="1"/>
      <c r="ED1365" s="1"/>
      <c r="EE1365" s="1"/>
      <c r="EF1365" s="1"/>
      <c r="EG1365" s="1"/>
      <c r="EH1365" s="1"/>
      <c r="EI1365" s="1"/>
      <c r="EJ1365" s="1"/>
      <c r="EK1365" s="1"/>
      <c r="EL1365" s="1"/>
      <c r="EM1365" s="1"/>
      <c r="EN1365" s="1"/>
      <c r="EO1365" s="1"/>
      <c r="EP1365" s="1"/>
      <c r="EQ1365" s="1"/>
      <c r="ER1365" s="1"/>
      <c r="ES1365" s="1"/>
      <c r="ET1365" s="1"/>
      <c r="EU1365" s="1"/>
      <c r="EV1365" s="1"/>
      <c r="EW1365" s="1"/>
      <c r="EX1365" s="1"/>
      <c r="EY1365" s="1"/>
      <c r="EZ1365" s="1"/>
      <c r="FA1365" s="1"/>
      <c r="FB1365" s="1"/>
      <c r="FC1365" s="1"/>
      <c r="FD1365" s="1"/>
      <c r="FE1365" s="1"/>
      <c r="FF1365" s="1"/>
      <c r="FG1365" s="1"/>
      <c r="FH1365" s="1"/>
      <c r="FI1365" s="1"/>
      <c r="FJ1365" s="1"/>
      <c r="FK1365" s="1"/>
      <c r="FL1365" s="1"/>
      <c r="FM1365" s="1"/>
      <c r="FN1365" s="1"/>
      <c r="FO1365" s="1"/>
      <c r="FP1365" s="1"/>
      <c r="FQ1365" s="1"/>
      <c r="FR1365" s="1"/>
      <c r="FS1365" s="1"/>
      <c r="FT1365" s="1"/>
      <c r="FU1365" s="1"/>
      <c r="FV1365" s="1"/>
      <c r="FW1365" s="1"/>
      <c r="FX1365" s="1"/>
      <c r="FY1365" s="1"/>
      <c r="FZ1365" s="1"/>
      <c r="GA1365" s="1"/>
      <c r="GB1365" s="1"/>
      <c r="GC1365" s="1"/>
      <c r="GD1365" s="1"/>
      <c r="GE1365" s="1"/>
      <c r="GF1365" s="1"/>
      <c r="GG1365" s="1"/>
      <c r="GH1365" s="1"/>
      <c r="GI1365" s="1"/>
      <c r="GJ1365" s="1"/>
      <c r="GK1365" s="1"/>
      <c r="GL1365" s="1"/>
      <c r="GM1365" s="1"/>
      <c r="GN1365" s="1"/>
      <c r="GO1365" s="1"/>
      <c r="GP1365" s="1"/>
      <c r="GQ1365" s="1"/>
      <c r="GR1365" s="1"/>
      <c r="GS1365" s="1"/>
      <c r="GT1365" s="1"/>
      <c r="GU1365" s="1"/>
      <c r="GV1365" s="1"/>
      <c r="GW1365" s="1"/>
      <c r="GX1365" s="1"/>
      <c r="GY1365" s="1"/>
      <c r="GZ1365" s="1"/>
      <c r="HA1365" s="1"/>
      <c r="HB1365" s="1"/>
      <c r="HC1365" s="1"/>
      <c r="HD1365" s="1"/>
      <c r="HE1365" s="1"/>
      <c r="HF1365" s="1"/>
      <c r="HG1365" s="1"/>
      <c r="HH1365" s="1"/>
      <c r="HI1365" s="1"/>
      <c r="HJ1365" s="1"/>
      <c r="HK1365" s="1"/>
      <c r="HL1365" s="1"/>
      <c r="HM1365" s="1"/>
      <c r="HN1365" s="1"/>
      <c r="HO1365" s="1"/>
      <c r="HP1365" s="1"/>
      <c r="HQ1365" s="1"/>
      <c r="HR1365" s="1"/>
      <c r="HS1365" s="1"/>
      <c r="HT1365" s="1"/>
      <c r="HU1365" s="1"/>
      <c r="HV1365" s="1"/>
      <c r="HW1365" s="1"/>
      <c r="HX1365" s="1"/>
      <c r="HY1365" s="1"/>
      <c r="HZ1365" s="1"/>
      <c r="IA1365" s="1"/>
      <c r="IB1365" s="1"/>
      <c r="IC1365" s="1"/>
      <c r="ID1365" s="1"/>
      <c r="IE1365" s="1"/>
      <c r="IF1365" s="1"/>
      <c r="IG1365" s="1"/>
      <c r="IH1365" s="1"/>
      <c r="II1365" s="1"/>
      <c r="IJ1365" s="1"/>
      <c r="IK1365" s="1"/>
      <c r="IL1365" s="1"/>
      <c r="IM1365" s="1"/>
      <c r="IN1365" s="1"/>
      <c r="IO1365" s="1"/>
      <c r="IP1365" s="1"/>
      <c r="IQ1365" s="1"/>
      <c r="IR1365" s="1"/>
      <c r="IS1365" s="1"/>
      <c r="IT1365" s="1"/>
      <c r="IU1365" s="1"/>
      <c r="IV1365" s="1"/>
      <c r="IW1365" s="1"/>
      <c r="IX1365" s="1"/>
      <c r="IY1365" s="1"/>
      <c r="IZ1365" s="1"/>
      <c r="JA1365" s="1"/>
      <c r="JB1365" s="1"/>
      <c r="JC1365" s="1"/>
      <c r="JD1365" s="1"/>
    </row>
    <row r="1366" spans="1:264" s="424" customFormat="1" ht="15" x14ac:dyDescent="0.25">
      <c r="A1366" s="477" t="s">
        <v>902</v>
      </c>
      <c r="B1366" s="538"/>
      <c r="C1366" s="530"/>
      <c r="D1366" s="530"/>
      <c r="E1366" s="530"/>
      <c r="F1366" s="530"/>
      <c r="G1366" s="530"/>
      <c r="H1366" s="530"/>
      <c r="I1366" s="530"/>
      <c r="J1366" s="530"/>
      <c r="K1366" s="530"/>
      <c r="L1366" s="530"/>
      <c r="M1366" s="530"/>
      <c r="N1366" s="530"/>
      <c r="O1366" s="530"/>
      <c r="P1366" s="530"/>
      <c r="Q1366" s="530"/>
      <c r="R1366" s="530"/>
      <c r="S1366" s="530"/>
      <c r="T1366" s="530"/>
      <c r="U1366" s="530"/>
      <c r="V1366" s="530"/>
      <c r="W1366" s="530"/>
      <c r="X1366" s="530"/>
      <c r="Y1366" s="530"/>
      <c r="Z1366" s="530"/>
      <c r="AA1366" s="530"/>
      <c r="AB1366" s="530"/>
      <c r="AC1366" s="530"/>
      <c r="AD1366" s="530"/>
      <c r="AE1366" s="530"/>
      <c r="AF1366" s="530"/>
      <c r="AG1366" s="530"/>
      <c r="AH1366" s="530"/>
      <c r="AI1366" s="530"/>
      <c r="AJ1366" s="530"/>
      <c r="AK1366" s="530"/>
      <c r="AL1366" s="530"/>
      <c r="AM1366" s="530"/>
      <c r="AN1366" s="530"/>
      <c r="AO1366" s="530"/>
      <c r="AP1366" s="530"/>
      <c r="AQ1366" s="530"/>
      <c r="AR1366" s="530"/>
      <c r="AS1366" s="530"/>
      <c r="AT1366" s="530"/>
      <c r="AU1366" s="530"/>
      <c r="AV1366" s="530"/>
      <c r="AW1366" s="530"/>
      <c r="AX1366" s="530"/>
      <c r="AY1366" s="530"/>
      <c r="AZ1366" s="530"/>
      <c r="BA1366" s="530"/>
      <c r="BB1366" s="530"/>
      <c r="BC1366" s="530"/>
      <c r="BD1366" s="470"/>
      <c r="BE1366" s="470"/>
      <c r="BF1366" s="470"/>
      <c r="BG1366" s="530"/>
      <c r="BH1366" s="573">
        <f>+BH1306/BH1364</f>
        <v>6.2546473677724344E-3</v>
      </c>
      <c r="BI1366" s="573">
        <f>+BI1306/BI1364</f>
        <v>6.8328608741445663E-3</v>
      </c>
      <c r="BJ1366" s="573">
        <f>+BJ1306/BJ1364</f>
        <v>6.8328608741445663E-3</v>
      </c>
      <c r="BK1366" s="538"/>
      <c r="BL1366" s="573">
        <f>+BL1306/BL1364</f>
        <v>7.6313337193740002E-3</v>
      </c>
      <c r="BM1366" s="573">
        <f>+BM1306/BM1364</f>
        <v>6.6763450927473716E-3</v>
      </c>
      <c r="BN1366" s="573">
        <f>+BN1306/BN1364</f>
        <v>6.6763450927473716E-3</v>
      </c>
      <c r="BO1366" s="538"/>
      <c r="BP1366" s="573">
        <f>+BP1306/BP1364</f>
        <v>7.6006742571534027E-3</v>
      </c>
      <c r="BQ1366" s="573">
        <f>+BQ1306/BQ1364</f>
        <v>7.2528811168635493E-3</v>
      </c>
      <c r="BR1366" s="573">
        <f>+BR1306/BR1364</f>
        <v>7.2528811168635493E-3</v>
      </c>
      <c r="BS1366" s="530"/>
      <c r="BT1366" s="573">
        <f>+BT1306/BT1364</f>
        <v>8.2506990006367131E-3</v>
      </c>
      <c r="BU1366" s="573">
        <f>+BU1306/BU1364</f>
        <v>1.011598172928737E-2</v>
      </c>
      <c r="BV1366" s="573">
        <f>+BV1306/BV1364</f>
        <v>1.011598172928737E-2</v>
      </c>
      <c r="BW1366" s="530"/>
      <c r="BX1366" s="573">
        <f>+BX1306/BX1364</f>
        <v>5.873435542981466E-3</v>
      </c>
      <c r="BY1366" s="573">
        <f>+BY1306/BY1364</f>
        <v>4.7627924508203273E-3</v>
      </c>
      <c r="BZ1366" s="573">
        <f>+BZ1306/BZ1364</f>
        <v>4.7627924508203273E-3</v>
      </c>
      <c r="CA1366" s="530"/>
      <c r="CB1366" s="573">
        <f>+CB1306/CB1364</f>
        <v>5.020115808842639E-3</v>
      </c>
      <c r="CC1366" s="573">
        <f>+CC1306/CC1364</f>
        <v>8.4652340885901355E-3</v>
      </c>
      <c r="CD1366" s="573">
        <f>+CD1306/CD1364</f>
        <v>8.4652340885901355E-3</v>
      </c>
      <c r="CE1366" s="530"/>
      <c r="CF1366" s="573">
        <f>+CF1306/CF1364</f>
        <v>5.3680527931621843E-3</v>
      </c>
      <c r="CG1366" s="573">
        <f>+CG1306/CG1364</f>
        <v>1.0737305197531598E-2</v>
      </c>
      <c r="CH1366" s="573">
        <f>+CH1306/CH1364</f>
        <v>1.0737305197531598E-2</v>
      </c>
      <c r="CI1366" s="530"/>
      <c r="CJ1366" s="573">
        <f>+CJ1306/CJ1364</f>
        <v>5.5395216498548786E-3</v>
      </c>
      <c r="CK1366" s="573">
        <f>+CK1306/CK1364</f>
        <v>1.2267213933238862E-2</v>
      </c>
      <c r="CL1366" s="573">
        <f>+CL1306/CL1364</f>
        <v>1.2267213933238862E-2</v>
      </c>
      <c r="CM1366" s="530"/>
      <c r="CN1366" s="573">
        <f>+CN1306/CN1364</f>
        <v>1.0536998923736334E-2</v>
      </c>
      <c r="CO1366" s="573">
        <f>+CO1306/CO1364</f>
        <v>7.6074075837803878E-3</v>
      </c>
      <c r="CP1366" s="573">
        <f>+CP1306/CP1364</f>
        <v>7.6074075837803878E-3</v>
      </c>
      <c r="CQ1366" s="530"/>
      <c r="CR1366" s="573">
        <f>+CR1306/CR1364</f>
        <v>9.3954408238557056E-3</v>
      </c>
      <c r="CS1366" s="573">
        <f>+CS1306/CS1364</f>
        <v>8.7907114526932506E-3</v>
      </c>
      <c r="CT1366" s="573">
        <f>+CT1306/CT1364</f>
        <v>8.7907114526932506E-3</v>
      </c>
      <c r="CU1366" s="530"/>
      <c r="CV1366" s="573">
        <f>+CV1306/CV1364</f>
        <v>1.1177740932541567E-2</v>
      </c>
      <c r="CW1366" s="573">
        <f>+CW1306/CW1364</f>
        <v>1.2288180590742903E-2</v>
      </c>
      <c r="CX1366" s="573">
        <f>+CX1306/CX1364</f>
        <v>1.2288180590742903E-2</v>
      </c>
      <c r="CY1366" s="530"/>
      <c r="CZ1366" s="573">
        <f>+CZ1306/CZ1364</f>
        <v>7.5448541461430492E-3</v>
      </c>
      <c r="DA1366" s="573">
        <f>+DA1306/DA1364</f>
        <v>6.7683298300900427E-3</v>
      </c>
      <c r="DB1366" s="573">
        <f>+DB1306/DB1364</f>
        <v>6.7683298300900427E-3</v>
      </c>
      <c r="DC1366" s="530"/>
      <c r="DD1366" s="573">
        <f>+DD1306/DD1364</f>
        <v>6.0745885190353413E-3</v>
      </c>
      <c r="DE1366" s="573">
        <f>+DE1306/DE1364</f>
        <v>7.2034327104688366E-3</v>
      </c>
      <c r="DF1366" s="573">
        <f>+DF1306/DF1364</f>
        <v>7.2034327104688366E-3</v>
      </c>
      <c r="DG1366" s="530"/>
      <c r="DH1366" s="573">
        <f>+DH1306/DH1364</f>
        <v>7.0780164801153948E-3</v>
      </c>
      <c r="DI1366" s="494">
        <v>6.4999999999999997E-3</v>
      </c>
      <c r="DJ1366" s="573">
        <f ca="1">+DJ1306/DJ1364</f>
        <v>6.4999999999999988E-3</v>
      </c>
      <c r="DK1366" s="530"/>
      <c r="DL1366" s="494">
        <f>DI1366</f>
        <v>6.4999999999999997E-3</v>
      </c>
      <c r="DM1366" s="494">
        <f>DL1366</f>
        <v>6.4999999999999997E-3</v>
      </c>
      <c r="DN1366" s="573">
        <f ca="1">+DN1306/DN1364</f>
        <v>6.4999999999999997E-3</v>
      </c>
      <c r="DO1366" s="530"/>
      <c r="DP1366" s="494">
        <f>DM1366</f>
        <v>6.4999999999999997E-3</v>
      </c>
      <c r="DQ1366" s="494">
        <f>DP1366</f>
        <v>6.4999999999999997E-3</v>
      </c>
      <c r="DR1366" s="573">
        <f ca="1">+DR1306/DR1364</f>
        <v>6.4999999999999997E-3</v>
      </c>
      <c r="DS1366" s="530"/>
      <c r="DT1366"/>
      <c r="DU1366"/>
      <c r="DV1366" s="1"/>
      <c r="DW1366" s="1"/>
      <c r="DX1366" s="1"/>
      <c r="DY1366" s="1"/>
      <c r="DZ1366" s="1"/>
      <c r="EA1366" s="1"/>
      <c r="EB1366" s="1"/>
      <c r="EC1366" s="1"/>
      <c r="ED1366" s="1"/>
      <c r="EE1366" s="1"/>
      <c r="EF1366" s="1"/>
      <c r="EG1366" s="1"/>
      <c r="EH1366" s="1"/>
      <c r="EI1366" s="1"/>
      <c r="EJ1366" s="1"/>
      <c r="EK1366" s="1"/>
      <c r="EL1366" s="1"/>
      <c r="EM1366" s="1"/>
      <c r="EN1366" s="1"/>
      <c r="EO1366" s="1"/>
      <c r="EP1366" s="1"/>
      <c r="EQ1366" s="1"/>
      <c r="ER1366" s="1"/>
      <c r="ES1366" s="1"/>
      <c r="ET1366" s="1"/>
      <c r="EU1366" s="1"/>
      <c r="EV1366" s="1"/>
      <c r="EW1366" s="1"/>
      <c r="EX1366" s="1"/>
      <c r="EY1366" s="1"/>
      <c r="EZ1366" s="1"/>
      <c r="FA1366" s="1"/>
      <c r="FB1366" s="1"/>
      <c r="FC1366" s="1"/>
      <c r="FD1366" s="1"/>
      <c r="FE1366" s="1"/>
      <c r="FF1366" s="1"/>
      <c r="FG1366" s="1"/>
      <c r="FH1366" s="1"/>
      <c r="FI1366" s="1"/>
      <c r="FJ1366" s="1"/>
      <c r="FK1366" s="1"/>
      <c r="FL1366" s="1"/>
      <c r="FM1366" s="1"/>
      <c r="FN1366" s="1"/>
      <c r="FO1366" s="1"/>
      <c r="FP1366" s="1"/>
      <c r="FQ1366" s="1"/>
      <c r="FR1366" s="1"/>
      <c r="FS1366" s="1"/>
      <c r="FT1366" s="1"/>
      <c r="FU1366" s="1"/>
      <c r="FV1366" s="1"/>
      <c r="FW1366" s="1"/>
      <c r="FX1366" s="1"/>
      <c r="FY1366" s="1"/>
      <c r="FZ1366" s="1"/>
      <c r="GA1366" s="1"/>
      <c r="GB1366" s="1"/>
      <c r="GC1366" s="1"/>
      <c r="GD1366" s="1"/>
      <c r="GE1366" s="1"/>
      <c r="GF1366" s="1"/>
      <c r="GG1366" s="1"/>
      <c r="GH1366" s="1"/>
      <c r="GI1366" s="1"/>
      <c r="GJ1366" s="1"/>
      <c r="GK1366" s="1"/>
      <c r="GL1366" s="1"/>
      <c r="GM1366" s="1"/>
      <c r="GN1366" s="1"/>
      <c r="GO1366" s="1"/>
      <c r="GP1366" s="1"/>
      <c r="GQ1366" s="1"/>
      <c r="GR1366" s="1"/>
      <c r="GS1366" s="1"/>
      <c r="GT1366" s="1"/>
      <c r="GU1366" s="1"/>
      <c r="GV1366" s="1"/>
      <c r="GW1366" s="1"/>
      <c r="GX1366" s="1"/>
      <c r="GY1366" s="1"/>
      <c r="GZ1366" s="1"/>
      <c r="HA1366" s="1"/>
      <c r="HB1366" s="1"/>
      <c r="HC1366" s="1"/>
      <c r="HD1366" s="1"/>
      <c r="HE1366" s="1"/>
      <c r="HF1366" s="1"/>
      <c r="HG1366" s="1"/>
      <c r="HH1366" s="1"/>
      <c r="HI1366" s="1"/>
      <c r="HJ1366" s="1"/>
      <c r="HK1366" s="1"/>
      <c r="HL1366" s="1"/>
      <c r="HM1366" s="1"/>
      <c r="HN1366" s="1"/>
      <c r="HO1366" s="1"/>
      <c r="HP1366" s="1"/>
      <c r="HQ1366" s="1"/>
      <c r="HR1366" s="1"/>
      <c r="HS1366" s="1"/>
      <c r="HT1366" s="1"/>
      <c r="HU1366" s="1"/>
      <c r="HV1366" s="1"/>
      <c r="HW1366" s="1"/>
      <c r="HX1366" s="1"/>
      <c r="HY1366" s="1"/>
      <c r="HZ1366" s="1"/>
      <c r="IA1366" s="1"/>
      <c r="IB1366" s="1"/>
      <c r="IC1366" s="1"/>
      <c r="ID1366" s="1"/>
      <c r="IE1366" s="1"/>
      <c r="IF1366" s="1"/>
      <c r="IG1366" s="1"/>
      <c r="IH1366" s="1"/>
      <c r="II1366" s="1"/>
      <c r="IJ1366" s="1"/>
      <c r="IK1366" s="1"/>
      <c r="IL1366" s="1"/>
      <c r="IM1366" s="1"/>
      <c r="IN1366" s="1"/>
      <c r="IO1366" s="1"/>
      <c r="IP1366" s="1"/>
      <c r="IQ1366" s="1"/>
      <c r="IR1366" s="1"/>
      <c r="IS1366" s="1"/>
      <c r="IT1366" s="1"/>
      <c r="IU1366" s="1"/>
      <c r="IV1366" s="1"/>
      <c r="IW1366" s="1"/>
      <c r="IX1366" s="1"/>
      <c r="IY1366" s="1"/>
      <c r="IZ1366" s="1"/>
      <c r="JA1366" s="1"/>
      <c r="JB1366" s="1"/>
      <c r="JC1366" s="1"/>
      <c r="JD1366" s="1"/>
    </row>
    <row r="1367" spans="1:264" s="411" customFormat="1" ht="15.75" thickBot="1" x14ac:dyDescent="0.3">
      <c r="A1367" s="347" t="s">
        <v>788</v>
      </c>
      <c r="B1367" s="423"/>
      <c r="BD1367" s="698"/>
      <c r="BE1367" s="698"/>
      <c r="BF1367" s="698"/>
      <c r="BH1367" s="499"/>
      <c r="BI1367" s="499"/>
      <c r="BJ1367" s="499"/>
      <c r="BK1367" s="423"/>
      <c r="BL1367" s="499"/>
      <c r="BM1367" s="499"/>
      <c r="BN1367" s="499"/>
      <c r="BO1367" s="423"/>
      <c r="BP1367" s="499"/>
      <c r="BQ1367" s="499"/>
      <c r="BR1367" s="499"/>
      <c r="BT1367" s="499"/>
      <c r="BU1367" s="499"/>
      <c r="BV1367" s="499"/>
      <c r="BX1367" s="499"/>
      <c r="BY1367" s="499"/>
      <c r="BZ1367" s="499"/>
      <c r="CB1367" s="499"/>
      <c r="CC1367" s="499"/>
      <c r="CD1367" s="499"/>
      <c r="CF1367" s="499"/>
      <c r="CG1367" s="499"/>
      <c r="CH1367" s="499"/>
      <c r="CJ1367" s="499"/>
      <c r="CK1367" s="499"/>
      <c r="CL1367" s="499"/>
      <c r="CN1367" s="499"/>
      <c r="CO1367" s="499"/>
      <c r="CP1367" s="499"/>
      <c r="CR1367" s="351">
        <f>CR1307</f>
        <v>24356</v>
      </c>
      <c r="CS1367" s="351">
        <f t="shared" ref="CS1367:CT1367" si="999">CS1307</f>
        <v>47640</v>
      </c>
      <c r="CT1367" s="351">
        <f t="shared" si="999"/>
        <v>47640</v>
      </c>
      <c r="CV1367" s="351">
        <f t="shared" ref="CV1367:CX1367" si="1000">CV1307</f>
        <v>47850</v>
      </c>
      <c r="CW1367" s="351">
        <f t="shared" si="1000"/>
        <v>46578</v>
      </c>
      <c r="CX1367" s="351">
        <f t="shared" si="1000"/>
        <v>46578</v>
      </c>
      <c r="CZ1367" s="351">
        <f t="shared" ref="CZ1367:DB1367" si="1001">CZ1307</f>
        <v>40307</v>
      </c>
      <c r="DA1367" s="351">
        <f t="shared" si="1001"/>
        <v>43644</v>
      </c>
      <c r="DB1367" s="351">
        <f t="shared" si="1001"/>
        <v>43644</v>
      </c>
      <c r="DD1367" s="351">
        <f t="shared" ref="DD1367:DF1367" si="1002">DD1307</f>
        <v>41679</v>
      </c>
      <c r="DE1367" s="351">
        <f t="shared" si="1002"/>
        <v>39841</v>
      </c>
      <c r="DF1367" s="351">
        <f t="shared" si="1002"/>
        <v>39841</v>
      </c>
      <c r="DH1367" s="351">
        <f t="shared" ref="DH1367" si="1003">DH1307</f>
        <v>35179</v>
      </c>
      <c r="DI1367" s="351">
        <f t="shared" ref="DI1367:DJ1367" ca="1" si="1004">DI1307</f>
        <v>36406.842399528032</v>
      </c>
      <c r="DJ1367" s="351">
        <f t="shared" ca="1" si="1004"/>
        <v>36406.842399528032</v>
      </c>
      <c r="DL1367" s="351">
        <f t="shared" ref="DL1367:DN1367" ca="1" si="1005">DL1307</f>
        <v>37476.439541838277</v>
      </c>
      <c r="DM1367" s="351">
        <f t="shared" ca="1" si="1005"/>
        <v>38642.228311819519</v>
      </c>
      <c r="DN1367" s="351">
        <f t="shared" ca="1" si="1005"/>
        <v>38642.228311819519</v>
      </c>
      <c r="DP1367" s="351">
        <f t="shared" ref="DP1367:DR1367" ca="1" si="1006">DP1307</f>
        <v>39543.284149181083</v>
      </c>
      <c r="DQ1367" s="351">
        <f t="shared" ca="1" si="1006"/>
        <v>40532.499285437494</v>
      </c>
      <c r="DR1367" s="351">
        <f t="shared" ca="1" si="1006"/>
        <v>40532.499285437494</v>
      </c>
      <c r="DT1367"/>
      <c r="DU1367"/>
      <c r="DV1367" s="1"/>
      <c r="DW1367" s="1"/>
      <c r="DX1367" s="1"/>
      <c r="DY1367" s="1"/>
      <c r="DZ1367" s="1"/>
      <c r="EA1367" s="1"/>
      <c r="EB1367" s="1"/>
      <c r="EC1367" s="1"/>
      <c r="ED1367" s="1"/>
      <c r="EE1367" s="1"/>
      <c r="EF1367" s="1"/>
      <c r="EG1367" s="1"/>
      <c r="EH1367" s="1"/>
      <c r="EI1367" s="1"/>
      <c r="EJ1367" s="1"/>
      <c r="EK1367" s="1"/>
      <c r="EL1367" s="1"/>
      <c r="EM1367" s="1"/>
      <c r="EN1367" s="1"/>
      <c r="EO1367" s="1"/>
      <c r="EP1367" s="1"/>
      <c r="EQ1367" s="1"/>
      <c r="ER1367" s="1"/>
      <c r="ES1367" s="1"/>
      <c r="ET1367" s="1"/>
      <c r="EU1367" s="1"/>
      <c r="EV1367" s="1"/>
      <c r="EW1367" s="1"/>
      <c r="EX1367" s="1"/>
      <c r="EY1367" s="1"/>
      <c r="EZ1367" s="1"/>
      <c r="FA1367" s="1"/>
      <c r="FB1367" s="1"/>
      <c r="FC1367" s="1"/>
      <c r="FD1367" s="1"/>
      <c r="FE1367" s="1"/>
      <c r="FF1367" s="1"/>
      <c r="FG1367" s="1"/>
      <c r="FH1367" s="1"/>
      <c r="FI1367" s="1"/>
      <c r="FJ1367" s="1"/>
      <c r="FK1367" s="1"/>
      <c r="FL1367" s="1"/>
      <c r="FM1367" s="1"/>
      <c r="FN1367" s="1"/>
      <c r="FO1367" s="1"/>
      <c r="FP1367" s="1"/>
      <c r="FQ1367" s="1"/>
      <c r="FR1367" s="1"/>
      <c r="FS1367" s="1"/>
      <c r="FT1367" s="1"/>
      <c r="FU1367" s="1"/>
      <c r="FV1367" s="1"/>
      <c r="FW1367" s="1"/>
      <c r="FX1367" s="1"/>
      <c r="FY1367" s="1"/>
      <c r="FZ1367" s="1"/>
      <c r="GA1367" s="1"/>
      <c r="GB1367" s="1"/>
      <c r="GC1367" s="1"/>
      <c r="GD1367" s="1"/>
      <c r="GE1367" s="1"/>
      <c r="GF1367" s="1"/>
      <c r="GG1367" s="1"/>
      <c r="GH1367" s="1"/>
      <c r="GI1367" s="1"/>
      <c r="GJ1367" s="1"/>
      <c r="GK1367" s="1"/>
      <c r="GL1367" s="1"/>
      <c r="GM1367" s="1"/>
      <c r="GN1367" s="1"/>
      <c r="GO1367" s="1"/>
      <c r="GP1367" s="1"/>
      <c r="GQ1367" s="1"/>
      <c r="GR1367" s="1"/>
      <c r="GS1367" s="1"/>
      <c r="GT1367" s="1"/>
      <c r="GU1367" s="1"/>
      <c r="GV1367" s="1"/>
      <c r="GW1367" s="1"/>
      <c r="GX1367" s="1"/>
      <c r="GY1367" s="1"/>
      <c r="GZ1367" s="1"/>
      <c r="HA1367" s="1"/>
      <c r="HB1367" s="1"/>
      <c r="HC1367" s="1"/>
      <c r="HD1367" s="1"/>
      <c r="HE1367" s="1"/>
      <c r="HF1367" s="1"/>
      <c r="HG1367" s="1"/>
      <c r="HH1367" s="1"/>
      <c r="HI1367" s="1"/>
      <c r="HJ1367" s="1"/>
      <c r="HK1367" s="1"/>
      <c r="HL1367" s="1"/>
      <c r="HM1367" s="1"/>
      <c r="HN1367" s="1"/>
      <c r="HO1367" s="1"/>
      <c r="HP1367" s="1"/>
      <c r="HQ1367" s="1"/>
      <c r="HR1367" s="1"/>
      <c r="HS1367" s="1"/>
      <c r="HT1367" s="1"/>
      <c r="HU1367" s="1"/>
      <c r="HV1367" s="1"/>
      <c r="HW1367" s="1"/>
      <c r="HX1367" s="1"/>
      <c r="HY1367" s="1"/>
      <c r="HZ1367" s="1"/>
      <c r="IA1367" s="1"/>
      <c r="IB1367" s="1"/>
      <c r="IC1367" s="1"/>
      <c r="ID1367" s="1"/>
      <c r="IE1367" s="1"/>
      <c r="IF1367" s="1"/>
      <c r="IG1367" s="1"/>
      <c r="IH1367" s="1"/>
      <c r="II1367" s="1"/>
      <c r="IJ1367" s="1"/>
      <c r="IK1367" s="1"/>
      <c r="IL1367" s="1"/>
      <c r="IM1367" s="1"/>
      <c r="IN1367" s="1"/>
      <c r="IO1367" s="1"/>
      <c r="IP1367" s="1"/>
      <c r="IQ1367" s="1"/>
      <c r="IR1367" s="1"/>
      <c r="IS1367" s="1"/>
      <c r="IT1367" s="1"/>
      <c r="IU1367" s="1"/>
      <c r="IV1367" s="1"/>
      <c r="IW1367" s="1"/>
      <c r="IX1367" s="1"/>
      <c r="IY1367" s="1"/>
      <c r="IZ1367" s="1"/>
      <c r="JA1367" s="1"/>
      <c r="JB1367" s="1"/>
      <c r="JC1367" s="1"/>
      <c r="JD1367" s="1"/>
    </row>
    <row r="1368" spans="1:264" s="424" customFormat="1" ht="15.75" thickBot="1" x14ac:dyDescent="0.3">
      <c r="A1368" s="477" t="s">
        <v>903</v>
      </c>
      <c r="B1368" s="538"/>
      <c r="C1368" s="530"/>
      <c r="D1368" s="530"/>
      <c r="E1368" s="530"/>
      <c r="F1368" s="530"/>
      <c r="G1368" s="530"/>
      <c r="H1368" s="530"/>
      <c r="I1368" s="530"/>
      <c r="J1368" s="530"/>
      <c r="K1368" s="530"/>
      <c r="L1368" s="530"/>
      <c r="M1368" s="530"/>
      <c r="N1368" s="530"/>
      <c r="O1368" s="530"/>
      <c r="P1368" s="530"/>
      <c r="Q1368" s="530"/>
      <c r="R1368" s="530"/>
      <c r="S1368" s="530"/>
      <c r="T1368" s="530"/>
      <c r="U1368" s="530"/>
      <c r="V1368" s="530"/>
      <c r="W1368" s="530"/>
      <c r="X1368" s="530"/>
      <c r="Y1368" s="530"/>
      <c r="Z1368" s="530"/>
      <c r="AA1368" s="530"/>
      <c r="AB1368" s="530"/>
      <c r="AC1368" s="530"/>
      <c r="AD1368" s="530"/>
      <c r="AE1368" s="530"/>
      <c r="AF1368" s="530"/>
      <c r="AG1368" s="530"/>
      <c r="AH1368" s="530"/>
      <c r="AI1368" s="530"/>
      <c r="AJ1368" s="530"/>
      <c r="AK1368" s="530"/>
      <c r="AL1368" s="530"/>
      <c r="AM1368" s="530"/>
      <c r="AN1368" s="530"/>
      <c r="AO1368" s="530"/>
      <c r="AP1368" s="530"/>
      <c r="AQ1368" s="530"/>
      <c r="AR1368" s="530"/>
      <c r="AS1368" s="530"/>
      <c r="AT1368" s="530"/>
      <c r="AU1368" s="530"/>
      <c r="AV1368" s="530"/>
      <c r="AW1368" s="530"/>
      <c r="AX1368" s="530"/>
      <c r="AY1368" s="530"/>
      <c r="AZ1368" s="530"/>
      <c r="BA1368" s="530"/>
      <c r="BB1368" s="530"/>
      <c r="BC1368" s="530"/>
      <c r="BD1368" s="470"/>
      <c r="BE1368" s="470"/>
      <c r="BF1368" s="470"/>
      <c r="BG1368" s="530"/>
      <c r="BH1368" s="573">
        <f>+BH1307/BH1364</f>
        <v>1.5226057661285297E-2</v>
      </c>
      <c r="BI1368" s="573">
        <f>+BI1307/BI1364</f>
        <v>2.1607546258773216E-2</v>
      </c>
      <c r="BJ1368" s="573">
        <f>+BJ1307/BJ1364</f>
        <v>2.1607546258773216E-2</v>
      </c>
      <c r="BK1368" s="538"/>
      <c r="BL1368" s="573">
        <f>+BL1307/BL1364</f>
        <v>2.2424872267835527E-2</v>
      </c>
      <c r="BM1368" s="573">
        <f>+BM1307/BM1364</f>
        <v>1.865181798999559E-2</v>
      </c>
      <c r="BN1368" s="573">
        <f>+BN1307/BN1364</f>
        <v>1.865181798999559E-2</v>
      </c>
      <c r="BO1368" s="538"/>
      <c r="BP1368" s="573">
        <f>+BP1307/BP1364</f>
        <v>5.6963915017267846E-3</v>
      </c>
      <c r="BQ1368" s="573">
        <f>+BQ1307/BQ1364</f>
        <v>1.2418626909963523E-2</v>
      </c>
      <c r="BR1368" s="573">
        <f>+BR1307/BR1364</f>
        <v>1.2418626909963523E-2</v>
      </c>
      <c r="BS1368" s="530"/>
      <c r="BT1368" s="573">
        <f>+BT1307/BT1364</f>
        <v>1.9390416078398805E-2</v>
      </c>
      <c r="BU1368" s="573">
        <f>+BU1307/BU1364</f>
        <v>7.9821836973972167E-3</v>
      </c>
      <c r="BV1368" s="573">
        <f>+BV1307/BV1364</f>
        <v>7.9821836973972167E-3</v>
      </c>
      <c r="BW1368" s="530"/>
      <c r="BX1368" s="573">
        <f>+BX1307/BX1364</f>
        <v>2.4183281652177761E-2</v>
      </c>
      <c r="BY1368" s="573">
        <f>+BY1307/BY1364</f>
        <v>2.1923184863948016E-2</v>
      </c>
      <c r="BZ1368" s="573">
        <f>+BZ1307/BZ1364</f>
        <v>2.1923184863948016E-2</v>
      </c>
      <c r="CA1368" s="530"/>
      <c r="CB1368" s="573">
        <f>+CB1307/CB1364</f>
        <v>2.9049930868150491E-2</v>
      </c>
      <c r="CC1368" s="573">
        <f>+CC1307/CC1364</f>
        <v>2.5001922751534355E-2</v>
      </c>
      <c r="CD1368" s="573">
        <f>+CD1307/CD1364</f>
        <v>2.5001922751534355E-2</v>
      </c>
      <c r="CE1368" s="530"/>
      <c r="CF1368" s="573">
        <f>+CF1307/CF1364</f>
        <v>1.4148893852697285E-2</v>
      </c>
      <c r="CG1368" s="573">
        <f>+CG1307/CG1364</f>
        <v>1.0136179956620672E-2</v>
      </c>
      <c r="CH1368" s="573">
        <f>+CH1307/CH1364</f>
        <v>1.0136179956620672E-2</v>
      </c>
      <c r="CI1368" s="530"/>
      <c r="CJ1368" s="573">
        <f>+CJ1307/CJ1364</f>
        <v>9.1828695293651799E-3</v>
      </c>
      <c r="CK1368" s="573">
        <f>+CK1307/CK1364</f>
        <v>1.0916116757642513E-2</v>
      </c>
      <c r="CL1368" s="573">
        <f>+CL1307/CL1364</f>
        <v>1.0916116757642513E-2</v>
      </c>
      <c r="CM1368" s="530"/>
      <c r="CN1368" s="573">
        <f>+CN1307/CN1364</f>
        <v>1.4690999037027247E-2</v>
      </c>
      <c r="CO1368" s="573">
        <f>+CO1307/CO1364</f>
        <v>1.3387828514179065E-2</v>
      </c>
      <c r="CP1368" s="573">
        <f>+CP1307/CP1364</f>
        <v>1.3387828514179065E-2</v>
      </c>
      <c r="CQ1368" s="530"/>
      <c r="CR1368" s="573">
        <f>+CR1307/CR1364</f>
        <v>2.1182574905658572E-2</v>
      </c>
      <c r="CS1368" s="573">
        <f>+CS1307/CS1364</f>
        <v>3.9201487747477906E-2</v>
      </c>
      <c r="CT1368" s="573">
        <f>+CT1307/CT1364</f>
        <v>3.9201487747477906E-2</v>
      </c>
      <c r="CU1368" s="530"/>
      <c r="CV1368" s="573">
        <f>+CV1307/CV1364</f>
        <v>3.8833580456118053E-2</v>
      </c>
      <c r="CW1368" s="573">
        <f>+CW1307/CW1364</f>
        <v>3.7190310302509619E-2</v>
      </c>
      <c r="CX1368" s="573">
        <f>+CX1307/CX1364</f>
        <v>3.7190310302509619E-2</v>
      </c>
      <c r="CY1368" s="530"/>
      <c r="CZ1368" s="573">
        <f>+CZ1307/CZ1364</f>
        <v>3.1589325445994375E-2</v>
      </c>
      <c r="DA1368" s="573">
        <f>+DA1307/DA1364</f>
        <v>3.4801718556132163E-2</v>
      </c>
      <c r="DB1368" s="573">
        <f>+DB1307/DB1364</f>
        <v>3.4801718556132163E-2</v>
      </c>
      <c r="DC1368" s="530"/>
      <c r="DD1368" s="573">
        <f>+DD1307/DD1364</f>
        <v>3.1850896324679079E-2</v>
      </c>
      <c r="DE1368" s="573">
        <f>+DE1307/DE1364</f>
        <v>2.9429036363596072E-2</v>
      </c>
      <c r="DF1368" s="573">
        <f>+DF1307/DF1364</f>
        <v>2.9429036363596072E-2</v>
      </c>
      <c r="DG1368" s="530"/>
      <c r="DH1368" s="573">
        <f>+DH1307/DH1364</f>
        <v>2.4972173478485557E-2</v>
      </c>
      <c r="DI1368" s="1499">
        <f>DH1368</f>
        <v>2.4972173478485557E-2</v>
      </c>
      <c r="DJ1368" s="573">
        <f ca="1">+DJ1307/DJ1364</f>
        <v>2.497217347848556E-2</v>
      </c>
      <c r="DK1368" s="530"/>
      <c r="DL1368" s="1499">
        <f>DI1368</f>
        <v>2.4972173478485557E-2</v>
      </c>
      <c r="DM1368" s="1499">
        <f>DL1368</f>
        <v>2.4972173478485557E-2</v>
      </c>
      <c r="DN1368" s="573">
        <f ca="1">+DN1307/DN1364</f>
        <v>2.4972173478485557E-2</v>
      </c>
      <c r="DO1368" s="530"/>
      <c r="DP1368" s="1499">
        <f>DM1368</f>
        <v>2.4972173478485557E-2</v>
      </c>
      <c r="DQ1368" s="1499">
        <f>DP1368</f>
        <v>2.4972173478485557E-2</v>
      </c>
      <c r="DR1368" s="573">
        <f ca="1">+DR1307/DR1364</f>
        <v>2.4972173478485554E-2</v>
      </c>
      <c r="DS1368" s="530"/>
      <c r="DT1368"/>
      <c r="DU1368"/>
      <c r="DV1368" s="1"/>
      <c r="DW1368" s="1"/>
      <c r="DX1368" s="1"/>
      <c r="DY1368" s="1"/>
      <c r="DZ1368" s="1"/>
      <c r="EA1368" s="1"/>
      <c r="EB1368" s="1"/>
      <c r="EC1368" s="1"/>
      <c r="ED1368" s="1"/>
      <c r="EE1368" s="1"/>
      <c r="EF1368" s="1"/>
      <c r="EG1368" s="1"/>
      <c r="EH1368" s="1"/>
      <c r="EI1368" s="1"/>
      <c r="EJ1368" s="1"/>
      <c r="EK1368" s="1"/>
      <c r="EL1368" s="1"/>
      <c r="EM1368" s="1"/>
      <c r="EN1368" s="1"/>
      <c r="EO1368" s="1"/>
      <c r="EP1368" s="1"/>
      <c r="EQ1368" s="1"/>
      <c r="ER1368" s="1"/>
      <c r="ES1368" s="1"/>
      <c r="ET1368" s="1"/>
      <c r="EU1368" s="1"/>
      <c r="EV1368" s="1"/>
      <c r="EW1368" s="1"/>
      <c r="EX1368" s="1"/>
      <c r="EY1368" s="1"/>
      <c r="EZ1368" s="1"/>
      <c r="FA1368" s="1"/>
      <c r="FB1368" s="1"/>
      <c r="FC1368" s="1"/>
      <c r="FD1368" s="1"/>
      <c r="FE1368" s="1"/>
      <c r="FF1368" s="1"/>
      <c r="FG1368" s="1"/>
      <c r="FH1368" s="1"/>
      <c r="FI1368" s="1"/>
      <c r="FJ1368" s="1"/>
      <c r="FK1368" s="1"/>
      <c r="FL1368" s="1"/>
      <c r="FM1368" s="1"/>
      <c r="FN1368" s="1"/>
      <c r="FO1368" s="1"/>
      <c r="FP1368" s="1"/>
      <c r="FQ1368" s="1"/>
      <c r="FR1368" s="1"/>
      <c r="FS1368" s="1"/>
      <c r="FT1368" s="1"/>
      <c r="FU1368" s="1"/>
      <c r="FV1368" s="1"/>
      <c r="FW1368" s="1"/>
      <c r="FX1368" s="1"/>
      <c r="FY1368" s="1"/>
      <c r="FZ1368" s="1"/>
      <c r="GA1368" s="1"/>
      <c r="GB1368" s="1"/>
      <c r="GC1368" s="1"/>
      <c r="GD1368" s="1"/>
      <c r="GE1368" s="1"/>
      <c r="GF1368" s="1"/>
      <c r="GG1368" s="1"/>
      <c r="GH1368" s="1"/>
      <c r="GI1368" s="1"/>
      <c r="GJ1368" s="1"/>
      <c r="GK1368" s="1"/>
      <c r="GL1368" s="1"/>
      <c r="GM1368" s="1"/>
      <c r="GN1368" s="1"/>
      <c r="GO1368" s="1"/>
      <c r="GP1368" s="1"/>
      <c r="GQ1368" s="1"/>
      <c r="GR1368" s="1"/>
      <c r="GS1368" s="1"/>
      <c r="GT1368" s="1"/>
      <c r="GU1368" s="1"/>
      <c r="GV1368" s="1"/>
      <c r="GW1368" s="1"/>
      <c r="GX1368" s="1"/>
      <c r="GY1368" s="1"/>
      <c r="GZ1368" s="1"/>
      <c r="HA1368" s="1"/>
      <c r="HB1368" s="1"/>
      <c r="HC1368" s="1"/>
      <c r="HD1368" s="1"/>
      <c r="HE1368" s="1"/>
      <c r="HF1368" s="1"/>
      <c r="HG1368" s="1"/>
      <c r="HH1368" s="1"/>
      <c r="HI1368" s="1"/>
      <c r="HJ1368" s="1"/>
      <c r="HK1368" s="1"/>
      <c r="HL1368" s="1"/>
      <c r="HM1368" s="1"/>
      <c r="HN1368" s="1"/>
      <c r="HO1368" s="1"/>
      <c r="HP1368" s="1"/>
      <c r="HQ1368" s="1"/>
      <c r="HR1368" s="1"/>
      <c r="HS1368" s="1"/>
      <c r="HT1368" s="1"/>
      <c r="HU1368" s="1"/>
      <c r="HV1368" s="1"/>
      <c r="HW1368" s="1"/>
      <c r="HX1368" s="1"/>
      <c r="HY1368" s="1"/>
      <c r="HZ1368" s="1"/>
      <c r="IA1368" s="1"/>
      <c r="IB1368" s="1"/>
      <c r="IC1368" s="1"/>
      <c r="ID1368" s="1"/>
      <c r="IE1368" s="1"/>
      <c r="IF1368" s="1"/>
      <c r="IG1368" s="1"/>
      <c r="IH1368" s="1"/>
      <c r="II1368" s="1"/>
      <c r="IJ1368" s="1"/>
      <c r="IK1368" s="1"/>
      <c r="IL1368" s="1"/>
      <c r="IM1368" s="1"/>
      <c r="IN1368" s="1"/>
      <c r="IO1368" s="1"/>
      <c r="IP1368" s="1"/>
      <c r="IQ1368" s="1"/>
      <c r="IR1368" s="1"/>
      <c r="IS1368" s="1"/>
      <c r="IT1368" s="1"/>
      <c r="IU1368" s="1"/>
      <c r="IV1368" s="1"/>
      <c r="IW1368" s="1"/>
      <c r="IX1368" s="1"/>
      <c r="IY1368" s="1"/>
      <c r="IZ1368" s="1"/>
      <c r="JA1368" s="1"/>
      <c r="JB1368" s="1"/>
      <c r="JC1368" s="1"/>
      <c r="JD1368" s="1"/>
    </row>
    <row r="1369" spans="1:264" s="424" customFormat="1" ht="15" x14ac:dyDescent="0.25">
      <c r="A1369" s="477" t="s">
        <v>904</v>
      </c>
      <c r="B1369" s="538"/>
      <c r="C1369" s="530"/>
      <c r="D1369" s="530"/>
      <c r="E1369" s="530"/>
      <c r="F1369" s="530"/>
      <c r="G1369" s="530"/>
      <c r="H1369" s="530"/>
      <c r="I1369" s="530"/>
      <c r="J1369" s="530"/>
      <c r="K1369" s="530"/>
      <c r="L1369" s="530"/>
      <c r="M1369" s="530"/>
      <c r="N1369" s="530"/>
      <c r="O1369" s="530"/>
      <c r="P1369" s="530"/>
      <c r="Q1369" s="530"/>
      <c r="R1369" s="530"/>
      <c r="S1369" s="530"/>
      <c r="T1369" s="530"/>
      <c r="U1369" s="530"/>
      <c r="V1369" s="530"/>
      <c r="W1369" s="530"/>
      <c r="X1369" s="530"/>
      <c r="Y1369" s="530"/>
      <c r="Z1369" s="530"/>
      <c r="AA1369" s="530"/>
      <c r="AB1369" s="530"/>
      <c r="AC1369" s="530"/>
      <c r="AD1369" s="530"/>
      <c r="AE1369" s="530"/>
      <c r="AF1369" s="530"/>
      <c r="AG1369" s="530"/>
      <c r="AH1369" s="530"/>
      <c r="AI1369" s="530"/>
      <c r="AJ1369" s="530"/>
      <c r="AK1369" s="530"/>
      <c r="AL1369" s="530"/>
      <c r="AM1369" s="530"/>
      <c r="AN1369" s="530"/>
      <c r="AO1369" s="530"/>
      <c r="AP1369" s="530"/>
      <c r="AQ1369" s="530"/>
      <c r="AR1369" s="530"/>
      <c r="AS1369" s="530"/>
      <c r="AT1369" s="530"/>
      <c r="AU1369" s="530"/>
      <c r="AV1369" s="530"/>
      <c r="AW1369" s="530"/>
      <c r="AX1369" s="530"/>
      <c r="AY1369" s="530"/>
      <c r="AZ1369" s="530"/>
      <c r="BA1369" s="530"/>
      <c r="BB1369" s="530"/>
      <c r="BC1369" s="530"/>
      <c r="BD1369" s="470"/>
      <c r="BE1369" s="470"/>
      <c r="BF1369" s="470"/>
      <c r="BG1369" s="530"/>
      <c r="BH1369" s="573">
        <f>+BH1308/BH1364</f>
        <v>3.8260385525552387E-2</v>
      </c>
      <c r="BI1369" s="573">
        <f>+BI1308/BI1364</f>
        <v>3.7200689255389288E-2</v>
      </c>
      <c r="BJ1369" s="573">
        <f>+BJ1308/BJ1364</f>
        <v>3.7200689255389288E-2</v>
      </c>
      <c r="BK1369" s="538"/>
      <c r="BL1369" s="573">
        <f>+BL1308/BL1364</f>
        <v>3.6405424510514497E-2</v>
      </c>
      <c r="BM1369" s="573">
        <f>+BM1308/BM1364</f>
        <v>3.6048978395377601E-2</v>
      </c>
      <c r="BN1369" s="573">
        <f>+BN1308/BN1364</f>
        <v>3.6048978395377601E-2</v>
      </c>
      <c r="BO1369" s="538"/>
      <c r="BP1369" s="573">
        <f>+BP1308/BP1364</f>
        <v>3.5513697905524062E-2</v>
      </c>
      <c r="BQ1369" s="573">
        <f>+BQ1308/BQ1364</f>
        <v>3.7054380007464686E-2</v>
      </c>
      <c r="BR1369" s="573">
        <f>+BR1308/BR1364</f>
        <v>3.7054380007464686E-2</v>
      </c>
      <c r="BS1369" s="530"/>
      <c r="BT1369" s="573">
        <f>+BT1308/BT1364</f>
        <v>3.625723223431055E-2</v>
      </c>
      <c r="BU1369" s="573">
        <f>+BU1308/BU1364</f>
        <v>3.6170609531035992E-2</v>
      </c>
      <c r="BV1369" s="573">
        <f>+BV1308/BV1364</f>
        <v>3.6170609531035992E-2</v>
      </c>
      <c r="BW1369" s="530"/>
      <c r="BX1369" s="573">
        <f>+BX1308/BX1364</f>
        <v>3.4734264863435164E-2</v>
      </c>
      <c r="BY1369" s="573">
        <f>+BY1308/BY1364</f>
        <v>3.4568654884986241E-2</v>
      </c>
      <c r="BZ1369" s="573">
        <f>+BZ1308/BZ1364</f>
        <v>3.4568654884986241E-2</v>
      </c>
      <c r="CA1369" s="530"/>
      <c r="CB1369" s="573">
        <f>+CB1308/CB1364</f>
        <v>4.2703731040720221E-2</v>
      </c>
      <c r="CC1369" s="573">
        <f>+CC1308/CC1364</f>
        <v>5.7885588592699697E-2</v>
      </c>
      <c r="CD1369" s="573">
        <f>+CD1308/CD1364</f>
        <v>5.7885588592699697E-2</v>
      </c>
      <c r="CE1369" s="530"/>
      <c r="CF1369" s="573">
        <f>+CF1308/CF1364</f>
        <v>5.7783829544179592E-2</v>
      </c>
      <c r="CG1369" s="573">
        <f>+CG1308/CG1364</f>
        <v>6.1244114195362631E-2</v>
      </c>
      <c r="CH1369" s="573">
        <f>+CH1308/CH1364</f>
        <v>6.1244114195362631E-2</v>
      </c>
      <c r="CI1369" s="530"/>
      <c r="CJ1369" s="573">
        <f>+CJ1308/CJ1364</f>
        <v>6.0733690660374665E-2</v>
      </c>
      <c r="CK1369" s="573">
        <f>+CK1308/CK1364</f>
        <v>5.634035831648565E-2</v>
      </c>
      <c r="CL1369" s="573">
        <f>+CL1308/CL1364</f>
        <v>5.634035831648565E-2</v>
      </c>
      <c r="CM1369" s="530"/>
      <c r="CN1369" s="573">
        <f>+CN1308/CN1364</f>
        <v>4.7198882196333149E-2</v>
      </c>
      <c r="CO1369" s="573">
        <f>+CO1308/CO1364</f>
        <v>4.2312827735763697E-2</v>
      </c>
      <c r="CP1369" s="573">
        <f>+CP1308/CP1364</f>
        <v>4.2312827735763697E-2</v>
      </c>
      <c r="CQ1369" s="530"/>
      <c r="CR1369" s="573">
        <f>+CR1308/CR1364</f>
        <v>4.0076951643441154E-2</v>
      </c>
      <c r="CS1369" s="573">
        <f>+CS1308/CS1364</f>
        <v>3.7787798495795138E-2</v>
      </c>
      <c r="CT1369" s="573">
        <f>+CT1308/CT1364</f>
        <v>3.7787798495795138E-2</v>
      </c>
      <c r="CU1369" s="530"/>
      <c r="CV1369" s="573">
        <f>+CV1308/CV1364</f>
        <v>3.3063324300569477E-2</v>
      </c>
      <c r="CW1369" s="573">
        <f>+CW1308/CW1364</f>
        <v>3.4457208147726445E-2</v>
      </c>
      <c r="CX1369" s="573">
        <f>+CX1308/CX1364</f>
        <v>3.4457208147726445E-2</v>
      </c>
      <c r="CY1369" s="530"/>
      <c r="CZ1369" s="573">
        <f>+CZ1308/CZ1364</f>
        <v>3.5247721535554548E-2</v>
      </c>
      <c r="DA1369" s="573">
        <f>+DA1308/DA1364</f>
        <v>3.5863057741317116E-2</v>
      </c>
      <c r="DB1369" s="573">
        <f>+DB1308/DB1364</f>
        <v>3.5863057741317116E-2</v>
      </c>
      <c r="DC1369" s="530"/>
      <c r="DD1369" s="573">
        <f>+DD1308/DD1364</f>
        <v>3.6394037442513405E-2</v>
      </c>
      <c r="DE1369" s="573">
        <f>+DE1308/DE1364</f>
        <v>3.5178043417080376E-2</v>
      </c>
      <c r="DF1369" s="573">
        <f>+DF1308/DF1364</f>
        <v>3.5178043417080376E-2</v>
      </c>
      <c r="DG1369" s="530"/>
      <c r="DH1369" s="573">
        <f>+DH1308/DH1364</f>
        <v>3.6231976648437456E-2</v>
      </c>
      <c r="DI1369" s="494">
        <f>DH1369</f>
        <v>3.6231976648437456E-2</v>
      </c>
      <c r="DJ1369" s="573">
        <f ca="1">+DJ1308/DJ1364</f>
        <v>3.6231976648437456E-2</v>
      </c>
      <c r="DK1369" s="530"/>
      <c r="DL1369" s="494">
        <f>DI1369</f>
        <v>3.6231976648437456E-2</v>
      </c>
      <c r="DM1369" s="494">
        <f>DL1369</f>
        <v>3.6231976648437456E-2</v>
      </c>
      <c r="DN1369" s="573">
        <f ca="1">+DN1308/DN1364</f>
        <v>3.6231976648437456E-2</v>
      </c>
      <c r="DO1369" s="530"/>
      <c r="DP1369" s="494">
        <f>DM1369</f>
        <v>3.6231976648437456E-2</v>
      </c>
      <c r="DQ1369" s="494">
        <f>DP1369</f>
        <v>3.6231976648437456E-2</v>
      </c>
      <c r="DR1369" s="573">
        <f ca="1">+DR1308/DR1364</f>
        <v>3.6231976648437456E-2</v>
      </c>
      <c r="DS1369" s="530"/>
      <c r="DT1369"/>
      <c r="DU1369"/>
      <c r="DV1369" s="1"/>
      <c r="DW1369" s="1"/>
      <c r="DX1369" s="1"/>
      <c r="DY1369" s="1"/>
      <c r="DZ1369" s="1"/>
      <c r="EA1369" s="1"/>
      <c r="EB1369" s="1"/>
      <c r="EC1369" s="1"/>
      <c r="ED1369" s="1"/>
      <c r="EE1369" s="1"/>
      <c r="EF1369" s="1"/>
      <c r="EG1369" s="1"/>
      <c r="EH1369" s="1"/>
      <c r="EI1369" s="1"/>
      <c r="EJ1369" s="1"/>
      <c r="EK1369" s="1"/>
      <c r="EL1369" s="1"/>
      <c r="EM1369" s="1"/>
      <c r="EN1369" s="1"/>
      <c r="EO1369" s="1"/>
      <c r="EP1369" s="1"/>
      <c r="EQ1369" s="1"/>
      <c r="ER1369" s="1"/>
      <c r="ES1369" s="1"/>
      <c r="ET1369" s="1"/>
      <c r="EU1369" s="1"/>
      <c r="EV1369" s="1"/>
      <c r="EW1369" s="1"/>
      <c r="EX1369" s="1"/>
      <c r="EY1369" s="1"/>
      <c r="EZ1369" s="1"/>
      <c r="FA1369" s="1"/>
      <c r="FB1369" s="1"/>
      <c r="FC1369" s="1"/>
      <c r="FD1369" s="1"/>
      <c r="FE1369" s="1"/>
      <c r="FF1369" s="1"/>
      <c r="FG1369" s="1"/>
      <c r="FH1369" s="1"/>
      <c r="FI1369" s="1"/>
      <c r="FJ1369" s="1"/>
      <c r="FK1369" s="1"/>
      <c r="FL1369" s="1"/>
      <c r="FM1369" s="1"/>
      <c r="FN1369" s="1"/>
      <c r="FO1369" s="1"/>
      <c r="FP1369" s="1"/>
      <c r="FQ1369" s="1"/>
      <c r="FR1369" s="1"/>
      <c r="FS1369" s="1"/>
      <c r="FT1369" s="1"/>
      <c r="FU1369" s="1"/>
      <c r="FV1369" s="1"/>
      <c r="FW1369" s="1"/>
      <c r="FX1369" s="1"/>
      <c r="FY1369" s="1"/>
      <c r="FZ1369" s="1"/>
      <c r="GA1369" s="1"/>
      <c r="GB1369" s="1"/>
      <c r="GC1369" s="1"/>
      <c r="GD1369" s="1"/>
      <c r="GE1369" s="1"/>
      <c r="GF1369" s="1"/>
      <c r="GG1369" s="1"/>
      <c r="GH1369" s="1"/>
      <c r="GI1369" s="1"/>
      <c r="GJ1369" s="1"/>
      <c r="GK1369" s="1"/>
      <c r="GL1369" s="1"/>
      <c r="GM1369" s="1"/>
      <c r="GN1369" s="1"/>
      <c r="GO1369" s="1"/>
      <c r="GP1369" s="1"/>
      <c r="GQ1369" s="1"/>
      <c r="GR1369" s="1"/>
      <c r="GS1369" s="1"/>
      <c r="GT1369" s="1"/>
      <c r="GU1369" s="1"/>
      <c r="GV1369" s="1"/>
      <c r="GW1369" s="1"/>
      <c r="GX1369" s="1"/>
      <c r="GY1369" s="1"/>
      <c r="GZ1369" s="1"/>
      <c r="HA1369" s="1"/>
      <c r="HB1369" s="1"/>
      <c r="HC1369" s="1"/>
      <c r="HD1369" s="1"/>
      <c r="HE1369" s="1"/>
      <c r="HF1369" s="1"/>
      <c r="HG1369" s="1"/>
      <c r="HH1369" s="1"/>
      <c r="HI1369" s="1"/>
      <c r="HJ1369" s="1"/>
      <c r="HK1369" s="1"/>
      <c r="HL1369" s="1"/>
      <c r="HM1369" s="1"/>
      <c r="HN1369" s="1"/>
      <c r="HO1369" s="1"/>
      <c r="HP1369" s="1"/>
      <c r="HQ1369" s="1"/>
      <c r="HR1369" s="1"/>
      <c r="HS1369" s="1"/>
      <c r="HT1369" s="1"/>
      <c r="HU1369" s="1"/>
      <c r="HV1369" s="1"/>
      <c r="HW1369" s="1"/>
      <c r="HX1369" s="1"/>
      <c r="HY1369" s="1"/>
      <c r="HZ1369" s="1"/>
      <c r="IA1369" s="1"/>
      <c r="IB1369" s="1"/>
      <c r="IC1369" s="1"/>
      <c r="ID1369" s="1"/>
      <c r="IE1369" s="1"/>
      <c r="IF1369" s="1"/>
      <c r="IG1369" s="1"/>
      <c r="IH1369" s="1"/>
      <c r="II1369" s="1"/>
      <c r="IJ1369" s="1"/>
      <c r="IK1369" s="1"/>
      <c r="IL1369" s="1"/>
      <c r="IM1369" s="1"/>
      <c r="IN1369" s="1"/>
      <c r="IO1369" s="1"/>
      <c r="IP1369" s="1"/>
      <c r="IQ1369" s="1"/>
      <c r="IR1369" s="1"/>
      <c r="IS1369" s="1"/>
      <c r="IT1369" s="1"/>
      <c r="IU1369" s="1"/>
      <c r="IV1369" s="1"/>
      <c r="IW1369" s="1"/>
      <c r="IX1369" s="1"/>
      <c r="IY1369" s="1"/>
      <c r="IZ1369" s="1"/>
      <c r="JA1369" s="1"/>
      <c r="JB1369" s="1"/>
      <c r="JC1369" s="1"/>
      <c r="JD1369" s="1"/>
    </row>
    <row r="1370" spans="1:264" s="424" customFormat="1" ht="15" x14ac:dyDescent="0.25">
      <c r="A1370" s="424" t="s">
        <v>905</v>
      </c>
      <c r="B1370" s="536"/>
      <c r="BD1370" s="481"/>
      <c r="BE1370" s="481"/>
      <c r="BF1370" s="428"/>
      <c r="BH1370" s="481">
        <f>+BH1310/BH1364</f>
        <v>0.43609722189528138</v>
      </c>
      <c r="BI1370" s="481">
        <f>+BI1310/BI1364</f>
        <v>0.43663188111273094</v>
      </c>
      <c r="BJ1370" s="428">
        <f>BI1370</f>
        <v>0.43663188111273094</v>
      </c>
      <c r="BK1370" s="536"/>
      <c r="BL1370" s="481">
        <f>+BL1310/BL1364</f>
        <v>0.42719745980127855</v>
      </c>
      <c r="BM1370" s="481">
        <f>+BM1310/BM1364</f>
        <v>0.42670361146805047</v>
      </c>
      <c r="BN1370" s="428">
        <f>BM1370</f>
        <v>0.42670361146805047</v>
      </c>
      <c r="BO1370" s="536"/>
      <c r="BP1370" s="481">
        <f>+BP1310/BP1364</f>
        <v>0.41500198656657822</v>
      </c>
      <c r="BQ1370" s="481">
        <f>+BQ1310/BQ1364</f>
        <v>0.4221451583726985</v>
      </c>
      <c r="BR1370" s="428">
        <f>BQ1370</f>
        <v>0.4221451583726985</v>
      </c>
      <c r="BT1370" s="481">
        <f>+BT1310/BT1364</f>
        <v>0.43480552556542923</v>
      </c>
      <c r="BU1370" s="481">
        <f>+BU1310/BU1364</f>
        <v>0.4229732133862335</v>
      </c>
      <c r="BV1370" s="428">
        <f>BU1370</f>
        <v>0.4229732133862335</v>
      </c>
      <c r="BX1370" s="481">
        <f>+BX1310/BX1364</f>
        <v>0.44921027146243092</v>
      </c>
      <c r="BY1370" s="481">
        <f>+BY1310/BY1364</f>
        <v>0.4476645928887924</v>
      </c>
      <c r="BZ1370" s="428">
        <f>BY1370</f>
        <v>0.4476645928887924</v>
      </c>
      <c r="CB1370" s="481">
        <f>+CB1310/CB1364</f>
        <v>0.45828282723275082</v>
      </c>
      <c r="CC1370" s="481">
        <f>+CC1310/CC1364</f>
        <v>0.47029169422610534</v>
      </c>
      <c r="CD1370" s="428">
        <f>CC1370</f>
        <v>0.47029169422610534</v>
      </c>
      <c r="CF1370" s="481">
        <f>+CF1310/CF1364</f>
        <v>0.45402935446691756</v>
      </c>
      <c r="CG1370" s="481">
        <f>+CG1310/CG1364</f>
        <v>0.46365701247923713</v>
      </c>
      <c r="CH1370" s="428">
        <f>CG1370</f>
        <v>0.46365701247923713</v>
      </c>
      <c r="CJ1370" s="481">
        <f>+CJ1310/CJ1364</f>
        <v>0.45838214943237254</v>
      </c>
      <c r="CK1370" s="481">
        <f>+CK1310/CK1364</f>
        <v>0.44801673312187151</v>
      </c>
      <c r="CL1370" s="428">
        <f>CK1370</f>
        <v>0.44801673312187151</v>
      </c>
      <c r="CN1370" s="481">
        <f>+CN1310/CN1364</f>
        <v>0.42825475349785691</v>
      </c>
      <c r="CO1370" s="481">
        <f>+CO1310/CO1364</f>
        <v>0.41272498493537318</v>
      </c>
      <c r="CP1370" s="428">
        <f>CO1370</f>
        <v>0.41272498493537318</v>
      </c>
      <c r="CR1370" s="481">
        <f>+CR1310/CR1364</f>
        <v>0.41043804514299281</v>
      </c>
      <c r="CS1370" s="481">
        <f>+CS1310/CS1364</f>
        <v>0.40969998189687801</v>
      </c>
      <c r="CT1370" s="428">
        <f>CS1370</f>
        <v>0.40969998189687801</v>
      </c>
      <c r="CV1370" s="481">
        <f>+CV1310/CV1364</f>
        <v>0.40933921233974552</v>
      </c>
      <c r="CW1370" s="481">
        <f>+CW1310/CW1364</f>
        <v>0.3736692794686779</v>
      </c>
      <c r="CX1370" s="428">
        <f>CW1370</f>
        <v>0.3736692794686779</v>
      </c>
      <c r="CZ1370" s="481">
        <f>+CZ1310/CZ1364</f>
        <v>0.3633661946332552</v>
      </c>
      <c r="DA1370" s="481">
        <f>+DA1310/DA1364</f>
        <v>0.37282509194020141</v>
      </c>
      <c r="DB1370" s="428">
        <f>DA1370</f>
        <v>0.37282509194020141</v>
      </c>
      <c r="DD1370" s="481">
        <f>+DD1310/DD1364</f>
        <v>0.36862412748000484</v>
      </c>
      <c r="DE1370" s="481">
        <f>+DE1310/DE1364</f>
        <v>0.36648350309019284</v>
      </c>
      <c r="DF1370" s="428">
        <f>DE1370</f>
        <v>0.36648350309019284</v>
      </c>
      <c r="DH1370" s="481">
        <f>+DH1310/DH1364</f>
        <v>0.35869947924652595</v>
      </c>
      <c r="DI1370" s="481">
        <f ca="1">+DI1310/DI1364</f>
        <v>0.35787270763206935</v>
      </c>
      <c r="DJ1370" s="428">
        <f ca="1">DI1370</f>
        <v>0.35787270763206935</v>
      </c>
      <c r="DL1370" s="481">
        <f ca="1">+DL1310/DL1364</f>
        <v>0.3573005611258564</v>
      </c>
      <c r="DM1370" s="481">
        <f ca="1">+DM1310/DM1364</f>
        <v>0.35776713612808464</v>
      </c>
      <c r="DN1370" s="428">
        <f ca="1">DM1370</f>
        <v>0.35776713612808464</v>
      </c>
      <c r="DP1370" s="481">
        <f ca="1">+DP1310/DP1364</f>
        <v>0.35761846802646713</v>
      </c>
      <c r="DQ1370" s="481">
        <f ca="1">+DQ1310/DQ1364</f>
        <v>0.35791912842693646</v>
      </c>
      <c r="DR1370" s="428">
        <f ca="1">DQ1370</f>
        <v>0.35791912842693646</v>
      </c>
      <c r="DT1370"/>
      <c r="DU1370"/>
      <c r="DV1370" s="1"/>
      <c r="DW1370" s="1"/>
      <c r="DX1370" s="1"/>
      <c r="DY1370" s="1"/>
      <c r="DZ1370" s="1"/>
      <c r="EA1370" s="1"/>
      <c r="EB1370" s="1"/>
      <c r="EC1370" s="1"/>
      <c r="ED1370" s="1"/>
      <c r="EE1370" s="1"/>
      <c r="EF1370" s="1"/>
      <c r="EG1370" s="1"/>
      <c r="EH1370" s="1"/>
      <c r="EI1370" s="1"/>
      <c r="EJ1370" s="1"/>
      <c r="EK1370" s="1"/>
      <c r="EL1370" s="1"/>
      <c r="EM1370" s="1"/>
      <c r="EN1370" s="1"/>
      <c r="EO1370" s="1"/>
      <c r="EP1370" s="1"/>
      <c r="EQ1370" s="1"/>
      <c r="ER1370" s="1"/>
      <c r="ES1370" s="1"/>
      <c r="ET1370" s="1"/>
      <c r="EU1370" s="1"/>
      <c r="EV1370" s="1"/>
      <c r="EW1370" s="1"/>
      <c r="EX1370" s="1"/>
      <c r="EY1370" s="1"/>
      <c r="EZ1370" s="1"/>
      <c r="FA1370" s="1"/>
      <c r="FB1370" s="1"/>
      <c r="FC1370" s="1"/>
      <c r="FD1370" s="1"/>
      <c r="FE1370" s="1"/>
      <c r="FF1370" s="1"/>
      <c r="FG1370" s="1"/>
      <c r="FH1370" s="1"/>
      <c r="FI1370" s="1"/>
      <c r="FJ1370" s="1"/>
      <c r="FK1370" s="1"/>
      <c r="FL1370" s="1"/>
      <c r="FM1370" s="1"/>
      <c r="FN1370" s="1"/>
      <c r="FO1370" s="1"/>
      <c r="FP1370" s="1"/>
      <c r="FQ1370" s="1"/>
      <c r="FR1370" s="1"/>
      <c r="FS1370" s="1"/>
      <c r="FT1370" s="1"/>
      <c r="FU1370" s="1"/>
      <c r="FV1370" s="1"/>
      <c r="FW1370" s="1"/>
      <c r="FX1370" s="1"/>
      <c r="FY1370" s="1"/>
      <c r="FZ1370" s="1"/>
      <c r="GA1370" s="1"/>
      <c r="GB1370" s="1"/>
      <c r="GC1370" s="1"/>
      <c r="GD1370" s="1"/>
      <c r="GE1370" s="1"/>
      <c r="GF1370" s="1"/>
      <c r="GG1370" s="1"/>
      <c r="GH1370" s="1"/>
      <c r="GI1370" s="1"/>
      <c r="GJ1370" s="1"/>
      <c r="GK1370" s="1"/>
      <c r="GL1370" s="1"/>
      <c r="GM1370" s="1"/>
      <c r="GN1370" s="1"/>
      <c r="GO1370" s="1"/>
      <c r="GP1370" s="1"/>
      <c r="GQ1370" s="1"/>
      <c r="GR1370" s="1"/>
      <c r="GS1370" s="1"/>
      <c r="GT1370" s="1"/>
      <c r="GU1370" s="1"/>
      <c r="GV1370" s="1"/>
      <c r="GW1370" s="1"/>
      <c r="GX1370" s="1"/>
      <c r="GY1370" s="1"/>
      <c r="GZ1370" s="1"/>
      <c r="HA1370" s="1"/>
      <c r="HB1370" s="1"/>
      <c r="HC1370" s="1"/>
      <c r="HD1370" s="1"/>
      <c r="HE1370" s="1"/>
      <c r="HF1370" s="1"/>
      <c r="HG1370" s="1"/>
      <c r="HH1370" s="1"/>
      <c r="HI1370" s="1"/>
      <c r="HJ1370" s="1"/>
      <c r="HK1370" s="1"/>
      <c r="HL1370" s="1"/>
      <c r="HM1370" s="1"/>
      <c r="HN1370" s="1"/>
      <c r="HO1370" s="1"/>
      <c r="HP1370" s="1"/>
      <c r="HQ1370" s="1"/>
      <c r="HR1370" s="1"/>
      <c r="HS1370" s="1"/>
      <c r="HT1370" s="1"/>
      <c r="HU1370" s="1"/>
      <c r="HV1370" s="1"/>
      <c r="HW1370" s="1"/>
      <c r="HX1370" s="1"/>
      <c r="HY1370" s="1"/>
      <c r="HZ1370" s="1"/>
      <c r="IA1370" s="1"/>
      <c r="IB1370" s="1"/>
      <c r="IC1370" s="1"/>
      <c r="ID1370" s="1"/>
      <c r="IE1370" s="1"/>
      <c r="IF1370" s="1"/>
      <c r="IG1370" s="1"/>
      <c r="IH1370" s="1"/>
      <c r="II1370" s="1"/>
      <c r="IJ1370" s="1"/>
      <c r="IK1370" s="1"/>
      <c r="IL1370" s="1"/>
      <c r="IM1370" s="1"/>
      <c r="IN1370" s="1"/>
      <c r="IO1370" s="1"/>
      <c r="IP1370" s="1"/>
      <c r="IQ1370" s="1"/>
      <c r="IR1370" s="1"/>
      <c r="IS1370" s="1"/>
      <c r="IT1370" s="1"/>
      <c r="IU1370" s="1"/>
      <c r="IV1370" s="1"/>
      <c r="IW1370" s="1"/>
      <c r="IX1370" s="1"/>
      <c r="IY1370" s="1"/>
      <c r="IZ1370" s="1"/>
      <c r="JA1370" s="1"/>
      <c r="JB1370" s="1"/>
      <c r="JC1370" s="1"/>
      <c r="JD1370" s="1"/>
    </row>
    <row r="1371" spans="1:264" s="424" customFormat="1" ht="15" x14ac:dyDescent="0.25">
      <c r="B1371" s="536"/>
      <c r="BD1371" s="481"/>
      <c r="BE1371" s="481"/>
      <c r="BF1371" s="428"/>
      <c r="BH1371" s="481"/>
      <c r="BI1371" s="481"/>
      <c r="BJ1371" s="428"/>
      <c r="BK1371" s="536"/>
      <c r="BL1371" s="481"/>
      <c r="BM1371" s="481"/>
      <c r="BN1371" s="428"/>
      <c r="BO1371" s="536"/>
      <c r="BP1371" s="481"/>
      <c r="BQ1371" s="481"/>
      <c r="BR1371" s="428"/>
      <c r="BT1371" s="481"/>
      <c r="BU1371" s="481"/>
      <c r="BV1371" s="428"/>
      <c r="BX1371" s="481"/>
      <c r="BY1371" s="481"/>
      <c r="BZ1371" s="428"/>
      <c r="CB1371" s="481"/>
      <c r="CC1371" s="481"/>
      <c r="CD1371" s="428"/>
      <c r="CF1371" s="481"/>
      <c r="CG1371" s="481"/>
      <c r="CH1371" s="428"/>
      <c r="CJ1371" s="481"/>
      <c r="CK1371" s="481"/>
      <c r="CL1371" s="428"/>
      <c r="CN1371" s="481"/>
      <c r="CO1371" s="481"/>
      <c r="CP1371" s="428"/>
      <c r="CR1371" s="481"/>
      <c r="CS1371" s="481"/>
      <c r="CT1371" s="428"/>
      <c r="CV1371" s="481"/>
      <c r="CW1371" s="481"/>
      <c r="CX1371" s="428"/>
      <c r="CZ1371" s="481"/>
      <c r="DA1371" s="481"/>
      <c r="DB1371" s="428"/>
      <c r="DD1371" s="481"/>
      <c r="DE1371" s="481"/>
      <c r="DF1371" s="428"/>
      <c r="DH1371" s="481"/>
      <c r="DI1371" s="481"/>
      <c r="DJ1371" s="428"/>
      <c r="DL1371" s="481"/>
      <c r="DM1371" s="481"/>
      <c r="DN1371" s="428"/>
      <c r="DP1371" s="481"/>
      <c r="DQ1371" s="481"/>
      <c r="DR1371" s="428"/>
      <c r="DT1371"/>
      <c r="DU1371"/>
      <c r="DV1371" s="1"/>
      <c r="DW1371" s="1"/>
      <c r="DX1371" s="1"/>
      <c r="DY1371" s="1"/>
      <c r="DZ1371" s="1"/>
      <c r="EA1371" s="1"/>
      <c r="EB1371" s="1"/>
      <c r="EC1371" s="1"/>
      <c r="ED1371" s="1"/>
      <c r="EE1371" s="1"/>
      <c r="EF1371" s="1"/>
      <c r="EG1371" s="1"/>
      <c r="EH1371" s="1"/>
      <c r="EI1371" s="1"/>
      <c r="EJ1371" s="1"/>
      <c r="EK1371" s="1"/>
      <c r="EL1371" s="1"/>
      <c r="EM1371" s="1"/>
      <c r="EN1371" s="1"/>
      <c r="EO1371" s="1"/>
      <c r="EP1371" s="1"/>
      <c r="EQ1371" s="1"/>
      <c r="ER1371" s="1"/>
      <c r="ES1371" s="1"/>
      <c r="ET1371" s="1"/>
      <c r="EU1371" s="1"/>
      <c r="EV1371" s="1"/>
      <c r="EW1371" s="1"/>
      <c r="EX1371" s="1"/>
      <c r="EY1371" s="1"/>
      <c r="EZ1371" s="1"/>
      <c r="FA1371" s="1"/>
      <c r="FB1371" s="1"/>
      <c r="FC1371" s="1"/>
      <c r="FD1371" s="1"/>
      <c r="FE1371" s="1"/>
      <c r="FF1371" s="1"/>
      <c r="FG1371" s="1"/>
      <c r="FH1371" s="1"/>
      <c r="FI1371" s="1"/>
      <c r="FJ1371" s="1"/>
      <c r="FK1371" s="1"/>
      <c r="FL1371" s="1"/>
      <c r="FM1371" s="1"/>
      <c r="FN1371" s="1"/>
      <c r="FO1371" s="1"/>
      <c r="FP1371" s="1"/>
      <c r="FQ1371" s="1"/>
      <c r="FR1371" s="1"/>
      <c r="FS1371" s="1"/>
      <c r="FT1371" s="1"/>
      <c r="FU1371" s="1"/>
      <c r="FV1371" s="1"/>
      <c r="FW1371" s="1"/>
      <c r="FX1371" s="1"/>
      <c r="FY1371" s="1"/>
      <c r="FZ1371" s="1"/>
      <c r="GA1371" s="1"/>
      <c r="GB1371" s="1"/>
      <c r="GC1371" s="1"/>
      <c r="GD1371" s="1"/>
      <c r="GE1371" s="1"/>
      <c r="GF1371" s="1"/>
      <c r="GG1371" s="1"/>
      <c r="GH1371" s="1"/>
      <c r="GI1371" s="1"/>
      <c r="GJ1371" s="1"/>
      <c r="GK1371" s="1"/>
      <c r="GL1371" s="1"/>
      <c r="GM1371" s="1"/>
      <c r="GN1371" s="1"/>
      <c r="GO1371" s="1"/>
      <c r="GP1371" s="1"/>
      <c r="GQ1371" s="1"/>
      <c r="GR1371" s="1"/>
      <c r="GS1371" s="1"/>
      <c r="GT1371" s="1"/>
      <c r="GU1371" s="1"/>
      <c r="GV1371" s="1"/>
      <c r="GW1371" s="1"/>
      <c r="GX1371" s="1"/>
      <c r="GY1371" s="1"/>
      <c r="GZ1371" s="1"/>
      <c r="HA1371" s="1"/>
      <c r="HB1371" s="1"/>
      <c r="HC1371" s="1"/>
      <c r="HD1371" s="1"/>
      <c r="HE1371" s="1"/>
      <c r="HF1371" s="1"/>
      <c r="HG1371" s="1"/>
      <c r="HH1371" s="1"/>
      <c r="HI1371" s="1"/>
      <c r="HJ1371" s="1"/>
      <c r="HK1371" s="1"/>
      <c r="HL1371" s="1"/>
      <c r="HM1371" s="1"/>
      <c r="HN1371" s="1"/>
      <c r="HO1371" s="1"/>
      <c r="HP1371" s="1"/>
      <c r="HQ1371" s="1"/>
      <c r="HR1371" s="1"/>
      <c r="HS1371" s="1"/>
      <c r="HT1371" s="1"/>
      <c r="HU1371" s="1"/>
      <c r="HV1371" s="1"/>
      <c r="HW1371" s="1"/>
      <c r="HX1371" s="1"/>
      <c r="HY1371" s="1"/>
      <c r="HZ1371" s="1"/>
      <c r="IA1371" s="1"/>
      <c r="IB1371" s="1"/>
      <c r="IC1371" s="1"/>
      <c r="ID1371" s="1"/>
      <c r="IE1371" s="1"/>
      <c r="IF1371" s="1"/>
      <c r="IG1371" s="1"/>
      <c r="IH1371" s="1"/>
      <c r="II1371" s="1"/>
      <c r="IJ1371" s="1"/>
      <c r="IK1371" s="1"/>
      <c r="IL1371" s="1"/>
      <c r="IM1371" s="1"/>
      <c r="IN1371" s="1"/>
      <c r="IO1371" s="1"/>
      <c r="IP1371" s="1"/>
      <c r="IQ1371" s="1"/>
      <c r="IR1371" s="1"/>
      <c r="IS1371" s="1"/>
      <c r="IT1371" s="1"/>
      <c r="IU1371" s="1"/>
      <c r="IV1371" s="1"/>
      <c r="IW1371" s="1"/>
      <c r="IX1371" s="1"/>
      <c r="IY1371" s="1"/>
      <c r="IZ1371" s="1"/>
      <c r="JA1371" s="1"/>
      <c r="JB1371" s="1"/>
      <c r="JC1371" s="1"/>
      <c r="JD1371" s="1"/>
    </row>
    <row r="1372" spans="1:264" s="424" customFormat="1" ht="15" x14ac:dyDescent="0.25">
      <c r="A1372" s="1500" t="s">
        <v>1165</v>
      </c>
      <c r="B1372" s="536"/>
      <c r="BD1372" s="481"/>
      <c r="BE1372" s="481"/>
      <c r="BF1372" s="428"/>
      <c r="BH1372" s="481"/>
      <c r="BI1372" s="481"/>
      <c r="BJ1372" s="428"/>
      <c r="BK1372" s="536"/>
      <c r="BL1372" s="481"/>
      <c r="BM1372" s="481"/>
      <c r="BN1372" s="428"/>
      <c r="BO1372" s="536"/>
      <c r="BP1372" s="481"/>
      <c r="BQ1372" s="481"/>
      <c r="BR1372" s="428"/>
      <c r="BT1372" s="481"/>
      <c r="BU1372" s="481"/>
      <c r="BV1372" s="428"/>
      <c r="BX1372" s="481"/>
      <c r="BY1372" s="481"/>
      <c r="BZ1372" s="428"/>
      <c r="CB1372" s="481"/>
      <c r="CC1372" s="481"/>
      <c r="CD1372" s="428"/>
      <c r="CF1372" s="481"/>
      <c r="CG1372" s="481"/>
      <c r="CH1372" s="428"/>
      <c r="CJ1372" s="481"/>
      <c r="CK1372" s="481"/>
      <c r="CL1372" s="428"/>
      <c r="CN1372" s="481"/>
      <c r="CO1372" s="481"/>
      <c r="CP1372" s="428"/>
      <c r="CR1372" s="481"/>
      <c r="CS1372" s="481"/>
      <c r="CT1372" s="428"/>
      <c r="CV1372" s="481"/>
      <c r="CW1372" s="481"/>
      <c r="CX1372" s="428"/>
      <c r="CZ1372" s="481"/>
      <c r="DA1372" s="481"/>
      <c r="DB1372" s="428"/>
      <c r="DD1372" s="481"/>
      <c r="DE1372" s="481"/>
      <c r="DF1372" s="428"/>
      <c r="DH1372" s="481"/>
      <c r="DI1372" s="481"/>
      <c r="DJ1372" s="428"/>
      <c r="DL1372" s="481"/>
      <c r="DM1372" s="481"/>
      <c r="DN1372" s="428"/>
      <c r="DP1372" s="481"/>
      <c r="DQ1372" s="481"/>
      <c r="DR1372" s="428"/>
      <c r="DT1372"/>
      <c r="DU1372"/>
      <c r="DV1372" s="1"/>
      <c r="DW1372" s="1"/>
      <c r="DX1372" s="1"/>
      <c r="DY1372" s="1"/>
      <c r="DZ1372" s="1"/>
      <c r="EA1372" s="1"/>
      <c r="EB1372" s="1"/>
      <c r="EC1372" s="1"/>
      <c r="ED1372" s="1"/>
      <c r="EE1372" s="1"/>
      <c r="EF1372" s="1"/>
      <c r="EG1372" s="1"/>
      <c r="EH1372" s="1"/>
      <c r="EI1372" s="1"/>
      <c r="EJ1372" s="1"/>
      <c r="EK1372" s="1"/>
      <c r="EL1372" s="1"/>
      <c r="EM1372" s="1"/>
      <c r="EN1372" s="1"/>
      <c r="EO1372" s="1"/>
      <c r="EP1372" s="1"/>
      <c r="EQ1372" s="1"/>
      <c r="ER1372" s="1"/>
      <c r="ES1372" s="1"/>
      <c r="ET1372" s="1"/>
      <c r="EU1372" s="1"/>
      <c r="EV1372" s="1"/>
      <c r="EW1372" s="1"/>
      <c r="EX1372" s="1"/>
      <c r="EY1372" s="1"/>
      <c r="EZ1372" s="1"/>
      <c r="FA1372" s="1"/>
      <c r="FB1372" s="1"/>
      <c r="FC1372" s="1"/>
      <c r="FD1372" s="1"/>
      <c r="FE1372" s="1"/>
      <c r="FF1372" s="1"/>
      <c r="FG1372" s="1"/>
      <c r="FH1372" s="1"/>
      <c r="FI1372" s="1"/>
      <c r="FJ1372" s="1"/>
      <c r="FK1372" s="1"/>
      <c r="FL1372" s="1"/>
      <c r="FM1372" s="1"/>
      <c r="FN1372" s="1"/>
      <c r="FO1372" s="1"/>
      <c r="FP1372" s="1"/>
      <c r="FQ1372" s="1"/>
      <c r="FR1372" s="1"/>
      <c r="FS1372" s="1"/>
      <c r="FT1372" s="1"/>
      <c r="FU1372" s="1"/>
      <c r="FV1372" s="1"/>
      <c r="FW1372" s="1"/>
      <c r="FX1372" s="1"/>
      <c r="FY1372" s="1"/>
      <c r="FZ1372" s="1"/>
      <c r="GA1372" s="1"/>
      <c r="GB1372" s="1"/>
      <c r="GC1372" s="1"/>
      <c r="GD1372" s="1"/>
      <c r="GE1372" s="1"/>
      <c r="GF1372" s="1"/>
      <c r="GG1372" s="1"/>
      <c r="GH1372" s="1"/>
      <c r="GI1372" s="1"/>
      <c r="GJ1372" s="1"/>
      <c r="GK1372" s="1"/>
      <c r="GL1372" s="1"/>
      <c r="GM1372" s="1"/>
      <c r="GN1372" s="1"/>
      <c r="GO1372" s="1"/>
      <c r="GP1372" s="1"/>
      <c r="GQ1372" s="1"/>
      <c r="GR1372" s="1"/>
      <c r="GS1372" s="1"/>
      <c r="GT1372" s="1"/>
      <c r="GU1372" s="1"/>
      <c r="GV1372" s="1"/>
      <c r="GW1372" s="1"/>
      <c r="GX1372" s="1"/>
      <c r="GY1372" s="1"/>
      <c r="GZ1372" s="1"/>
      <c r="HA1372" s="1"/>
      <c r="HB1372" s="1"/>
      <c r="HC1372" s="1"/>
      <c r="HD1372" s="1"/>
      <c r="HE1372" s="1"/>
      <c r="HF1372" s="1"/>
      <c r="HG1372" s="1"/>
      <c r="HH1372" s="1"/>
      <c r="HI1372" s="1"/>
      <c r="HJ1372" s="1"/>
      <c r="HK1372" s="1"/>
      <c r="HL1372" s="1"/>
      <c r="HM1372" s="1"/>
      <c r="HN1372" s="1"/>
      <c r="HO1372" s="1"/>
      <c r="HP1372" s="1"/>
      <c r="HQ1372" s="1"/>
      <c r="HR1372" s="1"/>
      <c r="HS1372" s="1"/>
      <c r="HT1372" s="1"/>
      <c r="HU1372" s="1"/>
      <c r="HV1372" s="1"/>
      <c r="HW1372" s="1"/>
      <c r="HX1372" s="1"/>
      <c r="HY1372" s="1"/>
      <c r="HZ1372" s="1"/>
      <c r="IA1372" s="1"/>
      <c r="IB1372" s="1"/>
      <c r="IC1372" s="1"/>
      <c r="ID1372" s="1"/>
      <c r="IE1372" s="1"/>
      <c r="IF1372" s="1"/>
      <c r="IG1372" s="1"/>
      <c r="IH1372" s="1"/>
      <c r="II1372" s="1"/>
      <c r="IJ1372" s="1"/>
      <c r="IK1372" s="1"/>
      <c r="IL1372" s="1"/>
      <c r="IM1372" s="1"/>
      <c r="IN1372" s="1"/>
      <c r="IO1372" s="1"/>
      <c r="IP1372" s="1"/>
      <c r="IQ1372" s="1"/>
      <c r="IR1372" s="1"/>
      <c r="IS1372" s="1"/>
      <c r="IT1372" s="1"/>
      <c r="IU1372" s="1"/>
      <c r="IV1372" s="1"/>
      <c r="IW1372" s="1"/>
      <c r="IX1372" s="1"/>
      <c r="IY1372" s="1"/>
      <c r="IZ1372" s="1"/>
      <c r="JA1372" s="1"/>
      <c r="JB1372" s="1"/>
      <c r="JC1372" s="1"/>
      <c r="JD1372" s="1"/>
    </row>
    <row r="1373" spans="1:264" s="424" customFormat="1" ht="15" x14ac:dyDescent="0.25">
      <c r="A1373" s="1343" t="s">
        <v>1166</v>
      </c>
      <c r="B1373" s="536"/>
      <c r="BD1373" s="481"/>
      <c r="BE1373" s="481"/>
      <c r="BF1373" s="428"/>
      <c r="BH1373" s="481"/>
      <c r="BI1373" s="481"/>
      <c r="BJ1373" s="428"/>
      <c r="BK1373" s="536"/>
      <c r="BL1373" s="481"/>
      <c r="BM1373" s="481"/>
      <c r="BN1373" s="428"/>
      <c r="BO1373" s="536"/>
      <c r="BP1373" s="481"/>
      <c r="BQ1373" s="481"/>
      <c r="BR1373" s="428"/>
      <c r="BT1373" s="481"/>
      <c r="BU1373" s="481"/>
      <c r="BV1373" s="428"/>
      <c r="BX1373" s="481"/>
      <c r="BY1373" s="481"/>
      <c r="BZ1373" s="428"/>
      <c r="CB1373" s="481"/>
      <c r="CC1373" s="481"/>
      <c r="CD1373" s="428"/>
      <c r="CF1373" s="481"/>
      <c r="CG1373" s="481"/>
      <c r="CH1373" s="428"/>
      <c r="CJ1373" s="481"/>
      <c r="CK1373" s="481"/>
      <c r="CL1373" s="428"/>
      <c r="CN1373" s="481"/>
      <c r="CO1373" s="481"/>
      <c r="CP1373" s="428"/>
      <c r="CR1373" s="481"/>
      <c r="CS1373" s="481"/>
      <c r="CT1373" s="428"/>
      <c r="CV1373" s="481"/>
      <c r="CW1373" s="481"/>
      <c r="CX1373" s="428"/>
      <c r="CZ1373" s="481"/>
      <c r="DA1373" s="481"/>
      <c r="DB1373" s="428"/>
      <c r="DD1373" s="1502">
        <f>549828+20187+4589+3685</f>
        <v>578289</v>
      </c>
      <c r="DE1373" s="1502">
        <f>574094+17034+3841+4031</f>
        <v>599000</v>
      </c>
      <c r="DF1373" s="1503">
        <f>DE1373</f>
        <v>599000</v>
      </c>
      <c r="DG1373" s="845"/>
      <c r="DH1373" s="1502">
        <f>597994+15655+3327+4096+7</f>
        <v>621079</v>
      </c>
      <c r="DI1373" s="1503">
        <f>DI1377*DI1378</f>
        <v>642424.00043198653</v>
      </c>
      <c r="DJ1373" s="1503">
        <f>DI1373</f>
        <v>642424.00043198653</v>
      </c>
      <c r="DK1373" s="394"/>
      <c r="DL1373" s="1503">
        <f>DL1377*DL1378</f>
        <v>660521.07089959946</v>
      </c>
      <c r="DM1373" s="1503">
        <f>DM1377*DM1378</f>
        <v>681711.45723995031</v>
      </c>
      <c r="DN1373" s="1503">
        <f>DM1373</f>
        <v>681711.45723995031</v>
      </c>
      <c r="DO1373" s="394"/>
      <c r="DP1373" s="1503">
        <f>DP1377*DP1378</f>
        <v>697419.66736800689</v>
      </c>
      <c r="DQ1373" s="1503">
        <f>DQ1377*DQ1378</f>
        <v>715332.44112651038</v>
      </c>
      <c r="DR1373" s="1503">
        <f>DQ1373</f>
        <v>715332.44112651038</v>
      </c>
      <c r="DT1373"/>
      <c r="DU1373"/>
      <c r="DV1373" s="1"/>
      <c r="DW1373" s="1"/>
      <c r="DX1373" s="1"/>
      <c r="DY1373" s="1"/>
      <c r="DZ1373" s="1"/>
      <c r="EA1373" s="1"/>
      <c r="EB1373" s="1"/>
      <c r="EC1373" s="1"/>
      <c r="ED1373" s="1"/>
      <c r="EE1373" s="1"/>
      <c r="EF1373" s="1"/>
      <c r="EG1373" s="1"/>
      <c r="EH1373" s="1"/>
      <c r="EI1373" s="1"/>
      <c r="EJ1373" s="1"/>
      <c r="EK1373" s="1"/>
      <c r="EL1373" s="1"/>
      <c r="EM1373" s="1"/>
      <c r="EN1373" s="1"/>
      <c r="EO1373" s="1"/>
      <c r="EP1373" s="1"/>
      <c r="EQ1373" s="1"/>
      <c r="ER1373" s="1"/>
      <c r="ES1373" s="1"/>
      <c r="ET1373" s="1"/>
      <c r="EU1373" s="1"/>
      <c r="EV1373" s="1"/>
      <c r="EW1373" s="1"/>
      <c r="EX1373" s="1"/>
      <c r="EY1373" s="1"/>
      <c r="EZ1373" s="1"/>
      <c r="FA1373" s="1"/>
      <c r="FB1373" s="1"/>
      <c r="FC1373" s="1"/>
      <c r="FD1373" s="1"/>
      <c r="FE1373" s="1"/>
      <c r="FF1373" s="1"/>
      <c r="FG1373" s="1"/>
      <c r="FH1373" s="1"/>
      <c r="FI1373" s="1"/>
      <c r="FJ1373" s="1"/>
      <c r="FK1373" s="1"/>
      <c r="FL1373" s="1"/>
      <c r="FM1373" s="1"/>
      <c r="FN1373" s="1"/>
      <c r="FO1373" s="1"/>
      <c r="FP1373" s="1"/>
      <c r="FQ1373" s="1"/>
      <c r="FR1373" s="1"/>
      <c r="FS1373" s="1"/>
      <c r="FT1373" s="1"/>
      <c r="FU1373" s="1"/>
      <c r="FV1373" s="1"/>
      <c r="FW1373" s="1"/>
      <c r="FX1373" s="1"/>
      <c r="FY1373" s="1"/>
      <c r="FZ1373" s="1"/>
      <c r="GA1373" s="1"/>
      <c r="GB1373" s="1"/>
      <c r="GC1373" s="1"/>
      <c r="GD1373" s="1"/>
      <c r="GE1373" s="1"/>
      <c r="GF1373" s="1"/>
      <c r="GG1373" s="1"/>
      <c r="GH1373" s="1"/>
      <c r="GI1373" s="1"/>
      <c r="GJ1373" s="1"/>
      <c r="GK1373" s="1"/>
      <c r="GL1373" s="1"/>
      <c r="GM1373" s="1"/>
      <c r="GN1373" s="1"/>
      <c r="GO1373" s="1"/>
      <c r="GP1373" s="1"/>
      <c r="GQ1373" s="1"/>
      <c r="GR1373" s="1"/>
      <c r="GS1373" s="1"/>
      <c r="GT1373" s="1"/>
      <c r="GU1373" s="1"/>
      <c r="GV1373" s="1"/>
      <c r="GW1373" s="1"/>
      <c r="GX1373" s="1"/>
      <c r="GY1373" s="1"/>
      <c r="GZ1373" s="1"/>
      <c r="HA1373" s="1"/>
      <c r="HB1373" s="1"/>
      <c r="HC1373" s="1"/>
      <c r="HD1373" s="1"/>
      <c r="HE1373" s="1"/>
      <c r="HF1373" s="1"/>
      <c r="HG1373" s="1"/>
      <c r="HH1373" s="1"/>
      <c r="HI1373" s="1"/>
      <c r="HJ1373" s="1"/>
      <c r="HK1373" s="1"/>
      <c r="HL1373" s="1"/>
      <c r="HM1373" s="1"/>
      <c r="HN1373" s="1"/>
      <c r="HO1373" s="1"/>
      <c r="HP1373" s="1"/>
      <c r="HQ1373" s="1"/>
      <c r="HR1373" s="1"/>
      <c r="HS1373" s="1"/>
      <c r="HT1373" s="1"/>
      <c r="HU1373" s="1"/>
      <c r="HV1373" s="1"/>
      <c r="HW1373" s="1"/>
      <c r="HX1373" s="1"/>
      <c r="HY1373" s="1"/>
      <c r="HZ1373" s="1"/>
      <c r="IA1373" s="1"/>
      <c r="IB1373" s="1"/>
      <c r="IC1373" s="1"/>
      <c r="ID1373" s="1"/>
      <c r="IE1373" s="1"/>
      <c r="IF1373" s="1"/>
      <c r="IG1373" s="1"/>
      <c r="IH1373" s="1"/>
      <c r="II1373" s="1"/>
      <c r="IJ1373" s="1"/>
      <c r="IK1373" s="1"/>
      <c r="IL1373" s="1"/>
      <c r="IM1373" s="1"/>
      <c r="IN1373" s="1"/>
      <c r="IO1373" s="1"/>
      <c r="IP1373" s="1"/>
      <c r="IQ1373" s="1"/>
      <c r="IR1373" s="1"/>
      <c r="IS1373" s="1"/>
      <c r="IT1373" s="1"/>
      <c r="IU1373" s="1"/>
      <c r="IV1373" s="1"/>
      <c r="IW1373" s="1"/>
      <c r="IX1373" s="1"/>
      <c r="IY1373" s="1"/>
      <c r="IZ1373" s="1"/>
      <c r="JA1373" s="1"/>
      <c r="JB1373" s="1"/>
      <c r="JC1373" s="1"/>
      <c r="JD1373" s="1"/>
    </row>
    <row r="1374" spans="1:264" s="424" customFormat="1" ht="15" x14ac:dyDescent="0.25">
      <c r="A1374" s="1343" t="s">
        <v>934</v>
      </c>
      <c r="B1374" s="536"/>
      <c r="BD1374" s="481"/>
      <c r="BE1374" s="481"/>
      <c r="BF1374" s="428"/>
      <c r="BH1374" s="481"/>
      <c r="BI1374" s="481"/>
      <c r="BJ1374" s="428"/>
      <c r="BK1374" s="536"/>
      <c r="BL1374" s="481"/>
      <c r="BM1374" s="481"/>
      <c r="BN1374" s="428"/>
      <c r="BO1374" s="536"/>
      <c r="BP1374" s="481"/>
      <c r="BQ1374" s="481"/>
      <c r="BR1374" s="428"/>
      <c r="BT1374" s="481"/>
      <c r="BU1374" s="481"/>
      <c r="BV1374" s="428"/>
      <c r="BX1374" s="481"/>
      <c r="BY1374" s="481"/>
      <c r="BZ1374" s="428"/>
      <c r="CB1374" s="481"/>
      <c r="CC1374" s="481"/>
      <c r="CD1374" s="428"/>
      <c r="CF1374" s="481"/>
      <c r="CG1374" s="481"/>
      <c r="CH1374" s="428"/>
      <c r="CJ1374" s="481"/>
      <c r="CK1374" s="481"/>
      <c r="CL1374" s="428"/>
      <c r="CN1374" s="481"/>
      <c r="CO1374" s="481"/>
      <c r="CP1374" s="428"/>
      <c r="CR1374" s="481"/>
      <c r="CS1374" s="481"/>
      <c r="CT1374" s="428"/>
      <c r="CV1374" s="481"/>
      <c r="CW1374" s="481"/>
      <c r="CX1374" s="428"/>
      <c r="CZ1374" s="481"/>
      <c r="DA1374" s="481"/>
      <c r="DB1374" s="428"/>
      <c r="DD1374" s="1503">
        <f>DD1306</f>
        <v>7949</v>
      </c>
      <c r="DE1374" s="1503">
        <f>DE1306</f>
        <v>9752</v>
      </c>
      <c r="DF1374" s="1503">
        <f t="shared" ref="DF1374:DF1375" si="1007">DE1374</f>
        <v>9752</v>
      </c>
      <c r="DG1374" s="845"/>
      <c r="DH1374" s="1503">
        <f>DH1306</f>
        <v>9971</v>
      </c>
      <c r="DI1374" s="1503">
        <f ca="1">DI1306</f>
        <v>9476.326752287303</v>
      </c>
      <c r="DJ1374" s="1503">
        <f t="shared" ref="DJ1374" ca="1" si="1008">DI1374</f>
        <v>9476.326752287303</v>
      </c>
      <c r="DK1374" s="394"/>
      <c r="DL1374" s="1503">
        <f ca="1">DL1306</f>
        <v>9754.7318911514212</v>
      </c>
      <c r="DM1374" s="1503">
        <f ca="1">DM1306</f>
        <v>10058.174721684634</v>
      </c>
      <c r="DN1374" s="1503">
        <f t="shared" ref="DN1374" ca="1" si="1009">DM1374</f>
        <v>10058.174721684634</v>
      </c>
      <c r="DO1374" s="394"/>
      <c r="DP1374" s="1503">
        <f ca="1">DP1306</f>
        <v>10292.710291762107</v>
      </c>
      <c r="DQ1374" s="1503">
        <f ca="1">DQ1306</f>
        <v>10550.192820914257</v>
      </c>
      <c r="DR1374" s="1503">
        <f t="shared" ref="DR1374" ca="1" si="1010">DQ1374</f>
        <v>10550.192820914257</v>
      </c>
      <c r="DT1374"/>
      <c r="DU1374"/>
      <c r="DV1374" s="1"/>
      <c r="DW1374" s="1"/>
      <c r="DX1374" s="1"/>
      <c r="DY1374" s="1"/>
      <c r="DZ1374" s="1"/>
      <c r="EA1374" s="1"/>
      <c r="EB1374" s="1"/>
      <c r="EC1374" s="1"/>
      <c r="ED1374" s="1"/>
      <c r="EE1374" s="1"/>
      <c r="EF1374" s="1"/>
      <c r="EG1374" s="1"/>
      <c r="EH1374" s="1"/>
      <c r="EI1374" s="1"/>
      <c r="EJ1374" s="1"/>
      <c r="EK1374" s="1"/>
      <c r="EL1374" s="1"/>
      <c r="EM1374" s="1"/>
      <c r="EN1374" s="1"/>
      <c r="EO1374" s="1"/>
      <c r="EP1374" s="1"/>
      <c r="EQ1374" s="1"/>
      <c r="ER1374" s="1"/>
      <c r="ES1374" s="1"/>
      <c r="ET1374" s="1"/>
      <c r="EU1374" s="1"/>
      <c r="EV1374" s="1"/>
      <c r="EW1374" s="1"/>
      <c r="EX1374" s="1"/>
      <c r="EY1374" s="1"/>
      <c r="EZ1374" s="1"/>
      <c r="FA1374" s="1"/>
      <c r="FB1374" s="1"/>
      <c r="FC1374" s="1"/>
      <c r="FD1374" s="1"/>
      <c r="FE1374" s="1"/>
      <c r="FF1374" s="1"/>
      <c r="FG1374" s="1"/>
      <c r="FH1374" s="1"/>
      <c r="FI1374" s="1"/>
      <c r="FJ1374" s="1"/>
      <c r="FK1374" s="1"/>
      <c r="FL1374" s="1"/>
      <c r="FM1374" s="1"/>
      <c r="FN1374" s="1"/>
      <c r="FO1374" s="1"/>
      <c r="FP1374" s="1"/>
      <c r="FQ1374" s="1"/>
      <c r="FR1374" s="1"/>
      <c r="FS1374" s="1"/>
      <c r="FT1374" s="1"/>
      <c r="FU1374" s="1"/>
      <c r="FV1374" s="1"/>
      <c r="FW1374" s="1"/>
      <c r="FX1374" s="1"/>
      <c r="FY1374" s="1"/>
      <c r="FZ1374" s="1"/>
      <c r="GA1374" s="1"/>
      <c r="GB1374" s="1"/>
      <c r="GC1374" s="1"/>
      <c r="GD1374" s="1"/>
      <c r="GE1374" s="1"/>
      <c r="GF1374" s="1"/>
      <c r="GG1374" s="1"/>
      <c r="GH1374" s="1"/>
      <c r="GI1374" s="1"/>
      <c r="GJ1374" s="1"/>
      <c r="GK1374" s="1"/>
      <c r="GL1374" s="1"/>
      <c r="GM1374" s="1"/>
      <c r="GN1374" s="1"/>
      <c r="GO1374" s="1"/>
      <c r="GP1374" s="1"/>
      <c r="GQ1374" s="1"/>
      <c r="GR1374" s="1"/>
      <c r="GS1374" s="1"/>
      <c r="GT1374" s="1"/>
      <c r="GU1374" s="1"/>
      <c r="GV1374" s="1"/>
      <c r="GW1374" s="1"/>
      <c r="GX1374" s="1"/>
      <c r="GY1374" s="1"/>
      <c r="GZ1374" s="1"/>
      <c r="HA1374" s="1"/>
      <c r="HB1374" s="1"/>
      <c r="HC1374" s="1"/>
      <c r="HD1374" s="1"/>
      <c r="HE1374" s="1"/>
      <c r="HF1374" s="1"/>
      <c r="HG1374" s="1"/>
      <c r="HH1374" s="1"/>
      <c r="HI1374" s="1"/>
      <c r="HJ1374" s="1"/>
      <c r="HK1374" s="1"/>
      <c r="HL1374" s="1"/>
      <c r="HM1374" s="1"/>
      <c r="HN1374" s="1"/>
      <c r="HO1374" s="1"/>
      <c r="HP1374" s="1"/>
      <c r="HQ1374" s="1"/>
      <c r="HR1374" s="1"/>
      <c r="HS1374" s="1"/>
      <c r="HT1374" s="1"/>
      <c r="HU1374" s="1"/>
      <c r="HV1374" s="1"/>
      <c r="HW1374" s="1"/>
      <c r="HX1374" s="1"/>
      <c r="HY1374" s="1"/>
      <c r="HZ1374" s="1"/>
      <c r="IA1374" s="1"/>
      <c r="IB1374" s="1"/>
      <c r="IC1374" s="1"/>
      <c r="ID1374" s="1"/>
      <c r="IE1374" s="1"/>
      <c r="IF1374" s="1"/>
      <c r="IG1374" s="1"/>
      <c r="IH1374" s="1"/>
      <c r="II1374" s="1"/>
      <c r="IJ1374" s="1"/>
      <c r="IK1374" s="1"/>
      <c r="IL1374" s="1"/>
      <c r="IM1374" s="1"/>
      <c r="IN1374" s="1"/>
      <c r="IO1374" s="1"/>
      <c r="IP1374" s="1"/>
      <c r="IQ1374" s="1"/>
      <c r="IR1374" s="1"/>
      <c r="IS1374" s="1"/>
      <c r="IT1374" s="1"/>
      <c r="IU1374" s="1"/>
      <c r="IV1374" s="1"/>
      <c r="IW1374" s="1"/>
      <c r="IX1374" s="1"/>
      <c r="IY1374" s="1"/>
      <c r="IZ1374" s="1"/>
      <c r="JA1374" s="1"/>
      <c r="JB1374" s="1"/>
      <c r="JC1374" s="1"/>
      <c r="JD1374" s="1"/>
    </row>
    <row r="1375" spans="1:264" s="424" customFormat="1" ht="15" x14ac:dyDescent="0.25">
      <c r="A1375" s="1343" t="s">
        <v>1167</v>
      </c>
      <c r="B1375" s="536"/>
      <c r="BD1375" s="481"/>
      <c r="BE1375" s="481"/>
      <c r="BF1375" s="428"/>
      <c r="BH1375" s="481"/>
      <c r="BI1375" s="481"/>
      <c r="BJ1375" s="428"/>
      <c r="BK1375" s="536"/>
      <c r="BL1375" s="481"/>
      <c r="BM1375" s="481"/>
      <c r="BN1375" s="428"/>
      <c r="BO1375" s="536"/>
      <c r="BP1375" s="481"/>
      <c r="BQ1375" s="481"/>
      <c r="BR1375" s="428"/>
      <c r="BT1375" s="481"/>
      <c r="BU1375" s="481"/>
      <c r="BV1375" s="428"/>
      <c r="BX1375" s="481"/>
      <c r="BY1375" s="481"/>
      <c r="BZ1375" s="428"/>
      <c r="CB1375" s="481"/>
      <c r="CC1375" s="481"/>
      <c r="CD1375" s="428"/>
      <c r="CF1375" s="481"/>
      <c r="CG1375" s="481"/>
      <c r="CH1375" s="428"/>
      <c r="CJ1375" s="481"/>
      <c r="CK1375" s="481"/>
      <c r="CL1375" s="428"/>
      <c r="CN1375" s="481"/>
      <c r="CO1375" s="481"/>
      <c r="CP1375" s="428"/>
      <c r="CR1375" s="481"/>
      <c r="CS1375" s="481"/>
      <c r="CT1375" s="428"/>
      <c r="CV1375" s="481"/>
      <c r="CW1375" s="481"/>
      <c r="CX1375" s="428"/>
      <c r="CZ1375" s="481"/>
      <c r="DA1375" s="481"/>
      <c r="DB1375" s="428"/>
      <c r="DD1375" s="1503">
        <f>DD1308</f>
        <v>47624</v>
      </c>
      <c r="DE1375" s="1503">
        <f>DE1308</f>
        <v>47624</v>
      </c>
      <c r="DF1375" s="1503">
        <f t="shared" si="1007"/>
        <v>47624</v>
      </c>
      <c r="DH1375" s="1503">
        <f>DH1308</f>
        <v>51041</v>
      </c>
      <c r="DI1375" s="1503">
        <f ca="1">DI1308</f>
        <v>52822.469169513344</v>
      </c>
      <c r="DJ1375" s="1503">
        <f t="shared" ref="DJ1375" ca="1" si="1011">DI1375</f>
        <v>52822.469169513344</v>
      </c>
      <c r="DK1375" s="394"/>
      <c r="DL1375" s="1503">
        <f ca="1">DL1308</f>
        <v>54374.341244917916</v>
      </c>
      <c r="DM1375" s="1503">
        <f ca="1">DM1308</f>
        <v>56065.777175689473</v>
      </c>
      <c r="DN1375" s="1503">
        <f t="shared" ref="DN1375" ca="1" si="1012">DM1375</f>
        <v>56065.777175689473</v>
      </c>
      <c r="DO1375" s="394"/>
      <c r="DP1375" s="1503">
        <f ca="1">DP1308</f>
        <v>57373.113683116389</v>
      </c>
      <c r="DQ1375" s="1503">
        <f ca="1">DQ1308</f>
        <v>58808.359988288903</v>
      </c>
      <c r="DR1375" s="1503">
        <f t="shared" ref="DR1375" ca="1" si="1013">DQ1375</f>
        <v>58808.359988288903</v>
      </c>
      <c r="DT1375"/>
      <c r="DU1375"/>
      <c r="DV1375" s="1"/>
      <c r="DW1375" s="1"/>
      <c r="DX1375" s="1"/>
      <c r="DY1375" s="1"/>
      <c r="DZ1375" s="1"/>
      <c r="EA1375" s="1"/>
      <c r="EB1375" s="1"/>
      <c r="EC1375" s="1"/>
      <c r="ED1375" s="1"/>
      <c r="EE1375" s="1"/>
      <c r="EF1375" s="1"/>
      <c r="EG1375" s="1"/>
      <c r="EH1375" s="1"/>
      <c r="EI1375" s="1"/>
      <c r="EJ1375" s="1"/>
      <c r="EK1375" s="1"/>
      <c r="EL1375" s="1"/>
      <c r="EM1375" s="1"/>
      <c r="EN1375" s="1"/>
      <c r="EO1375" s="1"/>
      <c r="EP1375" s="1"/>
      <c r="EQ1375" s="1"/>
      <c r="ER1375" s="1"/>
      <c r="ES1375" s="1"/>
      <c r="ET1375" s="1"/>
      <c r="EU1375" s="1"/>
      <c r="EV1375" s="1"/>
      <c r="EW1375" s="1"/>
      <c r="EX1375" s="1"/>
      <c r="EY1375" s="1"/>
      <c r="EZ1375" s="1"/>
      <c r="FA1375" s="1"/>
      <c r="FB1375" s="1"/>
      <c r="FC1375" s="1"/>
      <c r="FD1375" s="1"/>
      <c r="FE1375" s="1"/>
      <c r="FF1375" s="1"/>
      <c r="FG1375" s="1"/>
      <c r="FH1375" s="1"/>
      <c r="FI1375" s="1"/>
      <c r="FJ1375" s="1"/>
      <c r="FK1375" s="1"/>
      <c r="FL1375" s="1"/>
      <c r="FM1375" s="1"/>
      <c r="FN1375" s="1"/>
      <c r="FO1375" s="1"/>
      <c r="FP1375" s="1"/>
      <c r="FQ1375" s="1"/>
      <c r="FR1375" s="1"/>
      <c r="FS1375" s="1"/>
      <c r="FT1375" s="1"/>
      <c r="FU1375" s="1"/>
      <c r="FV1375" s="1"/>
      <c r="FW1375" s="1"/>
      <c r="FX1375" s="1"/>
      <c r="FY1375" s="1"/>
      <c r="FZ1375" s="1"/>
      <c r="GA1375" s="1"/>
      <c r="GB1375" s="1"/>
      <c r="GC1375" s="1"/>
      <c r="GD1375" s="1"/>
      <c r="GE1375" s="1"/>
      <c r="GF1375" s="1"/>
      <c r="GG1375" s="1"/>
      <c r="GH1375" s="1"/>
      <c r="GI1375" s="1"/>
      <c r="GJ1375" s="1"/>
      <c r="GK1375" s="1"/>
      <c r="GL1375" s="1"/>
      <c r="GM1375" s="1"/>
      <c r="GN1375" s="1"/>
      <c r="GO1375" s="1"/>
      <c r="GP1375" s="1"/>
      <c r="GQ1375" s="1"/>
      <c r="GR1375" s="1"/>
      <c r="GS1375" s="1"/>
      <c r="GT1375" s="1"/>
      <c r="GU1375" s="1"/>
      <c r="GV1375" s="1"/>
      <c r="GW1375" s="1"/>
      <c r="GX1375" s="1"/>
      <c r="GY1375" s="1"/>
      <c r="GZ1375" s="1"/>
      <c r="HA1375" s="1"/>
      <c r="HB1375" s="1"/>
      <c r="HC1375" s="1"/>
      <c r="HD1375" s="1"/>
      <c r="HE1375" s="1"/>
      <c r="HF1375" s="1"/>
      <c r="HG1375" s="1"/>
      <c r="HH1375" s="1"/>
      <c r="HI1375" s="1"/>
      <c r="HJ1375" s="1"/>
      <c r="HK1375" s="1"/>
      <c r="HL1375" s="1"/>
      <c r="HM1375" s="1"/>
      <c r="HN1375" s="1"/>
      <c r="HO1375" s="1"/>
      <c r="HP1375" s="1"/>
      <c r="HQ1375" s="1"/>
      <c r="HR1375" s="1"/>
      <c r="HS1375" s="1"/>
      <c r="HT1375" s="1"/>
      <c r="HU1375" s="1"/>
      <c r="HV1375" s="1"/>
      <c r="HW1375" s="1"/>
      <c r="HX1375" s="1"/>
      <c r="HY1375" s="1"/>
      <c r="HZ1375" s="1"/>
      <c r="IA1375" s="1"/>
      <c r="IB1375" s="1"/>
      <c r="IC1375" s="1"/>
      <c r="ID1375" s="1"/>
      <c r="IE1375" s="1"/>
      <c r="IF1375" s="1"/>
      <c r="IG1375" s="1"/>
      <c r="IH1375" s="1"/>
      <c r="II1375" s="1"/>
      <c r="IJ1375" s="1"/>
      <c r="IK1375" s="1"/>
      <c r="IL1375" s="1"/>
      <c r="IM1375" s="1"/>
      <c r="IN1375" s="1"/>
      <c r="IO1375" s="1"/>
      <c r="IP1375" s="1"/>
      <c r="IQ1375" s="1"/>
      <c r="IR1375" s="1"/>
      <c r="IS1375" s="1"/>
      <c r="IT1375" s="1"/>
      <c r="IU1375" s="1"/>
      <c r="IV1375" s="1"/>
      <c r="IW1375" s="1"/>
      <c r="IX1375" s="1"/>
      <c r="IY1375" s="1"/>
      <c r="IZ1375" s="1"/>
      <c r="JA1375" s="1"/>
      <c r="JB1375" s="1"/>
      <c r="JC1375" s="1"/>
      <c r="JD1375" s="1"/>
    </row>
    <row r="1376" spans="1:264" s="424" customFormat="1" ht="15" x14ac:dyDescent="0.25">
      <c r="A1376" s="1500" t="s">
        <v>1168</v>
      </c>
      <c r="B1376" s="536"/>
      <c r="BD1376" s="481"/>
      <c r="BE1376" s="481"/>
      <c r="BF1376" s="428"/>
      <c r="BH1376" s="481"/>
      <c r="BI1376" s="481"/>
      <c r="BJ1376" s="428"/>
      <c r="BK1376" s="536"/>
      <c r="BL1376" s="481"/>
      <c r="BM1376" s="481"/>
      <c r="BN1376" s="428"/>
      <c r="BO1376" s="536"/>
      <c r="BP1376" s="481"/>
      <c r="BQ1376" s="481"/>
      <c r="BR1376" s="428"/>
      <c r="BT1376" s="481"/>
      <c r="BU1376" s="481"/>
      <c r="BV1376" s="428"/>
      <c r="BX1376" s="481"/>
      <c r="BY1376" s="481"/>
      <c r="BZ1376" s="428"/>
      <c r="CB1376" s="481"/>
      <c r="CC1376" s="481"/>
      <c r="CD1376" s="428"/>
      <c r="CF1376" s="481"/>
      <c r="CG1376" s="481"/>
      <c r="CH1376" s="428"/>
      <c r="CJ1376" s="481"/>
      <c r="CK1376" s="481"/>
      <c r="CL1376" s="428"/>
      <c r="CN1376" s="481"/>
      <c r="CO1376" s="481"/>
      <c r="CP1376" s="428"/>
      <c r="CR1376" s="481"/>
      <c r="CS1376" s="481"/>
      <c r="CT1376" s="428"/>
      <c r="CV1376" s="481"/>
      <c r="CW1376" s="481"/>
      <c r="CX1376" s="428"/>
      <c r="CZ1376" s="481"/>
      <c r="DA1376" s="481"/>
      <c r="DB1376" s="428"/>
      <c r="DD1376" s="1504">
        <f>DD1373+DD1374+DD1375</f>
        <v>633862</v>
      </c>
      <c r="DE1376" s="1504">
        <f>DE1373+DE1374+DE1375</f>
        <v>656376</v>
      </c>
      <c r="DF1376" s="1504">
        <f>DF1373+DF1374+DF1375</f>
        <v>656376</v>
      </c>
      <c r="DH1376" s="1504">
        <f>DH1373+DH1374+DH1375</f>
        <v>682091</v>
      </c>
      <c r="DI1376" s="1504">
        <f ca="1">DI1373+DI1374+DI1375</f>
        <v>704722.79635378718</v>
      </c>
      <c r="DJ1376" s="1504">
        <f ca="1">DJ1373+DJ1374+DJ1375</f>
        <v>704722.79635378718</v>
      </c>
      <c r="DK1376" s="394"/>
      <c r="DL1376" s="1504">
        <f ca="1">DL1373+DL1374+DL1375</f>
        <v>724650.14403566881</v>
      </c>
      <c r="DM1376" s="1504">
        <f ca="1">DM1373+DM1374+DM1375</f>
        <v>747835.40913732443</v>
      </c>
      <c r="DN1376" s="1504">
        <f ca="1">DN1373+DN1374+DN1375</f>
        <v>747835.40913732443</v>
      </c>
      <c r="DO1376" s="394"/>
      <c r="DP1376" s="1504">
        <f ca="1">DP1373+DP1374+DP1375</f>
        <v>765085.49134288542</v>
      </c>
      <c r="DQ1376" s="1504">
        <f ca="1">DQ1373+DQ1374+DQ1375</f>
        <v>784690.99393571354</v>
      </c>
      <c r="DR1376" s="1504">
        <f ca="1">DR1373+DR1374+DR1375</f>
        <v>784690.99393571354</v>
      </c>
      <c r="DT1376"/>
      <c r="DU1376"/>
      <c r="DV1376" s="1"/>
      <c r="DW1376" s="1"/>
      <c r="DX1376" s="1"/>
      <c r="DY1376" s="1"/>
      <c r="DZ1376" s="1"/>
      <c r="EA1376" s="1"/>
      <c r="EB1376" s="1"/>
      <c r="EC1376" s="1"/>
      <c r="ED1376" s="1"/>
      <c r="EE1376" s="1"/>
      <c r="EF1376" s="1"/>
      <c r="EG1376" s="1"/>
      <c r="EH1376" s="1"/>
      <c r="EI1376" s="1"/>
      <c r="EJ1376" s="1"/>
      <c r="EK1376" s="1"/>
      <c r="EL1376" s="1"/>
      <c r="EM1376" s="1"/>
      <c r="EN1376" s="1"/>
      <c r="EO1376" s="1"/>
      <c r="EP1376" s="1"/>
      <c r="EQ1376" s="1"/>
      <c r="ER1376" s="1"/>
      <c r="ES1376" s="1"/>
      <c r="ET1376" s="1"/>
      <c r="EU1376" s="1"/>
      <c r="EV1376" s="1"/>
      <c r="EW1376" s="1"/>
      <c r="EX1376" s="1"/>
      <c r="EY1376" s="1"/>
      <c r="EZ1376" s="1"/>
      <c r="FA1376" s="1"/>
      <c r="FB1376" s="1"/>
      <c r="FC1376" s="1"/>
      <c r="FD1376" s="1"/>
      <c r="FE1376" s="1"/>
      <c r="FF1376" s="1"/>
      <c r="FG1376" s="1"/>
      <c r="FH1376" s="1"/>
      <c r="FI1376" s="1"/>
      <c r="FJ1376" s="1"/>
      <c r="FK1376" s="1"/>
      <c r="FL1376" s="1"/>
      <c r="FM1376" s="1"/>
      <c r="FN1376" s="1"/>
      <c r="FO1376" s="1"/>
      <c r="FP1376" s="1"/>
      <c r="FQ1376" s="1"/>
      <c r="FR1376" s="1"/>
      <c r="FS1376" s="1"/>
      <c r="FT1376" s="1"/>
      <c r="FU1376" s="1"/>
      <c r="FV1376" s="1"/>
      <c r="FW1376" s="1"/>
      <c r="FX1376" s="1"/>
      <c r="FY1376" s="1"/>
      <c r="FZ1376" s="1"/>
      <c r="GA1376" s="1"/>
      <c r="GB1376" s="1"/>
      <c r="GC1376" s="1"/>
      <c r="GD1376" s="1"/>
      <c r="GE1376" s="1"/>
      <c r="GF1376" s="1"/>
      <c r="GG1376" s="1"/>
      <c r="GH1376" s="1"/>
      <c r="GI1376" s="1"/>
      <c r="GJ1376" s="1"/>
      <c r="GK1376" s="1"/>
      <c r="GL1376" s="1"/>
      <c r="GM1376" s="1"/>
      <c r="GN1376" s="1"/>
      <c r="GO1376" s="1"/>
      <c r="GP1376" s="1"/>
      <c r="GQ1376" s="1"/>
      <c r="GR1376" s="1"/>
      <c r="GS1376" s="1"/>
      <c r="GT1376" s="1"/>
      <c r="GU1376" s="1"/>
      <c r="GV1376" s="1"/>
      <c r="GW1376" s="1"/>
      <c r="GX1376" s="1"/>
      <c r="GY1376" s="1"/>
      <c r="GZ1376" s="1"/>
      <c r="HA1376" s="1"/>
      <c r="HB1376" s="1"/>
      <c r="HC1376" s="1"/>
      <c r="HD1376" s="1"/>
      <c r="HE1376" s="1"/>
      <c r="HF1376" s="1"/>
      <c r="HG1376" s="1"/>
      <c r="HH1376" s="1"/>
      <c r="HI1376" s="1"/>
      <c r="HJ1376" s="1"/>
      <c r="HK1376" s="1"/>
      <c r="HL1376" s="1"/>
      <c r="HM1376" s="1"/>
      <c r="HN1376" s="1"/>
      <c r="HO1376" s="1"/>
      <c r="HP1376" s="1"/>
      <c r="HQ1376" s="1"/>
      <c r="HR1376" s="1"/>
      <c r="HS1376" s="1"/>
      <c r="HT1376" s="1"/>
      <c r="HU1376" s="1"/>
      <c r="HV1376" s="1"/>
      <c r="HW1376" s="1"/>
      <c r="HX1376" s="1"/>
      <c r="HY1376" s="1"/>
      <c r="HZ1376" s="1"/>
      <c r="IA1376" s="1"/>
      <c r="IB1376" s="1"/>
      <c r="IC1376" s="1"/>
      <c r="ID1376" s="1"/>
      <c r="IE1376" s="1"/>
      <c r="IF1376" s="1"/>
      <c r="IG1376" s="1"/>
      <c r="IH1376" s="1"/>
      <c r="II1376" s="1"/>
      <c r="IJ1376" s="1"/>
      <c r="IK1376" s="1"/>
      <c r="IL1376" s="1"/>
      <c r="IM1376" s="1"/>
      <c r="IN1376" s="1"/>
      <c r="IO1376" s="1"/>
      <c r="IP1376" s="1"/>
      <c r="IQ1376" s="1"/>
      <c r="IR1376" s="1"/>
      <c r="IS1376" s="1"/>
      <c r="IT1376" s="1"/>
      <c r="IU1376" s="1"/>
      <c r="IV1376" s="1"/>
      <c r="IW1376" s="1"/>
      <c r="IX1376" s="1"/>
      <c r="IY1376" s="1"/>
      <c r="IZ1376" s="1"/>
      <c r="JA1376" s="1"/>
      <c r="JB1376" s="1"/>
      <c r="JC1376" s="1"/>
      <c r="JD1376" s="1"/>
    </row>
    <row r="1377" spans="1:264" s="424" customFormat="1" ht="15.75" thickBot="1" x14ac:dyDescent="0.3">
      <c r="A1377" s="1343" t="s">
        <v>882</v>
      </c>
      <c r="B1377" s="536"/>
      <c r="BD1377" s="481"/>
      <c r="BE1377" s="481"/>
      <c r="BF1377" s="428"/>
      <c r="BH1377" s="481"/>
      <c r="BI1377" s="481"/>
      <c r="BJ1377" s="428"/>
      <c r="BK1377" s="536"/>
      <c r="BL1377" s="481"/>
      <c r="BM1377" s="481"/>
      <c r="BN1377" s="428"/>
      <c r="BO1377" s="536"/>
      <c r="BP1377" s="481"/>
      <c r="BQ1377" s="481"/>
      <c r="BR1377" s="428"/>
      <c r="BT1377" s="481"/>
      <c r="BU1377" s="481"/>
      <c r="BV1377" s="428"/>
      <c r="BX1377" s="481"/>
      <c r="BY1377" s="481"/>
      <c r="BZ1377" s="428"/>
      <c r="CB1377" s="481"/>
      <c r="CC1377" s="481"/>
      <c r="CD1377" s="428"/>
      <c r="CF1377" s="481"/>
      <c r="CG1377" s="481"/>
      <c r="CH1377" s="428"/>
      <c r="CJ1377" s="481"/>
      <c r="CK1377" s="481"/>
      <c r="CL1377" s="428"/>
      <c r="CN1377" s="481"/>
      <c r="CO1377" s="481"/>
      <c r="CP1377" s="428"/>
      <c r="CR1377" s="481"/>
      <c r="CS1377" s="481"/>
      <c r="CT1377" s="428"/>
      <c r="CV1377" s="481"/>
      <c r="CW1377" s="481"/>
      <c r="CX1377" s="428"/>
      <c r="CZ1377" s="481"/>
      <c r="DA1377" s="481"/>
      <c r="DB1377" s="428"/>
      <c r="DD1377" s="1503">
        <f>DD1330</f>
        <v>1313108</v>
      </c>
      <c r="DE1377" s="1503">
        <f>DE1330</f>
        <v>1331870</v>
      </c>
      <c r="DF1377" s="1503">
        <f>DF1330</f>
        <v>1331870</v>
      </c>
      <c r="DG1377" s="394"/>
      <c r="DH1377" s="1503">
        <f>DH1330</f>
        <v>1379797</v>
      </c>
      <c r="DI1377" s="1503">
        <f>DI1330</f>
        <v>1427217.3242438622</v>
      </c>
      <c r="DJ1377" s="1503">
        <f>DJ1330</f>
        <v>1427217.3242438622</v>
      </c>
      <c r="DK1377" s="394"/>
      <c r="DL1377" s="1503">
        <f>DL1330</f>
        <v>1467422.0059993248</v>
      </c>
      <c r="DM1377" s="1503">
        <f>DM1330</f>
        <v>1514498.8376121423</v>
      </c>
      <c r="DN1377" s="1503">
        <f>DN1330</f>
        <v>1514498.8376121423</v>
      </c>
      <c r="DO1377" s="394"/>
      <c r="DP1377" s="1503">
        <f>DP1330</f>
        <v>1549396.3968760394</v>
      </c>
      <c r="DQ1377" s="1503">
        <f>DQ1330</f>
        <v>1589191.6427202267</v>
      </c>
      <c r="DR1377" s="1503">
        <f>DR1330</f>
        <v>1589191.6427202267</v>
      </c>
      <c r="DT1377"/>
      <c r="DU1377"/>
      <c r="DV1377" s="1"/>
      <c r="DW1377" s="1"/>
      <c r="DX1377" s="1"/>
      <c r="DY1377" s="1"/>
      <c r="DZ1377" s="1"/>
      <c r="EA1377" s="1"/>
      <c r="EB1377" s="1"/>
      <c r="EC1377" s="1"/>
      <c r="ED1377" s="1"/>
      <c r="EE1377" s="1"/>
      <c r="EF1377" s="1"/>
      <c r="EG1377" s="1"/>
      <c r="EH1377" s="1"/>
      <c r="EI1377" s="1"/>
      <c r="EJ1377" s="1"/>
      <c r="EK1377" s="1"/>
      <c r="EL1377" s="1"/>
      <c r="EM1377" s="1"/>
      <c r="EN1377" s="1"/>
      <c r="EO1377" s="1"/>
      <c r="EP1377" s="1"/>
      <c r="EQ1377" s="1"/>
      <c r="ER1377" s="1"/>
      <c r="ES1377" s="1"/>
      <c r="ET1377" s="1"/>
      <c r="EU1377" s="1"/>
      <c r="EV1377" s="1"/>
      <c r="EW1377" s="1"/>
      <c r="EX1377" s="1"/>
      <c r="EY1377" s="1"/>
      <c r="EZ1377" s="1"/>
      <c r="FA1377" s="1"/>
      <c r="FB1377" s="1"/>
      <c r="FC1377" s="1"/>
      <c r="FD1377" s="1"/>
      <c r="FE1377" s="1"/>
      <c r="FF1377" s="1"/>
      <c r="FG1377" s="1"/>
      <c r="FH1377" s="1"/>
      <c r="FI1377" s="1"/>
      <c r="FJ1377" s="1"/>
      <c r="FK1377" s="1"/>
      <c r="FL1377" s="1"/>
      <c r="FM1377" s="1"/>
      <c r="FN1377" s="1"/>
      <c r="FO1377" s="1"/>
      <c r="FP1377" s="1"/>
      <c r="FQ1377" s="1"/>
      <c r="FR1377" s="1"/>
      <c r="FS1377" s="1"/>
      <c r="FT1377" s="1"/>
      <c r="FU1377" s="1"/>
      <c r="FV1377" s="1"/>
      <c r="FW1377" s="1"/>
      <c r="FX1377" s="1"/>
      <c r="FY1377" s="1"/>
      <c r="FZ1377" s="1"/>
      <c r="GA1377" s="1"/>
      <c r="GB1377" s="1"/>
      <c r="GC1377" s="1"/>
      <c r="GD1377" s="1"/>
      <c r="GE1377" s="1"/>
      <c r="GF1377" s="1"/>
      <c r="GG1377" s="1"/>
      <c r="GH1377" s="1"/>
      <c r="GI1377" s="1"/>
      <c r="GJ1377" s="1"/>
      <c r="GK1377" s="1"/>
      <c r="GL1377" s="1"/>
      <c r="GM1377" s="1"/>
      <c r="GN1377" s="1"/>
      <c r="GO1377" s="1"/>
      <c r="GP1377" s="1"/>
      <c r="GQ1377" s="1"/>
      <c r="GR1377" s="1"/>
      <c r="GS1377" s="1"/>
      <c r="GT1377" s="1"/>
      <c r="GU1377" s="1"/>
      <c r="GV1377" s="1"/>
      <c r="GW1377" s="1"/>
      <c r="GX1377" s="1"/>
      <c r="GY1377" s="1"/>
      <c r="GZ1377" s="1"/>
      <c r="HA1377" s="1"/>
      <c r="HB1377" s="1"/>
      <c r="HC1377" s="1"/>
      <c r="HD1377" s="1"/>
      <c r="HE1377" s="1"/>
      <c r="HF1377" s="1"/>
      <c r="HG1377" s="1"/>
      <c r="HH1377" s="1"/>
      <c r="HI1377" s="1"/>
      <c r="HJ1377" s="1"/>
      <c r="HK1377" s="1"/>
      <c r="HL1377" s="1"/>
      <c r="HM1377" s="1"/>
      <c r="HN1377" s="1"/>
      <c r="HO1377" s="1"/>
      <c r="HP1377" s="1"/>
      <c r="HQ1377" s="1"/>
      <c r="HR1377" s="1"/>
      <c r="HS1377" s="1"/>
      <c r="HT1377" s="1"/>
      <c r="HU1377" s="1"/>
      <c r="HV1377" s="1"/>
      <c r="HW1377" s="1"/>
      <c r="HX1377" s="1"/>
      <c r="HY1377" s="1"/>
      <c r="HZ1377" s="1"/>
      <c r="IA1377" s="1"/>
      <c r="IB1377" s="1"/>
      <c r="IC1377" s="1"/>
      <c r="ID1377" s="1"/>
      <c r="IE1377" s="1"/>
      <c r="IF1377" s="1"/>
      <c r="IG1377" s="1"/>
      <c r="IH1377" s="1"/>
      <c r="II1377" s="1"/>
      <c r="IJ1377" s="1"/>
      <c r="IK1377" s="1"/>
      <c r="IL1377" s="1"/>
      <c r="IM1377" s="1"/>
      <c r="IN1377" s="1"/>
      <c r="IO1377" s="1"/>
      <c r="IP1377" s="1"/>
      <c r="IQ1377" s="1"/>
      <c r="IR1377" s="1"/>
      <c r="IS1377" s="1"/>
      <c r="IT1377" s="1"/>
      <c r="IU1377" s="1"/>
      <c r="IV1377" s="1"/>
      <c r="IW1377" s="1"/>
      <c r="IX1377" s="1"/>
      <c r="IY1377" s="1"/>
      <c r="IZ1377" s="1"/>
      <c r="JA1377" s="1"/>
      <c r="JB1377" s="1"/>
      <c r="JC1377" s="1"/>
      <c r="JD1377" s="1"/>
    </row>
    <row r="1378" spans="1:264" s="424" customFormat="1" ht="15.75" thickBot="1" x14ac:dyDescent="0.3">
      <c r="A1378" s="469" t="s">
        <v>1169</v>
      </c>
      <c r="B1378" s="538"/>
      <c r="C1378" s="530"/>
      <c r="D1378" s="530"/>
      <c r="E1378" s="530"/>
      <c r="F1378" s="530"/>
      <c r="G1378" s="530"/>
      <c r="H1378" s="530"/>
      <c r="I1378" s="530"/>
      <c r="J1378" s="530"/>
      <c r="K1378" s="530"/>
      <c r="L1378" s="530"/>
      <c r="M1378" s="530"/>
      <c r="N1378" s="530"/>
      <c r="O1378" s="530"/>
      <c r="P1378" s="530"/>
      <c r="Q1378" s="530"/>
      <c r="R1378" s="530"/>
      <c r="S1378" s="530"/>
      <c r="T1378" s="530"/>
      <c r="U1378" s="530"/>
      <c r="V1378" s="530"/>
      <c r="W1378" s="530"/>
      <c r="X1378" s="530"/>
      <c r="Y1378" s="530"/>
      <c r="Z1378" s="530"/>
      <c r="AA1378" s="530"/>
      <c r="AB1378" s="530"/>
      <c r="AC1378" s="530"/>
      <c r="AD1378" s="530"/>
      <c r="AE1378" s="530"/>
      <c r="AF1378" s="530"/>
      <c r="AG1378" s="530"/>
      <c r="AH1378" s="530"/>
      <c r="AI1378" s="530"/>
      <c r="AJ1378" s="530"/>
      <c r="AK1378" s="530"/>
      <c r="AL1378" s="530"/>
      <c r="AM1378" s="530"/>
      <c r="AN1378" s="530"/>
      <c r="AO1378" s="530"/>
      <c r="AP1378" s="530"/>
      <c r="AQ1378" s="530"/>
      <c r="AR1378" s="530"/>
      <c r="AS1378" s="530"/>
      <c r="AT1378" s="530"/>
      <c r="AU1378" s="530"/>
      <c r="AV1378" s="530"/>
      <c r="AW1378" s="530"/>
      <c r="AX1378" s="530"/>
      <c r="AY1378" s="530"/>
      <c r="AZ1378" s="530"/>
      <c r="BA1378" s="530"/>
      <c r="BB1378" s="530"/>
      <c r="BC1378" s="530"/>
      <c r="BD1378" s="470"/>
      <c r="BE1378" s="470"/>
      <c r="BF1378" s="470"/>
      <c r="BG1378" s="530"/>
      <c r="BH1378" s="470"/>
      <c r="BI1378" s="470"/>
      <c r="BJ1378" s="470"/>
      <c r="BK1378" s="538"/>
      <c r="BL1378" s="470"/>
      <c r="BM1378" s="470"/>
      <c r="BN1378" s="470"/>
      <c r="BO1378" s="538"/>
      <c r="BP1378" s="470"/>
      <c r="BQ1378" s="470"/>
      <c r="BR1378" s="470"/>
      <c r="BS1378" s="530"/>
      <c r="BT1378" s="470"/>
      <c r="BU1378" s="470"/>
      <c r="BV1378" s="470"/>
      <c r="BW1378" s="530"/>
      <c r="BX1378" s="470"/>
      <c r="BY1378" s="470"/>
      <c r="BZ1378" s="470"/>
      <c r="CA1378" s="530"/>
      <c r="CB1378" s="470"/>
      <c r="CC1378" s="470"/>
      <c r="CD1378" s="470"/>
      <c r="CE1378" s="530"/>
      <c r="CF1378" s="470"/>
      <c r="CG1378" s="470"/>
      <c r="CH1378" s="470"/>
      <c r="CI1378" s="530"/>
      <c r="CJ1378" s="470"/>
      <c r="CK1378" s="470"/>
      <c r="CL1378" s="470"/>
      <c r="CM1378" s="530"/>
      <c r="CN1378" s="470"/>
      <c r="CO1378" s="470"/>
      <c r="CP1378" s="470"/>
      <c r="CQ1378" s="530"/>
      <c r="CR1378" s="470"/>
      <c r="CS1378" s="470"/>
      <c r="CT1378" s="470"/>
      <c r="CU1378" s="530"/>
      <c r="CV1378" s="470"/>
      <c r="CW1378" s="470"/>
      <c r="CX1378" s="470"/>
      <c r="CY1378" s="530"/>
      <c r="CZ1378" s="470"/>
      <c r="DA1378" s="470"/>
      <c r="DB1378" s="470"/>
      <c r="DC1378" s="530"/>
      <c r="DD1378" s="478">
        <f>DD1373/DD1377</f>
        <v>0.4403971341275813</v>
      </c>
      <c r="DE1378" s="478">
        <f>DE1373/DE1377</f>
        <v>0.44974359359396937</v>
      </c>
      <c r="DF1378" s="478">
        <f>DF1373/DF1377</f>
        <v>0.44974359359396937</v>
      </c>
      <c r="DG1378" s="478"/>
      <c r="DH1378" s="478">
        <f>DH1373/DH1377</f>
        <v>0.45012346019015842</v>
      </c>
      <c r="DI1378" s="1506">
        <f>DH1378</f>
        <v>0.45012346019015842</v>
      </c>
      <c r="DJ1378" s="478">
        <f>DJ1373/DJ1377</f>
        <v>0.45012346019015842</v>
      </c>
      <c r="DK1378" s="478"/>
      <c r="DL1378" s="1505">
        <f>DI1378</f>
        <v>0.45012346019015842</v>
      </c>
      <c r="DM1378" s="1505">
        <f>DL1378</f>
        <v>0.45012346019015842</v>
      </c>
      <c r="DN1378" s="478">
        <f>DN1373/DN1377</f>
        <v>0.45012346019015842</v>
      </c>
      <c r="DO1378" s="478"/>
      <c r="DP1378" s="1505">
        <f>DM1378</f>
        <v>0.45012346019015842</v>
      </c>
      <c r="DQ1378" s="1505">
        <f>DP1378</f>
        <v>0.45012346019015842</v>
      </c>
      <c r="DR1378" s="478">
        <f>DR1373/DR1377</f>
        <v>0.45012346019015842</v>
      </c>
      <c r="DT1378"/>
      <c r="DU1378"/>
      <c r="DV1378" s="1"/>
      <c r="DW1378" s="1"/>
      <c r="DX1378" s="1"/>
      <c r="DY1378" s="1"/>
      <c r="DZ1378" s="1"/>
      <c r="EA1378" s="1"/>
      <c r="EB1378" s="1"/>
      <c r="EC1378" s="1"/>
      <c r="ED1378" s="1"/>
      <c r="EE1378" s="1"/>
      <c r="EF1378" s="1"/>
      <c r="EG1378" s="1"/>
      <c r="EH1378" s="1"/>
      <c r="EI1378" s="1"/>
      <c r="EJ1378" s="1"/>
      <c r="EK1378" s="1"/>
      <c r="EL1378" s="1"/>
      <c r="EM1378" s="1"/>
      <c r="EN1378" s="1"/>
      <c r="EO1378" s="1"/>
      <c r="EP1378" s="1"/>
      <c r="EQ1378" s="1"/>
      <c r="ER1378" s="1"/>
      <c r="ES1378" s="1"/>
      <c r="ET1378" s="1"/>
      <c r="EU1378" s="1"/>
      <c r="EV1378" s="1"/>
      <c r="EW1378" s="1"/>
      <c r="EX1378" s="1"/>
      <c r="EY1378" s="1"/>
      <c r="EZ1378" s="1"/>
      <c r="FA1378" s="1"/>
      <c r="FB1378" s="1"/>
      <c r="FC1378" s="1"/>
      <c r="FD1378" s="1"/>
      <c r="FE1378" s="1"/>
      <c r="FF1378" s="1"/>
      <c r="FG1378" s="1"/>
      <c r="FH1378" s="1"/>
      <c r="FI1378" s="1"/>
      <c r="FJ1378" s="1"/>
      <c r="FK1378" s="1"/>
      <c r="FL1378" s="1"/>
      <c r="FM1378" s="1"/>
      <c r="FN1378" s="1"/>
      <c r="FO1378" s="1"/>
      <c r="FP1378" s="1"/>
      <c r="FQ1378" s="1"/>
      <c r="FR1378" s="1"/>
      <c r="FS1378" s="1"/>
      <c r="FT1378" s="1"/>
      <c r="FU1378" s="1"/>
      <c r="FV1378" s="1"/>
      <c r="FW1378" s="1"/>
      <c r="FX1378" s="1"/>
      <c r="FY1378" s="1"/>
      <c r="FZ1378" s="1"/>
      <c r="GA1378" s="1"/>
      <c r="GB1378" s="1"/>
      <c r="GC1378" s="1"/>
      <c r="GD1378" s="1"/>
      <c r="GE1378" s="1"/>
      <c r="GF1378" s="1"/>
      <c r="GG1378" s="1"/>
      <c r="GH1378" s="1"/>
      <c r="GI1378" s="1"/>
      <c r="GJ1378" s="1"/>
      <c r="GK1378" s="1"/>
      <c r="GL1378" s="1"/>
      <c r="GM1378" s="1"/>
      <c r="GN1378" s="1"/>
      <c r="GO1378" s="1"/>
      <c r="GP1378" s="1"/>
      <c r="GQ1378" s="1"/>
      <c r="GR1378" s="1"/>
      <c r="GS1378" s="1"/>
      <c r="GT1378" s="1"/>
      <c r="GU1378" s="1"/>
      <c r="GV1378" s="1"/>
      <c r="GW1378" s="1"/>
      <c r="GX1378" s="1"/>
      <c r="GY1378" s="1"/>
      <c r="GZ1378" s="1"/>
      <c r="HA1378" s="1"/>
      <c r="HB1378" s="1"/>
      <c r="HC1378" s="1"/>
      <c r="HD1378" s="1"/>
      <c r="HE1378" s="1"/>
      <c r="HF1378" s="1"/>
      <c r="HG1378" s="1"/>
      <c r="HH1378" s="1"/>
      <c r="HI1378" s="1"/>
      <c r="HJ1378" s="1"/>
      <c r="HK1378" s="1"/>
      <c r="HL1378" s="1"/>
      <c r="HM1378" s="1"/>
      <c r="HN1378" s="1"/>
      <c r="HO1378" s="1"/>
      <c r="HP1378" s="1"/>
      <c r="HQ1378" s="1"/>
      <c r="HR1378" s="1"/>
      <c r="HS1378" s="1"/>
      <c r="HT1378" s="1"/>
      <c r="HU1378" s="1"/>
      <c r="HV1378" s="1"/>
      <c r="HW1378" s="1"/>
      <c r="HX1378" s="1"/>
      <c r="HY1378" s="1"/>
      <c r="HZ1378" s="1"/>
      <c r="IA1378" s="1"/>
      <c r="IB1378" s="1"/>
      <c r="IC1378" s="1"/>
      <c r="ID1378" s="1"/>
      <c r="IE1378" s="1"/>
      <c r="IF1378" s="1"/>
      <c r="IG1378" s="1"/>
      <c r="IH1378" s="1"/>
      <c r="II1378" s="1"/>
      <c r="IJ1378" s="1"/>
      <c r="IK1378" s="1"/>
      <c r="IL1378" s="1"/>
      <c r="IM1378" s="1"/>
      <c r="IN1378" s="1"/>
      <c r="IO1378" s="1"/>
      <c r="IP1378" s="1"/>
      <c r="IQ1378" s="1"/>
      <c r="IR1378" s="1"/>
      <c r="IS1378" s="1"/>
      <c r="IT1378" s="1"/>
      <c r="IU1378" s="1"/>
      <c r="IV1378" s="1"/>
      <c r="IW1378" s="1"/>
      <c r="IX1378" s="1"/>
      <c r="IY1378" s="1"/>
      <c r="IZ1378" s="1"/>
      <c r="JA1378" s="1"/>
      <c r="JB1378" s="1"/>
      <c r="JC1378" s="1"/>
      <c r="JD1378" s="1"/>
    </row>
    <row r="1379" spans="1:264" s="424" customFormat="1" ht="15" x14ac:dyDescent="0.25">
      <c r="A1379" s="1500"/>
      <c r="B1379" s="536"/>
      <c r="BD1379" s="481"/>
      <c r="BE1379" s="481"/>
      <c r="BF1379" s="428"/>
      <c r="BH1379" s="481"/>
      <c r="BI1379" s="481"/>
      <c r="BJ1379" s="428"/>
      <c r="BK1379" s="536"/>
      <c r="BL1379" s="481"/>
      <c r="BM1379" s="481"/>
      <c r="BN1379" s="428"/>
      <c r="BO1379" s="536"/>
      <c r="BP1379" s="481"/>
      <c r="BQ1379" s="481"/>
      <c r="BR1379" s="428"/>
      <c r="BT1379" s="481"/>
      <c r="BU1379" s="481"/>
      <c r="BV1379" s="428"/>
      <c r="BX1379" s="481"/>
      <c r="BY1379" s="481"/>
      <c r="BZ1379" s="428"/>
      <c r="CB1379" s="481"/>
      <c r="CC1379" s="481"/>
      <c r="CD1379" s="428"/>
      <c r="CF1379" s="481"/>
      <c r="CG1379" s="481"/>
      <c r="CH1379" s="428"/>
      <c r="CJ1379" s="481"/>
      <c r="CK1379" s="481"/>
      <c r="CL1379" s="428"/>
      <c r="CN1379" s="481"/>
      <c r="CO1379" s="481"/>
      <c r="CP1379" s="428"/>
      <c r="CR1379" s="481"/>
      <c r="CS1379" s="481"/>
      <c r="CT1379" s="428"/>
      <c r="CV1379" s="481"/>
      <c r="CW1379" s="481"/>
      <c r="CX1379" s="428"/>
      <c r="CZ1379" s="481"/>
      <c r="DA1379" s="481"/>
      <c r="DB1379" s="428"/>
      <c r="DD1379" s="1504"/>
      <c r="DE1379" s="1504"/>
      <c r="DF1379" s="1504"/>
      <c r="DG1379" s="394"/>
      <c r="DH1379" s="1504"/>
      <c r="DI1379" s="1504"/>
      <c r="DJ1379" s="1504"/>
      <c r="DK1379" s="394"/>
      <c r="DL1379" s="1504"/>
      <c r="DM1379" s="1504"/>
      <c r="DN1379" s="1504"/>
      <c r="DO1379" s="394"/>
      <c r="DP1379" s="1504"/>
      <c r="DQ1379" s="1504"/>
      <c r="DR1379" s="1504"/>
      <c r="DT1379"/>
      <c r="DU1379"/>
      <c r="DV1379" s="1"/>
      <c r="DW1379" s="1"/>
      <c r="DX1379" s="1"/>
      <c r="DY1379" s="1"/>
      <c r="DZ1379" s="1"/>
      <c r="EA1379" s="1"/>
      <c r="EB1379" s="1"/>
      <c r="EC1379" s="1"/>
      <c r="ED1379" s="1"/>
      <c r="EE1379" s="1"/>
      <c r="EF1379" s="1"/>
      <c r="EG1379" s="1"/>
      <c r="EH1379" s="1"/>
      <c r="EI1379" s="1"/>
      <c r="EJ1379" s="1"/>
      <c r="EK1379" s="1"/>
      <c r="EL1379" s="1"/>
      <c r="EM1379" s="1"/>
      <c r="EN1379" s="1"/>
      <c r="EO1379" s="1"/>
      <c r="EP1379" s="1"/>
      <c r="EQ1379" s="1"/>
      <c r="ER1379" s="1"/>
      <c r="ES1379" s="1"/>
      <c r="ET1379" s="1"/>
      <c r="EU1379" s="1"/>
      <c r="EV1379" s="1"/>
      <c r="EW1379" s="1"/>
      <c r="EX1379" s="1"/>
      <c r="EY1379" s="1"/>
      <c r="EZ1379" s="1"/>
      <c r="FA1379" s="1"/>
      <c r="FB1379" s="1"/>
      <c r="FC1379" s="1"/>
      <c r="FD1379" s="1"/>
      <c r="FE1379" s="1"/>
      <c r="FF1379" s="1"/>
      <c r="FG1379" s="1"/>
      <c r="FH1379" s="1"/>
      <c r="FI1379" s="1"/>
      <c r="FJ1379" s="1"/>
      <c r="FK1379" s="1"/>
      <c r="FL1379" s="1"/>
      <c r="FM1379" s="1"/>
      <c r="FN1379" s="1"/>
      <c r="FO1379" s="1"/>
      <c r="FP1379" s="1"/>
      <c r="FQ1379" s="1"/>
      <c r="FR1379" s="1"/>
      <c r="FS1379" s="1"/>
      <c r="FT1379" s="1"/>
      <c r="FU1379" s="1"/>
      <c r="FV1379" s="1"/>
      <c r="FW1379" s="1"/>
      <c r="FX1379" s="1"/>
      <c r="FY1379" s="1"/>
      <c r="FZ1379" s="1"/>
      <c r="GA1379" s="1"/>
      <c r="GB1379" s="1"/>
      <c r="GC1379" s="1"/>
      <c r="GD1379" s="1"/>
      <c r="GE1379" s="1"/>
      <c r="GF1379" s="1"/>
      <c r="GG1379" s="1"/>
      <c r="GH1379" s="1"/>
      <c r="GI1379" s="1"/>
      <c r="GJ1379" s="1"/>
      <c r="GK1379" s="1"/>
      <c r="GL1379" s="1"/>
      <c r="GM1379" s="1"/>
      <c r="GN1379" s="1"/>
      <c r="GO1379" s="1"/>
      <c r="GP1379" s="1"/>
      <c r="GQ1379" s="1"/>
      <c r="GR1379" s="1"/>
      <c r="GS1379" s="1"/>
      <c r="GT1379" s="1"/>
      <c r="GU1379" s="1"/>
      <c r="GV1379" s="1"/>
      <c r="GW1379" s="1"/>
      <c r="GX1379" s="1"/>
      <c r="GY1379" s="1"/>
      <c r="GZ1379" s="1"/>
      <c r="HA1379" s="1"/>
      <c r="HB1379" s="1"/>
      <c r="HC1379" s="1"/>
      <c r="HD1379" s="1"/>
      <c r="HE1379" s="1"/>
      <c r="HF1379" s="1"/>
      <c r="HG1379" s="1"/>
      <c r="HH1379" s="1"/>
      <c r="HI1379" s="1"/>
      <c r="HJ1379" s="1"/>
      <c r="HK1379" s="1"/>
      <c r="HL1379" s="1"/>
      <c r="HM1379" s="1"/>
      <c r="HN1379" s="1"/>
      <c r="HO1379" s="1"/>
      <c r="HP1379" s="1"/>
      <c r="HQ1379" s="1"/>
      <c r="HR1379" s="1"/>
      <c r="HS1379" s="1"/>
      <c r="HT1379" s="1"/>
      <c r="HU1379" s="1"/>
      <c r="HV1379" s="1"/>
      <c r="HW1379" s="1"/>
      <c r="HX1379" s="1"/>
      <c r="HY1379" s="1"/>
      <c r="HZ1379" s="1"/>
      <c r="IA1379" s="1"/>
      <c r="IB1379" s="1"/>
      <c r="IC1379" s="1"/>
      <c r="ID1379" s="1"/>
      <c r="IE1379" s="1"/>
      <c r="IF1379" s="1"/>
      <c r="IG1379" s="1"/>
      <c r="IH1379" s="1"/>
      <c r="II1379" s="1"/>
      <c r="IJ1379" s="1"/>
      <c r="IK1379" s="1"/>
      <c r="IL1379" s="1"/>
      <c r="IM1379" s="1"/>
      <c r="IN1379" s="1"/>
      <c r="IO1379" s="1"/>
      <c r="IP1379" s="1"/>
      <c r="IQ1379" s="1"/>
      <c r="IR1379" s="1"/>
      <c r="IS1379" s="1"/>
      <c r="IT1379" s="1"/>
      <c r="IU1379" s="1"/>
      <c r="IV1379" s="1"/>
      <c r="IW1379" s="1"/>
      <c r="IX1379" s="1"/>
      <c r="IY1379" s="1"/>
      <c r="IZ1379" s="1"/>
      <c r="JA1379" s="1"/>
      <c r="JB1379" s="1"/>
      <c r="JC1379" s="1"/>
      <c r="JD1379" s="1"/>
    </row>
    <row r="1380" spans="1:264" s="424" customFormat="1" ht="15" x14ac:dyDescent="0.25">
      <c r="A1380" s="475" t="s">
        <v>1170</v>
      </c>
      <c r="B1380" s="536"/>
      <c r="BD1380" s="481"/>
      <c r="BE1380" s="481"/>
      <c r="BF1380" s="428"/>
      <c r="BH1380" s="481"/>
      <c r="BI1380" s="481"/>
      <c r="BJ1380" s="428"/>
      <c r="BK1380" s="536"/>
      <c r="BL1380" s="481"/>
      <c r="BM1380" s="481"/>
      <c r="BN1380" s="428"/>
      <c r="BO1380" s="536"/>
      <c r="BP1380" s="481"/>
      <c r="BQ1380" s="481"/>
      <c r="BR1380" s="428"/>
      <c r="BT1380" s="481"/>
      <c r="BU1380" s="481"/>
      <c r="BV1380" s="428"/>
      <c r="BX1380" s="481"/>
      <c r="BY1380" s="481"/>
      <c r="BZ1380" s="428"/>
      <c r="CB1380" s="481"/>
      <c r="CC1380" s="481"/>
      <c r="CD1380" s="428"/>
      <c r="CF1380" s="481"/>
      <c r="CG1380" s="481"/>
      <c r="CH1380" s="428"/>
      <c r="CJ1380" s="481"/>
      <c r="CK1380" s="481"/>
      <c r="CL1380" s="428"/>
      <c r="CN1380" s="481"/>
      <c r="CO1380" s="481"/>
      <c r="CP1380" s="428"/>
      <c r="CR1380" s="481"/>
      <c r="CS1380" s="481"/>
      <c r="CT1380" s="428"/>
      <c r="CV1380" s="481"/>
      <c r="CW1380" s="481"/>
      <c r="CX1380" s="428"/>
      <c r="CZ1380" s="481"/>
      <c r="DA1380" s="481"/>
      <c r="DB1380" s="428"/>
      <c r="DD1380" s="602">
        <v>0.72499999999999998</v>
      </c>
      <c r="DE1380" s="602">
        <v>0.72499999999999998</v>
      </c>
      <c r="DF1380" s="1507">
        <f>DE1380</f>
        <v>0.72499999999999998</v>
      </c>
      <c r="DG1380" s="394"/>
      <c r="DH1380" s="602">
        <v>0.72499999999999998</v>
      </c>
      <c r="DI1380" s="1507">
        <f>DH1380</f>
        <v>0.72499999999999998</v>
      </c>
      <c r="DJ1380" s="1507">
        <f>DI1380</f>
        <v>0.72499999999999998</v>
      </c>
      <c r="DK1380" s="394"/>
      <c r="DL1380" s="1507">
        <f>DI1380</f>
        <v>0.72499999999999998</v>
      </c>
      <c r="DM1380" s="1507">
        <f>DL1380</f>
        <v>0.72499999999999998</v>
      </c>
      <c r="DN1380" s="1507">
        <f>DM1380</f>
        <v>0.72499999999999998</v>
      </c>
      <c r="DO1380" s="394"/>
      <c r="DP1380" s="1507">
        <f>DM1380</f>
        <v>0.72499999999999998</v>
      </c>
      <c r="DQ1380" s="1507">
        <f>DP1380</f>
        <v>0.72499999999999998</v>
      </c>
      <c r="DR1380" s="1507">
        <f>DQ1380</f>
        <v>0.72499999999999998</v>
      </c>
      <c r="DT1380"/>
      <c r="DU1380"/>
      <c r="DV1380" s="1"/>
      <c r="DW1380" s="1"/>
      <c r="DX1380" s="1"/>
      <c r="DY1380" s="1"/>
      <c r="DZ1380" s="1"/>
      <c r="EA1380" s="1"/>
      <c r="EB1380" s="1"/>
      <c r="EC1380" s="1"/>
      <c r="ED1380" s="1"/>
      <c r="EE1380" s="1"/>
      <c r="EF1380" s="1"/>
      <c r="EG1380" s="1"/>
      <c r="EH1380" s="1"/>
      <c r="EI1380" s="1"/>
      <c r="EJ1380" s="1"/>
      <c r="EK1380" s="1"/>
      <c r="EL1380" s="1"/>
      <c r="EM1380" s="1"/>
      <c r="EN1380" s="1"/>
      <c r="EO1380" s="1"/>
      <c r="EP1380" s="1"/>
      <c r="EQ1380" s="1"/>
      <c r="ER1380" s="1"/>
      <c r="ES1380" s="1"/>
      <c r="ET1380" s="1"/>
      <c r="EU1380" s="1"/>
      <c r="EV1380" s="1"/>
      <c r="EW1380" s="1"/>
      <c r="EX1380" s="1"/>
      <c r="EY1380" s="1"/>
      <c r="EZ1380" s="1"/>
      <c r="FA1380" s="1"/>
      <c r="FB1380" s="1"/>
      <c r="FC1380" s="1"/>
      <c r="FD1380" s="1"/>
      <c r="FE1380" s="1"/>
      <c r="FF1380" s="1"/>
      <c r="FG1380" s="1"/>
      <c r="FH1380" s="1"/>
      <c r="FI1380" s="1"/>
      <c r="FJ1380" s="1"/>
      <c r="FK1380" s="1"/>
      <c r="FL1380" s="1"/>
      <c r="FM1380" s="1"/>
      <c r="FN1380" s="1"/>
      <c r="FO1380" s="1"/>
      <c r="FP1380" s="1"/>
      <c r="FQ1380" s="1"/>
      <c r="FR1380" s="1"/>
      <c r="FS1380" s="1"/>
      <c r="FT1380" s="1"/>
      <c r="FU1380" s="1"/>
      <c r="FV1380" s="1"/>
      <c r="FW1380" s="1"/>
      <c r="FX1380" s="1"/>
      <c r="FY1380" s="1"/>
      <c r="FZ1380" s="1"/>
      <c r="GA1380" s="1"/>
      <c r="GB1380" s="1"/>
      <c r="GC1380" s="1"/>
      <c r="GD1380" s="1"/>
      <c r="GE1380" s="1"/>
      <c r="GF1380" s="1"/>
      <c r="GG1380" s="1"/>
      <c r="GH1380" s="1"/>
      <c r="GI1380" s="1"/>
      <c r="GJ1380" s="1"/>
      <c r="GK1380" s="1"/>
      <c r="GL1380" s="1"/>
      <c r="GM1380" s="1"/>
      <c r="GN1380" s="1"/>
      <c r="GO1380" s="1"/>
      <c r="GP1380" s="1"/>
      <c r="GQ1380" s="1"/>
      <c r="GR1380" s="1"/>
      <c r="GS1380" s="1"/>
      <c r="GT1380" s="1"/>
      <c r="GU1380" s="1"/>
      <c r="GV1380" s="1"/>
      <c r="GW1380" s="1"/>
      <c r="GX1380" s="1"/>
      <c r="GY1380" s="1"/>
      <c r="GZ1380" s="1"/>
      <c r="HA1380" s="1"/>
      <c r="HB1380" s="1"/>
      <c r="HC1380" s="1"/>
      <c r="HD1380" s="1"/>
      <c r="HE1380" s="1"/>
      <c r="HF1380" s="1"/>
      <c r="HG1380" s="1"/>
      <c r="HH1380" s="1"/>
      <c r="HI1380" s="1"/>
      <c r="HJ1380" s="1"/>
      <c r="HK1380" s="1"/>
      <c r="HL1380" s="1"/>
      <c r="HM1380" s="1"/>
      <c r="HN1380" s="1"/>
      <c r="HO1380" s="1"/>
      <c r="HP1380" s="1"/>
      <c r="HQ1380" s="1"/>
      <c r="HR1380" s="1"/>
      <c r="HS1380" s="1"/>
      <c r="HT1380" s="1"/>
      <c r="HU1380" s="1"/>
      <c r="HV1380" s="1"/>
      <c r="HW1380" s="1"/>
      <c r="HX1380" s="1"/>
      <c r="HY1380" s="1"/>
      <c r="HZ1380" s="1"/>
      <c r="IA1380" s="1"/>
      <c r="IB1380" s="1"/>
      <c r="IC1380" s="1"/>
      <c r="ID1380" s="1"/>
      <c r="IE1380" s="1"/>
      <c r="IF1380" s="1"/>
      <c r="IG1380" s="1"/>
      <c r="IH1380" s="1"/>
      <c r="II1380" s="1"/>
      <c r="IJ1380" s="1"/>
      <c r="IK1380" s="1"/>
      <c r="IL1380" s="1"/>
      <c r="IM1380" s="1"/>
      <c r="IN1380" s="1"/>
      <c r="IO1380" s="1"/>
      <c r="IP1380" s="1"/>
      <c r="IQ1380" s="1"/>
      <c r="IR1380" s="1"/>
      <c r="IS1380" s="1"/>
      <c r="IT1380" s="1"/>
      <c r="IU1380" s="1"/>
      <c r="IV1380" s="1"/>
      <c r="IW1380" s="1"/>
      <c r="IX1380" s="1"/>
      <c r="IY1380" s="1"/>
      <c r="IZ1380" s="1"/>
      <c r="JA1380" s="1"/>
      <c r="JB1380" s="1"/>
      <c r="JC1380" s="1"/>
      <c r="JD1380" s="1"/>
    </row>
    <row r="1381" spans="1:264" s="424" customFormat="1" ht="15" x14ac:dyDescent="0.25">
      <c r="A1381" s="1500" t="s">
        <v>1171</v>
      </c>
      <c r="B1381" s="536"/>
      <c r="BD1381" s="481"/>
      <c r="BE1381" s="481"/>
      <c r="BF1381" s="428"/>
      <c r="BH1381" s="481"/>
      <c r="BI1381" s="481"/>
      <c r="BJ1381" s="428"/>
      <c r="BK1381" s="536"/>
      <c r="BL1381" s="481"/>
      <c r="BM1381" s="481"/>
      <c r="BN1381" s="428"/>
      <c r="BO1381" s="536"/>
      <c r="BP1381" s="481"/>
      <c r="BQ1381" s="481"/>
      <c r="BR1381" s="428"/>
      <c r="BT1381" s="481"/>
      <c r="BU1381" s="481"/>
      <c r="BV1381" s="428"/>
      <c r="BX1381" s="481"/>
      <c r="BY1381" s="481"/>
      <c r="BZ1381" s="428"/>
      <c r="CB1381" s="481"/>
      <c r="CC1381" s="481"/>
      <c r="CD1381" s="428"/>
      <c r="CF1381" s="481"/>
      <c r="CG1381" s="481"/>
      <c r="CH1381" s="428"/>
      <c r="CJ1381" s="481"/>
      <c r="CK1381" s="481"/>
      <c r="CL1381" s="428"/>
      <c r="CN1381" s="481"/>
      <c r="CO1381" s="481"/>
      <c r="CP1381" s="428"/>
      <c r="CR1381" s="481"/>
      <c r="CS1381" s="481"/>
      <c r="CT1381" s="428"/>
      <c r="CV1381" s="481"/>
      <c r="CW1381" s="481"/>
      <c r="CX1381" s="428"/>
      <c r="CZ1381" s="481"/>
      <c r="DA1381" s="481"/>
      <c r="DB1381" s="428"/>
      <c r="DD1381" s="1504">
        <f>DD1376*DD1380</f>
        <v>459549.95</v>
      </c>
      <c r="DE1381" s="1504">
        <f>DE1376*DE1380</f>
        <v>475872.6</v>
      </c>
      <c r="DF1381" s="1504">
        <f>DF1376*DF1380</f>
        <v>475872.6</v>
      </c>
      <c r="DG1381" s="394"/>
      <c r="DH1381" s="1504">
        <f>DH1376*DH1380</f>
        <v>494515.97499999998</v>
      </c>
      <c r="DI1381" s="1504">
        <f ca="1">DI1376*DI1380</f>
        <v>510924.02735649567</v>
      </c>
      <c r="DJ1381" s="1504">
        <f ca="1">DJ1376*DJ1380</f>
        <v>510924.02735649567</v>
      </c>
      <c r="DK1381" s="394"/>
      <c r="DL1381" s="1504">
        <f ca="1">DL1376*DL1380</f>
        <v>525371.35442585987</v>
      </c>
      <c r="DM1381" s="1504">
        <f ca="1">DM1376*DM1380</f>
        <v>542180.67162456014</v>
      </c>
      <c r="DN1381" s="1504">
        <f ca="1">DN1376*DN1380</f>
        <v>542180.67162456014</v>
      </c>
      <c r="DO1381" s="394"/>
      <c r="DP1381" s="1504">
        <f ca="1">DP1376*DP1380</f>
        <v>554686.98122359195</v>
      </c>
      <c r="DQ1381" s="1504">
        <f ca="1">DQ1376*DQ1380</f>
        <v>568900.97060339234</v>
      </c>
      <c r="DR1381" s="1504">
        <f ca="1">DR1376*DR1380</f>
        <v>568900.97060339234</v>
      </c>
      <c r="DT1381"/>
      <c r="DU1381"/>
      <c r="DV1381" s="1"/>
      <c r="DW1381" s="1"/>
      <c r="DX1381" s="1"/>
      <c r="DY1381" s="1"/>
      <c r="DZ1381" s="1"/>
      <c r="EA1381" s="1"/>
      <c r="EB1381" s="1"/>
      <c r="EC1381" s="1"/>
      <c r="ED1381" s="1"/>
      <c r="EE1381" s="1"/>
      <c r="EF1381" s="1"/>
      <c r="EG1381" s="1"/>
      <c r="EH1381" s="1"/>
      <c r="EI1381" s="1"/>
      <c r="EJ1381" s="1"/>
      <c r="EK1381" s="1"/>
      <c r="EL1381" s="1"/>
      <c r="EM1381" s="1"/>
      <c r="EN1381" s="1"/>
      <c r="EO1381" s="1"/>
      <c r="EP1381" s="1"/>
      <c r="EQ1381" s="1"/>
      <c r="ER1381" s="1"/>
      <c r="ES1381" s="1"/>
      <c r="ET1381" s="1"/>
      <c r="EU1381" s="1"/>
      <c r="EV1381" s="1"/>
      <c r="EW1381" s="1"/>
      <c r="EX1381" s="1"/>
      <c r="EY1381" s="1"/>
      <c r="EZ1381" s="1"/>
      <c r="FA1381" s="1"/>
      <c r="FB1381" s="1"/>
      <c r="FC1381" s="1"/>
      <c r="FD1381" s="1"/>
      <c r="FE1381" s="1"/>
      <c r="FF1381" s="1"/>
      <c r="FG1381" s="1"/>
      <c r="FH1381" s="1"/>
      <c r="FI1381" s="1"/>
      <c r="FJ1381" s="1"/>
      <c r="FK1381" s="1"/>
      <c r="FL1381" s="1"/>
      <c r="FM1381" s="1"/>
      <c r="FN1381" s="1"/>
      <c r="FO1381" s="1"/>
      <c r="FP1381" s="1"/>
      <c r="FQ1381" s="1"/>
      <c r="FR1381" s="1"/>
      <c r="FS1381" s="1"/>
      <c r="FT1381" s="1"/>
      <c r="FU1381" s="1"/>
      <c r="FV1381" s="1"/>
      <c r="FW1381" s="1"/>
      <c r="FX1381" s="1"/>
      <c r="FY1381" s="1"/>
      <c r="FZ1381" s="1"/>
      <c r="GA1381" s="1"/>
      <c r="GB1381" s="1"/>
      <c r="GC1381" s="1"/>
      <c r="GD1381" s="1"/>
      <c r="GE1381" s="1"/>
      <c r="GF1381" s="1"/>
      <c r="GG1381" s="1"/>
      <c r="GH1381" s="1"/>
      <c r="GI1381" s="1"/>
      <c r="GJ1381" s="1"/>
      <c r="GK1381" s="1"/>
      <c r="GL1381" s="1"/>
      <c r="GM1381" s="1"/>
      <c r="GN1381" s="1"/>
      <c r="GO1381" s="1"/>
      <c r="GP1381" s="1"/>
      <c r="GQ1381" s="1"/>
      <c r="GR1381" s="1"/>
      <c r="GS1381" s="1"/>
      <c r="GT1381" s="1"/>
      <c r="GU1381" s="1"/>
      <c r="GV1381" s="1"/>
      <c r="GW1381" s="1"/>
      <c r="GX1381" s="1"/>
      <c r="GY1381" s="1"/>
      <c r="GZ1381" s="1"/>
      <c r="HA1381" s="1"/>
      <c r="HB1381" s="1"/>
      <c r="HC1381" s="1"/>
      <c r="HD1381" s="1"/>
      <c r="HE1381" s="1"/>
      <c r="HF1381" s="1"/>
      <c r="HG1381" s="1"/>
      <c r="HH1381" s="1"/>
      <c r="HI1381" s="1"/>
      <c r="HJ1381" s="1"/>
      <c r="HK1381" s="1"/>
      <c r="HL1381" s="1"/>
      <c r="HM1381" s="1"/>
      <c r="HN1381" s="1"/>
      <c r="HO1381" s="1"/>
      <c r="HP1381" s="1"/>
      <c r="HQ1381" s="1"/>
      <c r="HR1381" s="1"/>
      <c r="HS1381" s="1"/>
      <c r="HT1381" s="1"/>
      <c r="HU1381" s="1"/>
      <c r="HV1381" s="1"/>
      <c r="HW1381" s="1"/>
      <c r="HX1381" s="1"/>
      <c r="HY1381" s="1"/>
      <c r="HZ1381" s="1"/>
      <c r="IA1381" s="1"/>
      <c r="IB1381" s="1"/>
      <c r="IC1381" s="1"/>
      <c r="ID1381" s="1"/>
      <c r="IE1381" s="1"/>
      <c r="IF1381" s="1"/>
      <c r="IG1381" s="1"/>
      <c r="IH1381" s="1"/>
      <c r="II1381" s="1"/>
      <c r="IJ1381" s="1"/>
      <c r="IK1381" s="1"/>
      <c r="IL1381" s="1"/>
      <c r="IM1381" s="1"/>
      <c r="IN1381" s="1"/>
      <c r="IO1381" s="1"/>
      <c r="IP1381" s="1"/>
      <c r="IQ1381" s="1"/>
      <c r="IR1381" s="1"/>
      <c r="IS1381" s="1"/>
      <c r="IT1381" s="1"/>
      <c r="IU1381" s="1"/>
      <c r="IV1381" s="1"/>
      <c r="IW1381" s="1"/>
      <c r="IX1381" s="1"/>
      <c r="IY1381" s="1"/>
      <c r="IZ1381" s="1"/>
      <c r="JA1381" s="1"/>
      <c r="JB1381" s="1"/>
      <c r="JC1381" s="1"/>
      <c r="JD1381" s="1"/>
    </row>
    <row r="1382" spans="1:264" s="424" customFormat="1" ht="15" x14ac:dyDescent="0.25">
      <c r="A1382" s="1500"/>
      <c r="B1382" s="536"/>
      <c r="BD1382" s="481"/>
      <c r="BE1382" s="481"/>
      <c r="BF1382" s="428"/>
      <c r="BH1382" s="481"/>
      <c r="BI1382" s="481"/>
      <c r="BJ1382" s="428"/>
      <c r="BK1382" s="536"/>
      <c r="BL1382" s="481"/>
      <c r="BM1382" s="481"/>
      <c r="BN1382" s="428"/>
      <c r="BO1382" s="536"/>
      <c r="BP1382" s="481"/>
      <c r="BQ1382" s="481"/>
      <c r="BR1382" s="428"/>
      <c r="BT1382" s="481"/>
      <c r="BU1382" s="481"/>
      <c r="BV1382" s="428"/>
      <c r="BX1382" s="481"/>
      <c r="BY1382" s="481"/>
      <c r="BZ1382" s="428"/>
      <c r="CB1382" s="481"/>
      <c r="CC1382" s="481"/>
      <c r="CD1382" s="428"/>
      <c r="CF1382" s="481"/>
      <c r="CG1382" s="481"/>
      <c r="CH1382" s="428"/>
      <c r="CJ1382" s="481"/>
      <c r="CK1382" s="481"/>
      <c r="CL1382" s="428"/>
      <c r="CN1382" s="481"/>
      <c r="CO1382" s="481"/>
      <c r="CP1382" s="428"/>
      <c r="CR1382" s="481"/>
      <c r="CS1382" s="481"/>
      <c r="CT1382" s="428"/>
      <c r="CV1382" s="481"/>
      <c r="CW1382" s="481"/>
      <c r="CX1382" s="428"/>
      <c r="CZ1382" s="481"/>
      <c r="DA1382" s="481"/>
      <c r="DB1382" s="428"/>
      <c r="DD1382" s="1504"/>
      <c r="DE1382" s="1504"/>
      <c r="DF1382" s="1504"/>
      <c r="DG1382" s="394"/>
      <c r="DH1382" s="1504"/>
      <c r="DI1382" s="1504"/>
      <c r="DJ1382" s="1504"/>
      <c r="DK1382" s="394"/>
      <c r="DL1382" s="1504"/>
      <c r="DM1382" s="1504"/>
      <c r="DN1382" s="1504"/>
      <c r="DO1382" s="394"/>
      <c r="DP1382" s="1504"/>
      <c r="DQ1382" s="1504"/>
      <c r="DR1382" s="1504"/>
      <c r="DT1382"/>
      <c r="DU1382"/>
      <c r="DV1382" s="1"/>
      <c r="DW1382" s="1"/>
      <c r="DX1382" s="1"/>
      <c r="DY1382" s="1"/>
      <c r="DZ1382" s="1"/>
      <c r="EA1382" s="1"/>
      <c r="EB1382" s="1"/>
      <c r="EC1382" s="1"/>
      <c r="ED1382" s="1"/>
      <c r="EE1382" s="1"/>
      <c r="EF1382" s="1"/>
      <c r="EG1382" s="1"/>
      <c r="EH1382" s="1"/>
      <c r="EI1382" s="1"/>
      <c r="EJ1382" s="1"/>
      <c r="EK1382" s="1"/>
      <c r="EL1382" s="1"/>
      <c r="EM1382" s="1"/>
      <c r="EN1382" s="1"/>
      <c r="EO1382" s="1"/>
      <c r="EP1382" s="1"/>
      <c r="EQ1382" s="1"/>
      <c r="ER1382" s="1"/>
      <c r="ES1382" s="1"/>
      <c r="ET1382" s="1"/>
      <c r="EU1382" s="1"/>
      <c r="EV1382" s="1"/>
      <c r="EW1382" s="1"/>
      <c r="EX1382" s="1"/>
      <c r="EY1382" s="1"/>
      <c r="EZ1382" s="1"/>
      <c r="FA1382" s="1"/>
      <c r="FB1382" s="1"/>
      <c r="FC1382" s="1"/>
      <c r="FD1382" s="1"/>
      <c r="FE1382" s="1"/>
      <c r="FF1382" s="1"/>
      <c r="FG1382" s="1"/>
      <c r="FH1382" s="1"/>
      <c r="FI1382" s="1"/>
      <c r="FJ1382" s="1"/>
      <c r="FK1382" s="1"/>
      <c r="FL1382" s="1"/>
      <c r="FM1382" s="1"/>
      <c r="FN1382" s="1"/>
      <c r="FO1382" s="1"/>
      <c r="FP1382" s="1"/>
      <c r="FQ1382" s="1"/>
      <c r="FR1382" s="1"/>
      <c r="FS1382" s="1"/>
      <c r="FT1382" s="1"/>
      <c r="FU1382" s="1"/>
      <c r="FV1382" s="1"/>
      <c r="FW1382" s="1"/>
      <c r="FX1382" s="1"/>
      <c r="FY1382" s="1"/>
      <c r="FZ1382" s="1"/>
      <c r="GA1382" s="1"/>
      <c r="GB1382" s="1"/>
      <c r="GC1382" s="1"/>
      <c r="GD1382" s="1"/>
      <c r="GE1382" s="1"/>
      <c r="GF1382" s="1"/>
      <c r="GG1382" s="1"/>
      <c r="GH1382" s="1"/>
      <c r="GI1382" s="1"/>
      <c r="GJ1382" s="1"/>
      <c r="GK1382" s="1"/>
      <c r="GL1382" s="1"/>
      <c r="GM1382" s="1"/>
      <c r="GN1382" s="1"/>
      <c r="GO1382" s="1"/>
      <c r="GP1382" s="1"/>
      <c r="GQ1382" s="1"/>
      <c r="GR1382" s="1"/>
      <c r="GS1382" s="1"/>
      <c r="GT1382" s="1"/>
      <c r="GU1382" s="1"/>
      <c r="GV1382" s="1"/>
      <c r="GW1382" s="1"/>
      <c r="GX1382" s="1"/>
      <c r="GY1382" s="1"/>
      <c r="GZ1382" s="1"/>
      <c r="HA1382" s="1"/>
      <c r="HB1382" s="1"/>
      <c r="HC1382" s="1"/>
      <c r="HD1382" s="1"/>
      <c r="HE1382" s="1"/>
      <c r="HF1382" s="1"/>
      <c r="HG1382" s="1"/>
      <c r="HH1382" s="1"/>
      <c r="HI1382" s="1"/>
      <c r="HJ1382" s="1"/>
      <c r="HK1382" s="1"/>
      <c r="HL1382" s="1"/>
      <c r="HM1382" s="1"/>
      <c r="HN1382" s="1"/>
      <c r="HO1382" s="1"/>
      <c r="HP1382" s="1"/>
      <c r="HQ1382" s="1"/>
      <c r="HR1382" s="1"/>
      <c r="HS1382" s="1"/>
      <c r="HT1382" s="1"/>
      <c r="HU1382" s="1"/>
      <c r="HV1382" s="1"/>
      <c r="HW1382" s="1"/>
      <c r="HX1382" s="1"/>
      <c r="HY1382" s="1"/>
      <c r="HZ1382" s="1"/>
      <c r="IA1382" s="1"/>
      <c r="IB1382" s="1"/>
      <c r="IC1382" s="1"/>
      <c r="ID1382" s="1"/>
      <c r="IE1382" s="1"/>
      <c r="IF1382" s="1"/>
      <c r="IG1382" s="1"/>
      <c r="IH1382" s="1"/>
      <c r="II1382" s="1"/>
      <c r="IJ1382" s="1"/>
      <c r="IK1382" s="1"/>
      <c r="IL1382" s="1"/>
      <c r="IM1382" s="1"/>
      <c r="IN1382" s="1"/>
      <c r="IO1382" s="1"/>
      <c r="IP1382" s="1"/>
      <c r="IQ1382" s="1"/>
      <c r="IR1382" s="1"/>
      <c r="IS1382" s="1"/>
      <c r="IT1382" s="1"/>
      <c r="IU1382" s="1"/>
      <c r="IV1382" s="1"/>
      <c r="IW1382" s="1"/>
      <c r="IX1382" s="1"/>
      <c r="IY1382" s="1"/>
      <c r="IZ1382" s="1"/>
      <c r="JA1382" s="1"/>
      <c r="JB1382" s="1"/>
      <c r="JC1382" s="1"/>
      <c r="JD1382" s="1"/>
    </row>
    <row r="1383" spans="1:264" s="424" customFormat="1" ht="15" x14ac:dyDescent="0.25">
      <c r="A1383" s="1343" t="s">
        <v>1172</v>
      </c>
      <c r="B1383" s="536"/>
      <c r="BD1383" s="481"/>
      <c r="BE1383" s="481"/>
      <c r="BF1383" s="428"/>
      <c r="BH1383" s="481"/>
      <c r="BI1383" s="481"/>
      <c r="BJ1383" s="428"/>
      <c r="BK1383" s="536"/>
      <c r="BL1383" s="481"/>
      <c r="BM1383" s="481"/>
      <c r="BN1383" s="428"/>
      <c r="BO1383" s="536"/>
      <c r="BP1383" s="481"/>
      <c r="BQ1383" s="481"/>
      <c r="BR1383" s="428"/>
      <c r="BT1383" s="481"/>
      <c r="BU1383" s="481"/>
      <c r="BV1383" s="428"/>
      <c r="BX1383" s="481"/>
      <c r="BY1383" s="481"/>
      <c r="BZ1383" s="428"/>
      <c r="CB1383" s="481"/>
      <c r="CC1383" s="481"/>
      <c r="CD1383" s="428"/>
      <c r="CF1383" s="481"/>
      <c r="CG1383" s="481"/>
      <c r="CH1383" s="428"/>
      <c r="CJ1383" s="481"/>
      <c r="CK1383" s="481"/>
      <c r="CL1383" s="428"/>
      <c r="CN1383" s="481"/>
      <c r="CO1383" s="481"/>
      <c r="CP1383" s="428"/>
      <c r="CR1383" s="481"/>
      <c r="CS1383" s="481"/>
      <c r="CT1383" s="428"/>
      <c r="CV1383" s="481"/>
      <c r="CW1383" s="481"/>
      <c r="CX1383" s="428"/>
      <c r="CZ1383" s="481"/>
      <c r="DA1383" s="481"/>
      <c r="DB1383" s="428"/>
      <c r="DD1383" s="1503">
        <f>DD1305</f>
        <v>385117</v>
      </c>
      <c r="DE1383" s="1503">
        <f>DE1305</f>
        <v>398928</v>
      </c>
      <c r="DF1383" s="1503">
        <f>DF1305</f>
        <v>398928</v>
      </c>
      <c r="DG1383" s="394"/>
      <c r="DH1383" s="1503">
        <f>DH1305</f>
        <v>409119</v>
      </c>
      <c r="DI1383" s="1503">
        <f ca="1">DI1305</f>
        <v>423035.70217825164</v>
      </c>
      <c r="DJ1383" s="1503">
        <f ca="1">DJ1305</f>
        <v>423035.70217825164</v>
      </c>
      <c r="DK1383" s="394"/>
      <c r="DL1383" s="1503">
        <f ca="1">DL1305</f>
        <v>434605.43783604458</v>
      </c>
      <c r="DM1383" s="1503">
        <f ca="1">DM1305</f>
        <v>448846.79899896123</v>
      </c>
      <c r="DN1383" s="1503">
        <f ca="1">DN1305</f>
        <v>448846.79899896123</v>
      </c>
      <c r="DO1383" s="394"/>
      <c r="DP1383" s="1503">
        <f ca="1">DP1305</f>
        <v>459077.5513190506</v>
      </c>
      <c r="DQ1383" s="1503">
        <f ca="1">DQ1305</f>
        <v>471049.84316655208</v>
      </c>
      <c r="DR1383" s="1503">
        <f ca="1">DR1305</f>
        <v>471049.84316655208</v>
      </c>
      <c r="DT1383"/>
      <c r="DU1383"/>
      <c r="DV1383" s="1"/>
      <c r="DW1383" s="1"/>
      <c r="DX1383" s="1"/>
      <c r="DY1383" s="1"/>
      <c r="DZ1383" s="1"/>
      <c r="EA1383" s="1"/>
      <c r="EB1383" s="1"/>
      <c r="EC1383" s="1"/>
      <c r="ED1383" s="1"/>
      <c r="EE1383" s="1"/>
      <c r="EF1383" s="1"/>
      <c r="EG1383" s="1"/>
      <c r="EH1383" s="1"/>
      <c r="EI1383" s="1"/>
      <c r="EJ1383" s="1"/>
      <c r="EK1383" s="1"/>
      <c r="EL1383" s="1"/>
      <c r="EM1383" s="1"/>
      <c r="EN1383" s="1"/>
      <c r="EO1383" s="1"/>
      <c r="EP1383" s="1"/>
      <c r="EQ1383" s="1"/>
      <c r="ER1383" s="1"/>
      <c r="ES1383" s="1"/>
      <c r="ET1383" s="1"/>
      <c r="EU1383" s="1"/>
      <c r="EV1383" s="1"/>
      <c r="EW1383" s="1"/>
      <c r="EX1383" s="1"/>
      <c r="EY1383" s="1"/>
      <c r="EZ1383" s="1"/>
      <c r="FA1383" s="1"/>
      <c r="FB1383" s="1"/>
      <c r="FC1383" s="1"/>
      <c r="FD1383" s="1"/>
      <c r="FE1383" s="1"/>
      <c r="FF1383" s="1"/>
      <c r="FG1383" s="1"/>
      <c r="FH1383" s="1"/>
      <c r="FI1383" s="1"/>
      <c r="FJ1383" s="1"/>
      <c r="FK1383" s="1"/>
      <c r="FL1383" s="1"/>
      <c r="FM1383" s="1"/>
      <c r="FN1383" s="1"/>
      <c r="FO1383" s="1"/>
      <c r="FP1383" s="1"/>
      <c r="FQ1383" s="1"/>
      <c r="FR1383" s="1"/>
      <c r="FS1383" s="1"/>
      <c r="FT1383" s="1"/>
      <c r="FU1383" s="1"/>
      <c r="FV1383" s="1"/>
      <c r="FW1383" s="1"/>
      <c r="FX1383" s="1"/>
      <c r="FY1383" s="1"/>
      <c r="FZ1383" s="1"/>
      <c r="GA1383" s="1"/>
      <c r="GB1383" s="1"/>
      <c r="GC1383" s="1"/>
      <c r="GD1383" s="1"/>
      <c r="GE1383" s="1"/>
      <c r="GF1383" s="1"/>
      <c r="GG1383" s="1"/>
      <c r="GH1383" s="1"/>
      <c r="GI1383" s="1"/>
      <c r="GJ1383" s="1"/>
      <c r="GK1383" s="1"/>
      <c r="GL1383" s="1"/>
      <c r="GM1383" s="1"/>
      <c r="GN1383" s="1"/>
      <c r="GO1383" s="1"/>
      <c r="GP1383" s="1"/>
      <c r="GQ1383" s="1"/>
      <c r="GR1383" s="1"/>
      <c r="GS1383" s="1"/>
      <c r="GT1383" s="1"/>
      <c r="GU1383" s="1"/>
      <c r="GV1383" s="1"/>
      <c r="GW1383" s="1"/>
      <c r="GX1383" s="1"/>
      <c r="GY1383" s="1"/>
      <c r="GZ1383" s="1"/>
      <c r="HA1383" s="1"/>
      <c r="HB1383" s="1"/>
      <c r="HC1383" s="1"/>
      <c r="HD1383" s="1"/>
      <c r="HE1383" s="1"/>
      <c r="HF1383" s="1"/>
      <c r="HG1383" s="1"/>
      <c r="HH1383" s="1"/>
      <c r="HI1383" s="1"/>
      <c r="HJ1383" s="1"/>
      <c r="HK1383" s="1"/>
      <c r="HL1383" s="1"/>
      <c r="HM1383" s="1"/>
      <c r="HN1383" s="1"/>
      <c r="HO1383" s="1"/>
      <c r="HP1383" s="1"/>
      <c r="HQ1383" s="1"/>
      <c r="HR1383" s="1"/>
      <c r="HS1383" s="1"/>
      <c r="HT1383" s="1"/>
      <c r="HU1383" s="1"/>
      <c r="HV1383" s="1"/>
      <c r="HW1383" s="1"/>
      <c r="HX1383" s="1"/>
      <c r="HY1383" s="1"/>
      <c r="HZ1383" s="1"/>
      <c r="IA1383" s="1"/>
      <c r="IB1383" s="1"/>
      <c r="IC1383" s="1"/>
      <c r="ID1383" s="1"/>
      <c r="IE1383" s="1"/>
      <c r="IF1383" s="1"/>
      <c r="IG1383" s="1"/>
      <c r="IH1383" s="1"/>
      <c r="II1383" s="1"/>
      <c r="IJ1383" s="1"/>
      <c r="IK1383" s="1"/>
      <c r="IL1383" s="1"/>
      <c r="IM1383" s="1"/>
      <c r="IN1383" s="1"/>
      <c r="IO1383" s="1"/>
      <c r="IP1383" s="1"/>
      <c r="IQ1383" s="1"/>
      <c r="IR1383" s="1"/>
      <c r="IS1383" s="1"/>
      <c r="IT1383" s="1"/>
      <c r="IU1383" s="1"/>
      <c r="IV1383" s="1"/>
      <c r="IW1383" s="1"/>
      <c r="IX1383" s="1"/>
      <c r="IY1383" s="1"/>
      <c r="IZ1383" s="1"/>
      <c r="JA1383" s="1"/>
      <c r="JB1383" s="1"/>
      <c r="JC1383" s="1"/>
      <c r="JD1383" s="1"/>
    </row>
    <row r="1384" spans="1:264" s="424" customFormat="1" ht="15" x14ac:dyDescent="0.25">
      <c r="A1384" s="1343" t="s">
        <v>868</v>
      </c>
      <c r="B1384" s="536"/>
      <c r="BD1384" s="481"/>
      <c r="BE1384" s="481"/>
      <c r="BF1384" s="428"/>
      <c r="BH1384" s="481"/>
      <c r="BI1384" s="481"/>
      <c r="BJ1384" s="428"/>
      <c r="BK1384" s="536"/>
      <c r="BL1384" s="481"/>
      <c r="BM1384" s="481"/>
      <c r="BN1384" s="428"/>
      <c r="BO1384" s="536"/>
      <c r="BP1384" s="481"/>
      <c r="BQ1384" s="481"/>
      <c r="BR1384" s="428"/>
      <c r="BT1384" s="481"/>
      <c r="BU1384" s="481"/>
      <c r="BV1384" s="428"/>
      <c r="BX1384" s="481"/>
      <c r="BY1384" s="481"/>
      <c r="BZ1384" s="428"/>
      <c r="CB1384" s="481"/>
      <c r="CC1384" s="481"/>
      <c r="CD1384" s="428"/>
      <c r="CF1384" s="481"/>
      <c r="CG1384" s="481"/>
      <c r="CH1384" s="428"/>
      <c r="CJ1384" s="481"/>
      <c r="CK1384" s="481"/>
      <c r="CL1384" s="428"/>
      <c r="CN1384" s="481"/>
      <c r="CO1384" s="481"/>
      <c r="CP1384" s="428"/>
      <c r="CR1384" s="481"/>
      <c r="CS1384" s="481"/>
      <c r="CT1384" s="428"/>
      <c r="CV1384" s="481"/>
      <c r="CW1384" s="481"/>
      <c r="CX1384" s="428"/>
      <c r="CZ1384" s="481"/>
      <c r="DA1384" s="481"/>
      <c r="DB1384" s="428"/>
      <c r="DD1384" s="1503">
        <f t="shared" ref="DD1384:DE1386" si="1014">DD1306</f>
        <v>7949</v>
      </c>
      <c r="DE1384" s="1503">
        <f t="shared" si="1014"/>
        <v>9752</v>
      </c>
      <c r="DF1384" s="1503">
        <f t="shared" ref="DF1384" si="1015">DF1306</f>
        <v>9752</v>
      </c>
      <c r="DG1384" s="394"/>
      <c r="DH1384" s="1503">
        <f t="shared" ref="DH1384" si="1016">DH1306</f>
        <v>9971</v>
      </c>
      <c r="DI1384" s="1503">
        <f t="shared" ref="DI1384:DJ1386" ca="1" si="1017">DI1306</f>
        <v>9476.326752287303</v>
      </c>
      <c r="DJ1384" s="1503">
        <f t="shared" ca="1" si="1017"/>
        <v>9476.326752287303</v>
      </c>
      <c r="DK1384" s="394"/>
      <c r="DL1384" s="1503">
        <f t="shared" ref="DL1384:DN1386" ca="1" si="1018">DL1306</f>
        <v>9754.7318911514212</v>
      </c>
      <c r="DM1384" s="1503">
        <f t="shared" ca="1" si="1018"/>
        <v>10058.174721684634</v>
      </c>
      <c r="DN1384" s="1503">
        <f t="shared" ca="1" si="1018"/>
        <v>10058.174721684634</v>
      </c>
      <c r="DO1384" s="394"/>
      <c r="DP1384" s="1503">
        <f t="shared" ref="DP1384:DR1386" ca="1" si="1019">DP1306</f>
        <v>10292.710291762107</v>
      </c>
      <c r="DQ1384" s="1503">
        <f t="shared" ca="1" si="1019"/>
        <v>10550.192820914257</v>
      </c>
      <c r="DR1384" s="1503">
        <f t="shared" ca="1" si="1019"/>
        <v>10550.192820914257</v>
      </c>
      <c r="DT1384"/>
      <c r="DU1384"/>
      <c r="DV1384" s="1"/>
      <c r="DW1384" s="1"/>
      <c r="DX1384" s="1"/>
      <c r="DY1384" s="1"/>
      <c r="DZ1384" s="1"/>
      <c r="EA1384" s="1"/>
      <c r="EB1384" s="1"/>
      <c r="EC1384" s="1"/>
      <c r="ED1384" s="1"/>
      <c r="EE1384" s="1"/>
      <c r="EF1384" s="1"/>
      <c r="EG1384" s="1"/>
      <c r="EH1384" s="1"/>
      <c r="EI1384" s="1"/>
      <c r="EJ1384" s="1"/>
      <c r="EK1384" s="1"/>
      <c r="EL1384" s="1"/>
      <c r="EM1384" s="1"/>
      <c r="EN1384" s="1"/>
      <c r="EO1384" s="1"/>
      <c r="EP1384" s="1"/>
      <c r="EQ1384" s="1"/>
      <c r="ER1384" s="1"/>
      <c r="ES1384" s="1"/>
      <c r="ET1384" s="1"/>
      <c r="EU1384" s="1"/>
      <c r="EV1384" s="1"/>
      <c r="EW1384" s="1"/>
      <c r="EX1384" s="1"/>
      <c r="EY1384" s="1"/>
      <c r="EZ1384" s="1"/>
      <c r="FA1384" s="1"/>
      <c r="FB1384" s="1"/>
      <c r="FC1384" s="1"/>
      <c r="FD1384" s="1"/>
      <c r="FE1384" s="1"/>
      <c r="FF1384" s="1"/>
      <c r="FG1384" s="1"/>
      <c r="FH1384" s="1"/>
      <c r="FI1384" s="1"/>
      <c r="FJ1384" s="1"/>
      <c r="FK1384" s="1"/>
      <c r="FL1384" s="1"/>
      <c r="FM1384" s="1"/>
      <c r="FN1384" s="1"/>
      <c r="FO1384" s="1"/>
      <c r="FP1384" s="1"/>
      <c r="FQ1384" s="1"/>
      <c r="FR1384" s="1"/>
      <c r="FS1384" s="1"/>
      <c r="FT1384" s="1"/>
      <c r="FU1384" s="1"/>
      <c r="FV1384" s="1"/>
      <c r="FW1384" s="1"/>
      <c r="FX1384" s="1"/>
      <c r="FY1384" s="1"/>
      <c r="FZ1384" s="1"/>
      <c r="GA1384" s="1"/>
      <c r="GB1384" s="1"/>
      <c r="GC1384" s="1"/>
      <c r="GD1384" s="1"/>
      <c r="GE1384" s="1"/>
      <c r="GF1384" s="1"/>
      <c r="GG1384" s="1"/>
      <c r="GH1384" s="1"/>
      <c r="GI1384" s="1"/>
      <c r="GJ1384" s="1"/>
      <c r="GK1384" s="1"/>
      <c r="GL1384" s="1"/>
      <c r="GM1384" s="1"/>
      <c r="GN1384" s="1"/>
      <c r="GO1384" s="1"/>
      <c r="GP1384" s="1"/>
      <c r="GQ1384" s="1"/>
      <c r="GR1384" s="1"/>
      <c r="GS1384" s="1"/>
      <c r="GT1384" s="1"/>
      <c r="GU1384" s="1"/>
      <c r="GV1384" s="1"/>
      <c r="GW1384" s="1"/>
      <c r="GX1384" s="1"/>
      <c r="GY1384" s="1"/>
      <c r="GZ1384" s="1"/>
      <c r="HA1384" s="1"/>
      <c r="HB1384" s="1"/>
      <c r="HC1384" s="1"/>
      <c r="HD1384" s="1"/>
      <c r="HE1384" s="1"/>
      <c r="HF1384" s="1"/>
      <c r="HG1384" s="1"/>
      <c r="HH1384" s="1"/>
      <c r="HI1384" s="1"/>
      <c r="HJ1384" s="1"/>
      <c r="HK1384" s="1"/>
      <c r="HL1384" s="1"/>
      <c r="HM1384" s="1"/>
      <c r="HN1384" s="1"/>
      <c r="HO1384" s="1"/>
      <c r="HP1384" s="1"/>
      <c r="HQ1384" s="1"/>
      <c r="HR1384" s="1"/>
      <c r="HS1384" s="1"/>
      <c r="HT1384" s="1"/>
      <c r="HU1384" s="1"/>
      <c r="HV1384" s="1"/>
      <c r="HW1384" s="1"/>
      <c r="HX1384" s="1"/>
      <c r="HY1384" s="1"/>
      <c r="HZ1384" s="1"/>
      <c r="IA1384" s="1"/>
      <c r="IB1384" s="1"/>
      <c r="IC1384" s="1"/>
      <c r="ID1384" s="1"/>
      <c r="IE1384" s="1"/>
      <c r="IF1384" s="1"/>
      <c r="IG1384" s="1"/>
      <c r="IH1384" s="1"/>
      <c r="II1384" s="1"/>
      <c r="IJ1384" s="1"/>
      <c r="IK1384" s="1"/>
      <c r="IL1384" s="1"/>
      <c r="IM1384" s="1"/>
      <c r="IN1384" s="1"/>
      <c r="IO1384" s="1"/>
      <c r="IP1384" s="1"/>
      <c r="IQ1384" s="1"/>
      <c r="IR1384" s="1"/>
      <c r="IS1384" s="1"/>
      <c r="IT1384" s="1"/>
      <c r="IU1384" s="1"/>
      <c r="IV1384" s="1"/>
      <c r="IW1384" s="1"/>
      <c r="IX1384" s="1"/>
      <c r="IY1384" s="1"/>
      <c r="IZ1384" s="1"/>
      <c r="JA1384" s="1"/>
      <c r="JB1384" s="1"/>
      <c r="JC1384" s="1"/>
      <c r="JD1384" s="1"/>
    </row>
    <row r="1385" spans="1:264" s="424" customFormat="1" ht="15" x14ac:dyDescent="0.25">
      <c r="A1385" s="1343" t="s">
        <v>788</v>
      </c>
      <c r="B1385" s="536"/>
      <c r="BD1385" s="481"/>
      <c r="BE1385" s="481"/>
      <c r="BF1385" s="428"/>
      <c r="BH1385" s="481"/>
      <c r="BI1385" s="481"/>
      <c r="BJ1385" s="428"/>
      <c r="BK1385" s="536"/>
      <c r="BL1385" s="481"/>
      <c r="BM1385" s="481"/>
      <c r="BN1385" s="428"/>
      <c r="BO1385" s="536"/>
      <c r="BP1385" s="481"/>
      <c r="BQ1385" s="481"/>
      <c r="BR1385" s="428"/>
      <c r="BT1385" s="481"/>
      <c r="BU1385" s="481"/>
      <c r="BV1385" s="428"/>
      <c r="BX1385" s="481"/>
      <c r="BY1385" s="481"/>
      <c r="BZ1385" s="428"/>
      <c r="CB1385" s="481"/>
      <c r="CC1385" s="481"/>
      <c r="CD1385" s="428"/>
      <c r="CF1385" s="481"/>
      <c r="CG1385" s="481"/>
      <c r="CH1385" s="428"/>
      <c r="CJ1385" s="481"/>
      <c r="CK1385" s="481"/>
      <c r="CL1385" s="428"/>
      <c r="CN1385" s="481"/>
      <c r="CO1385" s="481"/>
      <c r="CP1385" s="428"/>
      <c r="CR1385" s="481"/>
      <c r="CS1385" s="481"/>
      <c r="CT1385" s="428"/>
      <c r="CV1385" s="481"/>
      <c r="CW1385" s="481"/>
      <c r="CX1385" s="428"/>
      <c r="CZ1385" s="481"/>
      <c r="DA1385" s="481"/>
      <c r="DB1385" s="428"/>
      <c r="DD1385" s="1503">
        <f t="shared" si="1014"/>
        <v>41679</v>
      </c>
      <c r="DE1385" s="1503">
        <f t="shared" si="1014"/>
        <v>39841</v>
      </c>
      <c r="DF1385" s="1503">
        <f t="shared" ref="DF1385" si="1020">DF1307</f>
        <v>39841</v>
      </c>
      <c r="DG1385" s="394"/>
      <c r="DH1385" s="1503">
        <f t="shared" ref="DH1385" si="1021">DH1307</f>
        <v>35179</v>
      </c>
      <c r="DI1385" s="1503">
        <f t="shared" ref="DI1385" ca="1" si="1022">DI1307</f>
        <v>36406.842399528032</v>
      </c>
      <c r="DJ1385" s="1503">
        <f t="shared" ca="1" si="1017"/>
        <v>36406.842399528032</v>
      </c>
      <c r="DK1385" s="394"/>
      <c r="DL1385" s="1503">
        <f t="shared" ref="DL1385:DM1385" ca="1" si="1023">DL1307</f>
        <v>37476.439541838277</v>
      </c>
      <c r="DM1385" s="1503">
        <f t="shared" ca="1" si="1023"/>
        <v>38642.228311819519</v>
      </c>
      <c r="DN1385" s="1503">
        <f t="shared" ca="1" si="1018"/>
        <v>38642.228311819519</v>
      </c>
      <c r="DO1385" s="394"/>
      <c r="DP1385" s="1503">
        <f t="shared" ref="DP1385:DQ1385" ca="1" si="1024">DP1307</f>
        <v>39543.284149181083</v>
      </c>
      <c r="DQ1385" s="1503">
        <f t="shared" ca="1" si="1024"/>
        <v>40532.499285437494</v>
      </c>
      <c r="DR1385" s="1503">
        <f t="shared" ca="1" si="1019"/>
        <v>40532.499285437494</v>
      </c>
      <c r="DT1385"/>
      <c r="DU1385"/>
      <c r="DV1385" s="1"/>
      <c r="DW1385" s="1"/>
      <c r="DX1385" s="1"/>
      <c r="DY1385" s="1"/>
      <c r="DZ1385" s="1"/>
      <c r="EA1385" s="1"/>
      <c r="EB1385" s="1"/>
      <c r="EC1385" s="1"/>
      <c r="ED1385" s="1"/>
      <c r="EE1385" s="1"/>
      <c r="EF1385" s="1"/>
      <c r="EG1385" s="1"/>
      <c r="EH1385" s="1"/>
      <c r="EI1385" s="1"/>
      <c r="EJ1385" s="1"/>
      <c r="EK1385" s="1"/>
      <c r="EL1385" s="1"/>
      <c r="EM1385" s="1"/>
      <c r="EN1385" s="1"/>
      <c r="EO1385" s="1"/>
      <c r="EP1385" s="1"/>
      <c r="EQ1385" s="1"/>
      <c r="ER1385" s="1"/>
      <c r="ES1385" s="1"/>
      <c r="ET1385" s="1"/>
      <c r="EU1385" s="1"/>
      <c r="EV1385" s="1"/>
      <c r="EW1385" s="1"/>
      <c r="EX1385" s="1"/>
      <c r="EY1385" s="1"/>
      <c r="EZ1385" s="1"/>
      <c r="FA1385" s="1"/>
      <c r="FB1385" s="1"/>
      <c r="FC1385" s="1"/>
      <c r="FD1385" s="1"/>
      <c r="FE1385" s="1"/>
      <c r="FF1385" s="1"/>
      <c r="FG1385" s="1"/>
      <c r="FH1385" s="1"/>
      <c r="FI1385" s="1"/>
      <c r="FJ1385" s="1"/>
      <c r="FK1385" s="1"/>
      <c r="FL1385" s="1"/>
      <c r="FM1385" s="1"/>
      <c r="FN1385" s="1"/>
      <c r="FO1385" s="1"/>
      <c r="FP1385" s="1"/>
      <c r="FQ1385" s="1"/>
      <c r="FR1385" s="1"/>
      <c r="FS1385" s="1"/>
      <c r="FT1385" s="1"/>
      <c r="FU1385" s="1"/>
      <c r="FV1385" s="1"/>
      <c r="FW1385" s="1"/>
      <c r="FX1385" s="1"/>
      <c r="FY1385" s="1"/>
      <c r="FZ1385" s="1"/>
      <c r="GA1385" s="1"/>
      <c r="GB1385" s="1"/>
      <c r="GC1385" s="1"/>
      <c r="GD1385" s="1"/>
      <c r="GE1385" s="1"/>
      <c r="GF1385" s="1"/>
      <c r="GG1385" s="1"/>
      <c r="GH1385" s="1"/>
      <c r="GI1385" s="1"/>
      <c r="GJ1385" s="1"/>
      <c r="GK1385" s="1"/>
      <c r="GL1385" s="1"/>
      <c r="GM1385" s="1"/>
      <c r="GN1385" s="1"/>
      <c r="GO1385" s="1"/>
      <c r="GP1385" s="1"/>
      <c r="GQ1385" s="1"/>
      <c r="GR1385" s="1"/>
      <c r="GS1385" s="1"/>
      <c r="GT1385" s="1"/>
      <c r="GU1385" s="1"/>
      <c r="GV1385" s="1"/>
      <c r="GW1385" s="1"/>
      <c r="GX1385" s="1"/>
      <c r="GY1385" s="1"/>
      <c r="GZ1385" s="1"/>
      <c r="HA1385" s="1"/>
      <c r="HB1385" s="1"/>
      <c r="HC1385" s="1"/>
      <c r="HD1385" s="1"/>
      <c r="HE1385" s="1"/>
      <c r="HF1385" s="1"/>
      <c r="HG1385" s="1"/>
      <c r="HH1385" s="1"/>
      <c r="HI1385" s="1"/>
      <c r="HJ1385" s="1"/>
      <c r="HK1385" s="1"/>
      <c r="HL1385" s="1"/>
      <c r="HM1385" s="1"/>
      <c r="HN1385" s="1"/>
      <c r="HO1385" s="1"/>
      <c r="HP1385" s="1"/>
      <c r="HQ1385" s="1"/>
      <c r="HR1385" s="1"/>
      <c r="HS1385" s="1"/>
      <c r="HT1385" s="1"/>
      <c r="HU1385" s="1"/>
      <c r="HV1385" s="1"/>
      <c r="HW1385" s="1"/>
      <c r="HX1385" s="1"/>
      <c r="HY1385" s="1"/>
      <c r="HZ1385" s="1"/>
      <c r="IA1385" s="1"/>
      <c r="IB1385" s="1"/>
      <c r="IC1385" s="1"/>
      <c r="ID1385" s="1"/>
      <c r="IE1385" s="1"/>
      <c r="IF1385" s="1"/>
      <c r="IG1385" s="1"/>
      <c r="IH1385" s="1"/>
      <c r="II1385" s="1"/>
      <c r="IJ1385" s="1"/>
      <c r="IK1385" s="1"/>
      <c r="IL1385" s="1"/>
      <c r="IM1385" s="1"/>
      <c r="IN1385" s="1"/>
      <c r="IO1385" s="1"/>
      <c r="IP1385" s="1"/>
      <c r="IQ1385" s="1"/>
      <c r="IR1385" s="1"/>
      <c r="IS1385" s="1"/>
      <c r="IT1385" s="1"/>
      <c r="IU1385" s="1"/>
      <c r="IV1385" s="1"/>
      <c r="IW1385" s="1"/>
      <c r="IX1385" s="1"/>
      <c r="IY1385" s="1"/>
      <c r="IZ1385" s="1"/>
      <c r="JA1385" s="1"/>
      <c r="JB1385" s="1"/>
      <c r="JC1385" s="1"/>
      <c r="JD1385" s="1"/>
    </row>
    <row r="1386" spans="1:264" s="424" customFormat="1" ht="15" x14ac:dyDescent="0.25">
      <c r="A1386" s="1343" t="s">
        <v>869</v>
      </c>
      <c r="B1386" s="536"/>
      <c r="BD1386" s="481"/>
      <c r="BE1386" s="481"/>
      <c r="BF1386" s="428"/>
      <c r="BH1386" s="481"/>
      <c r="BI1386" s="481"/>
      <c r="BJ1386" s="428"/>
      <c r="BK1386" s="536"/>
      <c r="BL1386" s="481"/>
      <c r="BM1386" s="481"/>
      <c r="BN1386" s="428"/>
      <c r="BO1386" s="536"/>
      <c r="BP1386" s="481"/>
      <c r="BQ1386" s="481"/>
      <c r="BR1386" s="428"/>
      <c r="BT1386" s="481"/>
      <c r="BU1386" s="481"/>
      <c r="BV1386" s="428"/>
      <c r="BX1386" s="481"/>
      <c r="BY1386" s="481"/>
      <c r="BZ1386" s="428"/>
      <c r="CB1386" s="481"/>
      <c r="CC1386" s="481"/>
      <c r="CD1386" s="428"/>
      <c r="CF1386" s="481"/>
      <c r="CG1386" s="481"/>
      <c r="CH1386" s="428"/>
      <c r="CJ1386" s="481"/>
      <c r="CK1386" s="481"/>
      <c r="CL1386" s="428"/>
      <c r="CN1386" s="481"/>
      <c r="CO1386" s="481"/>
      <c r="CP1386" s="428"/>
      <c r="CR1386" s="481"/>
      <c r="CS1386" s="481"/>
      <c r="CT1386" s="428"/>
      <c r="CV1386" s="481"/>
      <c r="CW1386" s="481"/>
      <c r="CX1386" s="428"/>
      <c r="CZ1386" s="481"/>
      <c r="DA1386" s="481"/>
      <c r="DB1386" s="428"/>
      <c r="DD1386" s="1503">
        <f t="shared" si="1014"/>
        <v>47624</v>
      </c>
      <c r="DE1386" s="1503">
        <f t="shared" si="1014"/>
        <v>47624</v>
      </c>
      <c r="DF1386" s="1503">
        <f t="shared" ref="DF1386" si="1025">DF1308</f>
        <v>47624</v>
      </c>
      <c r="DG1386" s="394"/>
      <c r="DH1386" s="1503">
        <f t="shared" ref="DH1386" si="1026">DH1308</f>
        <v>51041</v>
      </c>
      <c r="DI1386" s="1503">
        <f t="shared" ref="DI1386" ca="1" si="1027">DI1308</f>
        <v>52822.469169513344</v>
      </c>
      <c r="DJ1386" s="1503">
        <f t="shared" ca="1" si="1017"/>
        <v>52822.469169513344</v>
      </c>
      <c r="DK1386" s="394"/>
      <c r="DL1386" s="1503">
        <f t="shared" ref="DL1386:DM1386" ca="1" si="1028">DL1308</f>
        <v>54374.341244917916</v>
      </c>
      <c r="DM1386" s="1503">
        <f t="shared" ca="1" si="1028"/>
        <v>56065.777175689473</v>
      </c>
      <c r="DN1386" s="1503">
        <f t="shared" ca="1" si="1018"/>
        <v>56065.777175689473</v>
      </c>
      <c r="DO1386" s="394"/>
      <c r="DP1386" s="1503">
        <f t="shared" ref="DP1386:DQ1386" ca="1" si="1029">DP1308</f>
        <v>57373.113683116389</v>
      </c>
      <c r="DQ1386" s="1503">
        <f t="shared" ca="1" si="1029"/>
        <v>58808.359988288903</v>
      </c>
      <c r="DR1386" s="1503">
        <f t="shared" ca="1" si="1019"/>
        <v>58808.359988288903</v>
      </c>
      <c r="DT1386"/>
      <c r="DU1386"/>
      <c r="DV1386" s="1"/>
      <c r="DW1386" s="1"/>
      <c r="DX1386" s="1"/>
      <c r="DY1386" s="1"/>
      <c r="DZ1386" s="1"/>
      <c r="EA1386" s="1"/>
      <c r="EB1386" s="1"/>
      <c r="EC1386" s="1"/>
      <c r="ED1386" s="1"/>
      <c r="EE1386" s="1"/>
      <c r="EF1386" s="1"/>
      <c r="EG1386" s="1"/>
      <c r="EH1386" s="1"/>
      <c r="EI1386" s="1"/>
      <c r="EJ1386" s="1"/>
      <c r="EK1386" s="1"/>
      <c r="EL1386" s="1"/>
      <c r="EM1386" s="1"/>
      <c r="EN1386" s="1"/>
      <c r="EO1386" s="1"/>
      <c r="EP1386" s="1"/>
      <c r="EQ1386" s="1"/>
      <c r="ER1386" s="1"/>
      <c r="ES1386" s="1"/>
      <c r="ET1386" s="1"/>
      <c r="EU1386" s="1"/>
      <c r="EV1386" s="1"/>
      <c r="EW1386" s="1"/>
      <c r="EX1386" s="1"/>
      <c r="EY1386" s="1"/>
      <c r="EZ1386" s="1"/>
      <c r="FA1386" s="1"/>
      <c r="FB1386" s="1"/>
      <c r="FC1386" s="1"/>
      <c r="FD1386" s="1"/>
      <c r="FE1386" s="1"/>
      <c r="FF1386" s="1"/>
      <c r="FG1386" s="1"/>
      <c r="FH1386" s="1"/>
      <c r="FI1386" s="1"/>
      <c r="FJ1386" s="1"/>
      <c r="FK1386" s="1"/>
      <c r="FL1386" s="1"/>
      <c r="FM1386" s="1"/>
      <c r="FN1386" s="1"/>
      <c r="FO1386" s="1"/>
      <c r="FP1386" s="1"/>
      <c r="FQ1386" s="1"/>
      <c r="FR1386" s="1"/>
      <c r="FS1386" s="1"/>
      <c r="FT1386" s="1"/>
      <c r="FU1386" s="1"/>
      <c r="FV1386" s="1"/>
      <c r="FW1386" s="1"/>
      <c r="FX1386" s="1"/>
      <c r="FY1386" s="1"/>
      <c r="FZ1386" s="1"/>
      <c r="GA1386" s="1"/>
      <c r="GB1386" s="1"/>
      <c r="GC1386" s="1"/>
      <c r="GD1386" s="1"/>
      <c r="GE1386" s="1"/>
      <c r="GF1386" s="1"/>
      <c r="GG1386" s="1"/>
      <c r="GH1386" s="1"/>
      <c r="GI1386" s="1"/>
      <c r="GJ1386" s="1"/>
      <c r="GK1386" s="1"/>
      <c r="GL1386" s="1"/>
      <c r="GM1386" s="1"/>
      <c r="GN1386" s="1"/>
      <c r="GO1386" s="1"/>
      <c r="GP1386" s="1"/>
      <c r="GQ1386" s="1"/>
      <c r="GR1386" s="1"/>
      <c r="GS1386" s="1"/>
      <c r="GT1386" s="1"/>
      <c r="GU1386" s="1"/>
      <c r="GV1386" s="1"/>
      <c r="GW1386" s="1"/>
      <c r="GX1386" s="1"/>
      <c r="GY1386" s="1"/>
      <c r="GZ1386" s="1"/>
      <c r="HA1386" s="1"/>
      <c r="HB1386" s="1"/>
      <c r="HC1386" s="1"/>
      <c r="HD1386" s="1"/>
      <c r="HE1386" s="1"/>
      <c r="HF1386" s="1"/>
      <c r="HG1386" s="1"/>
      <c r="HH1386" s="1"/>
      <c r="HI1386" s="1"/>
      <c r="HJ1386" s="1"/>
      <c r="HK1386" s="1"/>
      <c r="HL1386" s="1"/>
      <c r="HM1386" s="1"/>
      <c r="HN1386" s="1"/>
      <c r="HO1386" s="1"/>
      <c r="HP1386" s="1"/>
      <c r="HQ1386" s="1"/>
      <c r="HR1386" s="1"/>
      <c r="HS1386" s="1"/>
      <c r="HT1386" s="1"/>
      <c r="HU1386" s="1"/>
      <c r="HV1386" s="1"/>
      <c r="HW1386" s="1"/>
      <c r="HX1386" s="1"/>
      <c r="HY1386" s="1"/>
      <c r="HZ1386" s="1"/>
      <c r="IA1386" s="1"/>
      <c r="IB1386" s="1"/>
      <c r="IC1386" s="1"/>
      <c r="ID1386" s="1"/>
      <c r="IE1386" s="1"/>
      <c r="IF1386" s="1"/>
      <c r="IG1386" s="1"/>
      <c r="IH1386" s="1"/>
      <c r="II1386" s="1"/>
      <c r="IJ1386" s="1"/>
      <c r="IK1386" s="1"/>
      <c r="IL1386" s="1"/>
      <c r="IM1386" s="1"/>
      <c r="IN1386" s="1"/>
      <c r="IO1386" s="1"/>
      <c r="IP1386" s="1"/>
      <c r="IQ1386" s="1"/>
      <c r="IR1386" s="1"/>
      <c r="IS1386" s="1"/>
      <c r="IT1386" s="1"/>
      <c r="IU1386" s="1"/>
      <c r="IV1386" s="1"/>
      <c r="IW1386" s="1"/>
      <c r="IX1386" s="1"/>
      <c r="IY1386" s="1"/>
      <c r="IZ1386" s="1"/>
      <c r="JA1386" s="1"/>
      <c r="JB1386" s="1"/>
      <c r="JC1386" s="1"/>
      <c r="JD1386" s="1"/>
    </row>
    <row r="1387" spans="1:264" s="424" customFormat="1" ht="15" x14ac:dyDescent="0.25">
      <c r="A1387" s="1500" t="s">
        <v>1173</v>
      </c>
      <c r="B1387" s="536"/>
      <c r="BD1387" s="481"/>
      <c r="BE1387" s="481"/>
      <c r="BF1387" s="428"/>
      <c r="BH1387" s="481"/>
      <c r="BI1387" s="481"/>
      <c r="BJ1387" s="428"/>
      <c r="BK1387" s="536"/>
      <c r="BL1387" s="481"/>
      <c r="BM1387" s="481"/>
      <c r="BN1387" s="428"/>
      <c r="BO1387" s="536"/>
      <c r="BP1387" s="481"/>
      <c r="BQ1387" s="481"/>
      <c r="BR1387" s="428"/>
      <c r="BT1387" s="481"/>
      <c r="BU1387" s="481"/>
      <c r="BV1387" s="428"/>
      <c r="BX1387" s="481"/>
      <c r="BY1387" s="481"/>
      <c r="BZ1387" s="428"/>
      <c r="CB1387" s="481"/>
      <c r="CC1387" s="481"/>
      <c r="CD1387" s="428"/>
      <c r="CF1387" s="481"/>
      <c r="CG1387" s="481"/>
      <c r="CH1387" s="428"/>
      <c r="CJ1387" s="481"/>
      <c r="CK1387" s="481"/>
      <c r="CL1387" s="428"/>
      <c r="CN1387" s="481"/>
      <c r="CO1387" s="481"/>
      <c r="CP1387" s="428"/>
      <c r="CR1387" s="481"/>
      <c r="CS1387" s="481"/>
      <c r="CT1387" s="428"/>
      <c r="CV1387" s="481"/>
      <c r="CW1387" s="481"/>
      <c r="CX1387" s="428"/>
      <c r="CZ1387" s="481"/>
      <c r="DA1387" s="481"/>
      <c r="DB1387" s="428"/>
      <c r="DD1387" s="1504">
        <f>SUM(DD1383:DD1386)</f>
        <v>482369</v>
      </c>
      <c r="DE1387" s="1504">
        <f>SUM(DE1383:DE1386)</f>
        <v>496145</v>
      </c>
      <c r="DF1387" s="1504">
        <f>SUM(DF1383:DF1386)</f>
        <v>496145</v>
      </c>
      <c r="DG1387" s="394"/>
      <c r="DH1387" s="1504">
        <f>SUM(DH1383:DH1386)</f>
        <v>505310</v>
      </c>
      <c r="DI1387" s="1504">
        <f ca="1">SUM(DI1383:DI1386)</f>
        <v>521741.34049958026</v>
      </c>
      <c r="DJ1387" s="1504">
        <f ca="1">SUM(DJ1383:DJ1386)</f>
        <v>521741.34049958026</v>
      </c>
      <c r="DK1387" s="394"/>
      <c r="DL1387" s="1504">
        <f ca="1">SUM(DL1383:DL1386)</f>
        <v>536210.95051395218</v>
      </c>
      <c r="DM1387" s="1504">
        <f ca="1">SUM(DM1383:DM1386)</f>
        <v>553612.97920815484</v>
      </c>
      <c r="DN1387" s="1504">
        <f ca="1">SUM(DN1383:DN1386)</f>
        <v>553612.97920815484</v>
      </c>
      <c r="DO1387" s="394"/>
      <c r="DP1387" s="1504">
        <f ca="1">SUM(DP1383:DP1386)</f>
        <v>566286.65944311023</v>
      </c>
      <c r="DQ1387" s="1504">
        <f ca="1">SUM(DQ1383:DQ1386)</f>
        <v>580940.89526119281</v>
      </c>
      <c r="DR1387" s="1504">
        <f ca="1">SUM(DR1383:DR1386)</f>
        <v>580940.89526119281</v>
      </c>
      <c r="DT1387"/>
      <c r="DU1387"/>
      <c r="DV1387" s="1"/>
      <c r="DW1387" s="1"/>
      <c r="DX1387" s="1"/>
      <c r="DY1387" s="1"/>
      <c r="DZ1387" s="1"/>
      <c r="EA1387" s="1"/>
      <c r="EB1387" s="1"/>
      <c r="EC1387" s="1"/>
      <c r="ED1387" s="1"/>
      <c r="EE1387" s="1"/>
      <c r="EF1387" s="1"/>
      <c r="EG1387" s="1"/>
      <c r="EH1387" s="1"/>
      <c r="EI1387" s="1"/>
      <c r="EJ1387" s="1"/>
      <c r="EK1387" s="1"/>
      <c r="EL1387" s="1"/>
      <c r="EM1387" s="1"/>
      <c r="EN1387" s="1"/>
      <c r="EO1387" s="1"/>
      <c r="EP1387" s="1"/>
      <c r="EQ1387" s="1"/>
      <c r="ER1387" s="1"/>
      <c r="ES1387" s="1"/>
      <c r="ET1387" s="1"/>
      <c r="EU1387" s="1"/>
      <c r="EV1387" s="1"/>
      <c r="EW1387" s="1"/>
      <c r="EX1387" s="1"/>
      <c r="EY1387" s="1"/>
      <c r="EZ1387" s="1"/>
      <c r="FA1387" s="1"/>
      <c r="FB1387" s="1"/>
      <c r="FC1387" s="1"/>
      <c r="FD1387" s="1"/>
      <c r="FE1387" s="1"/>
      <c r="FF1387" s="1"/>
      <c r="FG1387" s="1"/>
      <c r="FH1387" s="1"/>
      <c r="FI1387" s="1"/>
      <c r="FJ1387" s="1"/>
      <c r="FK1387" s="1"/>
      <c r="FL1387" s="1"/>
      <c r="FM1387" s="1"/>
      <c r="FN1387" s="1"/>
      <c r="FO1387" s="1"/>
      <c r="FP1387" s="1"/>
      <c r="FQ1387" s="1"/>
      <c r="FR1387" s="1"/>
      <c r="FS1387" s="1"/>
      <c r="FT1387" s="1"/>
      <c r="FU1387" s="1"/>
      <c r="FV1387" s="1"/>
      <c r="FW1387" s="1"/>
      <c r="FX1387" s="1"/>
      <c r="FY1387" s="1"/>
      <c r="FZ1387" s="1"/>
      <c r="GA1387" s="1"/>
      <c r="GB1387" s="1"/>
      <c r="GC1387" s="1"/>
      <c r="GD1387" s="1"/>
      <c r="GE1387" s="1"/>
      <c r="GF1387" s="1"/>
      <c r="GG1387" s="1"/>
      <c r="GH1387" s="1"/>
      <c r="GI1387" s="1"/>
      <c r="GJ1387" s="1"/>
      <c r="GK1387" s="1"/>
      <c r="GL1387" s="1"/>
      <c r="GM1387" s="1"/>
      <c r="GN1387" s="1"/>
      <c r="GO1387" s="1"/>
      <c r="GP1387" s="1"/>
      <c r="GQ1387" s="1"/>
      <c r="GR1387" s="1"/>
      <c r="GS1387" s="1"/>
      <c r="GT1387" s="1"/>
      <c r="GU1387" s="1"/>
      <c r="GV1387" s="1"/>
      <c r="GW1387" s="1"/>
      <c r="GX1387" s="1"/>
      <c r="GY1387" s="1"/>
      <c r="GZ1387" s="1"/>
      <c r="HA1387" s="1"/>
      <c r="HB1387" s="1"/>
      <c r="HC1387" s="1"/>
      <c r="HD1387" s="1"/>
      <c r="HE1387" s="1"/>
      <c r="HF1387" s="1"/>
      <c r="HG1387" s="1"/>
      <c r="HH1387" s="1"/>
      <c r="HI1387" s="1"/>
      <c r="HJ1387" s="1"/>
      <c r="HK1387" s="1"/>
      <c r="HL1387" s="1"/>
      <c r="HM1387" s="1"/>
      <c r="HN1387" s="1"/>
      <c r="HO1387" s="1"/>
      <c r="HP1387" s="1"/>
      <c r="HQ1387" s="1"/>
      <c r="HR1387" s="1"/>
      <c r="HS1387" s="1"/>
      <c r="HT1387" s="1"/>
      <c r="HU1387" s="1"/>
      <c r="HV1387" s="1"/>
      <c r="HW1387" s="1"/>
      <c r="HX1387" s="1"/>
      <c r="HY1387" s="1"/>
      <c r="HZ1387" s="1"/>
      <c r="IA1387" s="1"/>
      <c r="IB1387" s="1"/>
      <c r="IC1387" s="1"/>
      <c r="ID1387" s="1"/>
      <c r="IE1387" s="1"/>
      <c r="IF1387" s="1"/>
      <c r="IG1387" s="1"/>
      <c r="IH1387" s="1"/>
      <c r="II1387" s="1"/>
      <c r="IJ1387" s="1"/>
      <c r="IK1387" s="1"/>
      <c r="IL1387" s="1"/>
      <c r="IM1387" s="1"/>
      <c r="IN1387" s="1"/>
      <c r="IO1387" s="1"/>
      <c r="IP1387" s="1"/>
      <c r="IQ1387" s="1"/>
      <c r="IR1387" s="1"/>
      <c r="IS1387" s="1"/>
      <c r="IT1387" s="1"/>
      <c r="IU1387" s="1"/>
      <c r="IV1387" s="1"/>
      <c r="IW1387" s="1"/>
      <c r="IX1387" s="1"/>
      <c r="IY1387" s="1"/>
      <c r="IZ1387" s="1"/>
      <c r="JA1387" s="1"/>
      <c r="JB1387" s="1"/>
      <c r="JC1387" s="1"/>
      <c r="JD1387" s="1"/>
    </row>
    <row r="1388" spans="1:264" s="424" customFormat="1" ht="15" x14ac:dyDescent="0.25">
      <c r="A1388" s="1343"/>
      <c r="B1388" s="536"/>
      <c r="BD1388" s="481"/>
      <c r="BE1388" s="481"/>
      <c r="BF1388" s="428"/>
      <c r="BH1388" s="481"/>
      <c r="BI1388" s="481"/>
      <c r="BJ1388" s="428"/>
      <c r="BK1388" s="536"/>
      <c r="BL1388" s="481"/>
      <c r="BM1388" s="481"/>
      <c r="BN1388" s="428"/>
      <c r="BO1388" s="536"/>
      <c r="BP1388" s="481"/>
      <c r="BQ1388" s="481"/>
      <c r="BR1388" s="428"/>
      <c r="BT1388" s="481"/>
      <c r="BU1388" s="481"/>
      <c r="BV1388" s="428"/>
      <c r="BX1388" s="481"/>
      <c r="BY1388" s="481"/>
      <c r="BZ1388" s="428"/>
      <c r="CB1388" s="481"/>
      <c r="CC1388" s="481"/>
      <c r="CD1388" s="428"/>
      <c r="CF1388" s="481"/>
      <c r="CG1388" s="481"/>
      <c r="CH1388" s="428"/>
      <c r="CJ1388" s="481"/>
      <c r="CK1388" s="481"/>
      <c r="CL1388" s="428"/>
      <c r="CN1388" s="481"/>
      <c r="CO1388" s="481"/>
      <c r="CP1388" s="428"/>
      <c r="CR1388" s="481"/>
      <c r="CS1388" s="481"/>
      <c r="CT1388" s="428"/>
      <c r="CV1388" s="481"/>
      <c r="CW1388" s="481"/>
      <c r="CX1388" s="428"/>
      <c r="CZ1388" s="481"/>
      <c r="DA1388" s="481"/>
      <c r="DB1388" s="428"/>
      <c r="DD1388" s="1503"/>
      <c r="DE1388" s="1503"/>
      <c r="DF1388" s="1503"/>
      <c r="DG1388" s="394"/>
      <c r="DH1388" s="1503"/>
      <c r="DI1388" s="1503"/>
      <c r="DJ1388" s="1503"/>
      <c r="DK1388" s="394"/>
      <c r="DL1388" s="1503"/>
      <c r="DM1388" s="1503"/>
      <c r="DN1388" s="1503"/>
      <c r="DO1388" s="394"/>
      <c r="DP1388" s="1503"/>
      <c r="DQ1388" s="1503"/>
      <c r="DR1388" s="1503"/>
      <c r="DT1388"/>
      <c r="DU1388"/>
      <c r="DV1388" s="1"/>
      <c r="DW1388" s="1"/>
      <c r="DX1388" s="1"/>
      <c r="DY1388" s="1"/>
      <c r="DZ1388" s="1"/>
      <c r="EA1388" s="1"/>
      <c r="EB1388" s="1"/>
      <c r="EC1388" s="1"/>
      <c r="ED1388" s="1"/>
      <c r="EE1388" s="1"/>
      <c r="EF1388" s="1"/>
      <c r="EG1388" s="1"/>
      <c r="EH1388" s="1"/>
      <c r="EI1388" s="1"/>
      <c r="EJ1388" s="1"/>
      <c r="EK1388" s="1"/>
      <c r="EL1388" s="1"/>
      <c r="EM1388" s="1"/>
      <c r="EN1388" s="1"/>
      <c r="EO1388" s="1"/>
      <c r="EP1388" s="1"/>
      <c r="EQ1388" s="1"/>
      <c r="ER1388" s="1"/>
      <c r="ES1388" s="1"/>
      <c r="ET1388" s="1"/>
      <c r="EU1388" s="1"/>
      <c r="EV1388" s="1"/>
      <c r="EW1388" s="1"/>
      <c r="EX1388" s="1"/>
      <c r="EY1388" s="1"/>
      <c r="EZ1388" s="1"/>
      <c r="FA1388" s="1"/>
      <c r="FB1388" s="1"/>
      <c r="FC1388" s="1"/>
      <c r="FD1388" s="1"/>
      <c r="FE1388" s="1"/>
      <c r="FF1388" s="1"/>
      <c r="FG1388" s="1"/>
      <c r="FH1388" s="1"/>
      <c r="FI1388" s="1"/>
      <c r="FJ1388" s="1"/>
      <c r="FK1388" s="1"/>
      <c r="FL1388" s="1"/>
      <c r="FM1388" s="1"/>
      <c r="FN1388" s="1"/>
      <c r="FO1388" s="1"/>
      <c r="FP1388" s="1"/>
      <c r="FQ1388" s="1"/>
      <c r="FR1388" s="1"/>
      <c r="FS1388" s="1"/>
      <c r="FT1388" s="1"/>
      <c r="FU1388" s="1"/>
      <c r="FV1388" s="1"/>
      <c r="FW1388" s="1"/>
      <c r="FX1388" s="1"/>
      <c r="FY1388" s="1"/>
      <c r="FZ1388" s="1"/>
      <c r="GA1388" s="1"/>
      <c r="GB1388" s="1"/>
      <c r="GC1388" s="1"/>
      <c r="GD1388" s="1"/>
      <c r="GE1388" s="1"/>
      <c r="GF1388" s="1"/>
      <c r="GG1388" s="1"/>
      <c r="GH1388" s="1"/>
      <c r="GI1388" s="1"/>
      <c r="GJ1388" s="1"/>
      <c r="GK1388" s="1"/>
      <c r="GL1388" s="1"/>
      <c r="GM1388" s="1"/>
      <c r="GN1388" s="1"/>
      <c r="GO1388" s="1"/>
      <c r="GP1388" s="1"/>
      <c r="GQ1388" s="1"/>
      <c r="GR1388" s="1"/>
      <c r="GS1388" s="1"/>
      <c r="GT1388" s="1"/>
      <c r="GU1388" s="1"/>
      <c r="GV1388" s="1"/>
      <c r="GW1388" s="1"/>
      <c r="GX1388" s="1"/>
      <c r="GY1388" s="1"/>
      <c r="GZ1388" s="1"/>
      <c r="HA1388" s="1"/>
      <c r="HB1388" s="1"/>
      <c r="HC1388" s="1"/>
      <c r="HD1388" s="1"/>
      <c r="HE1388" s="1"/>
      <c r="HF1388" s="1"/>
      <c r="HG1388" s="1"/>
      <c r="HH1388" s="1"/>
      <c r="HI1388" s="1"/>
      <c r="HJ1388" s="1"/>
      <c r="HK1388" s="1"/>
      <c r="HL1388" s="1"/>
      <c r="HM1388" s="1"/>
      <c r="HN1388" s="1"/>
      <c r="HO1388" s="1"/>
      <c r="HP1388" s="1"/>
      <c r="HQ1388" s="1"/>
      <c r="HR1388" s="1"/>
      <c r="HS1388" s="1"/>
      <c r="HT1388" s="1"/>
      <c r="HU1388" s="1"/>
      <c r="HV1388" s="1"/>
      <c r="HW1388" s="1"/>
      <c r="HX1388" s="1"/>
      <c r="HY1388" s="1"/>
      <c r="HZ1388" s="1"/>
      <c r="IA1388" s="1"/>
      <c r="IB1388" s="1"/>
      <c r="IC1388" s="1"/>
      <c r="ID1388" s="1"/>
      <c r="IE1388" s="1"/>
      <c r="IF1388" s="1"/>
      <c r="IG1388" s="1"/>
      <c r="IH1388" s="1"/>
      <c r="II1388" s="1"/>
      <c r="IJ1388" s="1"/>
      <c r="IK1388" s="1"/>
      <c r="IL1388" s="1"/>
      <c r="IM1388" s="1"/>
      <c r="IN1388" s="1"/>
      <c r="IO1388" s="1"/>
      <c r="IP1388" s="1"/>
      <c r="IQ1388" s="1"/>
      <c r="IR1388" s="1"/>
      <c r="IS1388" s="1"/>
      <c r="IT1388" s="1"/>
      <c r="IU1388" s="1"/>
      <c r="IV1388" s="1"/>
      <c r="IW1388" s="1"/>
      <c r="IX1388" s="1"/>
      <c r="IY1388" s="1"/>
      <c r="IZ1388" s="1"/>
      <c r="JA1388" s="1"/>
      <c r="JB1388" s="1"/>
      <c r="JC1388" s="1"/>
      <c r="JD1388" s="1"/>
    </row>
    <row r="1389" spans="1:264" s="424" customFormat="1" ht="15" x14ac:dyDescent="0.25">
      <c r="A1389" s="1500" t="s">
        <v>1174</v>
      </c>
      <c r="B1389" s="536"/>
      <c r="BD1389" s="481"/>
      <c r="BE1389" s="481"/>
      <c r="BF1389" s="428"/>
      <c r="BH1389" s="481"/>
      <c r="BI1389" s="481"/>
      <c r="BJ1389" s="428"/>
      <c r="BK1389" s="536"/>
      <c r="BL1389" s="481"/>
      <c r="BM1389" s="481"/>
      <c r="BN1389" s="428"/>
      <c r="BO1389" s="536"/>
      <c r="BP1389" s="481"/>
      <c r="BQ1389" s="481"/>
      <c r="BR1389" s="428"/>
      <c r="BT1389" s="481"/>
      <c r="BU1389" s="481"/>
      <c r="BV1389" s="428"/>
      <c r="BX1389" s="481"/>
      <c r="BY1389" s="481"/>
      <c r="BZ1389" s="428"/>
      <c r="CB1389" s="481"/>
      <c r="CC1389" s="481"/>
      <c r="CD1389" s="428"/>
      <c r="CF1389" s="481"/>
      <c r="CG1389" s="481"/>
      <c r="CH1389" s="428"/>
      <c r="CJ1389" s="481"/>
      <c r="CK1389" s="481"/>
      <c r="CL1389" s="428"/>
      <c r="CN1389" s="481"/>
      <c r="CO1389" s="481"/>
      <c r="CP1389" s="428"/>
      <c r="CR1389" s="481"/>
      <c r="CS1389" s="481"/>
      <c r="CT1389" s="428"/>
      <c r="CV1389" s="481"/>
      <c r="CW1389" s="481"/>
      <c r="CX1389" s="428"/>
      <c r="CZ1389" s="481"/>
      <c r="DA1389" s="481"/>
      <c r="DB1389" s="428"/>
      <c r="DD1389" s="1504">
        <f>IF(DD1381&gt;=DD1387,DD1381-DD1387,0)</f>
        <v>0</v>
      </c>
      <c r="DE1389" s="1504">
        <f>IF(DE1381&gt;=DE1387,DE1381-DE1387,0)</f>
        <v>0</v>
      </c>
      <c r="DF1389" s="1504">
        <f>IF(DF1381&gt;=DF1387,DF1381-DF1387,0)</f>
        <v>0</v>
      </c>
      <c r="DG1389" s="394"/>
      <c r="DH1389" s="1504">
        <f>IF(DH1381&gt;=DH1387,DH1381-DH1387,0)</f>
        <v>0</v>
      </c>
      <c r="DI1389" s="1504">
        <f ca="1">IF(DI1381&gt;=DI1387,DI1381-DI1387,0)</f>
        <v>0</v>
      </c>
      <c r="DJ1389" s="1504">
        <f ca="1">IF(DJ1381&gt;=DJ1387,DJ1381-DJ1387,0)</f>
        <v>0</v>
      </c>
      <c r="DK1389" s="394"/>
      <c r="DL1389" s="1504">
        <f ca="1">IF(DL1381&gt;=DL1387,DL1381-DL1387,0)</f>
        <v>0</v>
      </c>
      <c r="DM1389" s="1504">
        <f ca="1">IF(DM1381&gt;=DM1387,DM1381-DM1387,0)</f>
        <v>0</v>
      </c>
      <c r="DN1389" s="1504">
        <f ca="1">IF(DN1381&gt;=DN1387,DN1381-DN1387,0)</f>
        <v>0</v>
      </c>
      <c r="DO1389" s="394"/>
      <c r="DP1389" s="1504">
        <f ca="1">IF(DP1381&gt;=DP1387,DP1381-DP1387,0)</f>
        <v>0</v>
      </c>
      <c r="DQ1389" s="1504">
        <f ca="1">IF(DQ1381&gt;=DQ1387,DQ1381-DQ1387,0)</f>
        <v>0</v>
      </c>
      <c r="DR1389" s="1504">
        <f ca="1">IF(DR1381&gt;=DR1387,DR1381-DR1387,0)</f>
        <v>0</v>
      </c>
      <c r="DT1389"/>
      <c r="DU1389"/>
      <c r="DV1389" s="1"/>
      <c r="DW1389" s="1"/>
      <c r="DX1389" s="1"/>
      <c r="DY1389" s="1"/>
      <c r="DZ1389" s="1"/>
      <c r="EA1389" s="1"/>
      <c r="EB1389" s="1"/>
      <c r="EC1389" s="1"/>
      <c r="ED1389" s="1"/>
      <c r="EE1389" s="1"/>
      <c r="EF1389" s="1"/>
      <c r="EG1389" s="1"/>
      <c r="EH1389" s="1"/>
      <c r="EI1389" s="1"/>
      <c r="EJ1389" s="1"/>
      <c r="EK1389" s="1"/>
      <c r="EL1389" s="1"/>
      <c r="EM1389" s="1"/>
      <c r="EN1389" s="1"/>
      <c r="EO1389" s="1"/>
      <c r="EP1389" s="1"/>
      <c r="EQ1389" s="1"/>
      <c r="ER1389" s="1"/>
      <c r="ES1389" s="1"/>
      <c r="ET1389" s="1"/>
      <c r="EU1389" s="1"/>
      <c r="EV1389" s="1"/>
      <c r="EW1389" s="1"/>
      <c r="EX1389" s="1"/>
      <c r="EY1389" s="1"/>
      <c r="EZ1389" s="1"/>
      <c r="FA1389" s="1"/>
      <c r="FB1389" s="1"/>
      <c r="FC1389" s="1"/>
      <c r="FD1389" s="1"/>
      <c r="FE1389" s="1"/>
      <c r="FF1389" s="1"/>
      <c r="FG1389" s="1"/>
      <c r="FH1389" s="1"/>
      <c r="FI1389" s="1"/>
      <c r="FJ1389" s="1"/>
      <c r="FK1389" s="1"/>
      <c r="FL1389" s="1"/>
      <c r="FM1389" s="1"/>
      <c r="FN1389" s="1"/>
      <c r="FO1389" s="1"/>
      <c r="FP1389" s="1"/>
      <c r="FQ1389" s="1"/>
      <c r="FR1389" s="1"/>
      <c r="FS1389" s="1"/>
      <c r="FT1389" s="1"/>
      <c r="FU1389" s="1"/>
      <c r="FV1389" s="1"/>
      <c r="FW1389" s="1"/>
      <c r="FX1389" s="1"/>
      <c r="FY1389" s="1"/>
      <c r="FZ1389" s="1"/>
      <c r="GA1389" s="1"/>
      <c r="GB1389" s="1"/>
      <c r="GC1389" s="1"/>
      <c r="GD1389" s="1"/>
      <c r="GE1389" s="1"/>
      <c r="GF1389" s="1"/>
      <c r="GG1389" s="1"/>
      <c r="GH1389" s="1"/>
      <c r="GI1389" s="1"/>
      <c r="GJ1389" s="1"/>
      <c r="GK1389" s="1"/>
      <c r="GL1389" s="1"/>
      <c r="GM1389" s="1"/>
      <c r="GN1389" s="1"/>
      <c r="GO1389" s="1"/>
      <c r="GP1389" s="1"/>
      <c r="GQ1389" s="1"/>
      <c r="GR1389" s="1"/>
      <c r="GS1389" s="1"/>
      <c r="GT1389" s="1"/>
      <c r="GU1389" s="1"/>
      <c r="GV1389" s="1"/>
      <c r="GW1389" s="1"/>
      <c r="GX1389" s="1"/>
      <c r="GY1389" s="1"/>
      <c r="GZ1389" s="1"/>
      <c r="HA1389" s="1"/>
      <c r="HB1389" s="1"/>
      <c r="HC1389" s="1"/>
      <c r="HD1389" s="1"/>
      <c r="HE1389" s="1"/>
      <c r="HF1389" s="1"/>
      <c r="HG1389" s="1"/>
      <c r="HH1389" s="1"/>
      <c r="HI1389" s="1"/>
      <c r="HJ1389" s="1"/>
      <c r="HK1389" s="1"/>
      <c r="HL1389" s="1"/>
      <c r="HM1389" s="1"/>
      <c r="HN1389" s="1"/>
      <c r="HO1389" s="1"/>
      <c r="HP1389" s="1"/>
      <c r="HQ1389" s="1"/>
      <c r="HR1389" s="1"/>
      <c r="HS1389" s="1"/>
      <c r="HT1389" s="1"/>
      <c r="HU1389" s="1"/>
      <c r="HV1389" s="1"/>
      <c r="HW1389" s="1"/>
      <c r="HX1389" s="1"/>
      <c r="HY1389" s="1"/>
      <c r="HZ1389" s="1"/>
      <c r="IA1389" s="1"/>
      <c r="IB1389" s="1"/>
      <c r="IC1389" s="1"/>
      <c r="ID1389" s="1"/>
      <c r="IE1389" s="1"/>
      <c r="IF1389" s="1"/>
      <c r="IG1389" s="1"/>
      <c r="IH1389" s="1"/>
      <c r="II1389" s="1"/>
      <c r="IJ1389" s="1"/>
      <c r="IK1389" s="1"/>
      <c r="IL1389" s="1"/>
      <c r="IM1389" s="1"/>
      <c r="IN1389" s="1"/>
      <c r="IO1389" s="1"/>
      <c r="IP1389" s="1"/>
      <c r="IQ1389" s="1"/>
      <c r="IR1389" s="1"/>
      <c r="IS1389" s="1"/>
      <c r="IT1389" s="1"/>
      <c r="IU1389" s="1"/>
      <c r="IV1389" s="1"/>
      <c r="IW1389" s="1"/>
      <c r="IX1389" s="1"/>
      <c r="IY1389" s="1"/>
      <c r="IZ1389" s="1"/>
      <c r="JA1389" s="1"/>
      <c r="JB1389" s="1"/>
      <c r="JC1389" s="1"/>
      <c r="JD1389" s="1"/>
    </row>
    <row r="1390" spans="1:264" s="347" customFormat="1" ht="15" x14ac:dyDescent="0.25">
      <c r="A1390" s="1501" t="s">
        <v>379</v>
      </c>
      <c r="B1390" s="348"/>
      <c r="BH1390" s="348"/>
      <c r="BI1390" s="348"/>
      <c r="BJ1390" s="348"/>
      <c r="BK1390" s="348"/>
      <c r="BL1390" s="348"/>
      <c r="BM1390" s="348"/>
      <c r="BN1390" s="348"/>
      <c r="BO1390" s="348"/>
      <c r="BP1390" s="348"/>
      <c r="BT1390" s="348"/>
      <c r="BU1390" s="400"/>
      <c r="BX1390" s="351"/>
      <c r="BZ1390" s="400"/>
      <c r="CB1390" s="351"/>
      <c r="CF1390" s="348"/>
      <c r="CJ1390" s="348"/>
      <c r="CK1390" s="348"/>
      <c r="CN1390" s="348"/>
      <c r="CR1390" s="348"/>
      <c r="CS1390" s="400"/>
      <c r="CV1390" s="348"/>
      <c r="CZ1390" s="348"/>
      <c r="DD1390" s="1508">
        <f>DD1309</f>
        <v>0</v>
      </c>
      <c r="DE1390" s="1508">
        <f>DE1309</f>
        <v>0</v>
      </c>
      <c r="DF1390" s="725"/>
      <c r="DG1390" s="394"/>
      <c r="DH1390" s="1508">
        <f>DH1309</f>
        <v>0</v>
      </c>
      <c r="DI1390" s="725"/>
      <c r="DJ1390" s="725"/>
      <c r="DK1390" s="394"/>
      <c r="DL1390" s="725"/>
      <c r="DM1390" s="725"/>
      <c r="DN1390" s="725"/>
      <c r="DO1390" s="394"/>
      <c r="DP1390" s="725"/>
      <c r="DQ1390" s="725"/>
      <c r="DR1390" s="725"/>
      <c r="DT1390"/>
      <c r="DU1390"/>
      <c r="DV1390" s="1"/>
      <c r="DW1390" s="1"/>
      <c r="DX1390" s="1"/>
      <c r="DY1390" s="1"/>
      <c r="DZ1390" s="1"/>
      <c r="EA1390" s="1"/>
      <c r="EB1390" s="1"/>
      <c r="EC1390" s="1"/>
      <c r="ED1390" s="1"/>
      <c r="EE1390" s="1"/>
      <c r="EF1390" s="1"/>
      <c r="EG1390" s="1"/>
      <c r="EH1390" s="1"/>
      <c r="EI1390" s="1"/>
      <c r="EJ1390" s="1"/>
      <c r="EK1390" s="1"/>
      <c r="EL1390" s="1"/>
      <c r="EM1390" s="1"/>
      <c r="EN1390" s="1"/>
      <c r="EO1390" s="1"/>
      <c r="EP1390" s="1"/>
      <c r="EQ1390" s="1"/>
      <c r="ER1390" s="1"/>
      <c r="ES1390" s="1"/>
      <c r="ET1390" s="1"/>
      <c r="EU1390" s="1"/>
      <c r="EV1390" s="1"/>
      <c r="EW1390" s="1"/>
      <c r="EX1390" s="1"/>
      <c r="EY1390" s="1"/>
      <c r="EZ1390" s="1"/>
      <c r="FA1390" s="1"/>
      <c r="FB1390" s="1"/>
      <c r="FC1390" s="1"/>
      <c r="FD1390" s="1"/>
      <c r="FE1390" s="1"/>
      <c r="FF1390" s="1"/>
      <c r="FG1390" s="1"/>
      <c r="FH1390" s="1"/>
      <c r="FI1390" s="1"/>
      <c r="FJ1390" s="1"/>
      <c r="FK1390" s="1"/>
      <c r="FL1390" s="1"/>
      <c r="FM1390" s="1"/>
      <c r="FN1390" s="1"/>
      <c r="FO1390" s="1"/>
      <c r="FP1390" s="1"/>
      <c r="FQ1390" s="1"/>
      <c r="FR1390" s="1"/>
      <c r="FS1390" s="1"/>
      <c r="FT1390" s="1"/>
      <c r="FU1390" s="1"/>
      <c r="FV1390" s="1"/>
      <c r="FW1390" s="1"/>
      <c r="FX1390" s="1"/>
      <c r="FY1390" s="1"/>
      <c r="FZ1390" s="1"/>
      <c r="GA1390" s="1"/>
      <c r="GB1390" s="1"/>
      <c r="GC1390" s="1"/>
      <c r="GD1390" s="1"/>
      <c r="GE1390" s="1"/>
      <c r="GF1390" s="1"/>
      <c r="GG1390" s="1"/>
      <c r="GH1390" s="1"/>
      <c r="GI1390" s="1"/>
      <c r="GJ1390" s="1"/>
      <c r="GK1390" s="1"/>
      <c r="GL1390" s="1"/>
      <c r="GM1390" s="1"/>
      <c r="GN1390" s="1"/>
      <c r="GO1390" s="1"/>
      <c r="GP1390" s="1"/>
      <c r="GQ1390" s="1"/>
      <c r="GR1390" s="1"/>
      <c r="GS1390" s="1"/>
      <c r="GT1390" s="1"/>
      <c r="GU1390" s="1"/>
      <c r="GV1390" s="1"/>
      <c r="GW1390" s="1"/>
      <c r="GX1390" s="1"/>
      <c r="GY1390" s="1"/>
      <c r="GZ1390" s="1"/>
      <c r="HA1390" s="1"/>
      <c r="HB1390" s="1"/>
      <c r="HC1390" s="1"/>
      <c r="HD1390" s="1"/>
      <c r="HE1390" s="1"/>
      <c r="HF1390" s="1"/>
      <c r="HG1390" s="1"/>
      <c r="HH1390" s="1"/>
      <c r="HI1390" s="1"/>
      <c r="HJ1390" s="1"/>
      <c r="HK1390" s="1"/>
      <c r="HL1390" s="1"/>
      <c r="HM1390" s="1"/>
      <c r="HN1390" s="1"/>
      <c r="HO1390" s="1"/>
      <c r="HP1390" s="1"/>
      <c r="HQ1390" s="1"/>
      <c r="HR1390" s="1"/>
      <c r="HS1390" s="1"/>
      <c r="HT1390" s="1"/>
      <c r="HU1390" s="1"/>
      <c r="HV1390" s="1"/>
      <c r="HW1390" s="1"/>
      <c r="HX1390" s="1"/>
      <c r="HY1390" s="1"/>
      <c r="HZ1390" s="1"/>
      <c r="IA1390" s="1"/>
      <c r="IB1390" s="1"/>
      <c r="IC1390" s="1"/>
      <c r="ID1390" s="1"/>
      <c r="IE1390" s="1"/>
      <c r="IF1390" s="1"/>
      <c r="IG1390" s="1"/>
      <c r="IH1390" s="1"/>
      <c r="II1390" s="1"/>
      <c r="IJ1390" s="1"/>
      <c r="IK1390" s="1"/>
      <c r="IL1390" s="1"/>
      <c r="IM1390" s="1"/>
      <c r="IN1390" s="1"/>
      <c r="IO1390" s="1"/>
      <c r="IP1390" s="1"/>
      <c r="IQ1390" s="1"/>
      <c r="IR1390" s="1"/>
      <c r="IS1390" s="1"/>
      <c r="IT1390" s="1"/>
      <c r="IU1390" s="1"/>
      <c r="IV1390" s="1"/>
      <c r="IW1390" s="1"/>
      <c r="IX1390" s="1"/>
      <c r="IY1390" s="1"/>
      <c r="IZ1390" s="1"/>
      <c r="JA1390" s="1"/>
      <c r="JB1390" s="1"/>
      <c r="JC1390" s="1"/>
      <c r="JD1390" s="1"/>
    </row>
    <row r="1391" spans="1:264" s="347" customFormat="1" ht="15" x14ac:dyDescent="0.25">
      <c r="A1391" s="475" t="s">
        <v>1175</v>
      </c>
      <c r="B1391" s="348"/>
      <c r="BH1391" s="348"/>
      <c r="BI1391" s="348"/>
      <c r="BJ1391" s="348"/>
      <c r="BK1391" s="348"/>
      <c r="BL1391" s="348"/>
      <c r="BM1391" s="348"/>
      <c r="BN1391" s="348"/>
      <c r="BO1391" s="348"/>
      <c r="BP1391" s="348"/>
      <c r="BT1391" s="500"/>
      <c r="CF1391" s="348"/>
      <c r="CJ1391" s="351"/>
      <c r="CK1391" s="351"/>
      <c r="CL1391" s="351"/>
      <c r="CN1391" s="348"/>
      <c r="CR1391" s="348"/>
      <c r="CS1391" s="351"/>
      <c r="CV1391" s="351"/>
      <c r="CW1391" s="489"/>
      <c r="CX1391" s="789"/>
      <c r="CY1391" s="351"/>
      <c r="CZ1391" s="351"/>
      <c r="DA1391" s="489"/>
      <c r="DB1391" s="789"/>
      <c r="DC1391" s="351"/>
      <c r="DD1391" s="502">
        <f>DD1157-(DD1196/DD1387)</f>
        <v>0</v>
      </c>
      <c r="DE1391" s="502">
        <f t="shared" ref="DE1391:DF1391" si="1030">DE1157-(DE1196/DE1387)</f>
        <v>0</v>
      </c>
      <c r="DF1391" s="502">
        <f t="shared" si="1030"/>
        <v>0</v>
      </c>
      <c r="DG1391" s="394"/>
      <c r="DH1391" s="502">
        <f>DH1157-(DH1196/DH1387)</f>
        <v>0</v>
      </c>
      <c r="DI1391" s="502">
        <f t="shared" ref="DI1391:DJ1391" ca="1" si="1031">DI1157-(DI1196/DI1387)</f>
        <v>0</v>
      </c>
      <c r="DJ1391" s="502">
        <f t="shared" ca="1" si="1031"/>
        <v>0</v>
      </c>
      <c r="DK1391" s="394"/>
      <c r="DL1391" s="502">
        <f ca="1">DL1157-(DL1196/DL1387)</f>
        <v>0</v>
      </c>
      <c r="DM1391" s="502">
        <f t="shared" ref="DM1391:DN1391" ca="1" si="1032">DM1157-(DM1196/DM1387)</f>
        <v>0</v>
      </c>
      <c r="DN1391" s="502">
        <f t="shared" ca="1" si="1032"/>
        <v>0</v>
      </c>
      <c r="DO1391" s="394"/>
      <c r="DP1391" s="502">
        <f ca="1">DP1157-(DP1196/DP1387)</f>
        <v>0</v>
      </c>
      <c r="DQ1391" s="502">
        <f t="shared" ref="DQ1391:DR1391" ca="1" si="1033">DQ1157-(DQ1196/DQ1387)</f>
        <v>0</v>
      </c>
      <c r="DR1391" s="502">
        <f t="shared" ca="1" si="1033"/>
        <v>0</v>
      </c>
      <c r="DT1391"/>
      <c r="DU1391"/>
      <c r="DV1391" s="1"/>
      <c r="DW1391" s="1"/>
      <c r="DX1391" s="1"/>
      <c r="DY1391" s="1"/>
      <c r="DZ1391" s="1"/>
      <c r="EA1391" s="1"/>
      <c r="EB1391" s="1"/>
      <c r="EC1391" s="1"/>
      <c r="ED1391" s="1"/>
      <c r="EE1391" s="1"/>
      <c r="EF1391" s="1"/>
      <c r="EG1391" s="1"/>
      <c r="EH1391" s="1"/>
      <c r="EI1391" s="1"/>
      <c r="EJ1391" s="1"/>
      <c r="EK1391" s="1"/>
      <c r="EL1391" s="1"/>
      <c r="EM1391" s="1"/>
      <c r="EN1391" s="1"/>
      <c r="EO1391" s="1"/>
      <c r="EP1391" s="1"/>
      <c r="EQ1391" s="1"/>
      <c r="ER1391" s="1"/>
      <c r="ES1391" s="1"/>
      <c r="ET1391" s="1"/>
      <c r="EU1391" s="1"/>
      <c r="EV1391" s="1"/>
      <c r="EW1391" s="1"/>
      <c r="EX1391" s="1"/>
      <c r="EY1391" s="1"/>
      <c r="EZ1391" s="1"/>
      <c r="FA1391" s="1"/>
      <c r="FB1391" s="1"/>
      <c r="FC1391" s="1"/>
      <c r="FD1391" s="1"/>
      <c r="FE1391" s="1"/>
      <c r="FF1391" s="1"/>
      <c r="FG1391" s="1"/>
      <c r="FH1391" s="1"/>
      <c r="FI1391" s="1"/>
      <c r="FJ1391" s="1"/>
      <c r="FK1391" s="1"/>
      <c r="FL1391" s="1"/>
      <c r="FM1391" s="1"/>
      <c r="FN1391" s="1"/>
      <c r="FO1391" s="1"/>
      <c r="FP1391" s="1"/>
      <c r="FQ1391" s="1"/>
      <c r="FR1391" s="1"/>
      <c r="FS1391" s="1"/>
      <c r="FT1391" s="1"/>
      <c r="FU1391" s="1"/>
      <c r="FV1391" s="1"/>
      <c r="FW1391" s="1"/>
      <c r="FX1391" s="1"/>
      <c r="FY1391" s="1"/>
      <c r="FZ1391" s="1"/>
      <c r="GA1391" s="1"/>
      <c r="GB1391" s="1"/>
      <c r="GC1391" s="1"/>
      <c r="GD1391" s="1"/>
      <c r="GE1391" s="1"/>
      <c r="GF1391" s="1"/>
      <c r="GG1391" s="1"/>
      <c r="GH1391" s="1"/>
      <c r="GI1391" s="1"/>
      <c r="GJ1391" s="1"/>
      <c r="GK1391" s="1"/>
      <c r="GL1391" s="1"/>
      <c r="GM1391" s="1"/>
      <c r="GN1391" s="1"/>
      <c r="GO1391" s="1"/>
      <c r="GP1391" s="1"/>
      <c r="GQ1391" s="1"/>
      <c r="GR1391" s="1"/>
      <c r="GS1391" s="1"/>
      <c r="GT1391" s="1"/>
      <c r="GU1391" s="1"/>
      <c r="GV1391" s="1"/>
      <c r="GW1391" s="1"/>
      <c r="GX1391" s="1"/>
      <c r="GY1391" s="1"/>
      <c r="GZ1391" s="1"/>
      <c r="HA1391" s="1"/>
      <c r="HB1391" s="1"/>
      <c r="HC1391" s="1"/>
      <c r="HD1391" s="1"/>
      <c r="HE1391" s="1"/>
      <c r="HF1391" s="1"/>
      <c r="HG1391" s="1"/>
      <c r="HH1391" s="1"/>
      <c r="HI1391" s="1"/>
      <c r="HJ1391" s="1"/>
      <c r="HK1391" s="1"/>
      <c r="HL1391" s="1"/>
      <c r="HM1391" s="1"/>
      <c r="HN1391" s="1"/>
      <c r="HO1391" s="1"/>
      <c r="HP1391" s="1"/>
      <c r="HQ1391" s="1"/>
      <c r="HR1391" s="1"/>
      <c r="HS1391" s="1"/>
      <c r="HT1391" s="1"/>
      <c r="HU1391" s="1"/>
      <c r="HV1391" s="1"/>
      <c r="HW1391" s="1"/>
      <c r="HX1391" s="1"/>
      <c r="HY1391" s="1"/>
      <c r="HZ1391" s="1"/>
      <c r="IA1391" s="1"/>
      <c r="IB1391" s="1"/>
      <c r="IC1391" s="1"/>
      <c r="ID1391" s="1"/>
      <c r="IE1391" s="1"/>
      <c r="IF1391" s="1"/>
      <c r="IG1391" s="1"/>
      <c r="IH1391" s="1"/>
      <c r="II1391" s="1"/>
      <c r="IJ1391" s="1"/>
      <c r="IK1391" s="1"/>
      <c r="IL1391" s="1"/>
      <c r="IM1391" s="1"/>
      <c r="IN1391" s="1"/>
      <c r="IO1391" s="1"/>
      <c r="IP1391" s="1"/>
      <c r="IQ1391" s="1"/>
      <c r="IR1391" s="1"/>
      <c r="IS1391" s="1"/>
      <c r="IT1391" s="1"/>
      <c r="IU1391" s="1"/>
      <c r="IV1391" s="1"/>
      <c r="IW1391" s="1"/>
      <c r="IX1391" s="1"/>
      <c r="IY1391" s="1"/>
      <c r="IZ1391" s="1"/>
      <c r="JA1391" s="1"/>
      <c r="JB1391" s="1"/>
      <c r="JC1391" s="1"/>
      <c r="JD1391" s="1"/>
    </row>
    <row r="1392" spans="1:264" s="347" customFormat="1" ht="15" x14ac:dyDescent="0.25">
      <c r="A1392" s="475"/>
      <c r="B1392" s="348"/>
      <c r="BH1392" s="348"/>
      <c r="BI1392" s="348"/>
      <c r="BJ1392" s="348"/>
      <c r="BK1392" s="348"/>
      <c r="BL1392" s="348"/>
      <c r="BM1392" s="348"/>
      <c r="BN1392" s="348"/>
      <c r="BO1392" s="348"/>
      <c r="BP1392" s="348"/>
      <c r="BT1392" s="500"/>
      <c r="CF1392" s="348"/>
      <c r="CJ1392" s="351"/>
      <c r="CK1392" s="351"/>
      <c r="CL1392" s="351"/>
      <c r="CN1392" s="348"/>
      <c r="CR1392" s="348"/>
      <c r="CS1392" s="351"/>
      <c r="CV1392" s="351"/>
      <c r="CW1392" s="489"/>
      <c r="CX1392" s="789"/>
      <c r="CY1392" s="351"/>
      <c r="CZ1392" s="351"/>
      <c r="DA1392" s="489"/>
      <c r="DB1392" s="789"/>
      <c r="DC1392" s="351"/>
      <c r="DD1392" s="351"/>
      <c r="DE1392" s="489"/>
      <c r="DF1392" s="789"/>
      <c r="DG1392" s="351"/>
      <c r="DH1392" s="351"/>
      <c r="DI1392" s="351"/>
      <c r="DJ1392" s="351"/>
      <c r="DL1392" s="351"/>
      <c r="DM1392" s="351"/>
      <c r="DN1392" s="351"/>
      <c r="DP1392" s="351"/>
      <c r="DQ1392" s="351"/>
      <c r="DR1392" s="351"/>
      <c r="DT1392"/>
      <c r="DU1392"/>
      <c r="DV1392" s="1"/>
      <c r="DW1392" s="1"/>
      <c r="DX1392" s="1"/>
      <c r="DY1392" s="1"/>
      <c r="DZ1392" s="1"/>
      <c r="EA1392" s="1"/>
      <c r="EB1392" s="1"/>
      <c r="EC1392" s="1"/>
      <c r="ED1392" s="1"/>
      <c r="EE1392" s="1"/>
      <c r="EF1392" s="1"/>
      <c r="EG1392" s="1"/>
      <c r="EH1392" s="1"/>
      <c r="EI1392" s="1"/>
      <c r="EJ1392" s="1"/>
      <c r="EK1392" s="1"/>
      <c r="EL1392" s="1"/>
      <c r="EM1392" s="1"/>
      <c r="EN1392" s="1"/>
      <c r="EO1392" s="1"/>
      <c r="EP1392" s="1"/>
      <c r="EQ1392" s="1"/>
      <c r="ER1392" s="1"/>
      <c r="ES1392" s="1"/>
      <c r="ET1392" s="1"/>
      <c r="EU1392" s="1"/>
      <c r="EV1392" s="1"/>
      <c r="EW1392" s="1"/>
      <c r="EX1392" s="1"/>
      <c r="EY1392" s="1"/>
      <c r="EZ1392" s="1"/>
      <c r="FA1392" s="1"/>
      <c r="FB1392" s="1"/>
      <c r="FC1392" s="1"/>
      <c r="FD1392" s="1"/>
      <c r="FE1392" s="1"/>
      <c r="FF1392" s="1"/>
      <c r="FG1392" s="1"/>
      <c r="FH1392" s="1"/>
      <c r="FI1392" s="1"/>
      <c r="FJ1392" s="1"/>
      <c r="FK1392" s="1"/>
      <c r="FL1392" s="1"/>
      <c r="FM1392" s="1"/>
      <c r="FN1392" s="1"/>
      <c r="FO1392" s="1"/>
      <c r="FP1392" s="1"/>
      <c r="FQ1392" s="1"/>
      <c r="FR1392" s="1"/>
      <c r="FS1392" s="1"/>
      <c r="FT1392" s="1"/>
      <c r="FU1392" s="1"/>
      <c r="FV1392" s="1"/>
      <c r="FW1392" s="1"/>
      <c r="FX1392" s="1"/>
      <c r="FY1392" s="1"/>
      <c r="FZ1392" s="1"/>
      <c r="GA1392" s="1"/>
      <c r="GB1392" s="1"/>
      <c r="GC1392" s="1"/>
      <c r="GD1392" s="1"/>
      <c r="GE1392" s="1"/>
      <c r="GF1392" s="1"/>
      <c r="GG1392" s="1"/>
      <c r="GH1392" s="1"/>
      <c r="GI1392" s="1"/>
      <c r="GJ1392" s="1"/>
      <c r="GK1392" s="1"/>
      <c r="GL1392" s="1"/>
      <c r="GM1392" s="1"/>
      <c r="GN1392" s="1"/>
      <c r="GO1392" s="1"/>
      <c r="GP1392" s="1"/>
      <c r="GQ1392" s="1"/>
      <c r="GR1392" s="1"/>
      <c r="GS1392" s="1"/>
      <c r="GT1392" s="1"/>
      <c r="GU1392" s="1"/>
      <c r="GV1392" s="1"/>
      <c r="GW1392" s="1"/>
      <c r="GX1392" s="1"/>
      <c r="GY1392" s="1"/>
      <c r="GZ1392" s="1"/>
      <c r="HA1392" s="1"/>
      <c r="HB1392" s="1"/>
      <c r="HC1392" s="1"/>
      <c r="HD1392" s="1"/>
      <c r="HE1392" s="1"/>
      <c r="HF1392" s="1"/>
      <c r="HG1392" s="1"/>
      <c r="HH1392" s="1"/>
      <c r="HI1392" s="1"/>
      <c r="HJ1392" s="1"/>
      <c r="HK1392" s="1"/>
      <c r="HL1392" s="1"/>
      <c r="HM1392" s="1"/>
      <c r="HN1392" s="1"/>
      <c r="HO1392" s="1"/>
      <c r="HP1392" s="1"/>
      <c r="HQ1392" s="1"/>
      <c r="HR1392" s="1"/>
      <c r="HS1392" s="1"/>
      <c r="HT1392" s="1"/>
      <c r="HU1392" s="1"/>
      <c r="HV1392" s="1"/>
      <c r="HW1392" s="1"/>
      <c r="HX1392" s="1"/>
      <c r="HY1392" s="1"/>
      <c r="HZ1392" s="1"/>
      <c r="IA1392" s="1"/>
      <c r="IB1392" s="1"/>
      <c r="IC1392" s="1"/>
      <c r="ID1392" s="1"/>
      <c r="IE1392" s="1"/>
      <c r="IF1392" s="1"/>
      <c r="IG1392" s="1"/>
      <c r="IH1392" s="1"/>
      <c r="II1392" s="1"/>
      <c r="IJ1392" s="1"/>
      <c r="IK1392" s="1"/>
      <c r="IL1392" s="1"/>
      <c r="IM1392" s="1"/>
      <c r="IN1392" s="1"/>
      <c r="IO1392" s="1"/>
      <c r="IP1392" s="1"/>
      <c r="IQ1392" s="1"/>
      <c r="IR1392" s="1"/>
      <c r="IS1392" s="1"/>
      <c r="IT1392" s="1"/>
      <c r="IU1392" s="1"/>
      <c r="IV1392" s="1"/>
      <c r="IW1392" s="1"/>
      <c r="IX1392" s="1"/>
      <c r="IY1392" s="1"/>
      <c r="IZ1392" s="1"/>
      <c r="JA1392" s="1"/>
      <c r="JB1392" s="1"/>
      <c r="JC1392" s="1"/>
      <c r="JD1392" s="1"/>
    </row>
    <row r="1393" spans="1:264" s="386" customFormat="1" ht="15" x14ac:dyDescent="0.25">
      <c r="A1393" s="383" t="s">
        <v>906</v>
      </c>
      <c r="B1393" s="384"/>
      <c r="C1393" s="385"/>
      <c r="D1393" s="385"/>
      <c r="E1393" s="385"/>
      <c r="F1393" s="385"/>
      <c r="G1393" s="385"/>
      <c r="H1393" s="385"/>
      <c r="I1393" s="385"/>
      <c r="J1393" s="385"/>
      <c r="K1393" s="385"/>
      <c r="L1393" s="385"/>
      <c r="M1393" s="385"/>
      <c r="N1393" s="385"/>
      <c r="O1393" s="385"/>
      <c r="P1393" s="385"/>
      <c r="Q1393" s="385"/>
      <c r="R1393" s="385"/>
      <c r="S1393" s="385"/>
      <c r="T1393" s="385"/>
      <c r="U1393" s="385"/>
      <c r="V1393" s="385"/>
      <c r="W1393" s="385"/>
      <c r="X1393" s="385"/>
      <c r="Y1393" s="385"/>
      <c r="Z1393" s="385"/>
      <c r="AA1393" s="385"/>
      <c r="AB1393" s="385"/>
      <c r="AC1393" s="385"/>
      <c r="AD1393" s="385"/>
      <c r="AE1393" s="385"/>
      <c r="AF1393" s="385"/>
      <c r="AG1393" s="385"/>
      <c r="AH1393" s="385"/>
      <c r="AI1393" s="385"/>
      <c r="AJ1393" s="385"/>
      <c r="AK1393" s="385"/>
      <c r="AL1393" s="385"/>
      <c r="AM1393" s="385"/>
      <c r="AN1393" s="385"/>
      <c r="AO1393" s="385"/>
      <c r="AP1393" s="385"/>
      <c r="AQ1393" s="385"/>
      <c r="AR1393" s="385"/>
      <c r="AS1393" s="385"/>
      <c r="AT1393" s="385"/>
      <c r="AU1393" s="385"/>
      <c r="AV1393" s="385"/>
      <c r="AW1393" s="385"/>
      <c r="AX1393" s="385"/>
      <c r="AY1393" s="385"/>
      <c r="AZ1393" s="385"/>
      <c r="BA1393" s="385"/>
      <c r="BB1393" s="385"/>
      <c r="BC1393" s="385"/>
      <c r="BD1393" s="385"/>
      <c r="BE1393" s="385"/>
      <c r="BF1393" s="385"/>
      <c r="BG1393" s="385"/>
      <c r="BH1393" s="384"/>
      <c r="BI1393" s="384"/>
      <c r="BJ1393" s="384"/>
      <c r="BK1393" s="384"/>
      <c r="BL1393" s="384"/>
      <c r="BM1393" s="384"/>
      <c r="BN1393" s="384"/>
      <c r="BO1393" s="384"/>
      <c r="BP1393" s="384"/>
      <c r="BQ1393" s="385"/>
      <c r="BR1393" s="385"/>
      <c r="BS1393" s="385"/>
      <c r="BT1393" s="384"/>
      <c r="BU1393" s="385"/>
      <c r="BV1393" s="385"/>
      <c r="BW1393" s="385"/>
      <c r="BX1393" s="384"/>
      <c r="BY1393" s="385"/>
      <c r="BZ1393" s="385"/>
      <c r="CA1393" s="385"/>
      <c r="CB1393" s="384"/>
      <c r="CC1393" s="385"/>
      <c r="CD1393" s="385"/>
      <c r="CE1393" s="385"/>
      <c r="CF1393" s="384"/>
      <c r="CG1393" s="385"/>
      <c r="CH1393" s="385"/>
      <c r="CI1393" s="385"/>
      <c r="CJ1393" s="384"/>
      <c r="CK1393" s="385"/>
      <c r="CL1393" s="385"/>
      <c r="CM1393" s="385"/>
      <c r="CN1393" s="384"/>
      <c r="CO1393" s="385"/>
      <c r="CP1393" s="385"/>
      <c r="CQ1393" s="385"/>
      <c r="CR1393" s="384"/>
      <c r="CS1393" s="385"/>
      <c r="CT1393" s="385"/>
      <c r="CU1393" s="385"/>
      <c r="CV1393" s="384"/>
      <c r="CW1393" s="385"/>
      <c r="CX1393" s="385"/>
      <c r="CY1393" s="385"/>
      <c r="CZ1393" s="384"/>
      <c r="DA1393" s="385"/>
      <c r="DB1393" s="385"/>
      <c r="DC1393" s="385"/>
      <c r="DD1393" s="384"/>
      <c r="DE1393" s="385"/>
      <c r="DF1393" s="385"/>
      <c r="DG1393" s="385"/>
      <c r="DH1393" s="384"/>
      <c r="DI1393" s="385"/>
      <c r="DJ1393" s="385"/>
      <c r="DK1393" s="385"/>
      <c r="DL1393" s="384"/>
      <c r="DM1393" s="385"/>
      <c r="DN1393" s="385"/>
      <c r="DO1393" s="385"/>
      <c r="DP1393" s="384"/>
      <c r="DQ1393" s="385"/>
      <c r="DR1393" s="385"/>
      <c r="DS1393" s="385"/>
      <c r="DT1393"/>
      <c r="DU1393"/>
      <c r="DV1393" s="1"/>
      <c r="DW1393" s="1"/>
      <c r="DX1393" s="1"/>
      <c r="DY1393" s="1"/>
      <c r="DZ1393" s="1"/>
      <c r="EA1393" s="1"/>
      <c r="EB1393" s="1"/>
      <c r="EC1393" s="1"/>
      <c r="ED1393" s="1"/>
      <c r="EE1393" s="1"/>
      <c r="EF1393" s="1"/>
      <c r="EG1393" s="1"/>
      <c r="EH1393" s="1"/>
      <c r="EI1393" s="1"/>
      <c r="EJ1393" s="1"/>
      <c r="EK1393" s="1"/>
      <c r="EL1393" s="1"/>
      <c r="EM1393" s="1"/>
      <c r="EN1393" s="1"/>
      <c r="EO1393" s="1"/>
      <c r="EP1393" s="1"/>
      <c r="EQ1393" s="1"/>
      <c r="ER1393" s="1"/>
      <c r="ES1393" s="1"/>
      <c r="ET1393" s="1"/>
      <c r="EU1393" s="1"/>
      <c r="EV1393" s="1"/>
      <c r="EW1393" s="1"/>
      <c r="EX1393" s="1"/>
      <c r="EY1393" s="1"/>
      <c r="EZ1393" s="1"/>
      <c r="FA1393" s="1"/>
      <c r="FB1393" s="1"/>
      <c r="FC1393" s="1"/>
      <c r="FD1393" s="1"/>
      <c r="FE1393" s="1"/>
      <c r="FF1393" s="1"/>
      <c r="FG1393" s="1"/>
      <c r="FH1393" s="1"/>
      <c r="FI1393" s="1"/>
      <c r="FJ1393" s="1"/>
      <c r="FK1393" s="1"/>
      <c r="FL1393" s="1"/>
      <c r="FM1393" s="1"/>
      <c r="FN1393" s="1"/>
      <c r="FO1393" s="1"/>
      <c r="FP1393" s="1"/>
      <c r="FQ1393" s="1"/>
      <c r="FR1393" s="1"/>
      <c r="FS1393" s="1"/>
      <c r="FT1393" s="1"/>
      <c r="FU1393" s="1"/>
      <c r="FV1393" s="1"/>
      <c r="FW1393" s="1"/>
      <c r="FX1393" s="1"/>
      <c r="FY1393" s="1"/>
      <c r="FZ1393" s="1"/>
      <c r="GA1393" s="1"/>
      <c r="GB1393" s="1"/>
      <c r="GC1393" s="1"/>
      <c r="GD1393" s="1"/>
      <c r="GE1393" s="1"/>
      <c r="GF1393" s="1"/>
      <c r="GG1393" s="1"/>
      <c r="GH1393" s="1"/>
      <c r="GI1393" s="1"/>
      <c r="GJ1393" s="1"/>
      <c r="GK1393" s="1"/>
      <c r="GL1393" s="1"/>
      <c r="GM1393" s="1"/>
      <c r="GN1393" s="1"/>
      <c r="GO1393" s="1"/>
      <c r="GP1393" s="1"/>
      <c r="GQ1393" s="1"/>
      <c r="GR1393" s="1"/>
      <c r="GS1393" s="1"/>
      <c r="GT1393" s="1"/>
      <c r="GU1393" s="1"/>
      <c r="GV1393" s="1"/>
      <c r="GW1393" s="1"/>
      <c r="GX1393" s="1"/>
      <c r="GY1393" s="1"/>
      <c r="GZ1393" s="1"/>
      <c r="HA1393" s="1"/>
      <c r="HB1393" s="1"/>
      <c r="HC1393" s="1"/>
      <c r="HD1393" s="1"/>
      <c r="HE1393" s="1"/>
      <c r="HF1393" s="1"/>
      <c r="HG1393" s="1"/>
      <c r="HH1393" s="1"/>
      <c r="HI1393" s="1"/>
      <c r="HJ1393" s="1"/>
      <c r="HK1393" s="1"/>
      <c r="HL1393" s="1"/>
      <c r="HM1393" s="1"/>
      <c r="HN1393" s="1"/>
      <c r="HO1393" s="1"/>
      <c r="HP1393" s="1"/>
      <c r="HQ1393" s="1"/>
      <c r="HR1393" s="1"/>
      <c r="HS1393" s="1"/>
      <c r="HT1393" s="1"/>
      <c r="HU1393" s="1"/>
      <c r="HV1393" s="1"/>
      <c r="HW1393" s="1"/>
      <c r="HX1393" s="1"/>
      <c r="HY1393" s="1"/>
      <c r="HZ1393" s="1"/>
      <c r="IA1393" s="1"/>
      <c r="IB1393" s="1"/>
      <c r="IC1393" s="1"/>
      <c r="ID1393" s="1"/>
      <c r="IE1393" s="1"/>
      <c r="IF1393" s="1"/>
      <c r="IG1393" s="1"/>
      <c r="IH1393" s="1"/>
      <c r="II1393" s="1"/>
      <c r="IJ1393" s="1"/>
      <c r="IK1393" s="1"/>
      <c r="IL1393" s="1"/>
      <c r="IM1393" s="1"/>
      <c r="IN1393" s="1"/>
      <c r="IO1393" s="1"/>
      <c r="IP1393" s="1"/>
      <c r="IQ1393" s="1"/>
      <c r="IR1393" s="1"/>
      <c r="IS1393" s="1"/>
      <c r="IT1393" s="1"/>
      <c r="IU1393" s="1"/>
      <c r="IV1393" s="1"/>
      <c r="IW1393" s="1"/>
      <c r="IX1393" s="1"/>
      <c r="IY1393" s="1"/>
      <c r="IZ1393" s="1"/>
      <c r="JA1393" s="1"/>
      <c r="JB1393" s="1"/>
      <c r="JC1393" s="1"/>
      <c r="JD1393" s="1"/>
    </row>
    <row r="1394" spans="1:264" s="347" customFormat="1" ht="15" x14ac:dyDescent="0.25">
      <c r="B1394" s="348"/>
      <c r="BH1394" s="348"/>
      <c r="BI1394" s="348"/>
      <c r="BJ1394" s="348"/>
      <c r="BK1394" s="348"/>
      <c r="BL1394" s="348"/>
      <c r="BM1394" s="348"/>
      <c r="BN1394" s="348"/>
      <c r="BO1394" s="348"/>
      <c r="BP1394" s="348"/>
      <c r="DT1394"/>
      <c r="DU1394"/>
      <c r="DV1394" s="1"/>
      <c r="DW1394" s="1"/>
      <c r="DX1394" s="1"/>
      <c r="DY1394" s="1"/>
      <c r="DZ1394" s="1"/>
      <c r="EA1394" s="1"/>
      <c r="EB1394" s="1"/>
      <c r="EC1394" s="1"/>
      <c r="ED1394" s="1"/>
      <c r="EE1394" s="1"/>
      <c r="EF1394" s="1"/>
      <c r="EG1394" s="1"/>
      <c r="EH1394" s="1"/>
      <c r="EI1394" s="1"/>
      <c r="EJ1394" s="1"/>
      <c r="EK1394" s="1"/>
      <c r="EL1394" s="1"/>
      <c r="EM1394" s="1"/>
      <c r="EN1394" s="1"/>
      <c r="EO1394" s="1"/>
      <c r="EP1394" s="1"/>
      <c r="EQ1394" s="1"/>
      <c r="ER1394" s="1"/>
      <c r="ES1394" s="1"/>
      <c r="ET1394" s="1"/>
      <c r="EU1394" s="1"/>
      <c r="EV1394" s="1"/>
      <c r="EW1394" s="1"/>
      <c r="EX1394" s="1"/>
      <c r="EY1394" s="1"/>
      <c r="EZ1394" s="1"/>
      <c r="FA1394" s="1"/>
      <c r="FB1394" s="1"/>
      <c r="FC1394" s="1"/>
      <c r="FD1394" s="1"/>
      <c r="FE1394" s="1"/>
      <c r="FF1394" s="1"/>
      <c r="FG1394" s="1"/>
      <c r="FH1394" s="1"/>
      <c r="FI1394" s="1"/>
      <c r="FJ1394" s="1"/>
      <c r="FK1394" s="1"/>
      <c r="FL1394" s="1"/>
      <c r="FM1394" s="1"/>
      <c r="FN1394" s="1"/>
      <c r="FO1394" s="1"/>
      <c r="FP1394" s="1"/>
      <c r="FQ1394" s="1"/>
      <c r="FR1394" s="1"/>
      <c r="FS1394" s="1"/>
      <c r="FT1394" s="1"/>
      <c r="FU1394" s="1"/>
      <c r="FV1394" s="1"/>
      <c r="FW1394" s="1"/>
      <c r="FX1394" s="1"/>
      <c r="FY1394" s="1"/>
      <c r="FZ1394" s="1"/>
      <c r="GA1394" s="1"/>
      <c r="GB1394" s="1"/>
      <c r="GC1394" s="1"/>
      <c r="GD1394" s="1"/>
      <c r="GE1394" s="1"/>
      <c r="GF1394" s="1"/>
      <c r="GG1394" s="1"/>
      <c r="GH1394" s="1"/>
      <c r="GI1394" s="1"/>
      <c r="GJ1394" s="1"/>
      <c r="GK1394" s="1"/>
      <c r="GL1394" s="1"/>
      <c r="GM1394" s="1"/>
      <c r="GN1394" s="1"/>
      <c r="GO1394" s="1"/>
      <c r="GP1394" s="1"/>
      <c r="GQ1394" s="1"/>
      <c r="GR1394" s="1"/>
      <c r="GS1394" s="1"/>
      <c r="GT1394" s="1"/>
      <c r="GU1394" s="1"/>
      <c r="GV1394" s="1"/>
      <c r="GW1394" s="1"/>
      <c r="GX1394" s="1"/>
      <c r="GY1394" s="1"/>
      <c r="GZ1394" s="1"/>
      <c r="HA1394" s="1"/>
      <c r="HB1394" s="1"/>
      <c r="HC1394" s="1"/>
      <c r="HD1394" s="1"/>
      <c r="HE1394" s="1"/>
      <c r="HF1394" s="1"/>
      <c r="HG1394" s="1"/>
      <c r="HH1394" s="1"/>
      <c r="HI1394" s="1"/>
      <c r="HJ1394" s="1"/>
      <c r="HK1394" s="1"/>
      <c r="HL1394" s="1"/>
      <c r="HM1394" s="1"/>
      <c r="HN1394" s="1"/>
      <c r="HO1394" s="1"/>
      <c r="HP1394" s="1"/>
      <c r="HQ1394" s="1"/>
      <c r="HR1394" s="1"/>
      <c r="HS1394" s="1"/>
      <c r="HT1394" s="1"/>
      <c r="HU1394" s="1"/>
      <c r="HV1394" s="1"/>
      <c r="HW1394" s="1"/>
      <c r="HX1394" s="1"/>
      <c r="HY1394" s="1"/>
      <c r="HZ1394" s="1"/>
      <c r="IA1394" s="1"/>
      <c r="IB1394" s="1"/>
      <c r="IC1394" s="1"/>
      <c r="ID1394" s="1"/>
      <c r="IE1394" s="1"/>
      <c r="IF1394" s="1"/>
      <c r="IG1394" s="1"/>
      <c r="IH1394" s="1"/>
      <c r="II1394" s="1"/>
      <c r="IJ1394" s="1"/>
      <c r="IK1394" s="1"/>
      <c r="IL1394" s="1"/>
      <c r="IM1394" s="1"/>
      <c r="IN1394" s="1"/>
      <c r="IO1394" s="1"/>
      <c r="IP1394" s="1"/>
      <c r="IQ1394" s="1"/>
      <c r="IR1394" s="1"/>
      <c r="IS1394" s="1"/>
      <c r="IT1394" s="1"/>
      <c r="IU1394" s="1"/>
      <c r="IV1394" s="1"/>
      <c r="IW1394" s="1"/>
      <c r="IX1394" s="1"/>
      <c r="IY1394" s="1"/>
      <c r="IZ1394" s="1"/>
      <c r="JA1394" s="1"/>
      <c r="JB1394" s="1"/>
      <c r="JC1394" s="1"/>
      <c r="JD1394" s="1"/>
    </row>
    <row r="1395" spans="1:264" s="347" customFormat="1" ht="15" x14ac:dyDescent="0.25">
      <c r="A1395" s="347" t="s">
        <v>907</v>
      </c>
      <c r="B1395" s="348"/>
      <c r="BH1395" s="351">
        <f>BH503</f>
        <v>40965</v>
      </c>
      <c r="BI1395" s="351">
        <f>BI503</f>
        <v>43015</v>
      </c>
      <c r="BJ1395" s="351">
        <f>BJ503</f>
        <v>41990</v>
      </c>
      <c r="BK1395" s="348"/>
      <c r="BL1395" s="351">
        <f>BL503</f>
        <v>44812</v>
      </c>
      <c r="BM1395" s="351">
        <f>BM503</f>
        <v>46869</v>
      </c>
      <c r="BN1395" s="351">
        <f>BN503</f>
        <v>45831</v>
      </c>
      <c r="BO1395" s="348"/>
      <c r="BP1395" s="351">
        <f>BP503</f>
        <v>48694</v>
      </c>
      <c r="BQ1395" s="351">
        <f>BQ503</f>
        <v>50511</v>
      </c>
      <c r="BR1395" s="351">
        <f>BR503</f>
        <v>49626</v>
      </c>
      <c r="BT1395" s="351">
        <f>BT503</f>
        <v>54739</v>
      </c>
      <c r="BU1395" s="351">
        <f>BU503</f>
        <v>58116</v>
      </c>
      <c r="BV1395" s="351">
        <f>BV503</f>
        <v>56505.5</v>
      </c>
      <c r="BX1395" s="351">
        <f>BX503</f>
        <v>60581</v>
      </c>
      <c r="BY1395" s="351">
        <f>BY503</f>
        <v>62286</v>
      </c>
      <c r="BZ1395" s="351">
        <f>BZ503</f>
        <v>61426.5</v>
      </c>
      <c r="CB1395" s="351">
        <f>CB503</f>
        <v>64555</v>
      </c>
      <c r="CC1395" s="351">
        <f>CC503</f>
        <v>66093</v>
      </c>
      <c r="CD1395" s="351">
        <f>CD503</f>
        <v>65318</v>
      </c>
      <c r="CF1395" s="351">
        <f>CF503</f>
        <v>67186</v>
      </c>
      <c r="CG1395" s="351">
        <f>CG503</f>
        <v>68809</v>
      </c>
      <c r="CH1395" s="351">
        <f>CH503</f>
        <v>67989</v>
      </c>
      <c r="CJ1395" s="351">
        <f>CJ503</f>
        <v>70275</v>
      </c>
      <c r="CK1395" s="351">
        <f>CK503</f>
        <v>71555</v>
      </c>
      <c r="CL1395" s="351">
        <f>CL503</f>
        <v>69402</v>
      </c>
      <c r="CN1395" s="351">
        <f>CN503</f>
        <v>73424</v>
      </c>
      <c r="CO1395" s="351">
        <f>CO503</f>
        <v>76814</v>
      </c>
      <c r="CP1395" s="351">
        <f>CP503</f>
        <v>75187</v>
      </c>
      <c r="CR1395" s="351">
        <f>CR503</f>
        <v>76670</v>
      </c>
      <c r="CS1395" s="351">
        <f>CS503</f>
        <v>73745</v>
      </c>
      <c r="CT1395" s="351">
        <f>CT503</f>
        <v>75391</v>
      </c>
      <c r="CV1395" s="351">
        <f>CV503</f>
        <v>72498</v>
      </c>
      <c r="CW1395" s="351">
        <f>CW503</f>
        <v>71972</v>
      </c>
      <c r="CX1395" s="351">
        <f>CX503</f>
        <v>72208</v>
      </c>
      <c r="CZ1395" s="351">
        <f>CZ503</f>
        <v>72231</v>
      </c>
      <c r="DA1395" s="351">
        <f>DA503</f>
        <v>72960</v>
      </c>
      <c r="DB1395" s="351">
        <f>DB503</f>
        <v>72517</v>
      </c>
      <c r="DD1395" s="351">
        <f>DD503</f>
        <v>74176</v>
      </c>
      <c r="DE1395" s="351">
        <f>DE503</f>
        <v>77020</v>
      </c>
      <c r="DF1395" s="351">
        <f>DF503</f>
        <v>75710</v>
      </c>
      <c r="DH1395" s="351">
        <f>DH503</f>
        <v>78004</v>
      </c>
      <c r="DI1395" s="351">
        <f ca="1">DI503</f>
        <v>78093.663493840955</v>
      </c>
      <c r="DJ1395" s="351">
        <f ca="1">DJ503</f>
        <v>78048.831746920478</v>
      </c>
      <c r="DL1395" s="351">
        <f ca="1">DL503</f>
        <v>79568.859124923358</v>
      </c>
      <c r="DM1395" s="351">
        <f ca="1">DM503</f>
        <v>80961.143288004212</v>
      </c>
      <c r="DN1395" s="351">
        <f ca="1">DN503</f>
        <v>80265.001206463901</v>
      </c>
      <c r="DP1395" s="351">
        <f ca="1">DP503</f>
        <v>82289.849379730644</v>
      </c>
      <c r="DQ1395" s="351">
        <f ca="1">DQ503</f>
        <v>83658.844811016228</v>
      </c>
      <c r="DR1395" s="351">
        <f ca="1">DR503</f>
        <v>82974.347095373552</v>
      </c>
      <c r="DT1395"/>
      <c r="DU1395"/>
      <c r="DV1395" s="1"/>
      <c r="DW1395" s="1"/>
      <c r="DX1395" s="1"/>
      <c r="DY1395" s="1"/>
      <c r="DZ1395" s="1"/>
      <c r="EA1395" s="1"/>
      <c r="EB1395" s="1"/>
      <c r="EC1395" s="1"/>
      <c r="ED1395" s="1"/>
      <c r="EE1395" s="1"/>
      <c r="EF1395" s="1"/>
      <c r="EG1395" s="1"/>
      <c r="EH1395" s="1"/>
      <c r="EI1395" s="1"/>
      <c r="EJ1395" s="1"/>
      <c r="EK1395" s="1"/>
      <c r="EL1395" s="1"/>
      <c r="EM1395" s="1"/>
      <c r="EN1395" s="1"/>
      <c r="EO1395" s="1"/>
      <c r="EP1395" s="1"/>
      <c r="EQ1395" s="1"/>
      <c r="ER1395" s="1"/>
      <c r="ES1395" s="1"/>
      <c r="ET1395" s="1"/>
      <c r="EU1395" s="1"/>
      <c r="EV1395" s="1"/>
      <c r="EW1395" s="1"/>
      <c r="EX1395" s="1"/>
      <c r="EY1395" s="1"/>
      <c r="EZ1395" s="1"/>
      <c r="FA1395" s="1"/>
      <c r="FB1395" s="1"/>
      <c r="FC1395" s="1"/>
      <c r="FD1395" s="1"/>
      <c r="FE1395" s="1"/>
      <c r="FF1395" s="1"/>
      <c r="FG1395" s="1"/>
      <c r="FH1395" s="1"/>
      <c r="FI1395" s="1"/>
      <c r="FJ1395" s="1"/>
      <c r="FK1395" s="1"/>
      <c r="FL1395" s="1"/>
      <c r="FM1395" s="1"/>
      <c r="FN1395" s="1"/>
      <c r="FO1395" s="1"/>
      <c r="FP1395" s="1"/>
      <c r="FQ1395" s="1"/>
      <c r="FR1395" s="1"/>
      <c r="FS1395" s="1"/>
      <c r="FT1395" s="1"/>
      <c r="FU1395" s="1"/>
      <c r="FV1395" s="1"/>
      <c r="FW1395" s="1"/>
      <c r="FX1395" s="1"/>
      <c r="FY1395" s="1"/>
      <c r="FZ1395" s="1"/>
      <c r="GA1395" s="1"/>
      <c r="GB1395" s="1"/>
      <c r="GC1395" s="1"/>
      <c r="GD1395" s="1"/>
      <c r="GE1395" s="1"/>
      <c r="GF1395" s="1"/>
      <c r="GG1395" s="1"/>
      <c r="GH1395" s="1"/>
      <c r="GI1395" s="1"/>
      <c r="GJ1395" s="1"/>
      <c r="GK1395" s="1"/>
      <c r="GL1395" s="1"/>
      <c r="GM1395" s="1"/>
      <c r="GN1395" s="1"/>
      <c r="GO1395" s="1"/>
      <c r="GP1395" s="1"/>
      <c r="GQ1395" s="1"/>
      <c r="GR1395" s="1"/>
      <c r="GS1395" s="1"/>
      <c r="GT1395" s="1"/>
      <c r="GU1395" s="1"/>
      <c r="GV1395" s="1"/>
      <c r="GW1395" s="1"/>
      <c r="GX1395" s="1"/>
      <c r="GY1395" s="1"/>
      <c r="GZ1395" s="1"/>
      <c r="HA1395" s="1"/>
      <c r="HB1395" s="1"/>
      <c r="HC1395" s="1"/>
      <c r="HD1395" s="1"/>
      <c r="HE1395" s="1"/>
      <c r="HF1395" s="1"/>
      <c r="HG1395" s="1"/>
      <c r="HH1395" s="1"/>
      <c r="HI1395" s="1"/>
      <c r="HJ1395" s="1"/>
      <c r="HK1395" s="1"/>
      <c r="HL1395" s="1"/>
      <c r="HM1395" s="1"/>
      <c r="HN1395" s="1"/>
      <c r="HO1395" s="1"/>
      <c r="HP1395" s="1"/>
      <c r="HQ1395" s="1"/>
      <c r="HR1395" s="1"/>
      <c r="HS1395" s="1"/>
      <c r="HT1395" s="1"/>
      <c r="HU1395" s="1"/>
      <c r="HV1395" s="1"/>
      <c r="HW1395" s="1"/>
      <c r="HX1395" s="1"/>
      <c r="HY1395" s="1"/>
      <c r="HZ1395" s="1"/>
      <c r="IA1395" s="1"/>
      <c r="IB1395" s="1"/>
      <c r="IC1395" s="1"/>
      <c r="ID1395" s="1"/>
      <c r="IE1395" s="1"/>
      <c r="IF1395" s="1"/>
      <c r="IG1395" s="1"/>
      <c r="IH1395" s="1"/>
      <c r="II1395" s="1"/>
      <c r="IJ1395" s="1"/>
      <c r="IK1395" s="1"/>
      <c r="IL1395" s="1"/>
      <c r="IM1395" s="1"/>
      <c r="IN1395" s="1"/>
      <c r="IO1395" s="1"/>
      <c r="IP1395" s="1"/>
      <c r="IQ1395" s="1"/>
      <c r="IR1395" s="1"/>
      <c r="IS1395" s="1"/>
      <c r="IT1395" s="1"/>
      <c r="IU1395" s="1"/>
      <c r="IV1395" s="1"/>
      <c r="IW1395" s="1"/>
      <c r="IX1395" s="1"/>
      <c r="IY1395" s="1"/>
      <c r="IZ1395" s="1"/>
      <c r="JA1395" s="1"/>
      <c r="JB1395" s="1"/>
      <c r="JC1395" s="1"/>
      <c r="JD1395" s="1"/>
    </row>
    <row r="1396" spans="1:264" s="347" customFormat="1" ht="15" x14ac:dyDescent="0.25">
      <c r="A1396" s="463" t="s">
        <v>908</v>
      </c>
      <c r="B1396" s="466"/>
      <c r="C1396" s="463"/>
      <c r="D1396" s="463"/>
      <c r="E1396" s="463"/>
      <c r="F1396" s="463"/>
      <c r="G1396" s="463"/>
      <c r="H1396" s="463"/>
      <c r="I1396" s="463"/>
      <c r="J1396" s="463"/>
      <c r="K1396" s="463"/>
      <c r="L1396" s="463"/>
      <c r="M1396" s="463"/>
      <c r="N1396" s="463"/>
      <c r="O1396" s="463"/>
      <c r="P1396" s="463"/>
      <c r="Q1396" s="463"/>
      <c r="R1396" s="463"/>
      <c r="S1396" s="463"/>
      <c r="T1396" s="463"/>
      <c r="U1396" s="463"/>
      <c r="V1396" s="463"/>
      <c r="W1396" s="463"/>
      <c r="X1396" s="463"/>
      <c r="Y1396" s="463"/>
      <c r="Z1396" s="463"/>
      <c r="AA1396" s="463"/>
      <c r="AB1396" s="463"/>
      <c r="AC1396" s="463"/>
      <c r="AD1396" s="463"/>
      <c r="AE1396" s="463"/>
      <c r="AF1396" s="463"/>
      <c r="AG1396" s="463"/>
      <c r="AH1396" s="463"/>
      <c r="AI1396" s="463"/>
      <c r="AJ1396" s="463"/>
      <c r="AK1396" s="463"/>
      <c r="AL1396" s="463"/>
      <c r="AM1396" s="463"/>
      <c r="AN1396" s="463"/>
      <c r="AO1396" s="463"/>
      <c r="AP1396" s="463"/>
      <c r="AQ1396" s="463"/>
      <c r="AR1396" s="463"/>
      <c r="AS1396" s="463"/>
      <c r="AT1396" s="463"/>
      <c r="AU1396" s="463"/>
      <c r="AV1396" s="463"/>
      <c r="AW1396" s="463"/>
      <c r="AX1396" s="463"/>
      <c r="AY1396" s="463"/>
      <c r="AZ1396" s="463"/>
      <c r="BA1396" s="463"/>
      <c r="BB1396" s="463"/>
      <c r="BC1396" s="463"/>
      <c r="BD1396" s="463"/>
      <c r="BE1396" s="463"/>
      <c r="BF1396" s="463"/>
      <c r="BG1396" s="463"/>
      <c r="BH1396" s="464">
        <v>312</v>
      </c>
      <c r="BI1396" s="464">
        <v>299</v>
      </c>
      <c r="BJ1396" s="464">
        <v>307</v>
      </c>
      <c r="BK1396" s="466"/>
      <c r="BL1396" s="464">
        <v>295</v>
      </c>
      <c r="BM1396" s="464">
        <v>292</v>
      </c>
      <c r="BN1396" s="464">
        <v>293</v>
      </c>
      <c r="BO1396" s="466"/>
      <c r="BP1396" s="464">
        <v>288</v>
      </c>
      <c r="BQ1396" s="464">
        <v>283</v>
      </c>
      <c r="BR1396" s="464">
        <v>285</v>
      </c>
      <c r="BS1396" s="463"/>
      <c r="BT1396" s="464">
        <v>302</v>
      </c>
      <c r="BU1396" s="464">
        <v>304</v>
      </c>
      <c r="BV1396" s="464">
        <v>296</v>
      </c>
      <c r="BW1396" s="463"/>
      <c r="BX1396" s="464">
        <v>269</v>
      </c>
      <c r="BY1396" s="464">
        <v>274</v>
      </c>
      <c r="BZ1396" s="464">
        <v>277</v>
      </c>
      <c r="CA1396" s="463"/>
      <c r="CB1396" s="464">
        <v>94</v>
      </c>
      <c r="CC1396" s="464">
        <v>88</v>
      </c>
      <c r="CD1396" s="846">
        <f>AVERAGE(CB1396:CC1396)</f>
        <v>91</v>
      </c>
      <c r="CE1396" s="463"/>
      <c r="CF1396" s="448">
        <v>86</v>
      </c>
      <c r="CG1396" s="448">
        <v>86</v>
      </c>
      <c r="CH1396" s="846">
        <f>AVERAGE(CF1396:CG1396)</f>
        <v>86</v>
      </c>
      <c r="CI1396" s="463"/>
      <c r="CJ1396" s="448">
        <v>43</v>
      </c>
      <c r="CK1396" s="448">
        <v>0</v>
      </c>
      <c r="CL1396" s="846">
        <f>AVERAGE(CJ1396:CK1396)</f>
        <v>21.5</v>
      </c>
      <c r="CM1396" s="463"/>
      <c r="CN1396" s="448">
        <v>0</v>
      </c>
      <c r="CO1396" s="448">
        <v>0</v>
      </c>
      <c r="CP1396" s="846">
        <f>AVERAGE(CN1396:CO1396)</f>
        <v>0</v>
      </c>
      <c r="CQ1396" s="463"/>
      <c r="CR1396" s="448">
        <v>0</v>
      </c>
      <c r="CS1396" s="448">
        <v>0</v>
      </c>
      <c r="CT1396" s="846">
        <f>AVERAGE(CR1396:CS1396)</f>
        <v>0</v>
      </c>
      <c r="CU1396" s="463"/>
      <c r="CV1396" s="448">
        <v>0</v>
      </c>
      <c r="CW1396" s="448">
        <v>0</v>
      </c>
      <c r="CX1396" s="846">
        <f>AVERAGE(CV1396:CW1396)</f>
        <v>0</v>
      </c>
      <c r="CY1396" s="463"/>
      <c r="CZ1396" s="448">
        <v>0</v>
      </c>
      <c r="DA1396" s="448">
        <v>0</v>
      </c>
      <c r="DB1396" s="846">
        <f>AVERAGE(CZ1396:DA1396)</f>
        <v>0</v>
      </c>
      <c r="DC1396" s="463"/>
      <c r="DD1396" s="448">
        <v>0</v>
      </c>
      <c r="DE1396" s="448">
        <v>0</v>
      </c>
      <c r="DF1396" s="846">
        <f>AVERAGE(DD1396:DE1396)</f>
        <v>0</v>
      </c>
      <c r="DG1396" s="463"/>
      <c r="DH1396" s="448">
        <v>0</v>
      </c>
      <c r="DI1396" s="514">
        <f>DH1396</f>
        <v>0</v>
      </c>
      <c r="DJ1396" s="485">
        <f>AVERAGE(DH1396:DI1396)</f>
        <v>0</v>
      </c>
      <c r="DK1396" s="463"/>
      <c r="DL1396" s="514">
        <f>DI1396</f>
        <v>0</v>
      </c>
      <c r="DM1396" s="514">
        <f>DL1396</f>
        <v>0</v>
      </c>
      <c r="DN1396" s="485">
        <f>AVERAGE(DL1396:DM1396)</f>
        <v>0</v>
      </c>
      <c r="DO1396" s="463"/>
      <c r="DP1396" s="514">
        <f>DM1396</f>
        <v>0</v>
      </c>
      <c r="DQ1396" s="514">
        <f>DP1396</f>
        <v>0</v>
      </c>
      <c r="DR1396" s="485">
        <f>AVERAGE(DP1396:DQ1396)</f>
        <v>0</v>
      </c>
      <c r="DS1396" s="463"/>
      <c r="DT1396"/>
      <c r="DU1396"/>
      <c r="DV1396" s="1"/>
      <c r="DW1396" s="1"/>
      <c r="DX1396" s="1"/>
      <c r="DY1396" s="1"/>
      <c r="DZ1396" s="1"/>
      <c r="EA1396" s="1"/>
      <c r="EB1396" s="1"/>
      <c r="EC1396" s="1"/>
      <c r="ED1396" s="1"/>
      <c r="EE1396" s="1"/>
      <c r="EF1396" s="1"/>
      <c r="EG1396" s="1"/>
      <c r="EH1396" s="1"/>
      <c r="EI1396" s="1"/>
      <c r="EJ1396" s="1"/>
      <c r="EK1396" s="1"/>
      <c r="EL1396" s="1"/>
      <c r="EM1396" s="1"/>
      <c r="EN1396" s="1"/>
      <c r="EO1396" s="1"/>
      <c r="EP1396" s="1"/>
      <c r="EQ1396" s="1"/>
      <c r="ER1396" s="1"/>
      <c r="ES1396" s="1"/>
      <c r="ET1396" s="1"/>
      <c r="EU1396" s="1"/>
      <c r="EV1396" s="1"/>
      <c r="EW1396" s="1"/>
      <c r="EX1396" s="1"/>
      <c r="EY1396" s="1"/>
      <c r="EZ1396" s="1"/>
      <c r="FA1396" s="1"/>
      <c r="FB1396" s="1"/>
      <c r="FC1396" s="1"/>
      <c r="FD1396" s="1"/>
      <c r="FE1396" s="1"/>
      <c r="FF1396" s="1"/>
      <c r="FG1396" s="1"/>
      <c r="FH1396" s="1"/>
      <c r="FI1396" s="1"/>
      <c r="FJ1396" s="1"/>
      <c r="FK1396" s="1"/>
      <c r="FL1396" s="1"/>
      <c r="FM1396" s="1"/>
      <c r="FN1396" s="1"/>
      <c r="FO1396" s="1"/>
      <c r="FP1396" s="1"/>
      <c r="FQ1396" s="1"/>
      <c r="FR1396" s="1"/>
      <c r="FS1396" s="1"/>
      <c r="FT1396" s="1"/>
      <c r="FU1396" s="1"/>
      <c r="FV1396" s="1"/>
      <c r="FW1396" s="1"/>
      <c r="FX1396" s="1"/>
      <c r="FY1396" s="1"/>
      <c r="FZ1396" s="1"/>
      <c r="GA1396" s="1"/>
      <c r="GB1396" s="1"/>
      <c r="GC1396" s="1"/>
      <c r="GD1396" s="1"/>
      <c r="GE1396" s="1"/>
      <c r="GF1396" s="1"/>
      <c r="GG1396" s="1"/>
      <c r="GH1396" s="1"/>
      <c r="GI1396" s="1"/>
      <c r="GJ1396" s="1"/>
      <c r="GK1396" s="1"/>
      <c r="GL1396" s="1"/>
      <c r="GM1396" s="1"/>
      <c r="GN1396" s="1"/>
      <c r="GO1396" s="1"/>
      <c r="GP1396" s="1"/>
      <c r="GQ1396" s="1"/>
      <c r="GR1396" s="1"/>
      <c r="GS1396" s="1"/>
      <c r="GT1396" s="1"/>
      <c r="GU1396" s="1"/>
      <c r="GV1396" s="1"/>
      <c r="GW1396" s="1"/>
      <c r="GX1396" s="1"/>
      <c r="GY1396" s="1"/>
      <c r="GZ1396" s="1"/>
      <c r="HA1396" s="1"/>
      <c r="HB1396" s="1"/>
      <c r="HC1396" s="1"/>
      <c r="HD1396" s="1"/>
      <c r="HE1396" s="1"/>
      <c r="HF1396" s="1"/>
      <c r="HG1396" s="1"/>
      <c r="HH1396" s="1"/>
      <c r="HI1396" s="1"/>
      <c r="HJ1396" s="1"/>
      <c r="HK1396" s="1"/>
      <c r="HL1396" s="1"/>
      <c r="HM1396" s="1"/>
      <c r="HN1396" s="1"/>
      <c r="HO1396" s="1"/>
      <c r="HP1396" s="1"/>
      <c r="HQ1396" s="1"/>
      <c r="HR1396" s="1"/>
      <c r="HS1396" s="1"/>
      <c r="HT1396" s="1"/>
      <c r="HU1396" s="1"/>
      <c r="HV1396" s="1"/>
      <c r="HW1396" s="1"/>
      <c r="HX1396" s="1"/>
      <c r="HY1396" s="1"/>
      <c r="HZ1396" s="1"/>
      <c r="IA1396" s="1"/>
      <c r="IB1396" s="1"/>
      <c r="IC1396" s="1"/>
      <c r="ID1396" s="1"/>
      <c r="IE1396" s="1"/>
      <c r="IF1396" s="1"/>
      <c r="IG1396" s="1"/>
      <c r="IH1396" s="1"/>
      <c r="II1396" s="1"/>
      <c r="IJ1396" s="1"/>
      <c r="IK1396" s="1"/>
      <c r="IL1396" s="1"/>
      <c r="IM1396" s="1"/>
      <c r="IN1396" s="1"/>
      <c r="IO1396" s="1"/>
      <c r="IP1396" s="1"/>
      <c r="IQ1396" s="1"/>
      <c r="IR1396" s="1"/>
      <c r="IS1396" s="1"/>
      <c r="IT1396" s="1"/>
      <c r="IU1396" s="1"/>
      <c r="IV1396" s="1"/>
      <c r="IW1396" s="1"/>
      <c r="IX1396" s="1"/>
      <c r="IY1396" s="1"/>
      <c r="IZ1396" s="1"/>
      <c r="JA1396" s="1"/>
      <c r="JB1396" s="1"/>
      <c r="JC1396" s="1"/>
      <c r="JD1396" s="1"/>
    </row>
    <row r="1397" spans="1:264" s="347" customFormat="1" ht="15" x14ac:dyDescent="0.25">
      <c r="A1397" s="411" t="s">
        <v>909</v>
      </c>
      <c r="B1397" s="348"/>
      <c r="BH1397" s="397">
        <f>SUM(BH1395:BH1396)</f>
        <v>41277</v>
      </c>
      <c r="BI1397" s="397">
        <f>SUM(BI1395:BI1396)</f>
        <v>43314</v>
      </c>
      <c r="BJ1397" s="397">
        <f>SUM(BJ1395:BJ1396)</f>
        <v>42297</v>
      </c>
      <c r="BK1397" s="348"/>
      <c r="BL1397" s="397">
        <f>SUM(BL1395:BL1396)</f>
        <v>45107</v>
      </c>
      <c r="BM1397" s="397">
        <f>SUM(BM1395:BM1396)</f>
        <v>47161</v>
      </c>
      <c r="BN1397" s="397">
        <f>SUM(BN1395:BN1396)</f>
        <v>46124</v>
      </c>
      <c r="BO1397" s="348"/>
      <c r="BP1397" s="397">
        <f>SUM(BP1395:BP1396)</f>
        <v>48982</v>
      </c>
      <c r="BQ1397" s="397">
        <f>SUM(BQ1395:BQ1396)</f>
        <v>50794</v>
      </c>
      <c r="BR1397" s="397">
        <f>SUM(BR1395:BR1396)</f>
        <v>49911</v>
      </c>
      <c r="BT1397" s="397">
        <f>SUM(BT1395:BT1396)</f>
        <v>55041</v>
      </c>
      <c r="BU1397" s="397">
        <f>SUM(BU1395:BU1396)</f>
        <v>58420</v>
      </c>
      <c r="BV1397" s="397">
        <f>SUM(BV1395:BV1396)</f>
        <v>56801.5</v>
      </c>
      <c r="BX1397" s="397">
        <f>SUM(BX1395:BX1396)</f>
        <v>60850</v>
      </c>
      <c r="BY1397" s="397">
        <f>SUM(BY1395:BY1396)</f>
        <v>62560</v>
      </c>
      <c r="BZ1397" s="397">
        <f>SUM(BZ1395:BZ1396)</f>
        <v>61703.5</v>
      </c>
      <c r="CB1397" s="397">
        <f>SUM(CB1395:CB1396)</f>
        <v>64649</v>
      </c>
      <c r="CC1397" s="397">
        <f>SUM(CC1395:CC1396)</f>
        <v>66181</v>
      </c>
      <c r="CD1397" s="397">
        <f>SUM(CD1395:CD1396)</f>
        <v>65409</v>
      </c>
      <c r="CF1397" s="397">
        <f>SUM(CF1395:CF1396)</f>
        <v>67272</v>
      </c>
      <c r="CG1397" s="397">
        <f>SUM(CG1395:CG1396)</f>
        <v>68895</v>
      </c>
      <c r="CH1397" s="397">
        <f>SUM(CH1395:CH1396)</f>
        <v>68075</v>
      </c>
      <c r="CJ1397" s="397">
        <f>SUM(CJ1395:CJ1396)</f>
        <v>70318</v>
      </c>
      <c r="CK1397" s="397">
        <f>SUM(CK1395:CK1396)</f>
        <v>71555</v>
      </c>
      <c r="CL1397" s="397">
        <f>SUM(CL1395:CL1396)</f>
        <v>69423.5</v>
      </c>
      <c r="CN1397" s="397">
        <f>SUM(CN1395:CN1396)</f>
        <v>73424</v>
      </c>
      <c r="CO1397" s="397">
        <f>SUM(CO1395:CO1396)</f>
        <v>76814</v>
      </c>
      <c r="CP1397" s="397">
        <f>SUM(CP1395:CP1396)</f>
        <v>75187</v>
      </c>
      <c r="CR1397" s="397">
        <f>SUM(CR1395:CR1396)</f>
        <v>76670</v>
      </c>
      <c r="CS1397" s="397">
        <f>SUM(CS1395:CS1396)</f>
        <v>73745</v>
      </c>
      <c r="CT1397" s="397">
        <f>SUM(CT1395:CT1396)</f>
        <v>75391</v>
      </c>
      <c r="CV1397" s="397">
        <f>SUM(CV1395:CV1396)</f>
        <v>72498</v>
      </c>
      <c r="CW1397" s="397">
        <f>SUM(CW1395:CW1396)</f>
        <v>71972</v>
      </c>
      <c r="CX1397" s="397">
        <f>SUM(CX1395:CX1396)</f>
        <v>72208</v>
      </c>
      <c r="CZ1397" s="397">
        <f>SUM(CZ1395:CZ1396)</f>
        <v>72231</v>
      </c>
      <c r="DA1397" s="397">
        <f>SUM(DA1395:DA1396)</f>
        <v>72960</v>
      </c>
      <c r="DB1397" s="397">
        <f>SUM(DB1395:DB1396)</f>
        <v>72517</v>
      </c>
      <c r="DD1397" s="397">
        <f>SUM(DD1395:DD1396)</f>
        <v>74176</v>
      </c>
      <c r="DE1397" s="397">
        <f>SUM(DE1395:DE1396)</f>
        <v>77020</v>
      </c>
      <c r="DF1397" s="397">
        <f>SUM(DF1395:DF1396)</f>
        <v>75710</v>
      </c>
      <c r="DH1397" s="397">
        <f>SUM(DH1395:DH1396)</f>
        <v>78004</v>
      </c>
      <c r="DI1397" s="397">
        <f ca="1">SUM(DI1395:DI1396)</f>
        <v>78093.663493840955</v>
      </c>
      <c r="DJ1397" s="397">
        <f ca="1">SUM(DJ1395:DJ1396)</f>
        <v>78048.831746920478</v>
      </c>
      <c r="DL1397" s="397">
        <f ca="1">SUM(DL1395:DL1396)</f>
        <v>79568.859124923358</v>
      </c>
      <c r="DM1397" s="397">
        <f ca="1">SUM(DM1395:DM1396)</f>
        <v>80961.143288004212</v>
      </c>
      <c r="DN1397" s="397">
        <f ca="1">SUM(DN1395:DN1396)</f>
        <v>80265.001206463901</v>
      </c>
      <c r="DP1397" s="397">
        <f ca="1">SUM(DP1395:DP1396)</f>
        <v>82289.849379730644</v>
      </c>
      <c r="DQ1397" s="397">
        <f ca="1">SUM(DQ1395:DQ1396)</f>
        <v>83658.844811016228</v>
      </c>
      <c r="DR1397" s="397">
        <f ca="1">SUM(DR1395:DR1396)</f>
        <v>82974.347095373552</v>
      </c>
      <c r="DT1397"/>
      <c r="DU1397"/>
    </row>
    <row r="1398" spans="1:264" s="347" customFormat="1" ht="15" x14ac:dyDescent="0.25">
      <c r="A1398" s="347" t="s">
        <v>910</v>
      </c>
      <c r="B1398" s="348"/>
      <c r="BH1398" s="398">
        <f>AVERAGE(BH385,10281)</f>
        <v>10323.5</v>
      </c>
      <c r="BI1398" s="351">
        <f>AVERAGE(BI385,BH385)</f>
        <v>10394.5</v>
      </c>
      <c r="BJ1398" s="351">
        <f>AVERAGE(BH1398:BI1398)</f>
        <v>10359</v>
      </c>
      <c r="BK1398" s="348"/>
      <c r="BL1398" s="351">
        <f>AVERAGE(BL385,BI385)</f>
        <v>10182.5</v>
      </c>
      <c r="BM1398" s="351">
        <f>AVERAGE(BM385,BL385)</f>
        <v>9867</v>
      </c>
      <c r="BN1398" s="351">
        <f>AVERAGE(BL1398:BM1398)</f>
        <v>10024.75</v>
      </c>
      <c r="BO1398" s="348"/>
      <c r="BP1398" s="351">
        <f>AVERAGE(BP385,BM385)</f>
        <v>9836.5</v>
      </c>
      <c r="BQ1398" s="351">
        <f>AVERAGE(BQ385,BP385)</f>
        <v>9925.5</v>
      </c>
      <c r="BR1398" s="351">
        <f>AVERAGE(BP1398:BQ1398)</f>
        <v>9881</v>
      </c>
      <c r="BT1398" s="351">
        <f>AVERAGE(BT385,BQ385)</f>
        <v>9994</v>
      </c>
      <c r="BU1398" s="351">
        <f>AVERAGE(BU385,BT385)</f>
        <v>10201</v>
      </c>
      <c r="BV1398" s="351">
        <f>AVERAGE(BT1398:BU1398)</f>
        <v>10097.5</v>
      </c>
      <c r="BX1398" s="351">
        <f>AVERAGE(BX385,BU385)</f>
        <v>9475.5</v>
      </c>
      <c r="BY1398" s="351">
        <f>AVERAGE(BY385,BX385)</f>
        <v>8577.5</v>
      </c>
      <c r="BZ1398" s="351">
        <f>AVERAGE(BX1398:BY1398)</f>
        <v>9026.5</v>
      </c>
      <c r="CB1398" s="351">
        <f>AVERAGE(CB385,BY385)</f>
        <v>8864</v>
      </c>
      <c r="CC1398" s="351">
        <f>AVERAGE(CC385,CB385)</f>
        <v>9115</v>
      </c>
      <c r="CD1398" s="351">
        <f>AVERAGE(CB1398:CC1398)</f>
        <v>8989.5</v>
      </c>
      <c r="CF1398" s="351">
        <f>AVERAGE(CF385,CC385)</f>
        <v>8625.5</v>
      </c>
      <c r="CG1398" s="351">
        <f>AVERAGE(CG385,CF385)</f>
        <v>8063</v>
      </c>
      <c r="CH1398" s="351">
        <f>AVERAGE(CF1398:CG1398)</f>
        <v>8344.25</v>
      </c>
      <c r="CJ1398" s="351">
        <f>AVERAGE(CJ385,CG385)</f>
        <v>7847</v>
      </c>
      <c r="CK1398" s="351">
        <f>AVERAGE(CK385,CJ385)</f>
        <v>7310</v>
      </c>
      <c r="CL1398" s="351">
        <f>AVERAGE(CJ1398:CK1398)</f>
        <v>7578.5</v>
      </c>
      <c r="CN1398" s="351">
        <f>AVERAGE(CN385,CK385)</f>
        <v>6885.5</v>
      </c>
      <c r="CO1398" s="351">
        <f>AVERAGE(CO385,CN385)</f>
        <v>6911</v>
      </c>
      <c r="CP1398" s="351">
        <f>AVERAGE(CN1398:CO1398)</f>
        <v>6898.25</v>
      </c>
      <c r="CR1398" s="351">
        <f>AVERAGE(CR385,CO385)</f>
        <v>7007.5</v>
      </c>
      <c r="CS1398" s="351">
        <f>AVERAGE(CS385,CR385)</f>
        <v>6986</v>
      </c>
      <c r="CT1398" s="351">
        <f>AVERAGE(CR1398:CS1398)</f>
        <v>6996.75</v>
      </c>
      <c r="CV1398" s="351">
        <f>AVERAGE(CV385,CS385)</f>
        <v>7017.5</v>
      </c>
      <c r="CW1398" s="351">
        <f>AVERAGE(CW385,CV385)</f>
        <v>7264.5</v>
      </c>
      <c r="CX1398" s="351">
        <f>AVERAGE(CV1398:CW1398)</f>
        <v>7141</v>
      </c>
      <c r="CZ1398" s="351">
        <f>AVERAGE(CZ385,CW385)</f>
        <v>7451.5</v>
      </c>
      <c r="DA1398" s="351">
        <f>AVERAGE(DA385,CZ385)</f>
        <v>7555</v>
      </c>
      <c r="DB1398" s="351">
        <f>AVERAGE(CZ1398:DA1398)</f>
        <v>7503.25</v>
      </c>
      <c r="DD1398" s="351">
        <f>AVERAGE(DD385,DA385)</f>
        <v>7691.5</v>
      </c>
      <c r="DE1398" s="351">
        <f>AVERAGE(DE385,DD385)</f>
        <v>7932.5</v>
      </c>
      <c r="DF1398" s="351">
        <f>AVERAGE(DD1398:DE1398)</f>
        <v>7812</v>
      </c>
      <c r="DH1398" s="351">
        <f>AVERAGE(DH385,DE385)</f>
        <v>8189</v>
      </c>
      <c r="DI1398" s="351">
        <f>AVERAGE(DI385,DH385)</f>
        <v>8397.2774473686495</v>
      </c>
      <c r="DJ1398" s="351">
        <f>AVERAGE(DH1398:DI1398)</f>
        <v>8293.1387236843257</v>
      </c>
      <c r="DL1398" s="351">
        <f>AVERAGE(DL385,DI385)</f>
        <v>8586.9906463460575</v>
      </c>
      <c r="DM1398" s="351">
        <f>AVERAGE(DM385,DL385)</f>
        <v>8756.7311354239864</v>
      </c>
      <c r="DN1398" s="351">
        <f>AVERAGE(DL1398:DM1398)</f>
        <v>8671.8608908850219</v>
      </c>
      <c r="DP1398" s="351">
        <f>AVERAGE(DP385,DM385)</f>
        <v>8889.3233345166482</v>
      </c>
      <c r="DQ1398" s="351">
        <f>AVERAGE(DQ385,DP385)</f>
        <v>8988.7250747726193</v>
      </c>
      <c r="DR1398" s="351">
        <f>AVERAGE(DP1398:DQ1398)</f>
        <v>8939.0242046446328</v>
      </c>
      <c r="DT1398"/>
      <c r="DU1398"/>
    </row>
    <row r="1399" spans="1:264" s="347" customFormat="1" ht="15" x14ac:dyDescent="0.25">
      <c r="A1399" s="411" t="s">
        <v>911</v>
      </c>
      <c r="B1399" s="348"/>
      <c r="BH1399" s="397">
        <f>+BH1397-BH1398</f>
        <v>30953.5</v>
      </c>
      <c r="BI1399" s="397">
        <f>+BI1397-BI1398</f>
        <v>32919.5</v>
      </c>
      <c r="BJ1399" s="397">
        <f>+BJ1397-BJ1398</f>
        <v>31938</v>
      </c>
      <c r="BK1399" s="348"/>
      <c r="BL1399" s="397">
        <f>+BL1397-BL1398</f>
        <v>34924.5</v>
      </c>
      <c r="BM1399" s="397">
        <f>+BM1397-BM1398</f>
        <v>37294</v>
      </c>
      <c r="BN1399" s="397">
        <f>+BN1397-BN1398</f>
        <v>36099.25</v>
      </c>
      <c r="BO1399" s="393">
        <f>+BN1399/BJ1399-1</f>
        <v>0.13029150228567854</v>
      </c>
      <c r="BP1399" s="397">
        <f>+BP1397-BP1398</f>
        <v>39145.5</v>
      </c>
      <c r="BQ1399" s="397">
        <f>+BQ1397-BQ1398</f>
        <v>40868.5</v>
      </c>
      <c r="BR1399" s="397">
        <f>+BR1397-BR1398</f>
        <v>40030</v>
      </c>
      <c r="BS1399" s="393">
        <f>+BR1399/BN1399-1</f>
        <v>0.10888730375284794</v>
      </c>
      <c r="BT1399" s="397">
        <f>+BT1397-BT1398</f>
        <v>45047</v>
      </c>
      <c r="BU1399" s="397">
        <f>+BU1397-BU1398</f>
        <v>48219</v>
      </c>
      <c r="BV1399" s="397">
        <f>+BV1397-BV1398</f>
        <v>46704</v>
      </c>
      <c r="BW1399" s="393">
        <f>+BV1399/BR1399-1</f>
        <v>0.16672495628278794</v>
      </c>
      <c r="BX1399" s="397">
        <f>+BX1397-BX1398</f>
        <v>51374.5</v>
      </c>
      <c r="BY1399" s="397">
        <f>+BY1397-BY1398</f>
        <v>53982.5</v>
      </c>
      <c r="BZ1399" s="397">
        <f>+BZ1397-BZ1398</f>
        <v>52677</v>
      </c>
      <c r="CA1399" s="393">
        <f>+BZ1399/BV1399-1</f>
        <v>0.12789054470709149</v>
      </c>
      <c r="CB1399" s="397">
        <f>+CB1397-CB1398</f>
        <v>55785</v>
      </c>
      <c r="CC1399" s="397">
        <f>+CC1397-CC1398</f>
        <v>57066</v>
      </c>
      <c r="CD1399" s="397">
        <f>+CD1397-CD1398</f>
        <v>56419.5</v>
      </c>
      <c r="CE1399" s="393">
        <f>+CD1399/BZ1399-1</f>
        <v>7.1046187140497707E-2</v>
      </c>
      <c r="CF1399" s="397">
        <f>+CF1397-CF1398</f>
        <v>58646.5</v>
      </c>
      <c r="CG1399" s="397">
        <f>+CG1397-CG1398</f>
        <v>60832</v>
      </c>
      <c r="CH1399" s="397">
        <f>+CH1397-CH1398</f>
        <v>59730.75</v>
      </c>
      <c r="CI1399" s="393">
        <f>+CH1399/CD1399-1</f>
        <v>5.8689814691728959E-2</v>
      </c>
      <c r="CJ1399" s="397">
        <f>+CJ1397-CJ1398</f>
        <v>62471</v>
      </c>
      <c r="CK1399" s="397">
        <f>+CK1397-CK1398</f>
        <v>64245</v>
      </c>
      <c r="CL1399" s="397">
        <f>+CL1397-CL1398</f>
        <v>61845</v>
      </c>
      <c r="CN1399" s="397">
        <f>+CN1397-CN1398</f>
        <v>66538.5</v>
      </c>
      <c r="CO1399" s="397">
        <f>+CO1397-CO1398</f>
        <v>69903</v>
      </c>
      <c r="CP1399" s="397">
        <f>+CP1397-CP1398</f>
        <v>68288.75</v>
      </c>
      <c r="CR1399" s="397">
        <f>+CR1397-CR1398</f>
        <v>69662.5</v>
      </c>
      <c r="CS1399" s="397">
        <f>+CS1397-CS1398</f>
        <v>66759</v>
      </c>
      <c r="CT1399" s="397">
        <f>+CT1397-CT1398</f>
        <v>68394.25</v>
      </c>
      <c r="CV1399" s="397">
        <f>+CV1397-CV1398</f>
        <v>65480.5</v>
      </c>
      <c r="CW1399" s="397">
        <f>+CW1397-CW1398</f>
        <v>64707.5</v>
      </c>
      <c r="CX1399" s="397">
        <f>+CX1397-CX1398</f>
        <v>65067</v>
      </c>
      <c r="CZ1399" s="397">
        <f>+CZ1397-CZ1398</f>
        <v>64779.5</v>
      </c>
      <c r="DA1399" s="397">
        <f>+DA1397-DA1398</f>
        <v>65405</v>
      </c>
      <c r="DB1399" s="397">
        <f>+DB1397-DB1398</f>
        <v>65013.75</v>
      </c>
      <c r="DD1399" s="397">
        <f>+DD1397-DD1398</f>
        <v>66484.5</v>
      </c>
      <c r="DE1399" s="397">
        <f>+DE1397-DE1398</f>
        <v>69087.5</v>
      </c>
      <c r="DF1399" s="397">
        <f>+DF1397-DF1398</f>
        <v>67898</v>
      </c>
      <c r="DH1399" s="397">
        <f>+DH1397-DH1398</f>
        <v>69815</v>
      </c>
      <c r="DI1399" s="397">
        <f ca="1">+DI1397-DI1398</f>
        <v>69696.386046472311</v>
      </c>
      <c r="DJ1399" s="397">
        <f ca="1">+DJ1397-DJ1398</f>
        <v>69755.693023236148</v>
      </c>
      <c r="DL1399" s="397">
        <f ca="1">+DL1397-DL1398</f>
        <v>70981.868478577293</v>
      </c>
      <c r="DM1399" s="397">
        <f ca="1">+DM1397-DM1398</f>
        <v>72204.412152580218</v>
      </c>
      <c r="DN1399" s="397">
        <f ca="1">+DN1397-DN1398</f>
        <v>71593.140315578872</v>
      </c>
      <c r="DP1399" s="397">
        <f ca="1">+DP1397-DP1398</f>
        <v>73400.526045213992</v>
      </c>
      <c r="DQ1399" s="397">
        <f ca="1">+DQ1397-DQ1398</f>
        <v>74670.119736243607</v>
      </c>
      <c r="DR1399" s="397">
        <f ca="1">+DR1397-DR1398</f>
        <v>74035.322890728916</v>
      </c>
      <c r="DT1399"/>
      <c r="DU1399"/>
    </row>
    <row r="1400" spans="1:264" s="429" customFormat="1" ht="15" x14ac:dyDescent="0.25">
      <c r="A1400" s="429" t="s">
        <v>755</v>
      </c>
      <c r="B1400" s="408"/>
      <c r="BH1400" s="508"/>
      <c r="BI1400" s="508"/>
      <c r="BJ1400" s="508"/>
      <c r="BK1400" s="408"/>
      <c r="BL1400" s="456">
        <f>BL401</f>
        <v>36104.5</v>
      </c>
      <c r="BM1400" s="456">
        <f>BM401</f>
        <v>38325.5</v>
      </c>
      <c r="BN1400" s="456">
        <f>BN401</f>
        <v>37215</v>
      </c>
      <c r="BO1400" s="393"/>
      <c r="BP1400" s="456">
        <f>BP401</f>
        <v>40353</v>
      </c>
      <c r="BQ1400" s="456">
        <f>BQ401</f>
        <v>42086.5</v>
      </c>
      <c r="BR1400" s="456">
        <f>BR401</f>
        <v>41219.75</v>
      </c>
      <c r="BS1400" s="393"/>
      <c r="BT1400" s="456">
        <f>BT401</f>
        <v>46426</v>
      </c>
      <c r="BU1400" s="456">
        <f>BU401</f>
        <v>50100.5</v>
      </c>
      <c r="BV1400" s="456">
        <f>BV401</f>
        <v>48263.25</v>
      </c>
      <c r="BW1400" s="393"/>
      <c r="BX1400" s="456">
        <f>BX401</f>
        <v>51780.5</v>
      </c>
      <c r="BY1400" s="456">
        <f>BY401</f>
        <v>54130.5</v>
      </c>
      <c r="BZ1400" s="456">
        <f>BZ401</f>
        <v>52955.5</v>
      </c>
      <c r="CA1400" s="393">
        <f>+BZ1400/BV1400-1</f>
        <v>9.7222006392027049E-2</v>
      </c>
      <c r="CB1400" s="456">
        <f>CB401</f>
        <v>56011.5</v>
      </c>
      <c r="CC1400" s="456">
        <f>CC401</f>
        <v>57860.5</v>
      </c>
      <c r="CD1400" s="456">
        <f>CD401</f>
        <v>56936</v>
      </c>
      <c r="CE1400" s="393">
        <f>+CD1400/BZ1400-1</f>
        <v>7.5166885403782357E-2</v>
      </c>
      <c r="CF1400" s="456">
        <f>CF401</f>
        <v>59593.5</v>
      </c>
      <c r="CG1400" s="456">
        <f>CG401</f>
        <v>61050.5</v>
      </c>
      <c r="CH1400" s="456">
        <f>CH401</f>
        <v>60322</v>
      </c>
      <c r="CI1400" s="393">
        <f>+CH1400/CD1400-1</f>
        <v>5.9470282422368959E-2</v>
      </c>
      <c r="CJ1400" s="456">
        <f>CJ401</f>
        <v>62554</v>
      </c>
      <c r="CK1400" s="456">
        <f>CK401</f>
        <v>64235.5</v>
      </c>
      <c r="CL1400" s="456">
        <f>CL401</f>
        <v>63394.75</v>
      </c>
      <c r="CN1400" s="456">
        <f>CN401</f>
        <v>66543.5</v>
      </c>
      <c r="CO1400" s="456">
        <f>CO401</f>
        <v>69908</v>
      </c>
      <c r="CP1400" s="456">
        <f>CP401</f>
        <v>68225.75</v>
      </c>
      <c r="CR1400" s="456">
        <f>CR401</f>
        <v>69683</v>
      </c>
      <c r="CS1400" s="456">
        <f>CS401</f>
        <v>66764.5</v>
      </c>
      <c r="CT1400" s="456">
        <f>CT401</f>
        <v>68223.75</v>
      </c>
      <c r="CV1400" s="456">
        <f>CV401</f>
        <v>65562</v>
      </c>
      <c r="CW1400" s="456">
        <f>CW401</f>
        <v>64712.5</v>
      </c>
      <c r="CX1400" s="456">
        <f>CX401</f>
        <v>65137.25</v>
      </c>
      <c r="CZ1400" s="456">
        <f>CZ401</f>
        <v>64784.5</v>
      </c>
      <c r="DA1400" s="456">
        <f>DA401</f>
        <v>65408.5</v>
      </c>
      <c r="DB1400" s="456">
        <f>DB401</f>
        <v>65096.5</v>
      </c>
      <c r="DD1400" s="456">
        <f>DD401</f>
        <v>66484.5</v>
      </c>
      <c r="DE1400" s="456">
        <f>DE401</f>
        <v>69087.5</v>
      </c>
      <c r="DF1400" s="456">
        <f>DF401</f>
        <v>67786</v>
      </c>
      <c r="DH1400" s="456">
        <f>DH401</f>
        <v>69815</v>
      </c>
      <c r="DI1400" s="456">
        <f>DI401</f>
        <v>69680.730977420695</v>
      </c>
      <c r="DJ1400" s="456">
        <f>DJ401</f>
        <v>69747.865488710348</v>
      </c>
      <c r="DL1400" s="456">
        <f ca="1">DL401</f>
        <v>70960.046493957765</v>
      </c>
      <c r="DM1400" s="456">
        <f ca="1">DM401</f>
        <v>72176.353228677632</v>
      </c>
      <c r="DN1400" s="456">
        <f ca="1">DN401</f>
        <v>71568.199861317698</v>
      </c>
      <c r="DP1400" s="456">
        <f ca="1">DP401</f>
        <v>73366.927841927711</v>
      </c>
      <c r="DQ1400" s="456">
        <f ca="1">DQ401</f>
        <v>74632.30041664523</v>
      </c>
      <c r="DR1400" s="456">
        <f ca="1">DR401</f>
        <v>73999.614129286463</v>
      </c>
      <c r="DT1400"/>
      <c r="DU1400"/>
    </row>
    <row r="1401" spans="1:264" s="347" customFormat="1" ht="15" x14ac:dyDescent="0.25">
      <c r="B1401" s="348"/>
      <c r="BH1401" s="348"/>
      <c r="BI1401" s="348"/>
      <c r="BJ1401" s="348"/>
      <c r="BK1401" s="348"/>
      <c r="BL1401" s="348"/>
      <c r="BM1401" s="348"/>
      <c r="BN1401" s="348"/>
      <c r="BO1401" s="348"/>
      <c r="BP1401" s="348"/>
      <c r="BQ1401" s="348"/>
      <c r="BR1401" s="348"/>
      <c r="BT1401" s="348"/>
      <c r="BU1401" s="348"/>
      <c r="BV1401" s="348"/>
      <c r="BX1401" s="348"/>
      <c r="BY1401" s="348"/>
      <c r="BZ1401" s="348"/>
      <c r="CB1401" s="348"/>
      <c r="CC1401" s="348"/>
      <c r="CD1401" s="348"/>
      <c r="CF1401" s="348"/>
      <c r="CG1401" s="348"/>
      <c r="CH1401" s="348"/>
      <c r="CJ1401" s="348"/>
      <c r="CK1401" s="348"/>
      <c r="CL1401" s="348"/>
      <c r="CN1401" s="348"/>
      <c r="CO1401" s="348"/>
      <c r="CP1401" s="348"/>
      <c r="CR1401" s="348"/>
      <c r="CS1401" s="348"/>
      <c r="CT1401" s="348"/>
      <c r="CV1401" s="348"/>
      <c r="CW1401" s="348"/>
      <c r="CX1401" s="348"/>
      <c r="CZ1401" s="348"/>
      <c r="DA1401" s="348"/>
      <c r="DB1401" s="348"/>
      <c r="DD1401" s="348"/>
      <c r="DE1401" s="348"/>
      <c r="DF1401" s="348"/>
      <c r="DH1401" s="348"/>
      <c r="DI1401" s="348"/>
      <c r="DJ1401" s="348"/>
      <c r="DL1401" s="348"/>
      <c r="DM1401" s="348"/>
      <c r="DN1401" s="348"/>
      <c r="DP1401" s="348"/>
      <c r="DQ1401" s="348"/>
      <c r="DR1401" s="348"/>
      <c r="DT1401"/>
      <c r="DU1401"/>
    </row>
    <row r="1402" spans="1:264" s="347" customFormat="1" ht="15" x14ac:dyDescent="0.25">
      <c r="A1402" s="347" t="s">
        <v>703</v>
      </c>
      <c r="B1402" s="348"/>
      <c r="BH1402" s="351">
        <f>BH44</f>
        <v>3730</v>
      </c>
      <c r="BI1402" s="351">
        <f>BI44</f>
        <v>3990</v>
      </c>
      <c r="BJ1402" s="351">
        <f>BJ44</f>
        <v>7720</v>
      </c>
      <c r="BK1402" s="348"/>
      <c r="BL1402" s="351">
        <f>BL44</f>
        <v>4245</v>
      </c>
      <c r="BM1402" s="351">
        <f>BM44</f>
        <v>4390</v>
      </c>
      <c r="BN1402" s="351">
        <f>BN44</f>
        <v>8635</v>
      </c>
      <c r="BO1402" s="348"/>
      <c r="BP1402" s="351">
        <f>BP44</f>
        <v>4595</v>
      </c>
      <c r="BQ1402" s="351">
        <f>BQ44</f>
        <v>4490</v>
      </c>
      <c r="BR1402" s="351">
        <f>BR44</f>
        <v>9085</v>
      </c>
      <c r="BT1402" s="351">
        <f>BT44</f>
        <v>4776</v>
      </c>
      <c r="BU1402" s="351">
        <f>BU44</f>
        <v>4619</v>
      </c>
      <c r="BV1402" s="351">
        <f>BV44</f>
        <v>9395</v>
      </c>
      <c r="BX1402" s="351">
        <f>BX44</f>
        <v>4828</v>
      </c>
      <c r="BY1402" s="351">
        <f>BY44</f>
        <v>4868</v>
      </c>
      <c r="BZ1402" s="351">
        <f>BZ44</f>
        <v>9696</v>
      </c>
      <c r="CA1402" s="393">
        <f>+BZ1402/BV1402-1</f>
        <v>3.203831825439063E-2</v>
      </c>
      <c r="CB1402" s="351">
        <f>CB44</f>
        <v>4598</v>
      </c>
      <c r="CC1402" s="351">
        <f>CC44</f>
        <v>4317</v>
      </c>
      <c r="CD1402" s="351">
        <f>CD44</f>
        <v>8915</v>
      </c>
      <c r="CE1402" s="393">
        <f>+CD1402/BZ1402-1</f>
        <v>-8.054867986798675E-2</v>
      </c>
      <c r="CF1402" s="351">
        <f>CF44</f>
        <v>4550</v>
      </c>
      <c r="CG1402" s="351">
        <f>CG44</f>
        <v>3671</v>
      </c>
      <c r="CH1402" s="351">
        <f>CH44</f>
        <v>8221</v>
      </c>
      <c r="CI1402" s="393">
        <f>+CH1402/CD1402-1</f>
        <v>-7.7846326416152523E-2</v>
      </c>
      <c r="CJ1402" s="351">
        <f>CJ44</f>
        <v>4320</v>
      </c>
      <c r="CK1402" s="351">
        <f>CK44</f>
        <v>2905</v>
      </c>
      <c r="CL1402" s="351">
        <f>CL44</f>
        <v>7225</v>
      </c>
      <c r="CN1402" s="351">
        <f>CN44</f>
        <v>3868</v>
      </c>
      <c r="CO1402" s="351">
        <f>CO44</f>
        <v>4785</v>
      </c>
      <c r="CP1402" s="351">
        <f>CP44</f>
        <v>8653</v>
      </c>
      <c r="CR1402" s="351">
        <f>CR44</f>
        <v>4746</v>
      </c>
      <c r="CS1402" s="351">
        <f>CS44</f>
        <v>4849</v>
      </c>
      <c r="CT1402" s="351">
        <f>CT44</f>
        <v>9595</v>
      </c>
      <c r="CV1402" s="351">
        <f>CV44</f>
        <v>5180</v>
      </c>
      <c r="CW1402" s="351">
        <f>CW44</f>
        <v>4892</v>
      </c>
      <c r="CX1402" s="351">
        <f>CX44</f>
        <v>10072</v>
      </c>
      <c r="CZ1402" s="351">
        <f>CZ44</f>
        <v>5019</v>
      </c>
      <c r="DA1402" s="351">
        <f>DA44</f>
        <v>4817</v>
      </c>
      <c r="DB1402" s="351">
        <f>DB44</f>
        <v>9836</v>
      </c>
      <c r="DD1402" s="351">
        <f>DD44</f>
        <v>5132</v>
      </c>
      <c r="DE1402" s="351">
        <f>DE44</f>
        <v>5120</v>
      </c>
      <c r="DF1402" s="351">
        <f>DF44</f>
        <v>10252</v>
      </c>
      <c r="DH1402" s="351">
        <f>DH44</f>
        <v>5445</v>
      </c>
      <c r="DI1402" s="351">
        <f>DI44</f>
        <v>5624.6533908786996</v>
      </c>
      <c r="DJ1402" s="351">
        <f>DJ44</f>
        <v>11069.653390878699</v>
      </c>
      <c r="DL1402" s="351">
        <f>DL44</f>
        <v>5925.752202661316</v>
      </c>
      <c r="DM1402" s="351">
        <f>DM44</f>
        <v>5875.5559828987753</v>
      </c>
      <c r="DN1402" s="351">
        <f>DN44</f>
        <v>11801.308185560092</v>
      </c>
      <c r="DP1402" s="351">
        <f>DP44</f>
        <v>6138.004567935679</v>
      </c>
      <c r="DQ1402" s="351">
        <f>DQ44</f>
        <v>6120.7022288395801</v>
      </c>
      <c r="DR1402" s="351">
        <f>DR44</f>
        <v>12258.706796775259</v>
      </c>
      <c r="DT1402"/>
      <c r="DU1402"/>
    </row>
    <row r="1403" spans="1:264" s="411" customFormat="1" ht="15" x14ac:dyDescent="0.25">
      <c r="A1403" s="411" t="s">
        <v>69</v>
      </c>
      <c r="B1403" s="423"/>
      <c r="BH1403" s="621">
        <f>BH1402*(BH$4/BH$3)/BH1397</f>
        <v>0.17925684479513279</v>
      </c>
      <c r="BI1403" s="621">
        <f>BI1402*(BI$4/BI$3)/BI1397</f>
        <v>0.18576286181569659</v>
      </c>
      <c r="BJ1403" s="621">
        <f>BJ1402*(BJ$4/BJ$3)/BJ1397</f>
        <v>0.18251885476511337</v>
      </c>
      <c r="BK1403" s="423"/>
      <c r="BL1403" s="621">
        <f>BL1402*(BL$4/BL$3)/BL1397</f>
        <v>0.18668472838979008</v>
      </c>
      <c r="BM1403" s="621">
        <f>BM1402*(BM$4/BM$3)/BM1397</f>
        <v>0.18771362844170453</v>
      </c>
      <c r="BN1403" s="621">
        <f>BN1402*(BN$4/BN$3)/BN1397</f>
        <v>0.18721273089931489</v>
      </c>
      <c r="BO1403" s="423"/>
      <c r="BP1403" s="621">
        <f>BP1402*(BP$4/BP$3)/BP1397</f>
        <v>0.18609043162261912</v>
      </c>
      <c r="BQ1403" s="621">
        <f>BQ1402*(BQ$4/BQ$3)/BQ1397</f>
        <v>0.17825766605313151</v>
      </c>
      <c r="BR1403" s="621">
        <f>BR1402*(BR$4/BR$3)/BR1397</f>
        <v>0.18202400272485023</v>
      </c>
      <c r="BT1403" s="621">
        <f>BT1402*(BT$4/BT$3)/BT1397</f>
        <v>0.17260018816013042</v>
      </c>
      <c r="BU1403" s="621">
        <f>BU1402*(BU$4/BU$3)/BU1397</f>
        <v>0.15899962755491684</v>
      </c>
      <c r="BV1403" s="621">
        <f>BV1402*(BV$4/BV$3)/BV1397</f>
        <v>0.1654005616048872</v>
      </c>
      <c r="BW1403" s="455"/>
      <c r="BX1403" s="621">
        <f>BX1402*(BX$4/BX$3)/BX1397</f>
        <v>0.15739166160551607</v>
      </c>
      <c r="BY1403" s="621">
        <f>BY1402*(BY$4/BY$3)/BY1397</f>
        <v>0.15691632165717598</v>
      </c>
      <c r="BZ1403" s="621">
        <f>BZ1402*(BZ$4/BZ$3)/BZ1397</f>
        <v>0.15713857398688891</v>
      </c>
      <c r="CB1403" s="621">
        <f>CB1402*(CB$4/CB$3)/CB1397</f>
        <v>0.14108543997116199</v>
      </c>
      <c r="CC1403" s="621">
        <f>CC1402*(CC$4/CC$3)/CC1397</f>
        <v>0.1315415676128775</v>
      </c>
      <c r="CD1403" s="621">
        <f>CD1402*(CD$4/CD$3)/CD1397</f>
        <v>0.13629622834778088</v>
      </c>
      <c r="CF1403" s="621">
        <f>CF1402*(CF$4/CF$3)/CF1397</f>
        <v>0.13416897397715696</v>
      </c>
      <c r="CG1403" s="621">
        <f>CG1402*(CG$4/CG$3)/CG1397</f>
        <v>0.10745112568208728</v>
      </c>
      <c r="CH1403" s="621">
        <f>CH1402*(CH$4/CH$3)/CH1397</f>
        <v>0.12076386338597135</v>
      </c>
      <c r="CJ1403" s="621">
        <f>CJ1402*(CJ$4/CJ$3)/CJ1397</f>
        <v>0.12220261495294049</v>
      </c>
      <c r="CK1403" s="621">
        <f>CK1402*(CK$4/CK$3)/CK1397</f>
        <v>8.1642416000602014E-2</v>
      </c>
      <c r="CL1403" s="621">
        <f>CL1402*(CL$4/CL$3)/CL1397</f>
        <v>0.10407138793059986</v>
      </c>
      <c r="CN1403" s="621">
        <f>CN1402*(CN$4/CN$3)/CN1397</f>
        <v>0.10450172671890248</v>
      </c>
      <c r="CO1403" s="621">
        <f>CO1402*(CO$4/CO$3)/CO1397</f>
        <v>0.12561915005422442</v>
      </c>
      <c r="CP1403" s="621">
        <f>CP1402*(CP$4/CP$3)/CP1397</f>
        <v>0.11508638461436152</v>
      </c>
      <c r="CR1403" s="621">
        <f>CR1402*(CR$4/CR$3)/CR1397</f>
        <v>0.12279404676167199</v>
      </c>
      <c r="CS1403" s="621">
        <f>CS1402*(CS$4/CS$3)/CS1397</f>
        <v>0.13259705967517604</v>
      </c>
      <c r="CT1403" s="621">
        <f>CT1402*(CT$4/CT$3)/CT1397</f>
        <v>0.12726983326922311</v>
      </c>
      <c r="CV1403" s="698">
        <f>CV1402*(CV$4/CV$3)/CV1397</f>
        <v>0.14173554412895348</v>
      </c>
      <c r="CW1403" s="698">
        <f>CW1402*(CW$4/CW$3)/CW1397</f>
        <v>0.1370683442578805</v>
      </c>
      <c r="CX1403" s="698">
        <f>CX1402*(CX$4/CX$3)/CX1397</f>
        <v>0.13948592953689343</v>
      </c>
      <c r="CZ1403" s="698">
        <f>CZ1402*(CZ$4/CZ$3)/CZ1397</f>
        <v>0.1382155259123356</v>
      </c>
      <c r="DA1403" s="698">
        <f>DA1402*(DA$4/DA$3)/DA1397</f>
        <v>0.13277047787738577</v>
      </c>
      <c r="DB1403" s="698">
        <f>DB1402*(DB$4/DB$3)/DB1397</f>
        <v>0.13563716094157233</v>
      </c>
      <c r="DD1403" s="698">
        <f>DD1402*(DD$4/DD$3)/DD1397</f>
        <v>0.13724555229395657</v>
      </c>
      <c r="DE1403" s="698">
        <f>DE1402*(DE$4/DE$3)/DE1397</f>
        <v>0.13405429600692079</v>
      </c>
      <c r="DF1403" s="698">
        <f>DF1402*(DF$4/DF$3)/DF1397</f>
        <v>0.13541143838330472</v>
      </c>
      <c r="DH1403" s="698">
        <f>DH1402*(DH$4/DH$3)/DH1397</f>
        <v>0.13847011468754111</v>
      </c>
      <c r="DI1403" s="621">
        <f ca="1">DI1402*(DI$4/DI$3)/DI1397</f>
        <v>0.14524268133416854</v>
      </c>
      <c r="DJ1403" s="621">
        <f ca="1">DJ1402*(DJ$4/DJ$3)/DJ1397</f>
        <v>0.14182984092283313</v>
      </c>
      <c r="DL1403" s="621">
        <f ca="1">DL1402*(DL$4/DL$3)/DL1397</f>
        <v>0.14773227880299286</v>
      </c>
      <c r="DM1403" s="621">
        <f ca="1">DM1402*(DM$4/DM$3)/DM1397</f>
        <v>0.1463479440926696</v>
      </c>
      <c r="DN1403" s="621">
        <f ca="1">DN1402*(DN$4/DN$3)/DN1397</f>
        <v>0.14702931549460574</v>
      </c>
      <c r="DP1403" s="621">
        <f ca="1">DP1402*(DP$4/DP$3)/DP1397</f>
        <v>0.14836935280529126</v>
      </c>
      <c r="DQ1403" s="621">
        <f ca="1">DQ1402*(DQ$4/DQ$3)/DQ1397</f>
        <v>0.14712927186046362</v>
      </c>
      <c r="DR1403" s="621">
        <f ca="1">DR1402*(DR$4/DR$3)/DR1397</f>
        <v>0.14774092506789699</v>
      </c>
      <c r="DT1403"/>
      <c r="DU1403"/>
    </row>
    <row r="1404" spans="1:264" s="347" customFormat="1" ht="15" x14ac:dyDescent="0.25">
      <c r="A1404" s="347" t="s">
        <v>71</v>
      </c>
      <c r="B1404" s="348"/>
      <c r="BH1404" s="621">
        <f>BH1402*(BH$4/BH$3)/BH1399</f>
        <v>0.23904194299864945</v>
      </c>
      <c r="BI1404" s="621">
        <f>BI1402*(BI$4/BI$3)/BI1399</f>
        <v>0.24441843274305755</v>
      </c>
      <c r="BJ1404" s="621">
        <f>BJ1402*(BJ$4/BJ$3)/BJ1399</f>
        <v>0.24171832926294695</v>
      </c>
      <c r="BK1404" s="348"/>
      <c r="BL1404" s="621">
        <f>BL1402*(BL$4/BL$3)/BL1399</f>
        <v>0.24111406157506227</v>
      </c>
      <c r="BM1404" s="621">
        <f>BM1402*(BM$4/BM$3)/BM1399</f>
        <v>0.23737765943420461</v>
      </c>
      <c r="BN1404" s="621">
        <f>BN1402*(BN$4/BN$3)/BN1399</f>
        <v>0.23920164546354841</v>
      </c>
      <c r="BO1404" s="348"/>
      <c r="BP1404" s="621">
        <f>BP1402*(BP$4/BP$3)/BP1399</f>
        <v>0.23285132446230422</v>
      </c>
      <c r="BQ1404" s="621">
        <f>BQ1402*(BQ$4/BQ$3)/BQ1399</f>
        <v>0.22155009088913863</v>
      </c>
      <c r="BR1404" s="621">
        <f>BR1402*(BR$4/BR$3)/BR1399</f>
        <v>0.22695478391206594</v>
      </c>
      <c r="BT1404" s="621">
        <f>BT1402*(BT$4/BT$3)/BT1399</f>
        <v>0.21089277768823092</v>
      </c>
      <c r="BU1404" s="621">
        <f>BU1402*(BU$4/BU$3)/BU1399</f>
        <v>0.19263689088861738</v>
      </c>
      <c r="BV1404" s="621">
        <f>BV1402*(BV$4/BV$3)/BV1399</f>
        <v>0.20116050017129153</v>
      </c>
      <c r="BW1404" s="413"/>
      <c r="BX1404" s="621">
        <f>BX1402*(BX$4/BX$3)/BX1399</f>
        <v>0.18642094051904451</v>
      </c>
      <c r="BY1404" s="621">
        <f>BY1402*(BY$4/BY$3)/BY1399</f>
        <v>0.1818493971726565</v>
      </c>
      <c r="BZ1404" s="621">
        <f>BZ1402*(BZ$4/BZ$3)/BZ1399</f>
        <v>0.18406515177401903</v>
      </c>
      <c r="CB1404" s="621">
        <f>CB1402*(CB$4/CB$3)/CB1399</f>
        <v>0.1635033182521404</v>
      </c>
      <c r="CC1404" s="621">
        <f>CC1402*(CC$4/CC$3)/CC1399</f>
        <v>0.15255235142094847</v>
      </c>
      <c r="CD1404" s="621">
        <f>CD1402*(CD$4/CD$3)/CD1399</f>
        <v>0.15801274382084207</v>
      </c>
      <c r="CF1404" s="621">
        <f>CF1402*(CF$4/CF$3)/CF1399</f>
        <v>0.15390202684544352</v>
      </c>
      <c r="CG1404" s="621">
        <f>CG1402*(CG$4/CG$3)/CG1399</f>
        <v>0.12169327498466931</v>
      </c>
      <c r="CH1404" s="621">
        <f>CH1402*(CH$4/CH$3)/CH1399</f>
        <v>0.13763430059056683</v>
      </c>
      <c r="CJ1404" s="621">
        <f>CJ1402*(CJ$4/CJ$3)/CJ1399</f>
        <v>0.13755252002146387</v>
      </c>
      <c r="CK1404" s="621">
        <f>CK1402*(CK$4/CK$3)/CK1399</f>
        <v>9.0931949208857915E-2</v>
      </c>
      <c r="CL1404" s="621">
        <f>CL1402*(CL$4/CL$3)/CL1399</f>
        <v>0.1168243188616703</v>
      </c>
      <c r="CN1404" s="621">
        <f>CN1402*(CN$4/CN$3)/CN1399</f>
        <v>0.11531571620353173</v>
      </c>
      <c r="CO1404" s="621">
        <f>CO1402*(CO$4/CO$3)/CO1399</f>
        <v>0.13803855903559495</v>
      </c>
      <c r="CP1404" s="621">
        <f>CP1402*(CP$4/CP$3)/CP1399</f>
        <v>0.12671194010726511</v>
      </c>
      <c r="CR1404" s="621">
        <f>CR1402*(CR$4/CR$3)/CR1399</f>
        <v>0.1351461627879762</v>
      </c>
      <c r="CS1404" s="621">
        <f>CS1402*(CS$4/CS$3)/CS1399</f>
        <v>0.14647268781356607</v>
      </c>
      <c r="CT1404" s="621">
        <f>CT1402*(CT$4/CT$3)/CT1399</f>
        <v>0.14028957112622772</v>
      </c>
      <c r="CV1404" s="621">
        <f>CV1402*(CV$4/CV$3)/CV1399</f>
        <v>0.15692524458824947</v>
      </c>
      <c r="CW1404" s="621">
        <f>CW1402*(CW$4/CW$3)/CW1399</f>
        <v>0.15245656025851989</v>
      </c>
      <c r="CX1404" s="621">
        <f>CX1402*(CX$4/CX$3)/CX1399</f>
        <v>0.15479428896368358</v>
      </c>
      <c r="CZ1404" s="621">
        <f>CZ1402*(CZ$4/CZ$3)/CZ1399</f>
        <v>0.15411427461116423</v>
      </c>
      <c r="DA1404" s="621">
        <f>DA1402*(DA$4/DA$3)/DA1399</f>
        <v>0.14810693472875261</v>
      </c>
      <c r="DB1404" s="621">
        <f>DB1402*(DB$4/DB$3)/DB1399</f>
        <v>0.15129107304224107</v>
      </c>
      <c r="DD1404" s="621">
        <f>DD1402*(DD$4/DD$3)/DD1399</f>
        <v>0.153123300723575</v>
      </c>
      <c r="DE1404" s="621">
        <f>DE1402*(DE$4/DE$3)/DE1399</f>
        <v>0.14944616433440258</v>
      </c>
      <c r="DF1404" s="621">
        <f>DF1402*(DF$4/DF$3)/DF1399</f>
        <v>0.15099119267135999</v>
      </c>
      <c r="DH1404" s="621">
        <f>DH1402*(DH$4/DH$3)/DH1399</f>
        <v>0.15471206511619218</v>
      </c>
      <c r="DI1404" s="621">
        <f ca="1">DI1402*(DI$4/DI$3)/DI1399</f>
        <v>0.16274205485332816</v>
      </c>
      <c r="DJ1404" s="621">
        <f ca="1">DJ1402*(DJ$4/DJ$3)/DJ1399</f>
        <v>0.15869175562762045</v>
      </c>
      <c r="DL1404" s="621">
        <f ca="1">DL1402*(DL$4/DL$3)/DL1399</f>
        <v>0.16560410612221244</v>
      </c>
      <c r="DM1404" s="621">
        <f ca="1">DM1402*(DM$4/DM$3)/DM1399</f>
        <v>0.16409657690382634</v>
      </c>
      <c r="DN1404" s="621">
        <f ca="1">DN1402*(DN$4/DN$3)/DN1399</f>
        <v>0.16483853248426503</v>
      </c>
      <c r="DP1404" s="621">
        <f ca="1">DP1402*(DP$4/DP$3)/DP1399</f>
        <v>0.16633793179349604</v>
      </c>
      <c r="DQ1404" s="621">
        <f ca="1">DQ1402*(DQ$4/DQ$3)/DQ1399</f>
        <v>0.16484056762209698</v>
      </c>
      <c r="DR1404" s="621">
        <f ca="1">DR1402*(DR$4/DR$3)/DR1399</f>
        <v>0.1655791630012646</v>
      </c>
      <c r="DT1404"/>
      <c r="DU1404"/>
    </row>
    <row r="1405" spans="1:264" s="347" customFormat="1" ht="15" x14ac:dyDescent="0.25">
      <c r="A1405" s="411" t="s">
        <v>912</v>
      </c>
      <c r="B1405" s="348"/>
      <c r="BH1405" s="348"/>
      <c r="BI1405" s="348"/>
      <c r="BJ1405" s="348"/>
      <c r="BK1405" s="348"/>
      <c r="BL1405" s="348"/>
      <c r="BM1405" s="348"/>
      <c r="BN1405" s="348"/>
      <c r="BO1405" s="348"/>
      <c r="BP1405" s="348"/>
      <c r="BQ1405" s="348"/>
      <c r="BR1405" s="348"/>
      <c r="BT1405" s="483"/>
      <c r="BU1405" s="483"/>
      <c r="BV1405" s="483"/>
      <c r="BX1405" s="483"/>
      <c r="BY1405" s="483"/>
      <c r="BZ1405" s="483"/>
      <c r="CB1405" s="483">
        <f>CB102*(CB$4/CB$3)/CB1397</f>
        <v>0.13566969831067699</v>
      </c>
      <c r="CC1405" s="483">
        <f>CC102*(CC$4/CC$3)/CC1397</f>
        <v>0.12822027253068993</v>
      </c>
      <c r="CD1405" s="483">
        <f>CD102*(CD$4/CD$3)/CD1397</f>
        <v>0.13193138558913911</v>
      </c>
      <c r="CF1405" s="483">
        <f>CF102*(CF$4/CF$3)/CF1397</f>
        <v>0.13604733961283716</v>
      </c>
      <c r="CG1405" s="483">
        <f>CG102*(CG$4/CG$3)/CG1397</f>
        <v>0.11972414583967357</v>
      </c>
      <c r="CH1405" s="483">
        <f>CH102*(CH$4/CH$3)/CH1397</f>
        <v>0.12785897906720528</v>
      </c>
      <c r="CJ1405" s="483">
        <f>CJ102*(CJ$4/CJ$3)/CJ1397</f>
        <v>0.12220261495294049</v>
      </c>
      <c r="CK1405" s="483">
        <f>CK102*(CK$4/CK$3)/CK1397</f>
        <v>9.0711609681632735E-2</v>
      </c>
      <c r="CL1405" s="483">
        <f>CL102*(CL$4/CL$3)/CL1397</f>
        <v>0.10871966985242749</v>
      </c>
      <c r="CN1405" s="483">
        <f>CN102*(CN$4/CN$3)/CN1397</f>
        <v>0.1090784052365297</v>
      </c>
      <c r="CO1405" s="483">
        <f>CO102*(CO$4/CO$3)/CO1397</f>
        <v>0.13173865347692865</v>
      </c>
      <c r="CP1405" s="483">
        <f>CP102*(CP$4/CP$3)/CP1397</f>
        <v>0.12043970367217736</v>
      </c>
      <c r="CR1405" s="483">
        <f>CR102*(CR$4/CR$3)/CR1397</f>
        <v>0.12447838988096926</v>
      </c>
      <c r="CS1405" s="483">
        <f>CS102*(CS$4/CS$3)/CS1397</f>
        <v>0.13319045134252008</v>
      </c>
      <c r="CT1405" s="483">
        <f>CT102*(CT$4/CT$3)/CT1397</f>
        <v>0.12842116432995979</v>
      </c>
      <c r="CV1405" s="483">
        <f>CV102*(CV$4/CV$3)/CV1397</f>
        <v>0.14435956704053005</v>
      </c>
      <c r="CW1405" s="483">
        <f>CW102*(CW$4/CW$3)/CW1397</f>
        <v>0.14122634554321767</v>
      </c>
      <c r="CX1405" s="483">
        <f>CX102*(CX$4/CX$3)/CX1397</f>
        <v>0.14097191446931087</v>
      </c>
      <c r="CZ1405" s="483">
        <f>CZ102*(CZ$4/CZ$3)/CZ1397</f>
        <v>0.1382155259123356</v>
      </c>
      <c r="DA1405" s="483">
        <f>DA102*(DA$4/DA$3)/DA1397</f>
        <v>0.13448764639965299</v>
      </c>
      <c r="DB1405" s="483">
        <f>DB102*(DB$4/DB$3)/DB1397</f>
        <v>0.1364962698401754</v>
      </c>
      <c r="DD1405" s="483">
        <f>DD102*(DD$4/DD$3)/DD1397</f>
        <v>0.13724555229395657</v>
      </c>
      <c r="DE1405" s="483">
        <f>DE102*(DE$4/DE$3)/DE1397</f>
        <v>0.13643690165860631</v>
      </c>
      <c r="DF1405" s="483">
        <f>DF102*(DF$4/DF$3)/DF1397</f>
        <v>0.13661339321093646</v>
      </c>
      <c r="DH1405" s="483">
        <f>DH102*(DH$4/DH$3)/DH1397</f>
        <v>0.14149636696445889</v>
      </c>
      <c r="DI1405" s="483">
        <f ca="1">DI102*(DI$4/DI$3)/DI1397</f>
        <v>0.14614646926445052</v>
      </c>
      <c r="DJ1405" s="483">
        <f ca="1">DJ102*(DJ$4/DJ$3)/DJ1397</f>
        <v>0.14380296462696948</v>
      </c>
      <c r="DL1405" s="483">
        <f ca="1">DL102*(DL$4/DL$3)/DL1397</f>
        <v>0.14773227880299286</v>
      </c>
      <c r="DM1405" s="483">
        <f ca="1">DM102*(DM$4/DM$3)/DM1397</f>
        <v>0.14721972168412681</v>
      </c>
      <c r="DN1405" s="483">
        <f ca="1">DN102*(DN$4/DN$3)/DN1397</f>
        <v>0.14746537105398921</v>
      </c>
      <c r="DP1405" s="483">
        <f ca="1">DP102*(DP$4/DP$3)/DP1397</f>
        <v>0.14836935280529126</v>
      </c>
      <c r="DQ1405" s="483">
        <f ca="1">DQ102*(DQ$4/DQ$3)/DQ1397</f>
        <v>0.14797060089798036</v>
      </c>
      <c r="DR1405" s="483">
        <f ca="1">DR102*(DR$4/DR$3)/DR1397</f>
        <v>0.14816274218638265</v>
      </c>
      <c r="DT1405"/>
      <c r="DU1405"/>
    </row>
    <row r="1406" spans="1:264" s="347" customFormat="1" ht="15" x14ac:dyDescent="0.25">
      <c r="A1406" s="411"/>
      <c r="B1406" s="348"/>
      <c r="BH1406" s="348"/>
      <c r="BI1406" s="348"/>
      <c r="BJ1406" s="348"/>
      <c r="BK1406" s="348"/>
      <c r="BL1406" s="348"/>
      <c r="BM1406" s="348"/>
      <c r="BN1406" s="348"/>
      <c r="BO1406" s="348"/>
      <c r="BP1406" s="348"/>
      <c r="BQ1406" s="348"/>
      <c r="BR1406" s="348"/>
      <c r="BT1406" s="348"/>
      <c r="BU1406" s="348"/>
      <c r="BV1406" s="348"/>
      <c r="BX1406" s="348"/>
      <c r="BY1406" s="348"/>
      <c r="BZ1406" s="348"/>
      <c r="CB1406" s="348"/>
      <c r="CC1406" s="348"/>
      <c r="CD1406" s="348"/>
      <c r="CF1406" s="348"/>
      <c r="CG1406" s="348"/>
      <c r="CH1406" s="348"/>
      <c r="CJ1406" s="348"/>
      <c r="CK1406" s="348"/>
      <c r="CL1406" s="348"/>
      <c r="CN1406" s="348"/>
      <c r="CO1406" s="348"/>
      <c r="CP1406" s="348"/>
      <c r="CR1406" s="348"/>
      <c r="CS1406" s="348"/>
      <c r="CT1406" s="483"/>
      <c r="CV1406" s="348"/>
      <c r="CW1406" s="348"/>
      <c r="CX1406" s="483"/>
      <c r="CZ1406" s="348"/>
      <c r="DA1406" s="348"/>
      <c r="DB1406" s="483"/>
      <c r="DD1406" s="348"/>
      <c r="DE1406" s="348"/>
      <c r="DF1406" s="483"/>
      <c r="DH1406" s="348"/>
      <c r="DI1406" s="348"/>
      <c r="DJ1406" s="348"/>
      <c r="DL1406" s="348"/>
      <c r="DM1406" s="348"/>
      <c r="DN1406" s="348"/>
      <c r="DP1406" s="348"/>
      <c r="DQ1406" s="348"/>
      <c r="DR1406" s="348"/>
      <c r="DT1406"/>
      <c r="DU1406"/>
    </row>
    <row r="1407" spans="1:264" s="347" customFormat="1" ht="15" x14ac:dyDescent="0.25">
      <c r="A1407" s="347" t="s">
        <v>426</v>
      </c>
      <c r="B1407" s="348"/>
      <c r="BH1407" s="351">
        <f>BH490</f>
        <v>721366</v>
      </c>
      <c r="BI1407" s="351">
        <f>BI490</f>
        <v>735028</v>
      </c>
      <c r="BJ1407" s="351">
        <f>BJ490</f>
        <v>728140</v>
      </c>
      <c r="BK1407" s="348"/>
      <c r="BL1407" s="351">
        <f>BL490</f>
        <v>764622</v>
      </c>
      <c r="BM1407" s="351">
        <f>BM490</f>
        <v>796932</v>
      </c>
      <c r="BN1407" s="351">
        <f>BN490</f>
        <v>780644</v>
      </c>
      <c r="BO1407" s="348"/>
      <c r="BP1407" s="351">
        <f>BP490</f>
        <v>816258</v>
      </c>
      <c r="BQ1407" s="351">
        <f>BQ490</f>
        <v>870952</v>
      </c>
      <c r="BR1407" s="351">
        <f>BR490</f>
        <v>843510</v>
      </c>
      <c r="BT1407" s="351">
        <f>BT490</f>
        <v>909279</v>
      </c>
      <c r="BU1407" s="351">
        <f>BU490</f>
        <v>923440</v>
      </c>
      <c r="BV1407" s="351">
        <f>BV490</f>
        <v>916359.5</v>
      </c>
      <c r="BX1407" s="351">
        <f>BX490</f>
        <v>957124</v>
      </c>
      <c r="BY1407" s="351">
        <f>BY490</f>
        <v>987796</v>
      </c>
      <c r="BZ1407" s="351">
        <f>BZ490</f>
        <v>972333</v>
      </c>
      <c r="CB1407" s="351">
        <f>CB490</f>
        <v>971423</v>
      </c>
      <c r="CC1407" s="351">
        <f>CC490</f>
        <v>981230</v>
      </c>
      <c r="CD1407" s="351">
        <f>CD490</f>
        <v>976287</v>
      </c>
      <c r="CF1407" s="351">
        <f>CF490</f>
        <v>977810</v>
      </c>
      <c r="CG1407" s="351">
        <f>CG490</f>
        <v>973244</v>
      </c>
      <c r="CH1407" s="351">
        <f>CH490</f>
        <v>975546</v>
      </c>
      <c r="CJ1407" s="351">
        <f>CJ490</f>
        <v>983389</v>
      </c>
      <c r="CK1407" s="351">
        <f>CK490</f>
        <v>1016344</v>
      </c>
      <c r="CL1407" s="351">
        <f>CL490</f>
        <v>999777</v>
      </c>
      <c r="CN1407" s="351">
        <f>CN490</f>
        <v>1031108</v>
      </c>
      <c r="CO1407" s="351">
        <f>CO490</f>
        <v>1046868</v>
      </c>
      <c r="CP1407" s="351">
        <f>CP490</f>
        <v>1040329</v>
      </c>
      <c r="CR1407" s="351">
        <f>CR490</f>
        <v>1125149</v>
      </c>
      <c r="CS1407" s="351">
        <f>CS490</f>
        <v>1172789</v>
      </c>
      <c r="CT1407" s="351">
        <f>CT490</f>
        <v>1148779</v>
      </c>
      <c r="CV1407" s="351">
        <f>CV490</f>
        <v>1227651</v>
      </c>
      <c r="CW1407" s="351">
        <f>CW490</f>
        <v>1239854</v>
      </c>
      <c r="CX1407" s="351">
        <f>CX490</f>
        <v>1233702</v>
      </c>
      <c r="CZ1407" s="351">
        <f>CZ490</f>
        <v>1262472</v>
      </c>
      <c r="DA1407" s="351">
        <f>DA490</f>
        <v>1271054</v>
      </c>
      <c r="DB1407" s="351">
        <f>DB490</f>
        <v>1266740</v>
      </c>
      <c r="DD1407" s="351">
        <f>DD490</f>
        <v>1266815</v>
      </c>
      <c r="DE1407" s="351">
        <f>DE490</f>
        <v>1317554</v>
      </c>
      <c r="DF1407" s="351">
        <f>DF490</f>
        <v>1291976</v>
      </c>
      <c r="DH1407" s="351">
        <f>DH490</f>
        <v>1374143</v>
      </c>
      <c r="DI1407" s="351">
        <f ca="1">DI490</f>
        <v>1425923.3973400958</v>
      </c>
      <c r="DJ1407" s="351">
        <f ca="1">DJ490</f>
        <v>1400033.1986700478</v>
      </c>
      <c r="DL1407" s="351">
        <f ca="1">DL490</f>
        <v>1471686.2561243505</v>
      </c>
      <c r="DM1407" s="351">
        <f ca="1">DM490</f>
        <v>1516213.0643252118</v>
      </c>
      <c r="DN1407" s="351">
        <f ca="1">DN490</f>
        <v>1493949.6602247811</v>
      </c>
      <c r="DP1407" s="351">
        <f ca="1">DP490</f>
        <v>1557382.6864947451</v>
      </c>
      <c r="DQ1407" s="351">
        <f ca="1">DQ490</f>
        <v>1595035.1261147403</v>
      </c>
      <c r="DR1407" s="351">
        <f ca="1">DR490</f>
        <v>1576208.9063047427</v>
      </c>
      <c r="DT1407"/>
      <c r="DU1407"/>
    </row>
    <row r="1408" spans="1:264" s="347" customFormat="1" ht="15" x14ac:dyDescent="0.25">
      <c r="A1408" s="347" t="s">
        <v>913</v>
      </c>
      <c r="B1408" s="348"/>
      <c r="BH1408" s="351">
        <f>AVERAGE(BH1310,BE1310)</f>
        <v>308864.5</v>
      </c>
      <c r="BI1408" s="351">
        <f>AVERAGE(BI1310,BH1310)</f>
        <v>322050</v>
      </c>
      <c r="BJ1408" s="351">
        <f>AVERAGE(BJ1310,BF1310)</f>
        <v>315972.5</v>
      </c>
      <c r="BK1408" s="348"/>
      <c r="BL1408" s="351">
        <f>AVERAGE(BL1310,BI1310)</f>
        <v>331677.5</v>
      </c>
      <c r="BM1408" s="351">
        <f>AVERAGE(BM1310,BL1310)</f>
        <v>335956</v>
      </c>
      <c r="BN1408" s="351">
        <f>AVERAGE(BN1310,BJ1310)</f>
        <v>333436.5</v>
      </c>
      <c r="BO1408" s="348"/>
      <c r="BP1408" s="351">
        <f>AVERAGE(BP1310,BM1310)</f>
        <v>345381.5</v>
      </c>
      <c r="BQ1408" s="351">
        <f>AVERAGE(BQ1310,BP1310)</f>
        <v>360884.5</v>
      </c>
      <c r="BR1408" s="351">
        <f>AVERAGE(BR1310,BN1310)</f>
        <v>353218</v>
      </c>
      <c r="BT1408" s="351">
        <f>AVERAGE(BT1310,BQ1310)</f>
        <v>380691.5</v>
      </c>
      <c r="BU1408" s="351">
        <f>AVERAGE(BU1310,BT1310)</f>
        <v>393664.5</v>
      </c>
      <c r="BV1408" s="351">
        <f>AVERAGE(BV1310,BR1310)</f>
        <v>381694</v>
      </c>
      <c r="BX1408" s="351">
        <f>AVERAGE(BX1310,BU1310)</f>
        <v>415574</v>
      </c>
      <c r="BY1408" s="351">
        <f>AVERAGE(BY1310,BX1310)</f>
        <v>436772</v>
      </c>
      <c r="BZ1408" s="351">
        <f>AVERAGE(BZ1310,BV1310)</f>
        <v>415865</v>
      </c>
      <c r="CB1408" s="351">
        <f>AVERAGE(CB1310,BY1310)</f>
        <v>438949.5</v>
      </c>
      <c r="CC1408" s="351">
        <f>AVERAGE(CC1310,CB1310)</f>
        <v>449724</v>
      </c>
      <c r="CD1408" s="351">
        <f>AVERAGE(CD1310,BZ1310)</f>
        <v>447837.5</v>
      </c>
      <c r="CF1408" s="351">
        <f>AVERAGE(CF1310,CC1310)</f>
        <v>451878</v>
      </c>
      <c r="CG1408" s="351">
        <f>AVERAGE(CG1310,CF1310)</f>
        <v>448953</v>
      </c>
      <c r="CH1408" s="351">
        <f>AVERAGE(CH1310,CD1310)</f>
        <v>455687</v>
      </c>
      <c r="CJ1408" s="351">
        <f>AVERAGE(CJ1310,CG1310)</f>
        <v>450958</v>
      </c>
      <c r="CK1408" s="351">
        <f>AVERAGE(CK1310,CJ1310)</f>
        <v>452051</v>
      </c>
      <c r="CL1408" s="351">
        <f>AVERAGE(CL1310,CH1310)</f>
        <v>453855</v>
      </c>
      <c r="CN1408" s="351">
        <f>AVERAGE(CN1310,CK1310)</f>
        <v>454282</v>
      </c>
      <c r="CO1408" s="351">
        <f>AVERAGE(CO1310,CN1310)</f>
        <v>452148</v>
      </c>
      <c r="CP1408" s="351">
        <f>AVERAGE(CP1310,CL1310)</f>
        <v>452814</v>
      </c>
      <c r="CR1408" s="351">
        <f>AVERAGE(CR1310,CO1310)</f>
        <v>461303.5</v>
      </c>
      <c r="CS1408" s="351">
        <f>AVERAGE(CS1310,CR1310)</f>
        <v>484909.5</v>
      </c>
      <c r="CT1408" s="351">
        <f>AVERAGE(CT1310,CP1310)</f>
        <v>474286</v>
      </c>
      <c r="CV1408" s="351">
        <f>AVERAGE(CV1310,CS1310)</f>
        <v>501136</v>
      </c>
      <c r="CW1408" s="351">
        <f>AVERAGE(CW1310,CV1310)</f>
        <v>486186</v>
      </c>
      <c r="CX1408" s="351">
        <f>AVERAGE(CX1310,CT1310)</f>
        <v>482942</v>
      </c>
      <c r="CZ1408" s="351">
        <f>AVERAGE(CZ1310,CW1310)</f>
        <v>465818</v>
      </c>
      <c r="DA1408" s="351">
        <f>AVERAGE(DA1310,CZ1310)</f>
        <v>465597.5</v>
      </c>
      <c r="DB1408" s="351">
        <f>AVERAGE(DB1310,CX1310)</f>
        <v>467771.5</v>
      </c>
      <c r="DD1408" s="351">
        <f>AVERAGE(DD1310,DA1310)</f>
        <v>474960</v>
      </c>
      <c r="DE1408" s="351">
        <f>AVERAGE(DE1310,DD1310)</f>
        <v>489257</v>
      </c>
      <c r="DF1408" s="351">
        <f>AVERAGE(DF1310,DB1310)</f>
        <v>481848</v>
      </c>
      <c r="DH1408" s="351">
        <f>AVERAGE(DH1310,DE1310)</f>
        <v>500727.5</v>
      </c>
      <c r="DI1408" s="351">
        <f ca="1">AVERAGE(DI1310,DH1310)</f>
        <v>513525.67024979013</v>
      </c>
      <c r="DJ1408" s="351">
        <f ca="1">AVERAGE(DJ1310,DF1310)</f>
        <v>508943.17024979013</v>
      </c>
      <c r="DL1408" s="351">
        <f ca="1">AVERAGE(DL1310,DI1310)</f>
        <v>528976.14550676616</v>
      </c>
      <c r="DM1408" s="351">
        <f ca="1">AVERAGE(DM1310,DL1310)</f>
        <v>544911.96486105351</v>
      </c>
      <c r="DN1408" s="351">
        <f ca="1">AVERAGE(DN1310,DJ1310)</f>
        <v>537677.15985386749</v>
      </c>
      <c r="DP1408" s="351">
        <f ca="1">AVERAGE(DP1310,DM1310)</f>
        <v>559949.81932563253</v>
      </c>
      <c r="DQ1408" s="351">
        <f ca="1">AVERAGE(DQ1310,DP1310)</f>
        <v>573613.77735215146</v>
      </c>
      <c r="DR1408" s="351">
        <f ca="1">AVERAGE(DR1310,DN1310)</f>
        <v>567276.93723467388</v>
      </c>
      <c r="DT1408"/>
      <c r="DU1408"/>
    </row>
    <row r="1409" spans="1:125" s="347" customFormat="1" ht="15" x14ac:dyDescent="0.25">
      <c r="B1409" s="348"/>
      <c r="BH1409" s="348"/>
      <c r="BI1409" s="348"/>
      <c r="BJ1409" s="348"/>
      <c r="BK1409" s="348"/>
      <c r="BL1409" s="348"/>
      <c r="BM1409" s="348"/>
      <c r="BN1409" s="348"/>
      <c r="BO1409" s="348"/>
      <c r="BP1409" s="348"/>
      <c r="BQ1409" s="348"/>
      <c r="BR1409" s="348"/>
      <c r="BT1409" s="348"/>
      <c r="BU1409" s="348"/>
      <c r="BV1409" s="348"/>
      <c r="BX1409" s="348"/>
      <c r="BY1409" s="348"/>
      <c r="BZ1409" s="348"/>
      <c r="CB1409" s="348"/>
      <c r="CC1409" s="348"/>
      <c r="CD1409" s="348"/>
      <c r="CF1409" s="348"/>
      <c r="CG1409" s="348"/>
      <c r="CH1409" s="348"/>
      <c r="CJ1409" s="348"/>
      <c r="CK1409" s="348"/>
      <c r="CL1409" s="348"/>
      <c r="CN1409" s="348"/>
      <c r="CO1409" s="348"/>
      <c r="CP1409" s="348"/>
      <c r="CR1409" s="348"/>
      <c r="CS1409" s="348"/>
      <c r="CT1409" s="348"/>
      <c r="CV1409" s="348"/>
      <c r="CW1409" s="348"/>
      <c r="CX1409" s="348"/>
      <c r="CZ1409" s="348"/>
      <c r="DA1409" s="348"/>
      <c r="DB1409" s="348"/>
      <c r="DD1409" s="348"/>
      <c r="DE1409" s="348"/>
      <c r="DF1409" s="348"/>
      <c r="DH1409" s="348"/>
      <c r="DI1409" s="348"/>
      <c r="DJ1409" s="348"/>
      <c r="DL1409" s="348"/>
      <c r="DM1409" s="348"/>
      <c r="DN1409" s="348"/>
      <c r="DP1409" s="348"/>
      <c r="DQ1409" s="348"/>
      <c r="DR1409" s="348"/>
      <c r="DT1409"/>
      <c r="DU1409"/>
    </row>
    <row r="1410" spans="1:125" s="347" customFormat="1" x14ac:dyDescent="0.2">
      <c r="A1410" s="347" t="s">
        <v>914</v>
      </c>
      <c r="B1410" s="348"/>
      <c r="BH1410" s="489">
        <f>BH14*(BH$4/BH$3)/BH$1407</f>
        <v>1.8869921184554571E-2</v>
      </c>
      <c r="BI1410" s="489">
        <f>BI14*(BI$4/BI$3)/BI$1407</f>
        <v>1.942971045384613E-2</v>
      </c>
      <c r="BJ1410" s="489">
        <f>BJ14*(BJ$4/BJ$3)/BJ$1407</f>
        <v>1.9150163430109595E-2</v>
      </c>
      <c r="BK1410" s="348"/>
      <c r="BL1410" s="489">
        <f>BL14*(BL$4/BL$3)/BL$1407</f>
        <v>1.9312327443864564E-2</v>
      </c>
      <c r="BM1410" s="489">
        <f>BM14*(BM$4/BM$3)/BM$1407</f>
        <v>1.935014010775523E-2</v>
      </c>
      <c r="BN1410" s="489">
        <f>BN14*(BN$4/BN$3)/BN$1407</f>
        <v>1.9331475038557908E-2</v>
      </c>
      <c r="BO1410" s="348"/>
      <c r="BP1410" s="489">
        <f>BP14*(BP$4/BP$3)/BP$1407</f>
        <v>1.9201256646582437E-2</v>
      </c>
      <c r="BQ1410" s="489">
        <f>BQ14*(BQ$4/BQ$3)/BQ$1407</f>
        <v>1.8351608545299693E-2</v>
      </c>
      <c r="BR1410" s="489">
        <f>BR14*(BR$4/BR$3)/BR$1407</f>
        <v>1.8763263031854986E-2</v>
      </c>
      <c r="BT1410" s="489">
        <f>BT14*(BT$4/BT$3)/BT$1407</f>
        <v>1.8434828225344525E-2</v>
      </c>
      <c r="BU1410" s="489">
        <f>BU14*(BU$4/BU$3)/BU$1407</f>
        <v>1.8527998035058592E-2</v>
      </c>
      <c r="BV1410" s="489">
        <f>BV14*(BV$4/BV$3)/BV$1407</f>
        <v>1.8480738181903499E-2</v>
      </c>
      <c r="BX1410" s="489">
        <f>BX14*(BX$4/BX$3)/BX$1407</f>
        <v>1.8051986085851766E-2</v>
      </c>
      <c r="BY1410" s="489">
        <f>BY14*(BY$4/BY$3)/BY$1407</f>
        <v>1.8032471598302815E-2</v>
      </c>
      <c r="BZ1410" s="489">
        <f>BZ14*(BZ$4/BZ$3)/BZ$1407</f>
        <v>1.8042172794711278E-2</v>
      </c>
      <c r="CB1410" s="489">
        <f>CB14*(CB$4/CB$3)/CB$1407</f>
        <v>1.8903269381282832E-2</v>
      </c>
      <c r="CC1410" s="489">
        <f>CC14*(CC$4/CC$3)/CC$1407</f>
        <v>1.8671035445815189E-2</v>
      </c>
      <c r="CD1410" s="489">
        <f>CD14*(CD$4/CD$3)/CD$1407</f>
        <v>1.8787508181508102E-2</v>
      </c>
      <c r="CF1410" s="489">
        <f>CF14*(CF$4/CF$3)/CF$1407</f>
        <v>1.8639813104973268E-2</v>
      </c>
      <c r="CG1410" s="489">
        <f>CG14*(CG$4/CG$3)/CG$1407</f>
        <v>1.8722712861113044E-2</v>
      </c>
      <c r="CH1410" s="489">
        <f>CH14*(CH$4/CH$3)/CH$1407</f>
        <v>1.8680820791638734E-2</v>
      </c>
      <c r="CJ1410" s="489">
        <f>CJ14*(CJ$4/CJ$3)/CJ$1407</f>
        <v>1.8912525526742104E-2</v>
      </c>
      <c r="CK1410" s="489">
        <f>CK14*(CK$4/CK$3)/CK$1407</f>
        <v>1.8322298593545335E-2</v>
      </c>
      <c r="CL1410" s="489">
        <f>CL14*(CL$4/CL$3)/CL$1407</f>
        <v>1.8614150955663114E-2</v>
      </c>
      <c r="CN1410" s="489">
        <f>CN14*(CN$4/CN$3)/CN$1407</f>
        <v>1.8468946279991585E-2</v>
      </c>
      <c r="CO1410" s="489">
        <f>CO14*(CO$4/CO$3)/CO$1407</f>
        <v>1.8688895476635312E-2</v>
      </c>
      <c r="CP1410" s="489">
        <f>CP14*(CP$4/CP$3)/CP$1407</f>
        <v>1.8553745978435669E-2</v>
      </c>
      <c r="CR1410" s="489">
        <f>CR14*(CR$4/CR$3)/CR$1407</f>
        <v>1.7186226195278407E-2</v>
      </c>
      <c r="CS1410" s="489">
        <f>CS14*(CS$4/CS$3)/CS$1407</f>
        <v>1.6721838152731539E-2</v>
      </c>
      <c r="CT1410" s="489">
        <f>CT14*(CT$4/CT$3)/CT$1407</f>
        <v>1.6951041061857852E-2</v>
      </c>
      <c r="CV1410" s="489">
        <f>CV14*(CV$4/CV$3)/CV$1407</f>
        <v>1.8803606484536588E-2</v>
      </c>
      <c r="CW1410" s="489">
        <f>CW14*(CW$4/CW$3)/CW$1407</f>
        <v>1.8572561925331667E-2</v>
      </c>
      <c r="CX1410" s="489">
        <f>CX14*(CX$4/CX$3)/CX$1407</f>
        <v>1.8688467717487691E-2</v>
      </c>
      <c r="CZ1410" s="489">
        <f>CZ14*(CZ$4/CZ$3)/CZ$1407</f>
        <v>1.7967957687981095E-2</v>
      </c>
      <c r="DA1410" s="489">
        <f>DA14*(DA$4/DA$3)/DA$1407</f>
        <v>1.806807146312785E-2</v>
      </c>
      <c r="DB1410" s="489">
        <f>DB14*(DB$4/DB$3)/DB$1407</f>
        <v>1.8017904226597409E-2</v>
      </c>
      <c r="DD1410" s="489">
        <f>DD14*(DD$4/DD$3)/DD$1407</f>
        <v>1.868735680667144E-2</v>
      </c>
      <c r="DE1410" s="489">
        <f>DE14*(DE$4/DE$3)/DE$1407</f>
        <v>1.8502748400252178E-2</v>
      </c>
      <c r="DF1410" s="489">
        <f>DF14*(DF$4/DF$3)/DF$1407</f>
        <v>1.8593998650129725E-2</v>
      </c>
      <c r="DH1410" s="489">
        <f>DH14*(DH$4/DH$3)/DH$1407</f>
        <v>1.83263432585603E-2</v>
      </c>
      <c r="DI1410" s="489">
        <f ca="1">DI14*(DI$4/DI$3)/DI$1407</f>
        <v>1.8346163907494367E-2</v>
      </c>
      <c r="DJ1410" s="489">
        <f ca="1">DJ14*(DJ$4/DJ$3)/DJ$1407</f>
        <v>1.833356840150455E-2</v>
      </c>
      <c r="DL1410" s="489">
        <f ca="1">DL14*(DL$4/DL$3)/DL$1407</f>
        <v>1.8345451164500849E-2</v>
      </c>
      <c r="DM1410" s="489">
        <f ca="1">DM14*(DM$4/DM$3)/DM$1407</f>
        <v>1.8255749554774679E-2</v>
      </c>
      <c r="DN1410" s="489">
        <f ca="1">DN14*(DN$4/DN$3)/DN$1407</f>
        <v>1.8298059058039533E-2</v>
      </c>
      <c r="DP1410" s="489">
        <f ca="1">DP14*(DP$4/DP$3)/DP$1407</f>
        <v>1.8167095209927851E-2</v>
      </c>
      <c r="DQ1410" s="489">
        <f ca="1">DQ14*(DQ$4/DQ$3)/DQ$1407</f>
        <v>1.8079329745570038E-2</v>
      </c>
      <c r="DR1410" s="489">
        <f ca="1">DR14*(DR$4/DR$3)/DR$1407</f>
        <v>1.8121745279028018E-2</v>
      </c>
    </row>
    <row r="1411" spans="1:125" s="347" customFormat="1" x14ac:dyDescent="0.2">
      <c r="A1411" s="347" t="s">
        <v>915</v>
      </c>
      <c r="B1411" s="348"/>
      <c r="BH1411" s="489">
        <f t="shared" ref="BH1411:BJ1412" si="1034">BH18*(BH$4/BH$3)/BH$1407</f>
        <v>5.7885724414875207E-3</v>
      </c>
      <c r="BI1411" s="489">
        <f t="shared" si="1034"/>
        <v>5.6269890060489146E-3</v>
      </c>
      <c r="BJ1411" s="489">
        <f t="shared" si="1034"/>
        <v>5.7076935754113217E-3</v>
      </c>
      <c r="BK1411" s="348"/>
      <c r="BL1411" s="489">
        <f t="shared" ref="BL1411:BN1412" si="1035">BL18*(BL$4/BL$3)/BL$1407</f>
        <v>5.7957737116595158E-3</v>
      </c>
      <c r="BM1411" s="489">
        <f t="shared" si="1035"/>
        <v>5.286052397685456E-3</v>
      </c>
      <c r="BN1411" s="489">
        <f t="shared" si="1035"/>
        <v>5.5377355106809249E-3</v>
      </c>
      <c r="BO1411" s="348"/>
      <c r="BP1411" s="489">
        <f t="shared" ref="BP1411:BR1412" si="1036">BP18*(BP$4/BP$3)/BP$1407</f>
        <v>5.7256246879316824E-3</v>
      </c>
      <c r="BQ1411" s="489">
        <f t="shared" si="1036"/>
        <v>5.6842289905009767E-3</v>
      </c>
      <c r="BR1411" s="489">
        <f t="shared" si="1036"/>
        <v>5.703548268544534E-3</v>
      </c>
      <c r="BT1411" s="489">
        <f t="shared" ref="BT1411:BV1412" si="1037">BT18*(BT$4/BT$3)/BT$1407</f>
        <v>5.2852195315571809E-3</v>
      </c>
      <c r="BU1411" s="489">
        <f t="shared" si="1037"/>
        <v>5.3223351196148563E-3</v>
      </c>
      <c r="BV1411" s="489">
        <f t="shared" si="1037"/>
        <v>5.3035953684116332E-3</v>
      </c>
      <c r="BX1411" s="489">
        <f t="shared" ref="BX1411:BZ1412" si="1038">BX18*(BX$4/BX$3)/BX$1407</f>
        <v>6.2549820903674653E-3</v>
      </c>
      <c r="BY1411" s="489">
        <f t="shared" si="1038"/>
        <v>5.2262116259091142E-3</v>
      </c>
      <c r="BZ1411" s="489">
        <f t="shared" si="1038"/>
        <v>5.7367177705580294E-3</v>
      </c>
      <c r="CB1411" s="489">
        <f t="shared" ref="CB1411:CD1412" si="1039">CB18*(CB$4/CB$3)/CB$1407</f>
        <v>5.5257909631361507E-3</v>
      </c>
      <c r="CC1411" s="489">
        <f t="shared" si="1039"/>
        <v>5.1563707136544094E-3</v>
      </c>
      <c r="CD1411" s="489">
        <f t="shared" si="1039"/>
        <v>5.3416669483461318E-3</v>
      </c>
      <c r="CF1411" s="489">
        <f t="shared" ref="CF1411:CH1412" si="1040">CF18*(CF$4/CF$3)/CF$1407</f>
        <v>5.2259641443634245E-3</v>
      </c>
      <c r="CG1411" s="489">
        <f t="shared" si="1040"/>
        <v>4.9210317668374817E-3</v>
      </c>
      <c r="CH1411" s="489">
        <f t="shared" si="1040"/>
        <v>5.0751066582201149E-3</v>
      </c>
      <c r="CJ1411" s="489">
        <f t="shared" ref="CJ1411:CL1412" si="1041">CJ18*(CJ$4/CJ$3)/CJ$1407</f>
        <v>5.1438023972732805E-3</v>
      </c>
      <c r="CK1411" s="489">
        <f t="shared" si="1041"/>
        <v>4.5390229993080991E-3</v>
      </c>
      <c r="CL1411" s="489">
        <f t="shared" si="1041"/>
        <v>4.8380788915928256E-3</v>
      </c>
      <c r="CN1411" s="489">
        <f t="shared" ref="CN1411:CP1412" si="1042">CN18*(CN$4/CN$3)/CN$1407</f>
        <v>4.2132283701230809E-3</v>
      </c>
      <c r="CO1411" s="489">
        <f t="shared" si="1042"/>
        <v>4.5344939138321503E-3</v>
      </c>
      <c r="CP1411" s="489">
        <f t="shared" si="1042"/>
        <v>4.3678490169936626E-3</v>
      </c>
      <c r="CR1411" s="489">
        <f t="shared" ref="CR1411:CT1412" si="1043">CR18*(CR$4/CR$3)/CR$1407</f>
        <v>3.9862594816910627E-3</v>
      </c>
      <c r="CS1411" s="489">
        <f t="shared" si="1043"/>
        <v>4.7233819440157879E-3</v>
      </c>
      <c r="CT1411" s="489">
        <f t="shared" si="1043"/>
        <v>4.3594111661163721E-3</v>
      </c>
      <c r="CV1411" s="489">
        <f t="shared" ref="CV1411:CX1412" si="1044">CV18*(CV$4/CV$3)/CV$1407</f>
        <v>3.1638275755540637E-3</v>
      </c>
      <c r="CW1411" s="489">
        <f t="shared" si="1044"/>
        <v>3.316354651523887E-3</v>
      </c>
      <c r="CX1411" s="489">
        <f t="shared" si="1044"/>
        <v>3.2398423606349023E-3</v>
      </c>
      <c r="CZ1411" s="489">
        <f t="shared" ref="CZ1411:DB1412" si="1045">CZ18*(CZ$4/CZ$3)/CZ$1407</f>
        <v>3.4505285282952123E-3</v>
      </c>
      <c r="DA1411" s="489">
        <f t="shared" si="1045"/>
        <v>3.2418107204858987E-3</v>
      </c>
      <c r="DB1411" s="489">
        <f t="shared" si="1045"/>
        <v>3.3463852092773575E-3</v>
      </c>
      <c r="DD1411" s="489">
        <f t="shared" ref="DD1411:DF1412" si="1046">DD18*(DD$4/DD$3)/DD$1407</f>
        <v>3.2930711718141474E-3</v>
      </c>
      <c r="DE1411" s="489">
        <f t="shared" si="1046"/>
        <v>3.3932164118917261E-3</v>
      </c>
      <c r="DF1411" s="489">
        <f t="shared" si="1046"/>
        <v>3.3437153631336804E-3</v>
      </c>
      <c r="DH1411" s="489">
        <f t="shared" ref="DH1411" si="1047">DH18*(DH$4/DH$3)/DH$1407</f>
        <v>3.2610641529017504E-3</v>
      </c>
      <c r="DI1411" s="489">
        <f t="shared" ref="DI1411:DJ1412" ca="1" si="1048">DI18*(DI$4/DI$3)/DI$1407</f>
        <v>3.0841983241805698E-3</v>
      </c>
      <c r="DJ1411" s="489">
        <f t="shared" ca="1" si="1048"/>
        <v>3.1712405135946769E-3</v>
      </c>
      <c r="DL1411" s="489">
        <f t="shared" ref="DL1411:DN1412" ca="1" si="1049">DL18*(DL$4/DL$3)/DL$1407</f>
        <v>3.0912761101663713E-3</v>
      </c>
      <c r="DM1411" s="489">
        <f t="shared" ca="1" si="1049"/>
        <v>2.9796117544600431E-3</v>
      </c>
      <c r="DN1411" s="489">
        <f t="shared" ca="1" si="1049"/>
        <v>3.0346989973663889E-3</v>
      </c>
      <c r="DP1411" s="489">
        <f t="shared" ref="DP1411:DR1412" ca="1" si="1050">DP18*(DP$4/DP$3)/DP$1407</f>
        <v>3.0078445238873688E-3</v>
      </c>
      <c r="DQ1411" s="489">
        <f t="shared" ca="1" si="1050"/>
        <v>2.9166527346541683E-3</v>
      </c>
      <c r="DR1411" s="489">
        <f t="shared" ca="1" si="1050"/>
        <v>2.9617598512273764E-3</v>
      </c>
    </row>
    <row r="1412" spans="1:125" s="347" customFormat="1" x14ac:dyDescent="0.2">
      <c r="A1412" s="347" t="s">
        <v>916</v>
      </c>
      <c r="B1412" s="348"/>
      <c r="BH1412" s="489">
        <f t="shared" si="1034"/>
        <v>2.4658493626042093E-2</v>
      </c>
      <c r="BI1412" s="489">
        <f t="shared" si="1034"/>
        <v>2.5056699459895047E-2</v>
      </c>
      <c r="BJ1412" s="489">
        <f t="shared" si="1034"/>
        <v>2.4857857005520918E-2</v>
      </c>
      <c r="BK1412" s="348"/>
      <c r="BL1412" s="489">
        <f t="shared" si="1035"/>
        <v>2.5108101155524077E-2</v>
      </c>
      <c r="BM1412" s="489">
        <f t="shared" si="1035"/>
        <v>2.4636192505440687E-2</v>
      </c>
      <c r="BN1412" s="489">
        <f t="shared" si="1035"/>
        <v>2.4869210549238834E-2</v>
      </c>
      <c r="BO1412" s="348"/>
      <c r="BP1412" s="489">
        <f t="shared" si="1036"/>
        <v>2.4926881334514123E-2</v>
      </c>
      <c r="BQ1412" s="489">
        <f t="shared" si="1036"/>
        <v>2.4035837535800669E-2</v>
      </c>
      <c r="BR1412" s="489">
        <f t="shared" si="1036"/>
        <v>2.4466811300399523E-2</v>
      </c>
      <c r="BT1412" s="489">
        <f t="shared" si="1037"/>
        <v>2.3720047756901702E-2</v>
      </c>
      <c r="BU1412" s="489">
        <f t="shared" si="1037"/>
        <v>2.3850333154673446E-2</v>
      </c>
      <c r="BV1412" s="489">
        <f t="shared" si="1037"/>
        <v>2.3784333550315132E-2</v>
      </c>
      <c r="BX1412" s="489">
        <f t="shared" si="1038"/>
        <v>2.4306968176219228E-2</v>
      </c>
      <c r="BY1412" s="489">
        <f t="shared" si="1038"/>
        <v>2.3258683224211929E-2</v>
      </c>
      <c r="BZ1412" s="489">
        <f t="shared" si="1038"/>
        <v>2.3778890565269307E-2</v>
      </c>
      <c r="CB1412" s="489">
        <f t="shared" si="1039"/>
        <v>2.4429060344418985E-2</v>
      </c>
      <c r="CC1412" s="489">
        <f t="shared" si="1039"/>
        <v>2.3827406159469596E-2</v>
      </c>
      <c r="CD1412" s="489">
        <f t="shared" si="1039"/>
        <v>2.4129175129854234E-2</v>
      </c>
      <c r="CF1412" s="489">
        <f t="shared" si="1040"/>
        <v>2.3865777249336695E-2</v>
      </c>
      <c r="CG1412" s="489">
        <f t="shared" si="1040"/>
        <v>2.364374462795053E-2</v>
      </c>
      <c r="CH1412" s="489">
        <f t="shared" si="1040"/>
        <v>2.3755927449858848E-2</v>
      </c>
      <c r="CJ1412" s="489">
        <f t="shared" si="1041"/>
        <v>2.4056327924015384E-2</v>
      </c>
      <c r="CK1412" s="489">
        <f t="shared" si="1041"/>
        <v>2.2861321592853437E-2</v>
      </c>
      <c r="CL1412" s="489">
        <f t="shared" si="1041"/>
        <v>2.3452229847255937E-2</v>
      </c>
      <c r="CN1412" s="489">
        <f t="shared" si="1042"/>
        <v>2.268217465011467E-2</v>
      </c>
      <c r="CO1412" s="489">
        <f t="shared" si="1042"/>
        <v>2.3223389390467464E-2</v>
      </c>
      <c r="CP1412" s="489">
        <f t="shared" si="1042"/>
        <v>2.2921594995429329E-2</v>
      </c>
      <c r="CR1412" s="489">
        <f t="shared" si="1043"/>
        <v>2.1172485676969471E-2</v>
      </c>
      <c r="CS1412" s="489">
        <f t="shared" si="1043"/>
        <v>2.1445220096747326E-2</v>
      </c>
      <c r="CT1412" s="489">
        <f t="shared" si="1043"/>
        <v>2.1310452227974223E-2</v>
      </c>
      <c r="CV1412" s="489">
        <f t="shared" si="1044"/>
        <v>2.1967434060090652E-2</v>
      </c>
      <c r="CW1412" s="489">
        <f t="shared" si="1044"/>
        <v>2.1888916576855554E-2</v>
      </c>
      <c r="CX1412" s="489">
        <f t="shared" si="1044"/>
        <v>2.1928310078122595E-2</v>
      </c>
      <c r="CZ1412" s="489">
        <f t="shared" si="1045"/>
        <v>2.1418486216276306E-2</v>
      </c>
      <c r="DA1412" s="489">
        <f t="shared" si="1045"/>
        <v>2.1309882183613748E-2</v>
      </c>
      <c r="DB1412" s="489">
        <f t="shared" si="1045"/>
        <v>2.1364289435874765E-2</v>
      </c>
      <c r="DD1412" s="489">
        <f t="shared" si="1046"/>
        <v>2.1980427978485585E-2</v>
      </c>
      <c r="DE1412" s="489">
        <f t="shared" si="1046"/>
        <v>2.1895964812143905E-2</v>
      </c>
      <c r="DF1412" s="489">
        <f t="shared" si="1046"/>
        <v>2.1937714013263405E-2</v>
      </c>
      <c r="DH1412" s="489">
        <f t="shared" ref="DH1412" si="1051">DH19*(DH$4/DH$3)/DH$1407</f>
        <v>2.1587407411462051E-2</v>
      </c>
      <c r="DI1412" s="489">
        <f t="shared" ca="1" si="1048"/>
        <v>2.1430362231674938E-2</v>
      </c>
      <c r="DJ1412" s="489">
        <f t="shared" ca="1" si="1048"/>
        <v>2.1504808915099226E-2</v>
      </c>
      <c r="DL1412" s="489">
        <f t="shared" ca="1" si="1049"/>
        <v>2.1436727274667222E-2</v>
      </c>
      <c r="DM1412" s="489">
        <f t="shared" ca="1" si="1049"/>
        <v>2.1235361309234722E-2</v>
      </c>
      <c r="DN1412" s="489">
        <f t="shared" ca="1" si="1049"/>
        <v>2.1332758055405923E-2</v>
      </c>
      <c r="DP1412" s="489">
        <f t="shared" ca="1" si="1050"/>
        <v>2.1174939733815221E-2</v>
      </c>
      <c r="DQ1412" s="489">
        <f t="shared" ca="1" si="1050"/>
        <v>2.0995982480224201E-2</v>
      </c>
      <c r="DR1412" s="489">
        <f t="shared" ca="1" si="1050"/>
        <v>2.1083505130255396E-2</v>
      </c>
    </row>
    <row r="1413" spans="1:125" s="347" customFormat="1" x14ac:dyDescent="0.2">
      <c r="A1413" s="347" t="s">
        <v>917</v>
      </c>
      <c r="B1413" s="348"/>
      <c r="BH1413" s="489">
        <f>BH23*(BH$4/BH$3)/BH$1407</f>
        <v>3.6353884881931129E-3</v>
      </c>
      <c r="BI1413" s="489">
        <f>BI23*(BI$4/BI$3)/BI$1407</f>
        <v>3.8382045926194206E-3</v>
      </c>
      <c r="BJ1413" s="489">
        <f>BJ23*(BJ$4/BJ$3)/BJ$1407</f>
        <v>3.7369187244211278E-3</v>
      </c>
      <c r="BK1413" s="348"/>
      <c r="BL1413" s="489">
        <f>BL23*(BL$4/BL$3)/BL$1407</f>
        <v>3.813691744019466E-3</v>
      </c>
      <c r="BM1413" s="489">
        <f>BM23*(BM$4/BM$3)/BM$1407</f>
        <v>3.8386507837667953E-3</v>
      </c>
      <c r="BN1413" s="489">
        <f>BN23*(BN$4/BN$3)/BN$1407</f>
        <v>3.8263280061077778E-3</v>
      </c>
      <c r="BO1413" s="348"/>
      <c r="BP1413" s="489">
        <f>BP23*(BP$4/BP$3)/BP$1407</f>
        <v>3.5627189272104611E-3</v>
      </c>
      <c r="BQ1413" s="489">
        <f>BQ23*(BQ$4/BQ$3)/BQ$1407</f>
        <v>3.4128527625248229E-3</v>
      </c>
      <c r="BR1413" s="489">
        <f>BR23*(BR$4/BR$3)/BR$1407</f>
        <v>3.4854358573105241E-3</v>
      </c>
      <c r="BT1413" s="489">
        <f>BT23*(BT$4/BT$3)/BT$1407</f>
        <v>3.4498307952258592E-3</v>
      </c>
      <c r="BU1413" s="489">
        <f>BU23*(BU$4/BU$3)/BU$1407</f>
        <v>2.994357933498538E-3</v>
      </c>
      <c r="BV1413" s="489">
        <f>BV23*(BV$4/BV$3)/BV$1407</f>
        <v>3.2214431126648441E-3</v>
      </c>
      <c r="BX1413" s="489">
        <f>BX23*(BX$4/BX$3)/BX$1407</f>
        <v>2.2943224566059589E-3</v>
      </c>
      <c r="BY1413" s="489">
        <f>BY23*(BY$4/BY$3)/BY$1407</f>
        <v>2.1476463400220266E-3</v>
      </c>
      <c r="BZ1413" s="489">
        <f>BZ23*(BZ$4/BZ$3)/BZ$1407</f>
        <v>2.2204327118384342E-3</v>
      </c>
      <c r="CB1413" s="489">
        <f>CB23*(CB$4/CB$3)/CB$1407</f>
        <v>1.4008472286442719E-3</v>
      </c>
      <c r="CC1413" s="489">
        <f>CC23*(CC$4/CC$3)/CC$1407</f>
        <v>1.395446677788499E-3</v>
      </c>
      <c r="CD1413" s="489">
        <f>CD23*(CD$4/CD$3)/CD$1407</f>
        <v>1.3981544361442895E-3</v>
      </c>
      <c r="CF1413" s="489">
        <f>CF23*(CF$4/CF$3)/CF$1407</f>
        <v>4.5848909030517623E-4</v>
      </c>
      <c r="CG1413" s="489">
        <f>CG23*(CG$4/CG$3)/CG$1407</f>
        <v>3.6881838084087233E-4</v>
      </c>
      <c r="CH1413" s="489">
        <f>CH23*(CH$4/CH$3)/CH$1407</f>
        <v>4.1412706320358036E-4</v>
      </c>
      <c r="CJ1413" s="489">
        <f>CJ23*(CJ$4/CJ$3)/CJ$1407</f>
        <v>2.6295490037181533E-4</v>
      </c>
      <c r="CK1413" s="489">
        <f>CK23*(CK$4/CK$3)/CK$1407</f>
        <v>3.6407159192357904E-4</v>
      </c>
      <c r="CL1413" s="489">
        <f>CL23*(CL$4/CL$3)/CL$1407</f>
        <v>3.1407003761838888E-4</v>
      </c>
      <c r="CN1413" s="489">
        <f>CN23*(CN$4/CN$3)/CN$1407</f>
        <v>3.2897810561235014E-4</v>
      </c>
      <c r="CO1413" s="489">
        <f>CO23*(CO$4/CO$3)/CO$1407</f>
        <v>2.6775473832738695E-4</v>
      </c>
      <c r="CP1413" s="489">
        <f>CP23*(CP$4/CP$3)/CP$1407</f>
        <v>2.9798265740933879E-4</v>
      </c>
      <c r="CR1413" s="489">
        <f>CR23*(CR$4/CR$3)/CR$1407</f>
        <v>1.7277904874202747E-4</v>
      </c>
      <c r="CS1413" s="489">
        <f>CS23*(CS$4/CS$3)/CS$1407</f>
        <v>1.891416140668863E-4</v>
      </c>
      <c r="CT1413" s="489">
        <f>CT23*(CT$4/CT$3)/CT$1407</f>
        <v>1.8106180562144677E-4</v>
      </c>
      <c r="CV1413" s="489">
        <f>CV23*(CV$4/CV$3)/CV$1407</f>
        <v>4.5243703838362498E-5</v>
      </c>
      <c r="CW1413" s="489">
        <f>CW23*(CW$4/CW$3)/CW$1407</f>
        <v>8.7828911810833692E-5</v>
      </c>
      <c r="CX1413" s="489">
        <f>CX23*(CX$4/CX$3)/CX$1407</f>
        <v>6.6466618356783079E-5</v>
      </c>
      <c r="CZ1413" s="489">
        <f>CZ23*(CZ$4/CZ$3)/CZ$1407</f>
        <v>8.6657109158098922E-5</v>
      </c>
      <c r="DA1413" s="489">
        <f>DA23*(DA$4/DA$3)/DA$1407</f>
        <v>8.8600000169453548E-5</v>
      </c>
      <c r="DB1413" s="489">
        <f>DB23*(DB$4/DB$3)/DB$1407</f>
        <v>8.7626505833872772E-5</v>
      </c>
      <c r="DD1413" s="489">
        <f>DD23*(DD$4/DD$3)/DD$1407</f>
        <v>9.395352843977596E-5</v>
      </c>
      <c r="DE1413" s="489">
        <f>DE23*(DE$4/DE$3)/DE$1407</f>
        <v>9.4893738176493917E-5</v>
      </c>
      <c r="DF1413" s="489">
        <f>DF23*(DF$4/DF$3)/DF$1407</f>
        <v>9.4428998681090053E-5</v>
      </c>
      <c r="DH1413" s="489">
        <f>DH23*(DH$4/DH$3)/DH$1407</f>
        <v>9.6720362215324163E-5</v>
      </c>
      <c r="DI1413" s="489">
        <f ca="1">DI23*(DI$4/DI$3)/DI$1407</f>
        <v>9.6648043954812013E-5</v>
      </c>
      <c r="DJ1413" s="489">
        <f ca="1">DJ23*(DJ$4/DJ$3)/DJ$1407</f>
        <v>9.6669136223744787E-5</v>
      </c>
      <c r="DL1413" s="489">
        <f ca="1">DL23*(DL$4/DL$3)/DL$1407</f>
        <v>9.3958257414936938E-5</v>
      </c>
      <c r="DM1413" s="489">
        <f ca="1">DM23*(DM$4/DM$3)/DM$1407</f>
        <v>9.4564770562966609E-5</v>
      </c>
      <c r="DN1413" s="489">
        <f ca="1">DN23*(DN$4/DN$3)/DN$1407</f>
        <v>9.4251995063082607E-5</v>
      </c>
      <c r="DP1413" s="489">
        <f ca="1">DP23*(DP$4/DP$3)/DP$1407</f>
        <v>9.2628239484669395E-5</v>
      </c>
      <c r="DQ1413" s="489">
        <f ca="1">DQ23*(DQ$4/DQ$3)/DQ$1407</f>
        <v>9.3264229640169029E-5</v>
      </c>
      <c r="DR1413" s="489">
        <f ca="1">DR23*(DR$4/DR$3)/DR$1407</f>
        <v>9.294222862745107E-5</v>
      </c>
    </row>
    <row r="1414" spans="1:125" s="347" customFormat="1" x14ac:dyDescent="0.2">
      <c r="A1414" s="347" t="s">
        <v>59</v>
      </c>
      <c r="B1414" s="348"/>
      <c r="BH1414" s="489">
        <f>BH25*(BH$4/BH$3)/BH$1407</f>
        <v>2.8293882114235204E-2</v>
      </c>
      <c r="BI1414" s="489">
        <f>BI25*(BI$4/BI$3)/BI$1407</f>
        <v>2.8894904052514464E-2</v>
      </c>
      <c r="BJ1414" s="489">
        <f>BJ25*(BJ$4/BJ$3)/BJ$1407</f>
        <v>2.8594775729942044E-2</v>
      </c>
      <c r="BK1414" s="348"/>
      <c r="BL1414" s="489">
        <f>BL25*(BL$4/BL$3)/BL$1407</f>
        <v>2.8921792899543546E-2</v>
      </c>
      <c r="BM1414" s="489">
        <f>BM25*(BM$4/BM$3)/BM$1407</f>
        <v>2.8474843289207481E-2</v>
      </c>
      <c r="BN1414" s="489">
        <f>BN25*(BN$4/BN$3)/BN$1407</f>
        <v>2.8695538555346612E-2</v>
      </c>
      <c r="BO1414" s="348"/>
      <c r="BP1414" s="489">
        <f>BP25*(BP$4/BP$3)/BP$1407</f>
        <v>2.8489600261724583E-2</v>
      </c>
      <c r="BQ1414" s="489">
        <f>BQ25*(BQ$4/BQ$3)/BQ$1407</f>
        <v>2.7448690298325491E-2</v>
      </c>
      <c r="BR1414" s="489">
        <f>BR25*(BR$4/BR$3)/BR$1407</f>
        <v>2.7952247157710046E-2</v>
      </c>
      <c r="BT1414" s="489">
        <f>BT25*(BT$4/BT$3)/BT$1407</f>
        <v>2.7169878552127564E-2</v>
      </c>
      <c r="BU1414" s="489">
        <f>BU25*(BU$4/BU$3)/BU$1407</f>
        <v>2.6844691088171987E-2</v>
      </c>
      <c r="BV1414" s="489">
        <f>BV25*(BV$4/BV$3)/BV$1407</f>
        <v>2.7005776662979975E-2</v>
      </c>
      <c r="BX1414" s="489">
        <f>BX25*(BX$4/BX$3)/BX$1407</f>
        <v>2.6601290632825188E-2</v>
      </c>
      <c r="BY1414" s="489">
        <f>BY25*(BY$4/BY$3)/BY$1407</f>
        <v>2.5406329564233956E-2</v>
      </c>
      <c r="BZ1414" s="489">
        <f>BZ25*(BZ$4/BZ$3)/BZ$1407</f>
        <v>2.5999323277107741E-2</v>
      </c>
      <c r="CB1414" s="489">
        <f>CB25*(CB$4/CB$3)/CB$1407</f>
        <v>2.5829907573063256E-2</v>
      </c>
      <c r="CC1414" s="489">
        <f>CC25*(CC$4/CC$3)/CC$1407</f>
        <v>2.5222852837258097E-2</v>
      </c>
      <c r="CD1414" s="489">
        <f>CD25*(CD$4/CD$3)/CD$1407</f>
        <v>2.5527329565998524E-2</v>
      </c>
      <c r="CF1414" s="489">
        <f>CF25*(CF$4/CF$3)/CF$1407</f>
        <v>2.4324266339641871E-2</v>
      </c>
      <c r="CG1414" s="489">
        <f>CG25*(CG$4/CG$3)/CG$1407</f>
        <v>2.4012563008791402E-2</v>
      </c>
      <c r="CH1414" s="489">
        <f>CH25*(CH$4/CH$3)/CH$1407</f>
        <v>2.4170054513062429E-2</v>
      </c>
      <c r="CJ1414" s="489">
        <f>CJ25*(CJ$4/CJ$3)/CJ$1407</f>
        <v>2.4319282824387198E-2</v>
      </c>
      <c r="CK1414" s="489">
        <f>CK25*(CK$4/CK$3)/CK$1407</f>
        <v>2.3225393184777017E-2</v>
      </c>
      <c r="CL1414" s="489">
        <f>CL25*(CL$4/CL$3)/CL$1407</f>
        <v>2.3766299884874328E-2</v>
      </c>
      <c r="CN1414" s="489">
        <f>CN25*(CN$4/CN$3)/CN$1407</f>
        <v>2.3011152755727019E-2</v>
      </c>
      <c r="CO1414" s="489">
        <f>CO25*(CO$4/CO$3)/CO$1407</f>
        <v>2.3491144128794848E-2</v>
      </c>
      <c r="CP1414" s="489">
        <f>CP25*(CP$4/CP$3)/CP$1407</f>
        <v>2.321957765283867E-2</v>
      </c>
      <c r="CR1414" s="489">
        <f>CR25*(CR$4/CR$3)/CR$1407</f>
        <v>2.1345264725711497E-2</v>
      </c>
      <c r="CS1414" s="489">
        <f>CS25*(CS$4/CS$3)/CS$1407</f>
        <v>2.1634361710814211E-2</v>
      </c>
      <c r="CT1414" s="489">
        <f>CT25*(CT$4/CT$3)/CT$1407</f>
        <v>2.1491514033595671E-2</v>
      </c>
      <c r="CV1414" s="489">
        <f>CV25*(CV$4/CV$3)/CV$1407</f>
        <v>2.2012677763929012E-2</v>
      </c>
      <c r="CW1414" s="489">
        <f>CW25*(CW$4/CW$3)/CW$1407</f>
        <v>2.1976745488666388E-2</v>
      </c>
      <c r="CX1414" s="489">
        <f>CX25*(CX$4/CX$3)/CX$1407</f>
        <v>2.1994776696479378E-2</v>
      </c>
      <c r="CZ1414" s="489">
        <f>CZ25*(CZ$4/CZ$3)/CZ$1407</f>
        <v>2.1505143325434406E-2</v>
      </c>
      <c r="DA1414" s="489">
        <f>DA25*(DA$4/DA$3)/DA$1407</f>
        <v>2.13984821837832E-2</v>
      </c>
      <c r="DB1414" s="489">
        <f>DB25*(DB$4/DB$3)/DB$1407</f>
        <v>2.1451915941708637E-2</v>
      </c>
      <c r="DD1414" s="489">
        <f>DD25*(DD$4/DD$3)/DD$1407</f>
        <v>2.2074381506925363E-2</v>
      </c>
      <c r="DE1414" s="489">
        <f>DE25*(DE$4/DE$3)/DE$1407</f>
        <v>2.1990858550320395E-2</v>
      </c>
      <c r="DF1414" s="489">
        <f>DF25*(DF$4/DF$3)/DF$1407</f>
        <v>2.2032143011944495E-2</v>
      </c>
      <c r="DH1414" s="489">
        <f>DH25*(DH$4/DH$3)/DH$1407</f>
        <v>2.1684127773677373E-2</v>
      </c>
      <c r="DI1414" s="489">
        <f ca="1">DI25*(DI$4/DI$3)/DI$1407</f>
        <v>2.1527010275629747E-2</v>
      </c>
      <c r="DJ1414" s="489">
        <f ca="1">DJ25*(DJ$4/DJ$3)/DJ$1407</f>
        <v>2.1601478051322971E-2</v>
      </c>
      <c r="DL1414" s="489">
        <f ca="1">DL25*(DL$4/DL$3)/DL$1407</f>
        <v>2.1530685532082157E-2</v>
      </c>
      <c r="DM1414" s="489">
        <f ca="1">DM25*(DM$4/DM$3)/DM$1407</f>
        <v>2.1329926079797688E-2</v>
      </c>
      <c r="DN1414" s="489">
        <f ca="1">DN25*(DN$4/DN$3)/DN$1407</f>
        <v>2.1427010050469004E-2</v>
      </c>
      <c r="DP1414" s="489">
        <f ca="1">DP25*(DP$4/DP$3)/DP$1407</f>
        <v>2.126756797329989E-2</v>
      </c>
      <c r="DQ1414" s="489">
        <f ca="1">DQ25*(DQ$4/DQ$3)/DQ$1407</f>
        <v>2.1089246709864375E-2</v>
      </c>
      <c r="DR1414" s="489">
        <f ca="1">DR25*(DR$4/DR$3)/DR$1407</f>
        <v>2.1176447358882845E-2</v>
      </c>
    </row>
    <row r="1415" spans="1:125" s="347" customFormat="1" x14ac:dyDescent="0.2">
      <c r="A1415" s="347" t="s">
        <v>61</v>
      </c>
      <c r="B1415" s="348"/>
      <c r="BH1415" s="489">
        <f t="shared" ref="BH1415:BJ1418" si="1052">BH30*(BH$4/BH$3)/BH$1407</f>
        <v>-1.2283873204809861E-2</v>
      </c>
      <c r="BI1415" s="489">
        <f t="shared" si="1052"/>
        <v>-1.2463876672101521E-2</v>
      </c>
      <c r="BJ1415" s="489">
        <f t="shared" si="1052"/>
        <v>-1.2373994012140522E-2</v>
      </c>
      <c r="BK1415" s="348"/>
      <c r="BL1415" s="489">
        <f t="shared" ref="BL1415:BN1418" si="1053">BL30*(BL$4/BL$3)/BL$1407</f>
        <v>-1.2325747942745909E-2</v>
      </c>
      <c r="BM1415" s="489">
        <f t="shared" si="1053"/>
        <v>-1.201444556448566E-2</v>
      </c>
      <c r="BN1415" s="489">
        <f t="shared" si="1053"/>
        <v>-1.2168158597260724E-2</v>
      </c>
      <c r="BO1415" s="348"/>
      <c r="BP1415" s="489">
        <f t="shared" ref="BP1415:BR1418" si="1054">BP30*(BP$4/BP$3)/BP$1407</f>
        <v>-1.1942156076611326E-2</v>
      </c>
      <c r="BQ1415" s="489">
        <f t="shared" si="1054"/>
        <v>-1.1759755210897947E-2</v>
      </c>
      <c r="BR1415" s="489">
        <f t="shared" si="1054"/>
        <v>-1.1846925347654445E-2</v>
      </c>
      <c r="BT1415" s="489">
        <f t="shared" ref="BT1415:BV1418" si="1055">BT30*(BT$4/BT$3)/BT$1407</f>
        <v>-1.1397348410353029E-2</v>
      </c>
      <c r="BU1415" s="489">
        <f t="shared" si="1055"/>
        <v>-1.1376382432433718E-2</v>
      </c>
      <c r="BV1415" s="489">
        <f t="shared" si="1055"/>
        <v>-1.1386360920577569E-2</v>
      </c>
      <c r="BX1415" s="489">
        <f t="shared" ref="BX1415:BZ1418" si="1056">BX30*(BX$4/BX$3)/BX$1407</f>
        <v>-1.134518620366849E-2</v>
      </c>
      <c r="BY1415" s="489">
        <f t="shared" si="1056"/>
        <v>-1.0509584941476609E-2</v>
      </c>
      <c r="BZ1415" s="489">
        <f t="shared" si="1056"/>
        <v>-1.09242409750569E-2</v>
      </c>
      <c r="CB1415" s="489">
        <f t="shared" ref="CB1415:CD1418" si="1057">CB30*(CB$4/CB$3)/CB$1407</f>
        <v>-1.1141432185835491E-2</v>
      </c>
      <c r="CC1415" s="489">
        <f t="shared" si="1057"/>
        <v>-1.1383474445170098E-2</v>
      </c>
      <c r="CD1415" s="489">
        <f t="shared" si="1057"/>
        <v>-1.1262057161469937E-2</v>
      </c>
      <c r="CF1415" s="489">
        <f t="shared" ref="CF1415:CH1418" si="1058">CF30*(CF$4/CF$3)/CF$1407</f>
        <v>-1.0277458988876206E-2</v>
      </c>
      <c r="CG1415" s="489">
        <f t="shared" si="1058"/>
        <v>-1.1930653016189566E-2</v>
      </c>
      <c r="CH1415" s="489">
        <f t="shared" si="1058"/>
        <v>-1.1095325079493946E-2</v>
      </c>
      <c r="CJ1415" s="489">
        <f t="shared" ref="CJ1415:CL1418" si="1059">CJ30*(CJ$4/CJ$3)/CJ$1407</f>
        <v>-1.0633491625035641E-2</v>
      </c>
      <c r="CK1415" s="489">
        <f t="shared" si="1059"/>
        <v>-1.1355472098094673E-2</v>
      </c>
      <c r="CL1415" s="489">
        <f t="shared" si="1059"/>
        <v>-1.0998452654942053E-2</v>
      </c>
      <c r="CN1415" s="489">
        <f t="shared" ref="CN1415:CP1418" si="1060">CN30*(CN$4/CN$3)/CN$1407</f>
        <v>-1.0756237359524266E-2</v>
      </c>
      <c r="CO1415" s="489">
        <f t="shared" si="1060"/>
        <v>-1.1110858494045812E-2</v>
      </c>
      <c r="CP1415" s="489">
        <f t="shared" si="1060"/>
        <v>-1.0918661308105416E-2</v>
      </c>
      <c r="CR1415" s="489">
        <f t="shared" ref="CR1415:CT1418" si="1061">CR30*(CR$4/CR$3)/CR$1407</f>
        <v>-9.6791528325890896E-3</v>
      </c>
      <c r="CS1415" s="489">
        <f t="shared" si="1061"/>
        <v>-1.0210208221174279E-2</v>
      </c>
      <c r="CT1415" s="489">
        <f t="shared" si="1061"/>
        <v>-9.9479534357783343E-3</v>
      </c>
      <c r="CV1415" s="489">
        <f t="shared" ref="CV1415:CX1418" si="1062">CV30*(CV$4/CV$3)/CV$1407</f>
        <v>-9.3282822235309544E-3</v>
      </c>
      <c r="CW1415" s="489">
        <f t="shared" si="1062"/>
        <v>-9.8970171920170925E-3</v>
      </c>
      <c r="CX1415" s="489">
        <f t="shared" si="1062"/>
        <v>-9.6117214692040698E-3</v>
      </c>
      <c r="CZ1415" s="489">
        <f t="shared" ref="CZ1415:DB1418" si="1063">CZ30*(CZ$4/CZ$3)/CZ$1407</f>
        <v>-9.470834239078775E-3</v>
      </c>
      <c r="DA1415" s="489">
        <f t="shared" si="1063"/>
        <v>-9.8203607330678254E-3</v>
      </c>
      <c r="DB1415" s="489">
        <f t="shared" si="1063"/>
        <v>-9.6452310655698887E-3</v>
      </c>
      <c r="DD1415" s="489">
        <f t="shared" ref="DD1415:DF1418" si="1064">DD30*(DD$4/DD$3)/DD$1407</f>
        <v>-9.9778647203042064E-3</v>
      </c>
      <c r="DE1415" s="489">
        <f t="shared" si="1064"/>
        <v>-1.0138324543243479E-2</v>
      </c>
      <c r="DF1415" s="489">
        <f t="shared" si="1064"/>
        <v>-1.0059010384093823E-2</v>
      </c>
      <c r="DH1415" s="489">
        <f t="shared" ref="DH1415" si="1065">DH30*(DH$4/DH$3)/DH$1407</f>
        <v>-9.9463178457251267E-3</v>
      </c>
      <c r="DI1415" s="489">
        <f t="shared" ref="DI1415:DJ1418" ca="1" si="1066">DI30*(DI$4/DI$3)/DI$1407</f>
        <v>-9.6028622503473281E-3</v>
      </c>
      <c r="DJ1415" s="489">
        <f t="shared" ca="1" si="1066"/>
        <v>-9.7713401470927372E-3</v>
      </c>
      <c r="DL1415" s="489">
        <f t="shared" ref="DL1415:DN1418" ca="1" si="1067">DL30*(DL$4/DL$3)/DL$1407</f>
        <v>-9.4368270884846606E-3</v>
      </c>
      <c r="DM1415" s="489">
        <f t="shared" ca="1" si="1067"/>
        <v>-9.4064077114172709E-3</v>
      </c>
      <c r="DN1415" s="489">
        <f t="shared" ca="1" si="1067"/>
        <v>-9.4203617408448233E-3</v>
      </c>
      <c r="DP1415" s="489">
        <f t="shared" ref="DP1415:DR1418" ca="1" si="1068">DP30*(DP$4/DP$3)/DP$1407</f>
        <v>-9.310991100269143E-3</v>
      </c>
      <c r="DQ1415" s="489">
        <f t="shared" ca="1" si="1068"/>
        <v>-9.3073444879936615E-3</v>
      </c>
      <c r="DR1415" s="489">
        <f t="shared" ca="1" si="1068"/>
        <v>-9.3085483921065328E-3</v>
      </c>
    </row>
    <row r="1416" spans="1:125" s="347" customFormat="1" x14ac:dyDescent="0.2">
      <c r="A1416" s="347" t="s">
        <v>63</v>
      </c>
      <c r="B1416" s="348"/>
      <c r="BH1416" s="489">
        <f t="shared" si="1052"/>
        <v>1.6010008909425343E-2</v>
      </c>
      <c r="BI1416" s="489">
        <f t="shared" si="1052"/>
        <v>1.6431027380412945E-2</v>
      </c>
      <c r="BJ1416" s="489">
        <f t="shared" si="1052"/>
        <v>1.6220781717801523E-2</v>
      </c>
      <c r="BK1416" s="348"/>
      <c r="BL1416" s="489">
        <f t="shared" si="1053"/>
        <v>1.6596044956797635E-2</v>
      </c>
      <c r="BM1416" s="489">
        <f t="shared" si="1053"/>
        <v>1.6460397724721822E-2</v>
      </c>
      <c r="BN1416" s="489">
        <f t="shared" si="1053"/>
        <v>1.6527379958085887E-2</v>
      </c>
      <c r="BO1416" s="348"/>
      <c r="BP1416" s="489">
        <f t="shared" si="1054"/>
        <v>1.6547444185113253E-2</v>
      </c>
      <c r="BQ1416" s="489">
        <f t="shared" si="1054"/>
        <v>1.5688935087427542E-2</v>
      </c>
      <c r="BR1416" s="489">
        <f t="shared" si="1054"/>
        <v>1.6105321810055601E-2</v>
      </c>
      <c r="BT1416" s="489">
        <f t="shared" si="1055"/>
        <v>1.5772530141774536E-2</v>
      </c>
      <c r="BU1416" s="489">
        <f t="shared" si="1055"/>
        <v>1.5468308655738266E-2</v>
      </c>
      <c r="BV1416" s="489">
        <f t="shared" si="1055"/>
        <v>1.5619415742402408E-2</v>
      </c>
      <c r="BX1416" s="489">
        <f t="shared" si="1056"/>
        <v>1.5256104429156696E-2</v>
      </c>
      <c r="BY1416" s="489">
        <f t="shared" si="1056"/>
        <v>1.4896744622757346E-2</v>
      </c>
      <c r="BZ1416" s="489">
        <f t="shared" si="1056"/>
        <v>1.5075082302050841E-2</v>
      </c>
      <c r="CB1416" s="489">
        <f t="shared" si="1057"/>
        <v>1.4688475387227763E-2</v>
      </c>
      <c r="CC1416" s="489">
        <f t="shared" si="1057"/>
        <v>1.3839378392088E-2</v>
      </c>
      <c r="CD1416" s="489">
        <f t="shared" si="1057"/>
        <v>1.4265272404528587E-2</v>
      </c>
      <c r="CF1416" s="489">
        <f t="shared" si="1058"/>
        <v>1.4046807350765664E-2</v>
      </c>
      <c r="CG1416" s="489">
        <f t="shared" si="1058"/>
        <v>1.2081909992601834E-2</v>
      </c>
      <c r="CH1416" s="489">
        <f t="shared" si="1058"/>
        <v>1.3074729433568483E-2</v>
      </c>
      <c r="CJ1416" s="489">
        <f t="shared" si="1059"/>
        <v>1.3685791199351559E-2</v>
      </c>
      <c r="CK1416" s="489">
        <f t="shared" si="1059"/>
        <v>1.186992108668234E-2</v>
      </c>
      <c r="CL1416" s="489">
        <f t="shared" si="1059"/>
        <v>1.2767847229932275E-2</v>
      </c>
      <c r="CN1416" s="489">
        <f t="shared" si="1060"/>
        <v>1.2254915396202751E-2</v>
      </c>
      <c r="CO1416" s="489">
        <f t="shared" si="1060"/>
        <v>1.2380285634749036E-2</v>
      </c>
      <c r="CP1416" s="489">
        <f t="shared" si="1060"/>
        <v>1.2300916344733253E-2</v>
      </c>
      <c r="CR1416" s="489">
        <f t="shared" si="1061"/>
        <v>1.1666111893122406E-2</v>
      </c>
      <c r="CS1416" s="489">
        <f t="shared" si="1061"/>
        <v>1.1424153489639932E-2</v>
      </c>
      <c r="CT1416" s="489">
        <f t="shared" si="1061"/>
        <v>1.1543560597817335E-2</v>
      </c>
      <c r="CV1416" s="489">
        <f t="shared" si="1062"/>
        <v>1.2684395540398059E-2</v>
      </c>
      <c r="CW1416" s="489">
        <f t="shared" si="1062"/>
        <v>1.2079728296649293E-2</v>
      </c>
      <c r="CX1416" s="489">
        <f t="shared" si="1062"/>
        <v>1.2383055227275307E-2</v>
      </c>
      <c r="CZ1416" s="489">
        <f t="shared" si="1063"/>
        <v>1.2034309086355629E-2</v>
      </c>
      <c r="DA1416" s="489">
        <f t="shared" si="1063"/>
        <v>1.1578121450715377E-2</v>
      </c>
      <c r="DB1416" s="489">
        <f t="shared" si="1063"/>
        <v>1.180668487613875E-2</v>
      </c>
      <c r="DD1416" s="489">
        <f t="shared" si="1064"/>
        <v>1.2096516786621155E-2</v>
      </c>
      <c r="DE1416" s="489">
        <f t="shared" si="1064"/>
        <v>1.1852534007076917E-2</v>
      </c>
      <c r="DF1416" s="489">
        <f t="shared" si="1064"/>
        <v>1.1973132627850672E-2</v>
      </c>
      <c r="DH1416" s="489">
        <f t="shared" ref="DH1416" si="1069">DH31*(DH$4/DH$3)/DH$1407</f>
        <v>1.173780992795225E-2</v>
      </c>
      <c r="DI1416" s="489">
        <f t="shared" ca="1" si="1066"/>
        <v>1.1924148025282421E-2</v>
      </c>
      <c r="DJ1416" s="489">
        <f t="shared" ca="1" si="1066"/>
        <v>1.1830137904230235E-2</v>
      </c>
      <c r="DL1416" s="489">
        <f t="shared" ca="1" si="1067"/>
        <v>1.2093858443597496E-2</v>
      </c>
      <c r="DM1416" s="489">
        <f t="shared" ca="1" si="1067"/>
        <v>1.1923518368380417E-2</v>
      </c>
      <c r="DN1416" s="489">
        <f t="shared" ca="1" si="1067"/>
        <v>1.200664830962418E-2</v>
      </c>
      <c r="DP1416" s="489">
        <f t="shared" ca="1" si="1068"/>
        <v>1.1956576873030745E-2</v>
      </c>
      <c r="DQ1416" s="489">
        <f t="shared" ca="1" si="1068"/>
        <v>1.1781902221870711E-2</v>
      </c>
      <c r="DR1416" s="489">
        <f t="shared" ca="1" si="1068"/>
        <v>1.1867898966776312E-2</v>
      </c>
    </row>
    <row r="1417" spans="1:125" s="347" customFormat="1" x14ac:dyDescent="0.2">
      <c r="A1417" s="347" t="s">
        <v>918</v>
      </c>
      <c r="B1417" s="348"/>
      <c r="BH1417" s="489">
        <f t="shared" si="1052"/>
        <v>-1.6939480398842342E-3</v>
      </c>
      <c r="BI1417" s="489">
        <f t="shared" si="1052"/>
        <v>-1.2784870194143317E-3</v>
      </c>
      <c r="BJ1417" s="489">
        <f t="shared" si="1052"/>
        <v>-1.4859779712692615E-3</v>
      </c>
      <c r="BK1417" s="348"/>
      <c r="BL1417" s="489">
        <f t="shared" si="1053"/>
        <v>-1.1856170932087729E-3</v>
      </c>
      <c r="BM1417" s="489">
        <f t="shared" si="1053"/>
        <v>-1.2550895113700266E-3</v>
      </c>
      <c r="BN1417" s="489">
        <f t="shared" si="1053"/>
        <v>-1.2207869400136298E-3</v>
      </c>
      <c r="BO1417" s="348"/>
      <c r="BP1417" s="489">
        <f t="shared" si="1054"/>
        <v>-1.0693017244015027E-3</v>
      </c>
      <c r="BQ1417" s="489">
        <f t="shared" si="1054"/>
        <v>-1.2688217868816844E-3</v>
      </c>
      <c r="BR1417" s="489">
        <f t="shared" si="1054"/>
        <v>-1.1712961316404074E-3</v>
      </c>
      <c r="BT1417" s="489">
        <f t="shared" si="1055"/>
        <v>-1.2338012482608653E-3</v>
      </c>
      <c r="BU1417" s="489">
        <f t="shared" si="1055"/>
        <v>-1.506978683622537E-3</v>
      </c>
      <c r="BV1417" s="489">
        <f t="shared" si="1055"/>
        <v>-1.3706411075565866E-3</v>
      </c>
      <c r="BX1417" s="489">
        <f t="shared" si="1056"/>
        <v>-1.241462648154444E-3</v>
      </c>
      <c r="BY1417" s="489">
        <f t="shared" si="1056"/>
        <v>-1.0125785025198908E-3</v>
      </c>
      <c r="BZ1417" s="489">
        <f t="shared" si="1056"/>
        <v>-1.1261573966943423E-3</v>
      </c>
      <c r="CB1417" s="489">
        <f t="shared" si="1057"/>
        <v>-1.2170626068104752E-3</v>
      </c>
      <c r="CC1417" s="489">
        <f t="shared" si="1057"/>
        <v>-9.9263732749903548E-4</v>
      </c>
      <c r="CD1417" s="489">
        <f t="shared" si="1057"/>
        <v>-1.1052077923807242E-3</v>
      </c>
      <c r="CF1417" s="489">
        <f t="shared" si="1058"/>
        <v>-1.1705672792304718E-3</v>
      </c>
      <c r="CG1417" s="489">
        <f t="shared" si="1058"/>
        <v>-1.2929363463185636E-3</v>
      </c>
      <c r="CH1417" s="489">
        <f t="shared" si="1058"/>
        <v>-1.2311054527413367E-3</v>
      </c>
      <c r="CJ1417" s="489">
        <f t="shared" si="1059"/>
        <v>-1.3127517718562166E-3</v>
      </c>
      <c r="CK1417" s="489">
        <f t="shared" si="1059"/>
        <v>-3.6980967679628761E-3</v>
      </c>
      <c r="CL1417" s="489">
        <f t="shared" si="1059"/>
        <v>-2.5185616392455518E-3</v>
      </c>
      <c r="CN1417" s="489">
        <f t="shared" si="1060"/>
        <v>-1.6968344394742269E-3</v>
      </c>
      <c r="CO1417" s="489">
        <f t="shared" si="1060"/>
        <v>6.3182413072937352E-4</v>
      </c>
      <c r="CP1417" s="489">
        <f t="shared" si="1060"/>
        <v>-5.3252384582185063E-4</v>
      </c>
      <c r="CR1417" s="489">
        <f t="shared" si="1061"/>
        <v>1.3222886383318429E-4</v>
      </c>
      <c r="CS1417" s="489">
        <f t="shared" si="1061"/>
        <v>4.8489031969874483E-4</v>
      </c>
      <c r="CT1417" s="489">
        <f t="shared" si="1061"/>
        <v>3.1076473368681009E-4</v>
      </c>
      <c r="CV1417" s="489">
        <f t="shared" si="1062"/>
        <v>-8.2569759505011575E-4</v>
      </c>
      <c r="CW1417" s="489">
        <f t="shared" si="1062"/>
        <v>-9.7099741390866139E-4</v>
      </c>
      <c r="CX1417" s="489">
        <f t="shared" si="1062"/>
        <v>-8.9810991633311769E-4</v>
      </c>
      <c r="CZ1417" s="489">
        <f t="shared" si="1063"/>
        <v>-6.5386727819292836E-4</v>
      </c>
      <c r="DA1417" s="489">
        <f t="shared" si="1063"/>
        <v>-6.1228928688533072E-4</v>
      </c>
      <c r="DB1417" s="489">
        <f t="shared" si="1063"/>
        <v>-6.3312124034924295E-4</v>
      </c>
      <c r="DD1417" s="489">
        <f t="shared" si="1064"/>
        <v>-5.0108548501213849E-4</v>
      </c>
      <c r="DE1417" s="489">
        <f t="shared" si="1064"/>
        <v>-6.214009306396215E-4</v>
      </c>
      <c r="DF1417" s="489">
        <f t="shared" si="1064"/>
        <v>-5.6192994297107684E-4</v>
      </c>
      <c r="DH1417" s="489">
        <f t="shared" ref="DH1417" si="1070">DH32*(DH$4/DH$3)/DH$1407</f>
        <v>-4.6050441114460304E-4</v>
      </c>
      <c r="DI1417" s="489">
        <f t="shared" ca="1" si="1066"/>
        <v>-6.0904443370497828E-4</v>
      </c>
      <c r="DJ1417" s="489">
        <f t="shared" ca="1" si="1066"/>
        <v>-5.3545614433963271E-4</v>
      </c>
      <c r="DL1417" s="489">
        <f t="shared" ca="1" si="1067"/>
        <v>-6.8334324002273877E-4</v>
      </c>
      <c r="DM1417" s="489">
        <f t="shared" ca="1" si="1067"/>
        <v>-7.5989994262402037E-4</v>
      </c>
      <c r="DN1417" s="489">
        <f t="shared" ca="1" si="1067"/>
        <v>-7.2178902519511262E-4</v>
      </c>
      <c r="DP1417" s="489">
        <f t="shared" ca="1" si="1068"/>
        <v>-7.5711675978926379E-4</v>
      </c>
      <c r="DQ1417" s="489">
        <f t="shared" ca="1" si="1068"/>
        <v>-7.5781457442331858E-4</v>
      </c>
      <c r="DR1417" s="489">
        <f t="shared" ca="1" si="1068"/>
        <v>-7.5741848981745812E-4</v>
      </c>
    </row>
    <row r="1418" spans="1:125" s="347" customFormat="1" x14ac:dyDescent="0.2">
      <c r="A1418" s="347" t="s">
        <v>919</v>
      </c>
      <c r="B1418" s="348"/>
      <c r="BH1418" s="489">
        <f t="shared" si="1052"/>
        <v>1.4316060869541109E-2</v>
      </c>
      <c r="BI1418" s="489">
        <f t="shared" si="1052"/>
        <v>1.5152540360998614E-2</v>
      </c>
      <c r="BJ1418" s="489">
        <f t="shared" si="1052"/>
        <v>1.4734803746532261E-2</v>
      </c>
      <c r="BK1418" s="348"/>
      <c r="BL1418" s="489">
        <f t="shared" si="1053"/>
        <v>1.5410427863588863E-2</v>
      </c>
      <c r="BM1418" s="489">
        <f t="shared" si="1053"/>
        <v>1.5205308213351795E-2</v>
      </c>
      <c r="BN1418" s="489">
        <f t="shared" si="1053"/>
        <v>1.5306593018072258E-2</v>
      </c>
      <c r="BO1418" s="348"/>
      <c r="BP1418" s="489">
        <f t="shared" si="1054"/>
        <v>1.547814246071175E-2</v>
      </c>
      <c r="BQ1418" s="489">
        <f t="shared" si="1054"/>
        <v>1.4420113300545859E-2</v>
      </c>
      <c r="BR1418" s="489">
        <f t="shared" si="1054"/>
        <v>1.4934025678415194E-2</v>
      </c>
      <c r="BT1418" s="489">
        <f t="shared" si="1055"/>
        <v>1.4538728893513672E-2</v>
      </c>
      <c r="BU1418" s="489">
        <f t="shared" si="1055"/>
        <v>1.3961329972115728E-2</v>
      </c>
      <c r="BV1418" s="489">
        <f t="shared" si="1055"/>
        <v>1.4248774634845822E-2</v>
      </c>
      <c r="BX1418" s="489">
        <f t="shared" si="1056"/>
        <v>1.4014641781002252E-2</v>
      </c>
      <c r="BY1418" s="489">
        <f t="shared" si="1056"/>
        <v>1.3884166120237455E-2</v>
      </c>
      <c r="BZ1418" s="489">
        <f t="shared" si="1056"/>
        <v>1.3948924905356498E-2</v>
      </c>
      <c r="CB1418" s="489">
        <f t="shared" si="1057"/>
        <v>1.3471412780417288E-2</v>
      </c>
      <c r="CC1418" s="489">
        <f t="shared" si="1057"/>
        <v>1.2846741064588964E-2</v>
      </c>
      <c r="CD1418" s="489">
        <f t="shared" si="1057"/>
        <v>1.3160064612147863E-2</v>
      </c>
      <c r="CF1418" s="489">
        <f t="shared" si="1058"/>
        <v>1.2876240071535192E-2</v>
      </c>
      <c r="CG1418" s="489">
        <f t="shared" si="1058"/>
        <v>1.0788973646283272E-2</v>
      </c>
      <c r="CH1418" s="489">
        <f t="shared" si="1058"/>
        <v>1.1843623980827146E-2</v>
      </c>
      <c r="CJ1418" s="489">
        <f t="shared" si="1059"/>
        <v>1.2373039427495344E-2</v>
      </c>
      <c r="CK1418" s="489">
        <f t="shared" si="1059"/>
        <v>8.1718243187194652E-3</v>
      </c>
      <c r="CL1418" s="489">
        <f t="shared" si="1059"/>
        <v>1.0249285590686724E-2</v>
      </c>
      <c r="CN1418" s="489">
        <f t="shared" si="1060"/>
        <v>1.0558080956728525E-2</v>
      </c>
      <c r="CO1418" s="489">
        <f t="shared" si="1060"/>
        <v>1.3012109765478409E-2</v>
      </c>
      <c r="CP1418" s="489">
        <f t="shared" si="1060"/>
        <v>1.1768392498911403E-2</v>
      </c>
      <c r="CR1418" s="489">
        <f t="shared" si="1061"/>
        <v>1.1798340756955591E-2</v>
      </c>
      <c r="CS1418" s="489">
        <f t="shared" si="1061"/>
        <v>1.1909043809338677E-2</v>
      </c>
      <c r="CT1418" s="489">
        <f t="shared" si="1061"/>
        <v>1.1854325331504144E-2</v>
      </c>
      <c r="CV1418" s="489">
        <f t="shared" si="1062"/>
        <v>1.1858697945347944E-2</v>
      </c>
      <c r="CW1418" s="489">
        <f t="shared" si="1062"/>
        <v>1.1108730882740631E-2</v>
      </c>
      <c r="CX1418" s="489">
        <f t="shared" si="1062"/>
        <v>1.1484945310942189E-2</v>
      </c>
      <c r="CZ1418" s="489">
        <f t="shared" si="1063"/>
        <v>1.1380441808162702E-2</v>
      </c>
      <c r="DA1418" s="489">
        <f t="shared" si="1063"/>
        <v>1.0965832163830045E-2</v>
      </c>
      <c r="DB1418" s="489">
        <f t="shared" si="1063"/>
        <v>1.1173563635789507E-2</v>
      </c>
      <c r="DD1418" s="489">
        <f t="shared" si="1064"/>
        <v>1.1595431301609017E-2</v>
      </c>
      <c r="DE1418" s="489">
        <f t="shared" si="1064"/>
        <v>1.1231133076437297E-2</v>
      </c>
      <c r="DF1418" s="489">
        <f t="shared" si="1064"/>
        <v>1.1411202684879595E-2</v>
      </c>
      <c r="DH1418" s="489">
        <f t="shared" ref="DH1418" si="1071">DH33*(DH$4/DH$3)/DH$1407</f>
        <v>1.1277305516807647E-2</v>
      </c>
      <c r="DI1418" s="489">
        <f t="shared" ca="1" si="1066"/>
        <v>1.1315103591577443E-2</v>
      </c>
      <c r="DJ1418" s="489">
        <f t="shared" ca="1" si="1066"/>
        <v>1.1294681759890603E-2</v>
      </c>
      <c r="DL1418" s="489">
        <f t="shared" ca="1" si="1067"/>
        <v>1.1410515203574757E-2</v>
      </c>
      <c r="DM1418" s="489">
        <f t="shared" ca="1" si="1067"/>
        <v>1.1163618425756397E-2</v>
      </c>
      <c r="DN1418" s="489">
        <f t="shared" ca="1" si="1067"/>
        <v>1.1284859284429068E-2</v>
      </c>
      <c r="DP1418" s="489">
        <f t="shared" ca="1" si="1068"/>
        <v>1.1199460113241484E-2</v>
      </c>
      <c r="DQ1418" s="489">
        <f t="shared" ca="1" si="1068"/>
        <v>1.1024087647447393E-2</v>
      </c>
      <c r="DR1418" s="489">
        <f t="shared" ca="1" si="1068"/>
        <v>1.1110480476958855E-2</v>
      </c>
    </row>
    <row r="1419" spans="1:125" s="347" customFormat="1" x14ac:dyDescent="0.2">
      <c r="A1419" s="347" t="s">
        <v>920</v>
      </c>
      <c r="B1419" s="348"/>
      <c r="BH1419" s="489">
        <f>(BH34+BH35)*(BH$4/BH$3)/BH$1407</f>
        <v>-4.0038771851809169E-3</v>
      </c>
      <c r="BI1419" s="489">
        <f>(BI34+BI35)*(BI$4/BI$3)/BI$1407</f>
        <v>-4.1509675115319394E-3</v>
      </c>
      <c r="BJ1419" s="489">
        <f>(BJ34+BJ35)*(BJ$4/BJ$3)/BJ$1407</f>
        <v>-4.0775125662647297E-3</v>
      </c>
      <c r="BK1419" s="348"/>
      <c r="BL1419" s="489">
        <f>(BL34+BL35)*(BL$4/BL$3)/BL$1407</f>
        <v>-4.3377500653064942E-3</v>
      </c>
      <c r="BM1419" s="489">
        <f>(BM34+BM35)*(BM$4/BM$3)/BM$1407</f>
        <v>-4.0410845759232513E-3</v>
      </c>
      <c r="BN1419" s="489">
        <f>(BN34+BN35)*(BN$4/BN$3)/BN$1407</f>
        <v>-4.1875682129113908E-3</v>
      </c>
      <c r="BO1419" s="348"/>
      <c r="BP1419" s="489">
        <f>(BP34+BP35)*(BP$4/BP$3)/BP$1407</f>
        <v>-4.2529045856877952E-3</v>
      </c>
      <c r="BQ1419" s="489">
        <f>(BQ34+BQ35)*(BQ$4/BQ$3)/BQ$1407</f>
        <v>-3.959279663444672E-3</v>
      </c>
      <c r="BR1419" s="489">
        <f>(BR34+BR35)*(BR$4/BR$3)/BR$1407</f>
        <v>-4.1019075055423173E-3</v>
      </c>
      <c r="BT1419" s="489">
        <f>(BT34+BT35)*(BT$4/BT$3)/BT$1407</f>
        <v>-4.0207920111763659E-3</v>
      </c>
      <c r="BU1419" s="489">
        <f>(BU34+BU35)*(BU$4/BU$3)/BU$1407</f>
        <v>-3.863266162928296E-3</v>
      </c>
      <c r="BV1419" s="489">
        <f>(BV34+BV35)*(BV$4/BV$3)/BV$1407</f>
        <v>-3.9416844589923493E-3</v>
      </c>
      <c r="BX1419" s="489">
        <f>(BX34+BX35)*(BX$4/BX$3)/BX$1407</f>
        <v>-4.0083284833567524E-3</v>
      </c>
      <c r="BY1419" s="489">
        <f>(BY34+BY35)*(BY$4/BY$3)/BY$1407</f>
        <v>-3.9461980753446556E-3</v>
      </c>
      <c r="BZ1419" s="489">
        <f>(BZ34+BZ35)*(BZ$4/BZ$3)/BZ$1407</f>
        <v>-3.9770325598328963E-3</v>
      </c>
      <c r="CB1419" s="489">
        <f>(CB34+CB35)*(CB$4/CB$3)/CB$1407</f>
        <v>-4.0820606560639933E-3</v>
      </c>
      <c r="CC1419" s="489">
        <f>(CC34+CC35)*(CC$4/CC$3)/CC$1407</f>
        <v>-3.974659609488891E-3</v>
      </c>
      <c r="CD1419" s="489">
        <f>(CD34+CD35)*(CD$4/CD$3)/CD$1407</f>
        <v>-4.0285284962311291E-3</v>
      </c>
      <c r="CF1419" s="489">
        <f>(CF34+CF35)*(CF$4/CF$3)/CF$1407</f>
        <v>-3.6455968817628395E-3</v>
      </c>
      <c r="CG1419" s="489">
        <f>(CG34+CG35)*(CG$4/CG$3)/CG$1407</f>
        <v>-3.1826125447841566E-3</v>
      </c>
      <c r="CH1419" s="489">
        <f>(CH34+CH35)*(CH$4/CH$3)/CH$1407</f>
        <v>-3.4165482714295379E-3</v>
      </c>
      <c r="CJ1419" s="489">
        <f>(CJ34+CJ35)*(CJ$4/CJ$3)/CJ$1407</f>
        <v>-3.6348458151396318E-3</v>
      </c>
      <c r="CK1419" s="489">
        <f>(CK34+CK35)*(CK$4/CK$3)/CK$1407</f>
        <v>-2.4238461962303496E-3</v>
      </c>
      <c r="CL1419" s="489">
        <f>(CL34+CL35)*(CL$4/CL$3)/CL$1407</f>
        <v>-3.022674056314558E-3</v>
      </c>
      <c r="CN1419" s="489">
        <f>(CN34+CN35)*(CN$4/CN$3)/CN$1407</f>
        <v>-3.1166346847485804E-3</v>
      </c>
      <c r="CO1419" s="489">
        <f>(CO34+CO35)*(CO$4/CO$3)/CO$1407</f>
        <v>-3.7947973705392251E-3</v>
      </c>
      <c r="CP1419" s="489">
        <f>(CP34+CP35)*(CP$4/CP$3)/CP$1407</f>
        <v>-3.450831419675891E-3</v>
      </c>
      <c r="CR1419" s="489">
        <f>(CR34+CR35)*(CR$4/CR$3)/CR$1407</f>
        <v>-3.4308982535916888E-3</v>
      </c>
      <c r="CS1419" s="489">
        <f>(CS34+CS35)*(CS$4/CS$3)/CS$1407</f>
        <v>-3.5713375674265714E-3</v>
      </c>
      <c r="CT1419" s="489">
        <f>(CT34+CT35)*(CT$4/CT$3)/CT$1407</f>
        <v>-3.5019790577648095E-3</v>
      </c>
      <c r="CV1419" s="489">
        <f>(CV34+CV35)*(CV$4/CV$3)/CV$1407</f>
        <v>-3.48861273525088E-3</v>
      </c>
      <c r="CW1419" s="489">
        <f>(CW34+CW35)*(CW$4/CW$3)/CW$1407</f>
        <v>-3.1520820572110315E-3</v>
      </c>
      <c r="CX1419" s="489">
        <f>(CX34+CX35)*(CX$4/CX$3)/CX$1407</f>
        <v>-3.3208992122895158E-3</v>
      </c>
      <c r="CZ1419" s="489">
        <f>(CZ34+CZ35)*(CZ$4/CZ$3)/CZ$1407</f>
        <v>-3.4725867015354549E-3</v>
      </c>
      <c r="DA1419" s="489">
        <f>(DA34+DA35)*(DA$4/DA$3)/DA$1407</f>
        <v>-3.344650006396872E-3</v>
      </c>
      <c r="DB1419" s="489">
        <f>(DB34+DB35)*(DB$4/DB$3)/DB$1407</f>
        <v>-3.4087500197356995E-3</v>
      </c>
      <c r="DD1419" s="489">
        <f>(DD34+DD35)*(DD$4/DD$3)/DD$1407</f>
        <v>-3.5592728357268458E-3</v>
      </c>
      <c r="DE1419" s="489">
        <f>(DE34+DE35)*(DE$4/DE$3)/DE$1407</f>
        <v>-3.3947469560558631E-3</v>
      </c>
      <c r="DF1419" s="489">
        <f>(DF34+DF35)*(DF$4/DF$3)/DF$1407</f>
        <v>-3.4760707629243885E-3</v>
      </c>
      <c r="DH1419" s="489">
        <f>(DH34+DH35)*(DH$4/DH$3)/DH$1407</f>
        <v>-3.4169716024428694E-3</v>
      </c>
      <c r="DI1419" s="489">
        <f ca="1">(DI34+DI35)*(DI$4/DI$3)/DI$1407</f>
        <v>-3.3605857666985004E-3</v>
      </c>
      <c r="DJ1419" s="489">
        <f ca="1">(DJ34+DJ35)*(DJ$4/DJ$3)/DJ$1407</f>
        <v>-3.3879739751078966E-3</v>
      </c>
      <c r="DL1419" s="489">
        <f ca="1">(DL34+DL35)*(DL$4/DL$3)/DL$1407</f>
        <v>-3.4231545610724271E-3</v>
      </c>
      <c r="DM1419" s="489">
        <f ca="1">(DM34+DM35)*(DM$4/DM$3)/DM$1407</f>
        <v>-3.3490855277269185E-3</v>
      </c>
      <c r="DN1419" s="489">
        <f ca="1">(DN34+DN35)*(DN$4/DN$3)/DN$1407</f>
        <v>-3.3854577853287202E-3</v>
      </c>
      <c r="DP1419" s="489">
        <f ca="1">(DP34+DP35)*(DP$4/DP$3)/DP$1407</f>
        <v>-3.3598380339724446E-3</v>
      </c>
      <c r="DQ1419" s="489">
        <f ca="1">(DQ34+DQ35)*(DQ$4/DQ$3)/DQ$1407</f>
        <v>-3.3072262942342176E-3</v>
      </c>
      <c r="DR1419" s="489">
        <f ca="1">(DR34+DR35)*(DR$4/DR$3)/DR$1407</f>
        <v>-3.333144143087656E-3</v>
      </c>
    </row>
    <row r="1420" spans="1:125" s="411" customFormat="1" x14ac:dyDescent="0.2">
      <c r="A1420" s="411" t="s">
        <v>65</v>
      </c>
      <c r="B1420" s="423"/>
      <c r="BH1420" s="490">
        <f>(BH36)*(BH$4/BH$3)/BH$1407</f>
        <v>1.0312183684360191E-2</v>
      </c>
      <c r="BI1420" s="490">
        <f>(BI36)*(BI$4/BI$3)/BI$1407</f>
        <v>1.1001572849466673E-2</v>
      </c>
      <c r="BJ1420" s="490">
        <f>(BJ36)*(BJ$4/BJ$3)/BJ$1407</f>
        <v>1.0657291180267531E-2</v>
      </c>
      <c r="BK1420" s="423"/>
      <c r="BL1420" s="490">
        <f>(BL36)*(BL$4/BL$3)/BL$1407</f>
        <v>1.107267779828237E-2</v>
      </c>
      <c r="BM1420" s="490">
        <f>(BM36)*(BM$4/BM$3)/BM$1407</f>
        <v>1.1164223637428545E-2</v>
      </c>
      <c r="BN1420" s="490">
        <f>(BN36)*(BN$4/BN$3)/BN$1407</f>
        <v>1.1119024805160867E-2</v>
      </c>
      <c r="BO1420" s="423"/>
      <c r="BP1420" s="490">
        <f>(BP36)*(BP$4/BP$3)/BP$1407</f>
        <v>1.1225237875023955E-2</v>
      </c>
      <c r="BQ1420" s="490">
        <f>(BQ36)*(BQ$4/BQ$3)/BQ$1407</f>
        <v>1.0460833637101185E-2</v>
      </c>
      <c r="BR1420" s="490">
        <f>(BR36)*(BR$4/BR$3)/BR$1407</f>
        <v>1.0832118172872876E-2</v>
      </c>
      <c r="BT1420" s="490">
        <f>(BT36)*(BT$4/BT$3)/BT$1407</f>
        <v>1.0517936882337304E-2</v>
      </c>
      <c r="BU1420" s="490">
        <f>(BU36)*(BU$4/BU$3)/BU$1407</f>
        <v>1.0098063809187435E-2</v>
      </c>
      <c r="BV1420" s="490">
        <f>(BV36)*(BV$4/BV$3)/BV$1407</f>
        <v>1.0307090175853472E-2</v>
      </c>
      <c r="BX1420" s="490">
        <f>(BX36)*(BX$4/BX$3)/BX$1407</f>
        <v>1.0006313297645501E-2</v>
      </c>
      <c r="BY1420" s="490">
        <f>(BY36)*(BY$4/BY$3)/BY$1407</f>
        <v>9.9379680448928014E-3</v>
      </c>
      <c r="BZ1420" s="490">
        <f>(BZ36)*(BZ$4/BZ$3)/BZ$1407</f>
        <v>9.9718923455236023E-3</v>
      </c>
      <c r="CB1420" s="490">
        <f>(CB36)*(CB$4/CB$3)/CB$1407</f>
        <v>9.3893521243532969E-3</v>
      </c>
      <c r="CC1420" s="490">
        <f>(CC36)*(CC$4/CC$3)/CC$1407</f>
        <v>8.8720814551000744E-3</v>
      </c>
      <c r="CD1420" s="490">
        <f>(CD36)*(CD$4/CD$3)/CD$1407</f>
        <v>9.1315361159167337E-3</v>
      </c>
      <c r="CF1420" s="490">
        <f>(CF36)*(CF$4/CF$3)/CF$1407</f>
        <v>9.2306431897723525E-3</v>
      </c>
      <c r="CG1420" s="490">
        <f>(CG36)*(CG$4/CG$3)/CG$1407</f>
        <v>7.6063611014991137E-3</v>
      </c>
      <c r="CH1420" s="490">
        <f>(CH36)*(CH$4/CH$3)/CH$1407</f>
        <v>8.4270757093976092E-3</v>
      </c>
      <c r="CJ1420" s="490">
        <f>(CJ36)*(CJ$4/CJ$3)/CJ$1407</f>
        <v>8.7381936123557113E-3</v>
      </c>
      <c r="CK1420" s="490">
        <f>(CK36)*(CK$4/CK$3)/CK$1407</f>
        <v>5.7479781224891151E-3</v>
      </c>
      <c r="CL1420" s="490">
        <f>(CL36)*(CL$4/CL$3)/CL$1407</f>
        <v>7.2266115343721654E-3</v>
      </c>
      <c r="CM1420" s="347"/>
      <c r="CN1420" s="490">
        <f>(CN36)*(CN$4/CN$3)/CN$1407</f>
        <v>7.4414462719799438E-3</v>
      </c>
      <c r="CO1420" s="490">
        <f>(CO36)*(CO$4/CO$3)/CO$1407</f>
        <v>9.2173123949391839E-3</v>
      </c>
      <c r="CP1420" s="490">
        <f>(CP36)*(CP$4/CP$3)/CP$1407</f>
        <v>8.3175610792355116E-3</v>
      </c>
      <c r="CQ1420" s="347"/>
      <c r="CR1420" s="490">
        <f>(CR36)*(CR$4/CR$3)/CR$1407</f>
        <v>8.3674425033639036E-3</v>
      </c>
      <c r="CS1420" s="490">
        <f>(CS36)*(CS$4/CS$3)/CS$1407</f>
        <v>8.3377062419121052E-3</v>
      </c>
      <c r="CT1420" s="490">
        <f>(CT36)*(CT$4/CT$3)/CT$1407</f>
        <v>8.3523462737393351E-3</v>
      </c>
      <c r="CV1420" s="490">
        <f>(CV36)*(CV$4/CV$3)/CV$1407</f>
        <v>8.3700852100970641E-3</v>
      </c>
      <c r="CW1420" s="490">
        <f>(CW36)*(CW$4/CW$3)/CW$1407</f>
        <v>7.9566488255295997E-3</v>
      </c>
      <c r="CX1420" s="490">
        <f>(CX36)*(CX$4/CX$3)/CX$1407</f>
        <v>8.1640460986526723E-3</v>
      </c>
      <c r="CZ1420" s="490">
        <f>(CZ36)*(CZ$4/CZ$3)/CZ$1407</f>
        <v>7.9078551066272453E-3</v>
      </c>
      <c r="DA1420" s="490">
        <f>(DA36)*(DA$4/DA$3)/DA$1407</f>
        <v>7.6211821574331739E-3</v>
      </c>
      <c r="DB1420" s="490">
        <f>(DB36)*(DB$4/DB$3)/DB$1407</f>
        <v>7.7648136160538075E-3</v>
      </c>
      <c r="DD1420" s="490">
        <f>(DD36)*(DD$4/DD$3)/DD$1407</f>
        <v>8.0361584658821712E-3</v>
      </c>
      <c r="DE1420" s="490">
        <f>(DE36)*(DE$4/DE$3)/DE$1407</f>
        <v>7.836386120381433E-3</v>
      </c>
      <c r="DF1420" s="490">
        <f>(DF36)*(DF$4/DF$3)/DF$1407</f>
        <v>7.9351319219552064E-3</v>
      </c>
      <c r="DH1420" s="490">
        <f>(DH36)*(DH$4/DH$3)/DH$1407</f>
        <v>7.8603339143647755E-3</v>
      </c>
      <c r="DI1420" s="490">
        <f ca="1">(DI36)*(DI$4/DI$3)/DI$1407</f>
        <v>7.9545178248789442E-3</v>
      </c>
      <c r="DJ1420" s="490">
        <f ca="1">(DJ36)*(DJ$4/DJ$3)/DJ$1407</f>
        <v>7.9067077847827048E-3</v>
      </c>
      <c r="DL1420" s="490">
        <f ca="1">(DL36)*(DL$4/DL$3)/DL$1407</f>
        <v>7.9873606425023298E-3</v>
      </c>
      <c r="DM1420" s="490">
        <f ca="1">(DM36)*(DM$4/DM$3)/DM$1407</f>
        <v>7.8145328980294779E-3</v>
      </c>
      <c r="DN1420" s="490">
        <f ca="1">(DN36)*(DN$4/DN$3)/DN$1407</f>
        <v>7.8994014991003482E-3</v>
      </c>
      <c r="DP1420" s="490">
        <f ca="1">(DP36)*(DP$4/DP$3)/DP$1407</f>
        <v>7.8396220792690385E-3</v>
      </c>
      <c r="DQ1420" s="490">
        <f ca="1">(DQ36)*(DQ$4/DQ$3)/DQ$1407</f>
        <v>7.7168613532131759E-3</v>
      </c>
      <c r="DR1420" s="490">
        <f ca="1">(DR36)*(DR$4/DR$3)/DR$1407</f>
        <v>7.7773363338711991E-3</v>
      </c>
    </row>
    <row r="1421" spans="1:125" s="411" customFormat="1" x14ac:dyDescent="0.2">
      <c r="A1421" s="347" t="s">
        <v>921</v>
      </c>
      <c r="B1421" s="423"/>
      <c r="BH1421" s="489">
        <f t="shared" ref="BH1421:BJ1422" si="1072">(BH43)*(BH$4/BH$3)/BH$1407</f>
        <v>-5.4998312983254362E-5</v>
      </c>
      <c r="BI1421" s="489">
        <f t="shared" si="1072"/>
        <v>-5.487068752851209E-5</v>
      </c>
      <c r="BJ1421" s="489">
        <f t="shared" si="1072"/>
        <v>-5.493449061993573E-5</v>
      </c>
      <c r="BK1421" s="423"/>
      <c r="BL1421" s="489">
        <f t="shared" ref="BL1421:BN1422" si="1073">(BL43)*(BL$4/BL$3)/BL$1407</f>
        <v>-5.9670006879216133E-5</v>
      </c>
      <c r="BM1421" s="489">
        <f t="shared" si="1073"/>
        <v>-5.5669292843025374E-5</v>
      </c>
      <c r="BN1421" s="489">
        <f t="shared" si="1073"/>
        <v>-5.7644713851640443E-5</v>
      </c>
      <c r="BO1421" s="423"/>
      <c r="BP1421" s="489">
        <f t="shared" ref="BP1421:BR1422" si="1074">(BP43)*(BP$4/BP$3)/BP$1407</f>
        <v>-5.8325548603718329E-5</v>
      </c>
      <c r="BQ1421" s="489">
        <f t="shared" si="1074"/>
        <v>-6.4830310278626212E-5</v>
      </c>
      <c r="BR1421" s="489">
        <f t="shared" si="1074"/>
        <v>-6.164716482317933E-5</v>
      </c>
      <c r="BT1421" s="489">
        <f t="shared" ref="BT1421:BV1422" si="1075">(BT43)*(BT$4/BT$3)/BT$1407</f>
        <v>-7.000290770274413E-5</v>
      </c>
      <c r="BU1421" s="489">
        <f t="shared" si="1075"/>
        <v>-3.9198867493071775E-5</v>
      </c>
      <c r="BV1421" s="489">
        <f t="shared" si="1075"/>
        <v>-5.4563738358144373E-5</v>
      </c>
      <c r="BX1421" s="489">
        <f t="shared" ref="BX1421:BZ1422" si="1076">(BX43)*(BX$4/BX$3)/BX$1407</f>
        <v>0</v>
      </c>
      <c r="BY1421" s="489">
        <f t="shared" si="1076"/>
        <v>0</v>
      </c>
      <c r="BZ1421" s="489">
        <f t="shared" si="1076"/>
        <v>0</v>
      </c>
      <c r="CB1421" s="489">
        <f t="shared" ref="CB1421:CD1422" si="1077">(CB43)*(CB$4/CB$3)/CB$1407</f>
        <v>0</v>
      </c>
      <c r="CC1421" s="489">
        <f t="shared" si="1077"/>
        <v>0</v>
      </c>
      <c r="CD1421" s="489">
        <f t="shared" si="1077"/>
        <v>0</v>
      </c>
      <c r="CF1421" s="489">
        <f t="shared" ref="CF1421:CH1422" si="1078">(CF43)*(CF$4/CF$3)/CF$1407</f>
        <v>0</v>
      </c>
      <c r="CG1421" s="489">
        <f t="shared" si="1078"/>
        <v>0</v>
      </c>
      <c r="CH1421" s="489">
        <f t="shared" si="1078"/>
        <v>0</v>
      </c>
      <c r="CJ1421" s="489">
        <f t="shared" ref="CJ1421:CL1422" si="1079">(CJ43)*(CJ$4/CJ$3)/CJ$1407</f>
        <v>0</v>
      </c>
      <c r="CK1421" s="489">
        <f t="shared" si="1079"/>
        <v>0</v>
      </c>
      <c r="CL1421" s="489">
        <f t="shared" si="1079"/>
        <v>0</v>
      </c>
      <c r="CN1421" s="489">
        <f t="shared" ref="CN1421:CP1422" si="1080">(CN43)*(CN$4/CN$3)/CN$1407</f>
        <v>0</v>
      </c>
      <c r="CO1421" s="489">
        <f t="shared" si="1080"/>
        <v>0</v>
      </c>
      <c r="CP1421" s="489">
        <f t="shared" si="1080"/>
        <v>0</v>
      </c>
      <c r="CR1421" s="489">
        <f t="shared" ref="CR1421:CT1422" si="1081">(CR43)*(CR$4/CR$3)/CR$1407</f>
        <v>0</v>
      </c>
      <c r="CS1421" s="489">
        <f t="shared" si="1081"/>
        <v>0</v>
      </c>
      <c r="CT1421" s="489">
        <f t="shared" si="1081"/>
        <v>0</v>
      </c>
      <c r="CV1421" s="489">
        <f t="shared" ref="CV1421:CX1422" si="1082">(CV43)*(CV$4/CV$3)/CV$1407</f>
        <v>0</v>
      </c>
      <c r="CW1421" s="489">
        <f t="shared" si="1082"/>
        <v>0</v>
      </c>
      <c r="CX1421" s="489">
        <f t="shared" si="1082"/>
        <v>0</v>
      </c>
      <c r="CZ1421" s="489">
        <f t="shared" ref="CZ1421:DB1422" si="1083">(CZ43)*(CZ$4/CZ$3)/CZ$1407</f>
        <v>0</v>
      </c>
      <c r="DA1421" s="489">
        <f t="shared" si="1083"/>
        <v>0</v>
      </c>
      <c r="DB1421" s="489">
        <f t="shared" si="1083"/>
        <v>0</v>
      </c>
      <c r="DD1421" s="489">
        <f t="shared" ref="DD1421:DF1422" si="1084">(DD43)*(DD$4/DD$3)/DD$1407</f>
        <v>0</v>
      </c>
      <c r="DE1421" s="489">
        <f t="shared" si="1084"/>
        <v>0</v>
      </c>
      <c r="DF1421" s="489">
        <f t="shared" si="1084"/>
        <v>0</v>
      </c>
      <c r="DH1421" s="489">
        <f t="shared" ref="DH1421" si="1085">(DH43)*(DH$4/DH$3)/DH$1407</f>
        <v>0</v>
      </c>
      <c r="DI1421" s="489">
        <f t="shared" ref="DI1421:DJ1422" ca="1" si="1086">(DI43)*(DI$4/DI$3)/DI$1407</f>
        <v>0</v>
      </c>
      <c r="DJ1421" s="489">
        <f t="shared" ca="1" si="1086"/>
        <v>0</v>
      </c>
      <c r="DL1421" s="489">
        <f t="shared" ref="DL1421:DN1422" ca="1" si="1087">(DL43)*(DL$4/DL$3)/DL$1407</f>
        <v>0</v>
      </c>
      <c r="DM1421" s="489">
        <f t="shared" ca="1" si="1087"/>
        <v>0</v>
      </c>
      <c r="DN1421" s="489">
        <f t="shared" ca="1" si="1087"/>
        <v>0</v>
      </c>
      <c r="DP1421" s="489">
        <f t="shared" ref="DP1421:DR1422" ca="1" si="1088">(DP43)*(DP$4/DP$3)/DP$1407</f>
        <v>0</v>
      </c>
      <c r="DQ1421" s="489">
        <f t="shared" ca="1" si="1088"/>
        <v>0</v>
      </c>
      <c r="DR1421" s="489">
        <f t="shared" ca="1" si="1088"/>
        <v>0</v>
      </c>
    </row>
    <row r="1422" spans="1:125" s="411" customFormat="1" x14ac:dyDescent="0.2">
      <c r="A1422" s="411" t="s">
        <v>65</v>
      </c>
      <c r="B1422" s="423"/>
      <c r="BH1422" s="490">
        <f t="shared" si="1072"/>
        <v>1.0257185371376938E-2</v>
      </c>
      <c r="BI1422" s="490">
        <f t="shared" si="1072"/>
        <v>1.0946702161938162E-2</v>
      </c>
      <c r="BJ1422" s="490">
        <f t="shared" si="1072"/>
        <v>1.0602356689647595E-2</v>
      </c>
      <c r="BK1422" s="423"/>
      <c r="BL1422" s="490">
        <f t="shared" si="1073"/>
        <v>1.1013007791403153E-2</v>
      </c>
      <c r="BM1422" s="490">
        <f t="shared" si="1073"/>
        <v>1.1108554344585519E-2</v>
      </c>
      <c r="BN1422" s="490">
        <f t="shared" si="1073"/>
        <v>1.1061380091309227E-2</v>
      </c>
      <c r="BO1422" s="423"/>
      <c r="BP1422" s="490">
        <f t="shared" si="1074"/>
        <v>1.1166912326420237E-2</v>
      </c>
      <c r="BQ1422" s="490">
        <f t="shared" si="1074"/>
        <v>1.0396003326822559E-2</v>
      </c>
      <c r="BR1422" s="490">
        <f t="shared" si="1074"/>
        <v>1.0770471008049697E-2</v>
      </c>
      <c r="BT1422" s="490">
        <f t="shared" si="1075"/>
        <v>1.044793397463456E-2</v>
      </c>
      <c r="BU1422" s="490">
        <f t="shared" si="1075"/>
        <v>1.0058864941694362E-2</v>
      </c>
      <c r="BV1422" s="490">
        <f t="shared" si="1075"/>
        <v>1.0252526437495328E-2</v>
      </c>
      <c r="BX1422" s="490">
        <f t="shared" si="1076"/>
        <v>1.0006313297645501E-2</v>
      </c>
      <c r="BY1422" s="490">
        <f t="shared" si="1076"/>
        <v>9.9379680448928014E-3</v>
      </c>
      <c r="BZ1422" s="490">
        <f t="shared" si="1076"/>
        <v>9.9718923455236023E-3</v>
      </c>
      <c r="CB1422" s="490">
        <f t="shared" si="1077"/>
        <v>9.3893521243532969E-3</v>
      </c>
      <c r="CC1422" s="490">
        <f t="shared" si="1077"/>
        <v>8.8720814551000744E-3</v>
      </c>
      <c r="CD1422" s="490">
        <f t="shared" si="1077"/>
        <v>9.1315361159167337E-3</v>
      </c>
      <c r="CF1422" s="490">
        <f t="shared" si="1078"/>
        <v>9.2306431897723525E-3</v>
      </c>
      <c r="CG1422" s="490">
        <f t="shared" si="1078"/>
        <v>7.6063611014991137E-3</v>
      </c>
      <c r="CH1422" s="490">
        <f t="shared" si="1078"/>
        <v>8.4270757093976092E-3</v>
      </c>
      <c r="CJ1422" s="490">
        <f t="shared" si="1079"/>
        <v>8.7381936123557113E-3</v>
      </c>
      <c r="CK1422" s="490">
        <f t="shared" si="1079"/>
        <v>5.7479781224891151E-3</v>
      </c>
      <c r="CL1422" s="490">
        <f t="shared" si="1079"/>
        <v>7.2266115343721654E-3</v>
      </c>
      <c r="CN1422" s="490">
        <f t="shared" si="1080"/>
        <v>7.4414462719799438E-3</v>
      </c>
      <c r="CO1422" s="490">
        <f t="shared" si="1080"/>
        <v>9.2173123949391839E-3</v>
      </c>
      <c r="CP1422" s="490">
        <f t="shared" si="1080"/>
        <v>8.3175610792355116E-3</v>
      </c>
      <c r="CR1422" s="490">
        <f t="shared" si="1081"/>
        <v>8.3674425033639036E-3</v>
      </c>
      <c r="CS1422" s="490">
        <f t="shared" si="1081"/>
        <v>8.3377062419121052E-3</v>
      </c>
      <c r="CT1422" s="490">
        <f t="shared" si="1081"/>
        <v>8.3523462737393351E-3</v>
      </c>
      <c r="CV1422" s="490">
        <f t="shared" si="1082"/>
        <v>8.3700852100970641E-3</v>
      </c>
      <c r="CW1422" s="490">
        <f t="shared" si="1082"/>
        <v>7.9566488255295997E-3</v>
      </c>
      <c r="CX1422" s="490">
        <f t="shared" si="1082"/>
        <v>8.1640460986526723E-3</v>
      </c>
      <c r="CZ1422" s="490">
        <f t="shared" si="1083"/>
        <v>7.9078551066272453E-3</v>
      </c>
      <c r="DA1422" s="490">
        <f t="shared" si="1083"/>
        <v>7.6211821574331739E-3</v>
      </c>
      <c r="DB1422" s="490">
        <f t="shared" si="1083"/>
        <v>7.7648136160538075E-3</v>
      </c>
      <c r="DD1422" s="490">
        <f t="shared" si="1084"/>
        <v>8.0361584658821712E-3</v>
      </c>
      <c r="DE1422" s="490">
        <f t="shared" si="1084"/>
        <v>7.836386120381433E-3</v>
      </c>
      <c r="DF1422" s="490">
        <f t="shared" si="1084"/>
        <v>7.9351319219552064E-3</v>
      </c>
      <c r="DH1422" s="490">
        <f t="shared" ref="DH1422" si="1089">(DH44)*(DH$4/DH$3)/DH$1407</f>
        <v>7.8603339143647755E-3</v>
      </c>
      <c r="DI1422" s="490">
        <f t="shared" ca="1" si="1086"/>
        <v>7.9545178248789442E-3</v>
      </c>
      <c r="DJ1422" s="490">
        <f t="shared" ca="1" si="1086"/>
        <v>7.9067077847827048E-3</v>
      </c>
      <c r="DL1422" s="490">
        <f t="shared" ca="1" si="1087"/>
        <v>7.9873606425023298E-3</v>
      </c>
      <c r="DM1422" s="490">
        <f t="shared" ca="1" si="1087"/>
        <v>7.8145328980294779E-3</v>
      </c>
      <c r="DN1422" s="490">
        <f t="shared" ca="1" si="1087"/>
        <v>7.8994014991003482E-3</v>
      </c>
      <c r="DP1422" s="490">
        <f t="shared" ca="1" si="1088"/>
        <v>7.8396220792690385E-3</v>
      </c>
      <c r="DQ1422" s="490">
        <f t="shared" ca="1" si="1088"/>
        <v>7.7168613532131759E-3</v>
      </c>
      <c r="DR1422" s="490">
        <f t="shared" ca="1" si="1088"/>
        <v>7.7773363338711991E-3</v>
      </c>
    </row>
    <row r="1423" spans="1:125" s="347" customFormat="1" x14ac:dyDescent="0.2">
      <c r="A1423" s="347" t="s">
        <v>67</v>
      </c>
      <c r="B1423" s="348"/>
      <c r="BH1423" s="847">
        <f>+BH1424/BH1422</f>
        <v>17.476221624633574</v>
      </c>
      <c r="BI1423" s="847">
        <f>+BI1424/BI1422</f>
        <v>16.969755737175046</v>
      </c>
      <c r="BJ1423" s="847">
        <f>+BJ1424/BJ1422</f>
        <v>17.214932501123013</v>
      </c>
      <c r="BK1423" s="348"/>
      <c r="BL1423" s="847">
        <f>+BL1424/BL1422</f>
        <v>16.95129359079522</v>
      </c>
      <c r="BM1423" s="847">
        <f>+BM1424/BM1422</f>
        <v>16.898114967875998</v>
      </c>
      <c r="BN1423" s="847">
        <f>+BN1424/BN1422</f>
        <v>16.924898100771834</v>
      </c>
      <c r="BO1423" s="348"/>
      <c r="BP1423" s="847">
        <f>+BP1424/BP1422</f>
        <v>16.664448164631906</v>
      </c>
      <c r="BQ1423" s="847">
        <f>+BQ1424/BQ1422</f>
        <v>17.14674961609639</v>
      </c>
      <c r="BR1423" s="847">
        <f>+BR1424/BR1422</f>
        <v>16.900282502855081</v>
      </c>
      <c r="BT1423" s="847">
        <f>+BT1424/BT1422</f>
        <v>16.520030522701258</v>
      </c>
      <c r="BU1423" s="847">
        <f>+BU1424/BU1422</f>
        <v>15.806915439917836</v>
      </c>
      <c r="BV1423" s="847">
        <f>+BV1424/BV1422</f>
        <v>16.132663750077022</v>
      </c>
      <c r="BX1423" s="847">
        <f>+BX1424/BX1422</f>
        <v>15.729235825801151</v>
      </c>
      <c r="BY1423" s="847">
        <f>+BY1424/BY1422</f>
        <v>15.789578005115089</v>
      </c>
      <c r="BZ1423" s="847">
        <f>+BZ1424/BZ1422</f>
        <v>15.758149861839279</v>
      </c>
      <c r="CB1423" s="500">
        <f>+CB1424/CB1422</f>
        <v>15.026110225989573</v>
      </c>
      <c r="CC1423" s="847">
        <f>+CC1424/CC1422</f>
        <v>14.826460766685301</v>
      </c>
      <c r="CD1423" s="847">
        <f>+CD1424/CD1422</f>
        <v>14.925881759390908</v>
      </c>
      <c r="CF1423" s="847">
        <f>+CF1424/CF1422</f>
        <v>14.535170650493518</v>
      </c>
      <c r="CG1423" s="847">
        <f>+CG1424/CG1422</f>
        <v>14.126482328180565</v>
      </c>
      <c r="CH1423" s="847">
        <f>+CH1424/CH1422</f>
        <v>14.330459052515607</v>
      </c>
      <c r="CJ1423" s="847">
        <f>+CJ1424/CJ1422</f>
        <v>13.984882960266217</v>
      </c>
      <c r="CK1423" s="847">
        <f>+CK1424/CK1422</f>
        <v>14.203675494374956</v>
      </c>
      <c r="CL1423" s="847">
        <f>+CL1424/CL1422</f>
        <v>14.401132181465929</v>
      </c>
      <c r="CN1423" s="847">
        <f>+CN1424/CN1422</f>
        <v>14.043201133144477</v>
      </c>
      <c r="CO1423" s="847">
        <f>+CO1424/CO1422</f>
        <v>13.628609368083945</v>
      </c>
      <c r="CP1423" s="847">
        <f>+CP1424/CP1422</f>
        <v>13.83655419154907</v>
      </c>
      <c r="CR1423" s="847">
        <f>+CR1424/CR1422</f>
        <v>14.675218468762226</v>
      </c>
      <c r="CS1423" s="847">
        <f>+CS1424/CS1422</f>
        <v>15.903301918774156</v>
      </c>
      <c r="CT1423" s="847">
        <f>+CT1424/CT1422</f>
        <v>15.237614569378309</v>
      </c>
      <c r="CV1423" s="847">
        <f>+CV1424/CV1422</f>
        <v>16.933584374741368</v>
      </c>
      <c r="CW1423" s="847">
        <f>+CW1424/CW1422</f>
        <v>17.226893792030232</v>
      </c>
      <c r="CX1423" s="847">
        <f>+CX1424/CX1422</f>
        <v>17.085392200310217</v>
      </c>
      <c r="CZ1423" s="847">
        <f>+CZ1424/CZ1422</f>
        <v>17.478257257964035</v>
      </c>
      <c r="DA1423" s="847">
        <f>+DA1424/DA1422</f>
        <v>17.421244517543862</v>
      </c>
      <c r="DB1423" s="847">
        <f>+DB1424/DB1422</f>
        <v>17.468179875063779</v>
      </c>
      <c r="DD1423" s="847">
        <f>+DD1424/DD1422</f>
        <v>17.078502480586714</v>
      </c>
      <c r="DE1423" s="847">
        <f>+DE1424/DE1422</f>
        <v>17.106647623993769</v>
      </c>
      <c r="DF1423" s="847">
        <f>+DF1424/DF1422</f>
        <v>17.064799894333643</v>
      </c>
      <c r="DH1423" s="847">
        <f>+DH1424/DH1422</f>
        <v>17.6163145479719</v>
      </c>
      <c r="DI1423" s="847">
        <f ca="1">+DI1424/DI1422</f>
        <v>18.259143361260733</v>
      </c>
      <c r="DJ1423" s="847">
        <f ca="1">+DJ1424/DJ1422</f>
        <v>17.937913577102172</v>
      </c>
      <c r="DL1423" s="847">
        <f ca="1">+DL1424/DL1422</f>
        <v>18.495756660451779</v>
      </c>
      <c r="DM1423" s="847">
        <f ca="1">+DM1424/DM1422</f>
        <v>18.72766370074056</v>
      </c>
      <c r="DN1423" s="847">
        <f ca="1">+DN1424/DN1422</f>
        <v>18.612715850859171</v>
      </c>
      <c r="DP1423" s="847">
        <f ca="1">+DP1424/DP1422</f>
        <v>18.925574639323063</v>
      </c>
      <c r="DQ1423" s="847">
        <f ca="1">+DQ1424/DQ1422</f>
        <v>19.065947297239102</v>
      </c>
      <c r="DR1423" s="847">
        <f ca="1">+DR1424/DR1422</f>
        <v>18.996339971111727</v>
      </c>
    </row>
    <row r="1424" spans="1:125" s="411" customFormat="1" x14ac:dyDescent="0.2">
      <c r="A1424" s="411" t="s">
        <v>69</v>
      </c>
      <c r="B1424" s="423"/>
      <c r="BH1424" s="807">
        <f>BH1403</f>
        <v>0.17925684479513279</v>
      </c>
      <c r="BI1424" s="807">
        <f>BI1403</f>
        <v>0.18576286181569659</v>
      </c>
      <c r="BJ1424" s="807">
        <f>BJ1403</f>
        <v>0.18251885476511337</v>
      </c>
      <c r="BK1424" s="423"/>
      <c r="BL1424" s="807">
        <f>BL1403</f>
        <v>0.18668472838979008</v>
      </c>
      <c r="BM1424" s="807">
        <f>BM1403</f>
        <v>0.18771362844170453</v>
      </c>
      <c r="BN1424" s="807">
        <f>BN1403</f>
        <v>0.18721273089931489</v>
      </c>
      <c r="BO1424" s="423"/>
      <c r="BP1424" s="807">
        <f>BP1403</f>
        <v>0.18609043162261912</v>
      </c>
      <c r="BQ1424" s="807">
        <f>BQ1403</f>
        <v>0.17825766605313151</v>
      </c>
      <c r="BR1424" s="807">
        <f>BR1403</f>
        <v>0.18202400272485023</v>
      </c>
      <c r="BT1424" s="807">
        <f>BT1403</f>
        <v>0.17260018816013042</v>
      </c>
      <c r="BU1424" s="807">
        <f>BU1403</f>
        <v>0.15899962755491684</v>
      </c>
      <c r="BV1424" s="807">
        <f>BV1403</f>
        <v>0.1654005616048872</v>
      </c>
      <c r="BX1424" s="807">
        <f>BX1403</f>
        <v>0.15739166160551607</v>
      </c>
      <c r="BY1424" s="807">
        <f>BY1403</f>
        <v>0.15691632165717598</v>
      </c>
      <c r="BZ1424" s="807">
        <f>BZ1403</f>
        <v>0.15713857398688891</v>
      </c>
      <c r="CB1424" s="807">
        <f>CB1403</f>
        <v>0.14108543997116199</v>
      </c>
      <c r="CC1424" s="807">
        <f>CC1403</f>
        <v>0.1315415676128775</v>
      </c>
      <c r="CD1424" s="807">
        <f>CD1403</f>
        <v>0.13629622834778088</v>
      </c>
      <c r="CF1424" s="807">
        <f>CF1403</f>
        <v>0.13416897397715696</v>
      </c>
      <c r="CG1424" s="807">
        <f>CG1403</f>
        <v>0.10745112568208728</v>
      </c>
      <c r="CH1424" s="807">
        <f>CH1403</f>
        <v>0.12076386338597135</v>
      </c>
      <c r="CJ1424" s="807">
        <f>CJ1403</f>
        <v>0.12220261495294049</v>
      </c>
      <c r="CK1424" s="807">
        <f>CK1403</f>
        <v>8.1642416000602014E-2</v>
      </c>
      <c r="CL1424" s="807">
        <f>CL1403</f>
        <v>0.10407138793059986</v>
      </c>
      <c r="CN1424" s="807">
        <f>CN1403</f>
        <v>0.10450172671890248</v>
      </c>
      <c r="CO1424" s="807">
        <f>CO1403</f>
        <v>0.12561915005422442</v>
      </c>
      <c r="CP1424" s="807">
        <f>CP1403</f>
        <v>0.11508638461436152</v>
      </c>
      <c r="CR1424" s="807">
        <f>CR1403</f>
        <v>0.12279404676167199</v>
      </c>
      <c r="CS1424" s="807">
        <f>CS1403</f>
        <v>0.13259705967517604</v>
      </c>
      <c r="CT1424" s="807">
        <f>CT1403</f>
        <v>0.12726983326922311</v>
      </c>
      <c r="CV1424" s="807">
        <f>CV1403</f>
        <v>0.14173554412895348</v>
      </c>
      <c r="CW1424" s="807">
        <f>CW1403</f>
        <v>0.1370683442578805</v>
      </c>
      <c r="CX1424" s="807">
        <f>CX1403</f>
        <v>0.13948592953689343</v>
      </c>
      <c r="CZ1424" s="807">
        <f>CZ1403</f>
        <v>0.1382155259123356</v>
      </c>
      <c r="DA1424" s="807">
        <f>DA1403</f>
        <v>0.13277047787738577</v>
      </c>
      <c r="DB1424" s="807">
        <f>DB1403</f>
        <v>0.13563716094157233</v>
      </c>
      <c r="DD1424" s="807">
        <f>DD1403</f>
        <v>0.13724555229395657</v>
      </c>
      <c r="DE1424" s="807">
        <f>DE1403</f>
        <v>0.13405429600692079</v>
      </c>
      <c r="DF1424" s="807">
        <f>DF1403</f>
        <v>0.13541143838330472</v>
      </c>
      <c r="DH1424" s="807">
        <f>DH1403</f>
        <v>0.13847011468754111</v>
      </c>
      <c r="DI1424" s="807">
        <f ca="1">DI1403</f>
        <v>0.14524268133416854</v>
      </c>
      <c r="DJ1424" s="807">
        <f ca="1">DJ1403</f>
        <v>0.14182984092283313</v>
      </c>
      <c r="DL1424" s="807">
        <f ca="1">DL1403</f>
        <v>0.14773227880299286</v>
      </c>
      <c r="DM1424" s="807">
        <f ca="1">DM1403</f>
        <v>0.1463479440926696</v>
      </c>
      <c r="DN1424" s="807">
        <f ca="1">DN1403</f>
        <v>0.14702931549460574</v>
      </c>
      <c r="DP1424" s="807">
        <f ca="1">DP1403</f>
        <v>0.14836935280529126</v>
      </c>
      <c r="DQ1424" s="807">
        <f ca="1">DQ1403</f>
        <v>0.14712927186046362</v>
      </c>
      <c r="DR1424" s="807">
        <f ca="1">DR1403</f>
        <v>0.14774092506789699</v>
      </c>
    </row>
    <row r="1425" spans="1:122" s="411" customFormat="1" x14ac:dyDescent="0.2">
      <c r="A1425" s="347" t="s">
        <v>922</v>
      </c>
      <c r="B1425" s="423"/>
      <c r="BH1425" s="642">
        <f>BH31*(BH$4/BH$3)/BH1408</f>
        <v>3.7392047603258136E-2</v>
      </c>
      <c r="BI1425" s="642">
        <f>BI31*(BI$4/BI$3)/BI1408</f>
        <v>3.7501211592517202E-2</v>
      </c>
      <c r="BJ1425" s="642">
        <f>BJ31*(BJ$4/BJ$3)/BJ1408</f>
        <v>3.737983527047449E-2</v>
      </c>
      <c r="BK1425" s="423"/>
      <c r="BL1425" s="642">
        <f>BL31*(BL$4/BL$3)/BL1408</f>
        <v>3.8259155616394001E-2</v>
      </c>
      <c r="BM1425" s="642">
        <f>BM31*(BM$4/BM$3)/BM1408</f>
        <v>3.904623724403794E-2</v>
      </c>
      <c r="BN1425" s="642">
        <f>BN31*(BN$4/BN$3)/BN1408</f>
        <v>3.8694024199510249E-2</v>
      </c>
      <c r="BO1425" s="423"/>
      <c r="BP1425" s="642">
        <f>BP31*(BP$4/BP$3)/BP1408</f>
        <v>3.9107432493205842E-2</v>
      </c>
      <c r="BQ1425" s="642">
        <f>BQ31*(BQ$4/BQ$3)/BQ1408</f>
        <v>3.7863386740813729E-2</v>
      </c>
      <c r="BR1425" s="642">
        <f>BR31*(BR$4/BR$3)/BR1408</f>
        <v>3.8460667349908557E-2</v>
      </c>
      <c r="BT1425" s="642">
        <f>BT31*(BT$4/BT$3)/BT1408</f>
        <v>3.7672578543998511E-2</v>
      </c>
      <c r="BU1425" s="642">
        <f>BU31*(BU$4/BU$3)/BU1408</f>
        <v>3.6284843934504998E-2</v>
      </c>
      <c r="BV1425" s="642">
        <f>BV31*(BV$4/BV$3)/BV1408</f>
        <v>3.7498624552652127E-2</v>
      </c>
      <c r="BX1425" s="642">
        <f>BX31*(BX$4/BX$3)/BX1408</f>
        <v>3.5136903886316698E-2</v>
      </c>
      <c r="BY1425" s="642">
        <f>BY31*(BY$4/BY$3)/BY1408</f>
        <v>3.3690219957738167E-2</v>
      </c>
      <c r="BZ1425" s="642">
        <f>BZ31*(BZ$4/BZ$3)/BZ1408</f>
        <v>3.5247015257355151E-2</v>
      </c>
      <c r="CB1425" s="642">
        <f>CB31*(CB$4/CB$3)/CB1408</f>
        <v>3.2506524841894015E-2</v>
      </c>
      <c r="CC1425" s="642">
        <f>CC31*(CC$4/CC$3)/CC1408</f>
        <v>3.0195438223596049E-2</v>
      </c>
      <c r="CD1425" s="642">
        <f>CD31*(CD$4/CD$3)/CD1408</f>
        <v>3.1098333658972282E-2</v>
      </c>
      <c r="CF1425" s="642">
        <f>CF31*(CF$4/CF$3)/CF1408</f>
        <v>3.0395612744263216E-2</v>
      </c>
      <c r="CG1425" s="642">
        <f>CG31*(CG$4/CG$3)/CG1408</f>
        <v>2.6191263693170062E-2</v>
      </c>
      <c r="CH1425" s="642">
        <f>CH31*(CH$4/CH$3)/CH1408</f>
        <v>2.7990704145608718E-2</v>
      </c>
      <c r="CJ1425" s="642">
        <f>CJ31*(CJ$4/CJ$3)/CJ1408</f>
        <v>2.9844146287989412E-2</v>
      </c>
      <c r="CK1425" s="642">
        <f>CK31*(CK$4/CK$3)/CK1408</f>
        <v>2.6687084149627092E-2</v>
      </c>
      <c r="CL1425" s="642">
        <f>CL31*(CL$4/CL$3)/CL1408</f>
        <v>2.8125722973196286E-2</v>
      </c>
      <c r="CN1425" s="642">
        <f>CN31*(CN$4/CN$3)/CN1408</f>
        <v>2.7815632810342092E-2</v>
      </c>
      <c r="CO1425" s="642">
        <f>CO31*(CO$4/CO$3)/CO1408</f>
        <v>2.8664341901055525E-2</v>
      </c>
      <c r="CP1425" s="642">
        <f>CP31*(CP$4/CP$3)/CP1408</f>
        <v>2.826105199927564E-2</v>
      </c>
      <c r="CR1425" s="642">
        <f>CR31*(CR$4/CR$3)/CR1408</f>
        <v>2.8454399609876755E-2</v>
      </c>
      <c r="CS1425" s="642">
        <f>CS31*(CS$4/CS$3)/CS1408</f>
        <v>2.7630148609093713E-2</v>
      </c>
      <c r="CT1425" s="642">
        <f>CT31*(CT$4/CT$3)/CT1408</f>
        <v>2.7959922915709087E-2</v>
      </c>
      <c r="CV1425" s="642">
        <f>CV31*(CV$4/CV$3)/CV1408</f>
        <v>3.1073422922251081E-2</v>
      </c>
      <c r="CW1425" s="642">
        <f>CW31*(CW$4/CW$3)/CW1408</f>
        <v>3.0805287374613445E-2</v>
      </c>
      <c r="CX1425" s="642">
        <f>CX31*(CX$4/CX$3)/CX1408</f>
        <v>3.1633198189430618E-2</v>
      </c>
      <c r="CZ1425" s="642">
        <f>CZ31*(CZ$4/CZ$3)/CZ1408</f>
        <v>3.2615695960374148E-2</v>
      </c>
      <c r="DA1425" s="642">
        <f>DA31*(DA$4/DA$3)/DA1408</f>
        <v>3.1607595793400056E-2</v>
      </c>
      <c r="DB1425" s="642">
        <f>DB31*(DB$4/DB$3)/DB1408</f>
        <v>3.197287564548075E-2</v>
      </c>
      <c r="DD1425" s="642">
        <f>DD31*(DD$4/DD$3)/DD1408</f>
        <v>3.2263872564096928E-2</v>
      </c>
      <c r="DE1425" s="642">
        <f>DE31*(DE$4/DE$3)/DE1408</f>
        <v>3.1918508250592677E-2</v>
      </c>
      <c r="DF1425" s="642">
        <f>DF31*(DF$4/DF$3)/DF1408</f>
        <v>3.2103484916405176E-2</v>
      </c>
      <c r="DH1425" s="642">
        <f>DH31*(DH$4/DH$3)/DH1408</f>
        <v>3.221199024983866E-2</v>
      </c>
      <c r="DI1425" s="642">
        <f ca="1">DI31*(DI$4/DI$3)/DI1408</f>
        <v>3.3110168873011374E-2</v>
      </c>
      <c r="DJ1425" s="642">
        <f ca="1">DJ31*(DJ$4/DJ$3)/DJ1408</f>
        <v>3.2543094747962312E-2</v>
      </c>
      <c r="DL1425" s="642">
        <f ca="1">DL31*(DL$4/DL$3)/DL1408</f>
        <v>3.3646820194329928E-2</v>
      </c>
      <c r="DM1425" s="642">
        <f ca="1">DM31*(DM$4/DM$3)/DM1408</f>
        <v>3.3177091876611414E-2</v>
      </c>
      <c r="DN1425" s="642">
        <f ca="1">DN31*(DN$4/DN$3)/DN1408</f>
        <v>3.336077762253576E-2</v>
      </c>
      <c r="DP1425" s="642">
        <f ca="1">DP31*(DP$4/DP$3)/DP1408</f>
        <v>3.3254704563040048E-2</v>
      </c>
      <c r="DQ1425" s="642">
        <f ca="1">DQ31*(DQ$4/DQ$3)/DQ1408</f>
        <v>3.2761674559284547E-2</v>
      </c>
      <c r="DR1425" s="642">
        <f ca="1">DR31*(DR$4/DR$3)/DR1408</f>
        <v>3.2975583569016427E-2</v>
      </c>
    </row>
    <row r="1426" spans="1:122" s="347" customFormat="1" x14ac:dyDescent="0.2">
      <c r="A1426" s="347" t="s">
        <v>923</v>
      </c>
      <c r="B1426" s="348"/>
      <c r="BH1426" s="642">
        <f>BH1402*(BH$4/BH$3)/BH1408</f>
        <v>2.3956086836165038E-2</v>
      </c>
      <c r="BI1426" s="642">
        <f>BI1402*(BI$4/BI$3)/BI1408</f>
        <v>2.4984109910526572E-2</v>
      </c>
      <c r="BJ1426" s="642">
        <f>BJ1402*(BJ$4/BJ$3)/BJ1408</f>
        <v>2.4432505993401323E-2</v>
      </c>
      <c r="BK1426" s="348"/>
      <c r="BL1426" s="642">
        <f>BL1402*(BL$4/BL$3)/BL1408</f>
        <v>2.538848141184814E-2</v>
      </c>
      <c r="BM1426" s="642">
        <f>BM1402*(BM$4/BM$3)/BM1408</f>
        <v>2.6350957955622839E-2</v>
      </c>
      <c r="BN1426" s="642">
        <f>BN1402*(BN$4/BN$3)/BN1408</f>
        <v>2.5896984883178657E-2</v>
      </c>
      <c r="BO1426" s="348"/>
      <c r="BP1426" s="642">
        <f>BP1402*(BP$4/BP$3)/BP1408</f>
        <v>2.6391342679729892E-2</v>
      </c>
      <c r="BQ1426" s="642">
        <f>BQ1402*(BQ$4/BQ$3)/BQ1408</f>
        <v>2.5089522796082297E-2</v>
      </c>
      <c r="BR1426" s="642">
        <f>BR1402*(BR$4/BR$3)/BR1408</f>
        <v>2.5720659762526257E-2</v>
      </c>
      <c r="BT1426" s="642">
        <f>BT1402*(BT$4/BT$3)/BT1408</f>
        <v>2.4954817631919122E-2</v>
      </c>
      <c r="BU1426" s="642">
        <f>BU1402*(BU$4/BU$3)/BU1408</f>
        <v>2.3595620742429765E-2</v>
      </c>
      <c r="BV1426" s="642">
        <f>BV1402*(BV$4/BV$3)/BV1408</f>
        <v>2.4613957777696271E-2</v>
      </c>
      <c r="BX1426" s="642">
        <f>BX1402*(BX$4/BX$3)/BX1408</f>
        <v>2.3045913865390164E-2</v>
      </c>
      <c r="BY1426" s="642">
        <f>BY1402*(BY$4/BY$3)/BY1408</f>
        <v>2.2475536625225355E-2</v>
      </c>
      <c r="BZ1426" s="642">
        <f>BZ1402*(BZ$4/BZ$3)/BZ1408</f>
        <v>2.3315258557464563E-2</v>
      </c>
      <c r="CB1426" s="642">
        <f>CB1402*(CB$4/CB$3)/CB1408</f>
        <v>2.0779229976786971E-2</v>
      </c>
      <c r="CC1426" s="642">
        <f>CC1402*(CC$4/CC$3)/CC1408</f>
        <v>1.9357544819017542E-2</v>
      </c>
      <c r="CD1426" s="642">
        <f>CD1402*(CD$4/CD$3)/CD1408</f>
        <v>1.9906774220559913E-2</v>
      </c>
      <c r="CF1426" s="642">
        <f>CF1402*(CF$4/CF$3)/CF1408</f>
        <v>1.9974008952397117E-2</v>
      </c>
      <c r="CG1426" s="642">
        <f>CG1402*(CG$4/CG$3)/CG1408</f>
        <v>1.6489132055844159E-2</v>
      </c>
      <c r="CH1426" s="642">
        <f>CH1402*(CH$4/CH$3)/CH1408</f>
        <v>1.8040892103571092E-2</v>
      </c>
      <c r="CJ1426" s="642">
        <f>CJ1402*(CJ$4/CJ$3)/CJ1408</f>
        <v>1.9055086013023099E-2</v>
      </c>
      <c r="CK1426" s="642">
        <f>CK1402*(CK$4/CK$3)/CK1408</f>
        <v>1.2923150434183482E-2</v>
      </c>
      <c r="CL1426" s="642">
        <f>CL1402*(CL$4/CL$3)/CL1408</f>
        <v>1.5919181236297937E-2</v>
      </c>
      <c r="CN1426" s="642">
        <f>CN1402*(CN$4/CN$3)/CN1408</f>
        <v>1.689024610838355E-2</v>
      </c>
      <c r="CO1426" s="642">
        <f>CO1402*(CO$4/CO$3)/CO1408</f>
        <v>2.1341041854138897E-2</v>
      </c>
      <c r="CP1426" s="642">
        <f>CP1402*(CP$4/CP$3)/CP1408</f>
        <v>1.9109391494079246E-2</v>
      </c>
      <c r="CR1426" s="642">
        <f>CR1402*(CR$4/CR$3)/CR1408</f>
        <v>2.0408732136689603E-2</v>
      </c>
      <c r="CS1426" s="642">
        <f>CS1402*(CS$4/CS$3)/CS1408</f>
        <v>2.0165350783488169E-2</v>
      </c>
      <c r="CT1426" s="642">
        <f>CT1402*(CT$4/CT$3)/CT1408</f>
        <v>2.0230409499753313E-2</v>
      </c>
      <c r="CV1426" s="642">
        <f>CV1402*(CV$4/CV$3)/CV1408</f>
        <v>2.0504500730861224E-2</v>
      </c>
      <c r="CW1426" s="642">
        <f>CW1402*(CW$4/CW$3)/CW1408</f>
        <v>2.0290758830834654E-2</v>
      </c>
      <c r="CX1426" s="642">
        <f>CX1402*(CX$4/CX$3)/CX1408</f>
        <v>2.0855506458332472E-2</v>
      </c>
      <c r="CZ1426" s="642">
        <f>CZ1402*(CZ$4/CZ$3)/CZ1408</f>
        <v>2.14320735827596E-2</v>
      </c>
      <c r="DA1426" s="642">
        <f>DA1402*(DA$4/DA$3)/DA1408</f>
        <v>2.0805382472917199E-2</v>
      </c>
      <c r="DB1426" s="642">
        <f>DB1402*(DB$4/DB$3)/DB1408</f>
        <v>2.1027360580967418E-2</v>
      </c>
      <c r="DD1426" s="642">
        <f>DD1402*(DD$4/DD$3)/DD1408</f>
        <v>2.1434070420575463E-2</v>
      </c>
      <c r="DE1426" s="642">
        <f>DE1402*(DE$4/DE$3)/DE1408</f>
        <v>2.1103145950805077E-2</v>
      </c>
      <c r="DF1426" s="642">
        <f>DF1402*(DF$4/DF$3)/DF1408</f>
        <v>2.1276419119722403E-2</v>
      </c>
      <c r="DH1426" s="642">
        <f>DH1402*(DH$4/DH$3)/DH1408</f>
        <v>2.1571059760222788E-2</v>
      </c>
      <c r="DI1426" s="642">
        <f ca="1">DI1402*(DI$4/DI$3)/DI1408</f>
        <v>2.2087567843563645E-2</v>
      </c>
      <c r="DJ1426" s="642">
        <f ca="1">DJ1402*(DJ$4/DJ$3)/DJ1408</f>
        <v>2.1750273975472929E-2</v>
      </c>
      <c r="DL1426" s="642">
        <f ca="1">DL1402*(DL$4/DL$3)/DL1408</f>
        <v>2.2221964033969626E-2</v>
      </c>
      <c r="DM1426" s="642">
        <f ca="1">DM1402*(DM$4/DM$3)/DM1408</f>
        <v>2.1743873571601034E-2</v>
      </c>
      <c r="DN1426" s="642">
        <f ca="1">DN1402*(DN$4/DN$3)/DN1408</f>
        <v>2.1948687924120691E-2</v>
      </c>
      <c r="DP1426" s="642">
        <f ca="1">DP1402*(DP$4/DP$3)/DP1408</f>
        <v>2.180426044180105E-2</v>
      </c>
      <c r="DQ1426" s="642">
        <f ca="1">DQ1402*(DQ$4/DQ$3)/DQ1408</f>
        <v>2.14581054495416E-2</v>
      </c>
      <c r="DR1426" s="642">
        <f ca="1">DR1402*(DR$4/DR$3)/DR1408</f>
        <v>2.1609739427330212E-2</v>
      </c>
    </row>
    <row r="1427" spans="1:122" s="347" customFormat="1" x14ac:dyDescent="0.2">
      <c r="B1427" s="348"/>
      <c r="BH1427" s="348"/>
      <c r="BI1427" s="348"/>
      <c r="BJ1427" s="348"/>
      <c r="BK1427" s="348"/>
      <c r="BL1427" s="348"/>
      <c r="BM1427" s="348"/>
      <c r="BN1427" s="348"/>
      <c r="BO1427" s="348"/>
      <c r="BP1427" s="348"/>
    </row>
    <row r="1428" spans="1:122" s="347" customFormat="1" x14ac:dyDescent="0.2">
      <c r="B1428" s="348"/>
      <c r="BH1428" s="348"/>
      <c r="BI1428" s="348"/>
      <c r="BJ1428" s="348"/>
      <c r="BK1428" s="348"/>
      <c r="BL1428" s="348"/>
      <c r="BM1428" s="348"/>
      <c r="BN1428" s="348"/>
      <c r="BO1428" s="348"/>
      <c r="BP1428" s="348"/>
    </row>
    <row r="1429" spans="1:122" s="347" customFormat="1" x14ac:dyDescent="0.2">
      <c r="B1429" s="348"/>
      <c r="BH1429" s="348"/>
      <c r="BI1429" s="348"/>
      <c r="BJ1429" s="348"/>
      <c r="BK1429" s="348"/>
      <c r="BL1429" s="348"/>
      <c r="BM1429" s="348"/>
      <c r="BN1429" s="348"/>
      <c r="BO1429" s="348"/>
      <c r="BP1429" s="348"/>
    </row>
    <row r="1430" spans="1:122" s="347" customFormat="1" x14ac:dyDescent="0.2">
      <c r="B1430" s="348"/>
      <c r="BH1430" s="348"/>
      <c r="BI1430" s="348"/>
      <c r="BJ1430" s="348"/>
      <c r="BK1430" s="348"/>
      <c r="BL1430" s="348"/>
      <c r="BM1430" s="348"/>
      <c r="BN1430" s="348"/>
      <c r="BO1430" s="348"/>
      <c r="BP1430" s="348"/>
    </row>
    <row r="1431" spans="1:122" s="347" customFormat="1" x14ac:dyDescent="0.2">
      <c r="B1431" s="348"/>
      <c r="BH1431" s="348"/>
      <c r="BI1431" s="348"/>
      <c r="BJ1431" s="348"/>
      <c r="BK1431" s="348"/>
      <c r="BL1431" s="348"/>
      <c r="BM1431" s="348"/>
      <c r="BN1431" s="348"/>
      <c r="BO1431" s="348"/>
      <c r="BP1431" s="348"/>
      <c r="BZ1431" s="848"/>
    </row>
    <row r="1432" spans="1:122" s="347" customFormat="1" x14ac:dyDescent="0.2">
      <c r="B1432" s="348"/>
      <c r="BH1432" s="348"/>
      <c r="BI1432" s="348"/>
      <c r="BJ1432" s="348"/>
      <c r="BK1432" s="348"/>
      <c r="BL1432" s="348"/>
      <c r="BM1432" s="348"/>
      <c r="BN1432" s="348"/>
      <c r="BO1432" s="348"/>
      <c r="BP1432" s="348"/>
      <c r="BZ1432" s="591"/>
    </row>
  </sheetData>
  <pageMargins left="0.75" right="0.75" top="1" bottom="1" header="0.5" footer="0.5"/>
  <pageSetup paperSize="9" orientation="portrait" horizontalDpi="300" verticalDpi="300" r:id="rId1"/>
  <headerFooter alignWithMargins="0"/>
  <legacy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AB2A6E2-C04E-4DCA-82B8-F5D35FB93A7B}">
  <sheetPr codeName="Sheet9">
    <pageSetUpPr fitToPage="1"/>
  </sheetPr>
  <dimension ref="C2:BF237"/>
  <sheetViews>
    <sheetView zoomScale="115" zoomScaleNormal="115" workbookViewId="0">
      <pane xSplit="11" ySplit="2" topLeftCell="T3" activePane="bottomRight" state="frozen"/>
      <selection pane="topRight" activeCell="L1" sqref="L1"/>
      <selection pane="bottomLeft" activeCell="A3" sqref="A3"/>
      <selection pane="bottomRight" activeCell="A2" sqref="A2"/>
    </sheetView>
  </sheetViews>
  <sheetFormatPr defaultColWidth="9.28515625" defaultRowHeight="12.75" x14ac:dyDescent="0.2"/>
  <cols>
    <col min="1" max="2" width="9.28515625" style="2"/>
    <col min="3" max="3" width="27.5703125" style="2" customWidth="1"/>
    <col min="4" max="7" width="9.28515625" style="2" hidden="1" customWidth="1"/>
    <col min="8" max="8" width="10.42578125" style="9" hidden="1" customWidth="1"/>
    <col min="9" max="11" width="0" style="2" hidden="1" customWidth="1"/>
    <col min="12" max="12" width="10.28515625" style="9" customWidth="1"/>
    <col min="13" max="15" width="0" style="2" hidden="1" customWidth="1"/>
    <col min="16" max="16" width="9.28515625" style="9"/>
    <col min="17" max="19" width="9.28515625" style="2" hidden="1" customWidth="1"/>
    <col min="20" max="20" width="9.28515625" style="9"/>
    <col min="21" max="21" width="9.28515625" style="2" hidden="1" customWidth="1"/>
    <col min="22" max="23" width="7.7109375" style="2" hidden="1" customWidth="1"/>
    <col min="24" max="24" width="9.28515625" style="9"/>
    <col min="25" max="27" width="0" style="9" hidden="1" customWidth="1"/>
    <col min="28" max="28" width="9.28515625" style="9"/>
    <col min="29" max="31" width="9.28515625" style="9" hidden="1" customWidth="1"/>
    <col min="32" max="32" width="9.28515625" style="9"/>
    <col min="33" max="35" width="9.28515625" style="9" hidden="1" customWidth="1"/>
    <col min="36" max="36" width="9.28515625" style="9"/>
    <col min="37" max="39" width="9.28515625" style="9" hidden="1" customWidth="1"/>
    <col min="40" max="40" width="9.28515625" style="9"/>
    <col min="41" max="43" width="9.28515625" style="9" hidden="1" customWidth="1"/>
    <col min="44" max="44" width="9.28515625" style="979"/>
    <col min="45" max="47" width="9.28515625" style="9" hidden="1" customWidth="1"/>
    <col min="48" max="48" width="9.28515625" style="9"/>
    <col min="49" max="51" width="9.28515625" style="9" hidden="1" customWidth="1"/>
    <col min="52" max="52" width="9.28515625" style="9"/>
    <col min="53" max="55" width="0" style="9" hidden="1" customWidth="1"/>
    <col min="56" max="56" width="9.28515625" style="9"/>
    <col min="57" max="58" width="7.7109375" style="2" customWidth="1"/>
    <col min="59" max="16384" width="9.28515625" style="2"/>
  </cols>
  <sheetData>
    <row r="2" spans="3:56" x14ac:dyDescent="0.2">
      <c r="C2" s="78"/>
      <c r="D2" s="858" t="str">
        <f>MODEL!BR7</f>
        <v>FY15</v>
      </c>
      <c r="E2" s="78"/>
      <c r="F2" s="78"/>
      <c r="G2" s="78"/>
      <c r="H2" s="858" t="str">
        <f>MODEL!BV7</f>
        <v>FY16</v>
      </c>
      <c r="I2" s="78"/>
      <c r="J2" s="78"/>
      <c r="K2" s="78"/>
      <c r="L2" s="858" t="str">
        <f>MODEL!BZ7</f>
        <v>FY17</v>
      </c>
      <c r="M2" s="78"/>
      <c r="N2" s="78"/>
      <c r="O2" s="78"/>
      <c r="P2" s="858" t="str">
        <f>MODEL!CD7</f>
        <v>FY18</v>
      </c>
      <c r="T2" s="858" t="str">
        <f>MODEL!CH7</f>
        <v>FY19</v>
      </c>
      <c r="X2" s="858" t="str">
        <f>MODEL!CL7</f>
        <v>FY20</v>
      </c>
      <c r="Y2" s="852"/>
      <c r="Z2" s="852"/>
      <c r="AA2" s="852"/>
      <c r="AB2" s="858" t="str">
        <f>MODEL!CP7</f>
        <v>FY21</v>
      </c>
      <c r="AC2" s="852"/>
      <c r="AD2" s="852"/>
      <c r="AE2" s="852"/>
      <c r="AF2" s="858" t="str">
        <f>MODEL!CT7</f>
        <v>FY22</v>
      </c>
      <c r="AG2" s="852"/>
      <c r="AH2" s="852"/>
      <c r="AI2" s="852"/>
      <c r="AJ2" s="858" t="str">
        <f>MODEL!CX7</f>
        <v>FY23</v>
      </c>
      <c r="AK2" s="852"/>
      <c r="AL2" s="852"/>
      <c r="AM2" s="852"/>
      <c r="AN2" s="858" t="str">
        <f>MODEL!DB7</f>
        <v>FY24</v>
      </c>
      <c r="AO2" s="852"/>
      <c r="AP2" s="852"/>
      <c r="AQ2" s="852"/>
      <c r="AR2" s="859" t="str">
        <f>MODEL!DF7</f>
        <v>FY25</v>
      </c>
      <c r="AS2" s="852"/>
      <c r="AT2" s="852"/>
      <c r="AU2" s="852"/>
      <c r="AV2" s="858" t="str">
        <f>MODEL!DJ7</f>
        <v>FY26E</v>
      </c>
      <c r="AW2" s="852"/>
      <c r="AX2" s="852"/>
      <c r="AY2" s="852"/>
      <c r="AZ2" s="858" t="str">
        <f>MODEL!DN7</f>
        <v>FY27E</v>
      </c>
      <c r="BA2" s="852"/>
      <c r="BB2" s="852"/>
      <c r="BC2" s="852"/>
      <c r="BD2" s="858" t="str">
        <f>MODEL!DR7</f>
        <v>FY28E</v>
      </c>
    </row>
    <row r="3" spans="3:56" x14ac:dyDescent="0.2">
      <c r="C3" s="871" t="s">
        <v>929</v>
      </c>
      <c r="D3" s="872"/>
      <c r="E3" s="871"/>
      <c r="F3" s="871"/>
      <c r="G3" s="871"/>
      <c r="H3" s="872"/>
      <c r="I3" s="873"/>
      <c r="J3" s="873"/>
      <c r="K3" s="873"/>
      <c r="L3" s="872"/>
      <c r="M3" s="873"/>
      <c r="N3" s="873"/>
      <c r="O3" s="873"/>
      <c r="P3" s="872"/>
      <c r="T3" s="872"/>
      <c r="X3" s="872"/>
      <c r="Y3" s="872"/>
      <c r="Z3" s="872"/>
      <c r="AA3" s="872"/>
      <c r="AB3" s="872"/>
      <c r="AC3" s="872"/>
      <c r="AD3" s="872"/>
      <c r="AE3" s="872"/>
      <c r="AF3" s="872"/>
      <c r="AG3" s="872"/>
      <c r="AH3" s="872"/>
      <c r="AI3" s="872"/>
      <c r="AJ3" s="872"/>
      <c r="AK3" s="872"/>
      <c r="AL3" s="872"/>
      <c r="AM3" s="872"/>
      <c r="AN3" s="872"/>
      <c r="AO3" s="872"/>
      <c r="AP3" s="872"/>
      <c r="AQ3" s="872"/>
      <c r="AR3" s="874"/>
      <c r="AS3" s="872"/>
      <c r="AT3" s="872"/>
      <c r="AU3" s="872"/>
      <c r="AV3" s="872"/>
      <c r="AW3" s="872"/>
      <c r="AX3" s="872"/>
      <c r="AY3" s="872"/>
      <c r="AZ3" s="872"/>
      <c r="BA3" s="872"/>
      <c r="BB3" s="872"/>
      <c r="BC3" s="872"/>
      <c r="BD3" s="872"/>
    </row>
    <row r="4" spans="3:56" x14ac:dyDescent="0.2">
      <c r="C4" s="2" t="s">
        <v>89</v>
      </c>
      <c r="D4" s="875">
        <f>MODEL!BR183/1000</f>
        <v>422.851</v>
      </c>
      <c r="E4" s="876"/>
      <c r="F4" s="876"/>
      <c r="G4" s="876"/>
      <c r="H4" s="875">
        <f>MODEL!BV183/1000</f>
        <v>456.07400000000001</v>
      </c>
      <c r="I4" s="876"/>
      <c r="J4" s="876"/>
      <c r="K4" s="876"/>
      <c r="L4" s="875">
        <f>MODEL!BZ183/1000</f>
        <v>485.85700000000003</v>
      </c>
      <c r="M4" s="876"/>
      <c r="N4" s="876"/>
      <c r="O4" s="876"/>
      <c r="P4" s="875">
        <f>MODEL!CD183/1000</f>
        <v>501.66500000000002</v>
      </c>
      <c r="T4" s="875">
        <f>MODEL!CH183/1000</f>
        <v>522.94200000000001</v>
      </c>
      <c r="X4" s="875">
        <f>MODEL!CL183/1000</f>
        <v>542.88</v>
      </c>
      <c r="Y4" s="875"/>
      <c r="Z4" s="875"/>
      <c r="AA4" s="875"/>
      <c r="AB4" s="875">
        <f>MODEL!CP183/1000</f>
        <v>579.75599999999997</v>
      </c>
      <c r="AC4" s="875"/>
      <c r="AD4" s="875"/>
      <c r="AE4" s="875"/>
      <c r="AF4" s="875">
        <f>MODEL!CT183/1000</f>
        <v>621.99300000000005</v>
      </c>
      <c r="AG4" s="875"/>
      <c r="AH4" s="875"/>
      <c r="AI4" s="875"/>
      <c r="AJ4" s="875">
        <f>MODEL!CX183/1000</f>
        <v>652.21799999999996</v>
      </c>
      <c r="AK4" s="875"/>
      <c r="AL4" s="875"/>
      <c r="AM4" s="875"/>
      <c r="AN4" s="875">
        <f>MODEL!DB183/1000</f>
        <v>664.70100000000002</v>
      </c>
      <c r="AO4" s="875"/>
      <c r="AP4" s="875"/>
      <c r="AQ4" s="875"/>
      <c r="AR4" s="877">
        <f>MODEL!DF183/1000</f>
        <v>707.86199999999997</v>
      </c>
      <c r="AS4" s="875"/>
      <c r="AT4" s="875"/>
      <c r="AU4" s="875"/>
      <c r="AV4" s="875">
        <f>MODEL!DJ183/1000</f>
        <v>756.3379190370772</v>
      </c>
      <c r="AW4" s="875"/>
      <c r="AX4" s="875"/>
      <c r="AY4" s="875"/>
      <c r="AZ4" s="875">
        <f>MODEL!DN183/1000</f>
        <v>803.03296385639703</v>
      </c>
      <c r="BA4" s="875"/>
      <c r="BB4" s="875"/>
      <c r="BC4" s="875"/>
      <c r="BD4" s="875">
        <f>MODEL!DR183/1000</f>
        <v>842.12877139679426</v>
      </c>
    </row>
    <row r="5" spans="3:56" x14ac:dyDescent="0.2">
      <c r="C5" s="878" t="s">
        <v>928</v>
      </c>
      <c r="D5" s="879">
        <f>MODEL!BS183</f>
        <v>5.7960644007155615E-2</v>
      </c>
      <c r="E5" s="880"/>
      <c r="F5" s="880"/>
      <c r="G5" s="880"/>
      <c r="H5" s="879">
        <f>MODEL!BW183</f>
        <v>7.8569046780071483E-2</v>
      </c>
      <c r="I5" s="880"/>
      <c r="J5" s="880"/>
      <c r="K5" s="880"/>
      <c r="L5" s="879">
        <f>MODEL!CA183</f>
        <v>6.5302999074711598E-2</v>
      </c>
      <c r="M5" s="880"/>
      <c r="N5" s="880"/>
      <c r="O5" s="880"/>
      <c r="P5" s="881">
        <f>MODEL!CE183</f>
        <v>3.2536322415854801E-2</v>
      </c>
      <c r="T5" s="881">
        <f>MODEL!CI183</f>
        <v>4.2412765490915216E-2</v>
      </c>
      <c r="X5" s="881">
        <f>MODEL!CM183</f>
        <v>3.8126599125715588E-2</v>
      </c>
      <c r="Y5" s="881"/>
      <c r="Z5" s="881"/>
      <c r="AA5" s="881"/>
      <c r="AB5" s="881">
        <f>MODEL!CQ183</f>
        <v>6.7926613616268838E-2</v>
      </c>
      <c r="AC5" s="881"/>
      <c r="AD5" s="881"/>
      <c r="AE5" s="881"/>
      <c r="AF5" s="881">
        <f>MODEL!CU183</f>
        <v>7.2853062322770334E-2</v>
      </c>
      <c r="AG5" s="879"/>
      <c r="AH5" s="879"/>
      <c r="AI5" s="879"/>
      <c r="AJ5" s="881">
        <f>MODEL!CY183</f>
        <v>4.8593794463924755E-2</v>
      </c>
      <c r="AK5" s="879"/>
      <c r="AL5" s="879"/>
      <c r="AM5" s="879"/>
      <c r="AN5" s="881">
        <f>MODEL!DC183</f>
        <v>1.9139306182901938E-2</v>
      </c>
      <c r="AO5" s="879"/>
      <c r="AP5" s="879"/>
      <c r="AQ5" s="879"/>
      <c r="AR5" s="882">
        <f>MODEL!DG183</f>
        <v>6.4932954817278787E-2</v>
      </c>
      <c r="AS5" s="879"/>
      <c r="AT5" s="879"/>
      <c r="AU5" s="879"/>
      <c r="AV5" s="879">
        <f>MODEL!DK183</f>
        <v>6.8482160416970084E-2</v>
      </c>
      <c r="AW5" s="879"/>
      <c r="AX5" s="879"/>
      <c r="AY5" s="879"/>
      <c r="AZ5" s="879">
        <f>MODEL!DO183</f>
        <v>6.1738336322961329E-2</v>
      </c>
      <c r="BA5" s="879"/>
      <c r="BB5" s="879"/>
      <c r="BC5" s="879"/>
      <c r="BD5" s="879">
        <f>MODEL!DS183</f>
        <v>4.868518392152632E-2</v>
      </c>
    </row>
    <row r="6" spans="3:56" x14ac:dyDescent="0.2">
      <c r="C6" s="2" t="s">
        <v>271</v>
      </c>
      <c r="D6" s="849">
        <f>+D8-D4</f>
        <v>223.32100000000003</v>
      </c>
      <c r="H6" s="849">
        <f>+H8-H4</f>
        <v>245.65600000000001</v>
      </c>
      <c r="L6" s="849">
        <f>+L8-L4</f>
        <v>251.14499999999992</v>
      </c>
      <c r="P6" s="849">
        <f>+P8-P4</f>
        <v>246.74299999999999</v>
      </c>
      <c r="T6" s="849">
        <f>+T8-T4</f>
        <v>238.07100000000003</v>
      </c>
      <c r="X6" s="849">
        <f>+X8-X4</f>
        <v>237.22799999999995</v>
      </c>
      <c r="Y6" s="849"/>
      <c r="Z6" s="849"/>
      <c r="AA6" s="849"/>
      <c r="AB6" s="849">
        <f>+AB8-AB4</f>
        <v>238.51</v>
      </c>
      <c r="AC6" s="849"/>
      <c r="AD6" s="849"/>
      <c r="AE6" s="849"/>
      <c r="AF6" s="849">
        <f>+AF8-AF4</f>
        <v>262.96999999999991</v>
      </c>
      <c r="AG6" s="849"/>
      <c r="AH6" s="849"/>
      <c r="AI6" s="849"/>
      <c r="AJ6" s="849">
        <f>+AJ8-AJ4</f>
        <v>281.03300000000002</v>
      </c>
      <c r="AK6" s="849"/>
      <c r="AL6" s="849"/>
      <c r="AM6" s="849"/>
      <c r="AN6" s="849">
        <f>+AN8-AN4</f>
        <v>285.24699999999996</v>
      </c>
      <c r="AO6" s="849"/>
      <c r="AP6" s="849"/>
      <c r="AQ6" s="849"/>
      <c r="AR6" s="883">
        <f>+AR8-AR4</f>
        <v>308.02100000000007</v>
      </c>
      <c r="AS6" s="849"/>
      <c r="AT6" s="849"/>
      <c r="AU6" s="849"/>
      <c r="AV6" s="849">
        <f>+AV8-AV4</f>
        <v>329.22546601251952</v>
      </c>
      <c r="AW6" s="849"/>
      <c r="AX6" s="849"/>
      <c r="AY6" s="849"/>
      <c r="AZ6" s="849">
        <f>+AZ8-AZ4</f>
        <v>349.13725673012129</v>
      </c>
      <c r="BA6" s="849"/>
      <c r="BB6" s="849"/>
      <c r="BC6" s="849"/>
      <c r="BD6" s="849">
        <f>+BD8-BD4</f>
        <v>366.61209389009196</v>
      </c>
    </row>
    <row r="7" spans="3:56" x14ac:dyDescent="0.2">
      <c r="C7" s="878" t="s">
        <v>936</v>
      </c>
      <c r="D7" s="879"/>
      <c r="E7" s="880"/>
      <c r="F7" s="880"/>
      <c r="G7" s="880"/>
      <c r="H7" s="884">
        <f>+H6/D6-1</f>
        <v>0.10001298579175266</v>
      </c>
      <c r="I7" s="878"/>
      <c r="J7" s="878"/>
      <c r="K7" s="878"/>
      <c r="L7" s="884">
        <f>+L6/H6-1</f>
        <v>2.2344253753215471E-2</v>
      </c>
      <c r="M7" s="878"/>
      <c r="N7" s="878"/>
      <c r="O7" s="878"/>
      <c r="P7" s="885">
        <f>+P6/L6-1</f>
        <v>-1.7527723028529008E-2</v>
      </c>
      <c r="T7" s="885">
        <f>+T6/P6-1</f>
        <v>-3.5145880531565088E-2</v>
      </c>
      <c r="X7" s="885">
        <f>+X6/T6-1</f>
        <v>-3.5409604697761443E-3</v>
      </c>
      <c r="Y7" s="885"/>
      <c r="Z7" s="885"/>
      <c r="AA7" s="885"/>
      <c r="AB7" s="885">
        <f>+AB6/X6-1</f>
        <v>5.4040838349607156E-3</v>
      </c>
      <c r="AC7" s="885"/>
      <c r="AD7" s="885"/>
      <c r="AE7" s="885"/>
      <c r="AF7" s="885">
        <f>+AF6/AB6-1</f>
        <v>0.10255335206070981</v>
      </c>
      <c r="AG7" s="884"/>
      <c r="AH7" s="884"/>
      <c r="AI7" s="884"/>
      <c r="AJ7" s="885">
        <f>+AJ6/AF6-1</f>
        <v>6.8688443548694078E-2</v>
      </c>
      <c r="AK7" s="884"/>
      <c r="AL7" s="884"/>
      <c r="AM7" s="884"/>
      <c r="AN7" s="885">
        <f>+AN6/AJ6-1</f>
        <v>1.499468034003093E-2</v>
      </c>
      <c r="AO7" s="884"/>
      <c r="AP7" s="884"/>
      <c r="AQ7" s="884"/>
      <c r="AR7" s="886">
        <f>+AR6/AN6-1</f>
        <v>7.9839577629212899E-2</v>
      </c>
      <c r="AS7" s="884"/>
      <c r="AT7" s="884"/>
      <c r="AU7" s="884"/>
      <c r="AV7" s="884">
        <f>+AV6/AR6-1</f>
        <v>6.8840975168964036E-2</v>
      </c>
      <c r="AW7" s="884"/>
      <c r="AX7" s="884"/>
      <c r="AY7" s="884"/>
      <c r="AZ7" s="884">
        <f>+AZ6/AV6-1</f>
        <v>6.0480712378563561E-2</v>
      </c>
      <c r="BA7" s="884"/>
      <c r="BB7" s="884"/>
      <c r="BC7" s="884"/>
      <c r="BD7" s="884">
        <f>+BD6/AZ6-1</f>
        <v>5.0051482112315693E-2</v>
      </c>
    </row>
    <row r="8" spans="3:56" x14ac:dyDescent="0.2">
      <c r="C8" s="2" t="s">
        <v>924</v>
      </c>
      <c r="D8" s="875">
        <f>MODEL!BR187/1000</f>
        <v>646.17200000000003</v>
      </c>
      <c r="E8" s="876"/>
      <c r="F8" s="876"/>
      <c r="G8" s="876"/>
      <c r="H8" s="875">
        <f>MODEL!BV187/1000</f>
        <v>701.73</v>
      </c>
      <c r="I8" s="876"/>
      <c r="J8" s="876"/>
      <c r="K8" s="876"/>
      <c r="L8" s="875">
        <f>MODEL!BZ187/1000</f>
        <v>737.00199999999995</v>
      </c>
      <c r="M8" s="876"/>
      <c r="N8" s="876"/>
      <c r="O8" s="876"/>
      <c r="P8" s="875">
        <f>MODEL!CD187/1000</f>
        <v>748.40800000000002</v>
      </c>
      <c r="T8" s="875">
        <f>MODEL!CH187/1000</f>
        <v>761.01300000000003</v>
      </c>
      <c r="X8" s="875">
        <f>MODEL!CL187/1000</f>
        <v>780.10799999999995</v>
      </c>
      <c r="Y8" s="875"/>
      <c r="Z8" s="875"/>
      <c r="AA8" s="875"/>
      <c r="AB8" s="875">
        <f>MODEL!CP187/1000</f>
        <v>818.26599999999996</v>
      </c>
      <c r="AC8" s="875"/>
      <c r="AD8" s="875"/>
      <c r="AE8" s="875"/>
      <c r="AF8" s="875">
        <f>MODEL!CT187/1000</f>
        <v>884.96299999999997</v>
      </c>
      <c r="AG8" s="875"/>
      <c r="AH8" s="875"/>
      <c r="AI8" s="875"/>
      <c r="AJ8" s="875">
        <f>MODEL!CX187/1000</f>
        <v>933.25099999999998</v>
      </c>
      <c r="AK8" s="875"/>
      <c r="AL8" s="875"/>
      <c r="AM8" s="875"/>
      <c r="AN8" s="875">
        <f>MODEL!DB187/1000</f>
        <v>949.94799999999998</v>
      </c>
      <c r="AO8" s="875"/>
      <c r="AP8" s="875"/>
      <c r="AQ8" s="875"/>
      <c r="AR8" s="877">
        <f>MODEL!DF187/1000</f>
        <v>1015.883</v>
      </c>
      <c r="AS8" s="875"/>
      <c r="AT8" s="875"/>
      <c r="AU8" s="875"/>
      <c r="AV8" s="875">
        <f>MODEL!DJ187/1000</f>
        <v>1085.5633850495967</v>
      </c>
      <c r="AW8" s="875"/>
      <c r="AX8" s="875"/>
      <c r="AY8" s="875"/>
      <c r="AZ8" s="875">
        <f>MODEL!DN187/1000</f>
        <v>1152.1702205865183</v>
      </c>
      <c r="BA8" s="875"/>
      <c r="BB8" s="875"/>
      <c r="BC8" s="875"/>
      <c r="BD8" s="875">
        <f>MODEL!DR187/1000</f>
        <v>1208.7408652868862</v>
      </c>
    </row>
    <row r="9" spans="3:56" x14ac:dyDescent="0.2">
      <c r="C9" s="878" t="s">
        <v>937</v>
      </c>
      <c r="D9" s="879">
        <f>MODEL!BS187</f>
        <v>6.2560945328854034E-2</v>
      </c>
      <c r="E9" s="880"/>
      <c r="F9" s="880"/>
      <c r="G9" s="880"/>
      <c r="H9" s="879">
        <f>MODEL!BW187</f>
        <v>8.5980203413332568E-2</v>
      </c>
      <c r="I9" s="880"/>
      <c r="J9" s="880"/>
      <c r="K9" s="880"/>
      <c r="L9" s="879">
        <f>MODEL!CA187</f>
        <v>5.026434668604729E-2</v>
      </c>
      <c r="M9" s="880"/>
      <c r="N9" s="880"/>
      <c r="O9" s="880"/>
      <c r="P9" s="881">
        <f>MODEL!CE187</f>
        <v>1.5476213090330759E-2</v>
      </c>
      <c r="T9" s="881">
        <f>MODEL!CI187</f>
        <v>1.6842417504890461E-2</v>
      </c>
      <c r="X9" s="881">
        <f>MODEL!CM187</f>
        <v>2.5091555597604787E-2</v>
      </c>
      <c r="Y9" s="881"/>
      <c r="Z9" s="881"/>
      <c r="AA9" s="881"/>
      <c r="AB9" s="881">
        <f>MODEL!CQ187</f>
        <v>4.8913740148800011E-2</v>
      </c>
      <c r="AC9" s="881"/>
      <c r="AD9" s="881"/>
      <c r="AE9" s="881"/>
      <c r="AF9" s="881">
        <f>MODEL!CU187</f>
        <v>8.151016906482722E-2</v>
      </c>
      <c r="AG9" s="879"/>
      <c r="AH9" s="879"/>
      <c r="AI9" s="879"/>
      <c r="AJ9" s="881">
        <f>MODEL!CY187</f>
        <v>5.456499311270635E-2</v>
      </c>
      <c r="AK9" s="879"/>
      <c r="AL9" s="879"/>
      <c r="AM9" s="879"/>
      <c r="AN9" s="881">
        <f>MODEL!DC187</f>
        <v>1.7891221118434331E-2</v>
      </c>
      <c r="AO9" s="879"/>
      <c r="AP9" s="879"/>
      <c r="AQ9" s="879"/>
      <c r="AR9" s="882">
        <f>MODEL!DG187</f>
        <v>6.9409062390783482E-2</v>
      </c>
      <c r="AS9" s="879"/>
      <c r="AT9" s="879"/>
      <c r="AU9" s="879"/>
      <c r="AV9" s="879">
        <f>MODEL!DK187</f>
        <v>6.8590954912717939E-2</v>
      </c>
      <c r="AW9" s="879"/>
      <c r="AX9" s="879"/>
      <c r="AY9" s="879"/>
      <c r="AZ9" s="879">
        <f>MODEL!DO187</f>
        <v>6.1356928995793814E-2</v>
      </c>
      <c r="BA9" s="879"/>
      <c r="BB9" s="879"/>
      <c r="BC9" s="879"/>
      <c r="BD9" s="879">
        <f>MODEL!DS187</f>
        <v>4.9099207469162298E-2</v>
      </c>
    </row>
    <row r="10" spans="3:56" x14ac:dyDescent="0.2">
      <c r="C10" s="2" t="s">
        <v>938</v>
      </c>
      <c r="D10" s="875">
        <f>MODEL!BR486/1000</f>
        <v>624.32399999999996</v>
      </c>
      <c r="E10" s="876"/>
      <c r="F10" s="876"/>
      <c r="G10" s="876"/>
      <c r="H10" s="875">
        <f>MODEL!BV486/1000</f>
        <v>644.79600000000005</v>
      </c>
      <c r="I10" s="876"/>
      <c r="J10" s="876"/>
      <c r="K10" s="876"/>
      <c r="L10" s="875">
        <f>MODEL!BZ486/1000</f>
        <v>680.154</v>
      </c>
      <c r="M10" s="876"/>
      <c r="N10" s="876"/>
      <c r="O10" s="876"/>
      <c r="P10" s="875">
        <f>MODEL!CD486/1000</f>
        <v>699.90899999999999</v>
      </c>
      <c r="T10" s="875">
        <f>MODEL!CH486/1000</f>
        <v>709.53399999999999</v>
      </c>
      <c r="X10" s="875">
        <f>MODEL!CL486/1000</f>
        <v>723.01099999999997</v>
      </c>
      <c r="Y10" s="875"/>
      <c r="Z10" s="875"/>
      <c r="AA10" s="875"/>
      <c r="AB10" s="875">
        <f>MODEL!CP486/1000</f>
        <v>735.32799999999997</v>
      </c>
      <c r="AC10" s="875"/>
      <c r="AD10" s="875"/>
      <c r="AE10" s="875"/>
      <c r="AF10" s="875">
        <f>MODEL!CT486/1000</f>
        <v>784.54200000000003</v>
      </c>
      <c r="AG10" s="875"/>
      <c r="AH10" s="875"/>
      <c r="AI10" s="875"/>
      <c r="AJ10" s="875">
        <f>MODEL!CX486/1000</f>
        <v>836.601</v>
      </c>
      <c r="AK10" s="875"/>
      <c r="AL10" s="875"/>
      <c r="AM10" s="875"/>
      <c r="AN10" s="875">
        <f>MODEL!DB486/1000</f>
        <v>852.72799999999995</v>
      </c>
      <c r="AO10" s="875"/>
      <c r="AP10" s="875"/>
      <c r="AQ10" s="875"/>
      <c r="AR10" s="877">
        <f>MODEL!DF486/1000</f>
        <v>886.37099999999998</v>
      </c>
      <c r="AS10" s="875"/>
      <c r="AT10" s="875"/>
      <c r="AU10" s="875"/>
      <c r="AV10" s="875">
        <f>MODEL!DJ486/1000</f>
        <v>948.07425372923922</v>
      </c>
      <c r="AW10" s="875"/>
      <c r="AX10" s="875"/>
      <c r="AY10" s="875"/>
      <c r="AZ10" s="875">
        <f>MODEL!DN486/1000</f>
        <v>1009.7361048833908</v>
      </c>
      <c r="BA10" s="875"/>
      <c r="BB10" s="875"/>
      <c r="BC10" s="875"/>
      <c r="BD10" s="875">
        <f>MODEL!DR486/1000</f>
        <v>1065.4100123901776</v>
      </c>
    </row>
    <row r="11" spans="3:56" x14ac:dyDescent="0.2">
      <c r="C11" s="2" t="s">
        <v>939</v>
      </c>
      <c r="D11" s="875">
        <f>MODEL!BR487/1000</f>
        <v>131.59049999999999</v>
      </c>
      <c r="E11" s="876"/>
      <c r="F11" s="876"/>
      <c r="G11" s="876"/>
      <c r="H11" s="875">
        <f>MODEL!BV487/1000</f>
        <v>145.85400000000001</v>
      </c>
      <c r="I11" s="876"/>
      <c r="J11" s="876"/>
      <c r="K11" s="876"/>
      <c r="L11" s="875">
        <f>MODEL!BZ487/1000</f>
        <v>154.58699999999999</v>
      </c>
      <c r="M11" s="876"/>
      <c r="N11" s="876"/>
      <c r="O11" s="876"/>
      <c r="P11" s="875">
        <f>MODEL!CD487/1000</f>
        <v>154.35499999999999</v>
      </c>
      <c r="T11" s="875">
        <f>MODEL!CH487/1000</f>
        <v>161.88399999999999</v>
      </c>
      <c r="X11" s="875">
        <f>MODEL!CL487/1000</f>
        <v>174.398</v>
      </c>
      <c r="Y11" s="875"/>
      <c r="Z11" s="875"/>
      <c r="AA11" s="875"/>
      <c r="AB11" s="875">
        <f>MODEL!CP487/1000</f>
        <v>194.518</v>
      </c>
      <c r="AC11" s="875"/>
      <c r="AD11" s="875"/>
      <c r="AE11" s="875"/>
      <c r="AF11" s="875">
        <f>MODEL!CT487/1000</f>
        <v>242.36799999999999</v>
      </c>
      <c r="AG11" s="875"/>
      <c r="AH11" s="875"/>
      <c r="AI11" s="875"/>
      <c r="AJ11" s="875">
        <f>MODEL!CX487/1000</f>
        <v>274.65300000000002</v>
      </c>
      <c r="AK11" s="875"/>
      <c r="AL11" s="875"/>
      <c r="AM11" s="875"/>
      <c r="AN11" s="875">
        <f>MODEL!DB487/1000</f>
        <v>291.62900000000002</v>
      </c>
      <c r="AO11" s="875"/>
      <c r="AP11" s="875"/>
      <c r="AQ11" s="875"/>
      <c r="AR11" s="877">
        <f>MODEL!DF487/1000</f>
        <v>267.31299999999999</v>
      </c>
      <c r="AS11" s="875"/>
      <c r="AT11" s="875"/>
      <c r="AU11" s="875"/>
      <c r="AV11" s="875">
        <f>MODEL!DJ487/1000</f>
        <v>305.04455855458605</v>
      </c>
      <c r="AW11" s="875"/>
      <c r="AX11" s="875"/>
      <c r="AY11" s="875"/>
      <c r="AZ11" s="875">
        <f>MODEL!DN487/1000</f>
        <v>324.8843676106693</v>
      </c>
      <c r="BA11" s="875"/>
      <c r="BB11" s="875"/>
      <c r="BC11" s="875"/>
      <c r="BD11" s="875">
        <f>MODEL!DR487/1000</f>
        <v>342.79754526697008</v>
      </c>
    </row>
    <row r="12" spans="3:56" x14ac:dyDescent="0.2">
      <c r="C12" s="3" t="s">
        <v>461</v>
      </c>
      <c r="D12" s="875">
        <f>MODEL!BR488/1000</f>
        <v>755.91449999999998</v>
      </c>
      <c r="E12" s="887"/>
      <c r="F12" s="887"/>
      <c r="G12" s="887"/>
      <c r="H12" s="875">
        <f>MODEL!BV488/1000</f>
        <v>790.65</v>
      </c>
      <c r="I12" s="887"/>
      <c r="J12" s="887"/>
      <c r="K12" s="887"/>
      <c r="L12" s="875">
        <f>MODEL!BZ488/1000</f>
        <v>834.74099999999999</v>
      </c>
      <c r="M12" s="887"/>
      <c r="N12" s="887"/>
      <c r="O12" s="887"/>
      <c r="P12" s="875">
        <f>MODEL!CD488/1000</f>
        <v>854.26400000000001</v>
      </c>
      <c r="T12" s="875">
        <f>MODEL!CH488/1000</f>
        <v>871.41800000000001</v>
      </c>
      <c r="X12" s="875">
        <f>MODEL!CL488/1000</f>
        <v>897.40899999999999</v>
      </c>
      <c r="Y12" s="875"/>
      <c r="Z12" s="875"/>
      <c r="AA12" s="875"/>
      <c r="AB12" s="875">
        <f>MODEL!CP488/1000</f>
        <v>929.846</v>
      </c>
      <c r="AC12" s="875"/>
      <c r="AD12" s="875"/>
      <c r="AE12" s="875"/>
      <c r="AF12" s="875">
        <f>MODEL!CT488/1000</f>
        <v>1026.9100000000001</v>
      </c>
      <c r="AG12" s="875"/>
      <c r="AH12" s="875"/>
      <c r="AI12" s="875"/>
      <c r="AJ12" s="875">
        <f>MODEL!CX488/1000</f>
        <v>1111.2539999999999</v>
      </c>
      <c r="AK12" s="875"/>
      <c r="AL12" s="875"/>
      <c r="AM12" s="875"/>
      <c r="AN12" s="875">
        <f>MODEL!DB488/1000</f>
        <v>1144.357</v>
      </c>
      <c r="AO12" s="875"/>
      <c r="AP12" s="875"/>
      <c r="AQ12" s="875"/>
      <c r="AR12" s="877">
        <f>MODEL!DF488/1000</f>
        <v>1153.684</v>
      </c>
      <c r="AS12" s="875"/>
      <c r="AT12" s="875"/>
      <c r="AU12" s="875"/>
      <c r="AV12" s="875">
        <f>MODEL!DJ488/1000</f>
        <v>1253.118812283825</v>
      </c>
      <c r="AW12" s="875"/>
      <c r="AX12" s="875"/>
      <c r="AY12" s="875"/>
      <c r="AZ12" s="875">
        <f>MODEL!DN488/1000</f>
        <v>1334.6204724940601</v>
      </c>
      <c r="BA12" s="875"/>
      <c r="BB12" s="875"/>
      <c r="BC12" s="875"/>
      <c r="BD12" s="875">
        <f>MODEL!DR488/1000</f>
        <v>1408.2075576571478</v>
      </c>
    </row>
    <row r="13" spans="3:56" x14ac:dyDescent="0.2">
      <c r="C13" s="2" t="s">
        <v>940</v>
      </c>
      <c r="D13" s="888">
        <f>MODEL!BR567</f>
        <v>2.0937553122740732E-2</v>
      </c>
      <c r="E13" s="876"/>
      <c r="F13" s="876"/>
      <c r="G13" s="876"/>
      <c r="H13" s="888">
        <f>MODEL!BV567</f>
        <v>2.1419085562511857E-2</v>
      </c>
      <c r="I13" s="876"/>
      <c r="J13" s="876"/>
      <c r="K13" s="876"/>
      <c r="L13" s="888">
        <f>MODEL!BZ567</f>
        <v>2.1016099604547998E-2</v>
      </c>
      <c r="M13" s="876"/>
      <c r="N13" s="876"/>
      <c r="O13" s="876"/>
      <c r="P13" s="888">
        <f>MODEL!CD567</f>
        <v>2.1471114315949169E-2</v>
      </c>
      <c r="T13" s="888">
        <f>MODEL!CH567</f>
        <v>2.0913040584426761E-2</v>
      </c>
      <c r="X13" s="888">
        <f>MODEL!CL567</f>
        <v>2.0737478674717993E-2</v>
      </c>
      <c r="Y13" s="888"/>
      <c r="Z13" s="888"/>
      <c r="AA13" s="888"/>
      <c r="AB13" s="888">
        <f>MODEL!CP567</f>
        <v>2.0758276101634034E-2</v>
      </c>
      <c r="AC13" s="888"/>
      <c r="AD13" s="888"/>
      <c r="AE13" s="888"/>
      <c r="AF13" s="888">
        <f>MODEL!CT567</f>
        <v>1.8962713382867046E-2</v>
      </c>
      <c r="AG13" s="888"/>
      <c r="AH13" s="888"/>
      <c r="AI13" s="888"/>
      <c r="AJ13" s="888">
        <f>MODEL!CX567</f>
        <v>2.0747731841685161E-2</v>
      </c>
      <c r="AK13" s="888"/>
      <c r="AL13" s="888"/>
      <c r="AM13" s="888"/>
      <c r="AN13" s="888">
        <f>MODEL!DB567</f>
        <v>1.9944824910408204E-2</v>
      </c>
      <c r="AO13" s="888"/>
      <c r="AP13" s="888"/>
      <c r="AQ13" s="888"/>
      <c r="AR13" s="889">
        <f>MODEL!DF567</f>
        <v>2.0822859639207963E-2</v>
      </c>
      <c r="AS13" s="888"/>
      <c r="AT13" s="888"/>
      <c r="AU13" s="888"/>
      <c r="AV13" s="888">
        <f>MODEL!DJ567</f>
        <v>2.0482977480335639E-2</v>
      </c>
      <c r="AW13" s="888"/>
      <c r="AX13" s="888"/>
      <c r="AY13" s="888"/>
      <c r="AZ13" s="888">
        <f>MODEL!DN567</f>
        <v>2.0482511452447994E-2</v>
      </c>
      <c r="BA13" s="888"/>
      <c r="BB13" s="888"/>
      <c r="BC13" s="888"/>
      <c r="BD13" s="888">
        <f>MODEL!DR567</f>
        <v>2.0283697634822805E-2</v>
      </c>
    </row>
    <row r="14" spans="3:56" x14ac:dyDescent="0.2">
      <c r="C14" s="878" t="s">
        <v>28</v>
      </c>
      <c r="D14" s="890">
        <f>MODEL!BR569</f>
        <v>-4.5686201482517466E-4</v>
      </c>
      <c r="E14" s="880"/>
      <c r="F14" s="880"/>
      <c r="G14" s="880"/>
      <c r="H14" s="890">
        <f>MODEL!BV569</f>
        <v>4.8153243977112556E-4</v>
      </c>
      <c r="I14" s="880"/>
      <c r="J14" s="891"/>
      <c r="K14" s="891"/>
      <c r="L14" s="890">
        <f>MODEL!BZ569</f>
        <v>-4.0298595796385908E-4</v>
      </c>
      <c r="M14" s="880"/>
      <c r="N14" s="891"/>
      <c r="O14" s="891"/>
      <c r="P14" s="892">
        <f>MODEL!CD569</f>
        <v>4.5501471140117072E-4</v>
      </c>
      <c r="T14" s="892">
        <f>MODEL!CH569</f>
        <v>-5.5807373152240783E-4</v>
      </c>
      <c r="X14" s="892">
        <f>MODEL!CL569</f>
        <v>-1.7556190970876781E-4</v>
      </c>
      <c r="Y14" s="892"/>
      <c r="Z14" s="892"/>
      <c r="AA14" s="892"/>
      <c r="AB14" s="892">
        <f>MODEL!CP569</f>
        <v>2.0797426916040196E-5</v>
      </c>
      <c r="AC14" s="892"/>
      <c r="AD14" s="892"/>
      <c r="AE14" s="892"/>
      <c r="AF14" s="892">
        <f>MODEL!CT569</f>
        <v>-1.7955627187669874E-3</v>
      </c>
      <c r="AG14" s="890"/>
      <c r="AH14" s="890"/>
      <c r="AI14" s="890"/>
      <c r="AJ14" s="892">
        <f>MODEL!CX569</f>
        <v>1.7850184588181148E-3</v>
      </c>
      <c r="AK14" s="890"/>
      <c r="AL14" s="890"/>
      <c r="AM14" s="890"/>
      <c r="AN14" s="892">
        <f>MODEL!DB569</f>
        <v>-8.0290693127695739E-4</v>
      </c>
      <c r="AO14" s="890"/>
      <c r="AP14" s="890"/>
      <c r="AQ14" s="890"/>
      <c r="AR14" s="893">
        <f>MODEL!DF569</f>
        <v>8.7803472879975988E-4</v>
      </c>
      <c r="AS14" s="890"/>
      <c r="AT14" s="890"/>
      <c r="AU14" s="890"/>
      <c r="AV14" s="890">
        <f>MODEL!DJ569</f>
        <v>-3.398821588723247E-4</v>
      </c>
      <c r="AW14" s="890"/>
      <c r="AX14" s="890"/>
      <c r="AY14" s="890"/>
      <c r="AZ14" s="890">
        <f>MODEL!DN569</f>
        <v>-4.6602788764463221E-7</v>
      </c>
      <c r="BA14" s="890"/>
      <c r="BB14" s="890"/>
      <c r="BC14" s="890"/>
      <c r="BD14" s="890">
        <f>MODEL!DR569</f>
        <v>-1.9881381762518885E-4</v>
      </c>
    </row>
    <row r="15" spans="3:56" x14ac:dyDescent="0.2">
      <c r="C15" s="2" t="s">
        <v>10</v>
      </c>
      <c r="D15" s="894">
        <f>MODEL!BR14</f>
        <v>15827</v>
      </c>
      <c r="E15" s="876"/>
      <c r="F15" s="876"/>
      <c r="G15" s="876"/>
      <c r="H15" s="894">
        <f>MODEL!BV14</f>
        <v>16935</v>
      </c>
      <c r="I15" s="876"/>
      <c r="J15" s="876"/>
      <c r="K15" s="876"/>
      <c r="L15" s="894">
        <f>MODEL!BZ14</f>
        <v>17543</v>
      </c>
      <c r="M15" s="876"/>
      <c r="N15" s="876"/>
      <c r="O15" s="876"/>
      <c r="P15" s="894">
        <f>MODEL!CD14</f>
        <v>18342</v>
      </c>
      <c r="T15" s="894">
        <f>MODEL!CH14</f>
        <v>18224</v>
      </c>
      <c r="X15" s="894">
        <f>MODEL!CL14</f>
        <v>18610</v>
      </c>
      <c r="Y15" s="894"/>
      <c r="Z15" s="894"/>
      <c r="AA15" s="894"/>
      <c r="AB15" s="894">
        <f>MODEL!CP14</f>
        <v>19302</v>
      </c>
      <c r="AC15" s="894"/>
      <c r="AD15" s="894"/>
      <c r="AE15" s="894"/>
      <c r="AF15" s="894">
        <f>MODEL!CT14</f>
        <v>19473</v>
      </c>
      <c r="AG15" s="894"/>
      <c r="AH15" s="894"/>
      <c r="AI15" s="894"/>
      <c r="AJ15" s="894">
        <f>MODEL!CX14</f>
        <v>23056</v>
      </c>
      <c r="AK15" s="894"/>
      <c r="AL15" s="894"/>
      <c r="AM15" s="894"/>
      <c r="AN15" s="894">
        <f>MODEL!DB14</f>
        <v>22824</v>
      </c>
      <c r="AO15" s="894"/>
      <c r="AP15" s="894"/>
      <c r="AQ15" s="894"/>
      <c r="AR15" s="895">
        <f>MODEL!DF14</f>
        <v>24023</v>
      </c>
      <c r="AS15" s="894"/>
      <c r="AT15" s="894"/>
      <c r="AU15" s="894"/>
      <c r="AV15" s="894">
        <f>MODEL!DJ14</f>
        <v>25667.604412194531</v>
      </c>
      <c r="AW15" s="894"/>
      <c r="AX15" s="894"/>
      <c r="AY15" s="894"/>
      <c r="AZ15" s="894">
        <f>MODEL!DN14</f>
        <v>27336.37911253114</v>
      </c>
      <c r="BA15" s="894"/>
      <c r="BB15" s="894"/>
      <c r="BC15" s="894"/>
      <c r="BD15" s="894">
        <f>MODEL!DR14</f>
        <v>28563.656306589888</v>
      </c>
    </row>
    <row r="16" spans="3:56" x14ac:dyDescent="0.2">
      <c r="C16" s="2" t="s">
        <v>23</v>
      </c>
      <c r="D16" s="894">
        <f>MODEL!BR18+MODEL!BR23</f>
        <v>7751</v>
      </c>
      <c r="E16" s="876"/>
      <c r="F16" s="876"/>
      <c r="G16" s="876"/>
      <c r="H16" s="894">
        <f>MODEL!BV18+MODEL!BV23</f>
        <v>7812</v>
      </c>
      <c r="I16" s="876"/>
      <c r="J16" s="876"/>
      <c r="K16" s="876"/>
      <c r="L16" s="894">
        <f>MODEL!BZ18+MODEL!BZ23</f>
        <v>7737</v>
      </c>
      <c r="M16" s="876"/>
      <c r="N16" s="876"/>
      <c r="O16" s="876"/>
      <c r="P16" s="894">
        <f>MODEL!CD18+MODEL!CD23</f>
        <v>6580</v>
      </c>
      <c r="T16" s="894">
        <f>MODEL!CH18+MODEL!CH23</f>
        <v>5355</v>
      </c>
      <c r="X16" s="894">
        <f>MODEL!CL18+MODEL!CL23</f>
        <v>5151</v>
      </c>
      <c r="Y16" s="894"/>
      <c r="Z16" s="894"/>
      <c r="AA16" s="894"/>
      <c r="AB16" s="894">
        <f>MODEL!CP18+MODEL!CP23</f>
        <v>4854</v>
      </c>
      <c r="AC16" s="894"/>
      <c r="AD16" s="894"/>
      <c r="AE16" s="894"/>
      <c r="AF16" s="894">
        <f>MODEL!CT18+MODEL!CT23</f>
        <v>5216</v>
      </c>
      <c r="AG16" s="894"/>
      <c r="AH16" s="894"/>
      <c r="AI16" s="894"/>
      <c r="AJ16" s="894">
        <f>MODEL!CX18+MODEL!CX23</f>
        <v>4079</v>
      </c>
      <c r="AK16" s="894"/>
      <c r="AL16" s="894"/>
      <c r="AM16" s="894"/>
      <c r="AN16" s="894">
        <f>MODEL!DB18+MODEL!DB23</f>
        <v>4350</v>
      </c>
      <c r="AO16" s="894"/>
      <c r="AP16" s="894"/>
      <c r="AQ16" s="894"/>
      <c r="AR16" s="895">
        <f>MODEL!DF18+MODEL!DF23</f>
        <v>4442</v>
      </c>
      <c r="AS16" s="894"/>
      <c r="AT16" s="894"/>
      <c r="AU16" s="894"/>
      <c r="AV16" s="894">
        <f>MODEL!DJ18+MODEL!DJ23</f>
        <v>4575.1820000000007</v>
      </c>
      <c r="AW16" s="894"/>
      <c r="AX16" s="894"/>
      <c r="AY16" s="894"/>
      <c r="AZ16" s="894">
        <f>MODEL!DN18+MODEL!DN23</f>
        <v>4674.4952720000001</v>
      </c>
      <c r="BA16" s="894"/>
      <c r="BB16" s="894"/>
      <c r="BC16" s="894"/>
      <c r="BD16" s="894">
        <f>MODEL!DR18+MODEL!DR23</f>
        <v>4814.8486243748002</v>
      </c>
    </row>
    <row r="17" spans="3:56" x14ac:dyDescent="0.2">
      <c r="C17" s="2" t="s">
        <v>941</v>
      </c>
      <c r="D17" s="85"/>
      <c r="H17" s="85"/>
      <c r="L17" s="894">
        <f>MODEL!BZ78</f>
        <v>24883</v>
      </c>
      <c r="M17" s="876"/>
      <c r="N17" s="876"/>
      <c r="O17" s="876"/>
      <c r="P17" s="894">
        <f>MODEL!CD78</f>
        <v>24694</v>
      </c>
      <c r="T17" s="894">
        <f>MODEL!CH78</f>
        <v>23579</v>
      </c>
      <c r="X17" s="894">
        <f>MODEL!CL78</f>
        <v>23761</v>
      </c>
      <c r="Y17" s="894"/>
      <c r="Z17" s="894"/>
      <c r="AA17" s="894"/>
      <c r="AB17" s="894">
        <f>MODEL!CP78</f>
        <v>24156</v>
      </c>
      <c r="AC17" s="894"/>
      <c r="AD17" s="894"/>
      <c r="AE17" s="894"/>
      <c r="AF17" s="894">
        <f>MODEL!CT78</f>
        <v>24173</v>
      </c>
      <c r="AG17" s="894"/>
      <c r="AH17" s="894"/>
      <c r="AI17" s="894"/>
      <c r="AJ17" s="894">
        <f>MODEL!CX78</f>
        <v>27135</v>
      </c>
      <c r="AK17" s="894"/>
      <c r="AL17" s="894"/>
      <c r="AM17" s="894"/>
      <c r="AN17" s="894">
        <f>MODEL!DB78</f>
        <v>27174</v>
      </c>
      <c r="AO17" s="894"/>
      <c r="AP17" s="894"/>
      <c r="AQ17" s="894"/>
      <c r="AR17" s="895">
        <f>MODEL!DF78</f>
        <v>28465</v>
      </c>
      <c r="AS17" s="894"/>
      <c r="AT17" s="894"/>
      <c r="AU17" s="894"/>
      <c r="AV17" s="894">
        <f>MODEL!DJ78</f>
        <v>30242.786412194531</v>
      </c>
      <c r="AW17" s="894"/>
      <c r="AX17" s="894"/>
      <c r="AY17" s="894"/>
      <c r="AZ17" s="894">
        <f>MODEL!DN78</f>
        <v>32010.87438453114</v>
      </c>
      <c r="BA17" s="894"/>
      <c r="BB17" s="894"/>
      <c r="BC17" s="894"/>
      <c r="BD17" s="894">
        <f>MODEL!DR78</f>
        <v>33378.504930964686</v>
      </c>
    </row>
    <row r="18" spans="3:56" x14ac:dyDescent="0.2">
      <c r="C18" s="2" t="s">
        <v>34</v>
      </c>
      <c r="D18" s="85">
        <f>+D15+D16</f>
        <v>23578</v>
      </c>
      <c r="H18" s="85">
        <f>+H15+H16</f>
        <v>24747</v>
      </c>
      <c r="L18" s="85">
        <f>+L15+L16</f>
        <v>25280</v>
      </c>
      <c r="P18" s="85">
        <f>+P15+P16</f>
        <v>24922</v>
      </c>
      <c r="T18" s="85">
        <f>+T15+T16</f>
        <v>23579</v>
      </c>
      <c r="X18" s="85">
        <f>+X15+X16</f>
        <v>23761</v>
      </c>
      <c r="Y18" s="85"/>
      <c r="Z18" s="85"/>
      <c r="AA18" s="85"/>
      <c r="AB18" s="85">
        <f>+AB15+AB16</f>
        <v>24156</v>
      </c>
      <c r="AC18" s="85"/>
      <c r="AD18" s="85"/>
      <c r="AE18" s="85"/>
      <c r="AF18" s="85">
        <f>+AF15+AF16</f>
        <v>24689</v>
      </c>
      <c r="AG18" s="85"/>
      <c r="AH18" s="85"/>
      <c r="AI18" s="85"/>
      <c r="AJ18" s="85">
        <f>+AJ15+AJ16</f>
        <v>27135</v>
      </c>
      <c r="AK18" s="85"/>
      <c r="AL18" s="85"/>
      <c r="AM18" s="85"/>
      <c r="AN18" s="85">
        <f>+AN15+AN16</f>
        <v>27174</v>
      </c>
      <c r="AO18" s="85"/>
      <c r="AP18" s="85"/>
      <c r="AQ18" s="85"/>
      <c r="AR18" s="896">
        <f>+AR15+AR16</f>
        <v>28465</v>
      </c>
      <c r="AS18" s="85"/>
      <c r="AT18" s="85"/>
      <c r="AU18" s="85"/>
      <c r="AV18" s="85">
        <f>+AV15+AV16</f>
        <v>30242.786412194531</v>
      </c>
      <c r="AW18" s="85"/>
      <c r="AX18" s="85"/>
      <c r="AY18" s="85"/>
      <c r="AZ18" s="85">
        <f>+AZ15+AZ16</f>
        <v>32010.87438453114</v>
      </c>
      <c r="BA18" s="85"/>
      <c r="BB18" s="85"/>
      <c r="BC18" s="85"/>
      <c r="BD18" s="85">
        <f>+BD15+BD16</f>
        <v>33378.504930964686</v>
      </c>
    </row>
    <row r="19" spans="3:56" x14ac:dyDescent="0.2">
      <c r="C19" s="90" t="s">
        <v>233</v>
      </c>
      <c r="D19" s="897"/>
      <c r="E19" s="90"/>
      <c r="F19" s="90"/>
      <c r="G19" s="90"/>
      <c r="H19" s="91">
        <f>+H18/D18-1</f>
        <v>4.9580117058274586E-2</v>
      </c>
      <c r="I19" s="90"/>
      <c r="J19" s="90"/>
      <c r="K19" s="90"/>
      <c r="L19" s="91">
        <f>+L18/H18-1</f>
        <v>2.1537964197680504E-2</v>
      </c>
      <c r="M19" s="90"/>
      <c r="N19" s="90"/>
      <c r="O19" s="90"/>
      <c r="P19" s="898">
        <f>+P18/L18-1</f>
        <v>-1.4161392405063311E-2</v>
      </c>
      <c r="T19" s="898">
        <f>+T18/P18-1</f>
        <v>-5.3888130968622105E-2</v>
      </c>
      <c r="X19" s="898">
        <f>+X18/T18-1</f>
        <v>7.7187327706857989E-3</v>
      </c>
      <c r="Y19" s="898"/>
      <c r="Z19" s="898"/>
      <c r="AA19" s="898"/>
      <c r="AB19" s="898">
        <f>+AB18/X18-1</f>
        <v>1.6623879466352465E-2</v>
      </c>
      <c r="AC19" s="898"/>
      <c r="AD19" s="898"/>
      <c r="AE19" s="898"/>
      <c r="AF19" s="898">
        <f>+AF18/AB18-1</f>
        <v>2.2064911409173771E-2</v>
      </c>
      <c r="AG19" s="91"/>
      <c r="AH19" s="91"/>
      <c r="AI19" s="91"/>
      <c r="AJ19" s="898">
        <f>+AJ18/AF18-1</f>
        <v>9.9072461420065538E-2</v>
      </c>
      <c r="AK19" s="91"/>
      <c r="AL19" s="91"/>
      <c r="AM19" s="91"/>
      <c r="AN19" s="898">
        <f>+AN18/AJ18-1</f>
        <v>1.4372581536761242E-3</v>
      </c>
      <c r="AO19" s="91"/>
      <c r="AP19" s="91"/>
      <c r="AQ19" s="91"/>
      <c r="AR19" s="899">
        <f>+AR18/AN18-1</f>
        <v>4.7508647972326568E-2</v>
      </c>
      <c r="AS19" s="91"/>
      <c r="AT19" s="91"/>
      <c r="AU19" s="91"/>
      <c r="AV19" s="91">
        <f>+AV18/AR18-1</f>
        <v>6.2455169934815702E-2</v>
      </c>
      <c r="AW19" s="91"/>
      <c r="AX19" s="91"/>
      <c r="AY19" s="91"/>
      <c r="AZ19" s="91">
        <f>+AZ18/AV18-1</f>
        <v>5.846313062025521E-2</v>
      </c>
      <c r="BA19" s="91"/>
      <c r="BB19" s="91"/>
      <c r="BC19" s="91"/>
      <c r="BD19" s="91">
        <f>+BD18/AZ18-1</f>
        <v>4.2723935935171875E-2</v>
      </c>
    </row>
    <row r="20" spans="3:56" x14ac:dyDescent="0.2">
      <c r="C20" s="90" t="s">
        <v>942</v>
      </c>
      <c r="D20" s="897"/>
      <c r="E20" s="90"/>
      <c r="F20" s="90"/>
      <c r="G20" s="90"/>
      <c r="H20" s="91"/>
      <c r="I20" s="90"/>
      <c r="J20" s="90"/>
      <c r="K20" s="90"/>
      <c r="L20" s="85">
        <f>L18-L17</f>
        <v>397</v>
      </c>
      <c r="M20" s="2">
        <f t="shared" ref="M20:AZ20" si="0">M18-M17</f>
        <v>0</v>
      </c>
      <c r="N20" s="2">
        <f t="shared" si="0"/>
        <v>0</v>
      </c>
      <c r="O20" s="2">
        <f t="shared" si="0"/>
        <v>0</v>
      </c>
      <c r="P20" s="85">
        <f t="shared" si="0"/>
        <v>228</v>
      </c>
      <c r="Q20" s="2">
        <f t="shared" si="0"/>
        <v>0</v>
      </c>
      <c r="R20" s="2">
        <f t="shared" si="0"/>
        <v>0</v>
      </c>
      <c r="S20" s="2">
        <f t="shared" si="0"/>
        <v>0</v>
      </c>
      <c r="T20" s="85">
        <f t="shared" si="0"/>
        <v>0</v>
      </c>
      <c r="U20" s="2">
        <f t="shared" si="0"/>
        <v>0</v>
      </c>
      <c r="V20" s="2">
        <f t="shared" si="0"/>
        <v>0</v>
      </c>
      <c r="W20" s="2">
        <f t="shared" si="0"/>
        <v>0</v>
      </c>
      <c r="X20" s="85">
        <f t="shared" si="0"/>
        <v>0</v>
      </c>
      <c r="Y20" s="85">
        <f t="shared" si="0"/>
        <v>0</v>
      </c>
      <c r="Z20" s="85">
        <f t="shared" si="0"/>
        <v>0</v>
      </c>
      <c r="AA20" s="85">
        <f t="shared" si="0"/>
        <v>0</v>
      </c>
      <c r="AB20" s="85">
        <f t="shared" si="0"/>
        <v>0</v>
      </c>
      <c r="AC20" s="85">
        <f t="shared" si="0"/>
        <v>0</v>
      </c>
      <c r="AD20" s="85">
        <f t="shared" si="0"/>
        <v>0</v>
      </c>
      <c r="AE20" s="85">
        <f t="shared" si="0"/>
        <v>0</v>
      </c>
      <c r="AF20" s="85">
        <f t="shared" si="0"/>
        <v>516</v>
      </c>
      <c r="AG20" s="85">
        <f t="shared" si="0"/>
        <v>0</v>
      </c>
      <c r="AH20" s="85">
        <f t="shared" si="0"/>
        <v>0</v>
      </c>
      <c r="AI20" s="85">
        <f t="shared" si="0"/>
        <v>0</v>
      </c>
      <c r="AJ20" s="85">
        <f t="shared" si="0"/>
        <v>0</v>
      </c>
      <c r="AK20" s="85">
        <f t="shared" si="0"/>
        <v>0</v>
      </c>
      <c r="AL20" s="85">
        <f t="shared" si="0"/>
        <v>0</v>
      </c>
      <c r="AM20" s="85">
        <f t="shared" si="0"/>
        <v>0</v>
      </c>
      <c r="AN20" s="85">
        <f t="shared" si="0"/>
        <v>0</v>
      </c>
      <c r="AO20" s="85">
        <f t="shared" si="0"/>
        <v>0</v>
      </c>
      <c r="AP20" s="85">
        <f t="shared" si="0"/>
        <v>0</v>
      </c>
      <c r="AQ20" s="85">
        <f t="shared" si="0"/>
        <v>0</v>
      </c>
      <c r="AR20" s="896">
        <f t="shared" ref="AR20" si="1">AR18-AR17</f>
        <v>0</v>
      </c>
      <c r="AS20" s="85">
        <f t="shared" si="0"/>
        <v>0</v>
      </c>
      <c r="AT20" s="85">
        <f t="shared" si="0"/>
        <v>0</v>
      </c>
      <c r="AU20" s="85">
        <f t="shared" si="0"/>
        <v>0</v>
      </c>
      <c r="AV20" s="85">
        <f t="shared" si="0"/>
        <v>0</v>
      </c>
      <c r="AW20" s="85"/>
      <c r="AX20" s="85"/>
      <c r="AY20" s="85"/>
      <c r="AZ20" s="85">
        <f t="shared" si="0"/>
        <v>0</v>
      </c>
      <c r="BA20" s="85"/>
      <c r="BB20" s="85"/>
      <c r="BC20" s="85"/>
      <c r="BD20" s="85">
        <f t="shared" ref="BD20" si="2">BD18-BD17</f>
        <v>0</v>
      </c>
    </row>
    <row r="21" spans="3:56" x14ac:dyDescent="0.2">
      <c r="C21" s="2" t="s">
        <v>266</v>
      </c>
      <c r="D21" s="85"/>
      <c r="H21" s="118"/>
      <c r="L21" s="894">
        <f>MODEL!BZ90</f>
        <v>-10229</v>
      </c>
      <c r="M21" s="876"/>
      <c r="N21" s="876"/>
      <c r="O21" s="876"/>
      <c r="P21" s="894">
        <f>MODEL!CD90</f>
        <v>-10796</v>
      </c>
      <c r="Q21" s="2">
        <f>MODEL!CE90</f>
        <v>0</v>
      </c>
      <c r="R21" s="162">
        <f>MODEL!CF90</f>
        <v>-4975</v>
      </c>
      <c r="S21" s="162">
        <f>MODEL!CG90</f>
        <v>-5159</v>
      </c>
      <c r="T21" s="894">
        <f>MODEL!CH90</f>
        <v>-10134</v>
      </c>
      <c r="U21" s="2">
        <f>MODEL!CI90</f>
        <v>0</v>
      </c>
      <c r="V21" s="162">
        <f>MODEL!CJ90</f>
        <v>-5257</v>
      </c>
      <c r="W21" s="162">
        <f>MODEL!CK90</f>
        <v>-5278</v>
      </c>
      <c r="X21" s="894">
        <f>MODEL!CL90</f>
        <v>-10535</v>
      </c>
      <c r="Y21" s="894">
        <f>MODEL!CM90</f>
        <v>0</v>
      </c>
      <c r="Z21" s="894">
        <f>MODEL!CN90</f>
        <v>-5349</v>
      </c>
      <c r="AA21" s="894">
        <f>MODEL!CO90</f>
        <v>-5435</v>
      </c>
      <c r="AB21" s="894">
        <f>MODEL!CP90</f>
        <v>-10784</v>
      </c>
      <c r="AC21" s="894">
        <f>MODEL!CQ90</f>
        <v>0</v>
      </c>
      <c r="AD21" s="894">
        <f>MODEL!CR90</f>
        <v>-5397</v>
      </c>
      <c r="AE21" s="894">
        <f>MODEL!CS90</f>
        <v>-5391</v>
      </c>
      <c r="AF21" s="894">
        <f>MODEL!CT90</f>
        <v>-10788</v>
      </c>
      <c r="AG21" s="894">
        <f>MODEL!CU90</f>
        <v>0</v>
      </c>
      <c r="AH21" s="894">
        <f>MODEL!CV90</f>
        <v>-5636</v>
      </c>
      <c r="AI21" s="894">
        <f>MODEL!CW90</f>
        <v>-5873</v>
      </c>
      <c r="AJ21" s="894">
        <f>MODEL!CX90</f>
        <v>-11646</v>
      </c>
      <c r="AK21" s="894"/>
      <c r="AL21" s="894"/>
      <c r="AM21" s="894"/>
      <c r="AN21" s="894">
        <f>MODEL!DB90</f>
        <v>-12129</v>
      </c>
      <c r="AO21" s="894"/>
      <c r="AP21" s="894"/>
      <c r="AQ21" s="894"/>
      <c r="AR21" s="895">
        <f>MODEL!DF90</f>
        <v>-12866</v>
      </c>
      <c r="AS21" s="894"/>
      <c r="AT21" s="894"/>
      <c r="AU21" s="894"/>
      <c r="AV21" s="894">
        <f>MODEL!DJ90</f>
        <v>-13460.200601427299</v>
      </c>
      <c r="AW21" s="894"/>
      <c r="AX21" s="894"/>
      <c r="AY21" s="894"/>
      <c r="AZ21" s="894">
        <f>MODEL!DN90</f>
        <v>-14023.546221929651</v>
      </c>
      <c r="BA21" s="894"/>
      <c r="BB21" s="894"/>
      <c r="BC21" s="894"/>
      <c r="BD21" s="894">
        <f>MODEL!DR90</f>
        <v>-14622.21688040701</v>
      </c>
    </row>
    <row r="22" spans="3:56" x14ac:dyDescent="0.2">
      <c r="C22" s="878" t="s">
        <v>233</v>
      </c>
      <c r="D22" s="879">
        <f>MODEL!BS777</f>
        <v>0</v>
      </c>
      <c r="E22" s="880"/>
      <c r="F22" s="880"/>
      <c r="G22" s="880"/>
      <c r="H22" s="879">
        <f>MODEL!BW777</f>
        <v>0</v>
      </c>
      <c r="I22" s="880"/>
      <c r="J22" s="880"/>
      <c r="K22" s="880"/>
      <c r="L22" s="879"/>
      <c r="M22" s="880"/>
      <c r="N22" s="880"/>
      <c r="O22" s="880"/>
      <c r="P22" s="885">
        <f>P21/L21-1</f>
        <v>5.5430638381073427E-2</v>
      </c>
      <c r="Q22" s="2" t="e">
        <f t="shared" ref="Q22:AF22" si="3">Q21/M21-1</f>
        <v>#DIV/0!</v>
      </c>
      <c r="R22" s="2" t="e">
        <f t="shared" si="3"/>
        <v>#DIV/0!</v>
      </c>
      <c r="S22" s="2" t="e">
        <f t="shared" si="3"/>
        <v>#DIV/0!</v>
      </c>
      <c r="T22" s="885">
        <f t="shared" si="3"/>
        <v>-6.1319007039644324E-2</v>
      </c>
      <c r="U22" s="2" t="e">
        <f t="shared" si="3"/>
        <v>#DIV/0!</v>
      </c>
      <c r="V22" s="2">
        <f t="shared" si="3"/>
        <v>5.6683417085427124E-2</v>
      </c>
      <c r="W22" s="2">
        <f t="shared" si="3"/>
        <v>2.3066485753052923E-2</v>
      </c>
      <c r="X22" s="885">
        <f t="shared" si="3"/>
        <v>3.9569765147029701E-2</v>
      </c>
      <c r="Y22" s="885" t="e">
        <f t="shared" si="3"/>
        <v>#DIV/0!</v>
      </c>
      <c r="Z22" s="885">
        <f t="shared" si="3"/>
        <v>1.7500475556400996E-2</v>
      </c>
      <c r="AA22" s="885">
        <f t="shared" si="3"/>
        <v>2.9746115953012575E-2</v>
      </c>
      <c r="AB22" s="885">
        <f t="shared" si="3"/>
        <v>2.3635500711912671E-2</v>
      </c>
      <c r="AC22" s="885" t="e">
        <f t="shared" si="3"/>
        <v>#DIV/0!</v>
      </c>
      <c r="AD22" s="885">
        <f t="shared" si="3"/>
        <v>8.9736399326976191E-3</v>
      </c>
      <c r="AE22" s="885">
        <f t="shared" si="3"/>
        <v>-8.0956761729530369E-3</v>
      </c>
      <c r="AF22" s="885">
        <f t="shared" si="3"/>
        <v>3.7091988130555364E-4</v>
      </c>
      <c r="AG22" s="884" t="e">
        <f>AG21/AC21-1</f>
        <v>#DIV/0!</v>
      </c>
      <c r="AH22" s="884">
        <f>AH21/AD21-1</f>
        <v>4.4283861404484037E-2</v>
      </c>
      <c r="AI22" s="884">
        <f>AI21/AE21-1</f>
        <v>8.940827304767196E-2</v>
      </c>
      <c r="AJ22" s="885">
        <f>AJ21/AF21-1</f>
        <v>7.953281423804226E-2</v>
      </c>
      <c r="AK22" s="884"/>
      <c r="AL22" s="884"/>
      <c r="AM22" s="884"/>
      <c r="AN22" s="885">
        <f>AN21/AJ21-1</f>
        <v>4.1473467284904642E-2</v>
      </c>
      <c r="AO22" s="884"/>
      <c r="AP22" s="884"/>
      <c r="AQ22" s="884"/>
      <c r="AR22" s="886">
        <f>AR21/AN21-1</f>
        <v>6.0763459477285897E-2</v>
      </c>
      <c r="AS22" s="884"/>
      <c r="AT22" s="884"/>
      <c r="AU22" s="884"/>
      <c r="AV22" s="884">
        <f>AV21/AR21-1</f>
        <v>4.6183786835636509E-2</v>
      </c>
      <c r="AW22" s="884"/>
      <c r="AX22" s="884"/>
      <c r="AY22" s="884"/>
      <c r="AZ22" s="884">
        <f>AZ21/AV21-1</f>
        <v>4.1852691292179944E-2</v>
      </c>
      <c r="BA22" s="884"/>
      <c r="BB22" s="884"/>
      <c r="BC22" s="884"/>
      <c r="BD22" s="884">
        <f>BD21/AZ21-1</f>
        <v>4.2690390077024354E-2</v>
      </c>
    </row>
    <row r="23" spans="3:56" x14ac:dyDescent="0.2">
      <c r="C23" s="2" t="s">
        <v>943</v>
      </c>
      <c r="D23" s="85"/>
      <c r="H23" s="118"/>
      <c r="L23" s="85">
        <f>L24-L21</f>
        <v>-393</v>
      </c>
      <c r="M23" s="2">
        <f t="shared" ref="M23:AF23" si="4">M24-M21</f>
        <v>0</v>
      </c>
      <c r="N23" s="2">
        <f t="shared" si="4"/>
        <v>0</v>
      </c>
      <c r="O23" s="2">
        <f t="shared" si="4"/>
        <v>0</v>
      </c>
      <c r="P23" s="85">
        <f t="shared" si="4"/>
        <v>-199</v>
      </c>
      <c r="Q23" s="2">
        <f t="shared" si="4"/>
        <v>0</v>
      </c>
      <c r="R23" s="2">
        <f t="shared" si="4"/>
        <v>4975</v>
      </c>
      <c r="S23" s="2">
        <f t="shared" si="4"/>
        <v>5159</v>
      </c>
      <c r="T23" s="85">
        <f t="shared" si="4"/>
        <v>-690</v>
      </c>
      <c r="U23" s="2">
        <f t="shared" si="4"/>
        <v>0</v>
      </c>
      <c r="V23" s="2">
        <f t="shared" si="4"/>
        <v>5257</v>
      </c>
      <c r="W23" s="2">
        <f t="shared" si="4"/>
        <v>5278</v>
      </c>
      <c r="X23" s="85">
        <f t="shared" si="4"/>
        <v>-461</v>
      </c>
      <c r="Y23" s="85">
        <f t="shared" si="4"/>
        <v>0</v>
      </c>
      <c r="Z23" s="85">
        <f t="shared" si="4"/>
        <v>5349</v>
      </c>
      <c r="AA23" s="85">
        <f t="shared" si="4"/>
        <v>5435</v>
      </c>
      <c r="AB23" s="85">
        <f t="shared" si="4"/>
        <v>-575</v>
      </c>
      <c r="AC23" s="85">
        <f t="shared" si="4"/>
        <v>0</v>
      </c>
      <c r="AD23" s="85">
        <f t="shared" si="4"/>
        <v>5397</v>
      </c>
      <c r="AE23" s="85">
        <f t="shared" si="4"/>
        <v>5391</v>
      </c>
      <c r="AF23" s="85">
        <f t="shared" si="4"/>
        <v>-640</v>
      </c>
      <c r="AG23" s="85">
        <f>AG24-AG21</f>
        <v>0</v>
      </c>
      <c r="AH23" s="85">
        <f>AH24-AH21</f>
        <v>5636</v>
      </c>
      <c r="AI23" s="85">
        <f>AI24-AI21</f>
        <v>5873</v>
      </c>
      <c r="AJ23" s="85">
        <f>AJ24-AJ21</f>
        <v>-212</v>
      </c>
      <c r="AK23" s="85"/>
      <c r="AL23" s="85"/>
      <c r="AM23" s="85"/>
      <c r="AN23" s="85">
        <f>AN24-AN21</f>
        <v>-89</v>
      </c>
      <c r="AO23" s="85"/>
      <c r="AP23" s="85"/>
      <c r="AQ23" s="85"/>
      <c r="AR23" s="896">
        <f>AR24-AR21</f>
        <v>-130</v>
      </c>
      <c r="AS23" s="85"/>
      <c r="AT23" s="85"/>
      <c r="AU23" s="85"/>
      <c r="AV23" s="85">
        <f>AV24-AV21</f>
        <v>-220</v>
      </c>
      <c r="AW23" s="85"/>
      <c r="AX23" s="85"/>
      <c r="AY23" s="85"/>
      <c r="AZ23" s="85">
        <f>AZ24-AZ21</f>
        <v>-50</v>
      </c>
      <c r="BA23" s="85"/>
      <c r="BB23" s="85"/>
      <c r="BC23" s="85"/>
      <c r="BD23" s="85">
        <f>BD24-BD21</f>
        <v>-50</v>
      </c>
    </row>
    <row r="24" spans="3:56" x14ac:dyDescent="0.2">
      <c r="C24" s="2" t="s">
        <v>249</v>
      </c>
      <c r="D24" s="894">
        <f>MODEL!BR30</f>
        <v>-9993</v>
      </c>
      <c r="E24" s="876"/>
      <c r="F24" s="876"/>
      <c r="G24" s="876"/>
      <c r="H24" s="894">
        <f>MODEL!BV30</f>
        <v>-10434</v>
      </c>
      <c r="I24" s="876"/>
      <c r="J24" s="876"/>
      <c r="K24" s="876"/>
      <c r="L24" s="894">
        <f>MODEL!BZ30</f>
        <v>-10622</v>
      </c>
      <c r="M24" s="876"/>
      <c r="N24" s="876"/>
      <c r="O24" s="876"/>
      <c r="P24" s="894">
        <f>MODEL!CD30</f>
        <v>-10995</v>
      </c>
      <c r="T24" s="894">
        <f>MODEL!CH30</f>
        <v>-10824</v>
      </c>
      <c r="X24" s="894">
        <f>MODEL!CL30</f>
        <v>-10996</v>
      </c>
      <c r="Y24" s="894"/>
      <c r="Z24" s="894"/>
      <c r="AA24" s="894"/>
      <c r="AB24" s="894">
        <f>MODEL!CP30</f>
        <v>-11359</v>
      </c>
      <c r="AC24" s="894"/>
      <c r="AD24" s="894"/>
      <c r="AE24" s="894"/>
      <c r="AF24" s="894">
        <f>MODEL!CT30</f>
        <v>-11428</v>
      </c>
      <c r="AG24" s="894"/>
      <c r="AH24" s="894"/>
      <c r="AI24" s="894"/>
      <c r="AJ24" s="894">
        <f>MODEL!CX30</f>
        <v>-11858</v>
      </c>
      <c r="AK24" s="894"/>
      <c r="AL24" s="894"/>
      <c r="AM24" s="894"/>
      <c r="AN24" s="894">
        <f>MODEL!DB30</f>
        <v>-12218</v>
      </c>
      <c r="AO24" s="894"/>
      <c r="AP24" s="894"/>
      <c r="AQ24" s="894"/>
      <c r="AR24" s="895">
        <f>MODEL!DF30</f>
        <v>-12996</v>
      </c>
      <c r="AS24" s="894"/>
      <c r="AT24" s="894"/>
      <c r="AU24" s="894"/>
      <c r="AV24" s="894">
        <f>MODEL!DJ30</f>
        <v>-13680.200601427299</v>
      </c>
      <c r="AW24" s="894"/>
      <c r="AX24" s="894"/>
      <c r="AY24" s="894"/>
      <c r="AZ24" s="894">
        <f>MODEL!DN30</f>
        <v>-14073.546221929651</v>
      </c>
      <c r="BA24" s="894"/>
      <c r="BB24" s="894"/>
      <c r="BC24" s="894"/>
      <c r="BD24" s="894">
        <f>MODEL!DR30</f>
        <v>-14672.21688040701</v>
      </c>
    </row>
    <row r="25" spans="3:56" x14ac:dyDescent="0.2">
      <c r="C25" s="90" t="s">
        <v>233</v>
      </c>
      <c r="D25" s="900">
        <f>MODEL!BS780</f>
        <v>5.2005474260448548E-2</v>
      </c>
      <c r="E25" s="901"/>
      <c r="F25" s="901"/>
      <c r="G25" s="901"/>
      <c r="H25" s="900">
        <f>MODEL!BW780</f>
        <v>4.413089162413697E-2</v>
      </c>
      <c r="I25" s="901"/>
      <c r="J25" s="901"/>
      <c r="K25" s="901"/>
      <c r="L25" s="900"/>
      <c r="M25" s="901"/>
      <c r="N25" s="901"/>
      <c r="O25" s="901"/>
      <c r="P25" s="866">
        <f t="shared" ref="P25:AF25" si="5">P24/L24-1</f>
        <v>3.5115797401619187E-2</v>
      </c>
      <c r="Q25" s="2" t="e">
        <f t="shared" si="5"/>
        <v>#DIV/0!</v>
      </c>
      <c r="R25" s="2" t="e">
        <f t="shared" si="5"/>
        <v>#DIV/0!</v>
      </c>
      <c r="S25" s="2" t="e">
        <f t="shared" si="5"/>
        <v>#DIV/0!</v>
      </c>
      <c r="T25" s="866">
        <f t="shared" si="5"/>
        <v>-1.5552523874488355E-2</v>
      </c>
      <c r="U25" s="2" t="e">
        <f t="shared" si="5"/>
        <v>#DIV/0!</v>
      </c>
      <c r="V25" s="2" t="e">
        <f t="shared" si="5"/>
        <v>#DIV/0!</v>
      </c>
      <c r="W25" s="2" t="e">
        <f t="shared" si="5"/>
        <v>#DIV/0!</v>
      </c>
      <c r="X25" s="866">
        <f t="shared" si="5"/>
        <v>1.5890613451589042E-2</v>
      </c>
      <c r="Y25" s="866" t="e">
        <f t="shared" si="5"/>
        <v>#DIV/0!</v>
      </c>
      <c r="Z25" s="866" t="e">
        <f t="shared" si="5"/>
        <v>#DIV/0!</v>
      </c>
      <c r="AA25" s="866" t="e">
        <f t="shared" si="5"/>
        <v>#DIV/0!</v>
      </c>
      <c r="AB25" s="866">
        <f t="shared" si="5"/>
        <v>3.3012004365223779E-2</v>
      </c>
      <c r="AC25" s="866" t="e">
        <f t="shared" si="5"/>
        <v>#DIV/0!</v>
      </c>
      <c r="AD25" s="866" t="e">
        <f t="shared" si="5"/>
        <v>#DIV/0!</v>
      </c>
      <c r="AE25" s="866" t="e">
        <f t="shared" si="5"/>
        <v>#DIV/0!</v>
      </c>
      <c r="AF25" s="866">
        <f t="shared" si="5"/>
        <v>6.0744783871820029E-3</v>
      </c>
      <c r="AG25" s="902" t="e">
        <f>AG24/AC24-1</f>
        <v>#DIV/0!</v>
      </c>
      <c r="AH25" s="902" t="e">
        <f>AH24/AD24-1</f>
        <v>#DIV/0!</v>
      </c>
      <c r="AI25" s="902" t="e">
        <f>AI24/AE24-1</f>
        <v>#DIV/0!</v>
      </c>
      <c r="AJ25" s="866">
        <f>AJ24/AF24-1</f>
        <v>3.762688134406722E-2</v>
      </c>
      <c r="AK25" s="902"/>
      <c r="AL25" s="902"/>
      <c r="AM25" s="902"/>
      <c r="AN25" s="866">
        <f>AN24/AJ24-1</f>
        <v>3.0359251138471821E-2</v>
      </c>
      <c r="AO25" s="902"/>
      <c r="AP25" s="902"/>
      <c r="AQ25" s="902"/>
      <c r="AR25" s="903">
        <f>AR24/AN24-1</f>
        <v>6.3676542805696457E-2</v>
      </c>
      <c r="AS25" s="902"/>
      <c r="AT25" s="902"/>
      <c r="AU25" s="902"/>
      <c r="AV25" s="902">
        <f>AV24/AR24-1</f>
        <v>5.2647014575815554E-2</v>
      </c>
      <c r="AW25" s="902"/>
      <c r="AX25" s="902"/>
      <c r="AY25" s="902"/>
      <c r="AZ25" s="902">
        <f>AZ24/AV24-1</f>
        <v>2.875291320372253E-2</v>
      </c>
      <c r="BA25" s="902"/>
      <c r="BB25" s="902"/>
      <c r="BC25" s="902"/>
      <c r="BD25" s="902">
        <f>BD24/AZ24-1</f>
        <v>4.2538721160733317E-2</v>
      </c>
    </row>
    <row r="26" spans="3:56" x14ac:dyDescent="0.2">
      <c r="C26" s="2" t="s">
        <v>254</v>
      </c>
      <c r="D26" s="85">
        <f>SUM(D18:D24)</f>
        <v>13585</v>
      </c>
      <c r="H26" s="85">
        <f>SUM(H18:H24)</f>
        <v>14313.049580117058</v>
      </c>
      <c r="L26" s="85">
        <f t="shared" ref="L26:AJ26" si="6">L18+L24</f>
        <v>14658</v>
      </c>
      <c r="M26" s="2">
        <f t="shared" si="6"/>
        <v>0</v>
      </c>
      <c r="N26" s="2">
        <f t="shared" si="6"/>
        <v>0</v>
      </c>
      <c r="O26" s="2">
        <f t="shared" si="6"/>
        <v>0</v>
      </c>
      <c r="P26" s="85">
        <f t="shared" si="6"/>
        <v>13927</v>
      </c>
      <c r="Q26" s="2">
        <f t="shared" si="6"/>
        <v>0</v>
      </c>
      <c r="R26" s="2">
        <f t="shared" si="6"/>
        <v>0</v>
      </c>
      <c r="S26" s="2">
        <f t="shared" si="6"/>
        <v>0</v>
      </c>
      <c r="T26" s="85">
        <f t="shared" si="6"/>
        <v>12755</v>
      </c>
      <c r="U26" s="2">
        <f t="shared" si="6"/>
        <v>0</v>
      </c>
      <c r="V26" s="2">
        <f t="shared" si="6"/>
        <v>0</v>
      </c>
      <c r="W26" s="2">
        <f t="shared" si="6"/>
        <v>0</v>
      </c>
      <c r="X26" s="85">
        <f t="shared" si="6"/>
        <v>12765</v>
      </c>
      <c r="Y26" s="85">
        <f t="shared" si="6"/>
        <v>0</v>
      </c>
      <c r="Z26" s="85">
        <f t="shared" si="6"/>
        <v>0</v>
      </c>
      <c r="AA26" s="85">
        <f t="shared" si="6"/>
        <v>0</v>
      </c>
      <c r="AB26" s="85">
        <f t="shared" si="6"/>
        <v>12797</v>
      </c>
      <c r="AC26" s="85">
        <f t="shared" si="6"/>
        <v>0</v>
      </c>
      <c r="AD26" s="85">
        <f t="shared" si="6"/>
        <v>0</v>
      </c>
      <c r="AE26" s="85">
        <f t="shared" si="6"/>
        <v>0</v>
      </c>
      <c r="AF26" s="85">
        <f t="shared" si="6"/>
        <v>13261</v>
      </c>
      <c r="AG26" s="85">
        <f t="shared" si="6"/>
        <v>0</v>
      </c>
      <c r="AH26" s="85">
        <f t="shared" si="6"/>
        <v>0</v>
      </c>
      <c r="AI26" s="85">
        <f t="shared" si="6"/>
        <v>0</v>
      </c>
      <c r="AJ26" s="85">
        <f t="shared" si="6"/>
        <v>15277</v>
      </c>
      <c r="AK26" s="85"/>
      <c r="AL26" s="85"/>
      <c r="AM26" s="85"/>
      <c r="AN26" s="85">
        <f t="shared" ref="AN26" si="7">AN18+AN24</f>
        <v>14956</v>
      </c>
      <c r="AO26" s="85"/>
      <c r="AP26" s="85"/>
      <c r="AQ26" s="85"/>
      <c r="AR26" s="896">
        <f t="shared" ref="AR26" si="8">AR18+AR24</f>
        <v>15469</v>
      </c>
      <c r="AS26" s="85"/>
      <c r="AT26" s="85"/>
      <c r="AU26" s="85"/>
      <c r="AV26" s="85">
        <f>AV18+AV24</f>
        <v>16562.585810767232</v>
      </c>
      <c r="AW26" s="85"/>
      <c r="AX26" s="85"/>
      <c r="AY26" s="85"/>
      <c r="AZ26" s="85">
        <f>AZ18+AZ24</f>
        <v>17937.328162601487</v>
      </c>
      <c r="BA26" s="85"/>
      <c r="BB26" s="85"/>
      <c r="BC26" s="85"/>
      <c r="BD26" s="85">
        <f>BD18+BD24</f>
        <v>18706.288050557676</v>
      </c>
    </row>
    <row r="27" spans="3:56" x14ac:dyDescent="0.2">
      <c r="C27" s="2" t="s">
        <v>600</v>
      </c>
      <c r="D27" s="894">
        <f>MODEL!BR32</f>
        <v>-988</v>
      </c>
      <c r="E27" s="876"/>
      <c r="F27" s="876"/>
      <c r="G27" s="876"/>
      <c r="H27" s="894">
        <f>MODEL!BV32</f>
        <v>-1256</v>
      </c>
      <c r="I27" s="876"/>
      <c r="J27" s="876"/>
      <c r="K27" s="876"/>
      <c r="L27" s="894">
        <f>MODEL!BZ32</f>
        <v>-1095</v>
      </c>
      <c r="M27" s="876"/>
      <c r="N27" s="876"/>
      <c r="O27" s="876"/>
      <c r="P27" s="894">
        <f>MODEL!CD32</f>
        <v>-1079</v>
      </c>
      <c r="T27" s="894">
        <f>MODEL!CH32</f>
        <v>-1201</v>
      </c>
      <c r="X27" s="894">
        <f>MODEL!CL32</f>
        <v>-2518</v>
      </c>
      <c r="Y27" s="894"/>
      <c r="Z27" s="894"/>
      <c r="AA27" s="894"/>
      <c r="AB27" s="894">
        <f>MODEL!CP32</f>
        <v>-554</v>
      </c>
      <c r="AC27" s="894"/>
      <c r="AD27" s="894"/>
      <c r="AE27" s="894"/>
      <c r="AF27" s="894">
        <f>MODEL!CT32</f>
        <v>357</v>
      </c>
      <c r="AG27" s="894"/>
      <c r="AH27" s="894"/>
      <c r="AI27" s="894"/>
      <c r="AJ27" s="894">
        <f>MODEL!CX32</f>
        <v>-1108</v>
      </c>
      <c r="AK27" s="894"/>
      <c r="AL27" s="894"/>
      <c r="AM27" s="894"/>
      <c r="AN27" s="894">
        <f>MODEL!DB32</f>
        <v>-802</v>
      </c>
      <c r="AO27" s="894"/>
      <c r="AP27" s="894"/>
      <c r="AQ27" s="894"/>
      <c r="AR27" s="895">
        <f>MODEL!DF32</f>
        <v>-726</v>
      </c>
      <c r="AS27" s="894"/>
      <c r="AT27" s="894"/>
      <c r="AU27" s="894"/>
      <c r="AV27" s="894">
        <f>MODEL!DJ32</f>
        <v>-749.65637850734686</v>
      </c>
      <c r="AW27" s="894"/>
      <c r="AX27" s="894"/>
      <c r="AY27" s="894"/>
      <c r="AZ27" s="894">
        <f>MODEL!DN32</f>
        <v>-1078.3164689442144</v>
      </c>
      <c r="BA27" s="894"/>
      <c r="BB27" s="894"/>
      <c r="BC27" s="894"/>
      <c r="BD27" s="894">
        <f>MODEL!DR32</f>
        <v>-1193.8497694501655</v>
      </c>
    </row>
    <row r="28" spans="3:56" x14ac:dyDescent="0.2">
      <c r="C28" s="878" t="s">
        <v>944</v>
      </c>
      <c r="D28" s="904">
        <f>-D27/(D8*1000)</f>
        <v>1.5290046612976111E-3</v>
      </c>
      <c r="E28" s="878"/>
      <c r="F28" s="878"/>
      <c r="G28" s="878"/>
      <c r="H28" s="904">
        <f>-H27/(H8*1000)</f>
        <v>1.7898621977113704E-3</v>
      </c>
      <c r="I28" s="878"/>
      <c r="J28" s="878"/>
      <c r="K28" s="878"/>
      <c r="L28" s="904">
        <f>-L27/(L8*1000)</f>
        <v>1.4857490210338643E-3</v>
      </c>
      <c r="M28" s="878"/>
      <c r="N28" s="878"/>
      <c r="O28" s="878"/>
      <c r="P28" s="905">
        <f>-P27/(P8*1000)</f>
        <v>1.441726972453528E-3</v>
      </c>
      <c r="T28" s="905">
        <f>-T27/(T8*1000)</f>
        <v>1.5781596372203891E-3</v>
      </c>
      <c r="X28" s="905">
        <f>-X27/(X8*1000)</f>
        <v>3.2277582078378891E-3</v>
      </c>
      <c r="Y28" s="905"/>
      <c r="Z28" s="905"/>
      <c r="AA28" s="905"/>
      <c r="AB28" s="905">
        <f>-AB27/(AB8*1000)</f>
        <v>6.7704145106847898E-4</v>
      </c>
      <c r="AC28" s="905"/>
      <c r="AD28" s="905"/>
      <c r="AE28" s="905"/>
      <c r="AF28" s="905">
        <f>-AF27/(AF8*1000)</f>
        <v>-4.0340669609915893E-4</v>
      </c>
      <c r="AG28" s="904"/>
      <c r="AH28" s="904"/>
      <c r="AI28" s="904"/>
      <c r="AJ28" s="905">
        <f>-AJ27/(AJ8*1000)</f>
        <v>1.1872475893409168E-3</v>
      </c>
      <c r="AK28" s="904"/>
      <c r="AL28" s="904"/>
      <c r="AM28" s="904"/>
      <c r="AN28" s="905">
        <f>-AN27/(AN8*1000)</f>
        <v>8.4425673826356816E-4</v>
      </c>
      <c r="AO28" s="904"/>
      <c r="AP28" s="904"/>
      <c r="AQ28" s="904"/>
      <c r="AR28" s="906">
        <f>-AR27/(AR8*1000)</f>
        <v>7.1464922633807234E-4</v>
      </c>
      <c r="AS28" s="904"/>
      <c r="AT28" s="904"/>
      <c r="AU28" s="904"/>
      <c r="AV28" s="904">
        <f>-AV27/(AV8*1000)</f>
        <v>6.9056896062600433E-4</v>
      </c>
      <c r="AW28" s="904"/>
      <c r="AX28" s="904"/>
      <c r="AY28" s="904"/>
      <c r="AZ28" s="904">
        <f>-AZ27/(AZ8*1000)</f>
        <v>9.3590031201751744E-4</v>
      </c>
      <c r="BA28" s="904"/>
      <c r="BB28" s="904"/>
      <c r="BC28" s="904"/>
      <c r="BD28" s="904">
        <f>-BD27/(BD8*1000)</f>
        <v>9.8768048945446513E-4</v>
      </c>
    </row>
    <row r="29" spans="3:56" x14ac:dyDescent="0.2">
      <c r="C29" s="90" t="s">
        <v>945</v>
      </c>
      <c r="D29" s="907">
        <f>-D27/(D6*1000)</f>
        <v>4.4241249143609418E-3</v>
      </c>
      <c r="E29" s="90"/>
      <c r="F29" s="90"/>
      <c r="G29" s="90"/>
      <c r="H29" s="907">
        <f>-H27/(H6*1000)</f>
        <v>5.1128407203569221E-3</v>
      </c>
      <c r="I29" s="90"/>
      <c r="J29" s="90"/>
      <c r="K29" s="90"/>
      <c r="L29" s="907">
        <f>-L27/(L6*1000)</f>
        <v>4.3600310577554813E-3</v>
      </c>
      <c r="M29" s="908"/>
      <c r="N29" s="908"/>
      <c r="O29" s="908"/>
      <c r="P29" s="909">
        <f>-P27/(P6*1000)</f>
        <v>4.3729710670616798E-3</v>
      </c>
      <c r="T29" s="909">
        <f>-T27/(T6*1000)</f>
        <v>5.0447135518395768E-3</v>
      </c>
      <c r="X29" s="909">
        <f>-X27/(X6*1000)</f>
        <v>1.0614261385671172E-2</v>
      </c>
      <c r="Y29" s="909"/>
      <c r="Z29" s="909"/>
      <c r="AA29" s="909"/>
      <c r="AB29" s="909">
        <f>-AB27/(AB6*1000)</f>
        <v>2.3227537629449497E-3</v>
      </c>
      <c r="AC29" s="909"/>
      <c r="AD29" s="909"/>
      <c r="AE29" s="909"/>
      <c r="AF29" s="909">
        <f>-AF27/(AF6*1000)</f>
        <v>-1.3575693044834015E-3</v>
      </c>
      <c r="AG29" s="907"/>
      <c r="AH29" s="907"/>
      <c r="AI29" s="907"/>
      <c r="AJ29" s="909">
        <f>-AJ27/(AJ6*1000)</f>
        <v>3.9425974885511665E-3</v>
      </c>
      <c r="AK29" s="907"/>
      <c r="AL29" s="907"/>
      <c r="AM29" s="907"/>
      <c r="AN29" s="909">
        <f>-AN27/(AN6*1000)</f>
        <v>2.8115983691327172E-3</v>
      </c>
      <c r="AO29" s="907"/>
      <c r="AP29" s="907"/>
      <c r="AQ29" s="907"/>
      <c r="AR29" s="910">
        <f>-AR27/(AR6*1000)</f>
        <v>2.3569821538141876E-3</v>
      </c>
      <c r="AS29" s="907"/>
      <c r="AT29" s="907"/>
      <c r="AU29" s="907"/>
      <c r="AV29" s="907">
        <f>-AV27/(AV6*1000)</f>
        <v>2.27703035122696E-3</v>
      </c>
      <c r="AW29" s="907"/>
      <c r="AX29" s="907"/>
      <c r="AY29" s="907"/>
      <c r="AZ29" s="907">
        <f>-AZ27/(AZ6*1000)</f>
        <v>3.0885173328200248E-3</v>
      </c>
      <c r="BA29" s="907"/>
      <c r="BB29" s="907"/>
      <c r="BC29" s="907"/>
      <c r="BD29" s="907">
        <f>-BD27/(BD6*1000)</f>
        <v>3.2564385882154624E-3</v>
      </c>
    </row>
    <row r="30" spans="3:56" x14ac:dyDescent="0.2">
      <c r="C30" s="2" t="s">
        <v>620</v>
      </c>
      <c r="D30" s="894">
        <f>MODEL!BR33</f>
        <v>12597</v>
      </c>
      <c r="E30" s="876"/>
      <c r="F30" s="876"/>
      <c r="G30" s="876"/>
      <c r="H30" s="894">
        <f>MODEL!BV33</f>
        <v>13057</v>
      </c>
      <c r="I30" s="876"/>
      <c r="J30" s="876"/>
      <c r="K30" s="876"/>
      <c r="L30" s="894">
        <f>MODEL!BZ33</f>
        <v>13563</v>
      </c>
      <c r="M30" s="876"/>
      <c r="N30" s="876"/>
      <c r="O30" s="876"/>
      <c r="P30" s="894">
        <f>MODEL!CD33</f>
        <v>12848</v>
      </c>
      <c r="T30" s="894">
        <f>MODEL!CH33</f>
        <v>11554</v>
      </c>
      <c r="X30" s="894">
        <f>MODEL!CL33</f>
        <v>10247</v>
      </c>
      <c r="Y30" s="894"/>
      <c r="Z30" s="894"/>
      <c r="AA30" s="894"/>
      <c r="AB30" s="894">
        <f>MODEL!CP33</f>
        <v>12243</v>
      </c>
      <c r="AC30" s="894"/>
      <c r="AD30" s="894"/>
      <c r="AE30" s="894"/>
      <c r="AF30" s="894">
        <f>MODEL!CT33</f>
        <v>13618</v>
      </c>
      <c r="AG30" s="894"/>
      <c r="AH30" s="894"/>
      <c r="AI30" s="894"/>
      <c r="AJ30" s="894">
        <f>MODEL!CX33</f>
        <v>14169</v>
      </c>
      <c r="AK30" s="894"/>
      <c r="AL30" s="894"/>
      <c r="AM30" s="894"/>
      <c r="AN30" s="894">
        <f>MODEL!DB33</f>
        <v>14154</v>
      </c>
      <c r="AO30" s="894"/>
      <c r="AP30" s="894"/>
      <c r="AQ30" s="894"/>
      <c r="AR30" s="895">
        <f>MODEL!DF33</f>
        <v>14743</v>
      </c>
      <c r="AS30" s="894"/>
      <c r="AT30" s="894"/>
      <c r="AU30" s="894"/>
      <c r="AV30" s="894">
        <f>MODEL!DJ33</f>
        <v>15812.929432259885</v>
      </c>
      <c r="AW30" s="894"/>
      <c r="AX30" s="894"/>
      <c r="AY30" s="894"/>
      <c r="AZ30" s="894">
        <f>MODEL!DN33</f>
        <v>16859.011693657274</v>
      </c>
      <c r="BA30" s="894"/>
      <c r="BB30" s="894"/>
      <c r="BC30" s="894"/>
      <c r="BD30" s="894">
        <f>MODEL!DR33</f>
        <v>17512.438281107512</v>
      </c>
    </row>
    <row r="31" spans="3:56" x14ac:dyDescent="0.2">
      <c r="C31" s="911" t="s">
        <v>48</v>
      </c>
      <c r="D31" s="894">
        <f>MODEL!BR34</f>
        <v>-3439</v>
      </c>
      <c r="E31" s="912"/>
      <c r="F31" s="912"/>
      <c r="G31" s="912"/>
      <c r="H31" s="894">
        <f>MODEL!BV34</f>
        <v>-3592</v>
      </c>
      <c r="I31" s="876"/>
      <c r="J31" s="876"/>
      <c r="K31" s="876"/>
      <c r="L31" s="894">
        <f>MODEL!BZ34</f>
        <v>-3847</v>
      </c>
      <c r="M31" s="876"/>
      <c r="N31" s="876"/>
      <c r="O31" s="876"/>
      <c r="P31" s="894">
        <f>MODEL!CD34</f>
        <v>-3920</v>
      </c>
      <c r="T31" s="894">
        <f>MODEL!CH34</f>
        <v>-3321</v>
      </c>
      <c r="X31" s="894">
        <f>MODEL!CL34</f>
        <v>-3022</v>
      </c>
      <c r="Y31" s="894"/>
      <c r="Z31" s="894"/>
      <c r="AA31" s="894"/>
      <c r="AB31" s="894">
        <f>MODEL!CP34</f>
        <v>-3590</v>
      </c>
      <c r="AC31" s="894"/>
      <c r="AD31" s="894"/>
      <c r="AE31" s="894"/>
      <c r="AF31" s="894">
        <f>MODEL!CT34</f>
        <v>-4023</v>
      </c>
      <c r="AG31" s="894"/>
      <c r="AH31" s="894"/>
      <c r="AI31" s="894"/>
      <c r="AJ31" s="894">
        <f>MODEL!CX34</f>
        <v>-4097</v>
      </c>
      <c r="AK31" s="894"/>
      <c r="AL31" s="894"/>
      <c r="AM31" s="894"/>
      <c r="AN31" s="894">
        <f>MODEL!DB34</f>
        <v>-4318</v>
      </c>
      <c r="AO31" s="894"/>
      <c r="AP31" s="894"/>
      <c r="AQ31" s="894"/>
      <c r="AR31" s="895">
        <f>MODEL!DF34</f>
        <v>-4491</v>
      </c>
      <c r="AS31" s="894"/>
      <c r="AT31" s="894"/>
      <c r="AU31" s="894"/>
      <c r="AV31" s="894">
        <f>MODEL!DJ34</f>
        <v>-4743.2760413811857</v>
      </c>
      <c r="AW31" s="894"/>
      <c r="AX31" s="894"/>
      <c r="AY31" s="894"/>
      <c r="AZ31" s="894">
        <f>MODEL!DN34</f>
        <v>-5057.7035080971818</v>
      </c>
      <c r="BA31" s="894"/>
      <c r="BB31" s="894"/>
      <c r="BC31" s="894"/>
      <c r="BD31" s="894">
        <f>MODEL!DR34</f>
        <v>-5253.7314843322529</v>
      </c>
    </row>
    <row r="32" spans="3:56" x14ac:dyDescent="0.2">
      <c r="C32" s="913" t="s">
        <v>621</v>
      </c>
      <c r="D32" s="862">
        <f>-D31/D30</f>
        <v>0.27300150829562592</v>
      </c>
      <c r="E32" s="913"/>
      <c r="F32" s="913"/>
      <c r="G32" s="913"/>
      <c r="H32" s="862">
        <f>-H31/H30</f>
        <v>0.27510147813433405</v>
      </c>
      <c r="I32" s="90"/>
      <c r="J32" s="90"/>
      <c r="K32" s="90"/>
      <c r="L32" s="862">
        <f>-L31/L30</f>
        <v>0.28363931283639315</v>
      </c>
      <c r="M32" s="90"/>
      <c r="N32" s="90"/>
      <c r="O32" s="90"/>
      <c r="P32" s="865">
        <f>-P31/P30</f>
        <v>0.30510585305105853</v>
      </c>
      <c r="T32" s="865">
        <f>-T31/T30</f>
        <v>0.28743292366280077</v>
      </c>
      <c r="X32" s="865">
        <f>-X31/X30</f>
        <v>0.29491558504928272</v>
      </c>
      <c r="Y32" s="865"/>
      <c r="Z32" s="865"/>
      <c r="AA32" s="865"/>
      <c r="AB32" s="865">
        <f>-AB31/AB30</f>
        <v>0.29322878379482153</v>
      </c>
      <c r="AC32" s="865"/>
      <c r="AD32" s="865"/>
      <c r="AE32" s="865"/>
      <c r="AF32" s="865">
        <f>-AF31/AF30</f>
        <v>0.29541782934351596</v>
      </c>
      <c r="AG32" s="862"/>
      <c r="AH32" s="862"/>
      <c r="AI32" s="862"/>
      <c r="AJ32" s="865">
        <f>-AJ31/AJ30</f>
        <v>0.28915237490295714</v>
      </c>
      <c r="AK32" s="862"/>
      <c r="AL32" s="862"/>
      <c r="AM32" s="862"/>
      <c r="AN32" s="865">
        <f>-AN31/AN30</f>
        <v>0.30507277094814189</v>
      </c>
      <c r="AO32" s="862"/>
      <c r="AP32" s="862"/>
      <c r="AQ32" s="862"/>
      <c r="AR32" s="914">
        <f>-AR31/AR30</f>
        <v>0.30461914128739065</v>
      </c>
      <c r="AS32" s="862"/>
      <c r="AT32" s="862"/>
      <c r="AU32" s="862"/>
      <c r="AV32" s="862">
        <f>-AV31/AV30</f>
        <v>0.29996188003624741</v>
      </c>
      <c r="AW32" s="862"/>
      <c r="AX32" s="862"/>
      <c r="AY32" s="862"/>
      <c r="AZ32" s="862">
        <f>-AZ31/AZ30</f>
        <v>0.3</v>
      </c>
      <c r="BA32" s="862"/>
      <c r="BB32" s="862"/>
      <c r="BC32" s="862"/>
      <c r="BD32" s="862">
        <f>-BD31/BD30</f>
        <v>0.29999999999999993</v>
      </c>
    </row>
    <row r="33" spans="3:56" x14ac:dyDescent="0.2">
      <c r="C33" s="2" t="s">
        <v>51</v>
      </c>
      <c r="D33" s="894">
        <f>MODEL!BR35</f>
        <v>-21</v>
      </c>
      <c r="E33" s="876"/>
      <c r="F33" s="876"/>
      <c r="G33" s="876"/>
      <c r="H33" s="894">
        <f>MODEL!BV35</f>
        <v>-20</v>
      </c>
      <c r="I33" s="876"/>
      <c r="J33" s="876"/>
      <c r="K33" s="876"/>
      <c r="L33" s="894">
        <f>MODEL!BZ35</f>
        <v>-20</v>
      </c>
      <c r="M33" s="876"/>
      <c r="N33" s="876"/>
      <c r="O33" s="876"/>
      <c r="P33" s="894">
        <f>MODEL!CD35</f>
        <v>-13</v>
      </c>
      <c r="T33" s="894">
        <f>MODEL!CH35</f>
        <v>-12</v>
      </c>
      <c r="X33" s="894">
        <f>MODEL!CL35</f>
        <v>0</v>
      </c>
      <c r="Y33" s="894"/>
      <c r="Z33" s="894"/>
      <c r="AA33" s="894"/>
      <c r="AB33" s="894">
        <f>MODEL!CP35</f>
        <v>0</v>
      </c>
      <c r="AC33" s="894"/>
      <c r="AD33" s="894"/>
      <c r="AE33" s="894"/>
      <c r="AF33" s="894">
        <f>MODEL!CT35</f>
        <v>0</v>
      </c>
      <c r="AG33" s="894"/>
      <c r="AH33" s="894"/>
      <c r="AI33" s="894"/>
      <c r="AJ33" s="894">
        <f>MODEL!CX35</f>
        <v>0</v>
      </c>
      <c r="AK33" s="894"/>
      <c r="AL33" s="894"/>
      <c r="AM33" s="894"/>
      <c r="AN33" s="894">
        <f>MODEL!DB35</f>
        <v>0</v>
      </c>
      <c r="AO33" s="894"/>
      <c r="AP33" s="894"/>
      <c r="AQ33" s="894"/>
      <c r="AR33" s="895">
        <f>MODEL!DF35</f>
        <v>0</v>
      </c>
      <c r="AS33" s="894"/>
      <c r="AT33" s="894"/>
      <c r="AU33" s="894"/>
      <c r="AV33" s="894">
        <f>MODEL!DJ35</f>
        <v>0</v>
      </c>
      <c r="AW33" s="894"/>
      <c r="AX33" s="894"/>
      <c r="AY33" s="894"/>
      <c r="AZ33" s="894">
        <f>MODEL!DN35</f>
        <v>0</v>
      </c>
      <c r="BA33" s="894"/>
      <c r="BB33" s="894"/>
      <c r="BC33" s="894"/>
      <c r="BD33" s="894">
        <f>MODEL!DR35</f>
        <v>0</v>
      </c>
    </row>
    <row r="34" spans="3:56" x14ac:dyDescent="0.2">
      <c r="C34" s="3" t="s">
        <v>53</v>
      </c>
      <c r="D34" s="915">
        <f>MODEL!BR36</f>
        <v>9137</v>
      </c>
      <c r="E34" s="887"/>
      <c r="F34" s="887"/>
      <c r="G34" s="887"/>
      <c r="H34" s="915">
        <f>MODEL!BV36</f>
        <v>9445</v>
      </c>
      <c r="I34" s="887"/>
      <c r="J34" s="887"/>
      <c r="K34" s="887"/>
      <c r="L34" s="915">
        <f>MODEL!BZ36</f>
        <v>9696</v>
      </c>
      <c r="M34" s="887"/>
      <c r="N34" s="887"/>
      <c r="O34" s="887"/>
      <c r="P34" s="915">
        <f>MODEL!CD36</f>
        <v>8915</v>
      </c>
      <c r="T34" s="915">
        <f>MODEL!CH36</f>
        <v>8221</v>
      </c>
      <c r="X34" s="915">
        <f>MODEL!CL36</f>
        <v>7225</v>
      </c>
      <c r="Y34" s="915"/>
      <c r="Z34" s="915"/>
      <c r="AA34" s="915"/>
      <c r="AB34" s="915">
        <f>MODEL!CP36</f>
        <v>8653</v>
      </c>
      <c r="AC34" s="915"/>
      <c r="AD34" s="915"/>
      <c r="AE34" s="915"/>
      <c r="AF34" s="915">
        <f>MODEL!CT36</f>
        <v>9595</v>
      </c>
      <c r="AG34" s="915"/>
      <c r="AH34" s="915"/>
      <c r="AI34" s="915"/>
      <c r="AJ34" s="915">
        <f>MODEL!CX36</f>
        <v>10072</v>
      </c>
      <c r="AK34" s="915"/>
      <c r="AL34" s="915"/>
      <c r="AM34" s="915"/>
      <c r="AN34" s="915">
        <f>MODEL!DB36</f>
        <v>9836</v>
      </c>
      <c r="AO34" s="915"/>
      <c r="AP34" s="915"/>
      <c r="AQ34" s="915"/>
      <c r="AR34" s="916">
        <f>MODEL!DF36</f>
        <v>10252</v>
      </c>
      <c r="AS34" s="915"/>
      <c r="AT34" s="915"/>
      <c r="AU34" s="915"/>
      <c r="AV34" s="915">
        <f>MODEL!DJ36</f>
        <v>11069.653390878699</v>
      </c>
      <c r="AW34" s="915"/>
      <c r="AX34" s="915"/>
      <c r="AY34" s="915"/>
      <c r="AZ34" s="915">
        <f>MODEL!DN36</f>
        <v>11801.308185560092</v>
      </c>
      <c r="BA34" s="915"/>
      <c r="BB34" s="915"/>
      <c r="BC34" s="915"/>
      <c r="BD34" s="915">
        <f>MODEL!DR36</f>
        <v>12258.706796775259</v>
      </c>
    </row>
    <row r="35" spans="3:56" x14ac:dyDescent="0.2">
      <c r="C35" s="917" t="s">
        <v>233</v>
      </c>
      <c r="D35" s="918">
        <f>MODEL!BS36</f>
        <v>5.264976958525347E-2</v>
      </c>
      <c r="E35" s="919"/>
      <c r="F35" s="919"/>
      <c r="G35" s="919"/>
      <c r="H35" s="918">
        <f>MODEL!BW36</f>
        <v>3.370909488891316E-2</v>
      </c>
      <c r="I35" s="919"/>
      <c r="J35" s="919"/>
      <c r="K35" s="919"/>
      <c r="L35" s="918">
        <f>MODEL!CA36</f>
        <v>2.6574907358390742E-2</v>
      </c>
      <c r="M35" s="919"/>
      <c r="N35" s="919"/>
      <c r="O35" s="919"/>
      <c r="P35" s="920">
        <f>+P34/L34-1</f>
        <v>-8.054867986798675E-2</v>
      </c>
      <c r="T35" s="920">
        <f>+T34/P34-1</f>
        <v>-7.7846326416152523E-2</v>
      </c>
      <c r="X35" s="920">
        <f>+X34/T34-1</f>
        <v>-0.12115314438632774</v>
      </c>
      <c r="Y35" s="920"/>
      <c r="Z35" s="920"/>
      <c r="AA35" s="920"/>
      <c r="AB35" s="920">
        <f>+AB34/X34-1</f>
        <v>0.19764705882352951</v>
      </c>
      <c r="AC35" s="920"/>
      <c r="AD35" s="920"/>
      <c r="AE35" s="920"/>
      <c r="AF35" s="920">
        <f>+AF34/AB34-1</f>
        <v>0.10886397781116375</v>
      </c>
      <c r="AG35" s="918"/>
      <c r="AH35" s="918"/>
      <c r="AI35" s="918"/>
      <c r="AJ35" s="920">
        <f>+AJ34/AF34-1</f>
        <v>4.971339239187067E-2</v>
      </c>
      <c r="AK35" s="918"/>
      <c r="AL35" s="918"/>
      <c r="AM35" s="918"/>
      <c r="AN35" s="920">
        <f>+AN34/AJ34-1</f>
        <v>-2.3431294678316172E-2</v>
      </c>
      <c r="AO35" s="918"/>
      <c r="AP35" s="918"/>
      <c r="AQ35" s="918"/>
      <c r="AR35" s="921">
        <f>+AR34/AN34-1</f>
        <v>4.2293615290768694E-2</v>
      </c>
      <c r="AS35" s="918"/>
      <c r="AT35" s="918"/>
      <c r="AU35" s="918"/>
      <c r="AV35" s="918">
        <f>+AV34/AR34-1</f>
        <v>7.975550047587765E-2</v>
      </c>
      <c r="AW35" s="918"/>
      <c r="AX35" s="918"/>
      <c r="AY35" s="918"/>
      <c r="AZ35" s="918">
        <f>+AZ34/AV34-1</f>
        <v>6.6095546883542911E-2</v>
      </c>
      <c r="BA35" s="918"/>
      <c r="BB35" s="918"/>
      <c r="BC35" s="918"/>
      <c r="BD35" s="918">
        <f>+BD34/AZ34-1</f>
        <v>3.8758297302567968E-2</v>
      </c>
    </row>
    <row r="36" spans="3:56" x14ac:dyDescent="0.2">
      <c r="C36" s="90" t="s">
        <v>946</v>
      </c>
      <c r="D36" s="915">
        <f>MODEL!BR37</f>
        <v>0</v>
      </c>
      <c r="E36" s="901"/>
      <c r="F36" s="901"/>
      <c r="G36" s="901"/>
      <c r="H36" s="915">
        <f>MODEL!BV37</f>
        <v>0</v>
      </c>
      <c r="I36" s="887"/>
      <c r="J36" s="887"/>
      <c r="K36" s="887"/>
      <c r="L36" s="915">
        <f>MODEL!BZ37</f>
        <v>185</v>
      </c>
      <c r="M36" s="887">
        <f>MODEL!CA37</f>
        <v>0</v>
      </c>
      <c r="N36" s="922">
        <f>MODEL!CB37</f>
        <v>273</v>
      </c>
      <c r="O36" s="922">
        <f>MODEL!CC37</f>
        <v>224</v>
      </c>
      <c r="P36" s="915">
        <f>MODEL!CD37</f>
        <v>497</v>
      </c>
      <c r="Q36" s="2">
        <f>MODEL!CE37</f>
        <v>0</v>
      </c>
      <c r="R36" s="162">
        <f>MODEL!CF37</f>
        <v>261</v>
      </c>
      <c r="S36" s="162">
        <f>MODEL!CG37</f>
        <v>224</v>
      </c>
      <c r="T36" s="915">
        <f>MODEL!CH37</f>
        <v>485</v>
      </c>
      <c r="U36" s="2">
        <f>MODEL!CI37</f>
        <v>0</v>
      </c>
      <c r="V36" s="162">
        <f>MODEL!CJ37</f>
        <v>152</v>
      </c>
      <c r="W36" s="162">
        <f>MODEL!CK37</f>
        <v>30</v>
      </c>
      <c r="X36" s="915">
        <f>MODEL!CL37</f>
        <v>182</v>
      </c>
      <c r="Y36" s="915">
        <f>MODEL!CM37</f>
        <v>0</v>
      </c>
      <c r="Z36" s="915">
        <f>MODEL!CN37</f>
        <v>99</v>
      </c>
      <c r="AA36" s="915">
        <f>MODEL!CO37</f>
        <v>49</v>
      </c>
      <c r="AB36" s="915">
        <f>MODEL!CP37</f>
        <v>148</v>
      </c>
      <c r="AC36" s="915"/>
      <c r="AD36" s="915"/>
      <c r="AE36" s="915"/>
      <c r="AF36" s="915">
        <f>MODEL!CT37</f>
        <v>113</v>
      </c>
      <c r="AG36" s="915"/>
      <c r="AH36" s="915"/>
      <c r="AI36" s="915"/>
      <c r="AJ36" s="915">
        <f>MODEL!CX37</f>
        <v>18</v>
      </c>
      <c r="AK36" s="915"/>
      <c r="AL36" s="915"/>
      <c r="AM36" s="915"/>
      <c r="AN36" s="915">
        <f>MODEL!DB37</f>
        <v>11</v>
      </c>
      <c r="AO36" s="915"/>
      <c r="AP36" s="915"/>
      <c r="AQ36" s="915"/>
      <c r="AR36" s="916">
        <f>MODEL!DF37</f>
        <v>1</v>
      </c>
      <c r="AS36" s="915"/>
      <c r="AT36" s="915"/>
      <c r="AU36" s="915"/>
      <c r="AV36" s="915">
        <f>MODEL!DJ37</f>
        <v>0</v>
      </c>
      <c r="AW36" s="915"/>
      <c r="AX36" s="915"/>
      <c r="AY36" s="915"/>
      <c r="AZ36" s="915">
        <f>MODEL!DN37</f>
        <v>0</v>
      </c>
      <c r="BA36" s="915"/>
      <c r="BB36" s="915"/>
      <c r="BC36" s="915"/>
      <c r="BD36" s="915">
        <f>MODEL!DR37</f>
        <v>0</v>
      </c>
    </row>
    <row r="37" spans="3:56" x14ac:dyDescent="0.2">
      <c r="C37" s="3" t="s">
        <v>932</v>
      </c>
      <c r="D37" s="915">
        <f>MODEL!BR102</f>
        <v>0</v>
      </c>
      <c r="E37" s="901"/>
      <c r="F37" s="901"/>
      <c r="G37" s="901"/>
      <c r="H37" s="915">
        <f>MODEL!BV102</f>
        <v>0</v>
      </c>
      <c r="I37" s="887"/>
      <c r="J37" s="887"/>
      <c r="K37" s="887"/>
      <c r="L37" s="915">
        <f>MODEL!BZ102</f>
        <v>0</v>
      </c>
      <c r="M37" s="887">
        <f>MODEL!CA102</f>
        <v>0</v>
      </c>
      <c r="N37" s="922">
        <f>MODEL!CB102</f>
        <v>4421.5</v>
      </c>
      <c r="O37" s="922">
        <f>MODEL!CC102</f>
        <v>4208</v>
      </c>
      <c r="P37" s="915">
        <f>MODEL!CD102</f>
        <v>8629.5</v>
      </c>
      <c r="Q37" s="2">
        <f>MODEL!CE102</f>
        <v>0</v>
      </c>
      <c r="R37" s="162">
        <f>MODEL!CF102</f>
        <v>4613.7</v>
      </c>
      <c r="S37" s="162">
        <f>MODEL!CG102</f>
        <v>4090.3</v>
      </c>
      <c r="T37" s="915">
        <f>MODEL!CH102</f>
        <v>8704</v>
      </c>
      <c r="U37" s="2">
        <f>MODEL!CI102</f>
        <v>0</v>
      </c>
      <c r="V37" s="162">
        <f>MODEL!CJ102</f>
        <v>4320</v>
      </c>
      <c r="W37" s="162">
        <f>MODEL!CK102</f>
        <v>3227.7</v>
      </c>
      <c r="X37" s="915">
        <f>MODEL!CL102</f>
        <v>7547.7</v>
      </c>
      <c r="Y37" s="915">
        <f>MODEL!CM102</f>
        <v>0</v>
      </c>
      <c r="Z37" s="915">
        <f>MODEL!CN102</f>
        <v>4037.4</v>
      </c>
      <c r="AA37" s="915">
        <f>MODEL!CO102</f>
        <v>5018.1000000000004</v>
      </c>
      <c r="AB37" s="915">
        <f>MODEL!CP102</f>
        <v>9055.5</v>
      </c>
      <c r="AC37" s="915"/>
      <c r="AD37" s="915"/>
      <c r="AE37" s="915"/>
      <c r="AF37" s="915">
        <f>MODEL!CT102</f>
        <v>9681.7999999999993</v>
      </c>
      <c r="AG37" s="915"/>
      <c r="AH37" s="915"/>
      <c r="AI37" s="915"/>
      <c r="AJ37" s="915">
        <f>MODEL!CX102</f>
        <v>10179.299999999999</v>
      </c>
      <c r="AK37" s="915"/>
      <c r="AL37" s="915"/>
      <c r="AM37" s="915"/>
      <c r="AN37" s="915">
        <f>MODEL!DB102</f>
        <v>9898.2999999999993</v>
      </c>
      <c r="AO37" s="915"/>
      <c r="AP37" s="915"/>
      <c r="AQ37" s="915"/>
      <c r="AR37" s="916">
        <f>MODEL!DF102</f>
        <v>10343</v>
      </c>
      <c r="AS37" s="915"/>
      <c r="AT37" s="915"/>
      <c r="AU37" s="915"/>
      <c r="AV37" s="915">
        <f>MODEL!DJ102</f>
        <v>11223.653390878699</v>
      </c>
      <c r="AW37" s="915"/>
      <c r="AX37" s="915"/>
      <c r="AY37" s="915"/>
      <c r="AZ37" s="915">
        <f>MODEL!DN102</f>
        <v>11836.308185560092</v>
      </c>
      <c r="BA37" s="915"/>
      <c r="BB37" s="915"/>
      <c r="BC37" s="915"/>
      <c r="BD37" s="915">
        <f>MODEL!DR102</f>
        <v>12293.706796775259</v>
      </c>
    </row>
    <row r="38" spans="3:56" x14ac:dyDescent="0.2">
      <c r="C38" s="3" t="s">
        <v>56</v>
      </c>
      <c r="D38" s="85">
        <f>D34+D36</f>
        <v>9137</v>
      </c>
      <c r="E38" s="901"/>
      <c r="F38" s="901"/>
      <c r="G38" s="901"/>
      <c r="H38" s="85">
        <f>H34+H36</f>
        <v>9445</v>
      </c>
      <c r="L38" s="85">
        <f>L34+L36</f>
        <v>9881</v>
      </c>
      <c r="P38" s="85">
        <f>P34+P36</f>
        <v>9412</v>
      </c>
      <c r="T38" s="85">
        <f t="shared" ref="T38:AB38" si="9">T34+T36</f>
        <v>8706</v>
      </c>
      <c r="U38" s="2">
        <f t="shared" si="9"/>
        <v>0</v>
      </c>
      <c r="V38" s="2">
        <f t="shared" si="9"/>
        <v>152</v>
      </c>
      <c r="W38" s="2">
        <f t="shared" si="9"/>
        <v>30</v>
      </c>
      <c r="X38" s="85">
        <f t="shared" si="9"/>
        <v>7407</v>
      </c>
      <c r="Y38" s="85">
        <f t="shared" si="9"/>
        <v>0</v>
      </c>
      <c r="Z38" s="85">
        <f t="shared" si="9"/>
        <v>99</v>
      </c>
      <c r="AA38" s="85">
        <f t="shared" si="9"/>
        <v>49</v>
      </c>
      <c r="AB38" s="85">
        <f t="shared" si="9"/>
        <v>8801</v>
      </c>
      <c r="AC38" s="85"/>
      <c r="AD38" s="85"/>
      <c r="AE38" s="85"/>
      <c r="AF38" s="85">
        <f>AF34+AF36</f>
        <v>9708</v>
      </c>
      <c r="AG38" s="85"/>
      <c r="AH38" s="85"/>
      <c r="AI38" s="85"/>
      <c r="AJ38" s="85">
        <f>AJ34+AJ36</f>
        <v>10090</v>
      </c>
      <c r="AK38" s="85"/>
      <c r="AL38" s="85"/>
      <c r="AM38" s="85"/>
      <c r="AN38" s="85">
        <f>AN34+AN36</f>
        <v>9847</v>
      </c>
      <c r="AO38" s="85"/>
      <c r="AP38" s="85"/>
      <c r="AQ38" s="85"/>
      <c r="AR38" s="896">
        <f>AR34+AR36</f>
        <v>10253</v>
      </c>
      <c r="AS38" s="85"/>
      <c r="AT38" s="85"/>
      <c r="AU38" s="85"/>
      <c r="AV38" s="85">
        <f>AV34+AV36</f>
        <v>11069.653390878699</v>
      </c>
      <c r="AW38" s="85"/>
      <c r="AX38" s="85"/>
      <c r="AY38" s="85"/>
      <c r="AZ38" s="85">
        <f>AZ34+AZ36</f>
        <v>11801.308185560092</v>
      </c>
      <c r="BA38" s="85"/>
      <c r="BB38" s="85"/>
      <c r="BC38" s="85"/>
      <c r="BD38" s="85">
        <f>BD34+BD36</f>
        <v>12258.706796775259</v>
      </c>
    </row>
    <row r="39" spans="3:56" x14ac:dyDescent="0.2">
      <c r="C39" s="917" t="s">
        <v>233</v>
      </c>
      <c r="D39" s="918">
        <f>MODEL!BS38</f>
        <v>0</v>
      </c>
      <c r="E39" s="901"/>
      <c r="F39" s="901"/>
      <c r="G39" s="901"/>
      <c r="H39" s="918">
        <f>MODEL!BW38</f>
        <v>3.370909488891316E-2</v>
      </c>
      <c r="I39" s="919"/>
      <c r="J39" s="919"/>
      <c r="K39" s="919"/>
      <c r="L39" s="918">
        <f>MODEL!CA38</f>
        <v>4.6161990471148773E-2</v>
      </c>
      <c r="M39" s="919"/>
      <c r="N39" s="919"/>
      <c r="O39" s="919"/>
      <c r="P39" s="920">
        <f>+P38/L38-1</f>
        <v>-4.7464831494787973E-2</v>
      </c>
      <c r="T39" s="920">
        <f>+T38/P38-1</f>
        <v>-7.5010624734381692E-2</v>
      </c>
      <c r="X39" s="920">
        <f>+X38/T38-1</f>
        <v>-0.14920744314266021</v>
      </c>
      <c r="Y39" s="920"/>
      <c r="Z39" s="920"/>
      <c r="AA39" s="920"/>
      <c r="AB39" s="920">
        <f>+AB38/X38-1</f>
        <v>0.18820035101930599</v>
      </c>
      <c r="AC39" s="920"/>
      <c r="AD39" s="920"/>
      <c r="AE39" s="920"/>
      <c r="AF39" s="920">
        <f>+AF38/AB38-1</f>
        <v>0.10305647085558456</v>
      </c>
      <c r="AG39" s="918"/>
      <c r="AH39" s="918"/>
      <c r="AI39" s="918"/>
      <c r="AJ39" s="920">
        <f>+AJ38/AF38-1</f>
        <v>3.9348990523279781E-2</v>
      </c>
      <c r="AK39" s="918"/>
      <c r="AL39" s="918"/>
      <c r="AM39" s="918"/>
      <c r="AN39" s="920">
        <f>+AN38/AJ38-1</f>
        <v>-2.4083250743310192E-2</v>
      </c>
      <c r="AO39" s="918"/>
      <c r="AP39" s="918"/>
      <c r="AQ39" s="918"/>
      <c r="AR39" s="921">
        <f>+AR38/AN38-1</f>
        <v>4.1230831725398653E-2</v>
      </c>
      <c r="AS39" s="918"/>
      <c r="AT39" s="918"/>
      <c r="AU39" s="918"/>
      <c r="AV39" s="918">
        <f>+AV38/AR38-1</f>
        <v>7.9650189298615004E-2</v>
      </c>
      <c r="AW39" s="918"/>
      <c r="AX39" s="918"/>
      <c r="AY39" s="918"/>
      <c r="AZ39" s="918">
        <f>+AZ38/AV38-1</f>
        <v>6.6095546883542911E-2</v>
      </c>
      <c r="BA39" s="918"/>
      <c r="BB39" s="918"/>
      <c r="BC39" s="918"/>
      <c r="BD39" s="918">
        <f>+BD38/AZ38-1</f>
        <v>3.8758297302567968E-2</v>
      </c>
    </row>
    <row r="40" spans="3:56" x14ac:dyDescent="0.2">
      <c r="C40" s="2" t="s">
        <v>231</v>
      </c>
      <c r="D40" s="894">
        <f>MODEL!BR43</f>
        <v>-52</v>
      </c>
      <c r="E40" s="876"/>
      <c r="F40" s="876"/>
      <c r="G40" s="876"/>
      <c r="H40" s="894">
        <f>MODEL!BV43</f>
        <v>-50</v>
      </c>
      <c r="I40" s="876"/>
      <c r="J40" s="876"/>
      <c r="K40" s="876"/>
      <c r="L40" s="894">
        <f>MODEL!BZ43</f>
        <v>0</v>
      </c>
      <c r="M40" s="876"/>
      <c r="N40" s="876"/>
      <c r="O40" s="876"/>
      <c r="P40" s="894">
        <f>MODEL!CD43</f>
        <v>0</v>
      </c>
      <c r="T40" s="894">
        <f>MODEL!CH43</f>
        <v>0</v>
      </c>
      <c r="X40" s="894">
        <f>MODEL!CL43</f>
        <v>0</v>
      </c>
      <c r="Y40" s="894"/>
      <c r="Z40" s="894"/>
      <c r="AA40" s="894"/>
      <c r="AB40" s="894">
        <f>MODEL!CP43</f>
        <v>0</v>
      </c>
      <c r="AC40" s="894"/>
      <c r="AD40" s="894"/>
      <c r="AE40" s="894"/>
      <c r="AF40" s="894">
        <f>MODEL!CT43</f>
        <v>0</v>
      </c>
      <c r="AG40" s="894"/>
      <c r="AH40" s="894"/>
      <c r="AI40" s="894"/>
      <c r="AJ40" s="894">
        <f>MODEL!CX43</f>
        <v>0</v>
      </c>
      <c r="AK40" s="894"/>
      <c r="AL40" s="894"/>
      <c r="AM40" s="894"/>
      <c r="AN40" s="894">
        <f>MODEL!DB43</f>
        <v>0</v>
      </c>
      <c r="AO40" s="894"/>
      <c r="AP40" s="894"/>
      <c r="AQ40" s="894"/>
      <c r="AR40" s="895">
        <f>MODEL!DF43</f>
        <v>0</v>
      </c>
      <c r="AS40" s="894"/>
      <c r="AT40" s="894"/>
      <c r="AU40" s="894"/>
      <c r="AV40" s="894">
        <f>MODEL!DJ43</f>
        <v>0</v>
      </c>
      <c r="AW40" s="894"/>
      <c r="AX40" s="894"/>
      <c r="AY40" s="894"/>
      <c r="AZ40" s="894">
        <f>MODEL!DN43</f>
        <v>0</v>
      </c>
      <c r="BA40" s="894"/>
      <c r="BB40" s="894"/>
      <c r="BC40" s="894"/>
      <c r="BD40" s="894">
        <f>MODEL!DR43</f>
        <v>0</v>
      </c>
    </row>
    <row r="41" spans="3:56" x14ac:dyDescent="0.2">
      <c r="C41" s="3" t="s">
        <v>232</v>
      </c>
      <c r="D41" s="864">
        <f>+D34+D40</f>
        <v>9085</v>
      </c>
      <c r="E41" s="3"/>
      <c r="F41" s="3"/>
      <c r="G41" s="3"/>
      <c r="H41" s="851">
        <f>+H38+H40</f>
        <v>9395</v>
      </c>
      <c r="I41" s="3"/>
      <c r="J41" s="3"/>
      <c r="K41" s="3"/>
      <c r="L41" s="864">
        <f t="shared" ref="L41:AB41" si="10">+L38+L40</f>
        <v>9881</v>
      </c>
      <c r="M41" s="923">
        <f t="shared" si="10"/>
        <v>0</v>
      </c>
      <c r="N41" s="923">
        <f t="shared" si="10"/>
        <v>0</v>
      </c>
      <c r="O41" s="923">
        <f t="shared" si="10"/>
        <v>0</v>
      </c>
      <c r="P41" s="864">
        <f t="shared" si="10"/>
        <v>9412</v>
      </c>
      <c r="Q41" s="162">
        <f t="shared" si="10"/>
        <v>0</v>
      </c>
      <c r="R41" s="162">
        <f t="shared" si="10"/>
        <v>0</v>
      </c>
      <c r="S41" s="162">
        <f t="shared" si="10"/>
        <v>0</v>
      </c>
      <c r="T41" s="864">
        <f t="shared" si="10"/>
        <v>8706</v>
      </c>
      <c r="U41" s="162">
        <f t="shared" si="10"/>
        <v>0</v>
      </c>
      <c r="V41" s="162">
        <f t="shared" si="10"/>
        <v>152</v>
      </c>
      <c r="W41" s="162">
        <f t="shared" si="10"/>
        <v>30</v>
      </c>
      <c r="X41" s="864">
        <f t="shared" si="10"/>
        <v>7407</v>
      </c>
      <c r="Y41" s="864">
        <f t="shared" si="10"/>
        <v>0</v>
      </c>
      <c r="Z41" s="864">
        <f t="shared" si="10"/>
        <v>99</v>
      </c>
      <c r="AA41" s="864">
        <f t="shared" si="10"/>
        <v>49</v>
      </c>
      <c r="AB41" s="864">
        <f t="shared" si="10"/>
        <v>8801</v>
      </c>
      <c r="AC41" s="864"/>
      <c r="AD41" s="864"/>
      <c r="AE41" s="864"/>
      <c r="AF41" s="864">
        <f>+AF38+AF40</f>
        <v>9708</v>
      </c>
      <c r="AG41" s="864"/>
      <c r="AH41" s="864"/>
      <c r="AI41" s="864"/>
      <c r="AJ41" s="864">
        <f>+AJ38+AJ40</f>
        <v>10090</v>
      </c>
      <c r="AK41" s="864"/>
      <c r="AL41" s="864"/>
      <c r="AM41" s="864"/>
      <c r="AN41" s="864">
        <f>+AN38+AN40</f>
        <v>9847</v>
      </c>
      <c r="AO41" s="864"/>
      <c r="AP41" s="864"/>
      <c r="AQ41" s="864"/>
      <c r="AR41" s="924">
        <f>+AR38+AR40</f>
        <v>10253</v>
      </c>
      <c r="AS41" s="864"/>
      <c r="AT41" s="864"/>
      <c r="AU41" s="864"/>
      <c r="AV41" s="864">
        <f>+AV38+AV40</f>
        <v>11069.653390878699</v>
      </c>
      <c r="AW41" s="864"/>
      <c r="AX41" s="864"/>
      <c r="AY41" s="864"/>
      <c r="AZ41" s="864">
        <f>+AZ38+AZ40</f>
        <v>11801.308185560092</v>
      </c>
      <c r="BA41" s="864"/>
      <c r="BB41" s="864"/>
      <c r="BC41" s="864"/>
      <c r="BD41" s="864">
        <f>+BD38+BD40</f>
        <v>12258.706796775259</v>
      </c>
    </row>
    <row r="42" spans="3:56" x14ac:dyDescent="0.2">
      <c r="C42" s="2" t="s">
        <v>947</v>
      </c>
      <c r="D42" s="894">
        <f>MODEL!BR1135</f>
        <v>1628.7954989563791</v>
      </c>
      <c r="E42" s="925"/>
      <c r="F42" s="925"/>
      <c r="G42" s="925"/>
      <c r="H42" s="894">
        <f>MODEL!BV1135</f>
        <v>1693</v>
      </c>
      <c r="I42" s="925"/>
      <c r="J42" s="925"/>
      <c r="K42" s="925"/>
      <c r="L42" s="894">
        <f>MODEL!BZ1135</f>
        <v>1721</v>
      </c>
      <c r="M42" s="925"/>
      <c r="N42" s="925"/>
      <c r="O42" s="925"/>
      <c r="P42" s="894">
        <f>MODEL!CD1135</f>
        <v>1747</v>
      </c>
      <c r="T42" s="894">
        <f>MODEL!CH1135</f>
        <v>1766</v>
      </c>
      <c r="X42" s="894">
        <f>MODEL!CL1135</f>
        <v>1769</v>
      </c>
      <c r="Y42" s="894"/>
      <c r="Z42" s="894"/>
      <c r="AA42" s="894"/>
      <c r="AB42" s="894">
        <f>MODEL!CP1135</f>
        <v>1771</v>
      </c>
      <c r="AC42" s="894"/>
      <c r="AD42" s="894"/>
      <c r="AE42" s="894"/>
      <c r="AF42" s="894">
        <f>MODEL!CT1135</f>
        <v>1722</v>
      </c>
      <c r="AG42" s="894"/>
      <c r="AH42" s="894"/>
      <c r="AI42" s="894"/>
      <c r="AJ42" s="894">
        <f>MODEL!CX1135</f>
        <v>1690</v>
      </c>
      <c r="AK42" s="894"/>
      <c r="AL42" s="894"/>
      <c r="AM42" s="894"/>
      <c r="AN42" s="894">
        <f>MODEL!DB1135</f>
        <v>1673</v>
      </c>
      <c r="AO42" s="894"/>
      <c r="AP42" s="894"/>
      <c r="AQ42" s="894"/>
      <c r="AR42" s="895">
        <f>MODEL!DF1135</f>
        <v>1672</v>
      </c>
      <c r="AS42" s="894"/>
      <c r="AT42" s="894"/>
      <c r="AU42" s="894"/>
      <c r="AV42" s="894">
        <f>MODEL!DJ1135</f>
        <v>1672.0703947185145</v>
      </c>
      <c r="AW42" s="894"/>
      <c r="AX42" s="894"/>
      <c r="AY42" s="894"/>
      <c r="AZ42" s="894">
        <f ca="1">MODEL!DN1135</f>
        <v>1672.1407894370291</v>
      </c>
      <c r="BA42" s="894"/>
      <c r="BB42" s="894"/>
      <c r="BC42" s="894"/>
      <c r="BD42" s="894">
        <f ca="1">MODEL!DR1135</f>
        <v>1672.1407894370291</v>
      </c>
    </row>
    <row r="43" spans="3:56" x14ac:dyDescent="0.2">
      <c r="C43" s="3" t="s">
        <v>948</v>
      </c>
      <c r="D43" s="851">
        <f>+D40/D41*100</f>
        <v>-0.57237204182718771</v>
      </c>
      <c r="E43" s="3"/>
      <c r="F43" s="3"/>
      <c r="G43" s="3"/>
      <c r="H43" s="851">
        <f>+H40/H41*100</f>
        <v>-0.53219797764768495</v>
      </c>
      <c r="I43" s="3"/>
      <c r="J43" s="3"/>
      <c r="K43" s="3"/>
      <c r="L43" s="851">
        <f>+L37/L42*100</f>
        <v>0</v>
      </c>
      <c r="M43" s="3" t="e">
        <f t="shared" ref="M43:AM43" si="11">+M37/M42*100</f>
        <v>#DIV/0!</v>
      </c>
      <c r="N43" s="3" t="e">
        <f t="shared" si="11"/>
        <v>#DIV/0!</v>
      </c>
      <c r="O43" s="3" t="e">
        <f t="shared" si="11"/>
        <v>#DIV/0!</v>
      </c>
      <c r="P43" s="851">
        <f t="shared" si="11"/>
        <v>493.96107613050947</v>
      </c>
      <c r="Q43" s="2" t="e">
        <f t="shared" si="11"/>
        <v>#DIV/0!</v>
      </c>
      <c r="R43" s="2" t="e">
        <f t="shared" si="11"/>
        <v>#DIV/0!</v>
      </c>
      <c r="S43" s="2" t="e">
        <f t="shared" si="11"/>
        <v>#DIV/0!</v>
      </c>
      <c r="T43" s="851">
        <f t="shared" si="11"/>
        <v>492.86523216308041</v>
      </c>
      <c r="U43" s="2" t="e">
        <f t="shared" si="11"/>
        <v>#DIV/0!</v>
      </c>
      <c r="V43" s="2" t="e">
        <f t="shared" si="11"/>
        <v>#DIV/0!</v>
      </c>
      <c r="W43" s="2" t="e">
        <f t="shared" si="11"/>
        <v>#DIV/0!</v>
      </c>
      <c r="X43" s="851">
        <f t="shared" si="11"/>
        <v>426.66478236291692</v>
      </c>
      <c r="Y43" s="851" t="e">
        <f t="shared" si="11"/>
        <v>#DIV/0!</v>
      </c>
      <c r="Z43" s="851" t="e">
        <f t="shared" si="11"/>
        <v>#DIV/0!</v>
      </c>
      <c r="AA43" s="851" t="e">
        <f t="shared" si="11"/>
        <v>#DIV/0!</v>
      </c>
      <c r="AB43" s="851">
        <f t="shared" si="11"/>
        <v>511.3212874082439</v>
      </c>
      <c r="AC43" s="851" t="e">
        <f t="shared" si="11"/>
        <v>#DIV/0!</v>
      </c>
      <c r="AD43" s="851" t="e">
        <f t="shared" si="11"/>
        <v>#DIV/0!</v>
      </c>
      <c r="AE43" s="851" t="e">
        <f t="shared" si="11"/>
        <v>#DIV/0!</v>
      </c>
      <c r="AF43" s="851">
        <f t="shared" si="11"/>
        <v>562.24157955865269</v>
      </c>
      <c r="AG43" s="851" t="e">
        <f t="shared" si="11"/>
        <v>#DIV/0!</v>
      </c>
      <c r="AH43" s="851" t="e">
        <f t="shared" si="11"/>
        <v>#DIV/0!</v>
      </c>
      <c r="AI43" s="851" t="e">
        <f t="shared" si="11"/>
        <v>#DIV/0!</v>
      </c>
      <c r="AJ43" s="851">
        <f>+AJ37/AJ42*100</f>
        <v>602.32544378698219</v>
      </c>
      <c r="AK43" s="851" t="e">
        <f t="shared" si="11"/>
        <v>#DIV/0!</v>
      </c>
      <c r="AL43" s="851" t="e">
        <f t="shared" si="11"/>
        <v>#DIV/0!</v>
      </c>
      <c r="AM43" s="851" t="e">
        <f t="shared" si="11"/>
        <v>#DIV/0!</v>
      </c>
      <c r="AN43" s="851">
        <f>+AN37/AN42*100</f>
        <v>591.64973102211593</v>
      </c>
      <c r="AO43" s="851" t="e">
        <f t="shared" ref="AO43:AQ43" si="12">+AO37/AO42*100</f>
        <v>#DIV/0!</v>
      </c>
      <c r="AP43" s="851" t="e">
        <f t="shared" si="12"/>
        <v>#DIV/0!</v>
      </c>
      <c r="AQ43" s="851" t="e">
        <f t="shared" si="12"/>
        <v>#DIV/0!</v>
      </c>
      <c r="AR43" s="863">
        <f>+AR37/AR42*100</f>
        <v>618.6004784688995</v>
      </c>
      <c r="AS43" s="851" t="e">
        <f t="shared" ref="AS43:AU43" si="13">+AS37/AS42*100</f>
        <v>#DIV/0!</v>
      </c>
      <c r="AT43" s="851" t="e">
        <f t="shared" si="13"/>
        <v>#DIV/0!</v>
      </c>
      <c r="AU43" s="851" t="e">
        <f t="shared" si="13"/>
        <v>#DIV/0!</v>
      </c>
      <c r="AV43" s="851">
        <f>+AV37/AV42*100</f>
        <v>671.24287508051657</v>
      </c>
      <c r="AW43" s="851"/>
      <c r="AX43" s="851"/>
      <c r="AY43" s="851"/>
      <c r="AZ43" s="851">
        <f ca="1">+AZ37/AZ42*100</f>
        <v>707.85356474349874</v>
      </c>
      <c r="BA43" s="851"/>
      <c r="BB43" s="851"/>
      <c r="BC43" s="851"/>
      <c r="BD43" s="851">
        <f ca="1">+BD37/BD42*100</f>
        <v>735.20763768428048</v>
      </c>
    </row>
    <row r="44" spans="3:56" x14ac:dyDescent="0.2">
      <c r="C44" s="3" t="s">
        <v>38</v>
      </c>
      <c r="D44" s="851">
        <f>+D41/D42*100</f>
        <v>557.77413467934116</v>
      </c>
      <c r="E44" s="3"/>
      <c r="F44" s="3"/>
      <c r="G44" s="3"/>
      <c r="H44" s="851">
        <f>+H41/H42*100</f>
        <v>554.93207324276432</v>
      </c>
      <c r="I44" s="3"/>
      <c r="J44" s="3"/>
      <c r="K44" s="3"/>
      <c r="L44" s="851">
        <f>+L41/L42*100</f>
        <v>574.14294015107487</v>
      </c>
      <c r="M44" s="3"/>
      <c r="N44" s="3"/>
      <c r="O44" s="3"/>
      <c r="P44" s="851">
        <f>+P41/P42*100</f>
        <v>538.75214653692046</v>
      </c>
      <c r="T44" s="851">
        <f>+T41/T42*100</f>
        <v>492.9784824462061</v>
      </c>
      <c r="X44" s="851">
        <f>+X41/X42*100</f>
        <v>418.71113623516106</v>
      </c>
      <c r="Y44" s="851"/>
      <c r="Z44" s="851"/>
      <c r="AA44" s="851"/>
      <c r="AB44" s="851">
        <f>+AB41/AB42*100</f>
        <v>496.95087521174474</v>
      </c>
      <c r="AC44" s="851"/>
      <c r="AD44" s="851"/>
      <c r="AE44" s="851"/>
      <c r="AF44" s="851">
        <f>+AF41/AF42*100</f>
        <v>563.76306620209061</v>
      </c>
      <c r="AG44" s="851"/>
      <c r="AH44" s="851"/>
      <c r="AI44" s="851"/>
      <c r="AJ44" s="851">
        <f>+AJ41/AJ42*100</f>
        <v>597.04142011834313</v>
      </c>
      <c r="AK44" s="851"/>
      <c r="AL44" s="851"/>
      <c r="AM44" s="851"/>
      <c r="AN44" s="851">
        <f>+AN41/AN42*100</f>
        <v>588.58338314405262</v>
      </c>
      <c r="AO44" s="851"/>
      <c r="AP44" s="851"/>
      <c r="AQ44" s="851"/>
      <c r="AR44" s="863">
        <f>+AR41/AR42*100</f>
        <v>613.21770334928237</v>
      </c>
      <c r="AS44" s="851"/>
      <c r="AT44" s="851"/>
      <c r="AU44" s="851"/>
      <c r="AV44" s="851">
        <f>+AV41/AV42*100</f>
        <v>662.03273653094163</v>
      </c>
      <c r="AW44" s="851"/>
      <c r="AX44" s="851"/>
      <c r="AY44" s="851"/>
      <c r="AZ44" s="851">
        <f ca="1">+AZ41/AZ42*100</f>
        <v>705.76043955804209</v>
      </c>
      <c r="BA44" s="851"/>
      <c r="BB44" s="851"/>
      <c r="BC44" s="851"/>
      <c r="BD44" s="851">
        <f ca="1">+BD41/BD42*100</f>
        <v>733.11451249882373</v>
      </c>
    </row>
    <row r="45" spans="3:56" x14ac:dyDescent="0.2">
      <c r="C45" s="926" t="s">
        <v>233</v>
      </c>
      <c r="D45" s="927">
        <f>MODEL!BS1141</f>
        <v>4.6398307205101519E-2</v>
      </c>
      <c r="E45" s="926"/>
      <c r="F45" s="926"/>
      <c r="G45" s="926"/>
      <c r="H45" s="927">
        <f>MODEL!BW1141</f>
        <v>-5.0953625488759924E-3</v>
      </c>
      <c r="I45" s="926"/>
      <c r="J45" s="926"/>
      <c r="K45" s="926"/>
      <c r="L45" s="927">
        <f>MODEL!CA1141</f>
        <v>1.5247456597724085E-2</v>
      </c>
      <c r="M45" s="926"/>
      <c r="N45" s="926"/>
      <c r="O45" s="926"/>
      <c r="P45" s="927">
        <f>MODEL!CE1141</f>
        <v>-9.4232557557415553E-2</v>
      </c>
      <c r="T45" s="927">
        <f>MODEL!CI1141</f>
        <v>-8.7865552985952222E-2</v>
      </c>
      <c r="X45" s="927">
        <f>MODEL!CM1141</f>
        <v>-0.12265673166608726</v>
      </c>
      <c r="Y45" s="928"/>
      <c r="Z45" s="928"/>
      <c r="AA45" s="928"/>
      <c r="AB45" s="927">
        <f>MODEL!CQ1141</f>
        <v>0.19631858318245032</v>
      </c>
      <c r="AC45" s="928"/>
      <c r="AD45" s="928"/>
      <c r="AE45" s="928"/>
      <c r="AF45" s="927">
        <f>MODEL!CU1141</f>
        <v>0.14043138879918371</v>
      </c>
      <c r="AG45" s="928"/>
      <c r="AH45" s="928"/>
      <c r="AI45" s="928"/>
      <c r="AJ45" s="927">
        <f>MODEL!CY1141</f>
        <v>6.968560972855431E-2</v>
      </c>
      <c r="AK45" s="928"/>
      <c r="AL45" s="928"/>
      <c r="AM45" s="928"/>
      <c r="AN45" s="1397">
        <f>MODEL!DC1141</f>
        <v>-1.3508002394712837E-2</v>
      </c>
      <c r="AO45" s="928"/>
      <c r="AP45" s="928"/>
      <c r="AQ45" s="928"/>
      <c r="AR45" s="929">
        <f>MODEL!DG1141</f>
        <v>4.2916996639626781E-2</v>
      </c>
      <c r="AS45" s="928"/>
      <c r="AT45" s="928"/>
      <c r="AU45" s="928"/>
      <c r="AV45" s="927">
        <f>MODEL!DK1141</f>
        <v>7.9710042410977788E-2</v>
      </c>
      <c r="AW45" s="928"/>
      <c r="AX45" s="928"/>
      <c r="AY45" s="928"/>
      <c r="AZ45" s="927">
        <f ca="1">MODEL!DO1141</f>
        <v>6.6050665796731023E-2</v>
      </c>
      <c r="BA45" s="928"/>
      <c r="BB45" s="928"/>
      <c r="BC45" s="928"/>
      <c r="BD45" s="927">
        <f ca="1">MODEL!DS1141</f>
        <v>3.8758297302567968E-2</v>
      </c>
    </row>
    <row r="46" spans="3:56" x14ac:dyDescent="0.2">
      <c r="C46" s="90"/>
      <c r="D46" s="930">
        <f>MODEL!BR1141</f>
        <v>557.77413467934116</v>
      </c>
      <c r="E46" s="887"/>
      <c r="F46" s="887"/>
      <c r="G46" s="887"/>
      <c r="H46" s="930">
        <f>MODEL!BV1141</f>
        <v>554.93207324276432</v>
      </c>
      <c r="I46" s="887"/>
      <c r="J46" s="887"/>
      <c r="K46" s="887"/>
      <c r="L46" s="930">
        <f>MODEL!BZ1141</f>
        <v>563.39337594421841</v>
      </c>
      <c r="M46" s="887"/>
      <c r="N46" s="887"/>
      <c r="O46" s="887"/>
      <c r="P46" s="930">
        <f>MODEL!CD1141</f>
        <v>510.3033772180882</v>
      </c>
      <c r="T46" s="930">
        <f>MODEL!CH1141</f>
        <v>465.46528878822193</v>
      </c>
      <c r="X46" s="930">
        <f>MODEL!CL1141</f>
        <v>408.37283776144716</v>
      </c>
      <c r="Y46" s="930"/>
      <c r="Z46" s="930"/>
      <c r="AA46" s="930"/>
      <c r="AB46" s="930">
        <f>MODEL!CP1141</f>
        <v>488.54401468097115</v>
      </c>
      <c r="AC46" s="930"/>
      <c r="AD46" s="930"/>
      <c r="AE46" s="930"/>
      <c r="AF46" s="930">
        <f>MODEL!CT1141</f>
        <v>557.15092915214871</v>
      </c>
      <c r="AG46" s="930"/>
      <c r="AH46" s="930"/>
      <c r="AI46" s="930"/>
      <c r="AJ46" s="930">
        <f>MODEL!CX1141</f>
        <v>595.9763313609468</v>
      </c>
      <c r="AK46" s="930"/>
      <c r="AL46" s="930"/>
      <c r="AM46" s="930"/>
      <c r="AN46" s="930">
        <f>MODEL!DB1141</f>
        <v>587.92588164973097</v>
      </c>
      <c r="AO46" s="930"/>
      <c r="AP46" s="930"/>
      <c r="AQ46" s="930"/>
      <c r="AR46" s="931">
        <f>MODEL!DF1141</f>
        <v>613.15789473684208</v>
      </c>
      <c r="AS46" s="930"/>
      <c r="AT46" s="930"/>
      <c r="AU46" s="930"/>
      <c r="AV46" s="930">
        <f>MODEL!DJ1141</f>
        <v>662.03273653094163</v>
      </c>
      <c r="AW46" s="930"/>
      <c r="AX46" s="930"/>
      <c r="AY46" s="930"/>
      <c r="AZ46" s="930">
        <f ca="1">MODEL!DN1141</f>
        <v>705.76043955804209</v>
      </c>
      <c r="BA46" s="930"/>
      <c r="BB46" s="930"/>
      <c r="BC46" s="930"/>
      <c r="BD46" s="930">
        <f ca="1">MODEL!DR1141</f>
        <v>733.11451249882373</v>
      </c>
    </row>
    <row r="47" spans="3:56" x14ac:dyDescent="0.2">
      <c r="C47" s="2" t="s">
        <v>44</v>
      </c>
      <c r="H47" s="118">
        <f>H184/(H161*100)</f>
        <v>0</v>
      </c>
      <c r="I47" s="118" t="e">
        <f>I184/(I161*100)</f>
        <v>#DIV/0!</v>
      </c>
      <c r="J47" s="118" t="e">
        <f>J184/(J161*100)</f>
        <v>#DIV/0!</v>
      </c>
      <c r="K47" s="118" t="e">
        <f>K184/(K161*100)</f>
        <v>#DIV/0!</v>
      </c>
      <c r="L47" s="932">
        <f>MODEL!BZ1403</f>
        <v>0.15713857398688891</v>
      </c>
      <c r="M47" s="932">
        <f>MODEL!CA1403</f>
        <v>0</v>
      </c>
      <c r="N47" s="932">
        <f>MODEL!CB1403</f>
        <v>0.14108543997116199</v>
      </c>
      <c r="O47" s="932">
        <f>MODEL!CC1403</f>
        <v>0.1315415676128775</v>
      </c>
      <c r="P47" s="932">
        <f>MODEL!CD1403</f>
        <v>0.13629622834778088</v>
      </c>
      <c r="Q47" s="932">
        <f>MODEL!CE1403</f>
        <v>0</v>
      </c>
      <c r="R47" s="932">
        <f>MODEL!CF1403</f>
        <v>0.13416897397715696</v>
      </c>
      <c r="S47" s="932">
        <f>MODEL!CG1403</f>
        <v>0.10745112568208728</v>
      </c>
      <c r="T47" s="932">
        <f>MODEL!CH1403</f>
        <v>0.12076386338597135</v>
      </c>
      <c r="U47" s="932">
        <f>MODEL!CI1403</f>
        <v>0</v>
      </c>
      <c r="V47" s="932">
        <f>MODEL!CJ1403</f>
        <v>0.12220261495294049</v>
      </c>
      <c r="W47" s="932">
        <f>MODEL!CK1403</f>
        <v>8.1642416000602014E-2</v>
      </c>
      <c r="X47" s="932">
        <f>MODEL!CL1403</f>
        <v>0.10407138793059986</v>
      </c>
      <c r="Y47" s="932">
        <f>MODEL!CM1403</f>
        <v>0</v>
      </c>
      <c r="Z47" s="932">
        <f>MODEL!CN1403</f>
        <v>0.10450172671890248</v>
      </c>
      <c r="AA47" s="932">
        <f>MODEL!CO1403</f>
        <v>0.12561915005422442</v>
      </c>
      <c r="AB47" s="932">
        <f>MODEL!CP1403</f>
        <v>0.11508638461436152</v>
      </c>
      <c r="AC47" s="932">
        <f>MODEL!CQ1403</f>
        <v>0</v>
      </c>
      <c r="AD47" s="932">
        <f>MODEL!CR1403</f>
        <v>0.12279404676167199</v>
      </c>
      <c r="AE47" s="932">
        <f>MODEL!CS1403</f>
        <v>0.13259705967517604</v>
      </c>
      <c r="AF47" s="933">
        <f>MODEL!CT1403</f>
        <v>0.12726983326922311</v>
      </c>
      <c r="AG47" s="932">
        <f>MODEL!CU1403</f>
        <v>0</v>
      </c>
      <c r="AH47" s="932">
        <f>MODEL!CV1403</f>
        <v>0.14173554412895348</v>
      </c>
      <c r="AI47" s="932">
        <f>MODEL!CW1403</f>
        <v>0.1370683442578805</v>
      </c>
      <c r="AJ47" s="933">
        <f>MODEL!CX1403</f>
        <v>0.13948592953689343</v>
      </c>
      <c r="AK47" s="932">
        <f>MODEL!CY1403</f>
        <v>0</v>
      </c>
      <c r="AL47" s="932">
        <f>MODEL!CZ1403</f>
        <v>0.1382155259123356</v>
      </c>
      <c r="AM47" s="932">
        <f>MODEL!DA1403</f>
        <v>0.13277047787738577</v>
      </c>
      <c r="AN47" s="933">
        <f>MODEL!DB1403</f>
        <v>0.13563716094157233</v>
      </c>
      <c r="AO47" s="932">
        <f>MODEL!DC1403</f>
        <v>0</v>
      </c>
      <c r="AP47" s="932">
        <f>MODEL!DD1403</f>
        <v>0.13724555229395657</v>
      </c>
      <c r="AQ47" s="932">
        <f>MODEL!DE1403</f>
        <v>0.13405429600692079</v>
      </c>
      <c r="AR47" s="934">
        <f>MODEL!DF1403</f>
        <v>0.13541143838330472</v>
      </c>
      <c r="AS47" s="932">
        <f>MODEL!DG1403</f>
        <v>0</v>
      </c>
      <c r="AT47" s="932">
        <f>MODEL!DH1403</f>
        <v>0.13847011468754111</v>
      </c>
      <c r="AU47" s="932">
        <f ca="1">MODEL!DI1403</f>
        <v>0.14524268133416854</v>
      </c>
      <c r="AV47" s="932">
        <f ca="1">MODEL!DJ1403</f>
        <v>0.14182984092283313</v>
      </c>
      <c r="AW47" s="932"/>
      <c r="AX47" s="932"/>
      <c r="AY47" s="932"/>
      <c r="AZ47" s="932">
        <f ca="1">MODEL!DN1403</f>
        <v>0.14702931549460574</v>
      </c>
      <c r="BA47" s="932"/>
      <c r="BB47" s="932"/>
      <c r="BC47" s="932"/>
      <c r="BD47" s="932">
        <f ca="1">MODEL!DR1403</f>
        <v>0.14774092506789699</v>
      </c>
    </row>
    <row r="48" spans="3:56" x14ac:dyDescent="0.2">
      <c r="C48" s="90"/>
      <c r="D48" s="930"/>
      <c r="E48" s="887"/>
      <c r="F48" s="887"/>
      <c r="G48" s="887"/>
      <c r="H48" s="930"/>
      <c r="I48" s="887"/>
      <c r="J48" s="887"/>
      <c r="K48" s="887"/>
      <c r="L48" s="930"/>
      <c r="M48" s="887"/>
      <c r="N48" s="887"/>
      <c r="O48" s="887"/>
      <c r="P48" s="930"/>
      <c r="T48" s="930"/>
      <c r="X48" s="930"/>
      <c r="Y48" s="930"/>
      <c r="Z48" s="930"/>
      <c r="AA48" s="930"/>
      <c r="AB48" s="930"/>
      <c r="AC48" s="930"/>
      <c r="AD48" s="930"/>
      <c r="AE48" s="930"/>
      <c r="AF48" s="930"/>
      <c r="AG48" s="930"/>
      <c r="AH48" s="930"/>
      <c r="AI48" s="930"/>
      <c r="AJ48" s="930"/>
      <c r="AK48" s="930"/>
      <c r="AL48" s="930"/>
      <c r="AM48" s="930"/>
      <c r="AN48" s="930"/>
      <c r="AO48" s="930"/>
      <c r="AP48" s="930"/>
      <c r="AQ48" s="930"/>
      <c r="AR48" s="931"/>
      <c r="AS48" s="930"/>
      <c r="AT48" s="930"/>
      <c r="AU48" s="930"/>
      <c r="AV48" s="930"/>
      <c r="AW48" s="930"/>
      <c r="AX48" s="930"/>
      <c r="AY48" s="930"/>
      <c r="AZ48" s="930"/>
      <c r="BA48" s="930"/>
      <c r="BB48" s="930"/>
      <c r="BC48" s="930"/>
      <c r="BD48" s="930"/>
    </row>
    <row r="49" spans="3:56" x14ac:dyDescent="0.2">
      <c r="C49" s="935" t="s">
        <v>949</v>
      </c>
      <c r="D49" s="936"/>
      <c r="E49" s="935"/>
      <c r="F49" s="935"/>
      <c r="G49" s="935"/>
      <c r="H49" s="936"/>
      <c r="I49" s="937"/>
      <c r="J49" s="937"/>
      <c r="K49" s="937"/>
      <c r="L49" s="936"/>
      <c r="M49" s="937"/>
      <c r="N49" s="937"/>
      <c r="O49" s="937"/>
      <c r="P49" s="936"/>
      <c r="T49" s="936"/>
      <c r="X49" s="936"/>
      <c r="Y49" s="936"/>
      <c r="Z49" s="936"/>
      <c r="AA49" s="936"/>
      <c r="AB49" s="936"/>
      <c r="AC49" s="936"/>
      <c r="AD49" s="936"/>
      <c r="AE49" s="936"/>
      <c r="AF49" s="936"/>
      <c r="AG49" s="936"/>
      <c r="AH49" s="936"/>
      <c r="AI49" s="936"/>
      <c r="AJ49" s="936"/>
      <c r="AK49" s="936"/>
      <c r="AL49" s="936"/>
      <c r="AM49" s="936"/>
      <c r="AN49" s="936"/>
      <c r="AO49" s="936"/>
      <c r="AP49" s="936"/>
      <c r="AQ49" s="936"/>
      <c r="AR49" s="938"/>
      <c r="AS49" s="936"/>
      <c r="AT49" s="936"/>
      <c r="AU49" s="936"/>
      <c r="AV49" s="936"/>
      <c r="AW49" s="936"/>
      <c r="AX49" s="936"/>
      <c r="AY49" s="936"/>
      <c r="AZ49" s="936"/>
      <c r="BA49" s="936"/>
      <c r="BB49" s="936"/>
      <c r="BC49" s="936"/>
      <c r="BD49" s="936"/>
    </row>
    <row r="50" spans="3:56" x14ac:dyDescent="0.2">
      <c r="C50" s="2" t="s">
        <v>89</v>
      </c>
      <c r="D50" s="849">
        <f>D4</f>
        <v>422.851</v>
      </c>
      <c r="E50" s="876"/>
      <c r="F50" s="876"/>
      <c r="G50" s="876"/>
      <c r="H50" s="849">
        <f>H4</f>
        <v>456.07400000000001</v>
      </c>
      <c r="I50" s="876"/>
      <c r="J50" s="876"/>
      <c r="K50" s="876"/>
      <c r="L50" s="849">
        <f>L4</f>
        <v>485.85700000000003</v>
      </c>
      <c r="P50" s="849">
        <f>P4</f>
        <v>501.66500000000002</v>
      </c>
      <c r="T50" s="849">
        <f>T4</f>
        <v>522.94200000000001</v>
      </c>
      <c r="X50" s="849">
        <f>X4</f>
        <v>542.88</v>
      </c>
      <c r="Y50" s="849"/>
      <c r="Z50" s="849"/>
      <c r="AA50" s="849"/>
      <c r="AB50" s="849">
        <f>AB4</f>
        <v>579.75599999999997</v>
      </c>
      <c r="AC50" s="849"/>
      <c r="AD50" s="849"/>
      <c r="AE50" s="849"/>
      <c r="AF50" s="849">
        <f>AF4</f>
        <v>621.99300000000005</v>
      </c>
      <c r="AG50" s="849"/>
      <c r="AH50" s="849"/>
      <c r="AI50" s="849"/>
      <c r="AJ50" s="849">
        <f>AJ4</f>
        <v>652.21799999999996</v>
      </c>
      <c r="AK50" s="849"/>
      <c r="AL50" s="849"/>
      <c r="AM50" s="849"/>
      <c r="AN50" s="849">
        <f>AN4</f>
        <v>664.70100000000002</v>
      </c>
      <c r="AO50" s="849"/>
      <c r="AP50" s="849"/>
      <c r="AQ50" s="849"/>
      <c r="AR50" s="883">
        <f>AR4</f>
        <v>707.86199999999997</v>
      </c>
      <c r="AS50" s="849"/>
      <c r="AT50" s="849"/>
      <c r="AU50" s="849"/>
      <c r="AV50" s="849">
        <f>+AR50*(1+AV51)</f>
        <v>760.95164999999997</v>
      </c>
      <c r="AW50" s="849"/>
      <c r="AX50" s="849"/>
      <c r="AY50" s="849"/>
      <c r="AZ50" s="849">
        <f>+AV50*(1+AZ51)</f>
        <v>814.21826550000003</v>
      </c>
      <c r="BA50" s="849"/>
      <c r="BB50" s="849"/>
      <c r="BC50" s="849"/>
      <c r="BD50" s="849">
        <f>+AZ50*(1+BD51)</f>
        <v>863.07136143000002</v>
      </c>
    </row>
    <row r="51" spans="3:56" x14ac:dyDescent="0.2">
      <c r="C51" s="878" t="s">
        <v>928</v>
      </c>
      <c r="D51" s="879"/>
      <c r="E51" s="880"/>
      <c r="F51" s="880"/>
      <c r="G51" s="880"/>
      <c r="H51" s="884">
        <f>+H50/D50-1</f>
        <v>7.8569046780071483E-2</v>
      </c>
      <c r="I51" s="880"/>
      <c r="J51" s="880"/>
      <c r="K51" s="880"/>
      <c r="L51" s="884">
        <f>+L50/H50-1</f>
        <v>6.5302999074711598E-2</v>
      </c>
      <c r="M51" s="939"/>
      <c r="N51" s="939"/>
      <c r="O51" s="939"/>
      <c r="P51" s="885">
        <f>+P50/L50-1</f>
        <v>3.2536322415854801E-2</v>
      </c>
      <c r="T51" s="885">
        <f>+T50/P50-1</f>
        <v>4.2412765490915216E-2</v>
      </c>
      <c r="X51" s="885">
        <f>+X50/T50-1</f>
        <v>3.8126599125715588E-2</v>
      </c>
      <c r="Y51" s="940"/>
      <c r="Z51" s="940"/>
      <c r="AA51" s="940"/>
      <c r="AB51" s="885">
        <f>+AB50/X50-1</f>
        <v>6.7926613616268838E-2</v>
      </c>
      <c r="AC51" s="940"/>
      <c r="AD51" s="940"/>
      <c r="AE51" s="940"/>
      <c r="AF51" s="885">
        <f>+AF50/AB50-1</f>
        <v>7.2853062322770334E-2</v>
      </c>
      <c r="AG51" s="941"/>
      <c r="AH51" s="941"/>
      <c r="AI51" s="941"/>
      <c r="AJ51" s="885">
        <f>+AJ50/AF50-1</f>
        <v>4.8593794463924755E-2</v>
      </c>
      <c r="AK51" s="941"/>
      <c r="AL51" s="941"/>
      <c r="AM51" s="941"/>
      <c r="AN51" s="885">
        <f>+AN50/AJ50-1</f>
        <v>1.913930618290216E-2</v>
      </c>
      <c r="AO51" s="941"/>
      <c r="AP51" s="941"/>
      <c r="AQ51" s="941"/>
      <c r="AR51" s="886">
        <f>+AR50/AN50-1</f>
        <v>6.4932954817278565E-2</v>
      </c>
      <c r="AS51" s="941"/>
      <c r="AT51" s="941"/>
      <c r="AU51" s="941"/>
      <c r="AV51" s="941">
        <v>7.4999999999999997E-2</v>
      </c>
      <c r="AW51" s="941"/>
      <c r="AX51" s="941"/>
      <c r="AY51" s="941"/>
      <c r="AZ51" s="941">
        <v>7.0000000000000007E-2</v>
      </c>
      <c r="BA51" s="941"/>
      <c r="BB51" s="941"/>
      <c r="BC51" s="941"/>
      <c r="BD51" s="941">
        <v>0.06</v>
      </c>
    </row>
    <row r="52" spans="3:56" x14ac:dyDescent="0.2">
      <c r="C52" s="2" t="s">
        <v>271</v>
      </c>
      <c r="D52" s="849">
        <f>D6</f>
        <v>223.32100000000003</v>
      </c>
      <c r="H52" s="849">
        <f>H6</f>
        <v>245.65600000000001</v>
      </c>
      <c r="L52" s="849">
        <f>L6</f>
        <v>251.14499999999992</v>
      </c>
      <c r="P52" s="849">
        <f>P6</f>
        <v>246.74299999999999</v>
      </c>
      <c r="T52" s="849">
        <f>T6</f>
        <v>238.07100000000003</v>
      </c>
      <c r="X52" s="849">
        <f>X6</f>
        <v>237.22799999999995</v>
      </c>
      <c r="Y52" s="849"/>
      <c r="Z52" s="849"/>
      <c r="AA52" s="849"/>
      <c r="AB52" s="849">
        <f>AB6</f>
        <v>238.51</v>
      </c>
      <c r="AC52" s="849"/>
      <c r="AD52" s="849"/>
      <c r="AE52" s="849"/>
      <c r="AF52" s="849">
        <f>AF6</f>
        <v>262.96999999999991</v>
      </c>
      <c r="AG52" s="849"/>
      <c r="AH52" s="849"/>
      <c r="AI52" s="849"/>
      <c r="AJ52" s="849">
        <f>AJ6</f>
        <v>281.03300000000002</v>
      </c>
      <c r="AK52" s="849"/>
      <c r="AL52" s="849"/>
      <c r="AM52" s="849"/>
      <c r="AN52" s="849">
        <f>AN6</f>
        <v>285.24699999999996</v>
      </c>
      <c r="AO52" s="849"/>
      <c r="AP52" s="849"/>
      <c r="AQ52" s="849"/>
      <c r="AR52" s="883">
        <f>AR6</f>
        <v>308.02100000000007</v>
      </c>
      <c r="AS52" s="849"/>
      <c r="AT52" s="849"/>
      <c r="AU52" s="849"/>
      <c r="AV52" s="849">
        <f>+AV54-AV50</f>
        <v>336.20199000000025</v>
      </c>
      <c r="AW52" s="849"/>
      <c r="AX52" s="849"/>
      <c r="AY52" s="849"/>
      <c r="AZ52" s="849">
        <f>+AZ54-AZ50</f>
        <v>359.73612930000024</v>
      </c>
      <c r="BA52" s="849"/>
      <c r="BB52" s="849"/>
      <c r="BC52" s="849"/>
      <c r="BD52" s="849">
        <f>+BD54-BD50</f>
        <v>387.19006903200011</v>
      </c>
    </row>
    <row r="53" spans="3:56" x14ac:dyDescent="0.2">
      <c r="C53" s="90" t="s">
        <v>936</v>
      </c>
      <c r="D53" s="900"/>
      <c r="E53" s="901"/>
      <c r="F53" s="901"/>
      <c r="G53" s="901"/>
      <c r="H53" s="902">
        <f>+H52/D52-1</f>
        <v>0.10001298579175266</v>
      </c>
      <c r="I53" s="901"/>
      <c r="J53" s="901"/>
      <c r="K53" s="901"/>
      <c r="L53" s="902">
        <f>+L52/H52-1</f>
        <v>2.2344253753215471E-2</v>
      </c>
      <c r="M53" s="901"/>
      <c r="N53" s="901"/>
      <c r="O53" s="901"/>
      <c r="P53" s="866">
        <f>+P52/L52-1</f>
        <v>-1.7527723028529008E-2</v>
      </c>
      <c r="T53" s="866">
        <f>+T52/P52-1</f>
        <v>-3.5145880531565088E-2</v>
      </c>
      <c r="X53" s="866">
        <f>+X52/T52-1</f>
        <v>-3.5409604697761443E-3</v>
      </c>
      <c r="Y53" s="866"/>
      <c r="Z53" s="866"/>
      <c r="AA53" s="866"/>
      <c r="AB53" s="866">
        <f>+AB52/X52-1</f>
        <v>5.4040838349607156E-3</v>
      </c>
      <c r="AC53" s="866"/>
      <c r="AD53" s="866"/>
      <c r="AE53" s="866"/>
      <c r="AF53" s="866">
        <f>+AF52/AB52-1</f>
        <v>0.10255335206070981</v>
      </c>
      <c r="AG53" s="902"/>
      <c r="AH53" s="902"/>
      <c r="AI53" s="902"/>
      <c r="AJ53" s="866">
        <f>+AJ52/AF52-1</f>
        <v>6.8688443548694078E-2</v>
      </c>
      <c r="AK53" s="902"/>
      <c r="AL53" s="902"/>
      <c r="AM53" s="902"/>
      <c r="AN53" s="866">
        <f>+AN52/AJ52-1</f>
        <v>1.499468034003093E-2</v>
      </c>
      <c r="AO53" s="902"/>
      <c r="AP53" s="902"/>
      <c r="AQ53" s="902"/>
      <c r="AR53" s="903">
        <f>+AR52/AN52-1</f>
        <v>7.9839577629212899E-2</v>
      </c>
      <c r="AS53" s="902"/>
      <c r="AT53" s="902"/>
      <c r="AU53" s="902"/>
      <c r="AV53" s="902">
        <f>+AV52/AR52-1</f>
        <v>9.1490482791758199E-2</v>
      </c>
      <c r="AW53" s="902"/>
      <c r="AX53" s="902"/>
      <c r="AY53" s="902"/>
      <c r="AZ53" s="902">
        <f>+AZ52/AV52-1</f>
        <v>6.999999999999984E-2</v>
      </c>
      <c r="BA53" s="902"/>
      <c r="BB53" s="902"/>
      <c r="BC53" s="902"/>
      <c r="BD53" s="902">
        <f>+BD52/AZ52-1</f>
        <v>7.6316882002988251E-2</v>
      </c>
    </row>
    <row r="54" spans="3:56" x14ac:dyDescent="0.2">
      <c r="C54" s="2" t="s">
        <v>924</v>
      </c>
      <c r="D54" s="849">
        <f>D$8</f>
        <v>646.17200000000003</v>
      </c>
      <c r="H54" s="849">
        <f>H$8</f>
        <v>701.73</v>
      </c>
      <c r="L54" s="849">
        <f>L$8</f>
        <v>737.00199999999995</v>
      </c>
      <c r="P54" s="849">
        <f>P$8</f>
        <v>748.40800000000002</v>
      </c>
      <c r="T54" s="849">
        <f>T$8</f>
        <v>761.01300000000003</v>
      </c>
      <c r="X54" s="849">
        <f>X$8</f>
        <v>780.10799999999995</v>
      </c>
      <c r="Y54" s="849"/>
      <c r="Z54" s="849"/>
      <c r="AA54" s="849"/>
      <c r="AB54" s="849">
        <f>AB$8</f>
        <v>818.26599999999996</v>
      </c>
      <c r="AC54" s="849"/>
      <c r="AD54" s="849"/>
      <c r="AE54" s="849"/>
      <c r="AF54" s="849">
        <f>AF$8</f>
        <v>884.96299999999997</v>
      </c>
      <c r="AG54" s="849"/>
      <c r="AH54" s="849"/>
      <c r="AI54" s="849"/>
      <c r="AJ54" s="849">
        <f>AJ$8</f>
        <v>933.25099999999998</v>
      </c>
      <c r="AK54" s="849"/>
      <c r="AL54" s="849"/>
      <c r="AM54" s="849"/>
      <c r="AN54" s="849">
        <f>AN$8</f>
        <v>949.94799999999998</v>
      </c>
      <c r="AO54" s="849"/>
      <c r="AP54" s="849"/>
      <c r="AQ54" s="849"/>
      <c r="AR54" s="883">
        <f>AR$8</f>
        <v>1015.883</v>
      </c>
      <c r="AS54" s="849"/>
      <c r="AT54" s="849"/>
      <c r="AU54" s="849"/>
      <c r="AV54" s="849">
        <f>+AR54*(1+AV55)</f>
        <v>1097.1536400000002</v>
      </c>
      <c r="AW54" s="849"/>
      <c r="AX54" s="849"/>
      <c r="AY54" s="849"/>
      <c r="AZ54" s="849">
        <f>+AV54*(1+AZ55)</f>
        <v>1173.9543948000003</v>
      </c>
      <c r="BA54" s="849"/>
      <c r="BB54" s="849"/>
      <c r="BC54" s="849"/>
      <c r="BD54" s="849">
        <f>+AZ54*(1+BD55)</f>
        <v>1250.2614304620001</v>
      </c>
    </row>
    <row r="55" spans="3:56" x14ac:dyDescent="0.2">
      <c r="C55" s="878" t="s">
        <v>937</v>
      </c>
      <c r="D55" s="884">
        <f>D$9</f>
        <v>6.2560945328854034E-2</v>
      </c>
      <c r="E55" s="878"/>
      <c r="F55" s="878"/>
      <c r="G55" s="878"/>
      <c r="H55" s="884">
        <f>H$9</f>
        <v>8.5980203413332568E-2</v>
      </c>
      <c r="I55" s="878"/>
      <c r="J55" s="878"/>
      <c r="K55" s="878"/>
      <c r="L55" s="884">
        <f>L$9</f>
        <v>5.026434668604729E-2</v>
      </c>
      <c r="M55" s="939"/>
      <c r="N55" s="939"/>
      <c r="O55" s="939"/>
      <c r="P55" s="885">
        <f>P$9</f>
        <v>1.5476213090330759E-2</v>
      </c>
      <c r="T55" s="885">
        <f>T$9</f>
        <v>1.6842417504890461E-2</v>
      </c>
      <c r="U55" s="850">
        <v>4.4999999999999998E-2</v>
      </c>
      <c r="V55" s="850">
        <v>4.4999999999999998E-2</v>
      </c>
      <c r="W55" s="850">
        <v>4.4999999999999998E-2</v>
      </c>
      <c r="X55" s="885">
        <f>X$9</f>
        <v>2.5091555597604787E-2</v>
      </c>
      <c r="Y55" s="940"/>
      <c r="Z55" s="940"/>
      <c r="AA55" s="940"/>
      <c r="AB55" s="885">
        <f>AB$9</f>
        <v>4.8913740148800011E-2</v>
      </c>
      <c r="AC55" s="940"/>
      <c r="AD55" s="940"/>
      <c r="AE55" s="940"/>
      <c r="AF55" s="885">
        <f>AF$9</f>
        <v>8.151016906482722E-2</v>
      </c>
      <c r="AG55" s="941"/>
      <c r="AH55" s="941"/>
      <c r="AI55" s="941"/>
      <c r="AJ55" s="885">
        <f>AJ$9</f>
        <v>5.456499311270635E-2</v>
      </c>
      <c r="AK55" s="941"/>
      <c r="AL55" s="941"/>
      <c r="AM55" s="941"/>
      <c r="AN55" s="885">
        <f>AN$9</f>
        <v>1.7891221118434331E-2</v>
      </c>
      <c r="AO55" s="941"/>
      <c r="AP55" s="941"/>
      <c r="AQ55" s="941"/>
      <c r="AR55" s="886">
        <f>AR$9</f>
        <v>6.9409062390783482E-2</v>
      </c>
      <c r="AS55" s="941"/>
      <c r="AT55" s="941"/>
      <c r="AU55" s="941"/>
      <c r="AV55" s="941">
        <v>0.08</v>
      </c>
      <c r="AW55" s="941"/>
      <c r="AX55" s="941"/>
      <c r="AY55" s="941"/>
      <c r="AZ55" s="941">
        <v>7.0000000000000007E-2</v>
      </c>
      <c r="BA55" s="941"/>
      <c r="BB55" s="941"/>
      <c r="BC55" s="941"/>
      <c r="BD55" s="941">
        <v>6.5000000000000002E-2</v>
      </c>
    </row>
    <row r="56" spans="3:56" x14ac:dyDescent="0.2">
      <c r="C56" s="2" t="s">
        <v>938</v>
      </c>
      <c r="D56" s="849">
        <f>D$10</f>
        <v>624.32399999999996</v>
      </c>
      <c r="H56" s="849">
        <f>H$10</f>
        <v>644.79600000000005</v>
      </c>
      <c r="L56" s="849">
        <f>L$10</f>
        <v>680.154</v>
      </c>
      <c r="P56" s="849">
        <f>P$10</f>
        <v>699.90899999999999</v>
      </c>
      <c r="T56" s="849">
        <f>T$10</f>
        <v>709.53399999999999</v>
      </c>
      <c r="X56" s="849">
        <f>X$10</f>
        <v>723.01099999999997</v>
      </c>
      <c r="Y56" s="849"/>
      <c r="Z56" s="849"/>
      <c r="AA56" s="849"/>
      <c r="AB56" s="849">
        <f>AB$10</f>
        <v>735.32799999999997</v>
      </c>
      <c r="AC56" s="849"/>
      <c r="AD56" s="849"/>
      <c r="AE56" s="849"/>
      <c r="AF56" s="849">
        <f>AF$10</f>
        <v>784.54200000000003</v>
      </c>
      <c r="AG56" s="849"/>
      <c r="AH56" s="849"/>
      <c r="AI56" s="849"/>
      <c r="AJ56" s="849">
        <f>AJ$10</f>
        <v>836.601</v>
      </c>
      <c r="AK56" s="849"/>
      <c r="AL56" s="849"/>
      <c r="AM56" s="849"/>
      <c r="AN56" s="849">
        <f>AN$10</f>
        <v>852.72799999999995</v>
      </c>
      <c r="AO56" s="849"/>
      <c r="AP56" s="849"/>
      <c r="AQ56" s="849"/>
      <c r="AR56" s="883">
        <f>AR$10</f>
        <v>886.37099999999998</v>
      </c>
      <c r="AS56" s="849"/>
      <c r="AT56" s="849"/>
      <c r="AU56" s="849"/>
      <c r="AV56" s="849">
        <f>+AV$10/AV$8*AV54</f>
        <v>958.1965758929822</v>
      </c>
      <c r="AW56" s="849"/>
      <c r="AX56" s="849"/>
      <c r="AY56" s="849"/>
      <c r="AZ56" s="849">
        <f>+AZ$10/AZ$8*AZ54</f>
        <v>1028.8272659161983</v>
      </c>
      <c r="BA56" s="849"/>
      <c r="BB56" s="849"/>
      <c r="BC56" s="849"/>
      <c r="BD56" s="849">
        <f>+BD$10/BD$8*BD54</f>
        <v>1102.0071252437801</v>
      </c>
    </row>
    <row r="57" spans="3:56" x14ac:dyDescent="0.2">
      <c r="C57" s="2" t="s">
        <v>939</v>
      </c>
      <c r="D57" s="849">
        <f>D$11</f>
        <v>131.59049999999999</v>
      </c>
      <c r="H57" s="849">
        <f>H$11</f>
        <v>145.85400000000001</v>
      </c>
      <c r="L57" s="849">
        <f>L$11</f>
        <v>154.58699999999999</v>
      </c>
      <c r="P57" s="849">
        <f>P$11</f>
        <v>154.35499999999999</v>
      </c>
      <c r="T57" s="849">
        <f>T$11</f>
        <v>161.88399999999999</v>
      </c>
      <c r="X57" s="849">
        <f>X$11</f>
        <v>174.398</v>
      </c>
      <c r="Y57" s="849"/>
      <c r="Z57" s="849"/>
      <c r="AA57" s="849"/>
      <c r="AB57" s="849">
        <f>AB$11</f>
        <v>194.518</v>
      </c>
      <c r="AC57" s="849"/>
      <c r="AD57" s="849"/>
      <c r="AE57" s="849"/>
      <c r="AF57" s="849">
        <f>AF$11</f>
        <v>242.36799999999999</v>
      </c>
      <c r="AG57" s="849"/>
      <c r="AH57" s="849"/>
      <c r="AI57" s="849"/>
      <c r="AJ57" s="849">
        <f>AJ$11</f>
        <v>274.65300000000002</v>
      </c>
      <c r="AK57" s="849"/>
      <c r="AL57" s="849"/>
      <c r="AM57" s="849"/>
      <c r="AN57" s="849">
        <f>AN$11</f>
        <v>291.62900000000002</v>
      </c>
      <c r="AO57" s="849"/>
      <c r="AP57" s="849"/>
      <c r="AQ57" s="849"/>
      <c r="AR57" s="883">
        <f>AR$11</f>
        <v>267.31299999999999</v>
      </c>
      <c r="AS57" s="849"/>
      <c r="AT57" s="849"/>
      <c r="AU57" s="849"/>
      <c r="AV57" s="849">
        <f>AV$11</f>
        <v>305.04455855458605</v>
      </c>
      <c r="AW57" s="849"/>
      <c r="AX57" s="849"/>
      <c r="AY57" s="849"/>
      <c r="AZ57" s="849">
        <f>AZ$11</f>
        <v>324.8843676106693</v>
      </c>
      <c r="BA57" s="849"/>
      <c r="BB57" s="849"/>
      <c r="BC57" s="849"/>
      <c r="BD57" s="849">
        <f>BD$11</f>
        <v>342.79754526697008</v>
      </c>
    </row>
    <row r="58" spans="3:56" x14ac:dyDescent="0.2">
      <c r="C58" s="3" t="s">
        <v>461</v>
      </c>
      <c r="D58" s="851">
        <f>D56+D57</f>
        <v>755.91449999999998</v>
      </c>
      <c r="E58" s="3"/>
      <c r="F58" s="3"/>
      <c r="G58" s="3"/>
      <c r="H58" s="851">
        <f>H56+H57</f>
        <v>790.65000000000009</v>
      </c>
      <c r="I58" s="3"/>
      <c r="J58" s="3"/>
      <c r="K58" s="3"/>
      <c r="L58" s="851">
        <f>L56+L57</f>
        <v>834.74099999999999</v>
      </c>
      <c r="M58" s="3"/>
      <c r="N58" s="3"/>
      <c r="O58" s="3"/>
      <c r="P58" s="851">
        <f>P56+P57</f>
        <v>854.26400000000001</v>
      </c>
      <c r="T58" s="851">
        <f>T56+T57</f>
        <v>871.41800000000001</v>
      </c>
      <c r="X58" s="851">
        <f>X56+X57</f>
        <v>897.40899999999999</v>
      </c>
      <c r="Y58" s="851"/>
      <c r="Z58" s="851"/>
      <c r="AA58" s="851"/>
      <c r="AB58" s="851">
        <f>AB56+AB57</f>
        <v>929.846</v>
      </c>
      <c r="AC58" s="851"/>
      <c r="AD58" s="851"/>
      <c r="AE58" s="851"/>
      <c r="AF58" s="851">
        <f>AF56+AF57</f>
        <v>1026.9100000000001</v>
      </c>
      <c r="AG58" s="851"/>
      <c r="AH58" s="851"/>
      <c r="AI58" s="851"/>
      <c r="AJ58" s="851">
        <f>AJ56+AJ57</f>
        <v>1111.2539999999999</v>
      </c>
      <c r="AK58" s="851"/>
      <c r="AL58" s="851"/>
      <c r="AM58" s="851"/>
      <c r="AN58" s="851">
        <f>AN56+AN57</f>
        <v>1144.357</v>
      </c>
      <c r="AO58" s="851"/>
      <c r="AP58" s="851"/>
      <c r="AQ58" s="851"/>
      <c r="AR58" s="863">
        <f>AR56+AR57</f>
        <v>1153.684</v>
      </c>
      <c r="AS58" s="851"/>
      <c r="AT58" s="851"/>
      <c r="AU58" s="851"/>
      <c r="AV58" s="851">
        <f>+AV56+AV57</f>
        <v>1263.2411344475681</v>
      </c>
      <c r="AW58" s="851"/>
      <c r="AX58" s="851"/>
      <c r="AY58" s="851"/>
      <c r="AZ58" s="851">
        <f>+AZ56+AZ57</f>
        <v>1353.7116335268674</v>
      </c>
      <c r="BA58" s="851"/>
      <c r="BB58" s="851"/>
      <c r="BC58" s="851"/>
      <c r="BD58" s="851">
        <f>+BD56+BD57</f>
        <v>1444.8046705107502</v>
      </c>
    </row>
    <row r="59" spans="3:56" x14ac:dyDescent="0.2">
      <c r="C59" s="2" t="s">
        <v>940</v>
      </c>
      <c r="D59" s="861">
        <f>D$13</f>
        <v>2.0937553122740732E-2</v>
      </c>
      <c r="H59" s="861">
        <f>H$13</f>
        <v>2.1419085562511857E-2</v>
      </c>
      <c r="L59" s="861">
        <f>L$13</f>
        <v>2.1016099604547998E-2</v>
      </c>
      <c r="P59" s="861">
        <f>P$13</f>
        <v>2.1471114315949169E-2</v>
      </c>
      <c r="T59" s="861">
        <f>T$13</f>
        <v>2.0913040584426761E-2</v>
      </c>
      <c r="X59" s="861">
        <f>X$13</f>
        <v>2.0737478674717993E-2</v>
      </c>
      <c r="Y59" s="861"/>
      <c r="Z59" s="861"/>
      <c r="AA59" s="861"/>
      <c r="AB59" s="861">
        <f>AB$13</f>
        <v>2.0758276101634034E-2</v>
      </c>
      <c r="AC59" s="861"/>
      <c r="AD59" s="861"/>
      <c r="AE59" s="861"/>
      <c r="AF59" s="861">
        <f>AF$13</f>
        <v>1.8962713382867046E-2</v>
      </c>
      <c r="AG59" s="861"/>
      <c r="AH59" s="861"/>
      <c r="AI59" s="861"/>
      <c r="AJ59" s="861">
        <f>AJ$13</f>
        <v>2.0747731841685161E-2</v>
      </c>
      <c r="AK59" s="861"/>
      <c r="AL59" s="861"/>
      <c r="AM59" s="861"/>
      <c r="AN59" s="861">
        <f>AN$13</f>
        <v>1.9944824910408204E-2</v>
      </c>
      <c r="AO59" s="861"/>
      <c r="AP59" s="861"/>
      <c r="AQ59" s="861"/>
      <c r="AR59" s="942">
        <f>AR$13</f>
        <v>2.0822859639207963E-2</v>
      </c>
      <c r="AS59" s="861"/>
      <c r="AT59" s="861"/>
      <c r="AU59" s="861"/>
      <c r="AV59" s="861">
        <f>+AR59+AV60</f>
        <v>2.0722859639207964E-2</v>
      </c>
      <c r="AW59" s="861"/>
      <c r="AX59" s="861"/>
      <c r="AY59" s="861"/>
      <c r="AZ59" s="861">
        <f>+AV59+AZ60</f>
        <v>2.0922859639207963E-2</v>
      </c>
      <c r="BA59" s="861"/>
      <c r="BB59" s="861"/>
      <c r="BC59" s="861"/>
      <c r="BD59" s="861">
        <f>+AZ59+BD60</f>
        <v>2.0922859639207963E-2</v>
      </c>
    </row>
    <row r="60" spans="3:56" x14ac:dyDescent="0.2">
      <c r="C60" s="878" t="s">
        <v>28</v>
      </c>
      <c r="D60" s="904">
        <f>D$14</f>
        <v>-4.5686201482517466E-4</v>
      </c>
      <c r="E60" s="878"/>
      <c r="F60" s="878"/>
      <c r="G60" s="878"/>
      <c r="H60" s="904">
        <f>H$14</f>
        <v>4.8153243977112556E-4</v>
      </c>
      <c r="I60" s="878"/>
      <c r="J60" s="943"/>
      <c r="K60" s="943"/>
      <c r="L60" s="904">
        <f>L$14</f>
        <v>-4.0298595796385908E-4</v>
      </c>
      <c r="M60" s="878"/>
      <c r="N60" s="943"/>
      <c r="O60" s="943"/>
      <c r="P60" s="905">
        <f>P$14</f>
        <v>4.5501471140117072E-4</v>
      </c>
      <c r="T60" s="905">
        <f>T$14</f>
        <v>-5.5807373152240783E-4</v>
      </c>
      <c r="X60" s="905">
        <f>X$14</f>
        <v>-1.7556190970876781E-4</v>
      </c>
      <c r="Y60" s="944"/>
      <c r="Z60" s="944"/>
      <c r="AA60" s="944"/>
      <c r="AB60" s="905">
        <f>AB$14</f>
        <v>2.0797426916040196E-5</v>
      </c>
      <c r="AC60" s="944"/>
      <c r="AD60" s="944"/>
      <c r="AE60" s="944"/>
      <c r="AF60" s="905">
        <f>AF$14</f>
        <v>-1.7955627187669874E-3</v>
      </c>
      <c r="AG60" s="945"/>
      <c r="AH60" s="945"/>
      <c r="AI60" s="945"/>
      <c r="AJ60" s="905">
        <f>AJ$14</f>
        <v>1.7850184588181148E-3</v>
      </c>
      <c r="AK60" s="945"/>
      <c r="AL60" s="945"/>
      <c r="AM60" s="945"/>
      <c r="AN60" s="905">
        <f>AN$14</f>
        <v>-8.0290693127695739E-4</v>
      </c>
      <c r="AO60" s="945"/>
      <c r="AP60" s="945"/>
      <c r="AQ60" s="945"/>
      <c r="AR60" s="906">
        <f>AR$14</f>
        <v>8.7803472879975988E-4</v>
      </c>
      <c r="AS60" s="945"/>
      <c r="AT60" s="945"/>
      <c r="AU60" s="945"/>
      <c r="AV60" s="945">
        <v>-1E-4</v>
      </c>
      <c r="AW60" s="945"/>
      <c r="AX60" s="945"/>
      <c r="AY60" s="945"/>
      <c r="AZ60" s="945">
        <v>2.0000000000000001E-4</v>
      </c>
      <c r="BA60" s="945"/>
      <c r="BB60" s="945"/>
      <c r="BC60" s="945"/>
      <c r="BD60" s="945">
        <v>0</v>
      </c>
    </row>
    <row r="61" spans="3:56" x14ac:dyDescent="0.2">
      <c r="C61" s="2" t="s">
        <v>10</v>
      </c>
      <c r="D61" s="85">
        <f>D$15</f>
        <v>15827</v>
      </c>
      <c r="H61" s="85">
        <f>H$15</f>
        <v>16935</v>
      </c>
      <c r="L61" s="85">
        <f>L$15</f>
        <v>17543</v>
      </c>
      <c r="P61" s="85">
        <f>P$15</f>
        <v>18342</v>
      </c>
      <c r="T61" s="85">
        <f>T$15</f>
        <v>18224</v>
      </c>
      <c r="X61" s="85">
        <f>X$15</f>
        <v>18610</v>
      </c>
      <c r="Y61" s="85"/>
      <c r="Z61" s="85"/>
      <c r="AA61" s="85"/>
      <c r="AB61" s="85">
        <f>AB$15</f>
        <v>19302</v>
      </c>
      <c r="AC61" s="85"/>
      <c r="AD61" s="85"/>
      <c r="AE61" s="85"/>
      <c r="AF61" s="85">
        <f>AF$15</f>
        <v>19473</v>
      </c>
      <c r="AG61" s="85"/>
      <c r="AH61" s="85"/>
      <c r="AI61" s="85"/>
      <c r="AJ61" s="85">
        <f>AJ$15</f>
        <v>23056</v>
      </c>
      <c r="AK61" s="85"/>
      <c r="AL61" s="85"/>
      <c r="AM61" s="85"/>
      <c r="AN61" s="85">
        <f>AN$15</f>
        <v>22824</v>
      </c>
      <c r="AO61" s="85"/>
      <c r="AP61" s="85"/>
      <c r="AQ61" s="85"/>
      <c r="AR61" s="896">
        <f>AR$15</f>
        <v>24023</v>
      </c>
      <c r="AS61" s="85"/>
      <c r="AT61" s="85"/>
      <c r="AU61" s="85"/>
      <c r="AV61" s="85">
        <f>+AV58*AV59*1000</f>
        <v>26177.96871963079</v>
      </c>
      <c r="AW61" s="85"/>
      <c r="AX61" s="85"/>
      <c r="AY61" s="85"/>
      <c r="AZ61" s="85">
        <f>+AZ58*AZ59*1000</f>
        <v>28323.518500245576</v>
      </c>
      <c r="BA61" s="85"/>
      <c r="BB61" s="85"/>
      <c r="BC61" s="85"/>
      <c r="BD61" s="85">
        <f>+BD58*BD59*1000</f>
        <v>30229.445327168534</v>
      </c>
    </row>
    <row r="62" spans="3:56" x14ac:dyDescent="0.2">
      <c r="C62" s="2" t="s">
        <v>23</v>
      </c>
      <c r="D62" s="85">
        <f>D$16</f>
        <v>7751</v>
      </c>
      <c r="H62" s="85">
        <f>H$16</f>
        <v>7812</v>
      </c>
      <c r="L62" s="85">
        <f>L$16</f>
        <v>7737</v>
      </c>
      <c r="P62" s="85">
        <f>P$16</f>
        <v>6580</v>
      </c>
      <c r="T62" s="85">
        <f>T$16</f>
        <v>5355</v>
      </c>
      <c r="X62" s="85">
        <f>X$16</f>
        <v>5151</v>
      </c>
      <c r="Y62" s="85"/>
      <c r="Z62" s="85"/>
      <c r="AA62" s="85"/>
      <c r="AB62" s="85">
        <f>AB$16</f>
        <v>4854</v>
      </c>
      <c r="AC62" s="85"/>
      <c r="AD62" s="85"/>
      <c r="AE62" s="85"/>
      <c r="AF62" s="85">
        <f>AF$16</f>
        <v>5216</v>
      </c>
      <c r="AG62" s="85"/>
      <c r="AH62" s="85"/>
      <c r="AI62" s="85"/>
      <c r="AJ62" s="85">
        <f>AJ$16</f>
        <v>4079</v>
      </c>
      <c r="AK62" s="85"/>
      <c r="AL62" s="85"/>
      <c r="AM62" s="85"/>
      <c r="AN62" s="85">
        <f>AN$16</f>
        <v>4350</v>
      </c>
      <c r="AO62" s="85"/>
      <c r="AP62" s="85"/>
      <c r="AQ62" s="85"/>
      <c r="AR62" s="896">
        <f>AR$16</f>
        <v>4442</v>
      </c>
      <c r="AS62" s="85"/>
      <c r="AT62" s="85"/>
      <c r="AU62" s="85"/>
      <c r="AV62" s="85">
        <f>AV$16</f>
        <v>4575.1820000000007</v>
      </c>
      <c r="AW62" s="85"/>
      <c r="AX62" s="85"/>
      <c r="AY62" s="85"/>
      <c r="AZ62" s="85">
        <f>AZ$16</f>
        <v>4674.4952720000001</v>
      </c>
      <c r="BA62" s="85"/>
      <c r="BB62" s="85"/>
      <c r="BC62" s="85"/>
      <c r="BD62" s="85">
        <f>BD$16</f>
        <v>4814.8486243748002</v>
      </c>
    </row>
    <row r="63" spans="3:56" x14ac:dyDescent="0.2">
      <c r="C63" s="2" t="s">
        <v>34</v>
      </c>
      <c r="D63" s="85">
        <f>D$18</f>
        <v>23578</v>
      </c>
      <c r="H63" s="85">
        <f>H$18</f>
        <v>24747</v>
      </c>
      <c r="L63" s="85">
        <f>L$18</f>
        <v>25280</v>
      </c>
      <c r="P63" s="85">
        <f>P$18</f>
        <v>24922</v>
      </c>
      <c r="T63" s="85">
        <f>T$18</f>
        <v>23579</v>
      </c>
      <c r="X63" s="85">
        <f>X$18</f>
        <v>23761</v>
      </c>
      <c r="Y63" s="85"/>
      <c r="Z63" s="85"/>
      <c r="AA63" s="85"/>
      <c r="AB63" s="85">
        <f>AB$18</f>
        <v>24156</v>
      </c>
      <c r="AC63" s="85"/>
      <c r="AD63" s="85"/>
      <c r="AE63" s="85"/>
      <c r="AF63" s="85">
        <f>AF$18</f>
        <v>24689</v>
      </c>
      <c r="AG63" s="85"/>
      <c r="AH63" s="85"/>
      <c r="AI63" s="85"/>
      <c r="AJ63" s="85">
        <f>AJ$18</f>
        <v>27135</v>
      </c>
      <c r="AK63" s="85"/>
      <c r="AL63" s="85"/>
      <c r="AM63" s="85"/>
      <c r="AN63" s="85">
        <f>AN$18</f>
        <v>27174</v>
      </c>
      <c r="AO63" s="85"/>
      <c r="AP63" s="85"/>
      <c r="AQ63" s="85"/>
      <c r="AR63" s="896">
        <f>AR$18</f>
        <v>28465</v>
      </c>
      <c r="AS63" s="85"/>
      <c r="AT63" s="85"/>
      <c r="AU63" s="85"/>
      <c r="AV63" s="85">
        <f>+AV61+AV62</f>
        <v>30753.15071963079</v>
      </c>
      <c r="AW63" s="85"/>
      <c r="AX63" s="85"/>
      <c r="AY63" s="85"/>
      <c r="AZ63" s="85">
        <f>+AZ61+AZ62</f>
        <v>32998.013772245577</v>
      </c>
      <c r="BA63" s="85"/>
      <c r="BB63" s="85"/>
      <c r="BC63" s="85"/>
      <c r="BD63" s="85">
        <f>+BD61+BD62</f>
        <v>35044.293951543332</v>
      </c>
    </row>
    <row r="64" spans="3:56" x14ac:dyDescent="0.2">
      <c r="C64" s="90" t="s">
        <v>233</v>
      </c>
      <c r="D64" s="897"/>
      <c r="E64" s="90"/>
      <c r="F64" s="90"/>
      <c r="G64" s="90"/>
      <c r="H64" s="91">
        <f>+H63/D63-1</f>
        <v>4.9580117058274586E-2</v>
      </c>
      <c r="I64" s="90"/>
      <c r="J64" s="90"/>
      <c r="K64" s="90"/>
      <c r="L64" s="91">
        <f>+L63/H63-1</f>
        <v>2.1537964197680504E-2</v>
      </c>
      <c r="M64" s="90"/>
      <c r="N64" s="90"/>
      <c r="O64" s="90"/>
      <c r="P64" s="898">
        <f>+P63/L63-1</f>
        <v>-1.4161392405063311E-2</v>
      </c>
      <c r="T64" s="898">
        <f>+T63/P63-1</f>
        <v>-5.3888130968622105E-2</v>
      </c>
      <c r="X64" s="898">
        <f>+X63/T63-1</f>
        <v>7.7187327706857989E-3</v>
      </c>
      <c r="Y64" s="898"/>
      <c r="Z64" s="898"/>
      <c r="AA64" s="898"/>
      <c r="AB64" s="898">
        <f>+AB63/X63-1</f>
        <v>1.6623879466352465E-2</v>
      </c>
      <c r="AC64" s="898"/>
      <c r="AD64" s="898"/>
      <c r="AE64" s="898"/>
      <c r="AF64" s="898">
        <f>+AF63/AB63-1</f>
        <v>2.2064911409173771E-2</v>
      </c>
      <c r="AG64" s="91"/>
      <c r="AH64" s="91"/>
      <c r="AI64" s="91"/>
      <c r="AJ64" s="898">
        <f>+AJ63/AF63-1</f>
        <v>9.9072461420065538E-2</v>
      </c>
      <c r="AK64" s="91"/>
      <c r="AL64" s="91"/>
      <c r="AM64" s="91"/>
      <c r="AN64" s="898">
        <f>+AN63/AJ63-1</f>
        <v>1.4372581536761242E-3</v>
      </c>
      <c r="AO64" s="91"/>
      <c r="AP64" s="91"/>
      <c r="AQ64" s="91"/>
      <c r="AR64" s="899">
        <f>+AR63/AN63-1</f>
        <v>4.7508647972326568E-2</v>
      </c>
      <c r="AS64" s="91"/>
      <c r="AT64" s="91"/>
      <c r="AU64" s="91"/>
      <c r="AV64" s="91">
        <f>+AV63/AR63-1</f>
        <v>8.0384708225216484E-2</v>
      </c>
      <c r="AW64" s="91"/>
      <c r="AX64" s="91"/>
      <c r="AY64" s="91"/>
      <c r="AZ64" s="91">
        <f>+AZ63/AV63-1</f>
        <v>7.2996197140275942E-2</v>
      </c>
      <c r="BA64" s="91"/>
      <c r="BB64" s="91"/>
      <c r="BC64" s="91"/>
      <c r="BD64" s="91">
        <f>+BD63/AZ63-1</f>
        <v>6.2012222718049514E-2</v>
      </c>
    </row>
    <row r="65" spans="3:58" x14ac:dyDescent="0.2">
      <c r="C65" s="2" t="s">
        <v>266</v>
      </c>
      <c r="D65" s="85"/>
      <c r="H65" s="118"/>
      <c r="L65" s="85">
        <f>L$21</f>
        <v>-10229</v>
      </c>
      <c r="M65" s="2">
        <f t="shared" ref="M65:X65" si="14">M$21</f>
        <v>0</v>
      </c>
      <c r="N65" s="2">
        <f t="shared" si="14"/>
        <v>0</v>
      </c>
      <c r="O65" s="2">
        <f t="shared" si="14"/>
        <v>0</v>
      </c>
      <c r="P65" s="85">
        <f t="shared" si="14"/>
        <v>-10796</v>
      </c>
      <c r="Q65" s="2">
        <f t="shared" si="14"/>
        <v>0</v>
      </c>
      <c r="R65" s="2">
        <f t="shared" si="14"/>
        <v>-4975</v>
      </c>
      <c r="S65" s="2">
        <f t="shared" si="14"/>
        <v>-5159</v>
      </c>
      <c r="T65" s="85">
        <f t="shared" si="14"/>
        <v>-10134</v>
      </c>
      <c r="U65" s="2">
        <f t="shared" si="14"/>
        <v>0</v>
      </c>
      <c r="V65" s="2">
        <f t="shared" si="14"/>
        <v>-5257</v>
      </c>
      <c r="W65" s="2">
        <f t="shared" si="14"/>
        <v>-5278</v>
      </c>
      <c r="X65" s="85">
        <f t="shared" si="14"/>
        <v>-10535</v>
      </c>
      <c r="Y65" s="894">
        <f>MODEL!CM144</f>
        <v>3.0761352621664573E-2</v>
      </c>
      <c r="Z65" s="894">
        <f>MODEL!CN144</f>
        <v>60421</v>
      </c>
      <c r="AA65" s="894">
        <f>MODEL!CO144</f>
        <v>63017</v>
      </c>
      <c r="AB65" s="85">
        <f t="shared" ref="AB65" si="15">AB$21</f>
        <v>-10784</v>
      </c>
      <c r="AC65" s="85"/>
      <c r="AD65" s="85"/>
      <c r="AE65" s="85"/>
      <c r="AF65" s="85">
        <f t="shared" ref="AF65" si="16">AF$21</f>
        <v>-10788</v>
      </c>
      <c r="AG65" s="85"/>
      <c r="AH65" s="85"/>
      <c r="AI65" s="85"/>
      <c r="AJ65" s="85">
        <f t="shared" ref="AJ65" si="17">AJ$21</f>
        <v>-11646</v>
      </c>
      <c r="AK65" s="85"/>
      <c r="AL65" s="85"/>
      <c r="AM65" s="85"/>
      <c r="AN65" s="85">
        <f t="shared" ref="AN65" si="18">AN$21</f>
        <v>-12129</v>
      </c>
      <c r="AO65" s="85"/>
      <c r="AP65" s="85"/>
      <c r="AQ65" s="85"/>
      <c r="AR65" s="896">
        <f t="shared" ref="AR65" si="19">AR$21</f>
        <v>-12866</v>
      </c>
      <c r="AS65" s="85"/>
      <c r="AT65" s="85"/>
      <c r="AU65" s="85"/>
      <c r="AV65" s="85">
        <f>AR65*(1+AV66)</f>
        <v>-13380.640000000001</v>
      </c>
      <c r="AW65" s="85"/>
      <c r="AX65" s="85"/>
      <c r="AY65" s="85"/>
      <c r="AZ65" s="85">
        <f>AV65*(1+AZ66)</f>
        <v>-13915.865600000001</v>
      </c>
      <c r="BA65" s="85"/>
      <c r="BB65" s="85"/>
      <c r="BC65" s="85"/>
      <c r="BD65" s="85">
        <f>AZ65*(1+BD66)</f>
        <v>-14402.920896</v>
      </c>
    </row>
    <row r="66" spans="3:58" x14ac:dyDescent="0.2">
      <c r="C66" s="878" t="s">
        <v>233</v>
      </c>
      <c r="D66" s="879">
        <f>MODEL!BS812</f>
        <v>0</v>
      </c>
      <c r="E66" s="880"/>
      <c r="F66" s="880"/>
      <c r="G66" s="880"/>
      <c r="H66" s="879">
        <f>MODEL!BW812</f>
        <v>0</v>
      </c>
      <c r="I66" s="880"/>
      <c r="J66" s="880"/>
      <c r="K66" s="880"/>
      <c r="L66" s="879"/>
      <c r="M66" s="880"/>
      <c r="N66" s="880"/>
      <c r="O66" s="880"/>
      <c r="P66" s="885">
        <f t="shared" ref="P66:AB66" si="20">P65/L65-1</f>
        <v>5.5430638381073427E-2</v>
      </c>
      <c r="Q66" s="2" t="e">
        <f t="shared" si="20"/>
        <v>#DIV/0!</v>
      </c>
      <c r="R66" s="2" t="e">
        <f t="shared" si="20"/>
        <v>#DIV/0!</v>
      </c>
      <c r="S66" s="2" t="e">
        <f t="shared" si="20"/>
        <v>#DIV/0!</v>
      </c>
      <c r="T66" s="885">
        <f t="shared" si="20"/>
        <v>-6.1319007039644324E-2</v>
      </c>
      <c r="U66" s="2" t="e">
        <f t="shared" si="20"/>
        <v>#DIV/0!</v>
      </c>
      <c r="V66" s="2">
        <f t="shared" si="20"/>
        <v>5.6683417085427124E-2</v>
      </c>
      <c r="W66" s="2">
        <f t="shared" si="20"/>
        <v>2.3066485753052923E-2</v>
      </c>
      <c r="X66" s="885">
        <f t="shared" si="20"/>
        <v>3.9569765147029701E-2</v>
      </c>
      <c r="Y66" s="885" t="e">
        <f t="shared" si="20"/>
        <v>#DIV/0!</v>
      </c>
      <c r="Z66" s="885">
        <f t="shared" si="20"/>
        <v>-12.493437321666349</v>
      </c>
      <c r="AA66" s="885">
        <f t="shared" si="20"/>
        <v>-12.93956043956044</v>
      </c>
      <c r="AB66" s="885">
        <f t="shared" si="20"/>
        <v>2.3635500711912671E-2</v>
      </c>
      <c r="AC66" s="940" t="e">
        <f>AC$25</f>
        <v>#DIV/0!</v>
      </c>
      <c r="AD66" s="940" t="e">
        <f>AD$25</f>
        <v>#DIV/0!</v>
      </c>
      <c r="AE66" s="940" t="e">
        <f>AE$25</f>
        <v>#DIV/0!</v>
      </c>
      <c r="AF66" s="885">
        <f t="shared" ref="AF66" si="21">AF65/AB65-1</f>
        <v>3.7091988130555364E-4</v>
      </c>
      <c r="AG66" s="941" t="e">
        <f>AG$25</f>
        <v>#DIV/0!</v>
      </c>
      <c r="AH66" s="941" t="e">
        <f>AH$25</f>
        <v>#DIV/0!</v>
      </c>
      <c r="AI66" s="941" t="e">
        <f>AI$25</f>
        <v>#DIV/0!</v>
      </c>
      <c r="AJ66" s="885">
        <f t="shared" ref="AJ66" si="22">AJ65/AF65-1</f>
        <v>7.953281423804226E-2</v>
      </c>
      <c r="AK66" s="941"/>
      <c r="AL66" s="941"/>
      <c r="AM66" s="941"/>
      <c r="AN66" s="885">
        <f t="shared" ref="AN66" si="23">AN65/AJ65-1</f>
        <v>4.1473467284904642E-2</v>
      </c>
      <c r="AO66" s="941"/>
      <c r="AP66" s="941"/>
      <c r="AQ66" s="941"/>
      <c r="AR66" s="886">
        <f t="shared" ref="AR66" si="24">AR65/AN65-1</f>
        <v>6.0763459477285897E-2</v>
      </c>
      <c r="AS66" s="941"/>
      <c r="AT66" s="941"/>
      <c r="AU66" s="941"/>
      <c r="AV66" s="941">
        <v>0.04</v>
      </c>
      <c r="AW66" s="941"/>
      <c r="AX66" s="941"/>
      <c r="AY66" s="941"/>
      <c r="AZ66" s="941">
        <v>0.04</v>
      </c>
      <c r="BA66" s="941"/>
      <c r="BB66" s="941"/>
      <c r="BC66" s="941"/>
      <c r="BD66" s="941">
        <v>3.5000000000000003E-2</v>
      </c>
    </row>
    <row r="67" spans="3:58" x14ac:dyDescent="0.2">
      <c r="C67" s="2" t="s">
        <v>943</v>
      </c>
      <c r="D67" s="85"/>
      <c r="H67" s="118"/>
      <c r="L67" s="85">
        <f t="shared" ref="L67:AF67" si="25">L23</f>
        <v>-393</v>
      </c>
      <c r="M67" s="2">
        <f t="shared" si="25"/>
        <v>0</v>
      </c>
      <c r="N67" s="2">
        <f t="shared" si="25"/>
        <v>0</v>
      </c>
      <c r="O67" s="2">
        <f t="shared" si="25"/>
        <v>0</v>
      </c>
      <c r="P67" s="85">
        <f t="shared" si="25"/>
        <v>-199</v>
      </c>
      <c r="Q67" s="2">
        <f t="shared" si="25"/>
        <v>0</v>
      </c>
      <c r="R67" s="2">
        <f t="shared" si="25"/>
        <v>4975</v>
      </c>
      <c r="S67" s="2">
        <f t="shared" si="25"/>
        <v>5159</v>
      </c>
      <c r="T67" s="85">
        <f t="shared" si="25"/>
        <v>-690</v>
      </c>
      <c r="U67" s="2">
        <f t="shared" si="25"/>
        <v>0</v>
      </c>
      <c r="V67" s="2">
        <f t="shared" si="25"/>
        <v>5257</v>
      </c>
      <c r="W67" s="2">
        <f t="shared" si="25"/>
        <v>5278</v>
      </c>
      <c r="X67" s="85">
        <f t="shared" si="25"/>
        <v>-461</v>
      </c>
      <c r="Y67" s="85">
        <f t="shared" si="25"/>
        <v>0</v>
      </c>
      <c r="Z67" s="85">
        <f t="shared" si="25"/>
        <v>5349</v>
      </c>
      <c r="AA67" s="85">
        <f t="shared" si="25"/>
        <v>5435</v>
      </c>
      <c r="AB67" s="85">
        <f t="shared" si="25"/>
        <v>-575</v>
      </c>
      <c r="AC67" s="85">
        <f t="shared" si="25"/>
        <v>0</v>
      </c>
      <c r="AD67" s="85">
        <f t="shared" si="25"/>
        <v>5397</v>
      </c>
      <c r="AE67" s="85">
        <f t="shared" si="25"/>
        <v>5391</v>
      </c>
      <c r="AF67" s="85">
        <f t="shared" si="25"/>
        <v>-640</v>
      </c>
      <c r="AG67" s="85">
        <f>AG23</f>
        <v>0</v>
      </c>
      <c r="AH67" s="85">
        <f>AH23</f>
        <v>5636</v>
      </c>
      <c r="AI67" s="85">
        <f>AI23</f>
        <v>5873</v>
      </c>
      <c r="AJ67" s="85">
        <f t="shared" ref="AJ67" si="26">AJ23</f>
        <v>-212</v>
      </c>
      <c r="AK67" s="85"/>
      <c r="AL67" s="85"/>
      <c r="AM67" s="85"/>
      <c r="AN67" s="85">
        <f t="shared" ref="AN67" si="27">AN23</f>
        <v>-89</v>
      </c>
      <c r="AO67" s="85"/>
      <c r="AP67" s="85"/>
      <c r="AQ67" s="85"/>
      <c r="AR67" s="896">
        <f t="shared" ref="AR67" si="28">AR23</f>
        <v>-130</v>
      </c>
      <c r="AS67" s="85"/>
      <c r="AT67" s="85"/>
      <c r="AU67" s="85"/>
      <c r="AV67" s="85">
        <f>AV23</f>
        <v>-220</v>
      </c>
      <c r="AW67" s="85"/>
      <c r="AX67" s="85"/>
      <c r="AY67" s="85"/>
      <c r="AZ67" s="85">
        <f>AZ23</f>
        <v>-50</v>
      </c>
      <c r="BA67" s="85"/>
      <c r="BB67" s="85"/>
      <c r="BC67" s="85"/>
      <c r="BD67" s="85">
        <f>BD23</f>
        <v>-50</v>
      </c>
    </row>
    <row r="68" spans="3:58" x14ac:dyDescent="0.2">
      <c r="C68" s="2" t="s">
        <v>249</v>
      </c>
      <c r="D68" s="85">
        <f>D$24</f>
        <v>-9993</v>
      </c>
      <c r="H68" s="85">
        <f>H$24</f>
        <v>-10434</v>
      </c>
      <c r="L68" s="85">
        <f>L65+L67</f>
        <v>-10622</v>
      </c>
      <c r="M68" s="2">
        <f t="shared" ref="M68:AF68" si="29">M65+M67</f>
        <v>0</v>
      </c>
      <c r="N68" s="2">
        <f t="shared" si="29"/>
        <v>0</v>
      </c>
      <c r="O68" s="2">
        <f t="shared" si="29"/>
        <v>0</v>
      </c>
      <c r="P68" s="85">
        <f t="shared" si="29"/>
        <v>-10995</v>
      </c>
      <c r="Q68" s="2">
        <f t="shared" si="29"/>
        <v>0</v>
      </c>
      <c r="R68" s="2">
        <f t="shared" si="29"/>
        <v>0</v>
      </c>
      <c r="S68" s="2">
        <f t="shared" si="29"/>
        <v>0</v>
      </c>
      <c r="T68" s="85">
        <f t="shared" si="29"/>
        <v>-10824</v>
      </c>
      <c r="U68" s="2">
        <f t="shared" si="29"/>
        <v>0</v>
      </c>
      <c r="V68" s="2">
        <f t="shared" si="29"/>
        <v>0</v>
      </c>
      <c r="W68" s="2">
        <f t="shared" si="29"/>
        <v>0</v>
      </c>
      <c r="X68" s="85">
        <f t="shared" si="29"/>
        <v>-10996</v>
      </c>
      <c r="Y68" s="85">
        <f t="shared" si="29"/>
        <v>3.0761352621664573E-2</v>
      </c>
      <c r="Z68" s="85">
        <f t="shared" si="29"/>
        <v>65770</v>
      </c>
      <c r="AA68" s="85">
        <f t="shared" si="29"/>
        <v>68452</v>
      </c>
      <c r="AB68" s="85">
        <f t="shared" si="29"/>
        <v>-11359</v>
      </c>
      <c r="AC68" s="85">
        <f t="shared" si="29"/>
        <v>0</v>
      </c>
      <c r="AD68" s="85">
        <f t="shared" si="29"/>
        <v>5397</v>
      </c>
      <c r="AE68" s="85">
        <f t="shared" si="29"/>
        <v>5391</v>
      </c>
      <c r="AF68" s="85">
        <f t="shared" si="29"/>
        <v>-11428</v>
      </c>
      <c r="AG68" s="85">
        <f>AG65+AG67</f>
        <v>0</v>
      </c>
      <c r="AH68" s="85">
        <f>AH65+AH67</f>
        <v>5636</v>
      </c>
      <c r="AI68" s="85">
        <f>AI65+AI67</f>
        <v>5873</v>
      </c>
      <c r="AJ68" s="85">
        <f t="shared" ref="AJ68" si="30">AJ65+AJ67</f>
        <v>-11858</v>
      </c>
      <c r="AK68" s="85"/>
      <c r="AL68" s="85"/>
      <c r="AM68" s="85"/>
      <c r="AN68" s="85">
        <f t="shared" ref="AN68" si="31">AN65+AN67</f>
        <v>-12218</v>
      </c>
      <c r="AO68" s="85"/>
      <c r="AP68" s="85"/>
      <c r="AQ68" s="85"/>
      <c r="AR68" s="896">
        <f t="shared" ref="AR68" si="32">AR65+AR67</f>
        <v>-12996</v>
      </c>
      <c r="AS68" s="85"/>
      <c r="AT68" s="85"/>
      <c r="AU68" s="85"/>
      <c r="AV68" s="85">
        <f>AV65+AV67</f>
        <v>-13600.640000000001</v>
      </c>
      <c r="AW68" s="85"/>
      <c r="AX68" s="85"/>
      <c r="AY68" s="85"/>
      <c r="AZ68" s="85">
        <f>AZ65+AZ67</f>
        <v>-13965.865600000001</v>
      </c>
      <c r="BA68" s="85"/>
      <c r="BB68" s="85"/>
      <c r="BC68" s="85"/>
      <c r="BD68" s="85">
        <f>BD65+BD67</f>
        <v>-14452.920896</v>
      </c>
      <c r="BE68" s="162"/>
      <c r="BF68" s="278"/>
    </row>
    <row r="69" spans="3:58" x14ac:dyDescent="0.2">
      <c r="C69" s="90" t="s">
        <v>233</v>
      </c>
      <c r="D69" s="902">
        <f>D$25</f>
        <v>5.2005474260448548E-2</v>
      </c>
      <c r="E69" s="90"/>
      <c r="F69" s="90"/>
      <c r="G69" s="90"/>
      <c r="H69" s="902">
        <f>H$25</f>
        <v>4.413089162413697E-2</v>
      </c>
      <c r="I69" s="90"/>
      <c r="J69" s="90"/>
      <c r="K69" s="90"/>
      <c r="L69" s="902">
        <f>L$25</f>
        <v>0</v>
      </c>
      <c r="M69" s="90"/>
      <c r="N69" s="90"/>
      <c r="O69" s="90"/>
      <c r="P69" s="866">
        <f t="shared" ref="P69:AF69" si="33">P68/L68-1</f>
        <v>3.5115797401619187E-2</v>
      </c>
      <c r="Q69" s="2" t="e">
        <f t="shared" si="33"/>
        <v>#DIV/0!</v>
      </c>
      <c r="R69" s="2" t="e">
        <f t="shared" si="33"/>
        <v>#DIV/0!</v>
      </c>
      <c r="S69" s="2" t="e">
        <f t="shared" si="33"/>
        <v>#DIV/0!</v>
      </c>
      <c r="T69" s="866">
        <f t="shared" si="33"/>
        <v>-1.5552523874488355E-2</v>
      </c>
      <c r="U69" s="2" t="e">
        <f t="shared" si="33"/>
        <v>#DIV/0!</v>
      </c>
      <c r="V69" s="2" t="e">
        <f t="shared" si="33"/>
        <v>#DIV/0!</v>
      </c>
      <c r="W69" s="2" t="e">
        <f t="shared" si="33"/>
        <v>#DIV/0!</v>
      </c>
      <c r="X69" s="866">
        <f t="shared" si="33"/>
        <v>1.5890613451589042E-2</v>
      </c>
      <c r="Y69" s="866" t="e">
        <f t="shared" si="33"/>
        <v>#DIV/0!</v>
      </c>
      <c r="Z69" s="866" t="e">
        <f t="shared" si="33"/>
        <v>#DIV/0!</v>
      </c>
      <c r="AA69" s="866" t="e">
        <f t="shared" si="33"/>
        <v>#DIV/0!</v>
      </c>
      <c r="AB69" s="866">
        <f t="shared" si="33"/>
        <v>3.3012004365223779E-2</v>
      </c>
      <c r="AC69" s="866">
        <f t="shared" si="33"/>
        <v>-1</v>
      </c>
      <c r="AD69" s="866">
        <f t="shared" si="33"/>
        <v>-0.91794131062794593</v>
      </c>
      <c r="AE69" s="866">
        <f t="shared" si="33"/>
        <v>-0.92124408344533393</v>
      </c>
      <c r="AF69" s="866">
        <f t="shared" si="33"/>
        <v>6.0744783871820029E-3</v>
      </c>
      <c r="AG69" s="902" t="e">
        <f>AG68/AC68-1</f>
        <v>#DIV/0!</v>
      </c>
      <c r="AH69" s="902">
        <f>AH68/AD68-1</f>
        <v>4.4283861404484037E-2</v>
      </c>
      <c r="AI69" s="902">
        <f>AI68/AE68-1</f>
        <v>8.940827304767196E-2</v>
      </c>
      <c r="AJ69" s="866">
        <f t="shared" ref="AJ69" si="34">AJ68/AF68-1</f>
        <v>3.762688134406722E-2</v>
      </c>
      <c r="AK69" s="902"/>
      <c r="AL69" s="902"/>
      <c r="AM69" s="902"/>
      <c r="AN69" s="866">
        <f t="shared" ref="AN69" si="35">AN68/AJ68-1</f>
        <v>3.0359251138471821E-2</v>
      </c>
      <c r="AO69" s="902"/>
      <c r="AP69" s="902"/>
      <c r="AQ69" s="902"/>
      <c r="AR69" s="903">
        <f t="shared" ref="AR69" si="36">AR68/AN68-1</f>
        <v>6.3676542805696457E-2</v>
      </c>
      <c r="AS69" s="902"/>
      <c r="AT69" s="902"/>
      <c r="AU69" s="902"/>
      <c r="AV69" s="902">
        <f>AV68/AR68-1</f>
        <v>4.6525084641428238E-2</v>
      </c>
      <c r="AW69" s="902"/>
      <c r="AX69" s="902"/>
      <c r="AY69" s="902"/>
      <c r="AZ69" s="902">
        <f>AZ68/AV68-1</f>
        <v>2.6853559832478391E-2</v>
      </c>
      <c r="BA69" s="902"/>
      <c r="BB69" s="902"/>
      <c r="BC69" s="902"/>
      <c r="BD69" s="902">
        <f>BD68/AZ68-1</f>
        <v>3.4874694483670199E-2</v>
      </c>
    </row>
    <row r="70" spans="3:58" x14ac:dyDescent="0.2">
      <c r="C70" s="2" t="s">
        <v>254</v>
      </c>
      <c r="D70" s="85">
        <f>D$26</f>
        <v>13585</v>
      </c>
      <c r="H70" s="85">
        <f>H$26</f>
        <v>14313.049580117058</v>
      </c>
      <c r="L70" s="85">
        <f>L63+L68</f>
        <v>14658</v>
      </c>
      <c r="M70" s="2">
        <f t="shared" ref="M70:AF70" si="37">M63+M68</f>
        <v>0</v>
      </c>
      <c r="N70" s="2">
        <f t="shared" si="37"/>
        <v>0</v>
      </c>
      <c r="O70" s="2">
        <f t="shared" si="37"/>
        <v>0</v>
      </c>
      <c r="P70" s="85">
        <f t="shared" si="37"/>
        <v>13927</v>
      </c>
      <c r="Q70" s="2">
        <f t="shared" si="37"/>
        <v>0</v>
      </c>
      <c r="R70" s="2">
        <f t="shared" si="37"/>
        <v>0</v>
      </c>
      <c r="S70" s="2">
        <f t="shared" si="37"/>
        <v>0</v>
      </c>
      <c r="T70" s="85">
        <f t="shared" si="37"/>
        <v>12755</v>
      </c>
      <c r="U70" s="2">
        <f t="shared" si="37"/>
        <v>0</v>
      </c>
      <c r="V70" s="2">
        <f t="shared" si="37"/>
        <v>0</v>
      </c>
      <c r="W70" s="2">
        <f t="shared" si="37"/>
        <v>0</v>
      </c>
      <c r="X70" s="85">
        <f t="shared" si="37"/>
        <v>12765</v>
      </c>
      <c r="Y70" s="85">
        <f t="shared" si="37"/>
        <v>3.0761352621664573E-2</v>
      </c>
      <c r="Z70" s="85">
        <f t="shared" si="37"/>
        <v>65770</v>
      </c>
      <c r="AA70" s="85">
        <f t="shared" si="37"/>
        <v>68452</v>
      </c>
      <c r="AB70" s="85">
        <f t="shared" si="37"/>
        <v>12797</v>
      </c>
      <c r="AC70" s="85">
        <f t="shared" si="37"/>
        <v>0</v>
      </c>
      <c r="AD70" s="85">
        <f t="shared" si="37"/>
        <v>5397</v>
      </c>
      <c r="AE70" s="85">
        <f t="shared" si="37"/>
        <v>5391</v>
      </c>
      <c r="AF70" s="85">
        <f t="shared" si="37"/>
        <v>13261</v>
      </c>
      <c r="AG70" s="85">
        <f>AG63+AG68</f>
        <v>0</v>
      </c>
      <c r="AH70" s="85">
        <f>AH63+AH68</f>
        <v>5636</v>
      </c>
      <c r="AI70" s="85">
        <f>AI63+AI68</f>
        <v>5873</v>
      </c>
      <c r="AJ70" s="85">
        <f t="shared" ref="AJ70" si="38">AJ63+AJ68</f>
        <v>15277</v>
      </c>
      <c r="AK70" s="85"/>
      <c r="AL70" s="85"/>
      <c r="AM70" s="85"/>
      <c r="AN70" s="85">
        <f t="shared" ref="AN70" si="39">AN63+AN68</f>
        <v>14956</v>
      </c>
      <c r="AO70" s="85"/>
      <c r="AP70" s="85"/>
      <c r="AQ70" s="85"/>
      <c r="AR70" s="896">
        <f t="shared" ref="AR70" si="40">AR63+AR68</f>
        <v>15469</v>
      </c>
      <c r="AS70" s="85"/>
      <c r="AT70" s="85"/>
      <c r="AU70" s="85"/>
      <c r="AV70" s="85">
        <f>AV63+AV68</f>
        <v>17152.510719630787</v>
      </c>
      <c r="AW70" s="85"/>
      <c r="AX70" s="85"/>
      <c r="AY70" s="85"/>
      <c r="AZ70" s="85">
        <f>AZ63+AZ68</f>
        <v>19032.148172245576</v>
      </c>
      <c r="BA70" s="85"/>
      <c r="BB70" s="85"/>
      <c r="BC70" s="85"/>
      <c r="BD70" s="85">
        <f>BD63+BD68</f>
        <v>20591.373055543332</v>
      </c>
    </row>
    <row r="71" spans="3:58" x14ac:dyDescent="0.2">
      <c r="C71" s="2" t="s">
        <v>600</v>
      </c>
      <c r="D71" s="85">
        <f>D$27</f>
        <v>-988</v>
      </c>
      <c r="H71" s="85">
        <f>H$27</f>
        <v>-1256</v>
      </c>
      <c r="L71" s="85">
        <f>L$27</f>
        <v>-1095</v>
      </c>
      <c r="P71" s="85">
        <f>P$27</f>
        <v>-1079</v>
      </c>
      <c r="T71" s="85">
        <f>T$27</f>
        <v>-1201</v>
      </c>
      <c r="X71" s="85">
        <f>X$27</f>
        <v>-2518</v>
      </c>
      <c r="Y71" s="85"/>
      <c r="Z71" s="85"/>
      <c r="AA71" s="85"/>
      <c r="AB71" s="85">
        <f>AB$27</f>
        <v>-554</v>
      </c>
      <c r="AC71" s="85"/>
      <c r="AD71" s="85"/>
      <c r="AE71" s="85"/>
      <c r="AF71" s="85">
        <f>AF$27</f>
        <v>357</v>
      </c>
      <c r="AG71" s="85"/>
      <c r="AH71" s="85"/>
      <c r="AI71" s="85"/>
      <c r="AJ71" s="85">
        <f>AJ$27</f>
        <v>-1108</v>
      </c>
      <c r="AK71" s="85"/>
      <c r="AL71" s="85"/>
      <c r="AM71" s="85"/>
      <c r="AN71" s="85">
        <f>AN$27</f>
        <v>-802</v>
      </c>
      <c r="AO71" s="85"/>
      <c r="AP71" s="85"/>
      <c r="AQ71" s="85"/>
      <c r="AR71" s="896">
        <f>AR$27</f>
        <v>-726</v>
      </c>
      <c r="AS71" s="85"/>
      <c r="AT71" s="85"/>
      <c r="AU71" s="85"/>
      <c r="AV71" s="85">
        <f>-AV72*AV54*1000</f>
        <v>-658.29218400000013</v>
      </c>
      <c r="AW71" s="85"/>
      <c r="AX71" s="85"/>
      <c r="AY71" s="85"/>
      <c r="AZ71" s="85">
        <f>-AZ72*AZ54*1000</f>
        <v>-792.41921649000028</v>
      </c>
      <c r="BA71" s="85"/>
      <c r="BB71" s="85"/>
      <c r="BC71" s="85"/>
      <c r="BD71" s="85">
        <f>-BD72*BD54*1000</f>
        <v>-1000.2091443696002</v>
      </c>
    </row>
    <row r="72" spans="3:58" x14ac:dyDescent="0.2">
      <c r="C72" s="878" t="s">
        <v>944</v>
      </c>
      <c r="D72" s="904">
        <f>-D71/(D54*1000)</f>
        <v>1.5290046612976111E-3</v>
      </c>
      <c r="E72" s="878"/>
      <c r="F72" s="878"/>
      <c r="G72" s="878"/>
      <c r="H72" s="904">
        <f>-H71/(H54*1000)</f>
        <v>1.7898621977113704E-3</v>
      </c>
      <c r="I72" s="878"/>
      <c r="J72" s="878"/>
      <c r="K72" s="878"/>
      <c r="L72" s="904">
        <f>-L71/(L54*1000)</f>
        <v>1.4857490210338643E-3</v>
      </c>
      <c r="M72" s="939"/>
      <c r="N72" s="939"/>
      <c r="O72" s="939"/>
      <c r="P72" s="905">
        <f>-P71/(P54*1000)</f>
        <v>1.441726972453528E-3</v>
      </c>
      <c r="T72" s="905">
        <f>-T71/(T54*1000)</f>
        <v>1.5781596372203891E-3</v>
      </c>
      <c r="X72" s="905">
        <f>-X71/(X54*1000)</f>
        <v>3.2277582078378891E-3</v>
      </c>
      <c r="Y72" s="944"/>
      <c r="Z72" s="944"/>
      <c r="AA72" s="944"/>
      <c r="AB72" s="905">
        <f>-AB71/(AB54*1000)</f>
        <v>6.7704145106847898E-4</v>
      </c>
      <c r="AC72" s="944"/>
      <c r="AD72" s="944"/>
      <c r="AE72" s="944"/>
      <c r="AF72" s="905">
        <f>-AF71/(AF54*1000)</f>
        <v>-4.0340669609915893E-4</v>
      </c>
      <c r="AG72" s="945"/>
      <c r="AH72" s="945"/>
      <c r="AI72" s="945"/>
      <c r="AJ72" s="905">
        <f>-AJ71/(AJ54*1000)</f>
        <v>1.1872475893409168E-3</v>
      </c>
      <c r="AK72" s="945"/>
      <c r="AL72" s="945"/>
      <c r="AM72" s="945"/>
      <c r="AN72" s="905">
        <f>-AN71/(AN54*1000)</f>
        <v>8.4425673826356816E-4</v>
      </c>
      <c r="AO72" s="945">
        <v>1E-3</v>
      </c>
      <c r="AP72" s="945">
        <v>1E-3</v>
      </c>
      <c r="AQ72" s="945">
        <v>1E-3</v>
      </c>
      <c r="AR72" s="906">
        <f>-AR71/(AR54*1000)</f>
        <v>7.1464922633807234E-4</v>
      </c>
      <c r="AS72" s="945">
        <v>1E-3</v>
      </c>
      <c r="AT72" s="945">
        <v>1E-3</v>
      </c>
      <c r="AU72" s="945">
        <v>1E-3</v>
      </c>
      <c r="AV72" s="945">
        <v>5.9999999999999995E-4</v>
      </c>
      <c r="AW72" s="945"/>
      <c r="AX72" s="945"/>
      <c r="AY72" s="945"/>
      <c r="AZ72" s="945">
        <v>6.7500000000000004E-4</v>
      </c>
      <c r="BA72" s="945"/>
      <c r="BB72" s="945"/>
      <c r="BC72" s="945"/>
      <c r="BD72" s="945">
        <v>8.0000000000000004E-4</v>
      </c>
    </row>
    <row r="73" spans="3:58" x14ac:dyDescent="0.2">
      <c r="C73" s="90" t="s">
        <v>945</v>
      </c>
      <c r="D73" s="907">
        <f>-D71/(D52*1000)</f>
        <v>4.4241249143609418E-3</v>
      </c>
      <c r="E73" s="90"/>
      <c r="F73" s="90"/>
      <c r="G73" s="90"/>
      <c r="H73" s="907">
        <f>-H71/(H52*1000)</f>
        <v>5.1128407203569221E-3</v>
      </c>
      <c r="I73" s="90"/>
      <c r="J73" s="90"/>
      <c r="K73" s="90"/>
      <c r="L73" s="907">
        <f>-L71/(L52*1000)</f>
        <v>4.3600310577554813E-3</v>
      </c>
      <c r="M73" s="908"/>
      <c r="N73" s="908"/>
      <c r="O73" s="908"/>
      <c r="P73" s="909">
        <f>-P71/(P52*1000)</f>
        <v>4.3729710670616798E-3</v>
      </c>
      <c r="T73" s="909">
        <f>-T71/(T52*1000)</f>
        <v>5.0447135518395768E-3</v>
      </c>
      <c r="X73" s="909">
        <f>-X71/(X52*1000)</f>
        <v>1.0614261385671172E-2</v>
      </c>
      <c r="Y73" s="909"/>
      <c r="Z73" s="909"/>
      <c r="AA73" s="909"/>
      <c r="AB73" s="909">
        <f>-AB71/(AB52*1000)</f>
        <v>2.3227537629449497E-3</v>
      </c>
      <c r="AC73" s="909"/>
      <c r="AD73" s="909"/>
      <c r="AE73" s="909"/>
      <c r="AF73" s="909">
        <f>-AF71/(AF52*1000)</f>
        <v>-1.3575693044834015E-3</v>
      </c>
      <c r="AG73" s="907"/>
      <c r="AH73" s="907"/>
      <c r="AI73" s="907"/>
      <c r="AJ73" s="909">
        <f>-AJ71/(AJ52*1000)</f>
        <v>3.9425974885511665E-3</v>
      </c>
      <c r="AK73" s="907"/>
      <c r="AL73" s="907"/>
      <c r="AM73" s="907"/>
      <c r="AN73" s="909">
        <f>-AN71/(AN52*1000)</f>
        <v>2.8115983691327172E-3</v>
      </c>
      <c r="AO73" s="907"/>
      <c r="AP73" s="907"/>
      <c r="AQ73" s="907"/>
      <c r="AR73" s="910">
        <f>-AR71/(AR52*1000)</f>
        <v>2.3569821538141876E-3</v>
      </c>
      <c r="AS73" s="907"/>
      <c r="AT73" s="907"/>
      <c r="AU73" s="907"/>
      <c r="AV73" s="907">
        <f>-AV71/(AV52*1000)</f>
        <v>1.9580258403586476E-3</v>
      </c>
      <c r="AW73" s="907"/>
      <c r="AX73" s="907"/>
      <c r="AY73" s="907"/>
      <c r="AZ73" s="907">
        <f>-AZ71/(AZ52*1000)</f>
        <v>2.2027790704034788E-3</v>
      </c>
      <c r="BA73" s="907"/>
      <c r="BB73" s="907"/>
      <c r="BC73" s="907"/>
      <c r="BD73" s="907">
        <f>-BD71/(BD52*1000)</f>
        <v>2.5832510293205269E-3</v>
      </c>
    </row>
    <row r="74" spans="3:58" x14ac:dyDescent="0.2">
      <c r="C74" s="2" t="s">
        <v>620</v>
      </c>
      <c r="D74" s="85">
        <f>D$30</f>
        <v>12597</v>
      </c>
      <c r="H74" s="85">
        <f>H$30</f>
        <v>13057</v>
      </c>
      <c r="L74" s="85">
        <f>L$30</f>
        <v>13563</v>
      </c>
      <c r="P74" s="85">
        <f>P$30</f>
        <v>12848</v>
      </c>
      <c r="T74" s="85">
        <f>T$30</f>
        <v>11554</v>
      </c>
      <c r="X74" s="85">
        <f>X$30</f>
        <v>10247</v>
      </c>
      <c r="Y74" s="85"/>
      <c r="Z74" s="85"/>
      <c r="AA74" s="85"/>
      <c r="AB74" s="85">
        <f>AB$30</f>
        <v>12243</v>
      </c>
      <c r="AC74" s="85"/>
      <c r="AD74" s="85"/>
      <c r="AE74" s="85"/>
      <c r="AF74" s="85">
        <f>AF$30</f>
        <v>13618</v>
      </c>
      <c r="AG74" s="85"/>
      <c r="AH74" s="85"/>
      <c r="AI74" s="85"/>
      <c r="AJ74" s="85">
        <f>AJ$30</f>
        <v>14169</v>
      </c>
      <c r="AK74" s="85"/>
      <c r="AL74" s="85"/>
      <c r="AM74" s="85"/>
      <c r="AN74" s="85">
        <f>AN$30</f>
        <v>14154</v>
      </c>
      <c r="AO74" s="85"/>
      <c r="AP74" s="85"/>
      <c r="AQ74" s="85"/>
      <c r="AR74" s="896">
        <f>AR$30</f>
        <v>14743</v>
      </c>
      <c r="AS74" s="85"/>
      <c r="AT74" s="85"/>
      <c r="AU74" s="85"/>
      <c r="AV74" s="85">
        <f>+AV70+AV71</f>
        <v>16494.218535630785</v>
      </c>
      <c r="AW74" s="85"/>
      <c r="AX74" s="85"/>
      <c r="AY74" s="85"/>
      <c r="AZ74" s="85">
        <f>+AZ70+AZ71</f>
        <v>18239.728955755574</v>
      </c>
      <c r="BA74" s="85"/>
      <c r="BB74" s="85"/>
      <c r="BC74" s="85"/>
      <c r="BD74" s="85">
        <f>+BD70+BD71</f>
        <v>19591.163911173731</v>
      </c>
    </row>
    <row r="75" spans="3:58" x14ac:dyDescent="0.2">
      <c r="C75" s="911" t="s">
        <v>48</v>
      </c>
      <c r="D75" s="85">
        <f>D$31</f>
        <v>-3439</v>
      </c>
      <c r="E75" s="911"/>
      <c r="F75" s="911"/>
      <c r="G75" s="911"/>
      <c r="H75" s="85">
        <f>H$31</f>
        <v>-3592</v>
      </c>
      <c r="L75" s="85">
        <f>L$31</f>
        <v>-3847</v>
      </c>
      <c r="P75" s="85">
        <f>P$31</f>
        <v>-3920</v>
      </c>
      <c r="T75" s="85">
        <f>T$31</f>
        <v>-3321</v>
      </c>
      <c r="X75" s="85">
        <f>X$31</f>
        <v>-3022</v>
      </c>
      <c r="Y75" s="85"/>
      <c r="Z75" s="85"/>
      <c r="AA75" s="85"/>
      <c r="AB75" s="85">
        <f>AB$31</f>
        <v>-3590</v>
      </c>
      <c r="AC75" s="85"/>
      <c r="AD75" s="85"/>
      <c r="AE75" s="85"/>
      <c r="AF75" s="85">
        <f>AF$31</f>
        <v>-4023</v>
      </c>
      <c r="AG75" s="85"/>
      <c r="AH75" s="85"/>
      <c r="AI75" s="85"/>
      <c r="AJ75" s="85">
        <f>AJ$31</f>
        <v>-4097</v>
      </c>
      <c r="AK75" s="85"/>
      <c r="AL75" s="85"/>
      <c r="AM75" s="85"/>
      <c r="AN75" s="85">
        <f>AN$31</f>
        <v>-4318</v>
      </c>
      <c r="AO75" s="85"/>
      <c r="AP75" s="85"/>
      <c r="AQ75" s="85"/>
      <c r="AR75" s="896">
        <f>AR$31</f>
        <v>-4491</v>
      </c>
      <c r="AS75" s="85"/>
      <c r="AT75" s="85"/>
      <c r="AU75" s="85"/>
      <c r="AV75" s="85">
        <f>+AV74*-AV76</f>
        <v>-4947.63680167653</v>
      </c>
      <c r="AW75" s="85"/>
      <c r="AX75" s="85"/>
      <c r="AY75" s="85"/>
      <c r="AZ75" s="85">
        <f>+AZ74*-AZ76</f>
        <v>-5471.9186867266717</v>
      </c>
      <c r="BA75" s="85"/>
      <c r="BB75" s="85"/>
      <c r="BC75" s="85"/>
      <c r="BD75" s="85">
        <f>+BD74*-BD76</f>
        <v>-5877.3491733521178</v>
      </c>
    </row>
    <row r="76" spans="3:58" x14ac:dyDescent="0.2">
      <c r="C76" s="913" t="s">
        <v>621</v>
      </c>
      <c r="D76" s="862">
        <f>D$32</f>
        <v>0.27300150829562592</v>
      </c>
      <c r="E76" s="913"/>
      <c r="F76" s="913"/>
      <c r="G76" s="913"/>
      <c r="H76" s="862">
        <f>H$32</f>
        <v>0.27510147813433405</v>
      </c>
      <c r="I76" s="90"/>
      <c r="J76" s="90"/>
      <c r="K76" s="90"/>
      <c r="L76" s="862">
        <f>L$32</f>
        <v>0.28363931283639315</v>
      </c>
      <c r="M76" s="90"/>
      <c r="N76" s="90"/>
      <c r="O76" s="90"/>
      <c r="P76" s="865">
        <f>P$32</f>
        <v>0.30510585305105853</v>
      </c>
      <c r="T76" s="865">
        <f>T$32</f>
        <v>0.28743292366280077</v>
      </c>
      <c r="X76" s="865">
        <f>X$32</f>
        <v>0.29491558504928272</v>
      </c>
      <c r="Y76" s="865"/>
      <c r="Z76" s="865"/>
      <c r="AA76" s="865"/>
      <c r="AB76" s="865">
        <f>AB$32</f>
        <v>0.29322878379482153</v>
      </c>
      <c r="AC76" s="865"/>
      <c r="AD76" s="865"/>
      <c r="AE76" s="865"/>
      <c r="AF76" s="865">
        <f>AF$32</f>
        <v>0.29541782934351596</v>
      </c>
      <c r="AG76" s="862"/>
      <c r="AH76" s="862"/>
      <c r="AI76" s="862"/>
      <c r="AJ76" s="865">
        <f>AJ$32</f>
        <v>0.28915237490295714</v>
      </c>
      <c r="AK76" s="862"/>
      <c r="AL76" s="862"/>
      <c r="AM76" s="862"/>
      <c r="AN76" s="865">
        <f>AN$32</f>
        <v>0.30507277094814189</v>
      </c>
      <c r="AO76" s="862"/>
      <c r="AP76" s="862"/>
      <c r="AQ76" s="862"/>
      <c r="AR76" s="914">
        <f>AR$32</f>
        <v>0.30461914128739065</v>
      </c>
      <c r="AS76" s="862"/>
      <c r="AT76" s="862"/>
      <c r="AU76" s="862"/>
      <c r="AV76" s="862">
        <f>AV$32</f>
        <v>0.29996188003624741</v>
      </c>
      <c r="AW76" s="862"/>
      <c r="AX76" s="862"/>
      <c r="AY76" s="862"/>
      <c r="AZ76" s="862">
        <f>AZ$32</f>
        <v>0.3</v>
      </c>
      <c r="BA76" s="862"/>
      <c r="BB76" s="862"/>
      <c r="BC76" s="862"/>
      <c r="BD76" s="862">
        <f>BD$32</f>
        <v>0.29999999999999993</v>
      </c>
    </row>
    <row r="77" spans="3:58" x14ac:dyDescent="0.2">
      <c r="C77" s="2" t="s">
        <v>51</v>
      </c>
      <c r="D77" s="85">
        <f>D$33</f>
        <v>-21</v>
      </c>
      <c r="H77" s="85">
        <f>H$33</f>
        <v>-20</v>
      </c>
      <c r="L77" s="85">
        <f>L$33</f>
        <v>-20</v>
      </c>
      <c r="P77" s="85">
        <f>P$33</f>
        <v>-13</v>
      </c>
      <c r="T77" s="85">
        <f>T$33</f>
        <v>-12</v>
      </c>
      <c r="X77" s="85">
        <f>X$33</f>
        <v>0</v>
      </c>
      <c r="Y77" s="85"/>
      <c r="Z77" s="85"/>
      <c r="AA77" s="85"/>
      <c r="AB77" s="85">
        <f>AB$33</f>
        <v>0</v>
      </c>
      <c r="AC77" s="85"/>
      <c r="AD77" s="85"/>
      <c r="AE77" s="85"/>
      <c r="AF77" s="85">
        <f>AF$33</f>
        <v>0</v>
      </c>
      <c r="AG77" s="85"/>
      <c r="AH77" s="85"/>
      <c r="AI77" s="85"/>
      <c r="AJ77" s="85">
        <f>AJ$33</f>
        <v>0</v>
      </c>
      <c r="AK77" s="85"/>
      <c r="AL77" s="85"/>
      <c r="AM77" s="85"/>
      <c r="AN77" s="85">
        <f>AN$33</f>
        <v>0</v>
      </c>
      <c r="AO77" s="85"/>
      <c r="AP77" s="85"/>
      <c r="AQ77" s="85"/>
      <c r="AR77" s="896">
        <f>AR$33</f>
        <v>0</v>
      </c>
      <c r="AS77" s="85"/>
      <c r="AT77" s="85"/>
      <c r="AU77" s="85"/>
      <c r="AV77" s="85">
        <f>AV$33</f>
        <v>0</v>
      </c>
      <c r="AW77" s="85"/>
      <c r="AX77" s="85"/>
      <c r="AY77" s="85"/>
      <c r="AZ77" s="85">
        <f>AZ$33</f>
        <v>0</v>
      </c>
      <c r="BA77" s="85"/>
      <c r="BB77" s="85"/>
      <c r="BC77" s="85"/>
      <c r="BD77" s="85">
        <f>BD$33</f>
        <v>0</v>
      </c>
    </row>
    <row r="78" spans="3:58" x14ac:dyDescent="0.2">
      <c r="C78" s="3" t="s">
        <v>53</v>
      </c>
      <c r="D78" s="864">
        <f>D$34</f>
        <v>9137</v>
      </c>
      <c r="E78" s="3"/>
      <c r="F78" s="3"/>
      <c r="G78" s="3"/>
      <c r="H78" s="864">
        <f>H$34</f>
        <v>9445</v>
      </c>
      <c r="I78" s="3"/>
      <c r="J78" s="3"/>
      <c r="K78" s="3"/>
      <c r="L78" s="864">
        <f>L$34</f>
        <v>9696</v>
      </c>
      <c r="M78" s="3"/>
      <c r="N78" s="3"/>
      <c r="O78" s="3"/>
      <c r="P78" s="864">
        <f>P$34</f>
        <v>8915</v>
      </c>
      <c r="T78" s="864">
        <f>T$34</f>
        <v>8221</v>
      </c>
      <c r="X78" s="864">
        <f>X$34</f>
        <v>7225</v>
      </c>
      <c r="Y78" s="864"/>
      <c r="Z78" s="864"/>
      <c r="AA78" s="864"/>
      <c r="AB78" s="864">
        <f>AB$34</f>
        <v>8653</v>
      </c>
      <c r="AC78" s="864"/>
      <c r="AD78" s="864"/>
      <c r="AE78" s="864"/>
      <c r="AF78" s="864">
        <f>AF$34</f>
        <v>9595</v>
      </c>
      <c r="AG78" s="864"/>
      <c r="AH78" s="864"/>
      <c r="AI78" s="864"/>
      <c r="AJ78" s="864">
        <f>AJ$34</f>
        <v>10072</v>
      </c>
      <c r="AK78" s="864"/>
      <c r="AL78" s="864"/>
      <c r="AM78" s="864"/>
      <c r="AN78" s="864">
        <f>AN$34</f>
        <v>9836</v>
      </c>
      <c r="AO78" s="864"/>
      <c r="AP78" s="864"/>
      <c r="AQ78" s="864"/>
      <c r="AR78" s="924">
        <f>AR$34</f>
        <v>10252</v>
      </c>
      <c r="AS78" s="864"/>
      <c r="AT78" s="864"/>
      <c r="AU78" s="864"/>
      <c r="AV78" s="864">
        <f>+AV74+AV75+AV77</f>
        <v>11546.581733954255</v>
      </c>
      <c r="AW78" s="864"/>
      <c r="AX78" s="864"/>
      <c r="AY78" s="864"/>
      <c r="AZ78" s="864">
        <f>+AZ74+AZ75+AZ77</f>
        <v>12767.810269028902</v>
      </c>
      <c r="BA78" s="864"/>
      <c r="BB78" s="864"/>
      <c r="BC78" s="864"/>
      <c r="BD78" s="864">
        <f>+BD74+BD75+BD77</f>
        <v>13713.814737821613</v>
      </c>
    </row>
    <row r="79" spans="3:58" x14ac:dyDescent="0.2">
      <c r="C79" s="917" t="s">
        <v>233</v>
      </c>
      <c r="D79" s="946">
        <f>D$35</f>
        <v>5.264976958525347E-2</v>
      </c>
      <c r="E79" s="917"/>
      <c r="F79" s="917"/>
      <c r="G79" s="917"/>
      <c r="H79" s="946">
        <f>H$35</f>
        <v>3.370909488891316E-2</v>
      </c>
      <c r="I79" s="917"/>
      <c r="J79" s="917"/>
      <c r="K79" s="917"/>
      <c r="L79" s="946">
        <f>L$35</f>
        <v>2.6574907358390742E-2</v>
      </c>
      <c r="M79" s="917"/>
      <c r="N79" s="917"/>
      <c r="O79" s="917"/>
      <c r="P79" s="928">
        <f>P$35</f>
        <v>-8.054867986798675E-2</v>
      </c>
      <c r="T79" s="928">
        <f>T$35</f>
        <v>-7.7846326416152523E-2</v>
      </c>
      <c r="X79" s="928">
        <f>X$35</f>
        <v>-0.12115314438632774</v>
      </c>
      <c r="Y79" s="928"/>
      <c r="Z79" s="928"/>
      <c r="AA79" s="928"/>
      <c r="AB79" s="928">
        <f>AB$35</f>
        <v>0.19764705882352951</v>
      </c>
      <c r="AC79" s="928"/>
      <c r="AD79" s="928"/>
      <c r="AE79" s="928"/>
      <c r="AF79" s="928">
        <f>AF$35</f>
        <v>0.10886397781116375</v>
      </c>
      <c r="AG79" s="946"/>
      <c r="AH79" s="946"/>
      <c r="AI79" s="946"/>
      <c r="AJ79" s="928">
        <f>AJ$35</f>
        <v>4.971339239187067E-2</v>
      </c>
      <c r="AK79" s="946"/>
      <c r="AL79" s="946"/>
      <c r="AM79" s="946"/>
      <c r="AN79" s="928">
        <f>AN$35</f>
        <v>-2.3431294678316172E-2</v>
      </c>
      <c r="AO79" s="946"/>
      <c r="AP79" s="946"/>
      <c r="AQ79" s="946"/>
      <c r="AR79" s="947">
        <f>AR$35</f>
        <v>4.2293615290768694E-2</v>
      </c>
      <c r="AS79" s="946"/>
      <c r="AT79" s="946"/>
      <c r="AU79" s="946"/>
      <c r="AV79" s="946">
        <f>+AV78/AR78-1</f>
        <v>0.12627601774817165</v>
      </c>
      <c r="AW79" s="946"/>
      <c r="AX79" s="946"/>
      <c r="AY79" s="946"/>
      <c r="AZ79" s="946">
        <f>+AZ78/AV78-1</f>
        <v>0.10576537396201524</v>
      </c>
      <c r="BA79" s="946"/>
      <c r="BB79" s="946"/>
      <c r="BC79" s="946"/>
      <c r="BD79" s="946">
        <f>+BD78/AZ78-1</f>
        <v>7.4092929708350352E-2</v>
      </c>
    </row>
    <row r="80" spans="3:58" x14ac:dyDescent="0.2">
      <c r="C80" s="2" t="s">
        <v>946</v>
      </c>
      <c r="D80" s="948"/>
      <c r="H80" s="948"/>
      <c r="L80" s="85">
        <f>L36</f>
        <v>185</v>
      </c>
      <c r="M80" s="2">
        <f t="shared" ref="M80:AA80" si="41">M36</f>
        <v>0</v>
      </c>
      <c r="N80" s="2">
        <f t="shared" si="41"/>
        <v>273</v>
      </c>
      <c r="O80" s="2">
        <f t="shared" si="41"/>
        <v>224</v>
      </c>
      <c r="P80" s="85">
        <f t="shared" si="41"/>
        <v>497</v>
      </c>
      <c r="Q80" s="2">
        <f t="shared" si="41"/>
        <v>0</v>
      </c>
      <c r="R80" s="2">
        <f t="shared" si="41"/>
        <v>261</v>
      </c>
      <c r="S80" s="2">
        <f t="shared" si="41"/>
        <v>224</v>
      </c>
      <c r="T80" s="85">
        <f>T36</f>
        <v>485</v>
      </c>
      <c r="U80" s="2">
        <f t="shared" si="41"/>
        <v>0</v>
      </c>
      <c r="V80" s="2">
        <f t="shared" si="41"/>
        <v>152</v>
      </c>
      <c r="W80" s="2">
        <f t="shared" si="41"/>
        <v>30</v>
      </c>
      <c r="X80" s="85">
        <f>X36</f>
        <v>182</v>
      </c>
      <c r="Y80" s="85">
        <f t="shared" si="41"/>
        <v>0</v>
      </c>
      <c r="Z80" s="85">
        <f t="shared" si="41"/>
        <v>99</v>
      </c>
      <c r="AA80" s="85">
        <f t="shared" si="41"/>
        <v>49</v>
      </c>
      <c r="AB80" s="85">
        <f>AB36</f>
        <v>148</v>
      </c>
      <c r="AC80" s="85"/>
      <c r="AD80" s="85"/>
      <c r="AE80" s="85"/>
      <c r="AF80" s="85">
        <f>AF36</f>
        <v>113</v>
      </c>
      <c r="AG80" s="85"/>
      <c r="AH80" s="85"/>
      <c r="AI80" s="85"/>
      <c r="AJ80" s="85">
        <f>AJ36</f>
        <v>18</v>
      </c>
      <c r="AK80" s="85"/>
      <c r="AL80" s="85"/>
      <c r="AM80" s="85"/>
      <c r="AN80" s="85">
        <f>AN36</f>
        <v>11</v>
      </c>
      <c r="AO80" s="85"/>
      <c r="AP80" s="85"/>
      <c r="AQ80" s="85"/>
      <c r="AR80" s="896">
        <f>AR36</f>
        <v>1</v>
      </c>
      <c r="AS80" s="85"/>
      <c r="AT80" s="85"/>
      <c r="AU80" s="85"/>
      <c r="AV80" s="85">
        <f>AV36</f>
        <v>0</v>
      </c>
      <c r="AW80" s="85"/>
      <c r="AX80" s="85"/>
      <c r="AY80" s="85"/>
      <c r="AZ80" s="85">
        <f>AZ36</f>
        <v>0</v>
      </c>
      <c r="BA80" s="85"/>
      <c r="BB80" s="85"/>
      <c r="BC80" s="85"/>
      <c r="BD80" s="85">
        <f>BD36</f>
        <v>0</v>
      </c>
    </row>
    <row r="81" spans="3:56" x14ac:dyDescent="0.2">
      <c r="C81" s="3" t="s">
        <v>56</v>
      </c>
      <c r="D81" s="949"/>
      <c r="E81" s="3"/>
      <c r="F81" s="3"/>
      <c r="G81" s="3"/>
      <c r="H81" s="949"/>
      <c r="I81" s="3"/>
      <c r="J81" s="3"/>
      <c r="K81" s="3"/>
      <c r="L81" s="864">
        <f>L78+L80</f>
        <v>9881</v>
      </c>
      <c r="M81" s="3">
        <f t="shared" ref="M81:AA81" si="42">M78+M80</f>
        <v>0</v>
      </c>
      <c r="N81" s="3">
        <f t="shared" si="42"/>
        <v>273</v>
      </c>
      <c r="O81" s="3">
        <f t="shared" si="42"/>
        <v>224</v>
      </c>
      <c r="P81" s="864">
        <f t="shared" si="42"/>
        <v>9412</v>
      </c>
      <c r="Q81" s="3">
        <f t="shared" si="42"/>
        <v>0</v>
      </c>
      <c r="R81" s="3">
        <f t="shared" si="42"/>
        <v>261</v>
      </c>
      <c r="S81" s="3">
        <f t="shared" si="42"/>
        <v>224</v>
      </c>
      <c r="T81" s="864">
        <f>T78+T80</f>
        <v>8706</v>
      </c>
      <c r="U81" s="3">
        <f t="shared" si="42"/>
        <v>0</v>
      </c>
      <c r="V81" s="3">
        <f t="shared" si="42"/>
        <v>152</v>
      </c>
      <c r="W81" s="3">
        <f t="shared" si="42"/>
        <v>30</v>
      </c>
      <c r="X81" s="864">
        <f>X78+X80</f>
        <v>7407</v>
      </c>
      <c r="Y81" s="864">
        <f t="shared" si="42"/>
        <v>0</v>
      </c>
      <c r="Z81" s="864">
        <f t="shared" si="42"/>
        <v>99</v>
      </c>
      <c r="AA81" s="864">
        <f t="shared" si="42"/>
        <v>49</v>
      </c>
      <c r="AB81" s="864">
        <f>AB78+AB80</f>
        <v>8801</v>
      </c>
      <c r="AC81" s="864"/>
      <c r="AD81" s="864"/>
      <c r="AE81" s="864"/>
      <c r="AF81" s="864">
        <f>AF78+AF80</f>
        <v>9708</v>
      </c>
      <c r="AG81" s="864"/>
      <c r="AH81" s="864"/>
      <c r="AI81" s="864"/>
      <c r="AJ81" s="864">
        <f>AJ78+AJ80</f>
        <v>10090</v>
      </c>
      <c r="AK81" s="864"/>
      <c r="AL81" s="864"/>
      <c r="AM81" s="864"/>
      <c r="AN81" s="864">
        <f>AN78+AN80</f>
        <v>9847</v>
      </c>
      <c r="AO81" s="864"/>
      <c r="AP81" s="864"/>
      <c r="AQ81" s="864"/>
      <c r="AR81" s="924">
        <f>AR78+AR80</f>
        <v>10253</v>
      </c>
      <c r="AS81" s="864"/>
      <c r="AT81" s="864"/>
      <c r="AU81" s="864"/>
      <c r="AV81" s="864">
        <f>AV78+AV80</f>
        <v>11546.581733954255</v>
      </c>
      <c r="AW81" s="864"/>
      <c r="AX81" s="864"/>
      <c r="AY81" s="864"/>
      <c r="AZ81" s="864">
        <f>AZ78+AZ80</f>
        <v>12767.810269028902</v>
      </c>
      <c r="BA81" s="864"/>
      <c r="BB81" s="864"/>
      <c r="BC81" s="864"/>
      <c r="BD81" s="864">
        <f>BD78+BD80</f>
        <v>13713.814737821613</v>
      </c>
    </row>
    <row r="82" spans="3:56" x14ac:dyDescent="0.2">
      <c r="C82" s="90" t="s">
        <v>233</v>
      </c>
      <c r="D82" s="949"/>
      <c r="E82" s="3"/>
      <c r="F82" s="3"/>
      <c r="G82" s="3"/>
      <c r="H82" s="949"/>
      <c r="I82" s="3"/>
      <c r="J82" s="3"/>
      <c r="K82" s="3"/>
      <c r="L82" s="864"/>
      <c r="M82" s="3"/>
      <c r="N82" s="3"/>
      <c r="O82" s="3"/>
      <c r="P82" s="864"/>
      <c r="Q82" s="3"/>
      <c r="R82" s="3"/>
      <c r="S82" s="3"/>
      <c r="T82" s="864"/>
      <c r="U82" s="3"/>
      <c r="V82" s="3"/>
      <c r="W82" s="3"/>
      <c r="X82" s="864"/>
      <c r="Y82" s="864"/>
      <c r="Z82" s="864"/>
      <c r="AA82" s="864"/>
      <c r="AB82" s="864"/>
      <c r="AC82" s="864"/>
      <c r="AD82" s="864"/>
      <c r="AE82" s="864"/>
      <c r="AF82" s="864"/>
      <c r="AG82" s="864"/>
      <c r="AH82" s="864"/>
      <c r="AI82" s="864"/>
      <c r="AJ82" s="864"/>
      <c r="AK82" s="91"/>
      <c r="AL82" s="91"/>
      <c r="AM82" s="91"/>
      <c r="AN82" s="864"/>
      <c r="AO82" s="91"/>
      <c r="AP82" s="91"/>
      <c r="AQ82" s="91"/>
      <c r="AR82" s="924"/>
      <c r="AS82" s="91"/>
      <c r="AT82" s="91"/>
      <c r="AU82" s="91"/>
      <c r="AV82" s="91">
        <f>AV81/AR81-1</f>
        <v>0.12616616931183611</v>
      </c>
      <c r="AW82" s="91"/>
      <c r="AX82" s="91"/>
      <c r="AY82" s="91"/>
      <c r="AZ82" s="91">
        <f>AZ81/AV81-1</f>
        <v>0.10576537396201524</v>
      </c>
      <c r="BA82" s="91"/>
      <c r="BB82" s="91"/>
      <c r="BC82" s="91"/>
      <c r="BD82" s="91">
        <f>BD81/AZ81-1</f>
        <v>7.4092929708350352E-2</v>
      </c>
    </row>
    <row r="83" spans="3:56" x14ac:dyDescent="0.2">
      <c r="C83" s="3" t="s">
        <v>932</v>
      </c>
      <c r="D83" s="949"/>
      <c r="E83" s="3"/>
      <c r="F83" s="3"/>
      <c r="G83" s="3"/>
      <c r="H83" s="949"/>
      <c r="I83" s="3"/>
      <c r="J83" s="3"/>
      <c r="K83" s="3"/>
      <c r="L83" s="864">
        <f>(L63+L65+L71)*(1-L76)+L77+L80</f>
        <v>10162.529750055297</v>
      </c>
      <c r="M83" s="3">
        <f t="shared" ref="M83:AJ83" si="43">(M63+M65+M71)*(1-M76)+M77+M80</f>
        <v>0</v>
      </c>
      <c r="N83" s="3">
        <f t="shared" si="43"/>
        <v>273</v>
      </c>
      <c r="O83" s="3">
        <f t="shared" si="43"/>
        <v>224</v>
      </c>
      <c r="P83" s="864">
        <f t="shared" si="43"/>
        <v>9550.28393524284</v>
      </c>
      <c r="Q83" s="3">
        <f t="shared" si="43"/>
        <v>0</v>
      </c>
      <c r="R83" s="3">
        <f t="shared" si="43"/>
        <v>-4714</v>
      </c>
      <c r="S83" s="3">
        <f t="shared" si="43"/>
        <v>-4935</v>
      </c>
      <c r="T83" s="864">
        <f t="shared" si="43"/>
        <v>9197.6712826726671</v>
      </c>
      <c r="U83" s="3">
        <f t="shared" si="43"/>
        <v>0</v>
      </c>
      <c r="V83" s="3">
        <f t="shared" si="43"/>
        <v>-5105</v>
      </c>
      <c r="W83" s="3">
        <f t="shared" si="43"/>
        <v>-5248</v>
      </c>
      <c r="X83" s="864">
        <f t="shared" si="43"/>
        <v>7732.0439152922809</v>
      </c>
      <c r="Y83" s="864">
        <f t="shared" si="43"/>
        <v>3.0761352621664573E-2</v>
      </c>
      <c r="Z83" s="864">
        <f t="shared" si="43"/>
        <v>60520</v>
      </c>
      <c r="AA83" s="864">
        <f t="shared" si="43"/>
        <v>63066</v>
      </c>
      <c r="AB83" s="864">
        <f t="shared" si="43"/>
        <v>9207.3934493179768</v>
      </c>
      <c r="AC83" s="864">
        <f t="shared" si="43"/>
        <v>0</v>
      </c>
      <c r="AD83" s="864">
        <f t="shared" si="43"/>
        <v>0</v>
      </c>
      <c r="AE83" s="864">
        <f t="shared" si="43"/>
        <v>0</v>
      </c>
      <c r="AF83" s="864">
        <f t="shared" si="43"/>
        <v>10158.93258922015</v>
      </c>
      <c r="AG83" s="864">
        <f t="shared" si="43"/>
        <v>0</v>
      </c>
      <c r="AH83" s="864">
        <f t="shared" si="43"/>
        <v>0</v>
      </c>
      <c r="AI83" s="864">
        <f t="shared" si="43"/>
        <v>0</v>
      </c>
      <c r="AJ83" s="864">
        <f t="shared" si="43"/>
        <v>10240.699696520573</v>
      </c>
      <c r="AK83" s="864"/>
      <c r="AL83" s="864"/>
      <c r="AM83" s="864"/>
      <c r="AN83" s="864">
        <f t="shared" ref="AN83" si="44">(AN63+AN65+AN71)*(1-AN76)+AN77+AN80</f>
        <v>9908.8485233856154</v>
      </c>
      <c r="AO83" s="864"/>
      <c r="AP83" s="864"/>
      <c r="AQ83" s="864"/>
      <c r="AR83" s="924">
        <f t="shared" ref="AR83" si="45">(AR63+AR65+AR71)*(1-AR76)+AR77+AR80</f>
        <v>10343.399511632639</v>
      </c>
      <c r="AS83" s="864"/>
      <c r="AT83" s="864"/>
      <c r="AU83" s="864"/>
      <c r="AV83" s="864">
        <f t="shared" ref="AV83" si="46">(AV63+AV65+AV71)*(1-AV76)+AV77+AV80</f>
        <v>11700.590120346282</v>
      </c>
      <c r="AW83" s="864"/>
      <c r="AX83" s="864"/>
      <c r="AY83" s="864"/>
      <c r="AZ83" s="864">
        <f t="shared" ref="AZ83" si="47">(AZ63+AZ65+AZ71)*(1-AZ76)+AZ77+AZ80</f>
        <v>12802.810269028902</v>
      </c>
      <c r="BA83" s="864"/>
      <c r="BB83" s="864"/>
      <c r="BC83" s="864"/>
      <c r="BD83" s="864">
        <f t="shared" ref="BD83" si="48">(BD63+BD65+BD71)*(1-BD76)+BD77+BD80</f>
        <v>13748.814737821613</v>
      </c>
    </row>
    <row r="84" spans="3:56" x14ac:dyDescent="0.2">
      <c r="C84" s="2" t="s">
        <v>231</v>
      </c>
      <c r="D84" s="85">
        <f>D$40</f>
        <v>-52</v>
      </c>
      <c r="H84" s="85">
        <f>H$40</f>
        <v>-50</v>
      </c>
      <c r="L84" s="85">
        <f>L$40</f>
        <v>0</v>
      </c>
      <c r="P84" s="85">
        <f>P$40</f>
        <v>0</v>
      </c>
      <c r="T84" s="85">
        <f>T$40</f>
        <v>0</v>
      </c>
      <c r="X84" s="85">
        <f>X$40</f>
        <v>0</v>
      </c>
      <c r="Y84" s="85"/>
      <c r="Z84" s="85"/>
      <c r="AA84" s="85"/>
      <c r="AB84" s="85">
        <f>AB$40</f>
        <v>0</v>
      </c>
      <c r="AC84" s="85"/>
      <c r="AD84" s="85"/>
      <c r="AE84" s="85"/>
      <c r="AF84" s="85">
        <f>AF$40</f>
        <v>0</v>
      </c>
      <c r="AG84" s="85"/>
      <c r="AH84" s="85"/>
      <c r="AI84" s="85"/>
      <c r="AJ84" s="85">
        <f>AJ$40</f>
        <v>0</v>
      </c>
      <c r="AK84" s="85"/>
      <c r="AL84" s="85"/>
      <c r="AM84" s="85"/>
      <c r="AN84" s="85">
        <f>AN$40</f>
        <v>0</v>
      </c>
      <c r="AO84" s="85"/>
      <c r="AP84" s="85"/>
      <c r="AQ84" s="85"/>
      <c r="AR84" s="896">
        <f>AR$40</f>
        <v>0</v>
      </c>
      <c r="AS84" s="85"/>
      <c r="AT84" s="85"/>
      <c r="AU84" s="85"/>
      <c r="AV84" s="85">
        <f>AV$40</f>
        <v>0</v>
      </c>
      <c r="AW84" s="85"/>
      <c r="AX84" s="85"/>
      <c r="AY84" s="85"/>
      <c r="AZ84" s="85">
        <f>AZ$40</f>
        <v>0</v>
      </c>
      <c r="BA84" s="85"/>
      <c r="BB84" s="85"/>
      <c r="BC84" s="85"/>
      <c r="BD84" s="85">
        <f>BD$40</f>
        <v>0</v>
      </c>
    </row>
    <row r="85" spans="3:56" x14ac:dyDescent="0.2">
      <c r="C85" s="3" t="s">
        <v>232</v>
      </c>
      <c r="D85" s="864">
        <f>D$41</f>
        <v>9085</v>
      </c>
      <c r="E85" s="3"/>
      <c r="F85" s="3"/>
      <c r="G85" s="3"/>
      <c r="H85" s="864">
        <f>H$41</f>
        <v>9395</v>
      </c>
      <c r="I85" s="3"/>
      <c r="J85" s="3"/>
      <c r="K85" s="3"/>
      <c r="L85" s="864">
        <f t="shared" ref="L85:AJ85" si="49">L83</f>
        <v>10162.529750055297</v>
      </c>
      <c r="M85" s="3">
        <f t="shared" si="49"/>
        <v>0</v>
      </c>
      <c r="N85" s="3">
        <f t="shared" si="49"/>
        <v>273</v>
      </c>
      <c r="O85" s="3">
        <f t="shared" si="49"/>
        <v>224</v>
      </c>
      <c r="P85" s="864">
        <f t="shared" si="49"/>
        <v>9550.28393524284</v>
      </c>
      <c r="Q85" s="2">
        <f t="shared" si="49"/>
        <v>0</v>
      </c>
      <c r="R85" s="2">
        <f t="shared" si="49"/>
        <v>-4714</v>
      </c>
      <c r="S85" s="2">
        <f t="shared" si="49"/>
        <v>-4935</v>
      </c>
      <c r="T85" s="864">
        <f t="shared" si="49"/>
        <v>9197.6712826726671</v>
      </c>
      <c r="U85" s="864">
        <f t="shared" si="49"/>
        <v>0</v>
      </c>
      <c r="V85" s="864">
        <f t="shared" si="49"/>
        <v>-5105</v>
      </c>
      <c r="W85" s="864">
        <f t="shared" si="49"/>
        <v>-5248</v>
      </c>
      <c r="X85" s="864">
        <f t="shared" si="49"/>
        <v>7732.0439152922809</v>
      </c>
      <c r="Y85" s="864">
        <f t="shared" si="49"/>
        <v>3.0761352621664573E-2</v>
      </c>
      <c r="Z85" s="864">
        <f t="shared" si="49"/>
        <v>60520</v>
      </c>
      <c r="AA85" s="864">
        <f t="shared" si="49"/>
        <v>63066</v>
      </c>
      <c r="AB85" s="864">
        <f t="shared" si="49"/>
        <v>9207.3934493179768</v>
      </c>
      <c r="AC85" s="864">
        <f t="shared" si="49"/>
        <v>0</v>
      </c>
      <c r="AD85" s="864">
        <f t="shared" si="49"/>
        <v>0</v>
      </c>
      <c r="AE85" s="864">
        <f t="shared" si="49"/>
        <v>0</v>
      </c>
      <c r="AF85" s="864">
        <f t="shared" si="49"/>
        <v>10158.93258922015</v>
      </c>
      <c r="AG85" s="864">
        <f t="shared" si="49"/>
        <v>0</v>
      </c>
      <c r="AH85" s="864">
        <f t="shared" si="49"/>
        <v>0</v>
      </c>
      <c r="AI85" s="864">
        <f t="shared" si="49"/>
        <v>0</v>
      </c>
      <c r="AJ85" s="864">
        <f t="shared" si="49"/>
        <v>10240.699696520573</v>
      </c>
      <c r="AK85" s="864"/>
      <c r="AL85" s="864"/>
      <c r="AM85" s="864"/>
      <c r="AN85" s="864">
        <f t="shared" ref="AN85" si="50">AN83</f>
        <v>9908.8485233856154</v>
      </c>
      <c r="AO85" s="864"/>
      <c r="AP85" s="864"/>
      <c r="AQ85" s="864"/>
      <c r="AR85" s="924">
        <f t="shared" ref="AR85" si="51">AR83</f>
        <v>10343.399511632639</v>
      </c>
      <c r="AS85" s="864"/>
      <c r="AT85" s="864"/>
      <c r="AU85" s="864"/>
      <c r="AV85" s="864">
        <f>AV83</f>
        <v>11700.590120346282</v>
      </c>
      <c r="AW85" s="864"/>
      <c r="AX85" s="864"/>
      <c r="AY85" s="864"/>
      <c r="AZ85" s="864">
        <f>AZ83</f>
        <v>12802.810269028902</v>
      </c>
      <c r="BA85" s="864"/>
      <c r="BB85" s="864"/>
      <c r="BC85" s="864"/>
      <c r="BD85" s="864">
        <f>BD83</f>
        <v>13748.814737821613</v>
      </c>
    </row>
    <row r="86" spans="3:56" x14ac:dyDescent="0.2">
      <c r="C86" s="943" t="s">
        <v>947</v>
      </c>
      <c r="D86" s="950">
        <f>D$42</f>
        <v>1628.7954989563791</v>
      </c>
      <c r="E86" s="951"/>
      <c r="F86" s="951"/>
      <c r="G86" s="951"/>
      <c r="H86" s="950">
        <f>H$42</f>
        <v>1693</v>
      </c>
      <c r="I86" s="951"/>
      <c r="J86" s="951"/>
      <c r="K86" s="951"/>
      <c r="L86" s="950">
        <f>L$42</f>
        <v>1721</v>
      </c>
      <c r="M86" s="952"/>
      <c r="N86" s="952"/>
      <c r="O86" s="952"/>
      <c r="P86" s="950">
        <f>P$42</f>
        <v>1747</v>
      </c>
      <c r="Q86" s="953"/>
      <c r="R86" s="953"/>
      <c r="S86" s="953"/>
      <c r="T86" s="950">
        <f>T$42</f>
        <v>1766</v>
      </c>
      <c r="U86" s="953"/>
      <c r="V86" s="953"/>
      <c r="W86" s="953"/>
      <c r="X86" s="950">
        <f>X$42</f>
        <v>1769</v>
      </c>
      <c r="Y86" s="954"/>
      <c r="Z86" s="954"/>
      <c r="AA86" s="954"/>
      <c r="AB86" s="950">
        <f>AB$42</f>
        <v>1771</v>
      </c>
      <c r="AC86" s="950"/>
      <c r="AD86" s="950"/>
      <c r="AE86" s="950"/>
      <c r="AF86" s="950">
        <f>AF$42</f>
        <v>1722</v>
      </c>
      <c r="AG86" s="950"/>
      <c r="AH86" s="950"/>
      <c r="AI86" s="950"/>
      <c r="AJ86" s="950">
        <f>AJ$42</f>
        <v>1690</v>
      </c>
      <c r="AK86" s="950"/>
      <c r="AL86" s="950"/>
      <c r="AM86" s="950"/>
      <c r="AN86" s="950">
        <f>AN$42</f>
        <v>1673</v>
      </c>
      <c r="AO86" s="950"/>
      <c r="AP86" s="950"/>
      <c r="AQ86" s="950"/>
      <c r="AR86" s="955">
        <f>AR$42</f>
        <v>1672</v>
      </c>
      <c r="AS86" s="950"/>
      <c r="AT86" s="950"/>
      <c r="AU86" s="950"/>
      <c r="AV86" s="950">
        <f>AR86</f>
        <v>1672</v>
      </c>
      <c r="AW86" s="950"/>
      <c r="AX86" s="950"/>
      <c r="AY86" s="950"/>
      <c r="AZ86" s="950">
        <f>AV86</f>
        <v>1672</v>
      </c>
      <c r="BA86" s="950"/>
      <c r="BB86" s="950"/>
      <c r="BC86" s="950"/>
      <c r="BD86" s="950">
        <f>AZ86</f>
        <v>1672</v>
      </c>
    </row>
    <row r="87" spans="3:56" x14ac:dyDescent="0.2">
      <c r="C87" s="3" t="s">
        <v>38</v>
      </c>
      <c r="D87" s="851">
        <f>D$44</f>
        <v>557.77413467934116</v>
      </c>
      <c r="E87" s="3"/>
      <c r="F87" s="3"/>
      <c r="G87" s="3"/>
      <c r="H87" s="851">
        <f>H$44</f>
        <v>554.93207324276432</v>
      </c>
      <c r="I87" s="3"/>
      <c r="J87" s="3"/>
      <c r="K87" s="3"/>
      <c r="L87" s="851">
        <f>L$44</f>
        <v>574.14294015107487</v>
      </c>
      <c r="M87" s="3"/>
      <c r="N87" s="3"/>
      <c r="O87" s="3"/>
      <c r="P87" s="851">
        <f>P$44</f>
        <v>538.75214653692046</v>
      </c>
      <c r="T87" s="851">
        <f>T$44</f>
        <v>492.9784824462061</v>
      </c>
      <c r="X87" s="851">
        <f>X$44</f>
        <v>418.71113623516106</v>
      </c>
      <c r="Y87" s="851"/>
      <c r="Z87" s="851"/>
      <c r="AA87" s="851"/>
      <c r="AB87" s="851">
        <f>AB$44</f>
        <v>496.95087521174474</v>
      </c>
      <c r="AC87" s="851"/>
      <c r="AD87" s="851"/>
      <c r="AE87" s="851"/>
      <c r="AF87" s="851">
        <f>AF$44</f>
        <v>563.76306620209061</v>
      </c>
      <c r="AG87" s="851"/>
      <c r="AH87" s="851"/>
      <c r="AI87" s="851"/>
      <c r="AJ87" s="851">
        <f>AJ$44</f>
        <v>597.04142011834313</v>
      </c>
      <c r="AK87" s="851"/>
      <c r="AL87" s="851"/>
      <c r="AM87" s="851"/>
      <c r="AN87" s="851">
        <f>AN$44</f>
        <v>588.58338314405262</v>
      </c>
      <c r="AO87" s="851"/>
      <c r="AP87" s="851"/>
      <c r="AQ87" s="851"/>
      <c r="AR87" s="863">
        <f>AR$44</f>
        <v>613.21770334928237</v>
      </c>
      <c r="AS87" s="851"/>
      <c r="AT87" s="851"/>
      <c r="AU87" s="851"/>
      <c r="AV87" s="851">
        <f>+AV85/AV86*100</f>
        <v>699.7960598293231</v>
      </c>
      <c r="AW87" s="851"/>
      <c r="AX87" s="851"/>
      <c r="AY87" s="851"/>
      <c r="AZ87" s="851">
        <f>+AZ85/AZ86*100</f>
        <v>765.71831752565208</v>
      </c>
      <c r="BA87" s="851"/>
      <c r="BB87" s="851"/>
      <c r="BC87" s="851"/>
      <c r="BD87" s="851">
        <f>+BD85/BD86*100</f>
        <v>822.29753216636436</v>
      </c>
    </row>
    <row r="88" spans="3:56" x14ac:dyDescent="0.2">
      <c r="C88" s="926" t="s">
        <v>233</v>
      </c>
      <c r="D88" s="927">
        <f>D$45</f>
        <v>4.6398307205101519E-2</v>
      </c>
      <c r="E88" s="926"/>
      <c r="F88" s="926"/>
      <c r="G88" s="926"/>
      <c r="H88" s="927">
        <f>H$45</f>
        <v>-5.0953625488759924E-3</v>
      </c>
      <c r="I88" s="926"/>
      <c r="J88" s="926"/>
      <c r="K88" s="926"/>
      <c r="L88" s="927">
        <f>L$45</f>
        <v>1.5247456597724085E-2</v>
      </c>
      <c r="M88" s="926"/>
      <c r="N88" s="926"/>
      <c r="O88" s="926"/>
      <c r="P88" s="927">
        <f>P$45</f>
        <v>-9.4232557557415553E-2</v>
      </c>
      <c r="T88" s="927">
        <f>T$45</f>
        <v>-8.7865552985952222E-2</v>
      </c>
      <c r="X88" s="927">
        <f>X$45</f>
        <v>-0.12265673166608726</v>
      </c>
      <c r="Y88" s="928"/>
      <c r="Z88" s="928"/>
      <c r="AA88" s="928"/>
      <c r="AB88" s="927">
        <f>AB$45</f>
        <v>0.19631858318245032</v>
      </c>
      <c r="AC88" s="928"/>
      <c r="AD88" s="928"/>
      <c r="AE88" s="928"/>
      <c r="AF88" s="927">
        <f>AF$45</f>
        <v>0.14043138879918371</v>
      </c>
      <c r="AG88" s="928"/>
      <c r="AH88" s="928"/>
      <c r="AI88" s="928"/>
      <c r="AJ88" s="927">
        <f>AJ$45</f>
        <v>6.968560972855431E-2</v>
      </c>
      <c r="AK88" s="928"/>
      <c r="AL88" s="928"/>
      <c r="AM88" s="928"/>
      <c r="AN88" s="1397">
        <f>AN$45</f>
        <v>-1.3508002394712837E-2</v>
      </c>
      <c r="AO88" s="928"/>
      <c r="AP88" s="928"/>
      <c r="AQ88" s="928"/>
      <c r="AR88" s="929">
        <f>AR$45</f>
        <v>4.2916996639626781E-2</v>
      </c>
      <c r="AS88" s="928"/>
      <c r="AT88" s="928"/>
      <c r="AU88" s="928"/>
      <c r="AV88" s="927">
        <f>+AV87/AR87-1</f>
        <v>0.14118698140507946</v>
      </c>
      <c r="AW88" s="928"/>
      <c r="AX88" s="928"/>
      <c r="AY88" s="928"/>
      <c r="AZ88" s="927">
        <f>+AZ87/AV87-1</f>
        <v>9.4202098983533933E-2</v>
      </c>
      <c r="BA88" s="928"/>
      <c r="BB88" s="928"/>
      <c r="BC88" s="928"/>
      <c r="BD88" s="927">
        <f>+BD87/AZ87-1</f>
        <v>7.3890376324733609E-2</v>
      </c>
    </row>
    <row r="89" spans="3:56" x14ac:dyDescent="0.2">
      <c r="C89" s="2" t="s">
        <v>44</v>
      </c>
      <c r="H89" s="118" t="e">
        <f>H193/(H198*100)</f>
        <v>#DIV/0!</v>
      </c>
      <c r="I89" s="118" t="e">
        <f>I193/(I198*100)</f>
        <v>#DIV/0!</v>
      </c>
      <c r="J89" s="118" t="e">
        <f>J193/(J198*100)</f>
        <v>#DIV/0!</v>
      </c>
      <c r="K89" s="118" t="e">
        <f>K193/(K198*100)</f>
        <v>#DIV/0!</v>
      </c>
      <c r="L89" s="118">
        <f>L87/(L161*100)</f>
        <v>0.15736470387398563</v>
      </c>
      <c r="M89" s="118" t="e">
        <f t="shared" ref="M89:AQ89" si="52">M87/(M161*100)</f>
        <v>#DIV/0!</v>
      </c>
      <c r="N89" s="118" t="e">
        <f t="shared" si="52"/>
        <v>#DIV/0!</v>
      </c>
      <c r="O89" s="118" t="e">
        <f t="shared" si="52"/>
        <v>#DIV/0!</v>
      </c>
      <c r="P89" s="118">
        <f t="shared" si="52"/>
        <v>0.14077284021103229</v>
      </c>
      <c r="Q89" s="118" t="e">
        <f t="shared" si="52"/>
        <v>#DIV/0!</v>
      </c>
      <c r="R89" s="118" t="e">
        <f t="shared" si="52"/>
        <v>#DIV/0!</v>
      </c>
      <c r="S89" s="118" t="e">
        <f t="shared" si="52"/>
        <v>#DIV/0!</v>
      </c>
      <c r="T89" s="118">
        <f t="shared" si="52"/>
        <v>0.12531987100638742</v>
      </c>
      <c r="U89" s="118" t="e">
        <f t="shared" si="52"/>
        <v>#DIV/0!</v>
      </c>
      <c r="V89" s="118" t="e">
        <f t="shared" si="52"/>
        <v>#DIV/0!</v>
      </c>
      <c r="W89" s="118" t="e">
        <f t="shared" si="52"/>
        <v>#DIV/0!</v>
      </c>
      <c r="X89" s="118">
        <f t="shared" si="52"/>
        <v>0.10304296990037137</v>
      </c>
      <c r="Y89" s="118" t="e">
        <f t="shared" si="52"/>
        <v>#DIV/0!</v>
      </c>
      <c r="Z89" s="118" t="e">
        <f t="shared" si="52"/>
        <v>#DIV/0!</v>
      </c>
      <c r="AA89" s="118" t="e">
        <f t="shared" si="52"/>
        <v>#DIV/0!</v>
      </c>
      <c r="AB89" s="118">
        <f t="shared" si="52"/>
        <v>0.11200675411425233</v>
      </c>
      <c r="AC89" s="118" t="e">
        <f t="shared" si="52"/>
        <v>#DIV/0!</v>
      </c>
      <c r="AD89" s="118" t="e">
        <f t="shared" si="52"/>
        <v>#DIV/0!</v>
      </c>
      <c r="AE89" s="118" t="e">
        <f t="shared" si="52"/>
        <v>#DIV/0!</v>
      </c>
      <c r="AF89" s="131">
        <f t="shared" si="52"/>
        <v>0.13170740035796658</v>
      </c>
      <c r="AG89" s="118" t="e">
        <f t="shared" si="52"/>
        <v>#DIV/0!</v>
      </c>
      <c r="AH89" s="118" t="e">
        <f t="shared" si="52"/>
        <v>#DIV/0!</v>
      </c>
      <c r="AI89" s="118" t="e">
        <f t="shared" si="52"/>
        <v>#DIV/0!</v>
      </c>
      <c r="AJ89" s="131">
        <f t="shared" si="52"/>
        <v>0.13971387060446758</v>
      </c>
      <c r="AK89" s="118" t="e">
        <f t="shared" si="52"/>
        <v>#DIV/0!</v>
      </c>
      <c r="AL89" s="118" t="e">
        <f t="shared" si="52"/>
        <v>#DIV/0!</v>
      </c>
      <c r="AM89" s="118" t="e">
        <f t="shared" si="52"/>
        <v>#DIV/0!</v>
      </c>
      <c r="AN89" s="131">
        <f t="shared" si="52"/>
        <v>0.134774735808214</v>
      </c>
      <c r="AO89" s="118" t="e">
        <f t="shared" si="52"/>
        <v>#DIV/0!</v>
      </c>
      <c r="AP89" s="118" t="e">
        <f t="shared" si="52"/>
        <v>#DIV/0!</v>
      </c>
      <c r="AQ89" s="118" t="e">
        <f t="shared" si="52"/>
        <v>#DIV/0!</v>
      </c>
      <c r="AR89" s="860">
        <f t="shared" ref="AR89" si="53">AR87/(AR161*100)</f>
        <v>0.13026768861255134</v>
      </c>
      <c r="AS89" s="118" t="e">
        <f t="shared" ref="AS89:AU89" si="54">AS87/(AS161*100)</f>
        <v>#DIV/0!</v>
      </c>
      <c r="AT89" s="118" t="e">
        <f t="shared" si="54"/>
        <v>#DIV/0!</v>
      </c>
      <c r="AU89" s="118" t="e">
        <f t="shared" si="54"/>
        <v>#DIV/0!</v>
      </c>
      <c r="AV89" s="118">
        <f>AV87/(AV161*100)</f>
        <v>0.14838098859477139</v>
      </c>
      <c r="AW89" s="118"/>
      <c r="AX89" s="118"/>
      <c r="AY89" s="118"/>
      <c r="AZ89" s="118">
        <f ca="1">AZ87/(AZ161*100)</f>
        <v>0.15684966650971935</v>
      </c>
      <c r="BA89" s="118"/>
      <c r="BB89" s="118"/>
      <c r="BC89" s="118"/>
      <c r="BD89" s="118">
        <f ca="1">BD87/(BD161*100)</f>
        <v>0.1629935695314175</v>
      </c>
    </row>
    <row r="90" spans="3:56" x14ac:dyDescent="0.2">
      <c r="C90" s="1"/>
      <c r="D90" s="1"/>
      <c r="E90" s="1"/>
      <c r="F90" s="1"/>
      <c r="G90" s="1"/>
      <c r="H90" s="1"/>
      <c r="I90" s="1"/>
      <c r="J90" s="1"/>
      <c r="K90" s="1"/>
      <c r="L90" s="1"/>
      <c r="M90" s="1"/>
      <c r="N90" s="1"/>
      <c r="O90" s="1"/>
      <c r="P90" s="1"/>
      <c r="Q90" s="1"/>
      <c r="R90" s="1"/>
      <c r="S90" s="1"/>
      <c r="T90" s="1"/>
      <c r="U90" s="1"/>
      <c r="V90" s="1"/>
      <c r="W90" s="1"/>
      <c r="X90" s="1"/>
      <c r="Y90" s="1"/>
      <c r="Z90" s="1"/>
      <c r="AA90" s="1"/>
      <c r="AB90" s="1"/>
      <c r="AC90" s="1"/>
      <c r="AD90" s="1"/>
      <c r="AE90" s="1"/>
      <c r="AF90" s="1"/>
      <c r="AG90" s="1"/>
      <c r="AH90" s="1"/>
      <c r="AI90" s="1"/>
      <c r="AJ90" s="1"/>
      <c r="AK90" s="1"/>
      <c r="AL90" s="1"/>
      <c r="AM90" s="1"/>
      <c r="AN90" s="1"/>
      <c r="AO90" s="1"/>
      <c r="AP90" s="1"/>
      <c r="AQ90" s="1"/>
      <c r="AR90" s="868"/>
      <c r="AS90" s="1"/>
      <c r="AT90" s="1"/>
      <c r="AU90" s="1"/>
      <c r="AV90" s="1"/>
      <c r="AW90" s="1"/>
      <c r="AX90" s="1"/>
      <c r="AY90" s="1"/>
      <c r="AZ90" s="1"/>
      <c r="BA90" s="1"/>
      <c r="BB90" s="1"/>
      <c r="BC90" s="1"/>
      <c r="BD90" s="1"/>
    </row>
    <row r="91" spans="3:56" x14ac:dyDescent="0.2">
      <c r="C91" s="78"/>
      <c r="D91" s="858">
        <f>MODEL!BR80</f>
        <v>0</v>
      </c>
      <c r="E91" s="78"/>
      <c r="F91" s="78"/>
      <c r="G91" s="78"/>
      <c r="H91" s="858" t="str">
        <f>H$2</f>
        <v>FY16</v>
      </c>
      <c r="I91" s="78"/>
      <c r="J91" s="78"/>
      <c r="K91" s="78"/>
      <c r="L91" s="858" t="str">
        <f>L$2</f>
        <v>FY17</v>
      </c>
      <c r="M91" s="78"/>
      <c r="N91" s="78"/>
      <c r="O91" s="78"/>
      <c r="P91" s="858" t="str">
        <f>P$2</f>
        <v>FY18</v>
      </c>
      <c r="T91" s="858" t="str">
        <f>T$2</f>
        <v>FY19</v>
      </c>
      <c r="X91" s="858" t="str">
        <f>X$2</f>
        <v>FY20</v>
      </c>
      <c r="Y91" s="852"/>
      <c r="Z91" s="852"/>
      <c r="AA91" s="852"/>
      <c r="AB91" s="858" t="str">
        <f>AB$2</f>
        <v>FY21</v>
      </c>
      <c r="AC91" s="852"/>
      <c r="AD91" s="852"/>
      <c r="AE91" s="852"/>
      <c r="AF91" s="858" t="str">
        <f>AF$2</f>
        <v>FY22</v>
      </c>
      <c r="AG91" s="852"/>
      <c r="AH91" s="852"/>
      <c r="AI91" s="852"/>
      <c r="AJ91" s="858" t="str">
        <f>AJ$2</f>
        <v>FY23</v>
      </c>
      <c r="AK91" s="852"/>
      <c r="AL91" s="852"/>
      <c r="AM91" s="852"/>
      <c r="AN91" s="858" t="str">
        <f>AN$2</f>
        <v>FY24</v>
      </c>
      <c r="AO91" s="852"/>
      <c r="AP91" s="852"/>
      <c r="AQ91" s="852"/>
      <c r="AR91" s="859" t="str">
        <f>AR$2</f>
        <v>FY25</v>
      </c>
      <c r="AS91" s="852"/>
      <c r="AT91" s="852"/>
      <c r="AU91" s="852"/>
      <c r="AV91" s="858" t="str">
        <f>AV$2</f>
        <v>FY26E</v>
      </c>
      <c r="AW91" s="852"/>
      <c r="AX91" s="852"/>
      <c r="AY91" s="852"/>
      <c r="AZ91" s="858" t="str">
        <f>AZ$2</f>
        <v>FY27E</v>
      </c>
      <c r="BA91" s="852"/>
      <c r="BB91" s="852"/>
      <c r="BC91" s="852"/>
      <c r="BD91" s="858" t="str">
        <f>BD$2</f>
        <v>FY28E</v>
      </c>
    </row>
    <row r="92" spans="3:56" x14ac:dyDescent="0.2">
      <c r="C92" s="956" t="s">
        <v>693</v>
      </c>
      <c r="D92" s="956"/>
      <c r="E92" s="956"/>
      <c r="F92" s="956"/>
      <c r="G92" s="956"/>
      <c r="H92" s="957"/>
      <c r="I92" s="956"/>
      <c r="J92" s="956"/>
      <c r="K92" s="956"/>
      <c r="L92" s="957"/>
      <c r="M92" s="956"/>
      <c r="N92" s="956"/>
      <c r="O92" s="956"/>
      <c r="P92" s="958"/>
      <c r="Q92" s="90"/>
      <c r="T92" s="957"/>
      <c r="X92" s="957"/>
      <c r="Y92" s="957"/>
      <c r="Z92" s="957"/>
      <c r="AA92" s="957"/>
      <c r="AB92" s="957"/>
      <c r="AC92" s="957"/>
      <c r="AD92" s="957"/>
      <c r="AE92" s="957"/>
      <c r="AF92" s="957"/>
      <c r="AG92" s="957"/>
      <c r="AH92" s="957"/>
      <c r="AI92" s="957"/>
      <c r="AJ92" s="957"/>
      <c r="AK92" s="957"/>
      <c r="AL92" s="957"/>
      <c r="AM92" s="957"/>
      <c r="AN92" s="957"/>
      <c r="AO92" s="957"/>
      <c r="AP92" s="957"/>
      <c r="AQ92" s="957"/>
      <c r="AR92" s="958"/>
      <c r="AS92" s="957"/>
      <c r="AT92" s="957"/>
      <c r="AU92" s="957"/>
      <c r="AV92" s="957"/>
      <c r="AW92" s="957"/>
      <c r="AX92" s="957"/>
      <c r="AY92" s="957"/>
      <c r="AZ92" s="957"/>
      <c r="BA92" s="957"/>
      <c r="BB92" s="957"/>
      <c r="BC92" s="957"/>
      <c r="BD92" s="957"/>
    </row>
    <row r="93" spans="3:56" x14ac:dyDescent="0.2">
      <c r="C93" s="90" t="str">
        <f>C63</f>
        <v>Total Income</v>
      </c>
      <c r="D93" s="91">
        <f t="shared" ref="D93:P93" si="55">D63/D$18-1</f>
        <v>0</v>
      </c>
      <c r="E93" s="91" t="e">
        <f t="shared" si="55"/>
        <v>#DIV/0!</v>
      </c>
      <c r="F93" s="91" t="e">
        <f t="shared" si="55"/>
        <v>#DIV/0!</v>
      </c>
      <c r="G93" s="91" t="e">
        <f t="shared" si="55"/>
        <v>#DIV/0!</v>
      </c>
      <c r="H93" s="91">
        <f t="shared" si="55"/>
        <v>0</v>
      </c>
      <c r="I93" s="91" t="e">
        <f t="shared" si="55"/>
        <v>#DIV/0!</v>
      </c>
      <c r="J93" s="91" t="e">
        <f t="shared" si="55"/>
        <v>#DIV/0!</v>
      </c>
      <c r="K93" s="91" t="e">
        <f t="shared" si="55"/>
        <v>#DIV/0!</v>
      </c>
      <c r="L93" s="91">
        <f t="shared" si="55"/>
        <v>0</v>
      </c>
      <c r="M93" s="91" t="e">
        <f t="shared" si="55"/>
        <v>#DIV/0!</v>
      </c>
      <c r="N93" s="91" t="e">
        <f t="shared" si="55"/>
        <v>#DIV/0!</v>
      </c>
      <c r="O93" s="91" t="e">
        <f t="shared" si="55"/>
        <v>#DIV/0!</v>
      </c>
      <c r="P93" s="898">
        <f t="shared" si="55"/>
        <v>0</v>
      </c>
      <c r="Q93" s="90"/>
      <c r="T93" s="898">
        <f>T63/T$18-1</f>
        <v>0</v>
      </c>
      <c r="X93" s="898">
        <f>X63/X$18-1</f>
        <v>0</v>
      </c>
      <c r="Y93" s="898"/>
      <c r="Z93" s="898"/>
      <c r="AA93" s="898"/>
      <c r="AB93" s="898">
        <f>AB63/AB$18-1</f>
        <v>0</v>
      </c>
      <c r="AC93" s="898"/>
      <c r="AD93" s="898"/>
      <c r="AE93" s="898"/>
      <c r="AF93" s="898">
        <f>AF63/AF$18-1</f>
        <v>0</v>
      </c>
      <c r="AG93" s="91"/>
      <c r="AH93" s="91"/>
      <c r="AI93" s="91"/>
      <c r="AJ93" s="898">
        <f>AJ63/AJ$18-1</f>
        <v>0</v>
      </c>
      <c r="AK93" s="91"/>
      <c r="AL93" s="91"/>
      <c r="AM93" s="91"/>
      <c r="AN93" s="898">
        <f>AN63/AN$18-1</f>
        <v>0</v>
      </c>
      <c r="AO93" s="91"/>
      <c r="AP93" s="91"/>
      <c r="AQ93" s="91"/>
      <c r="AR93" s="899">
        <f>AR63/AR$18-1</f>
        <v>0</v>
      </c>
      <c r="AS93" s="91"/>
      <c r="AT93" s="91"/>
      <c r="AU93" s="91"/>
      <c r="AV93" s="91">
        <f>AV63/AV$18-1</f>
        <v>1.6875571598471195E-2</v>
      </c>
      <c r="AW93" s="91"/>
      <c r="AX93" s="91"/>
      <c r="AY93" s="91"/>
      <c r="AZ93" s="91">
        <f>AZ63/AZ$18-1</f>
        <v>3.0837626484562897E-2</v>
      </c>
      <c r="BA93" s="91"/>
      <c r="BB93" s="91"/>
      <c r="BC93" s="91"/>
      <c r="BD93" s="91">
        <f>BD63/BD$18-1</f>
        <v>4.9906040549866582E-2</v>
      </c>
    </row>
    <row r="94" spans="3:56" x14ac:dyDescent="0.2">
      <c r="C94" s="90" t="s">
        <v>940</v>
      </c>
      <c r="D94" s="959">
        <f t="shared" ref="D94:P94" si="56">(D59-D$13)*10000</f>
        <v>0</v>
      </c>
      <c r="E94" s="959">
        <f t="shared" si="56"/>
        <v>0</v>
      </c>
      <c r="F94" s="959">
        <f t="shared" si="56"/>
        <v>0</v>
      </c>
      <c r="G94" s="959">
        <f t="shared" si="56"/>
        <v>0</v>
      </c>
      <c r="H94" s="959">
        <f t="shared" si="56"/>
        <v>0</v>
      </c>
      <c r="I94" s="959">
        <f t="shared" si="56"/>
        <v>0</v>
      </c>
      <c r="J94" s="959">
        <f t="shared" si="56"/>
        <v>0</v>
      </c>
      <c r="K94" s="959">
        <f t="shared" si="56"/>
        <v>0</v>
      </c>
      <c r="L94" s="959">
        <f t="shared" si="56"/>
        <v>0</v>
      </c>
      <c r="M94" s="959">
        <f t="shared" si="56"/>
        <v>0</v>
      </c>
      <c r="N94" s="959">
        <f t="shared" si="56"/>
        <v>0</v>
      </c>
      <c r="O94" s="959">
        <f t="shared" si="56"/>
        <v>0</v>
      </c>
      <c r="P94" s="959">
        <f t="shared" si="56"/>
        <v>0</v>
      </c>
      <c r="Q94" s="90"/>
      <c r="T94" s="959">
        <f>(T59-T$13)*10000</f>
        <v>0</v>
      </c>
      <c r="X94" s="959">
        <f>(X59-X$13)*10000</f>
        <v>0</v>
      </c>
      <c r="Y94" s="959"/>
      <c r="Z94" s="959"/>
      <c r="AA94" s="959"/>
      <c r="AB94" s="959">
        <f>(AB59-AB$13)*10000</f>
        <v>0</v>
      </c>
      <c r="AC94" s="959"/>
      <c r="AD94" s="959"/>
      <c r="AE94" s="959"/>
      <c r="AF94" s="959">
        <f>(AF59-AF$13)*10000</f>
        <v>0</v>
      </c>
      <c r="AG94" s="959"/>
      <c r="AH94" s="959"/>
      <c r="AI94" s="959"/>
      <c r="AJ94" s="959">
        <f>(AJ59-AJ$13)*10000</f>
        <v>0</v>
      </c>
      <c r="AK94" s="959"/>
      <c r="AL94" s="959"/>
      <c r="AM94" s="959"/>
      <c r="AN94" s="959">
        <f>(AN59-AN$13)*10000</f>
        <v>0</v>
      </c>
      <c r="AO94" s="959"/>
      <c r="AP94" s="959"/>
      <c r="AQ94" s="959"/>
      <c r="AR94" s="960">
        <f>(AR59-AR$13)*10000</f>
        <v>0</v>
      </c>
      <c r="AS94" s="959"/>
      <c r="AT94" s="959"/>
      <c r="AU94" s="959"/>
      <c r="AV94" s="959">
        <f>(AV59-AV$13)*10000</f>
        <v>2.3988215887232531</v>
      </c>
      <c r="AW94" s="959"/>
      <c r="AX94" s="959"/>
      <c r="AY94" s="959"/>
      <c r="AZ94" s="959">
        <f>(AZ59-AZ$13)*10000</f>
        <v>4.4034818675996874</v>
      </c>
      <c r="BA94" s="959"/>
      <c r="BB94" s="959"/>
      <c r="BC94" s="959"/>
      <c r="BD94" s="959">
        <f>(BD59-BD$13)*10000</f>
        <v>6.3916200438515762</v>
      </c>
    </row>
    <row r="95" spans="3:56" x14ac:dyDescent="0.2">
      <c r="C95" s="90" t="str">
        <f>C68</f>
        <v>Expenses</v>
      </c>
      <c r="D95" s="91">
        <f t="shared" ref="D95:P95" si="57">+D68/D$24-1</f>
        <v>0</v>
      </c>
      <c r="E95" s="91" t="e">
        <f t="shared" si="57"/>
        <v>#DIV/0!</v>
      </c>
      <c r="F95" s="91" t="e">
        <f t="shared" si="57"/>
        <v>#DIV/0!</v>
      </c>
      <c r="G95" s="91" t="e">
        <f t="shared" si="57"/>
        <v>#DIV/0!</v>
      </c>
      <c r="H95" s="91">
        <f t="shared" si="57"/>
        <v>0</v>
      </c>
      <c r="I95" s="91" t="e">
        <f t="shared" si="57"/>
        <v>#DIV/0!</v>
      </c>
      <c r="J95" s="91" t="e">
        <f t="shared" si="57"/>
        <v>#DIV/0!</v>
      </c>
      <c r="K95" s="91" t="e">
        <f t="shared" si="57"/>
        <v>#DIV/0!</v>
      </c>
      <c r="L95" s="91">
        <f t="shared" si="57"/>
        <v>0</v>
      </c>
      <c r="M95" s="91" t="e">
        <f t="shared" si="57"/>
        <v>#DIV/0!</v>
      </c>
      <c r="N95" s="91" t="e">
        <f t="shared" si="57"/>
        <v>#DIV/0!</v>
      </c>
      <c r="O95" s="91" t="e">
        <f t="shared" si="57"/>
        <v>#DIV/0!</v>
      </c>
      <c r="P95" s="898">
        <f t="shared" si="57"/>
        <v>0</v>
      </c>
      <c r="Q95" s="90"/>
      <c r="T95" s="898">
        <f>+T68/T$24-1</f>
        <v>0</v>
      </c>
      <c r="X95" s="898">
        <f>+X68/X$24-1</f>
        <v>0</v>
      </c>
      <c r="Y95" s="898"/>
      <c r="Z95" s="898"/>
      <c r="AA95" s="898"/>
      <c r="AB95" s="898">
        <f>+AB68/AB$24-1</f>
        <v>0</v>
      </c>
      <c r="AC95" s="898"/>
      <c r="AD95" s="898"/>
      <c r="AE95" s="898"/>
      <c r="AF95" s="898">
        <f>+AF68/AF$24-1</f>
        <v>0</v>
      </c>
      <c r="AG95" s="91"/>
      <c r="AH95" s="91"/>
      <c r="AI95" s="91"/>
      <c r="AJ95" s="898">
        <f>+AJ68/AJ$24-1</f>
        <v>0</v>
      </c>
      <c r="AK95" s="91"/>
      <c r="AL95" s="91"/>
      <c r="AM95" s="91"/>
      <c r="AN95" s="898">
        <f>+AN68/AN$24-1</f>
        <v>0</v>
      </c>
      <c r="AO95" s="91"/>
      <c r="AP95" s="91"/>
      <c r="AQ95" s="91"/>
      <c r="AR95" s="899">
        <f>+AR68/AR$24-1</f>
        <v>0</v>
      </c>
      <c r="AS95" s="91"/>
      <c r="AT95" s="91"/>
      <c r="AU95" s="91"/>
      <c r="AV95" s="91">
        <f>+AV68/AV$24-1</f>
        <v>-5.8157481564267144E-3</v>
      </c>
      <c r="AW95" s="91"/>
      <c r="AX95" s="91"/>
      <c r="AY95" s="91"/>
      <c r="AZ95" s="91">
        <f>+AZ68/AZ$24-1</f>
        <v>-7.6512785215329115E-3</v>
      </c>
      <c r="BA95" s="91"/>
      <c r="BB95" s="91"/>
      <c r="BC95" s="91"/>
      <c r="BD95" s="91">
        <f>+BD68/BD$24-1</f>
        <v>-1.4946342887001141E-2</v>
      </c>
    </row>
    <row r="96" spans="3:56" x14ac:dyDescent="0.2">
      <c r="C96" s="853" t="str">
        <f>C70</f>
        <v>Pre Provision Profit</v>
      </c>
      <c r="D96" s="854">
        <f t="shared" ref="D96:P96" si="58">+D70/D$26-1</f>
        <v>0</v>
      </c>
      <c r="E96" s="854" t="e">
        <f t="shared" si="58"/>
        <v>#DIV/0!</v>
      </c>
      <c r="F96" s="854" t="e">
        <f t="shared" si="58"/>
        <v>#DIV/0!</v>
      </c>
      <c r="G96" s="854" t="e">
        <f t="shared" si="58"/>
        <v>#DIV/0!</v>
      </c>
      <c r="H96" s="854">
        <f t="shared" si="58"/>
        <v>0</v>
      </c>
      <c r="I96" s="854" t="e">
        <f t="shared" si="58"/>
        <v>#DIV/0!</v>
      </c>
      <c r="J96" s="854" t="e">
        <f t="shared" si="58"/>
        <v>#DIV/0!</v>
      </c>
      <c r="K96" s="854" t="e">
        <f t="shared" si="58"/>
        <v>#DIV/0!</v>
      </c>
      <c r="L96" s="854">
        <f t="shared" si="58"/>
        <v>0</v>
      </c>
      <c r="M96" s="854" t="e">
        <f t="shared" si="58"/>
        <v>#DIV/0!</v>
      </c>
      <c r="N96" s="854" t="e">
        <f t="shared" si="58"/>
        <v>#DIV/0!</v>
      </c>
      <c r="O96" s="854" t="e">
        <f t="shared" si="58"/>
        <v>#DIV/0!</v>
      </c>
      <c r="P96" s="857">
        <f t="shared" si="58"/>
        <v>0</v>
      </c>
      <c r="Q96" s="853"/>
      <c r="R96" s="3"/>
      <c r="S96" s="3"/>
      <c r="T96" s="857">
        <f>+T70/T$26-1</f>
        <v>0</v>
      </c>
      <c r="U96" s="3"/>
      <c r="V96" s="3"/>
      <c r="W96" s="3"/>
      <c r="X96" s="857">
        <f>+X70/X$26-1</f>
        <v>0</v>
      </c>
      <c r="Y96" s="857"/>
      <c r="Z96" s="857"/>
      <c r="AA96" s="857"/>
      <c r="AB96" s="857">
        <f>+AB70/AB$26-1</f>
        <v>0</v>
      </c>
      <c r="AC96" s="857"/>
      <c r="AD96" s="857"/>
      <c r="AE96" s="857"/>
      <c r="AF96" s="857">
        <f>+AF70/AF$26-1</f>
        <v>0</v>
      </c>
      <c r="AG96" s="854"/>
      <c r="AH96" s="854"/>
      <c r="AI96" s="854"/>
      <c r="AJ96" s="857">
        <f>+AJ70/AJ$26-1</f>
        <v>0</v>
      </c>
      <c r="AK96" s="854"/>
      <c r="AL96" s="854"/>
      <c r="AM96" s="854"/>
      <c r="AN96" s="857">
        <f>+AN70/AN$26-1</f>
        <v>0</v>
      </c>
      <c r="AO96" s="854"/>
      <c r="AP96" s="854"/>
      <c r="AQ96" s="854"/>
      <c r="AR96" s="961">
        <f>+AR70/AR$26-1</f>
        <v>0</v>
      </c>
      <c r="AS96" s="854"/>
      <c r="AT96" s="854"/>
      <c r="AU96" s="854"/>
      <c r="AV96" s="854">
        <f>+AV70/AV$26-1</f>
        <v>3.561792316753154E-2</v>
      </c>
      <c r="AW96" s="854"/>
      <c r="AX96" s="854"/>
      <c r="AY96" s="854"/>
      <c r="AZ96" s="854">
        <f>+AZ70/AZ$26-1</f>
        <v>6.1035846571996011E-2</v>
      </c>
      <c r="BA96" s="854"/>
      <c r="BB96" s="854"/>
      <c r="BC96" s="854"/>
      <c r="BD96" s="854">
        <f>+BD70/BD$26-1</f>
        <v>0.10077279895887514</v>
      </c>
    </row>
    <row r="97" spans="3:56" x14ac:dyDescent="0.2">
      <c r="C97" s="90" t="str">
        <f>C71</f>
        <v>Impairment Charge</v>
      </c>
      <c r="D97" s="91">
        <f t="shared" ref="D97:P97" si="59">+D71/D$27-1</f>
        <v>0</v>
      </c>
      <c r="E97" s="91" t="e">
        <f t="shared" si="59"/>
        <v>#DIV/0!</v>
      </c>
      <c r="F97" s="91" t="e">
        <f t="shared" si="59"/>
        <v>#DIV/0!</v>
      </c>
      <c r="G97" s="91" t="e">
        <f t="shared" si="59"/>
        <v>#DIV/0!</v>
      </c>
      <c r="H97" s="91">
        <f t="shared" si="59"/>
        <v>0</v>
      </c>
      <c r="I97" s="91" t="e">
        <f t="shared" si="59"/>
        <v>#DIV/0!</v>
      </c>
      <c r="J97" s="91" t="e">
        <f t="shared" si="59"/>
        <v>#DIV/0!</v>
      </c>
      <c r="K97" s="91" t="e">
        <f t="shared" si="59"/>
        <v>#DIV/0!</v>
      </c>
      <c r="L97" s="91">
        <f t="shared" si="59"/>
        <v>0</v>
      </c>
      <c r="M97" s="91" t="e">
        <f t="shared" si="59"/>
        <v>#DIV/0!</v>
      </c>
      <c r="N97" s="91" t="e">
        <f t="shared" si="59"/>
        <v>#DIV/0!</v>
      </c>
      <c r="O97" s="91" t="e">
        <f t="shared" si="59"/>
        <v>#DIV/0!</v>
      </c>
      <c r="P97" s="898">
        <f t="shared" si="59"/>
        <v>0</v>
      </c>
      <c r="Q97" s="90"/>
      <c r="T97" s="898">
        <f>+T71/T$27-1</f>
        <v>0</v>
      </c>
      <c r="X97" s="898">
        <f>+X71/X$27-1</f>
        <v>0</v>
      </c>
      <c r="Y97" s="898"/>
      <c r="Z97" s="898"/>
      <c r="AA97" s="898"/>
      <c r="AB97" s="898">
        <f>+AB71/AB$27-1</f>
        <v>0</v>
      </c>
      <c r="AC97" s="898"/>
      <c r="AD97" s="898"/>
      <c r="AE97" s="898"/>
      <c r="AF97" s="898">
        <f>+AF71/AF$27-1</f>
        <v>0</v>
      </c>
      <c r="AG97" s="91"/>
      <c r="AH97" s="91"/>
      <c r="AI97" s="91"/>
      <c r="AJ97" s="898">
        <f>+AJ71/AJ$27-1</f>
        <v>0</v>
      </c>
      <c r="AK97" s="91"/>
      <c r="AL97" s="91"/>
      <c r="AM97" s="91"/>
      <c r="AN97" s="898">
        <f>+AN71/AN$27-1</f>
        <v>0</v>
      </c>
      <c r="AO97" s="91"/>
      <c r="AP97" s="91"/>
      <c r="AQ97" s="91"/>
      <c r="AR97" s="899">
        <f>+AR71/AR$27-1</f>
        <v>0</v>
      </c>
      <c r="AS97" s="91"/>
      <c r="AT97" s="91"/>
      <c r="AU97" s="91"/>
      <c r="AV97" s="91">
        <f>+AV71/AV$27-1</f>
        <v>-0.12187476439440625</v>
      </c>
      <c r="AW97" s="91"/>
      <c r="AX97" s="91"/>
      <c r="AY97" s="91"/>
      <c r="AZ97" s="91">
        <f>+AZ71/AZ$27-1</f>
        <v>-0.26513297412042469</v>
      </c>
      <c r="BA97" s="91"/>
      <c r="BB97" s="91"/>
      <c r="BC97" s="91"/>
      <c r="BD97" s="91">
        <f>+BD71/BD$27-1</f>
        <v>-0.16219848597009623</v>
      </c>
    </row>
    <row r="98" spans="3:56" x14ac:dyDescent="0.2">
      <c r="C98" s="90" t="s">
        <v>944</v>
      </c>
      <c r="D98" s="959">
        <f t="shared" ref="D98:P98" si="60">(D72-D$28)*10000</f>
        <v>0</v>
      </c>
      <c r="E98" s="959">
        <f t="shared" si="60"/>
        <v>0</v>
      </c>
      <c r="F98" s="959">
        <f t="shared" si="60"/>
        <v>0</v>
      </c>
      <c r="G98" s="959">
        <f t="shared" si="60"/>
        <v>0</v>
      </c>
      <c r="H98" s="959">
        <f t="shared" si="60"/>
        <v>0</v>
      </c>
      <c r="I98" s="959">
        <f t="shared" si="60"/>
        <v>0</v>
      </c>
      <c r="J98" s="959">
        <f t="shared" si="60"/>
        <v>0</v>
      </c>
      <c r="K98" s="959">
        <f t="shared" si="60"/>
        <v>0</v>
      </c>
      <c r="L98" s="959">
        <f t="shared" si="60"/>
        <v>0</v>
      </c>
      <c r="M98" s="959">
        <f t="shared" si="60"/>
        <v>0</v>
      </c>
      <c r="N98" s="959">
        <f t="shared" si="60"/>
        <v>0</v>
      </c>
      <c r="O98" s="959">
        <f t="shared" si="60"/>
        <v>0</v>
      </c>
      <c r="P98" s="959">
        <f t="shared" si="60"/>
        <v>0</v>
      </c>
      <c r="Q98" s="90"/>
      <c r="T98" s="959">
        <f>(T72-T$28)*10000</f>
        <v>0</v>
      </c>
      <c r="X98" s="959">
        <f>(X72-X$28)*10000</f>
        <v>0</v>
      </c>
      <c r="Y98" s="959"/>
      <c r="Z98" s="959"/>
      <c r="AA98" s="959"/>
      <c r="AB98" s="959">
        <f>(AB72-AB$28)*10000</f>
        <v>0</v>
      </c>
      <c r="AC98" s="959"/>
      <c r="AD98" s="959"/>
      <c r="AE98" s="959"/>
      <c r="AF98" s="959">
        <f>(AF72-AF$28)*10000</f>
        <v>0</v>
      </c>
      <c r="AG98" s="959"/>
      <c r="AH98" s="959"/>
      <c r="AI98" s="959"/>
      <c r="AJ98" s="959">
        <f>(AJ72-AJ$28)*10000</f>
        <v>0</v>
      </c>
      <c r="AK98" s="959"/>
      <c r="AL98" s="959"/>
      <c r="AM98" s="959"/>
      <c r="AN98" s="959">
        <f>(AN72-AN$28)*10000</f>
        <v>0</v>
      </c>
      <c r="AO98" s="959"/>
      <c r="AP98" s="959"/>
      <c r="AQ98" s="959"/>
      <c r="AR98" s="960">
        <f>(AR72-AR$28)*10000</f>
        <v>0</v>
      </c>
      <c r="AS98" s="959"/>
      <c r="AT98" s="959"/>
      <c r="AU98" s="959"/>
      <c r="AV98" s="959">
        <f>(AV72-AV$28)*10000</f>
        <v>-0.9056896062600438</v>
      </c>
      <c r="AW98" s="959"/>
      <c r="AX98" s="959"/>
      <c r="AY98" s="959"/>
      <c r="AZ98" s="959">
        <f>(AZ72-AZ$28)*10000</f>
        <v>-2.6090031201751742</v>
      </c>
      <c r="BA98" s="959"/>
      <c r="BB98" s="959"/>
      <c r="BC98" s="959"/>
      <c r="BD98" s="959">
        <f>(BD72-BD$28)*10000</f>
        <v>-1.8768048945446509</v>
      </c>
    </row>
    <row r="99" spans="3:56" x14ac:dyDescent="0.2">
      <c r="C99" s="962" t="str">
        <f>C78</f>
        <v>Continuing Cash Profit</v>
      </c>
      <c r="D99" s="963">
        <f t="shared" ref="D99:P99" si="61">D78/D$34-1</f>
        <v>0</v>
      </c>
      <c r="E99" s="963" t="e">
        <f t="shared" si="61"/>
        <v>#DIV/0!</v>
      </c>
      <c r="F99" s="963" t="e">
        <f t="shared" si="61"/>
        <v>#DIV/0!</v>
      </c>
      <c r="G99" s="963" t="e">
        <f t="shared" si="61"/>
        <v>#DIV/0!</v>
      </c>
      <c r="H99" s="963">
        <f t="shared" si="61"/>
        <v>0</v>
      </c>
      <c r="I99" s="963" t="e">
        <f t="shared" si="61"/>
        <v>#DIV/0!</v>
      </c>
      <c r="J99" s="963" t="e">
        <f t="shared" si="61"/>
        <v>#DIV/0!</v>
      </c>
      <c r="K99" s="963" t="e">
        <f t="shared" si="61"/>
        <v>#DIV/0!</v>
      </c>
      <c r="L99" s="963">
        <f t="shared" si="61"/>
        <v>0</v>
      </c>
      <c r="M99" s="963" t="e">
        <f t="shared" si="61"/>
        <v>#DIV/0!</v>
      </c>
      <c r="N99" s="963" t="e">
        <f t="shared" si="61"/>
        <v>#DIV/0!</v>
      </c>
      <c r="O99" s="963" t="e">
        <f t="shared" si="61"/>
        <v>#DIV/0!</v>
      </c>
      <c r="P99" s="963">
        <f t="shared" si="61"/>
        <v>0</v>
      </c>
      <c r="Q99" s="964"/>
      <c r="R99" s="965"/>
      <c r="S99" s="965"/>
      <c r="T99" s="963">
        <f>T78/T$34-1</f>
        <v>0</v>
      </c>
      <c r="U99" s="965"/>
      <c r="V99" s="965"/>
      <c r="W99" s="965"/>
      <c r="X99" s="963">
        <f>X78/X$34-1</f>
        <v>0</v>
      </c>
      <c r="Y99" s="963"/>
      <c r="Z99" s="963"/>
      <c r="AA99" s="963"/>
      <c r="AB99" s="963">
        <f>AB78/AB$34-1</f>
        <v>0</v>
      </c>
      <c r="AC99" s="963"/>
      <c r="AD99" s="963"/>
      <c r="AE99" s="963"/>
      <c r="AF99" s="963">
        <f>AF78/AF$34-1</f>
        <v>0</v>
      </c>
      <c r="AG99" s="963"/>
      <c r="AH99" s="963"/>
      <c r="AI99" s="963"/>
      <c r="AJ99" s="963">
        <f>AJ78/AJ$34-1</f>
        <v>0</v>
      </c>
      <c r="AK99" s="963"/>
      <c r="AL99" s="963"/>
      <c r="AM99" s="963"/>
      <c r="AN99" s="963">
        <f>AN78/AN$34-1</f>
        <v>0</v>
      </c>
      <c r="AO99" s="963"/>
      <c r="AP99" s="963"/>
      <c r="AQ99" s="963"/>
      <c r="AR99" s="966">
        <f>AR78/AR$34-1</f>
        <v>0</v>
      </c>
      <c r="AS99" s="963"/>
      <c r="AT99" s="963"/>
      <c r="AU99" s="963"/>
      <c r="AV99" s="963">
        <f>AV78/AV$34-1</f>
        <v>4.3084306819267004E-2</v>
      </c>
      <c r="AW99" s="963"/>
      <c r="AX99" s="963"/>
      <c r="AY99" s="963"/>
      <c r="AZ99" s="963">
        <f>AZ78/AZ$34-1</f>
        <v>8.1897876766866107E-2</v>
      </c>
      <c r="BA99" s="963"/>
      <c r="BB99" s="963"/>
      <c r="BC99" s="963"/>
      <c r="BD99" s="963">
        <f>BD78/BD$34-1</f>
        <v>0.11869995466643601</v>
      </c>
    </row>
    <row r="100" spans="3:56" x14ac:dyDescent="0.2">
      <c r="C100" s="967" t="str">
        <f>C87</f>
        <v>Cash EPS</v>
      </c>
      <c r="D100" s="968">
        <f>+D87/D$44-1</f>
        <v>0</v>
      </c>
      <c r="E100" s="968" t="e">
        <f t="shared" ref="E100:P100" si="62">+E87/E$44-1</f>
        <v>#DIV/0!</v>
      </c>
      <c r="F100" s="968" t="e">
        <f t="shared" si="62"/>
        <v>#DIV/0!</v>
      </c>
      <c r="G100" s="968" t="e">
        <f t="shared" si="62"/>
        <v>#DIV/0!</v>
      </c>
      <c r="H100" s="968">
        <f t="shared" si="62"/>
        <v>0</v>
      </c>
      <c r="I100" s="968" t="e">
        <f t="shared" si="62"/>
        <v>#DIV/0!</v>
      </c>
      <c r="J100" s="968" t="e">
        <f t="shared" si="62"/>
        <v>#DIV/0!</v>
      </c>
      <c r="K100" s="968" t="e">
        <f t="shared" si="62"/>
        <v>#DIV/0!</v>
      </c>
      <c r="L100" s="968">
        <f t="shared" si="62"/>
        <v>0</v>
      </c>
      <c r="M100" s="968" t="e">
        <f t="shared" si="62"/>
        <v>#DIV/0!</v>
      </c>
      <c r="N100" s="968" t="e">
        <f t="shared" si="62"/>
        <v>#DIV/0!</v>
      </c>
      <c r="O100" s="968" t="e">
        <f t="shared" si="62"/>
        <v>#DIV/0!</v>
      </c>
      <c r="P100" s="968">
        <f t="shared" si="62"/>
        <v>0</v>
      </c>
      <c r="Q100" s="969"/>
      <c r="R100" s="970"/>
      <c r="S100" s="970"/>
      <c r="T100" s="968">
        <f>+T87/T$44-1</f>
        <v>0</v>
      </c>
      <c r="U100" s="970"/>
      <c r="V100" s="970"/>
      <c r="W100" s="970"/>
      <c r="X100" s="968">
        <f>+X87/X$44-1</f>
        <v>0</v>
      </c>
      <c r="Y100" s="968"/>
      <c r="Z100" s="968"/>
      <c r="AA100" s="968"/>
      <c r="AB100" s="968">
        <f>+AB87/AB$44-1</f>
        <v>0</v>
      </c>
      <c r="AC100" s="968"/>
      <c r="AD100" s="968"/>
      <c r="AE100" s="968"/>
      <c r="AF100" s="968">
        <f>+AF87/AF$44-1</f>
        <v>0</v>
      </c>
      <c r="AG100" s="968"/>
      <c r="AH100" s="968"/>
      <c r="AI100" s="968"/>
      <c r="AJ100" s="968">
        <f>+AJ87/AJ$44-1</f>
        <v>0</v>
      </c>
      <c r="AK100" s="968"/>
      <c r="AL100" s="968"/>
      <c r="AM100" s="968"/>
      <c r="AN100" s="1398">
        <f>+AN87/AN$44-1</f>
        <v>0</v>
      </c>
      <c r="AO100" s="968"/>
      <c r="AP100" s="968"/>
      <c r="AQ100" s="968"/>
      <c r="AR100" s="971">
        <f>+AR87/AR$44-1</f>
        <v>0</v>
      </c>
      <c r="AS100" s="968"/>
      <c r="AT100" s="968"/>
      <c r="AU100" s="968"/>
      <c r="AV100" s="968">
        <f>+AV87/AV$44-1</f>
        <v>5.7041474257393476E-2</v>
      </c>
      <c r="AW100" s="968"/>
      <c r="AX100" s="968"/>
      <c r="AY100" s="968"/>
      <c r="AZ100" s="968">
        <f ca="1">+AZ87/AZ$44-1</f>
        <v>8.4954999751978955E-2</v>
      </c>
      <c r="BA100" s="968"/>
      <c r="BB100" s="968"/>
      <c r="BC100" s="968"/>
      <c r="BD100" s="968">
        <f ca="1">+BD87/BD$44-1</f>
        <v>0.12164950788323625</v>
      </c>
    </row>
    <row r="101" spans="3:56" x14ac:dyDescent="0.2">
      <c r="C101" s="853"/>
      <c r="D101" s="857"/>
      <c r="E101" s="857"/>
      <c r="F101" s="857"/>
      <c r="G101" s="857"/>
      <c r="H101" s="857"/>
      <c r="I101" s="857"/>
      <c r="J101" s="857"/>
      <c r="K101" s="857"/>
      <c r="L101" s="857"/>
      <c r="M101" s="857"/>
      <c r="N101" s="857"/>
      <c r="O101" s="857"/>
      <c r="P101" s="857"/>
      <c r="Q101" s="90"/>
      <c r="T101" s="857"/>
      <c r="X101" s="857"/>
      <c r="Y101" s="857"/>
      <c r="Z101" s="857"/>
      <c r="AA101" s="857"/>
      <c r="AB101" s="857"/>
      <c r="AC101" s="857"/>
      <c r="AD101" s="857"/>
      <c r="AE101" s="857"/>
      <c r="AF101" s="857"/>
      <c r="AG101" s="857"/>
      <c r="AH101" s="857"/>
      <c r="AI101" s="857"/>
      <c r="AJ101" s="857"/>
      <c r="AK101" s="857"/>
      <c r="AL101" s="857"/>
      <c r="AM101" s="857"/>
      <c r="AN101" s="857"/>
      <c r="AO101" s="857"/>
      <c r="AP101" s="857"/>
      <c r="AQ101" s="857"/>
      <c r="AR101" s="961"/>
      <c r="AS101" s="857"/>
      <c r="AT101" s="857"/>
      <c r="AU101" s="857"/>
      <c r="AV101" s="857"/>
      <c r="AW101" s="857"/>
      <c r="AX101" s="857"/>
      <c r="AY101" s="857"/>
      <c r="AZ101" s="857"/>
      <c r="BA101" s="857"/>
      <c r="BB101" s="857"/>
      <c r="BC101" s="857"/>
      <c r="BD101" s="857"/>
    </row>
    <row r="102" spans="3:56" x14ac:dyDescent="0.2">
      <c r="C102" s="853"/>
      <c r="D102" s="857"/>
      <c r="E102" s="857"/>
      <c r="F102" s="857"/>
      <c r="G102" s="857"/>
      <c r="H102" s="857"/>
      <c r="I102" s="857"/>
      <c r="J102" s="857"/>
      <c r="K102" s="857"/>
      <c r="L102" s="857"/>
      <c r="M102" s="857"/>
      <c r="N102" s="857"/>
      <c r="O102" s="857"/>
      <c r="P102" s="857"/>
      <c r="Q102" s="90"/>
      <c r="T102" s="857"/>
      <c r="X102" s="857"/>
      <c r="Y102" s="857"/>
      <c r="Z102" s="857"/>
      <c r="AA102" s="857"/>
      <c r="AB102" s="857"/>
      <c r="AC102" s="857"/>
      <c r="AD102" s="857"/>
      <c r="AE102" s="857"/>
      <c r="AF102" s="857"/>
      <c r="AG102" s="857"/>
      <c r="AH102" s="857"/>
      <c r="AI102" s="857"/>
      <c r="AJ102" s="857"/>
      <c r="AK102" s="857"/>
      <c r="AL102" s="857"/>
      <c r="AM102" s="857"/>
      <c r="AN102" s="857"/>
      <c r="AO102" s="857"/>
      <c r="AP102" s="857"/>
      <c r="AQ102" s="857"/>
      <c r="AR102" s="961"/>
      <c r="AS102" s="857"/>
      <c r="AT102" s="857"/>
      <c r="AU102" s="857"/>
      <c r="AV102" s="857"/>
      <c r="AW102" s="857"/>
      <c r="AX102" s="857"/>
      <c r="AY102" s="857"/>
      <c r="AZ102" s="857"/>
      <c r="BA102" s="857"/>
      <c r="BB102" s="857"/>
      <c r="BC102" s="857"/>
      <c r="BD102" s="857"/>
    </row>
    <row r="103" spans="3:56" x14ac:dyDescent="0.2">
      <c r="C103" s="972" t="s">
        <v>950</v>
      </c>
      <c r="D103" s="973"/>
      <c r="E103" s="972"/>
      <c r="F103" s="972"/>
      <c r="G103" s="972"/>
      <c r="H103" s="973"/>
      <c r="I103" s="974"/>
      <c r="J103" s="974"/>
      <c r="K103" s="974"/>
      <c r="L103" s="973"/>
      <c r="M103" s="974"/>
      <c r="N103" s="974"/>
      <c r="O103" s="974"/>
      <c r="P103" s="973"/>
      <c r="T103" s="973"/>
      <c r="X103" s="973"/>
      <c r="Y103" s="973"/>
      <c r="Z103" s="973"/>
      <c r="AA103" s="973"/>
      <c r="AB103" s="973"/>
      <c r="AC103" s="973"/>
      <c r="AD103" s="973"/>
      <c r="AE103" s="973"/>
      <c r="AF103" s="973"/>
      <c r="AG103" s="973"/>
      <c r="AH103" s="973"/>
      <c r="AI103" s="973"/>
      <c r="AJ103" s="973"/>
      <c r="AK103" s="973"/>
      <c r="AL103" s="973"/>
      <c r="AM103" s="973"/>
      <c r="AN103" s="973"/>
      <c r="AO103" s="973"/>
      <c r="AP103" s="973"/>
      <c r="AQ103" s="973"/>
      <c r="AR103" s="975"/>
      <c r="AS103" s="973"/>
      <c r="AT103" s="973"/>
      <c r="AU103" s="973"/>
      <c r="AV103" s="973"/>
      <c r="AW103" s="973"/>
      <c r="AX103" s="973"/>
      <c r="AY103" s="973"/>
      <c r="AZ103" s="973"/>
      <c r="BA103" s="973"/>
      <c r="BB103" s="973"/>
      <c r="BC103" s="973"/>
      <c r="BD103" s="973"/>
    </row>
    <row r="104" spans="3:56" x14ac:dyDescent="0.2">
      <c r="C104" s="2" t="s">
        <v>89</v>
      </c>
      <c r="D104" s="849">
        <f>D$4</f>
        <v>422.851</v>
      </c>
      <c r="E104" s="876"/>
      <c r="F104" s="876"/>
      <c r="G104" s="876"/>
      <c r="H104" s="849">
        <f>H$4</f>
        <v>456.07400000000001</v>
      </c>
      <c r="I104" s="876"/>
      <c r="J104" s="876"/>
      <c r="K104" s="876"/>
      <c r="L104" s="849">
        <f>L$4</f>
        <v>485.85700000000003</v>
      </c>
      <c r="P104" s="849">
        <f>P$4</f>
        <v>501.66500000000002</v>
      </c>
      <c r="T104" s="849">
        <f>T$4</f>
        <v>522.94200000000001</v>
      </c>
      <c r="X104" s="849">
        <f>X$4</f>
        <v>542.88</v>
      </c>
      <c r="Y104" s="849"/>
      <c r="Z104" s="849"/>
      <c r="AA104" s="849"/>
      <c r="AB104" s="849">
        <f>AB$4</f>
        <v>579.75599999999997</v>
      </c>
      <c r="AC104" s="849"/>
      <c r="AD104" s="849"/>
      <c r="AE104" s="849"/>
      <c r="AF104" s="849">
        <f>AF$4</f>
        <v>621.99300000000005</v>
      </c>
      <c r="AG104" s="849">
        <f t="shared" ref="AG104:AJ104" si="63">AG$4</f>
        <v>0</v>
      </c>
      <c r="AH104" s="849">
        <f t="shared" si="63"/>
        <v>0</v>
      </c>
      <c r="AI104" s="849">
        <f t="shared" si="63"/>
        <v>0</v>
      </c>
      <c r="AJ104" s="849">
        <f t="shared" si="63"/>
        <v>652.21799999999996</v>
      </c>
      <c r="AK104" s="849"/>
      <c r="AL104" s="849"/>
      <c r="AM104" s="849"/>
      <c r="AN104" s="849">
        <f t="shared" ref="AN104" si="64">AN$4</f>
        <v>664.70100000000002</v>
      </c>
      <c r="AO104" s="849"/>
      <c r="AP104" s="849"/>
      <c r="AQ104" s="849"/>
      <c r="AR104" s="883">
        <f t="shared" ref="AR104" si="65">AR$4</f>
        <v>707.86199999999997</v>
      </c>
      <c r="AS104" s="849"/>
      <c r="AT104" s="849"/>
      <c r="AU104" s="849"/>
      <c r="AV104" s="849">
        <f>+AR104*(1+AV105)</f>
        <v>746.79440999999997</v>
      </c>
      <c r="AW104" s="849"/>
      <c r="AX104" s="849"/>
      <c r="AY104" s="849"/>
      <c r="AZ104" s="849">
        <f>+AV104*(1+AZ105)</f>
        <v>776.66618640000002</v>
      </c>
      <c r="BA104" s="849"/>
      <c r="BB104" s="849"/>
      <c r="BC104" s="849"/>
      <c r="BD104" s="849">
        <f>+AZ104*(1+BD105)</f>
        <v>803.84950292399992</v>
      </c>
    </row>
    <row r="105" spans="3:56" x14ac:dyDescent="0.2">
      <c r="C105" s="878" t="s">
        <v>928</v>
      </c>
      <c r="D105" s="879"/>
      <c r="E105" s="880"/>
      <c r="F105" s="880"/>
      <c r="G105" s="880"/>
      <c r="H105" s="884">
        <f>+H104/D104-1</f>
        <v>7.8569046780071483E-2</v>
      </c>
      <c r="I105" s="880"/>
      <c r="J105" s="880"/>
      <c r="K105" s="880"/>
      <c r="L105" s="884">
        <f>+L104/H104-1</f>
        <v>6.5302999074711598E-2</v>
      </c>
      <c r="M105" s="939"/>
      <c r="N105" s="939"/>
      <c r="O105" s="939"/>
      <c r="P105" s="885">
        <f>+P104/L104-1</f>
        <v>3.2536322415854801E-2</v>
      </c>
      <c r="T105" s="885">
        <f>+T104/P104-1</f>
        <v>4.2412765490915216E-2</v>
      </c>
      <c r="X105" s="885">
        <f>+X104/T104-1</f>
        <v>3.8126599125715588E-2</v>
      </c>
      <c r="Y105" s="940"/>
      <c r="Z105" s="940"/>
      <c r="AA105" s="940"/>
      <c r="AB105" s="885">
        <f>+AB104/X104-1</f>
        <v>6.7926613616268838E-2</v>
      </c>
      <c r="AC105" s="940"/>
      <c r="AD105" s="940"/>
      <c r="AE105" s="940"/>
      <c r="AF105" s="885">
        <f>+AF104/AB104-1</f>
        <v>7.2853062322770334E-2</v>
      </c>
      <c r="AG105" s="885" t="e">
        <f t="shared" ref="AG105:AJ105" si="66">+AG104/AC104-1</f>
        <v>#DIV/0!</v>
      </c>
      <c r="AH105" s="885" t="e">
        <f t="shared" si="66"/>
        <v>#DIV/0!</v>
      </c>
      <c r="AI105" s="885" t="e">
        <f t="shared" si="66"/>
        <v>#DIV/0!</v>
      </c>
      <c r="AJ105" s="885">
        <f t="shared" si="66"/>
        <v>4.8593794463924755E-2</v>
      </c>
      <c r="AK105" s="941"/>
      <c r="AL105" s="941"/>
      <c r="AM105" s="941"/>
      <c r="AN105" s="885">
        <f t="shared" ref="AN105" si="67">+AN104/AJ104-1</f>
        <v>1.913930618290216E-2</v>
      </c>
      <c r="AO105" s="941"/>
      <c r="AP105" s="941"/>
      <c r="AQ105" s="941"/>
      <c r="AR105" s="886">
        <f t="shared" ref="AR105" si="68">+AR104/AN104-1</f>
        <v>6.4932954817278565E-2</v>
      </c>
      <c r="AS105" s="941"/>
      <c r="AT105" s="941"/>
      <c r="AU105" s="941"/>
      <c r="AV105" s="941">
        <v>5.5E-2</v>
      </c>
      <c r="AW105" s="941"/>
      <c r="AX105" s="941"/>
      <c r="AY105" s="941"/>
      <c r="AZ105" s="941">
        <v>0.04</v>
      </c>
      <c r="BA105" s="941"/>
      <c r="BB105" s="941"/>
      <c r="BC105" s="941"/>
      <c r="BD105" s="941">
        <v>3.5000000000000003E-2</v>
      </c>
    </row>
    <row r="106" spans="3:56" x14ac:dyDescent="0.2">
      <c r="C106" s="2" t="s">
        <v>271</v>
      </c>
      <c r="D106" s="849">
        <f>D$6</f>
        <v>223.32100000000003</v>
      </c>
      <c r="H106" s="849">
        <f>H$6</f>
        <v>245.65600000000001</v>
      </c>
      <c r="L106" s="849">
        <f>L$6</f>
        <v>251.14499999999992</v>
      </c>
      <c r="P106" s="849">
        <f>P$6</f>
        <v>246.74299999999999</v>
      </c>
      <c r="T106" s="849">
        <f>T$6</f>
        <v>238.07100000000003</v>
      </c>
      <c r="X106" s="849">
        <f>X$6</f>
        <v>237.22799999999995</v>
      </c>
      <c r="Y106" s="849"/>
      <c r="Z106" s="849"/>
      <c r="AA106" s="849"/>
      <c r="AB106" s="849">
        <f>AB$6</f>
        <v>238.51</v>
      </c>
      <c r="AC106" s="849"/>
      <c r="AD106" s="849"/>
      <c r="AE106" s="849"/>
      <c r="AF106" s="849">
        <f>AF$6</f>
        <v>262.96999999999991</v>
      </c>
      <c r="AG106" s="849">
        <f t="shared" ref="AG106:AJ106" si="69">AG$6</f>
        <v>0</v>
      </c>
      <c r="AH106" s="849">
        <f t="shared" si="69"/>
        <v>0</v>
      </c>
      <c r="AI106" s="849">
        <f t="shared" si="69"/>
        <v>0</v>
      </c>
      <c r="AJ106" s="849">
        <f t="shared" si="69"/>
        <v>281.03300000000002</v>
      </c>
      <c r="AK106" s="849"/>
      <c r="AL106" s="849"/>
      <c r="AM106" s="849"/>
      <c r="AN106" s="849">
        <f t="shared" ref="AN106" si="70">AN$6</f>
        <v>285.24699999999996</v>
      </c>
      <c r="AO106" s="849"/>
      <c r="AP106" s="849"/>
      <c r="AQ106" s="849"/>
      <c r="AR106" s="883">
        <f t="shared" ref="AR106" si="71">AR$6</f>
        <v>308.02100000000007</v>
      </c>
      <c r="AS106" s="849"/>
      <c r="AT106" s="849"/>
      <c r="AU106" s="849"/>
      <c r="AV106" s="849">
        <f>+AV108-AV104</f>
        <v>324.96215499999994</v>
      </c>
      <c r="AW106" s="849"/>
      <c r="AX106" s="849"/>
      <c r="AY106" s="849"/>
      <c r="AZ106" s="849">
        <f>+AZ108-AZ104</f>
        <v>337.96064119999983</v>
      </c>
      <c r="BA106" s="849"/>
      <c r="BB106" s="849"/>
      <c r="BC106" s="849"/>
      <c r="BD106" s="849">
        <f>+BD108-BD104</f>
        <v>349.78926364199981</v>
      </c>
    </row>
    <row r="107" spans="3:56" x14ac:dyDescent="0.2">
      <c r="C107" s="90" t="s">
        <v>936</v>
      </c>
      <c r="D107" s="900"/>
      <c r="E107" s="901"/>
      <c r="F107" s="901"/>
      <c r="G107" s="901"/>
      <c r="H107" s="902">
        <f>+H106/D106-1</f>
        <v>0.10001298579175266</v>
      </c>
      <c r="I107" s="901"/>
      <c r="J107" s="901"/>
      <c r="K107" s="901"/>
      <c r="L107" s="902">
        <f>+L106/H106-1</f>
        <v>2.2344253753215471E-2</v>
      </c>
      <c r="M107" s="901"/>
      <c r="N107" s="901"/>
      <c r="O107" s="901"/>
      <c r="P107" s="866">
        <f>+P106/L106-1</f>
        <v>-1.7527723028529008E-2</v>
      </c>
      <c r="T107" s="866">
        <f>+T106/P106-1</f>
        <v>-3.5145880531565088E-2</v>
      </c>
      <c r="X107" s="866">
        <f>+X106/T106-1</f>
        <v>-3.5409604697761443E-3</v>
      </c>
      <c r="Y107" s="866"/>
      <c r="Z107" s="866"/>
      <c r="AA107" s="866"/>
      <c r="AB107" s="866">
        <f>+AB106/X106-1</f>
        <v>5.4040838349607156E-3</v>
      </c>
      <c r="AC107" s="866"/>
      <c r="AD107" s="866"/>
      <c r="AE107" s="866"/>
      <c r="AF107" s="866">
        <f>+AF106/AB106-1</f>
        <v>0.10255335206070981</v>
      </c>
      <c r="AG107" s="866" t="e">
        <f t="shared" ref="AG107:AJ107" si="72">+AG106/AC106-1</f>
        <v>#DIV/0!</v>
      </c>
      <c r="AH107" s="866" t="e">
        <f t="shared" si="72"/>
        <v>#DIV/0!</v>
      </c>
      <c r="AI107" s="866" t="e">
        <f t="shared" si="72"/>
        <v>#DIV/0!</v>
      </c>
      <c r="AJ107" s="866">
        <f t="shared" si="72"/>
        <v>6.8688443548694078E-2</v>
      </c>
      <c r="AK107" s="902"/>
      <c r="AL107" s="902"/>
      <c r="AM107" s="902"/>
      <c r="AN107" s="866">
        <f t="shared" ref="AN107" si="73">+AN106/AJ106-1</f>
        <v>1.499468034003093E-2</v>
      </c>
      <c r="AO107" s="902"/>
      <c r="AP107" s="902"/>
      <c r="AQ107" s="902"/>
      <c r="AR107" s="903">
        <f t="shared" ref="AR107" si="74">+AR106/AN106-1</f>
        <v>7.9839577629212899E-2</v>
      </c>
      <c r="AS107" s="902"/>
      <c r="AT107" s="902"/>
      <c r="AU107" s="902"/>
      <c r="AV107" s="902">
        <f>+AV106/AR106-1</f>
        <v>5.4999999999999494E-2</v>
      </c>
      <c r="AW107" s="902"/>
      <c r="AX107" s="902"/>
      <c r="AY107" s="902"/>
      <c r="AZ107" s="902">
        <f>+AZ106/AV106-1</f>
        <v>3.9999999999999591E-2</v>
      </c>
      <c r="BA107" s="902"/>
      <c r="BB107" s="902"/>
      <c r="BC107" s="902"/>
      <c r="BD107" s="902">
        <f>+BD106/AZ106-1</f>
        <v>3.499999999999992E-2</v>
      </c>
    </row>
    <row r="108" spans="3:56" x14ac:dyDescent="0.2">
      <c r="C108" s="2" t="s">
        <v>924</v>
      </c>
      <c r="D108" s="849">
        <f>D$8</f>
        <v>646.17200000000003</v>
      </c>
      <c r="H108" s="849">
        <f>H$8</f>
        <v>701.73</v>
      </c>
      <c r="L108" s="849">
        <f>L$8</f>
        <v>737.00199999999995</v>
      </c>
      <c r="P108" s="849">
        <f>P$8</f>
        <v>748.40800000000002</v>
      </c>
      <c r="T108" s="849">
        <f>T$8</f>
        <v>761.01300000000003</v>
      </c>
      <c r="X108" s="849">
        <f>X$8</f>
        <v>780.10799999999995</v>
      </c>
      <c r="Y108" s="849"/>
      <c r="Z108" s="849"/>
      <c r="AA108" s="849"/>
      <c r="AB108" s="849">
        <f>AB$8</f>
        <v>818.26599999999996</v>
      </c>
      <c r="AC108" s="849"/>
      <c r="AD108" s="849"/>
      <c r="AE108" s="849"/>
      <c r="AF108" s="849">
        <f>AF$8</f>
        <v>884.96299999999997</v>
      </c>
      <c r="AG108" s="849">
        <f t="shared" ref="AG108:AJ108" si="75">AG$8</f>
        <v>0</v>
      </c>
      <c r="AH108" s="849">
        <f t="shared" si="75"/>
        <v>0</v>
      </c>
      <c r="AI108" s="849">
        <f t="shared" si="75"/>
        <v>0</v>
      </c>
      <c r="AJ108" s="849">
        <f t="shared" si="75"/>
        <v>933.25099999999998</v>
      </c>
      <c r="AK108" s="849"/>
      <c r="AL108" s="849"/>
      <c r="AM108" s="849"/>
      <c r="AN108" s="849">
        <f t="shared" ref="AN108" si="76">AN$8</f>
        <v>949.94799999999998</v>
      </c>
      <c r="AO108" s="849"/>
      <c r="AP108" s="849"/>
      <c r="AQ108" s="849"/>
      <c r="AR108" s="883">
        <f t="shared" ref="AR108" si="77">AR$8</f>
        <v>1015.883</v>
      </c>
      <c r="AS108" s="849"/>
      <c r="AT108" s="849"/>
      <c r="AU108" s="849"/>
      <c r="AV108" s="849">
        <f>+AR108*(1+AV109)</f>
        <v>1071.7565649999999</v>
      </c>
      <c r="AW108" s="849"/>
      <c r="AX108" s="849"/>
      <c r="AY108" s="849"/>
      <c r="AZ108" s="849">
        <f>+AV108*(1+AZ109)</f>
        <v>1114.6268275999998</v>
      </c>
      <c r="BA108" s="849"/>
      <c r="BB108" s="849"/>
      <c r="BC108" s="849"/>
      <c r="BD108" s="849">
        <f>+AZ108*(1+BD109)</f>
        <v>1153.6387665659997</v>
      </c>
    </row>
    <row r="109" spans="3:56" x14ac:dyDescent="0.2">
      <c r="C109" s="878" t="s">
        <v>937</v>
      </c>
      <c r="D109" s="884">
        <f>D$9</f>
        <v>6.2560945328854034E-2</v>
      </c>
      <c r="E109" s="878"/>
      <c r="F109" s="878"/>
      <c r="G109" s="878"/>
      <c r="H109" s="884">
        <f>H$9</f>
        <v>8.5980203413332568E-2</v>
      </c>
      <c r="I109" s="878"/>
      <c r="J109" s="878"/>
      <c r="K109" s="878"/>
      <c r="L109" s="884">
        <f>L$9</f>
        <v>5.026434668604729E-2</v>
      </c>
      <c r="M109" s="939"/>
      <c r="N109" s="939"/>
      <c r="O109" s="939"/>
      <c r="P109" s="885">
        <f>P$9</f>
        <v>1.5476213090330759E-2</v>
      </c>
      <c r="T109" s="885">
        <f>T$9</f>
        <v>1.6842417504890461E-2</v>
      </c>
      <c r="X109" s="885">
        <f>X$9</f>
        <v>2.5091555597604787E-2</v>
      </c>
      <c r="Y109" s="940"/>
      <c r="Z109" s="940"/>
      <c r="AA109" s="940"/>
      <c r="AB109" s="885">
        <f>AB$9</f>
        <v>4.8913740148800011E-2</v>
      </c>
      <c r="AC109" s="940"/>
      <c r="AD109" s="940"/>
      <c r="AE109" s="940"/>
      <c r="AF109" s="885">
        <f>AF$9</f>
        <v>8.151016906482722E-2</v>
      </c>
      <c r="AG109" s="885">
        <f t="shared" ref="AG109:AJ109" si="78">AG$9</f>
        <v>0</v>
      </c>
      <c r="AH109" s="885">
        <f t="shared" si="78"/>
        <v>0</v>
      </c>
      <c r="AI109" s="885">
        <f t="shared" si="78"/>
        <v>0</v>
      </c>
      <c r="AJ109" s="885">
        <f t="shared" si="78"/>
        <v>5.456499311270635E-2</v>
      </c>
      <c r="AK109" s="941"/>
      <c r="AL109" s="941"/>
      <c r="AM109" s="941"/>
      <c r="AN109" s="885">
        <f t="shared" ref="AN109" si="79">AN$9</f>
        <v>1.7891221118434331E-2</v>
      </c>
      <c r="AO109" s="941"/>
      <c r="AP109" s="941"/>
      <c r="AQ109" s="941"/>
      <c r="AR109" s="886">
        <f t="shared" ref="AR109" si="80">AR$9</f>
        <v>6.9409062390783482E-2</v>
      </c>
      <c r="AS109" s="941"/>
      <c r="AT109" s="941"/>
      <c r="AU109" s="941"/>
      <c r="AV109" s="941">
        <v>5.5E-2</v>
      </c>
      <c r="AW109" s="941"/>
      <c r="AX109" s="941"/>
      <c r="AY109" s="941"/>
      <c r="AZ109" s="941">
        <v>0.04</v>
      </c>
      <c r="BA109" s="941"/>
      <c r="BB109" s="941"/>
      <c r="BC109" s="941"/>
      <c r="BD109" s="941">
        <v>3.5000000000000003E-2</v>
      </c>
    </row>
    <row r="110" spans="3:56" x14ac:dyDescent="0.2">
      <c r="C110" s="2" t="s">
        <v>938</v>
      </c>
      <c r="D110" s="849">
        <f>D$10</f>
        <v>624.32399999999996</v>
      </c>
      <c r="H110" s="849">
        <f>H$10</f>
        <v>644.79600000000005</v>
      </c>
      <c r="L110" s="849">
        <f>L$10</f>
        <v>680.154</v>
      </c>
      <c r="P110" s="849">
        <f>P$10</f>
        <v>699.90899999999999</v>
      </c>
      <c r="T110" s="849">
        <f>T$10</f>
        <v>709.53399999999999</v>
      </c>
      <c r="X110" s="849">
        <f>X$10</f>
        <v>723.01099999999997</v>
      </c>
      <c r="Y110" s="849"/>
      <c r="Z110" s="849"/>
      <c r="AA110" s="849"/>
      <c r="AB110" s="849">
        <f>AB$10</f>
        <v>735.32799999999997</v>
      </c>
      <c r="AC110" s="849"/>
      <c r="AD110" s="849"/>
      <c r="AE110" s="849"/>
      <c r="AF110" s="849">
        <f>AF$10</f>
        <v>784.54200000000003</v>
      </c>
      <c r="AG110" s="849">
        <f t="shared" ref="AG110:AJ110" si="81">AG$10</f>
        <v>0</v>
      </c>
      <c r="AH110" s="849">
        <f t="shared" si="81"/>
        <v>0</v>
      </c>
      <c r="AI110" s="849">
        <f t="shared" si="81"/>
        <v>0</v>
      </c>
      <c r="AJ110" s="849">
        <f t="shared" si="81"/>
        <v>836.601</v>
      </c>
      <c r="AK110" s="849"/>
      <c r="AL110" s="849"/>
      <c r="AM110" s="849"/>
      <c r="AN110" s="849">
        <f t="shared" ref="AN110" si="82">AN$10</f>
        <v>852.72799999999995</v>
      </c>
      <c r="AO110" s="849"/>
      <c r="AP110" s="849"/>
      <c r="AQ110" s="849"/>
      <c r="AR110" s="883">
        <f t="shared" ref="AR110" si="83">AR$10</f>
        <v>886.37099999999998</v>
      </c>
      <c r="AS110" s="849"/>
      <c r="AT110" s="849"/>
      <c r="AU110" s="849"/>
      <c r="AV110" s="849">
        <f>+AV$10/AV$8*AV108</f>
        <v>936.01609959916289</v>
      </c>
      <c r="AW110" s="849"/>
      <c r="AX110" s="849"/>
      <c r="AY110" s="849"/>
      <c r="AZ110" s="849">
        <f>+AZ$10/AZ$8*AZ108</f>
        <v>976.83391845210474</v>
      </c>
      <c r="BA110" s="849"/>
      <c r="BB110" s="849"/>
      <c r="BC110" s="849"/>
      <c r="BD110" s="849">
        <f>+BD$10/BD$8*BD108</f>
        <v>1016.8418458237143</v>
      </c>
    </row>
    <row r="111" spans="3:56" x14ac:dyDescent="0.2">
      <c r="C111" s="2" t="s">
        <v>939</v>
      </c>
      <c r="D111" s="849">
        <f>D$11</f>
        <v>131.59049999999999</v>
      </c>
      <c r="H111" s="849">
        <f>H$11</f>
        <v>145.85400000000001</v>
      </c>
      <c r="L111" s="849">
        <f>L$11</f>
        <v>154.58699999999999</v>
      </c>
      <c r="P111" s="849">
        <f>P$11</f>
        <v>154.35499999999999</v>
      </c>
      <c r="T111" s="849">
        <f>T$11</f>
        <v>161.88399999999999</v>
      </c>
      <c r="X111" s="849">
        <f>X$11</f>
        <v>174.398</v>
      </c>
      <c r="Y111" s="849"/>
      <c r="Z111" s="849"/>
      <c r="AA111" s="849"/>
      <c r="AB111" s="849">
        <f>AB$11</f>
        <v>194.518</v>
      </c>
      <c r="AC111" s="849"/>
      <c r="AD111" s="849"/>
      <c r="AE111" s="849"/>
      <c r="AF111" s="849">
        <f>AF$11</f>
        <v>242.36799999999999</v>
      </c>
      <c r="AG111" s="849">
        <f t="shared" ref="AG111:AJ111" si="84">AG$11</f>
        <v>0</v>
      </c>
      <c r="AH111" s="849">
        <f t="shared" si="84"/>
        <v>0</v>
      </c>
      <c r="AI111" s="849">
        <f t="shared" si="84"/>
        <v>0</v>
      </c>
      <c r="AJ111" s="849">
        <f t="shared" si="84"/>
        <v>274.65300000000002</v>
      </c>
      <c r="AK111" s="849"/>
      <c r="AL111" s="849"/>
      <c r="AM111" s="849"/>
      <c r="AN111" s="849">
        <f t="shared" ref="AN111" si="85">AN$11</f>
        <v>291.62900000000002</v>
      </c>
      <c r="AO111" s="849"/>
      <c r="AP111" s="849"/>
      <c r="AQ111" s="849"/>
      <c r="AR111" s="883">
        <f t="shared" ref="AR111" si="86">AR$11</f>
        <v>267.31299999999999</v>
      </c>
      <c r="AS111" s="849"/>
      <c r="AT111" s="849"/>
      <c r="AU111" s="849"/>
      <c r="AV111" s="849">
        <f>AV$11</f>
        <v>305.04455855458605</v>
      </c>
      <c r="AW111" s="849"/>
      <c r="AX111" s="849"/>
      <c r="AY111" s="849"/>
      <c r="AZ111" s="849">
        <f>AZ$11</f>
        <v>324.8843676106693</v>
      </c>
      <c r="BA111" s="849"/>
      <c r="BB111" s="849"/>
      <c r="BC111" s="849"/>
      <c r="BD111" s="849">
        <f>BD$11</f>
        <v>342.79754526697008</v>
      </c>
    </row>
    <row r="112" spans="3:56" x14ac:dyDescent="0.2">
      <c r="C112" s="3" t="s">
        <v>461</v>
      </c>
      <c r="D112" s="851">
        <f>D110+D111</f>
        <v>755.91449999999998</v>
      </c>
      <c r="E112" s="3"/>
      <c r="F112" s="3"/>
      <c r="G112" s="3"/>
      <c r="H112" s="851">
        <f>H110+H111</f>
        <v>790.65000000000009</v>
      </c>
      <c r="I112" s="3"/>
      <c r="J112" s="3"/>
      <c r="K112" s="3"/>
      <c r="L112" s="851">
        <f>L110+L111</f>
        <v>834.74099999999999</v>
      </c>
      <c r="M112" s="3"/>
      <c r="N112" s="3"/>
      <c r="O112" s="3"/>
      <c r="P112" s="851">
        <f>P110+P111</f>
        <v>854.26400000000001</v>
      </c>
      <c r="T112" s="851">
        <f>T110+T111</f>
        <v>871.41800000000001</v>
      </c>
      <c r="X112" s="851">
        <f>X110+X111</f>
        <v>897.40899999999999</v>
      </c>
      <c r="Y112" s="851"/>
      <c r="Z112" s="851"/>
      <c r="AA112" s="851"/>
      <c r="AB112" s="851">
        <f>AB110+AB111</f>
        <v>929.846</v>
      </c>
      <c r="AC112" s="851"/>
      <c r="AD112" s="851"/>
      <c r="AE112" s="851"/>
      <c r="AF112" s="851">
        <f>AF110+AF111</f>
        <v>1026.9100000000001</v>
      </c>
      <c r="AG112" s="851">
        <f t="shared" ref="AG112:AJ112" si="87">AG110+AG111</f>
        <v>0</v>
      </c>
      <c r="AH112" s="851">
        <f t="shared" si="87"/>
        <v>0</v>
      </c>
      <c r="AI112" s="851">
        <f t="shared" si="87"/>
        <v>0</v>
      </c>
      <c r="AJ112" s="851">
        <f t="shared" si="87"/>
        <v>1111.2539999999999</v>
      </c>
      <c r="AK112" s="851"/>
      <c r="AL112" s="851"/>
      <c r="AM112" s="851"/>
      <c r="AN112" s="851">
        <f t="shared" ref="AN112" si="88">AN110+AN111</f>
        <v>1144.357</v>
      </c>
      <c r="AO112" s="851"/>
      <c r="AP112" s="851"/>
      <c r="AQ112" s="851"/>
      <c r="AR112" s="863">
        <f t="shared" ref="AR112" si="89">AR110+AR111</f>
        <v>1153.684</v>
      </c>
      <c r="AS112" s="851"/>
      <c r="AT112" s="851"/>
      <c r="AU112" s="851"/>
      <c r="AV112" s="851">
        <f>+AV110+AV111</f>
        <v>1241.060658153749</v>
      </c>
      <c r="AW112" s="851"/>
      <c r="AX112" s="851"/>
      <c r="AY112" s="851"/>
      <c r="AZ112" s="851">
        <f>+AZ110+AZ111</f>
        <v>1301.718286062774</v>
      </c>
      <c r="BA112" s="851"/>
      <c r="BB112" s="851"/>
      <c r="BC112" s="851"/>
      <c r="BD112" s="851">
        <f>+BD110+BD111</f>
        <v>1359.6393910906843</v>
      </c>
    </row>
    <row r="113" spans="3:58" x14ac:dyDescent="0.2">
      <c r="C113" s="2" t="s">
        <v>940</v>
      </c>
      <c r="D113" s="861">
        <f>D$13</f>
        <v>2.0937553122740732E-2</v>
      </c>
      <c r="H113" s="861">
        <f>H$13</f>
        <v>2.1419085562511857E-2</v>
      </c>
      <c r="L113" s="861">
        <f>L$13</f>
        <v>2.1016099604547998E-2</v>
      </c>
      <c r="P113" s="861">
        <f>P$13</f>
        <v>2.1471114315949169E-2</v>
      </c>
      <c r="T113" s="861">
        <f>T$13</f>
        <v>2.0913040584426761E-2</v>
      </c>
      <c r="X113" s="861">
        <f>X$13</f>
        <v>2.0737478674717993E-2</v>
      </c>
      <c r="Y113" s="861"/>
      <c r="Z113" s="861"/>
      <c r="AA113" s="861"/>
      <c r="AB113" s="861">
        <f>AB$13</f>
        <v>2.0758276101634034E-2</v>
      </c>
      <c r="AC113" s="861"/>
      <c r="AD113" s="861"/>
      <c r="AE113" s="861"/>
      <c r="AF113" s="861">
        <f>AF$13</f>
        <v>1.8962713382867046E-2</v>
      </c>
      <c r="AG113" s="861">
        <f t="shared" ref="AG113:AJ113" si="90">AG$13</f>
        <v>0</v>
      </c>
      <c r="AH113" s="861">
        <f t="shared" si="90"/>
        <v>0</v>
      </c>
      <c r="AI113" s="861">
        <f t="shared" si="90"/>
        <v>0</v>
      </c>
      <c r="AJ113" s="861">
        <f t="shared" si="90"/>
        <v>2.0747731841685161E-2</v>
      </c>
      <c r="AK113" s="861"/>
      <c r="AL113" s="861"/>
      <c r="AM113" s="861"/>
      <c r="AN113" s="861">
        <f t="shared" ref="AN113" si="91">AN$13</f>
        <v>1.9944824910408204E-2</v>
      </c>
      <c r="AO113" s="861"/>
      <c r="AP113" s="861"/>
      <c r="AQ113" s="861"/>
      <c r="AR113" s="942">
        <f t="shared" ref="AR113" si="92">AR$13</f>
        <v>2.0822859639207963E-2</v>
      </c>
      <c r="AS113" s="861"/>
      <c r="AT113" s="861"/>
      <c r="AU113" s="861"/>
      <c r="AV113" s="861">
        <f>+AR113+AV114</f>
        <v>2.0222859639207964E-2</v>
      </c>
      <c r="AW113" s="861"/>
      <c r="AX113" s="861"/>
      <c r="AY113" s="861"/>
      <c r="AZ113" s="861">
        <f>+AV113+AZ114</f>
        <v>2.0022859639207965E-2</v>
      </c>
      <c r="BA113" s="861"/>
      <c r="BB113" s="861"/>
      <c r="BC113" s="861"/>
      <c r="BD113" s="861">
        <f>+AZ113+BD114</f>
        <v>1.9622859639207964E-2</v>
      </c>
    </row>
    <row r="114" spans="3:58" x14ac:dyDescent="0.2">
      <c r="C114" s="878" t="s">
        <v>28</v>
      </c>
      <c r="D114" s="904">
        <f>D$14</f>
        <v>-4.5686201482517466E-4</v>
      </c>
      <c r="E114" s="878"/>
      <c r="F114" s="878"/>
      <c r="G114" s="878"/>
      <c r="H114" s="904">
        <f>H$14</f>
        <v>4.8153243977112556E-4</v>
      </c>
      <c r="I114" s="878"/>
      <c r="J114" s="943"/>
      <c r="K114" s="943"/>
      <c r="L114" s="904">
        <f>L$14</f>
        <v>-4.0298595796385908E-4</v>
      </c>
      <c r="M114" s="878"/>
      <c r="N114" s="943"/>
      <c r="O114" s="943"/>
      <c r="P114" s="905">
        <f>P$14</f>
        <v>4.5501471140117072E-4</v>
      </c>
      <c r="T114" s="905">
        <f>T$14</f>
        <v>-5.5807373152240783E-4</v>
      </c>
      <c r="X114" s="905">
        <f>X$14</f>
        <v>-1.7556190970876781E-4</v>
      </c>
      <c r="Y114" s="944"/>
      <c r="Z114" s="944"/>
      <c r="AA114" s="944"/>
      <c r="AB114" s="905">
        <f>AB$14</f>
        <v>2.0797426916040196E-5</v>
      </c>
      <c r="AC114" s="944"/>
      <c r="AD114" s="944"/>
      <c r="AE114" s="944"/>
      <c r="AF114" s="905">
        <f>AF$14</f>
        <v>-1.7955627187669874E-3</v>
      </c>
      <c r="AG114" s="905">
        <f t="shared" ref="AG114:AJ114" si="93">AG$14</f>
        <v>0</v>
      </c>
      <c r="AH114" s="905">
        <f t="shared" si="93"/>
        <v>0</v>
      </c>
      <c r="AI114" s="905">
        <f t="shared" si="93"/>
        <v>0</v>
      </c>
      <c r="AJ114" s="905">
        <f t="shared" si="93"/>
        <v>1.7850184588181148E-3</v>
      </c>
      <c r="AK114" s="945"/>
      <c r="AL114" s="945"/>
      <c r="AM114" s="945"/>
      <c r="AN114" s="905">
        <f t="shared" ref="AN114" si="94">AN$14</f>
        <v>-8.0290693127695739E-4</v>
      </c>
      <c r="AO114" s="945"/>
      <c r="AP114" s="945"/>
      <c r="AQ114" s="945"/>
      <c r="AR114" s="906">
        <f t="shared" ref="AR114" si="95">AR$14</f>
        <v>8.7803472879975988E-4</v>
      </c>
      <c r="AS114" s="945"/>
      <c r="AT114" s="945"/>
      <c r="AU114" s="945"/>
      <c r="AV114" s="945">
        <v>-5.9999999999999995E-4</v>
      </c>
      <c r="AW114" s="945"/>
      <c r="AX114" s="945"/>
      <c r="AY114" s="945"/>
      <c r="AZ114" s="945">
        <v>-2.0000000000000001E-4</v>
      </c>
      <c r="BA114" s="945"/>
      <c r="BB114" s="945"/>
      <c r="BC114" s="945"/>
      <c r="BD114" s="945">
        <v>-4.0000000000000002E-4</v>
      </c>
    </row>
    <row r="115" spans="3:58" x14ac:dyDescent="0.2">
      <c r="C115" s="2" t="s">
        <v>10</v>
      </c>
      <c r="D115" s="85">
        <f>D$15</f>
        <v>15827</v>
      </c>
      <c r="H115" s="85">
        <f>H$15</f>
        <v>16935</v>
      </c>
      <c r="L115" s="85">
        <f>L$15</f>
        <v>17543</v>
      </c>
      <c r="P115" s="85">
        <f>P$15</f>
        <v>18342</v>
      </c>
      <c r="T115" s="85">
        <f>T$15</f>
        <v>18224</v>
      </c>
      <c r="X115" s="85">
        <f>X$15</f>
        <v>18610</v>
      </c>
      <c r="Y115" s="85"/>
      <c r="Z115" s="85"/>
      <c r="AA115" s="85"/>
      <c r="AB115" s="85">
        <f>AB$15</f>
        <v>19302</v>
      </c>
      <c r="AC115" s="85"/>
      <c r="AD115" s="85"/>
      <c r="AE115" s="85"/>
      <c r="AF115" s="85">
        <f>AF$15</f>
        <v>19473</v>
      </c>
      <c r="AG115" s="85">
        <f t="shared" ref="AG115:AJ115" si="96">AG$15</f>
        <v>0</v>
      </c>
      <c r="AH115" s="85">
        <f t="shared" si="96"/>
        <v>0</v>
      </c>
      <c r="AI115" s="85">
        <f t="shared" si="96"/>
        <v>0</v>
      </c>
      <c r="AJ115" s="85">
        <f t="shared" si="96"/>
        <v>23056</v>
      </c>
      <c r="AK115" s="85"/>
      <c r="AL115" s="85"/>
      <c r="AM115" s="85"/>
      <c r="AN115" s="85">
        <f t="shared" ref="AN115" si="97">AN$15</f>
        <v>22824</v>
      </c>
      <c r="AO115" s="85"/>
      <c r="AP115" s="85"/>
      <c r="AQ115" s="85"/>
      <c r="AR115" s="896">
        <f t="shared" ref="AR115" si="98">AR$15</f>
        <v>24023</v>
      </c>
      <c r="AS115" s="85"/>
      <c r="AT115" s="85"/>
      <c r="AU115" s="85"/>
      <c r="AV115" s="85">
        <f>+AV112*AV113*1000</f>
        <v>25097.79549358632</v>
      </c>
      <c r="AW115" s="85"/>
      <c r="AX115" s="85"/>
      <c r="AY115" s="85"/>
      <c r="AZ115" s="85">
        <f>+AZ112*AZ113*1000</f>
        <v>26064.122531625286</v>
      </c>
      <c r="BA115" s="85"/>
      <c r="BB115" s="85"/>
      <c r="BC115" s="85"/>
      <c r="BD115" s="85">
        <f>+BD112*BD113*1000</f>
        <v>26680.012931310681</v>
      </c>
    </row>
    <row r="116" spans="3:58" x14ac:dyDescent="0.2">
      <c r="C116" s="2" t="s">
        <v>23</v>
      </c>
      <c r="D116" s="85">
        <f>D$16</f>
        <v>7751</v>
      </c>
      <c r="H116" s="85">
        <f>H$16</f>
        <v>7812</v>
      </c>
      <c r="L116" s="85">
        <f>L$16</f>
        <v>7737</v>
      </c>
      <c r="P116" s="85">
        <f>P$16</f>
        <v>6580</v>
      </c>
      <c r="T116" s="85">
        <f>T$16</f>
        <v>5355</v>
      </c>
      <c r="X116" s="85">
        <f>X$16</f>
        <v>5151</v>
      </c>
      <c r="Y116" s="85"/>
      <c r="Z116" s="85"/>
      <c r="AA116" s="85"/>
      <c r="AB116" s="85">
        <f>AB$16</f>
        <v>4854</v>
      </c>
      <c r="AC116" s="85"/>
      <c r="AD116" s="85"/>
      <c r="AE116" s="85"/>
      <c r="AF116" s="85">
        <f>AF$16</f>
        <v>5216</v>
      </c>
      <c r="AG116" s="85">
        <f t="shared" ref="AG116:AJ116" si="99">AG$16</f>
        <v>0</v>
      </c>
      <c r="AH116" s="85">
        <f t="shared" si="99"/>
        <v>0</v>
      </c>
      <c r="AI116" s="85">
        <f t="shared" si="99"/>
        <v>0</v>
      </c>
      <c r="AJ116" s="85">
        <f t="shared" si="99"/>
        <v>4079</v>
      </c>
      <c r="AK116" s="85"/>
      <c r="AL116" s="85"/>
      <c r="AM116" s="85"/>
      <c r="AN116" s="85">
        <f t="shared" ref="AN116" si="100">AN$16</f>
        <v>4350</v>
      </c>
      <c r="AO116" s="85"/>
      <c r="AP116" s="85"/>
      <c r="AQ116" s="85"/>
      <c r="AR116" s="896">
        <f t="shared" ref="AR116" si="101">AR$16</f>
        <v>4442</v>
      </c>
      <c r="AS116" s="85"/>
      <c r="AT116" s="85"/>
      <c r="AU116" s="85"/>
      <c r="AV116" s="85">
        <f>AV$16</f>
        <v>4575.1820000000007</v>
      </c>
      <c r="AW116" s="85"/>
      <c r="AX116" s="85"/>
      <c r="AY116" s="85"/>
      <c r="AZ116" s="85">
        <f>AZ$16</f>
        <v>4674.4952720000001</v>
      </c>
      <c r="BA116" s="85"/>
      <c r="BB116" s="85"/>
      <c r="BC116" s="85"/>
      <c r="BD116" s="85">
        <f>BD$16</f>
        <v>4814.8486243748002</v>
      </c>
    </row>
    <row r="117" spans="3:58" x14ac:dyDescent="0.2">
      <c r="C117" s="2" t="s">
        <v>951</v>
      </c>
      <c r="D117" s="85"/>
      <c r="H117" s="85"/>
      <c r="L117" s="85">
        <f>L20</f>
        <v>397</v>
      </c>
      <c r="M117" s="2">
        <f t="shared" ref="M117:AZ117" si="102">M20</f>
        <v>0</v>
      </c>
      <c r="N117" s="2">
        <f t="shared" si="102"/>
        <v>0</v>
      </c>
      <c r="O117" s="2">
        <f t="shared" si="102"/>
        <v>0</v>
      </c>
      <c r="P117" s="85">
        <f t="shared" si="102"/>
        <v>228</v>
      </c>
      <c r="Q117" s="2">
        <f t="shared" si="102"/>
        <v>0</v>
      </c>
      <c r="R117" s="2">
        <f t="shared" si="102"/>
        <v>0</v>
      </c>
      <c r="S117" s="2">
        <f t="shared" si="102"/>
        <v>0</v>
      </c>
      <c r="T117" s="85">
        <f t="shared" si="102"/>
        <v>0</v>
      </c>
      <c r="U117" s="2">
        <f t="shared" si="102"/>
        <v>0</v>
      </c>
      <c r="V117" s="2">
        <f t="shared" si="102"/>
        <v>0</v>
      </c>
      <c r="W117" s="2">
        <f t="shared" si="102"/>
        <v>0</v>
      </c>
      <c r="X117" s="85">
        <f t="shared" si="102"/>
        <v>0</v>
      </c>
      <c r="Y117" s="85">
        <f t="shared" si="102"/>
        <v>0</v>
      </c>
      <c r="Z117" s="85">
        <f t="shared" si="102"/>
        <v>0</v>
      </c>
      <c r="AA117" s="85">
        <f t="shared" si="102"/>
        <v>0</v>
      </c>
      <c r="AB117" s="85">
        <f t="shared" si="102"/>
        <v>0</v>
      </c>
      <c r="AC117" s="85">
        <f t="shared" si="102"/>
        <v>0</v>
      </c>
      <c r="AD117" s="85">
        <f t="shared" si="102"/>
        <v>0</v>
      </c>
      <c r="AE117" s="85">
        <f t="shared" si="102"/>
        <v>0</v>
      </c>
      <c r="AF117" s="85">
        <f t="shared" si="102"/>
        <v>516</v>
      </c>
      <c r="AG117" s="85">
        <f t="shared" si="102"/>
        <v>0</v>
      </c>
      <c r="AH117" s="85">
        <f t="shared" si="102"/>
        <v>0</v>
      </c>
      <c r="AI117" s="85">
        <f t="shared" si="102"/>
        <v>0</v>
      </c>
      <c r="AJ117" s="85">
        <f t="shared" si="102"/>
        <v>0</v>
      </c>
      <c r="AK117" s="85">
        <f t="shared" si="102"/>
        <v>0</v>
      </c>
      <c r="AL117" s="85">
        <f t="shared" si="102"/>
        <v>0</v>
      </c>
      <c r="AM117" s="85">
        <f t="shared" si="102"/>
        <v>0</v>
      </c>
      <c r="AN117" s="85">
        <f t="shared" si="102"/>
        <v>0</v>
      </c>
      <c r="AO117" s="85">
        <f t="shared" si="102"/>
        <v>0</v>
      </c>
      <c r="AP117" s="85">
        <f t="shared" si="102"/>
        <v>0</v>
      </c>
      <c r="AQ117" s="85">
        <f t="shared" si="102"/>
        <v>0</v>
      </c>
      <c r="AR117" s="896">
        <f t="shared" ref="AR117" si="103">AR20</f>
        <v>0</v>
      </c>
      <c r="AS117" s="85">
        <f t="shared" si="102"/>
        <v>0</v>
      </c>
      <c r="AT117" s="85">
        <f t="shared" si="102"/>
        <v>0</v>
      </c>
      <c r="AU117" s="85">
        <f t="shared" si="102"/>
        <v>0</v>
      </c>
      <c r="AV117" s="85">
        <f t="shared" si="102"/>
        <v>0</v>
      </c>
      <c r="AW117" s="85"/>
      <c r="AX117" s="85"/>
      <c r="AY117" s="85"/>
      <c r="AZ117" s="85">
        <f t="shared" si="102"/>
        <v>0</v>
      </c>
      <c r="BA117" s="85"/>
      <c r="BB117" s="85"/>
      <c r="BC117" s="85"/>
      <c r="BD117" s="85">
        <f t="shared" ref="BD117" si="104">BD20</f>
        <v>0</v>
      </c>
    </row>
    <row r="118" spans="3:58" x14ac:dyDescent="0.2">
      <c r="C118" s="2" t="s">
        <v>941</v>
      </c>
      <c r="D118" s="85"/>
      <c r="H118" s="85"/>
      <c r="L118" s="85">
        <f>L115+L116-L117</f>
        <v>24883</v>
      </c>
      <c r="M118" s="2">
        <f t="shared" ref="M118:AZ118" si="105">M115+M116-M117</f>
        <v>0</v>
      </c>
      <c r="N118" s="2">
        <f t="shared" si="105"/>
        <v>0</v>
      </c>
      <c r="O118" s="2">
        <f t="shared" si="105"/>
        <v>0</v>
      </c>
      <c r="P118" s="85">
        <f t="shared" si="105"/>
        <v>24694</v>
      </c>
      <c r="Q118" s="2">
        <f t="shared" si="105"/>
        <v>0</v>
      </c>
      <c r="R118" s="2">
        <f t="shared" si="105"/>
        <v>0</v>
      </c>
      <c r="S118" s="2">
        <f t="shared" si="105"/>
        <v>0</v>
      </c>
      <c r="T118" s="85">
        <f t="shared" si="105"/>
        <v>23579</v>
      </c>
      <c r="U118" s="2">
        <f t="shared" si="105"/>
        <v>0</v>
      </c>
      <c r="V118" s="2">
        <f t="shared" si="105"/>
        <v>0</v>
      </c>
      <c r="W118" s="2">
        <f t="shared" si="105"/>
        <v>0</v>
      </c>
      <c r="X118" s="85">
        <f t="shared" si="105"/>
        <v>23761</v>
      </c>
      <c r="Y118" s="85">
        <f t="shared" si="105"/>
        <v>0</v>
      </c>
      <c r="Z118" s="85">
        <f t="shared" si="105"/>
        <v>0</v>
      </c>
      <c r="AA118" s="85">
        <f t="shared" si="105"/>
        <v>0</v>
      </c>
      <c r="AB118" s="85">
        <f t="shared" si="105"/>
        <v>24156</v>
      </c>
      <c r="AC118" s="85">
        <f t="shared" si="105"/>
        <v>0</v>
      </c>
      <c r="AD118" s="85">
        <f t="shared" si="105"/>
        <v>0</v>
      </c>
      <c r="AE118" s="85">
        <f t="shared" si="105"/>
        <v>0</v>
      </c>
      <c r="AF118" s="85">
        <f t="shared" si="105"/>
        <v>24173</v>
      </c>
      <c r="AG118" s="85">
        <f t="shared" si="105"/>
        <v>0</v>
      </c>
      <c r="AH118" s="85">
        <f t="shared" si="105"/>
        <v>0</v>
      </c>
      <c r="AI118" s="85">
        <f t="shared" si="105"/>
        <v>0</v>
      </c>
      <c r="AJ118" s="85">
        <f t="shared" si="105"/>
        <v>27135</v>
      </c>
      <c r="AK118" s="85">
        <f t="shared" si="105"/>
        <v>0</v>
      </c>
      <c r="AL118" s="85">
        <f t="shared" si="105"/>
        <v>0</v>
      </c>
      <c r="AM118" s="85">
        <f t="shared" si="105"/>
        <v>0</v>
      </c>
      <c r="AN118" s="85">
        <f t="shared" si="105"/>
        <v>27174</v>
      </c>
      <c r="AO118" s="85">
        <f t="shared" si="105"/>
        <v>0</v>
      </c>
      <c r="AP118" s="85">
        <f t="shared" si="105"/>
        <v>0</v>
      </c>
      <c r="AQ118" s="85">
        <f t="shared" si="105"/>
        <v>0</v>
      </c>
      <c r="AR118" s="896">
        <f t="shared" ref="AR118" si="106">AR115+AR116-AR117</f>
        <v>28465</v>
      </c>
      <c r="AS118" s="85">
        <f t="shared" si="105"/>
        <v>0</v>
      </c>
      <c r="AT118" s="85">
        <f t="shared" si="105"/>
        <v>0</v>
      </c>
      <c r="AU118" s="85">
        <f t="shared" si="105"/>
        <v>0</v>
      </c>
      <c r="AV118" s="85">
        <f t="shared" si="105"/>
        <v>29672.977493586321</v>
      </c>
      <c r="AW118" s="85"/>
      <c r="AX118" s="85"/>
      <c r="AY118" s="85"/>
      <c r="AZ118" s="85">
        <f t="shared" si="105"/>
        <v>30738.617803625286</v>
      </c>
      <c r="BA118" s="85"/>
      <c r="BB118" s="85"/>
      <c r="BC118" s="85"/>
      <c r="BD118" s="85">
        <f t="shared" ref="BD118" si="107">BD115+BD116-BD117</f>
        <v>31494.861555685482</v>
      </c>
    </row>
    <row r="119" spans="3:58" x14ac:dyDescent="0.2">
      <c r="C119" s="2" t="s">
        <v>34</v>
      </c>
      <c r="D119" s="85">
        <f>D$18</f>
        <v>23578</v>
      </c>
      <c r="H119" s="85">
        <f>H$18</f>
        <v>24747</v>
      </c>
      <c r="L119" s="85">
        <f>L$18</f>
        <v>25280</v>
      </c>
      <c r="P119" s="85">
        <f>P$18</f>
        <v>24922</v>
      </c>
      <c r="T119" s="85">
        <f>T$18</f>
        <v>23579</v>
      </c>
      <c r="X119" s="85">
        <f>X$18</f>
        <v>23761</v>
      </c>
      <c r="Y119" s="85"/>
      <c r="Z119" s="85"/>
      <c r="AA119" s="85"/>
      <c r="AB119" s="85">
        <f>AB$18</f>
        <v>24156</v>
      </c>
      <c r="AC119" s="85"/>
      <c r="AD119" s="85"/>
      <c r="AE119" s="85"/>
      <c r="AF119" s="85">
        <f>AF$18</f>
        <v>24689</v>
      </c>
      <c r="AG119" s="85">
        <f t="shared" ref="AG119:AJ119" si="108">AG$18</f>
        <v>0</v>
      </c>
      <c r="AH119" s="85">
        <f t="shared" si="108"/>
        <v>0</v>
      </c>
      <c r="AI119" s="85">
        <f t="shared" si="108"/>
        <v>0</v>
      </c>
      <c r="AJ119" s="85">
        <f t="shared" si="108"/>
        <v>27135</v>
      </c>
      <c r="AK119" s="85"/>
      <c r="AL119" s="85"/>
      <c r="AM119" s="85"/>
      <c r="AN119" s="85">
        <f t="shared" ref="AN119" si="109">AN$18</f>
        <v>27174</v>
      </c>
      <c r="AO119" s="85"/>
      <c r="AP119" s="85"/>
      <c r="AQ119" s="85"/>
      <c r="AR119" s="896">
        <f t="shared" ref="AR119" si="110">AR$18</f>
        <v>28465</v>
      </c>
      <c r="AS119" s="85"/>
      <c r="AT119" s="85"/>
      <c r="AU119" s="85"/>
      <c r="AV119" s="85">
        <f>+AV115+AV116</f>
        <v>29672.977493586321</v>
      </c>
      <c r="AW119" s="85"/>
      <c r="AX119" s="85"/>
      <c r="AY119" s="85"/>
      <c r="AZ119" s="85">
        <f>+AZ115+AZ116</f>
        <v>30738.617803625286</v>
      </c>
      <c r="BA119" s="85"/>
      <c r="BB119" s="85"/>
      <c r="BC119" s="85"/>
      <c r="BD119" s="85">
        <f>+BD115+BD116</f>
        <v>31494.861555685482</v>
      </c>
    </row>
    <row r="120" spans="3:58" x14ac:dyDescent="0.2">
      <c r="C120" s="90" t="s">
        <v>233</v>
      </c>
      <c r="D120" s="897"/>
      <c r="E120" s="90"/>
      <c r="F120" s="90"/>
      <c r="G120" s="90"/>
      <c r="H120" s="91">
        <f>+H119/D119-1</f>
        <v>4.9580117058274586E-2</v>
      </c>
      <c r="I120" s="90"/>
      <c r="J120" s="90"/>
      <c r="K120" s="90"/>
      <c r="L120" s="91">
        <f>+L119/H119-1</f>
        <v>2.1537964197680504E-2</v>
      </c>
      <c r="M120" s="90"/>
      <c r="N120" s="90"/>
      <c r="O120" s="90"/>
      <c r="P120" s="898">
        <f>+P119/L119-1</f>
        <v>-1.4161392405063311E-2</v>
      </c>
      <c r="T120" s="898">
        <f>+T119/P119-1</f>
        <v>-5.3888130968622105E-2</v>
      </c>
      <c r="X120" s="898">
        <f>+X119/T119-1</f>
        <v>7.7187327706857989E-3</v>
      </c>
      <c r="Y120" s="898"/>
      <c r="Z120" s="898"/>
      <c r="AA120" s="898"/>
      <c r="AB120" s="898">
        <f>+AB119/X119-1</f>
        <v>1.6623879466352465E-2</v>
      </c>
      <c r="AC120" s="898"/>
      <c r="AD120" s="898"/>
      <c r="AE120" s="898"/>
      <c r="AF120" s="898">
        <f>+AF119/AB119-1</f>
        <v>2.2064911409173771E-2</v>
      </c>
      <c r="AG120" s="898" t="e">
        <f t="shared" ref="AG120:AJ120" si="111">+AG119/AC119-1</f>
        <v>#DIV/0!</v>
      </c>
      <c r="AH120" s="898" t="e">
        <f t="shared" si="111"/>
        <v>#DIV/0!</v>
      </c>
      <c r="AI120" s="898" t="e">
        <f t="shared" si="111"/>
        <v>#DIV/0!</v>
      </c>
      <c r="AJ120" s="898">
        <f t="shared" si="111"/>
        <v>9.9072461420065538E-2</v>
      </c>
      <c r="AK120" s="91"/>
      <c r="AL120" s="91"/>
      <c r="AM120" s="91"/>
      <c r="AN120" s="898">
        <f t="shared" ref="AN120" si="112">+AN119/AJ119-1</f>
        <v>1.4372581536761242E-3</v>
      </c>
      <c r="AO120" s="91"/>
      <c r="AP120" s="91"/>
      <c r="AQ120" s="91"/>
      <c r="AR120" s="899">
        <f t="shared" ref="AR120" si="113">+AR119/AN119-1</f>
        <v>4.7508647972326568E-2</v>
      </c>
      <c r="AS120" s="91"/>
      <c r="AT120" s="91"/>
      <c r="AU120" s="91"/>
      <c r="AV120" s="91">
        <f>+AV119/AR119-1</f>
        <v>4.2437291185186021E-2</v>
      </c>
      <c r="AW120" s="91"/>
      <c r="AX120" s="91"/>
      <c r="AY120" s="91"/>
      <c r="AZ120" s="91">
        <f>+AZ119/AV119-1</f>
        <v>3.591282035209642E-2</v>
      </c>
      <c r="BA120" s="91"/>
      <c r="BB120" s="91"/>
      <c r="BC120" s="91"/>
      <c r="BD120" s="91">
        <f>+BD119/AZ119-1</f>
        <v>2.4602399395167618E-2</v>
      </c>
    </row>
    <row r="121" spans="3:58" x14ac:dyDescent="0.2">
      <c r="C121" s="2" t="s">
        <v>266</v>
      </c>
      <c r="D121" s="85"/>
      <c r="H121" s="118"/>
      <c r="L121" s="85">
        <f>L$21</f>
        <v>-10229</v>
      </c>
      <c r="M121" s="2">
        <f t="shared" ref="M121:X121" si="114">M$21</f>
        <v>0</v>
      </c>
      <c r="N121" s="2">
        <f t="shared" si="114"/>
        <v>0</v>
      </c>
      <c r="O121" s="2">
        <f t="shared" si="114"/>
        <v>0</v>
      </c>
      <c r="P121" s="85">
        <f t="shared" si="114"/>
        <v>-10796</v>
      </c>
      <c r="Q121" s="2">
        <f t="shared" si="114"/>
        <v>0</v>
      </c>
      <c r="R121" s="2">
        <f t="shared" si="114"/>
        <v>-4975</v>
      </c>
      <c r="S121" s="2">
        <f t="shared" si="114"/>
        <v>-5159</v>
      </c>
      <c r="T121" s="85">
        <f t="shared" si="114"/>
        <v>-10134</v>
      </c>
      <c r="U121" s="2">
        <f t="shared" si="114"/>
        <v>0</v>
      </c>
      <c r="V121" s="2">
        <f t="shared" si="114"/>
        <v>-5257</v>
      </c>
      <c r="W121" s="2">
        <f t="shared" si="114"/>
        <v>-5278</v>
      </c>
      <c r="X121" s="85">
        <f t="shared" si="114"/>
        <v>-10535</v>
      </c>
      <c r="Y121" s="894">
        <f>MODEL!CM196</f>
        <v>0</v>
      </c>
      <c r="Z121" s="894">
        <f>MODEL!CN196</f>
        <v>0</v>
      </c>
      <c r="AA121" s="894">
        <f>MODEL!CO196</f>
        <v>0</v>
      </c>
      <c r="AB121" s="85">
        <f t="shared" ref="AB121" si="115">AB$21</f>
        <v>-10784</v>
      </c>
      <c r="AC121" s="85"/>
      <c r="AD121" s="85"/>
      <c r="AE121" s="85"/>
      <c r="AF121" s="85">
        <f t="shared" ref="AF121:AJ121" si="116">AF$21</f>
        <v>-10788</v>
      </c>
      <c r="AG121" s="85">
        <f t="shared" si="116"/>
        <v>0</v>
      </c>
      <c r="AH121" s="85">
        <f t="shared" si="116"/>
        <v>-5636</v>
      </c>
      <c r="AI121" s="85">
        <f t="shared" si="116"/>
        <v>-5873</v>
      </c>
      <c r="AJ121" s="85">
        <f t="shared" si="116"/>
        <v>-11646</v>
      </c>
      <c r="AK121" s="85"/>
      <c r="AL121" s="85"/>
      <c r="AM121" s="85"/>
      <c r="AN121" s="85">
        <f t="shared" ref="AN121" si="117">AN$21</f>
        <v>-12129</v>
      </c>
      <c r="AO121" s="85"/>
      <c r="AP121" s="85"/>
      <c r="AQ121" s="85"/>
      <c r="AR121" s="896">
        <f t="shared" ref="AR121" si="118">AR$21</f>
        <v>-12866</v>
      </c>
      <c r="AS121" s="85"/>
      <c r="AT121" s="85"/>
      <c r="AU121" s="85"/>
      <c r="AV121" s="85">
        <f>AR121*(1+AV122)</f>
        <v>-13573.63</v>
      </c>
      <c r="AW121" s="85"/>
      <c r="AX121" s="85"/>
      <c r="AY121" s="85"/>
      <c r="AZ121" s="85">
        <f>AV121*(1+AZ122)</f>
        <v>-14184.443349999998</v>
      </c>
      <c r="BA121" s="85"/>
      <c r="BB121" s="85"/>
      <c r="BC121" s="85"/>
      <c r="BD121" s="85">
        <f>AZ121*(1+BD122)</f>
        <v>-14822.743300749997</v>
      </c>
    </row>
    <row r="122" spans="3:58" x14ac:dyDescent="0.2">
      <c r="C122" s="878" t="s">
        <v>233</v>
      </c>
      <c r="D122" s="879">
        <f>MODEL!BS868</f>
        <v>0</v>
      </c>
      <c r="E122" s="880"/>
      <c r="F122" s="880"/>
      <c r="G122" s="880"/>
      <c r="H122" s="879">
        <f>MODEL!BW868</f>
        <v>0</v>
      </c>
      <c r="I122" s="880"/>
      <c r="J122" s="880"/>
      <c r="K122" s="880"/>
      <c r="L122" s="879"/>
      <c r="M122" s="880"/>
      <c r="N122" s="880"/>
      <c r="O122" s="880"/>
      <c r="P122" s="885">
        <f t="shared" ref="P122:AB122" si="119">P121/L121-1</f>
        <v>5.5430638381073427E-2</v>
      </c>
      <c r="Q122" s="2" t="e">
        <f t="shared" si="119"/>
        <v>#DIV/0!</v>
      </c>
      <c r="R122" s="2" t="e">
        <f t="shared" si="119"/>
        <v>#DIV/0!</v>
      </c>
      <c r="S122" s="2" t="e">
        <f t="shared" si="119"/>
        <v>#DIV/0!</v>
      </c>
      <c r="T122" s="885">
        <f t="shared" si="119"/>
        <v>-6.1319007039644324E-2</v>
      </c>
      <c r="U122" s="2" t="e">
        <f t="shared" si="119"/>
        <v>#DIV/0!</v>
      </c>
      <c r="V122" s="2">
        <f t="shared" si="119"/>
        <v>5.6683417085427124E-2</v>
      </c>
      <c r="W122" s="2">
        <f t="shared" si="119"/>
        <v>2.3066485753052923E-2</v>
      </c>
      <c r="X122" s="885">
        <f t="shared" si="119"/>
        <v>3.9569765147029701E-2</v>
      </c>
      <c r="Y122" s="885" t="e">
        <f t="shared" si="119"/>
        <v>#DIV/0!</v>
      </c>
      <c r="Z122" s="885">
        <f t="shared" si="119"/>
        <v>-1</v>
      </c>
      <c r="AA122" s="885">
        <f t="shared" si="119"/>
        <v>-1</v>
      </c>
      <c r="AB122" s="885">
        <f t="shared" si="119"/>
        <v>2.3635500711912671E-2</v>
      </c>
      <c r="AC122" s="940" t="e">
        <f>AC$25</f>
        <v>#DIV/0!</v>
      </c>
      <c r="AD122" s="940" t="e">
        <f>AD$25</f>
        <v>#DIV/0!</v>
      </c>
      <c r="AE122" s="940" t="e">
        <f>AE$25</f>
        <v>#DIV/0!</v>
      </c>
      <c r="AF122" s="885">
        <f t="shared" ref="AF122:AJ122" si="120">AF121/AB121-1</f>
        <v>3.7091988130555364E-4</v>
      </c>
      <c r="AG122" s="885" t="e">
        <f t="shared" si="120"/>
        <v>#DIV/0!</v>
      </c>
      <c r="AH122" s="885" t="e">
        <f t="shared" si="120"/>
        <v>#DIV/0!</v>
      </c>
      <c r="AI122" s="885" t="e">
        <f t="shared" si="120"/>
        <v>#DIV/0!</v>
      </c>
      <c r="AJ122" s="885">
        <f t="shared" si="120"/>
        <v>7.953281423804226E-2</v>
      </c>
      <c r="AK122" s="941"/>
      <c r="AL122" s="941"/>
      <c r="AM122" s="941"/>
      <c r="AN122" s="885">
        <f t="shared" ref="AN122" si="121">AN121/AJ121-1</f>
        <v>4.1473467284904642E-2</v>
      </c>
      <c r="AO122" s="941"/>
      <c r="AP122" s="941"/>
      <c r="AQ122" s="941"/>
      <c r="AR122" s="886">
        <f t="shared" ref="AR122" si="122">AR121/AN121-1</f>
        <v>6.0763459477285897E-2</v>
      </c>
      <c r="AS122" s="941"/>
      <c r="AT122" s="941"/>
      <c r="AU122" s="941"/>
      <c r="AV122" s="941">
        <v>5.5E-2</v>
      </c>
      <c r="AW122" s="941"/>
      <c r="AX122" s="941"/>
      <c r="AY122" s="941"/>
      <c r="AZ122" s="941">
        <v>4.4999999999999998E-2</v>
      </c>
      <c r="BA122" s="941"/>
      <c r="BB122" s="941"/>
      <c r="BC122" s="941"/>
      <c r="BD122" s="941">
        <v>4.4999999999999998E-2</v>
      </c>
    </row>
    <row r="123" spans="3:58" x14ac:dyDescent="0.2">
      <c r="C123" s="2" t="s">
        <v>943</v>
      </c>
      <c r="D123" s="85"/>
      <c r="H123" s="118"/>
      <c r="L123" s="85">
        <f t="shared" ref="L123:AJ123" si="123">L23</f>
        <v>-393</v>
      </c>
      <c r="M123" s="2">
        <f t="shared" si="123"/>
        <v>0</v>
      </c>
      <c r="N123" s="2">
        <f t="shared" si="123"/>
        <v>0</v>
      </c>
      <c r="O123" s="2">
        <f t="shared" si="123"/>
        <v>0</v>
      </c>
      <c r="P123" s="85">
        <f t="shared" si="123"/>
        <v>-199</v>
      </c>
      <c r="Q123" s="2">
        <f t="shared" si="123"/>
        <v>0</v>
      </c>
      <c r="R123" s="2">
        <f t="shared" si="123"/>
        <v>4975</v>
      </c>
      <c r="S123" s="2">
        <f t="shared" si="123"/>
        <v>5159</v>
      </c>
      <c r="T123" s="85">
        <f t="shared" si="123"/>
        <v>-690</v>
      </c>
      <c r="U123" s="2">
        <f t="shared" si="123"/>
        <v>0</v>
      </c>
      <c r="V123" s="2">
        <f t="shared" si="123"/>
        <v>5257</v>
      </c>
      <c r="W123" s="2">
        <f t="shared" si="123"/>
        <v>5278</v>
      </c>
      <c r="X123" s="85">
        <f t="shared" si="123"/>
        <v>-461</v>
      </c>
      <c r="Y123" s="85">
        <f t="shared" si="123"/>
        <v>0</v>
      </c>
      <c r="Z123" s="85">
        <f t="shared" si="123"/>
        <v>5349</v>
      </c>
      <c r="AA123" s="85">
        <f t="shared" si="123"/>
        <v>5435</v>
      </c>
      <c r="AB123" s="85">
        <f t="shared" si="123"/>
        <v>-575</v>
      </c>
      <c r="AC123" s="85">
        <f t="shared" si="123"/>
        <v>0</v>
      </c>
      <c r="AD123" s="85">
        <f t="shared" si="123"/>
        <v>5397</v>
      </c>
      <c r="AE123" s="85">
        <f t="shared" si="123"/>
        <v>5391</v>
      </c>
      <c r="AF123" s="85">
        <f t="shared" si="123"/>
        <v>-640</v>
      </c>
      <c r="AG123" s="85">
        <f t="shared" si="123"/>
        <v>0</v>
      </c>
      <c r="AH123" s="85">
        <f t="shared" si="123"/>
        <v>5636</v>
      </c>
      <c r="AI123" s="85">
        <f t="shared" si="123"/>
        <v>5873</v>
      </c>
      <c r="AJ123" s="85">
        <f t="shared" si="123"/>
        <v>-212</v>
      </c>
      <c r="AK123" s="85"/>
      <c r="AL123" s="85"/>
      <c r="AM123" s="85"/>
      <c r="AN123" s="85">
        <f t="shared" ref="AN123" si="124">AN23</f>
        <v>-89</v>
      </c>
      <c r="AO123" s="85"/>
      <c r="AP123" s="85"/>
      <c r="AQ123" s="85"/>
      <c r="AR123" s="896">
        <f t="shared" ref="AR123" si="125">AR23</f>
        <v>-130</v>
      </c>
      <c r="AS123" s="85"/>
      <c r="AT123" s="85"/>
      <c r="AU123" s="85"/>
      <c r="AV123" s="85">
        <f t="shared" ref="AV123" si="126">AV23</f>
        <v>-220</v>
      </c>
      <c r="AW123" s="85"/>
      <c r="AX123" s="85"/>
      <c r="AY123" s="85"/>
      <c r="AZ123" s="85">
        <f t="shared" ref="AZ123" si="127">AZ23</f>
        <v>-50</v>
      </c>
      <c r="BA123" s="85"/>
      <c r="BB123" s="85"/>
      <c r="BC123" s="85"/>
      <c r="BD123" s="85">
        <f t="shared" ref="BD123" si="128">BD23</f>
        <v>-50</v>
      </c>
    </row>
    <row r="124" spans="3:58" x14ac:dyDescent="0.2">
      <c r="C124" s="2" t="s">
        <v>249</v>
      </c>
      <c r="D124" s="85">
        <f>D$24</f>
        <v>-9993</v>
      </c>
      <c r="H124" s="85">
        <f>H$24</f>
        <v>-10434</v>
      </c>
      <c r="L124" s="85">
        <f>L121+L123</f>
        <v>-10622</v>
      </c>
      <c r="M124" s="2">
        <f t="shared" ref="M124:AJ124" si="129">M121+M123</f>
        <v>0</v>
      </c>
      <c r="N124" s="2">
        <f t="shared" si="129"/>
        <v>0</v>
      </c>
      <c r="O124" s="2">
        <f t="shared" si="129"/>
        <v>0</v>
      </c>
      <c r="P124" s="85">
        <f t="shared" si="129"/>
        <v>-10995</v>
      </c>
      <c r="Q124" s="2">
        <f t="shared" si="129"/>
        <v>0</v>
      </c>
      <c r="R124" s="2">
        <f t="shared" si="129"/>
        <v>0</v>
      </c>
      <c r="S124" s="2">
        <f t="shared" si="129"/>
        <v>0</v>
      </c>
      <c r="T124" s="85">
        <f t="shared" si="129"/>
        <v>-10824</v>
      </c>
      <c r="U124" s="2">
        <f t="shared" si="129"/>
        <v>0</v>
      </c>
      <c r="V124" s="2">
        <f t="shared" si="129"/>
        <v>0</v>
      </c>
      <c r="W124" s="2">
        <f t="shared" si="129"/>
        <v>0</v>
      </c>
      <c r="X124" s="85">
        <f t="shared" si="129"/>
        <v>-10996</v>
      </c>
      <c r="Y124" s="85">
        <f t="shared" si="129"/>
        <v>0</v>
      </c>
      <c r="Z124" s="85">
        <f t="shared" si="129"/>
        <v>5349</v>
      </c>
      <c r="AA124" s="85">
        <f t="shared" si="129"/>
        <v>5435</v>
      </c>
      <c r="AB124" s="85">
        <f t="shared" si="129"/>
        <v>-11359</v>
      </c>
      <c r="AC124" s="85">
        <f t="shared" si="129"/>
        <v>0</v>
      </c>
      <c r="AD124" s="85">
        <f t="shared" si="129"/>
        <v>5397</v>
      </c>
      <c r="AE124" s="85">
        <f t="shared" si="129"/>
        <v>5391</v>
      </c>
      <c r="AF124" s="85">
        <f t="shared" si="129"/>
        <v>-11428</v>
      </c>
      <c r="AG124" s="85">
        <f t="shared" si="129"/>
        <v>0</v>
      </c>
      <c r="AH124" s="85">
        <f t="shared" si="129"/>
        <v>0</v>
      </c>
      <c r="AI124" s="85">
        <f t="shared" si="129"/>
        <v>0</v>
      </c>
      <c r="AJ124" s="85">
        <f t="shared" si="129"/>
        <v>-11858</v>
      </c>
      <c r="AK124" s="85"/>
      <c r="AL124" s="85"/>
      <c r="AM124" s="85"/>
      <c r="AN124" s="85">
        <f t="shared" ref="AN124" si="130">AN121+AN123</f>
        <v>-12218</v>
      </c>
      <c r="AO124" s="85"/>
      <c r="AP124" s="85"/>
      <c r="AQ124" s="85"/>
      <c r="AR124" s="896">
        <f t="shared" ref="AR124" si="131">AR121+AR123</f>
        <v>-12996</v>
      </c>
      <c r="AS124" s="85"/>
      <c r="AT124" s="85"/>
      <c r="AU124" s="85"/>
      <c r="AV124" s="85">
        <f>AV121+AV123</f>
        <v>-13793.63</v>
      </c>
      <c r="AW124" s="85"/>
      <c r="AX124" s="85"/>
      <c r="AY124" s="85"/>
      <c r="AZ124" s="85">
        <f>AZ121+AZ123</f>
        <v>-14234.443349999998</v>
      </c>
      <c r="BA124" s="85"/>
      <c r="BB124" s="85"/>
      <c r="BC124" s="85"/>
      <c r="BD124" s="85">
        <f>BD121+BD123</f>
        <v>-14872.743300749997</v>
      </c>
      <c r="BE124" s="162"/>
      <c r="BF124" s="278"/>
    </row>
    <row r="125" spans="3:58" x14ac:dyDescent="0.2">
      <c r="C125" s="90" t="s">
        <v>233</v>
      </c>
      <c r="D125" s="902">
        <f>D$25</f>
        <v>5.2005474260448548E-2</v>
      </c>
      <c r="E125" s="90"/>
      <c r="F125" s="90"/>
      <c r="G125" s="90"/>
      <c r="H125" s="902">
        <f>H$25</f>
        <v>4.413089162413697E-2</v>
      </c>
      <c r="I125" s="90"/>
      <c r="J125" s="90"/>
      <c r="K125" s="90"/>
      <c r="L125" s="902">
        <f t="shared" ref="L125:AJ125" si="132">L124/H124-1</f>
        <v>1.8018018018018056E-2</v>
      </c>
      <c r="M125" s="90" t="e">
        <f t="shared" si="132"/>
        <v>#DIV/0!</v>
      </c>
      <c r="N125" s="90" t="e">
        <f t="shared" si="132"/>
        <v>#DIV/0!</v>
      </c>
      <c r="O125" s="90" t="e">
        <f t="shared" si="132"/>
        <v>#DIV/0!</v>
      </c>
      <c r="P125" s="866">
        <f t="shared" si="132"/>
        <v>3.5115797401619187E-2</v>
      </c>
      <c r="Q125" s="2" t="e">
        <f t="shared" si="132"/>
        <v>#DIV/0!</v>
      </c>
      <c r="R125" s="2" t="e">
        <f t="shared" si="132"/>
        <v>#DIV/0!</v>
      </c>
      <c r="S125" s="2" t="e">
        <f t="shared" si="132"/>
        <v>#DIV/0!</v>
      </c>
      <c r="T125" s="866">
        <f t="shared" si="132"/>
        <v>-1.5552523874488355E-2</v>
      </c>
      <c r="U125" s="2" t="e">
        <f t="shared" si="132"/>
        <v>#DIV/0!</v>
      </c>
      <c r="V125" s="2" t="e">
        <f t="shared" si="132"/>
        <v>#DIV/0!</v>
      </c>
      <c r="W125" s="2" t="e">
        <f t="shared" si="132"/>
        <v>#DIV/0!</v>
      </c>
      <c r="X125" s="866">
        <f t="shared" si="132"/>
        <v>1.5890613451589042E-2</v>
      </c>
      <c r="Y125" s="866" t="e">
        <f t="shared" si="132"/>
        <v>#DIV/0!</v>
      </c>
      <c r="Z125" s="866" t="e">
        <f t="shared" si="132"/>
        <v>#DIV/0!</v>
      </c>
      <c r="AA125" s="866" t="e">
        <f t="shared" si="132"/>
        <v>#DIV/0!</v>
      </c>
      <c r="AB125" s="866">
        <f t="shared" si="132"/>
        <v>3.3012004365223779E-2</v>
      </c>
      <c r="AC125" s="866" t="e">
        <f t="shared" si="132"/>
        <v>#DIV/0!</v>
      </c>
      <c r="AD125" s="866">
        <f t="shared" si="132"/>
        <v>8.9736399326976191E-3</v>
      </c>
      <c r="AE125" s="866">
        <f t="shared" si="132"/>
        <v>-8.0956761729530369E-3</v>
      </c>
      <c r="AF125" s="866">
        <f t="shared" si="132"/>
        <v>6.0744783871820029E-3</v>
      </c>
      <c r="AG125" s="866" t="e">
        <f t="shared" si="132"/>
        <v>#DIV/0!</v>
      </c>
      <c r="AH125" s="866">
        <f t="shared" si="132"/>
        <v>-1</v>
      </c>
      <c r="AI125" s="866">
        <f t="shared" si="132"/>
        <v>-1</v>
      </c>
      <c r="AJ125" s="866">
        <f t="shared" si="132"/>
        <v>3.762688134406722E-2</v>
      </c>
      <c r="AK125" s="902"/>
      <c r="AL125" s="902"/>
      <c r="AM125" s="902"/>
      <c r="AN125" s="866">
        <f t="shared" ref="AN125" si="133">AN124/AJ124-1</f>
        <v>3.0359251138471821E-2</v>
      </c>
      <c r="AO125" s="902"/>
      <c r="AP125" s="902"/>
      <c r="AQ125" s="902"/>
      <c r="AR125" s="903">
        <f t="shared" ref="AR125" si="134">AR124/AN124-1</f>
        <v>6.3676542805696457E-2</v>
      </c>
      <c r="AS125" s="902"/>
      <c r="AT125" s="902"/>
      <c r="AU125" s="902"/>
      <c r="AV125" s="902">
        <f>AV124/AR124-1</f>
        <v>6.1375038473376442E-2</v>
      </c>
      <c r="AW125" s="902"/>
      <c r="AX125" s="902"/>
      <c r="AY125" s="902"/>
      <c r="AZ125" s="902">
        <f>AZ124/AV124-1</f>
        <v>3.195774788797423E-2</v>
      </c>
      <c r="BA125" s="902"/>
      <c r="BB125" s="902"/>
      <c r="BC125" s="902"/>
      <c r="BD125" s="902">
        <f>BD124/AZ124-1</f>
        <v>4.4841932701920495E-2</v>
      </c>
    </row>
    <row r="126" spans="3:58" x14ac:dyDescent="0.2">
      <c r="C126" s="2" t="s">
        <v>254</v>
      </c>
      <c r="D126" s="85">
        <f>D$26</f>
        <v>13585</v>
      </c>
      <c r="H126" s="85">
        <f>H$26</f>
        <v>14313.049580117058</v>
      </c>
      <c r="L126" s="85">
        <f>L119+L124</f>
        <v>14658</v>
      </c>
      <c r="M126" s="2">
        <f t="shared" ref="M126:AJ126" si="135">M119+M124</f>
        <v>0</v>
      </c>
      <c r="N126" s="2">
        <f t="shared" si="135"/>
        <v>0</v>
      </c>
      <c r="O126" s="2">
        <f t="shared" si="135"/>
        <v>0</v>
      </c>
      <c r="P126" s="85">
        <f t="shared" si="135"/>
        <v>13927</v>
      </c>
      <c r="Q126" s="2">
        <f t="shared" si="135"/>
        <v>0</v>
      </c>
      <c r="R126" s="2">
        <f t="shared" si="135"/>
        <v>0</v>
      </c>
      <c r="S126" s="2">
        <f t="shared" si="135"/>
        <v>0</v>
      </c>
      <c r="T126" s="85">
        <f t="shared" si="135"/>
        <v>12755</v>
      </c>
      <c r="U126" s="2">
        <f t="shared" si="135"/>
        <v>0</v>
      </c>
      <c r="V126" s="2">
        <f t="shared" si="135"/>
        <v>0</v>
      </c>
      <c r="W126" s="2">
        <f t="shared" si="135"/>
        <v>0</v>
      </c>
      <c r="X126" s="85">
        <f t="shared" si="135"/>
        <v>12765</v>
      </c>
      <c r="Y126" s="85">
        <f t="shared" si="135"/>
        <v>0</v>
      </c>
      <c r="Z126" s="85">
        <f t="shared" si="135"/>
        <v>5349</v>
      </c>
      <c r="AA126" s="85">
        <f t="shared" si="135"/>
        <v>5435</v>
      </c>
      <c r="AB126" s="85">
        <f t="shared" si="135"/>
        <v>12797</v>
      </c>
      <c r="AC126" s="85">
        <f t="shared" si="135"/>
        <v>0</v>
      </c>
      <c r="AD126" s="85">
        <f t="shared" si="135"/>
        <v>5397</v>
      </c>
      <c r="AE126" s="85">
        <f t="shared" si="135"/>
        <v>5391</v>
      </c>
      <c r="AF126" s="85">
        <f t="shared" si="135"/>
        <v>13261</v>
      </c>
      <c r="AG126" s="85">
        <f t="shared" si="135"/>
        <v>0</v>
      </c>
      <c r="AH126" s="85">
        <f t="shared" si="135"/>
        <v>0</v>
      </c>
      <c r="AI126" s="85">
        <f t="shared" si="135"/>
        <v>0</v>
      </c>
      <c r="AJ126" s="85">
        <f t="shared" si="135"/>
        <v>15277</v>
      </c>
      <c r="AK126" s="85"/>
      <c r="AL126" s="85"/>
      <c r="AM126" s="85"/>
      <c r="AN126" s="85">
        <f t="shared" ref="AN126" si="136">AN119+AN124</f>
        <v>14956</v>
      </c>
      <c r="AO126" s="85"/>
      <c r="AP126" s="85"/>
      <c r="AQ126" s="85"/>
      <c r="AR126" s="896">
        <f t="shared" ref="AR126" si="137">AR119+AR124</f>
        <v>15469</v>
      </c>
      <c r="AS126" s="85"/>
      <c r="AT126" s="85"/>
      <c r="AU126" s="85"/>
      <c r="AV126" s="85">
        <f>AV119+AV124</f>
        <v>15879.347493586321</v>
      </c>
      <c r="AW126" s="85"/>
      <c r="AX126" s="85"/>
      <c r="AY126" s="85"/>
      <c r="AZ126" s="85">
        <f>AZ119+AZ124</f>
        <v>16504.174453625288</v>
      </c>
      <c r="BA126" s="85"/>
      <c r="BB126" s="85"/>
      <c r="BC126" s="85"/>
      <c r="BD126" s="85">
        <f>BD119+BD124</f>
        <v>16622.118254935485</v>
      </c>
    </row>
    <row r="127" spans="3:58" x14ac:dyDescent="0.2">
      <c r="C127" s="2" t="s">
        <v>952</v>
      </c>
      <c r="D127" s="85"/>
      <c r="H127" s="85"/>
      <c r="L127" s="85">
        <f>L118+L121</f>
        <v>14654</v>
      </c>
      <c r="M127" s="2">
        <f t="shared" ref="M127:AZ127" si="138">M118+M121</f>
        <v>0</v>
      </c>
      <c r="N127" s="2">
        <f t="shared" si="138"/>
        <v>0</v>
      </c>
      <c r="O127" s="2">
        <f t="shared" si="138"/>
        <v>0</v>
      </c>
      <c r="P127" s="85">
        <f t="shared" si="138"/>
        <v>13898</v>
      </c>
      <c r="Q127" s="2">
        <f t="shared" si="138"/>
        <v>0</v>
      </c>
      <c r="R127" s="2">
        <f t="shared" si="138"/>
        <v>-4975</v>
      </c>
      <c r="S127" s="2">
        <f t="shared" si="138"/>
        <v>-5159</v>
      </c>
      <c r="T127" s="85">
        <f t="shared" si="138"/>
        <v>13445</v>
      </c>
      <c r="U127" s="2">
        <f t="shared" si="138"/>
        <v>0</v>
      </c>
      <c r="V127" s="2">
        <f t="shared" si="138"/>
        <v>-5257</v>
      </c>
      <c r="W127" s="2">
        <f t="shared" si="138"/>
        <v>-5278</v>
      </c>
      <c r="X127" s="85">
        <f t="shared" si="138"/>
        <v>13226</v>
      </c>
      <c r="Y127" s="85">
        <f t="shared" si="138"/>
        <v>0</v>
      </c>
      <c r="Z127" s="85">
        <f t="shared" si="138"/>
        <v>0</v>
      </c>
      <c r="AA127" s="85">
        <f t="shared" si="138"/>
        <v>0</v>
      </c>
      <c r="AB127" s="85">
        <f t="shared" si="138"/>
        <v>13372</v>
      </c>
      <c r="AC127" s="85">
        <f t="shared" si="138"/>
        <v>0</v>
      </c>
      <c r="AD127" s="85">
        <f t="shared" si="138"/>
        <v>0</v>
      </c>
      <c r="AE127" s="85">
        <f t="shared" si="138"/>
        <v>0</v>
      </c>
      <c r="AF127" s="85">
        <f t="shared" si="138"/>
        <v>13385</v>
      </c>
      <c r="AG127" s="85">
        <f t="shared" si="138"/>
        <v>0</v>
      </c>
      <c r="AH127" s="85">
        <f t="shared" si="138"/>
        <v>-5636</v>
      </c>
      <c r="AI127" s="85">
        <f t="shared" si="138"/>
        <v>-5873</v>
      </c>
      <c r="AJ127" s="85">
        <f t="shared" si="138"/>
        <v>15489</v>
      </c>
      <c r="AK127" s="85">
        <f t="shared" si="138"/>
        <v>0</v>
      </c>
      <c r="AL127" s="85">
        <f t="shared" si="138"/>
        <v>0</v>
      </c>
      <c r="AM127" s="85">
        <f t="shared" si="138"/>
        <v>0</v>
      </c>
      <c r="AN127" s="85">
        <f t="shared" si="138"/>
        <v>15045</v>
      </c>
      <c r="AO127" s="85">
        <f t="shared" si="138"/>
        <v>0</v>
      </c>
      <c r="AP127" s="85">
        <f t="shared" si="138"/>
        <v>0</v>
      </c>
      <c r="AQ127" s="85">
        <f t="shared" si="138"/>
        <v>0</v>
      </c>
      <c r="AR127" s="896">
        <f t="shared" ref="AR127" si="139">AR118+AR121</f>
        <v>15599</v>
      </c>
      <c r="AS127" s="85">
        <f t="shared" si="138"/>
        <v>0</v>
      </c>
      <c r="AT127" s="85">
        <f t="shared" si="138"/>
        <v>0</v>
      </c>
      <c r="AU127" s="85">
        <f t="shared" si="138"/>
        <v>0</v>
      </c>
      <c r="AV127" s="85">
        <f t="shared" si="138"/>
        <v>16099.347493586321</v>
      </c>
      <c r="AW127" s="85"/>
      <c r="AX127" s="85"/>
      <c r="AY127" s="85"/>
      <c r="AZ127" s="85">
        <f t="shared" si="138"/>
        <v>16554.174453625288</v>
      </c>
      <c r="BA127" s="85"/>
      <c r="BB127" s="85"/>
      <c r="BC127" s="85"/>
      <c r="BD127" s="85">
        <f t="shared" ref="BD127" si="140">BD118+BD121</f>
        <v>16672.118254935485</v>
      </c>
    </row>
    <row r="128" spans="3:58" x14ac:dyDescent="0.2">
      <c r="C128" s="2" t="s">
        <v>600</v>
      </c>
      <c r="D128" s="85">
        <f>D$27</f>
        <v>-988</v>
      </c>
      <c r="H128" s="85">
        <f>H$27</f>
        <v>-1256</v>
      </c>
      <c r="L128" s="85">
        <f>L$27</f>
        <v>-1095</v>
      </c>
      <c r="P128" s="85">
        <f>P$27</f>
        <v>-1079</v>
      </c>
      <c r="T128" s="85">
        <f>T$27</f>
        <v>-1201</v>
      </c>
      <c r="X128" s="85">
        <f>X$27</f>
        <v>-2518</v>
      </c>
      <c r="Y128" s="85"/>
      <c r="Z128" s="85"/>
      <c r="AA128" s="85"/>
      <c r="AB128" s="85">
        <f>AB$27</f>
        <v>-554</v>
      </c>
      <c r="AC128" s="85"/>
      <c r="AD128" s="85"/>
      <c r="AE128" s="85"/>
      <c r="AF128" s="85">
        <f>AF$27</f>
        <v>357</v>
      </c>
      <c r="AG128" s="85">
        <f t="shared" ref="AG128:AJ128" si="141">AG$27</f>
        <v>0</v>
      </c>
      <c r="AH128" s="85">
        <f t="shared" si="141"/>
        <v>0</v>
      </c>
      <c r="AI128" s="85">
        <f t="shared" si="141"/>
        <v>0</v>
      </c>
      <c r="AJ128" s="85">
        <f t="shared" si="141"/>
        <v>-1108</v>
      </c>
      <c r="AK128" s="85"/>
      <c r="AL128" s="85"/>
      <c r="AM128" s="85"/>
      <c r="AN128" s="85">
        <f t="shared" ref="AN128" si="142">AN$27</f>
        <v>-802</v>
      </c>
      <c r="AO128" s="85"/>
      <c r="AP128" s="85"/>
      <c r="AQ128" s="85"/>
      <c r="AR128" s="896">
        <f t="shared" ref="AR128" si="143">AR$27</f>
        <v>-726</v>
      </c>
      <c r="AS128" s="85"/>
      <c r="AT128" s="85"/>
      <c r="AU128" s="85"/>
      <c r="AV128" s="85">
        <f>-AV129*AV108*1000</f>
        <v>-1071.7565649999999</v>
      </c>
      <c r="AW128" s="85"/>
      <c r="AX128" s="85"/>
      <c r="AY128" s="85"/>
      <c r="AZ128" s="85">
        <f>-AZ129*AZ108*1000</f>
        <v>-1671.9402413999996</v>
      </c>
      <c r="BA128" s="85"/>
      <c r="BB128" s="85"/>
      <c r="BC128" s="85"/>
      <c r="BD128" s="85">
        <f>-BD129*BD108*1000</f>
        <v>-1730.4581498489997</v>
      </c>
    </row>
    <row r="129" spans="3:56" x14ac:dyDescent="0.2">
      <c r="C129" s="878" t="s">
        <v>944</v>
      </c>
      <c r="D129" s="904">
        <f>-D128/(D108*1000)</f>
        <v>1.5290046612976111E-3</v>
      </c>
      <c r="E129" s="878"/>
      <c r="F129" s="878"/>
      <c r="G129" s="878"/>
      <c r="H129" s="904">
        <f>-H128/(H108*1000)</f>
        <v>1.7898621977113704E-3</v>
      </c>
      <c r="I129" s="878"/>
      <c r="J129" s="878"/>
      <c r="K129" s="878"/>
      <c r="L129" s="904">
        <f>-L128/(L108*1000)</f>
        <v>1.4857490210338643E-3</v>
      </c>
      <c r="M129" s="939"/>
      <c r="N129" s="939"/>
      <c r="O129" s="939"/>
      <c r="P129" s="905">
        <f>-P128/(P108*1000)</f>
        <v>1.441726972453528E-3</v>
      </c>
      <c r="T129" s="905">
        <f>-T128/(T108*1000)</f>
        <v>1.5781596372203891E-3</v>
      </c>
      <c r="X129" s="905">
        <f>-X128/(X108*1000)</f>
        <v>3.2277582078378891E-3</v>
      </c>
      <c r="Y129" s="944"/>
      <c r="Z129" s="944"/>
      <c r="AA129" s="944"/>
      <c r="AB129" s="905">
        <f>-AB128/(AB108*1000)</f>
        <v>6.7704145106847898E-4</v>
      </c>
      <c r="AC129" s="944"/>
      <c r="AD129" s="944"/>
      <c r="AE129" s="944"/>
      <c r="AF129" s="905">
        <f>-AF128/(AF108*1000)</f>
        <v>-4.0340669609915893E-4</v>
      </c>
      <c r="AG129" s="905" t="e">
        <f t="shared" ref="AG129:AJ129" si="144">-AG128/(AG108*1000)</f>
        <v>#DIV/0!</v>
      </c>
      <c r="AH129" s="905" t="e">
        <f t="shared" si="144"/>
        <v>#DIV/0!</v>
      </c>
      <c r="AI129" s="905" t="e">
        <f t="shared" si="144"/>
        <v>#DIV/0!</v>
      </c>
      <c r="AJ129" s="905">
        <f t="shared" si="144"/>
        <v>1.1872475893409168E-3</v>
      </c>
      <c r="AK129" s="945"/>
      <c r="AL129" s="945"/>
      <c r="AM129" s="945"/>
      <c r="AN129" s="905">
        <f t="shared" ref="AN129" si="145">-AN128/(AN108*1000)</f>
        <v>8.4425673826356816E-4</v>
      </c>
      <c r="AO129" s="945"/>
      <c r="AP129" s="945"/>
      <c r="AQ129" s="945"/>
      <c r="AR129" s="906">
        <f t="shared" ref="AR129" si="146">-AR128/(AR108*1000)</f>
        <v>7.1464922633807234E-4</v>
      </c>
      <c r="AS129" s="945"/>
      <c r="AT129" s="945"/>
      <c r="AU129" s="945"/>
      <c r="AV129" s="945">
        <v>1E-3</v>
      </c>
      <c r="AW129" s="945"/>
      <c r="AX129" s="945"/>
      <c r="AY129" s="945"/>
      <c r="AZ129" s="945">
        <v>1.5E-3</v>
      </c>
      <c r="BA129" s="945"/>
      <c r="BB129" s="945"/>
      <c r="BC129" s="945"/>
      <c r="BD129" s="945">
        <v>1.5E-3</v>
      </c>
    </row>
    <row r="130" spans="3:56" x14ac:dyDescent="0.2">
      <c r="C130" s="90" t="s">
        <v>945</v>
      </c>
      <c r="D130" s="907">
        <f>-D128/(D106*1000)</f>
        <v>4.4241249143609418E-3</v>
      </c>
      <c r="E130" s="90"/>
      <c r="F130" s="90"/>
      <c r="G130" s="90"/>
      <c r="H130" s="907">
        <f>-H128/(H106*1000)</f>
        <v>5.1128407203569221E-3</v>
      </c>
      <c r="I130" s="90"/>
      <c r="J130" s="90"/>
      <c r="K130" s="90"/>
      <c r="L130" s="907">
        <f>-L128/(L106*1000)</f>
        <v>4.3600310577554813E-3</v>
      </c>
      <c r="M130" s="908"/>
      <c r="N130" s="908"/>
      <c r="O130" s="908"/>
      <c r="P130" s="909">
        <f>-P128/(P106*1000)</f>
        <v>4.3729710670616798E-3</v>
      </c>
      <c r="T130" s="909">
        <f>-T128/(T106*1000)</f>
        <v>5.0447135518395768E-3</v>
      </c>
      <c r="X130" s="909">
        <f>-X128/(X106*1000)</f>
        <v>1.0614261385671172E-2</v>
      </c>
      <c r="Y130" s="909"/>
      <c r="Z130" s="909"/>
      <c r="AA130" s="909"/>
      <c r="AB130" s="909">
        <f>-AB128/(AB106*1000)</f>
        <v>2.3227537629449497E-3</v>
      </c>
      <c r="AC130" s="909"/>
      <c r="AD130" s="909"/>
      <c r="AE130" s="909"/>
      <c r="AF130" s="909">
        <f>-AF128/(AF106*1000)</f>
        <v>-1.3575693044834015E-3</v>
      </c>
      <c r="AG130" s="909" t="e">
        <f t="shared" ref="AG130:AJ130" si="147">-AG128/(AG106*1000)</f>
        <v>#DIV/0!</v>
      </c>
      <c r="AH130" s="909" t="e">
        <f t="shared" si="147"/>
        <v>#DIV/0!</v>
      </c>
      <c r="AI130" s="909" t="e">
        <f t="shared" si="147"/>
        <v>#DIV/0!</v>
      </c>
      <c r="AJ130" s="909">
        <f t="shared" si="147"/>
        <v>3.9425974885511665E-3</v>
      </c>
      <c r="AK130" s="907"/>
      <c r="AL130" s="907"/>
      <c r="AM130" s="907"/>
      <c r="AN130" s="909">
        <f t="shared" ref="AN130" si="148">-AN128/(AN106*1000)</f>
        <v>2.8115983691327172E-3</v>
      </c>
      <c r="AO130" s="907"/>
      <c r="AP130" s="907"/>
      <c r="AQ130" s="907"/>
      <c r="AR130" s="910">
        <f t="shared" ref="AR130" si="149">-AR128/(AR106*1000)</f>
        <v>2.3569821538141876E-3</v>
      </c>
      <c r="AS130" s="907"/>
      <c r="AT130" s="907"/>
      <c r="AU130" s="907"/>
      <c r="AV130" s="907">
        <f>-AV128/(AV106*1000)</f>
        <v>3.2980965583515416E-3</v>
      </c>
      <c r="AW130" s="907"/>
      <c r="AX130" s="907"/>
      <c r="AY130" s="907"/>
      <c r="AZ130" s="907">
        <f>-AZ128/(AZ106*1000)</f>
        <v>4.9471448375273128E-3</v>
      </c>
      <c r="BA130" s="907"/>
      <c r="BB130" s="907"/>
      <c r="BC130" s="907"/>
      <c r="BD130" s="907">
        <f>-BD128/(BD106*1000)</f>
        <v>4.9471448375273137E-3</v>
      </c>
    </row>
    <row r="131" spans="3:56" x14ac:dyDescent="0.2">
      <c r="C131" s="2" t="s">
        <v>620</v>
      </c>
      <c r="D131" s="85">
        <f>D$30</f>
        <v>12597</v>
      </c>
      <c r="H131" s="85">
        <f>H$30</f>
        <v>13057</v>
      </c>
      <c r="L131" s="85">
        <f>L$30</f>
        <v>13563</v>
      </c>
      <c r="P131" s="85">
        <f>P$30</f>
        <v>12848</v>
      </c>
      <c r="T131" s="85">
        <f>T$30</f>
        <v>11554</v>
      </c>
      <c r="X131" s="85">
        <f>X$30</f>
        <v>10247</v>
      </c>
      <c r="Y131" s="85"/>
      <c r="Z131" s="85"/>
      <c r="AA131" s="85"/>
      <c r="AB131" s="85">
        <f>AB$30</f>
        <v>12243</v>
      </c>
      <c r="AC131" s="85"/>
      <c r="AD131" s="85"/>
      <c r="AE131" s="85"/>
      <c r="AF131" s="85">
        <f>AF$30</f>
        <v>13618</v>
      </c>
      <c r="AG131" s="85">
        <f t="shared" ref="AG131:AJ131" si="150">AG$30</f>
        <v>0</v>
      </c>
      <c r="AH131" s="85">
        <f t="shared" si="150"/>
        <v>0</v>
      </c>
      <c r="AI131" s="85">
        <f t="shared" si="150"/>
        <v>0</v>
      </c>
      <c r="AJ131" s="85">
        <f t="shared" si="150"/>
        <v>14169</v>
      </c>
      <c r="AK131" s="85"/>
      <c r="AL131" s="85"/>
      <c r="AM131" s="85"/>
      <c r="AN131" s="85">
        <f t="shared" ref="AN131" si="151">AN$30</f>
        <v>14154</v>
      </c>
      <c r="AO131" s="85"/>
      <c r="AP131" s="85"/>
      <c r="AQ131" s="85"/>
      <c r="AR131" s="896">
        <f t="shared" ref="AR131" si="152">AR$30</f>
        <v>14743</v>
      </c>
      <c r="AS131" s="85"/>
      <c r="AT131" s="85"/>
      <c r="AU131" s="85"/>
      <c r="AV131" s="85">
        <f>+AV126+AV128</f>
        <v>14807.590928586322</v>
      </c>
      <c r="AW131" s="85"/>
      <c r="AX131" s="85"/>
      <c r="AY131" s="85"/>
      <c r="AZ131" s="85">
        <f>+AZ126+AZ128</f>
        <v>14832.234212225289</v>
      </c>
      <c r="BA131" s="85"/>
      <c r="BB131" s="85"/>
      <c r="BC131" s="85"/>
      <c r="BD131" s="85">
        <f>+BD126+BD128</f>
        <v>14891.660105086485</v>
      </c>
    </row>
    <row r="132" spans="3:56" x14ac:dyDescent="0.2">
      <c r="C132" s="2" t="s">
        <v>953</v>
      </c>
      <c r="D132" s="85"/>
      <c r="H132" s="85"/>
      <c r="L132" s="85">
        <f>L127+L128</f>
        <v>13559</v>
      </c>
      <c r="M132" s="2">
        <f t="shared" ref="M132:AZ132" si="153">M127+M128</f>
        <v>0</v>
      </c>
      <c r="N132" s="2">
        <f t="shared" si="153"/>
        <v>0</v>
      </c>
      <c r="O132" s="2">
        <f t="shared" si="153"/>
        <v>0</v>
      </c>
      <c r="P132" s="85">
        <f t="shared" si="153"/>
        <v>12819</v>
      </c>
      <c r="Q132" s="2">
        <f t="shared" si="153"/>
        <v>0</v>
      </c>
      <c r="R132" s="2">
        <f t="shared" si="153"/>
        <v>-4975</v>
      </c>
      <c r="S132" s="2">
        <f t="shared" si="153"/>
        <v>-5159</v>
      </c>
      <c r="T132" s="85">
        <f t="shared" si="153"/>
        <v>12244</v>
      </c>
      <c r="U132" s="2">
        <f t="shared" si="153"/>
        <v>0</v>
      </c>
      <c r="V132" s="2">
        <f t="shared" si="153"/>
        <v>-5257</v>
      </c>
      <c r="W132" s="2">
        <f t="shared" si="153"/>
        <v>-5278</v>
      </c>
      <c r="X132" s="85">
        <f t="shared" si="153"/>
        <v>10708</v>
      </c>
      <c r="Y132" s="85">
        <f t="shared" si="153"/>
        <v>0</v>
      </c>
      <c r="Z132" s="85">
        <f t="shared" si="153"/>
        <v>0</v>
      </c>
      <c r="AA132" s="85">
        <f t="shared" si="153"/>
        <v>0</v>
      </c>
      <c r="AB132" s="85">
        <f t="shared" si="153"/>
        <v>12818</v>
      </c>
      <c r="AC132" s="85">
        <f t="shared" si="153"/>
        <v>0</v>
      </c>
      <c r="AD132" s="85">
        <f t="shared" si="153"/>
        <v>0</v>
      </c>
      <c r="AE132" s="85">
        <f t="shared" si="153"/>
        <v>0</v>
      </c>
      <c r="AF132" s="85">
        <f t="shared" si="153"/>
        <v>13742</v>
      </c>
      <c r="AG132" s="85">
        <f t="shared" si="153"/>
        <v>0</v>
      </c>
      <c r="AH132" s="85">
        <f t="shared" si="153"/>
        <v>-5636</v>
      </c>
      <c r="AI132" s="85">
        <f t="shared" si="153"/>
        <v>-5873</v>
      </c>
      <c r="AJ132" s="85">
        <f t="shared" si="153"/>
        <v>14381</v>
      </c>
      <c r="AK132" s="85">
        <f t="shared" si="153"/>
        <v>0</v>
      </c>
      <c r="AL132" s="85">
        <f t="shared" si="153"/>
        <v>0</v>
      </c>
      <c r="AM132" s="85">
        <f t="shared" si="153"/>
        <v>0</v>
      </c>
      <c r="AN132" s="85">
        <f t="shared" si="153"/>
        <v>14243</v>
      </c>
      <c r="AO132" s="85">
        <f t="shared" si="153"/>
        <v>0</v>
      </c>
      <c r="AP132" s="85">
        <f t="shared" si="153"/>
        <v>0</v>
      </c>
      <c r="AQ132" s="85">
        <f t="shared" si="153"/>
        <v>0</v>
      </c>
      <c r="AR132" s="896">
        <f t="shared" ref="AR132" si="154">AR127+AR128</f>
        <v>14873</v>
      </c>
      <c r="AS132" s="85">
        <f t="shared" si="153"/>
        <v>0</v>
      </c>
      <c r="AT132" s="85">
        <f t="shared" si="153"/>
        <v>0</v>
      </c>
      <c r="AU132" s="85">
        <f t="shared" si="153"/>
        <v>0</v>
      </c>
      <c r="AV132" s="85">
        <f t="shared" si="153"/>
        <v>15027.590928586322</v>
      </c>
      <c r="AW132" s="85"/>
      <c r="AX132" s="85"/>
      <c r="AY132" s="85"/>
      <c r="AZ132" s="85">
        <f t="shared" si="153"/>
        <v>14882.234212225289</v>
      </c>
      <c r="BA132" s="85"/>
      <c r="BB132" s="85"/>
      <c r="BC132" s="85"/>
      <c r="BD132" s="85">
        <f t="shared" ref="BD132" si="155">BD127+BD128</f>
        <v>14941.660105086485</v>
      </c>
    </row>
    <row r="133" spans="3:56" x14ac:dyDescent="0.2">
      <c r="C133" s="911" t="s">
        <v>48</v>
      </c>
      <c r="D133" s="85">
        <f>D$31</f>
        <v>-3439</v>
      </c>
      <c r="E133" s="911"/>
      <c r="F133" s="911"/>
      <c r="G133" s="911"/>
      <c r="H133" s="85">
        <f>H$31</f>
        <v>-3592</v>
      </c>
      <c r="L133" s="85">
        <f>L$31</f>
        <v>-3847</v>
      </c>
      <c r="P133" s="85">
        <f>P$31</f>
        <v>-3920</v>
      </c>
      <c r="T133" s="85">
        <f>T$31</f>
        <v>-3321</v>
      </c>
      <c r="X133" s="85">
        <f>X$31</f>
        <v>-3022</v>
      </c>
      <c r="Y133" s="85"/>
      <c r="Z133" s="85"/>
      <c r="AA133" s="85"/>
      <c r="AB133" s="85">
        <f>AB$31</f>
        <v>-3590</v>
      </c>
      <c r="AC133" s="85"/>
      <c r="AD133" s="85"/>
      <c r="AE133" s="85"/>
      <c r="AF133" s="85">
        <f>AF$31</f>
        <v>-4023</v>
      </c>
      <c r="AG133" s="85">
        <f t="shared" ref="AG133:AJ133" si="156">AG$31</f>
        <v>0</v>
      </c>
      <c r="AH133" s="85">
        <f t="shared" si="156"/>
        <v>0</v>
      </c>
      <c r="AI133" s="85">
        <f t="shared" si="156"/>
        <v>0</v>
      </c>
      <c r="AJ133" s="85">
        <f t="shared" si="156"/>
        <v>-4097</v>
      </c>
      <c r="AK133" s="85"/>
      <c r="AL133" s="85"/>
      <c r="AM133" s="85"/>
      <c r="AN133" s="85">
        <f t="shared" ref="AN133" si="157">AN$31</f>
        <v>-4318</v>
      </c>
      <c r="AO133" s="85"/>
      <c r="AP133" s="85"/>
      <c r="AQ133" s="85"/>
      <c r="AR133" s="896">
        <f t="shared" ref="AR133" si="158">AR$31</f>
        <v>-4491</v>
      </c>
      <c r="AS133" s="85"/>
      <c r="AT133" s="85"/>
      <c r="AU133" s="85"/>
      <c r="AV133" s="85">
        <f>+AV131*-AV134</f>
        <v>-4441.712813746436</v>
      </c>
      <c r="AW133" s="85"/>
      <c r="AX133" s="85"/>
      <c r="AY133" s="85"/>
      <c r="AZ133" s="85">
        <f>+AZ131*-AZ134</f>
        <v>-4449.6702636675864</v>
      </c>
      <c r="BA133" s="85"/>
      <c r="BB133" s="85"/>
      <c r="BC133" s="85"/>
      <c r="BD133" s="85">
        <f>+BD131*-BD134</f>
        <v>-4467.4980315259445</v>
      </c>
    </row>
    <row r="134" spans="3:56" x14ac:dyDescent="0.2">
      <c r="C134" s="913" t="s">
        <v>621</v>
      </c>
      <c r="D134" s="862">
        <f>D$32</f>
        <v>0.27300150829562592</v>
      </c>
      <c r="E134" s="913"/>
      <c r="F134" s="913"/>
      <c r="G134" s="913"/>
      <c r="H134" s="862">
        <f>H$32</f>
        <v>0.27510147813433405</v>
      </c>
      <c r="I134" s="90"/>
      <c r="J134" s="90"/>
      <c r="K134" s="90"/>
      <c r="L134" s="862">
        <f>L$32</f>
        <v>0.28363931283639315</v>
      </c>
      <c r="M134" s="90"/>
      <c r="N134" s="90"/>
      <c r="O134" s="90"/>
      <c r="P134" s="865">
        <f>P$32</f>
        <v>0.30510585305105853</v>
      </c>
      <c r="T134" s="865">
        <f>T$32</f>
        <v>0.28743292366280077</v>
      </c>
      <c r="X134" s="865">
        <f>X$32</f>
        <v>0.29491558504928272</v>
      </c>
      <c r="Y134" s="865"/>
      <c r="Z134" s="865"/>
      <c r="AA134" s="865"/>
      <c r="AB134" s="865">
        <f>AB$32</f>
        <v>0.29322878379482153</v>
      </c>
      <c r="AC134" s="865"/>
      <c r="AD134" s="865"/>
      <c r="AE134" s="865"/>
      <c r="AF134" s="865">
        <f>AF$32</f>
        <v>0.29541782934351596</v>
      </c>
      <c r="AG134" s="865">
        <f t="shared" ref="AG134:AJ134" si="159">AG$32</f>
        <v>0</v>
      </c>
      <c r="AH134" s="865">
        <f t="shared" si="159"/>
        <v>0</v>
      </c>
      <c r="AI134" s="865">
        <f t="shared" si="159"/>
        <v>0</v>
      </c>
      <c r="AJ134" s="865">
        <f t="shared" si="159"/>
        <v>0.28915237490295714</v>
      </c>
      <c r="AK134" s="862"/>
      <c r="AL134" s="862"/>
      <c r="AM134" s="862"/>
      <c r="AN134" s="865">
        <f t="shared" ref="AN134" si="160">AN$32</f>
        <v>0.30507277094814189</v>
      </c>
      <c r="AO134" s="862"/>
      <c r="AP134" s="862"/>
      <c r="AQ134" s="862"/>
      <c r="AR134" s="914">
        <f t="shared" ref="AR134" si="161">AR$32</f>
        <v>0.30461914128739065</v>
      </c>
      <c r="AS134" s="862"/>
      <c r="AT134" s="862"/>
      <c r="AU134" s="862"/>
      <c r="AV134" s="862">
        <f>AV$32</f>
        <v>0.29996188003624741</v>
      </c>
      <c r="AW134" s="862"/>
      <c r="AX134" s="862"/>
      <c r="AY134" s="862"/>
      <c r="AZ134" s="862">
        <f>AZ$32</f>
        <v>0.3</v>
      </c>
      <c r="BA134" s="862"/>
      <c r="BB134" s="862"/>
      <c r="BC134" s="862"/>
      <c r="BD134" s="862">
        <f>BD$32</f>
        <v>0.29999999999999993</v>
      </c>
    </row>
    <row r="135" spans="3:56" x14ac:dyDescent="0.2">
      <c r="C135" s="2" t="s">
        <v>51</v>
      </c>
      <c r="D135" s="85">
        <f>D$33</f>
        <v>-21</v>
      </c>
      <c r="H135" s="85">
        <f>H$33</f>
        <v>-20</v>
      </c>
      <c r="L135" s="85">
        <f>L$33</f>
        <v>-20</v>
      </c>
      <c r="P135" s="85">
        <f>P$33</f>
        <v>-13</v>
      </c>
      <c r="T135" s="85">
        <f>T$33</f>
        <v>-12</v>
      </c>
      <c r="X135" s="85">
        <f>X$33</f>
        <v>0</v>
      </c>
      <c r="Y135" s="85"/>
      <c r="Z135" s="85"/>
      <c r="AA135" s="85"/>
      <c r="AB135" s="85">
        <f>AB$33</f>
        <v>0</v>
      </c>
      <c r="AC135" s="85"/>
      <c r="AD135" s="85"/>
      <c r="AE135" s="85"/>
      <c r="AF135" s="85">
        <f>AF$33</f>
        <v>0</v>
      </c>
      <c r="AG135" s="85">
        <f t="shared" ref="AG135:AJ135" si="162">AG$33</f>
        <v>0</v>
      </c>
      <c r="AH135" s="85">
        <f t="shared" si="162"/>
        <v>0</v>
      </c>
      <c r="AI135" s="85">
        <f t="shared" si="162"/>
        <v>0</v>
      </c>
      <c r="AJ135" s="85">
        <f t="shared" si="162"/>
        <v>0</v>
      </c>
      <c r="AK135" s="85"/>
      <c r="AL135" s="85"/>
      <c r="AM135" s="85"/>
      <c r="AN135" s="85">
        <f t="shared" ref="AN135" si="163">AN$33</f>
        <v>0</v>
      </c>
      <c r="AO135" s="85"/>
      <c r="AP135" s="85"/>
      <c r="AQ135" s="85"/>
      <c r="AR135" s="896">
        <f t="shared" ref="AR135" si="164">AR$33</f>
        <v>0</v>
      </c>
      <c r="AS135" s="85"/>
      <c r="AT135" s="85"/>
      <c r="AU135" s="85"/>
      <c r="AV135" s="85">
        <f>AV$33</f>
        <v>0</v>
      </c>
      <c r="AW135" s="85"/>
      <c r="AX135" s="85"/>
      <c r="AY135" s="85"/>
      <c r="AZ135" s="85">
        <f>AZ$33</f>
        <v>0</v>
      </c>
      <c r="BA135" s="85"/>
      <c r="BB135" s="85"/>
      <c r="BC135" s="85"/>
      <c r="BD135" s="85">
        <f>BD$33</f>
        <v>0</v>
      </c>
    </row>
    <row r="136" spans="3:56" x14ac:dyDescent="0.2">
      <c r="C136" s="3" t="s">
        <v>56</v>
      </c>
      <c r="D136" s="864">
        <f>D$34</f>
        <v>9137</v>
      </c>
      <c r="E136" s="3"/>
      <c r="F136" s="3"/>
      <c r="G136" s="3"/>
      <c r="H136" s="864">
        <f>H$34</f>
        <v>9445</v>
      </c>
      <c r="I136" s="3"/>
      <c r="J136" s="3"/>
      <c r="K136" s="3"/>
      <c r="L136" s="864">
        <f>L$34</f>
        <v>9696</v>
      </c>
      <c r="M136" s="3"/>
      <c r="N136" s="3"/>
      <c r="O136" s="3"/>
      <c r="P136" s="864">
        <f>P$34</f>
        <v>8915</v>
      </c>
      <c r="T136" s="864">
        <f>T$34</f>
        <v>8221</v>
      </c>
      <c r="X136" s="864">
        <f>X$34</f>
        <v>7225</v>
      </c>
      <c r="Y136" s="864"/>
      <c r="Z136" s="864"/>
      <c r="AA136" s="864"/>
      <c r="AB136" s="864">
        <f>AB$34</f>
        <v>8653</v>
      </c>
      <c r="AC136" s="864"/>
      <c r="AD136" s="864"/>
      <c r="AE136" s="864"/>
      <c r="AF136" s="864">
        <f>AF$34</f>
        <v>9595</v>
      </c>
      <c r="AG136" s="864">
        <f t="shared" ref="AG136:AJ136" si="165">AG$34</f>
        <v>0</v>
      </c>
      <c r="AH136" s="864">
        <f t="shared" si="165"/>
        <v>0</v>
      </c>
      <c r="AI136" s="864">
        <f t="shared" si="165"/>
        <v>0</v>
      </c>
      <c r="AJ136" s="864">
        <f t="shared" si="165"/>
        <v>10072</v>
      </c>
      <c r="AK136" s="864"/>
      <c r="AL136" s="864"/>
      <c r="AM136" s="864"/>
      <c r="AN136" s="864">
        <f t="shared" ref="AN136" si="166">AN$34</f>
        <v>9836</v>
      </c>
      <c r="AO136" s="864"/>
      <c r="AP136" s="864"/>
      <c r="AQ136" s="864"/>
      <c r="AR136" s="924">
        <f t="shared" ref="AR136" si="167">AR$34</f>
        <v>10252</v>
      </c>
      <c r="AS136" s="864"/>
      <c r="AT136" s="864"/>
      <c r="AU136" s="864"/>
      <c r="AV136" s="864">
        <f>+AV131+AV133+AV135</f>
        <v>10365.878114839885</v>
      </c>
      <c r="AW136" s="864"/>
      <c r="AX136" s="864"/>
      <c r="AY136" s="864"/>
      <c r="AZ136" s="864">
        <f>+AZ131+AZ133+AZ135</f>
        <v>10382.563948557701</v>
      </c>
      <c r="BA136" s="864"/>
      <c r="BB136" s="864"/>
      <c r="BC136" s="864"/>
      <c r="BD136" s="864">
        <f>+BD131+BD133+BD135</f>
        <v>10424.162073560539</v>
      </c>
    </row>
    <row r="137" spans="3:56" x14ac:dyDescent="0.2">
      <c r="C137" s="3" t="s">
        <v>932</v>
      </c>
      <c r="D137" s="864"/>
      <c r="E137" s="3"/>
      <c r="F137" s="3"/>
      <c r="G137" s="3"/>
      <c r="H137" s="864"/>
      <c r="I137" s="3"/>
      <c r="J137" s="3"/>
      <c r="K137" s="3"/>
      <c r="L137" s="864">
        <f>L37</f>
        <v>0</v>
      </c>
      <c r="M137" s="3">
        <f t="shared" ref="M137:AB137" si="168">M37</f>
        <v>0</v>
      </c>
      <c r="N137" s="3">
        <f t="shared" si="168"/>
        <v>4421.5</v>
      </c>
      <c r="O137" s="3">
        <f t="shared" si="168"/>
        <v>4208</v>
      </c>
      <c r="P137" s="864">
        <f t="shared" si="168"/>
        <v>8629.5</v>
      </c>
      <c r="Q137" s="2">
        <f t="shared" si="168"/>
        <v>0</v>
      </c>
      <c r="R137" s="2">
        <f t="shared" si="168"/>
        <v>4613.7</v>
      </c>
      <c r="S137" s="2">
        <f t="shared" si="168"/>
        <v>4090.3</v>
      </c>
      <c r="T137" s="864">
        <f t="shared" si="168"/>
        <v>8704</v>
      </c>
      <c r="U137" s="2">
        <f t="shared" si="168"/>
        <v>0</v>
      </c>
      <c r="V137" s="2">
        <f t="shared" si="168"/>
        <v>4320</v>
      </c>
      <c r="W137" s="2">
        <f t="shared" si="168"/>
        <v>3227.7</v>
      </c>
      <c r="X137" s="864">
        <f t="shared" si="168"/>
        <v>7547.7</v>
      </c>
      <c r="Y137" s="864">
        <f t="shared" si="168"/>
        <v>0</v>
      </c>
      <c r="Z137" s="864">
        <f t="shared" si="168"/>
        <v>4037.4</v>
      </c>
      <c r="AA137" s="864">
        <f t="shared" si="168"/>
        <v>5018.1000000000004</v>
      </c>
      <c r="AB137" s="864">
        <f t="shared" si="168"/>
        <v>9055.5</v>
      </c>
      <c r="AC137" s="864">
        <f t="shared" ref="AC137:AM137" si="169">AC132*(1-AC134)+AC135</f>
        <v>0</v>
      </c>
      <c r="AD137" s="864">
        <f t="shared" si="169"/>
        <v>0</v>
      </c>
      <c r="AE137" s="864">
        <f t="shared" si="169"/>
        <v>0</v>
      </c>
      <c r="AF137" s="864">
        <f t="shared" ref="AF137:AJ137" si="170">AF37</f>
        <v>9681.7999999999993</v>
      </c>
      <c r="AG137" s="864">
        <f t="shared" si="170"/>
        <v>0</v>
      </c>
      <c r="AH137" s="864">
        <f t="shared" si="170"/>
        <v>0</v>
      </c>
      <c r="AI137" s="864">
        <f t="shared" si="170"/>
        <v>0</v>
      </c>
      <c r="AJ137" s="864">
        <f t="shared" si="170"/>
        <v>10179.299999999999</v>
      </c>
      <c r="AK137" s="864">
        <f t="shared" si="169"/>
        <v>0</v>
      </c>
      <c r="AL137" s="864">
        <f t="shared" si="169"/>
        <v>0</v>
      </c>
      <c r="AM137" s="864">
        <f t="shared" si="169"/>
        <v>0</v>
      </c>
      <c r="AN137" s="864">
        <f t="shared" ref="AN137" si="171">AN37</f>
        <v>9898.2999999999993</v>
      </c>
      <c r="AO137" s="864">
        <f t="shared" ref="AO137:AZ137" si="172">AO132*(1-AO134)+AO135</f>
        <v>0</v>
      </c>
      <c r="AP137" s="864">
        <f t="shared" si="172"/>
        <v>0</v>
      </c>
      <c r="AQ137" s="864">
        <f t="shared" si="172"/>
        <v>0</v>
      </c>
      <c r="AR137" s="924">
        <f t="shared" ref="AR137" si="173">AR37</f>
        <v>10343</v>
      </c>
      <c r="AS137" s="864">
        <f t="shared" si="172"/>
        <v>0</v>
      </c>
      <c r="AT137" s="864">
        <f t="shared" si="172"/>
        <v>0</v>
      </c>
      <c r="AU137" s="864">
        <f t="shared" si="172"/>
        <v>0</v>
      </c>
      <c r="AV137" s="864">
        <f t="shared" si="172"/>
        <v>10519.886501231913</v>
      </c>
      <c r="AW137" s="864"/>
      <c r="AX137" s="864"/>
      <c r="AY137" s="864"/>
      <c r="AZ137" s="864">
        <f t="shared" si="172"/>
        <v>10417.563948557701</v>
      </c>
      <c r="BA137" s="864"/>
      <c r="BB137" s="864"/>
      <c r="BC137" s="864"/>
      <c r="BD137" s="864">
        <f t="shared" ref="BD137" si="174">BD132*(1-BD134)+BD135</f>
        <v>10459.162073560541</v>
      </c>
    </row>
    <row r="138" spans="3:56" x14ac:dyDescent="0.2">
      <c r="C138" s="917" t="s">
        <v>233</v>
      </c>
      <c r="D138" s="946">
        <f>D$35</f>
        <v>5.264976958525347E-2</v>
      </c>
      <c r="E138" s="917"/>
      <c r="F138" s="917"/>
      <c r="G138" s="917"/>
      <c r="H138" s="946">
        <f>H$35</f>
        <v>3.370909488891316E-2</v>
      </c>
      <c r="I138" s="917"/>
      <c r="J138" s="917"/>
      <c r="K138" s="917"/>
      <c r="L138" s="946">
        <f>L$35</f>
        <v>2.6574907358390742E-2</v>
      </c>
      <c r="M138" s="917"/>
      <c r="N138" s="917"/>
      <c r="O138" s="917"/>
      <c r="P138" s="928">
        <f>P$35</f>
        <v>-8.054867986798675E-2</v>
      </c>
      <c r="T138" s="928">
        <f>T$35</f>
        <v>-7.7846326416152523E-2</v>
      </c>
      <c r="X138" s="928">
        <f>X$35</f>
        <v>-0.12115314438632774</v>
      </c>
      <c r="Y138" s="928"/>
      <c r="Z138" s="928"/>
      <c r="AA138" s="928"/>
      <c r="AB138" s="928">
        <f>AB$35</f>
        <v>0.19764705882352951</v>
      </c>
      <c r="AC138" s="928"/>
      <c r="AD138" s="928"/>
      <c r="AE138" s="928"/>
      <c r="AF138" s="928">
        <f>AF$35</f>
        <v>0.10886397781116375</v>
      </c>
      <c r="AG138" s="928">
        <f t="shared" ref="AG138:AJ138" si="175">AG$35</f>
        <v>0</v>
      </c>
      <c r="AH138" s="928">
        <f t="shared" si="175"/>
        <v>0</v>
      </c>
      <c r="AI138" s="928">
        <f t="shared" si="175"/>
        <v>0</v>
      </c>
      <c r="AJ138" s="928">
        <f t="shared" si="175"/>
        <v>4.971339239187067E-2</v>
      </c>
      <c r="AK138" s="946"/>
      <c r="AL138" s="946"/>
      <c r="AM138" s="946"/>
      <c r="AN138" s="928">
        <f t="shared" ref="AN138" si="176">AN$35</f>
        <v>-2.3431294678316172E-2</v>
      </c>
      <c r="AO138" s="946"/>
      <c r="AP138" s="946"/>
      <c r="AQ138" s="946"/>
      <c r="AR138" s="947">
        <f t="shared" ref="AR138" si="177">AR$35</f>
        <v>4.2293615290768694E-2</v>
      </c>
      <c r="AS138" s="946"/>
      <c r="AT138" s="946"/>
      <c r="AU138" s="946"/>
      <c r="AV138" s="946">
        <f>+AV136/AR136-1</f>
        <v>1.1107892590702662E-2</v>
      </c>
      <c r="AW138" s="946"/>
      <c r="AX138" s="946"/>
      <c r="AY138" s="946"/>
      <c r="AZ138" s="946">
        <f>+AZ136/AV136-1</f>
        <v>1.609688396193798E-3</v>
      </c>
      <c r="BA138" s="946"/>
      <c r="BB138" s="946"/>
      <c r="BC138" s="946"/>
      <c r="BD138" s="946">
        <f>+BD136/AZ136-1</f>
        <v>4.0065368447470551E-3</v>
      </c>
    </row>
    <row r="139" spans="3:56" x14ac:dyDescent="0.2">
      <c r="C139" s="2" t="s">
        <v>946</v>
      </c>
      <c r="D139" s="948"/>
      <c r="H139" s="948"/>
      <c r="L139" s="85">
        <f>L36</f>
        <v>185</v>
      </c>
      <c r="M139" s="2">
        <f t="shared" ref="M139:AA139" si="178">M92</f>
        <v>0</v>
      </c>
      <c r="N139" s="2">
        <f t="shared" si="178"/>
        <v>0</v>
      </c>
      <c r="O139" s="2">
        <f t="shared" si="178"/>
        <v>0</v>
      </c>
      <c r="P139" s="85">
        <f>P36</f>
        <v>497</v>
      </c>
      <c r="Q139" s="2">
        <f t="shared" si="178"/>
        <v>0</v>
      </c>
      <c r="R139" s="2">
        <f t="shared" si="178"/>
        <v>0</v>
      </c>
      <c r="S139" s="2">
        <f t="shared" si="178"/>
        <v>0</v>
      </c>
      <c r="T139" s="85">
        <f>T36</f>
        <v>485</v>
      </c>
      <c r="U139" s="2">
        <f t="shared" si="178"/>
        <v>0</v>
      </c>
      <c r="V139" s="2">
        <f t="shared" si="178"/>
        <v>0</v>
      </c>
      <c r="W139" s="2">
        <f t="shared" si="178"/>
        <v>0</v>
      </c>
      <c r="X139" s="85">
        <f>X36</f>
        <v>182</v>
      </c>
      <c r="Y139" s="85">
        <f t="shared" si="178"/>
        <v>0</v>
      </c>
      <c r="Z139" s="85">
        <f t="shared" si="178"/>
        <v>0</v>
      </c>
      <c r="AA139" s="85">
        <f t="shared" si="178"/>
        <v>0</v>
      </c>
      <c r="AB139" s="85">
        <f>AB36</f>
        <v>148</v>
      </c>
      <c r="AC139" s="85"/>
      <c r="AD139" s="85"/>
      <c r="AE139" s="85"/>
      <c r="AF139" s="85">
        <f>AF36</f>
        <v>113</v>
      </c>
      <c r="AG139" s="85">
        <f t="shared" ref="AG139:AJ139" si="179">AG36</f>
        <v>0</v>
      </c>
      <c r="AH139" s="85">
        <f t="shared" si="179"/>
        <v>0</v>
      </c>
      <c r="AI139" s="85">
        <f t="shared" si="179"/>
        <v>0</v>
      </c>
      <c r="AJ139" s="85">
        <f t="shared" si="179"/>
        <v>18</v>
      </c>
      <c r="AK139" s="85"/>
      <c r="AL139" s="85"/>
      <c r="AM139" s="85"/>
      <c r="AN139" s="85">
        <f t="shared" ref="AN139" si="180">AN36</f>
        <v>11</v>
      </c>
      <c r="AO139" s="85"/>
      <c r="AP139" s="85"/>
      <c r="AQ139" s="85"/>
      <c r="AR139" s="896">
        <f t="shared" ref="AR139" si="181">AR36</f>
        <v>1</v>
      </c>
      <c r="AS139" s="85"/>
      <c r="AT139" s="85"/>
      <c r="AU139" s="85"/>
      <c r="AV139" s="85">
        <f>AV36</f>
        <v>0</v>
      </c>
      <c r="AW139" s="85"/>
      <c r="AX139" s="85"/>
      <c r="AY139" s="85"/>
      <c r="AZ139" s="85">
        <f>AZ36</f>
        <v>0</v>
      </c>
      <c r="BA139" s="85"/>
      <c r="BB139" s="85"/>
      <c r="BC139" s="85"/>
      <c r="BD139" s="85">
        <f>BD36</f>
        <v>0</v>
      </c>
    </row>
    <row r="140" spans="3:56" x14ac:dyDescent="0.2">
      <c r="C140" s="3" t="s">
        <v>56</v>
      </c>
      <c r="D140" s="949"/>
      <c r="E140" s="3"/>
      <c r="F140" s="3"/>
      <c r="G140" s="3"/>
      <c r="H140" s="949"/>
      <c r="I140" s="3"/>
      <c r="J140" s="3"/>
      <c r="K140" s="3"/>
      <c r="L140" s="864">
        <f t="shared" ref="L140:AA140" si="182">L136+L139</f>
        <v>9881</v>
      </c>
      <c r="M140" s="3">
        <f t="shared" si="182"/>
        <v>0</v>
      </c>
      <c r="N140" s="3">
        <f t="shared" si="182"/>
        <v>0</v>
      </c>
      <c r="O140" s="3">
        <f t="shared" si="182"/>
        <v>0</v>
      </c>
      <c r="P140" s="864">
        <f t="shared" si="182"/>
        <v>9412</v>
      </c>
      <c r="Q140" s="3">
        <f t="shared" si="182"/>
        <v>0</v>
      </c>
      <c r="R140" s="3">
        <f t="shared" si="182"/>
        <v>0</v>
      </c>
      <c r="S140" s="3">
        <f t="shared" si="182"/>
        <v>0</v>
      </c>
      <c r="T140" s="864">
        <f>T136+T139</f>
        <v>8706</v>
      </c>
      <c r="U140" s="3">
        <f t="shared" si="182"/>
        <v>0</v>
      </c>
      <c r="V140" s="3">
        <f t="shared" si="182"/>
        <v>0</v>
      </c>
      <c r="W140" s="3">
        <f t="shared" si="182"/>
        <v>0</v>
      </c>
      <c r="X140" s="864">
        <f>X136+X139</f>
        <v>7407</v>
      </c>
      <c r="Y140" s="864">
        <f t="shared" si="182"/>
        <v>0</v>
      </c>
      <c r="Z140" s="864">
        <f t="shared" si="182"/>
        <v>0</v>
      </c>
      <c r="AA140" s="864">
        <f t="shared" si="182"/>
        <v>0</v>
      </c>
      <c r="AB140" s="864">
        <f>AB136+AB139</f>
        <v>8801</v>
      </c>
      <c r="AC140" s="864"/>
      <c r="AD140" s="864"/>
      <c r="AE140" s="864"/>
      <c r="AF140" s="864">
        <f>AF136+AF139</f>
        <v>9708</v>
      </c>
      <c r="AG140" s="864">
        <f t="shared" ref="AG140:AJ140" si="183">AG136+AG139</f>
        <v>0</v>
      </c>
      <c r="AH140" s="864">
        <f t="shared" si="183"/>
        <v>0</v>
      </c>
      <c r="AI140" s="864">
        <f t="shared" si="183"/>
        <v>0</v>
      </c>
      <c r="AJ140" s="864">
        <f t="shared" si="183"/>
        <v>10090</v>
      </c>
      <c r="AK140" s="864"/>
      <c r="AL140" s="864"/>
      <c r="AM140" s="864"/>
      <c r="AN140" s="864">
        <f t="shared" ref="AN140" si="184">AN136+AN139</f>
        <v>9847</v>
      </c>
      <c r="AO140" s="864"/>
      <c r="AP140" s="864"/>
      <c r="AQ140" s="864"/>
      <c r="AR140" s="924">
        <f t="shared" ref="AR140" si="185">AR136+AR139</f>
        <v>10253</v>
      </c>
      <c r="AS140" s="864"/>
      <c r="AT140" s="864"/>
      <c r="AU140" s="864"/>
      <c r="AV140" s="864">
        <f>AV136+AV139</f>
        <v>10365.878114839885</v>
      </c>
      <c r="AW140" s="864"/>
      <c r="AX140" s="864"/>
      <c r="AY140" s="864"/>
      <c r="AZ140" s="864">
        <f>AZ136+AZ139</f>
        <v>10382.563948557701</v>
      </c>
      <c r="BA140" s="864"/>
      <c r="BB140" s="864"/>
      <c r="BC140" s="864"/>
      <c r="BD140" s="864">
        <f>BD136+BD139</f>
        <v>10424.162073560539</v>
      </c>
    </row>
    <row r="141" spans="3:56" x14ac:dyDescent="0.2">
      <c r="C141" s="917" t="s">
        <v>233</v>
      </c>
      <c r="D141" s="949"/>
      <c r="E141" s="3"/>
      <c r="F141" s="3"/>
      <c r="G141" s="3"/>
      <c r="H141" s="949"/>
      <c r="I141" s="3"/>
      <c r="J141" s="3"/>
      <c r="K141" s="3"/>
      <c r="L141" s="946">
        <f>L$35</f>
        <v>2.6574907358390742E-2</v>
      </c>
      <c r="M141" s="917"/>
      <c r="N141" s="917"/>
      <c r="O141" s="917"/>
      <c r="P141" s="928">
        <f>P$35</f>
        <v>-8.054867986798675E-2</v>
      </c>
      <c r="T141" s="928">
        <f>T$35</f>
        <v>-7.7846326416152523E-2</v>
      </c>
      <c r="X141" s="928">
        <f>X$35</f>
        <v>-0.12115314438632774</v>
      </c>
      <c r="Y141" s="928"/>
      <c r="Z141" s="928"/>
      <c r="AA141" s="928"/>
      <c r="AB141" s="928">
        <f>AB$35</f>
        <v>0.19764705882352951</v>
      </c>
      <c r="AC141" s="928"/>
      <c r="AD141" s="928"/>
      <c r="AE141" s="928"/>
      <c r="AF141" s="928">
        <f>AF$35</f>
        <v>0.10886397781116375</v>
      </c>
      <c r="AG141" s="928">
        <f t="shared" ref="AG141:AJ141" si="186">AG$35</f>
        <v>0</v>
      </c>
      <c r="AH141" s="928">
        <f t="shared" si="186"/>
        <v>0</v>
      </c>
      <c r="AI141" s="928">
        <f t="shared" si="186"/>
        <v>0</v>
      </c>
      <c r="AJ141" s="928">
        <f t="shared" si="186"/>
        <v>4.971339239187067E-2</v>
      </c>
      <c r="AK141" s="946"/>
      <c r="AL141" s="946"/>
      <c r="AM141" s="946"/>
      <c r="AN141" s="928">
        <f t="shared" ref="AN141" si="187">AN$35</f>
        <v>-2.3431294678316172E-2</v>
      </c>
      <c r="AO141" s="946"/>
      <c r="AP141" s="946"/>
      <c r="AQ141" s="946"/>
      <c r="AR141" s="947">
        <f t="shared" ref="AR141" si="188">AR$35</f>
        <v>4.2293615290768694E-2</v>
      </c>
      <c r="AS141" s="946"/>
      <c r="AT141" s="946"/>
      <c r="AU141" s="946"/>
      <c r="AV141" s="946">
        <f>+AV140/AR140-1</f>
        <v>1.1009276781418498E-2</v>
      </c>
      <c r="AW141" s="946"/>
      <c r="AX141" s="946"/>
      <c r="AY141" s="946"/>
      <c r="AZ141" s="946">
        <f>+AZ140/AV140-1</f>
        <v>1.609688396193798E-3</v>
      </c>
      <c r="BA141" s="946"/>
      <c r="BB141" s="946"/>
      <c r="BC141" s="946"/>
      <c r="BD141" s="946">
        <f>+BD140/AZ140-1</f>
        <v>4.0065368447470551E-3</v>
      </c>
    </row>
    <row r="142" spans="3:56" ht="12.75" customHeight="1" x14ac:dyDescent="0.2">
      <c r="C142" s="2" t="s">
        <v>231</v>
      </c>
      <c r="D142" s="85">
        <f>D$40</f>
        <v>-52</v>
      </c>
      <c r="H142" s="85">
        <f>H$40</f>
        <v>-50</v>
      </c>
      <c r="L142" s="85">
        <f>L$40</f>
        <v>0</v>
      </c>
      <c r="P142" s="85">
        <f>P$40</f>
        <v>0</v>
      </c>
      <c r="T142" s="85">
        <f>T$40</f>
        <v>0</v>
      </c>
      <c r="X142" s="85">
        <f>X$40</f>
        <v>0</v>
      </c>
      <c r="Y142" s="85"/>
      <c r="Z142" s="85"/>
      <c r="AA142" s="85"/>
      <c r="AB142" s="85">
        <f>AB$40</f>
        <v>0</v>
      </c>
      <c r="AC142" s="85"/>
      <c r="AD142" s="85"/>
      <c r="AE142" s="85"/>
      <c r="AF142" s="85">
        <f>AF$40</f>
        <v>0</v>
      </c>
      <c r="AG142" s="85">
        <f t="shared" ref="AG142:AJ142" si="189">AG$40</f>
        <v>0</v>
      </c>
      <c r="AH142" s="85">
        <f t="shared" si="189"/>
        <v>0</v>
      </c>
      <c r="AI142" s="85">
        <f t="shared" si="189"/>
        <v>0</v>
      </c>
      <c r="AJ142" s="85">
        <f t="shared" si="189"/>
        <v>0</v>
      </c>
      <c r="AK142" s="85"/>
      <c r="AL142" s="85"/>
      <c r="AM142" s="85"/>
      <c r="AN142" s="85">
        <f t="shared" ref="AN142" si="190">AN$40</f>
        <v>0</v>
      </c>
      <c r="AO142" s="85"/>
      <c r="AP142" s="85"/>
      <c r="AQ142" s="85"/>
      <c r="AR142" s="896">
        <f t="shared" ref="AR142" si="191">AR$40</f>
        <v>0</v>
      </c>
      <c r="AS142" s="85"/>
      <c r="AT142" s="85"/>
      <c r="AU142" s="85"/>
      <c r="AV142" s="85">
        <f>AV$40</f>
        <v>0</v>
      </c>
      <c r="AW142" s="85"/>
      <c r="AX142" s="85"/>
      <c r="AY142" s="85"/>
      <c r="AZ142" s="85">
        <f>AZ$40</f>
        <v>0</v>
      </c>
      <c r="BA142" s="85"/>
      <c r="BB142" s="85"/>
      <c r="BC142" s="85"/>
      <c r="BD142" s="85">
        <f>BD$40</f>
        <v>0</v>
      </c>
    </row>
    <row r="143" spans="3:56" x14ac:dyDescent="0.2">
      <c r="C143" s="3" t="s">
        <v>232</v>
      </c>
      <c r="D143" s="864">
        <f>D$41</f>
        <v>9085</v>
      </c>
      <c r="E143" s="3"/>
      <c r="F143" s="3"/>
      <c r="G143" s="3"/>
      <c r="H143" s="864">
        <f>H$41</f>
        <v>9395</v>
      </c>
      <c r="I143" s="3"/>
      <c r="J143" s="3"/>
      <c r="K143" s="3"/>
      <c r="L143" s="864">
        <f>L$41</f>
        <v>9881</v>
      </c>
      <c r="M143" s="3"/>
      <c r="N143" s="3"/>
      <c r="O143" s="3"/>
      <c r="P143" s="864">
        <f>P$41</f>
        <v>9412</v>
      </c>
      <c r="T143" s="864">
        <f>T$41</f>
        <v>8706</v>
      </c>
      <c r="U143" s="864">
        <f t="shared" ref="U143:AA143" si="192">+U140+U142</f>
        <v>0</v>
      </c>
      <c r="V143" s="864">
        <f t="shared" si="192"/>
        <v>0</v>
      </c>
      <c r="W143" s="864">
        <f t="shared" si="192"/>
        <v>0</v>
      </c>
      <c r="X143" s="864">
        <f>X$41</f>
        <v>7407</v>
      </c>
      <c r="Y143" s="864">
        <f t="shared" si="192"/>
        <v>0</v>
      </c>
      <c r="Z143" s="864">
        <f t="shared" si="192"/>
        <v>0</v>
      </c>
      <c r="AA143" s="864">
        <f t="shared" si="192"/>
        <v>0</v>
      </c>
      <c r="AB143" s="864">
        <f>AB$41</f>
        <v>8801</v>
      </c>
      <c r="AC143" s="864"/>
      <c r="AD143" s="864"/>
      <c r="AE143" s="864"/>
      <c r="AF143" s="864">
        <f>AF$41</f>
        <v>9708</v>
      </c>
      <c r="AG143" s="864">
        <f t="shared" ref="AG143:AJ143" si="193">AG$41</f>
        <v>0</v>
      </c>
      <c r="AH143" s="864">
        <f t="shared" si="193"/>
        <v>0</v>
      </c>
      <c r="AI143" s="864">
        <f t="shared" si="193"/>
        <v>0</v>
      </c>
      <c r="AJ143" s="864">
        <f t="shared" si="193"/>
        <v>10090</v>
      </c>
      <c r="AK143" s="864"/>
      <c r="AL143" s="864"/>
      <c r="AM143" s="864"/>
      <c r="AN143" s="864">
        <f t="shared" ref="AN143" si="194">AN$41</f>
        <v>9847</v>
      </c>
      <c r="AO143" s="864"/>
      <c r="AP143" s="864"/>
      <c r="AQ143" s="864"/>
      <c r="AR143" s="924">
        <f t="shared" ref="AR143" si="195">AR$41</f>
        <v>10253</v>
      </c>
      <c r="AS143" s="864"/>
      <c r="AT143" s="864"/>
      <c r="AU143" s="864"/>
      <c r="AV143" s="864">
        <f>+AV140+AV142</f>
        <v>10365.878114839885</v>
      </c>
      <c r="AW143" s="864"/>
      <c r="AX143" s="864"/>
      <c r="AY143" s="864"/>
      <c r="AZ143" s="864">
        <f>+AZ140+AZ142</f>
        <v>10382.563948557701</v>
      </c>
      <c r="BA143" s="864"/>
      <c r="BB143" s="864"/>
      <c r="BC143" s="864"/>
      <c r="BD143" s="864">
        <f>+BD140+BD142</f>
        <v>10424.162073560539</v>
      </c>
    </row>
    <row r="144" spans="3:56" x14ac:dyDescent="0.2">
      <c r="C144" s="943" t="s">
        <v>947</v>
      </c>
      <c r="D144" s="950">
        <f>D$42</f>
        <v>1628.7954989563791</v>
      </c>
      <c r="E144" s="951"/>
      <c r="F144" s="951"/>
      <c r="G144" s="951"/>
      <c r="H144" s="950">
        <f>H$42</f>
        <v>1693</v>
      </c>
      <c r="I144" s="951"/>
      <c r="J144" s="951"/>
      <c r="K144" s="951"/>
      <c r="L144" s="950">
        <f>L$42</f>
        <v>1721</v>
      </c>
      <c r="M144" s="952"/>
      <c r="N144" s="952"/>
      <c r="O144" s="952"/>
      <c r="P144" s="950">
        <f>P$42</f>
        <v>1747</v>
      </c>
      <c r="T144" s="950">
        <f>T$42</f>
        <v>1766</v>
      </c>
      <c r="X144" s="950">
        <f>X$42</f>
        <v>1769</v>
      </c>
      <c r="Y144" s="954">
        <f t="shared" ref="Y144:AE144" si="196">Y42</f>
        <v>0</v>
      </c>
      <c r="Z144" s="954">
        <f t="shared" si="196"/>
        <v>0</v>
      </c>
      <c r="AA144" s="954">
        <f t="shared" si="196"/>
        <v>0</v>
      </c>
      <c r="AB144" s="950">
        <f>AB$42</f>
        <v>1771</v>
      </c>
      <c r="AC144" s="954">
        <f t="shared" si="196"/>
        <v>0</v>
      </c>
      <c r="AD144" s="954">
        <f t="shared" si="196"/>
        <v>0</v>
      </c>
      <c r="AE144" s="954">
        <f t="shared" si="196"/>
        <v>0</v>
      </c>
      <c r="AF144" s="950">
        <f>AF$42</f>
        <v>1722</v>
      </c>
      <c r="AG144" s="950">
        <f t="shared" ref="AG144:AJ144" si="197">AG$42</f>
        <v>0</v>
      </c>
      <c r="AH144" s="950">
        <f t="shared" si="197"/>
        <v>0</v>
      </c>
      <c r="AI144" s="950">
        <f t="shared" si="197"/>
        <v>0</v>
      </c>
      <c r="AJ144" s="950">
        <f t="shared" si="197"/>
        <v>1690</v>
      </c>
      <c r="AK144" s="954"/>
      <c r="AL144" s="954"/>
      <c r="AM144" s="954"/>
      <c r="AN144" s="950">
        <f t="shared" ref="AN144" si="198">AN$42</f>
        <v>1673</v>
      </c>
      <c r="AO144" s="954"/>
      <c r="AP144" s="954"/>
      <c r="AQ144" s="954"/>
      <c r="AR144" s="955">
        <f t="shared" ref="AR144" si="199">AR$42</f>
        <v>1672</v>
      </c>
      <c r="AS144" s="954"/>
      <c r="AT144" s="954"/>
      <c r="AU144" s="954"/>
      <c r="AV144" s="954">
        <f>AV42</f>
        <v>1672.0703947185145</v>
      </c>
      <c r="AW144" s="954"/>
      <c r="AX144" s="954"/>
      <c r="AY144" s="954"/>
      <c r="AZ144" s="954">
        <f ca="1">AZ42</f>
        <v>1672.1407894370291</v>
      </c>
      <c r="BA144" s="954"/>
      <c r="BB144" s="954"/>
      <c r="BC144" s="954"/>
      <c r="BD144" s="954">
        <f ca="1">BD42</f>
        <v>1672.1407894370291</v>
      </c>
    </row>
    <row r="145" spans="3:56" x14ac:dyDescent="0.2">
      <c r="C145" s="3" t="s">
        <v>948</v>
      </c>
      <c r="D145" s="851">
        <f>D$44</f>
        <v>557.77413467934116</v>
      </c>
      <c r="E145" s="3"/>
      <c r="F145" s="3"/>
      <c r="G145" s="3"/>
      <c r="H145" s="851">
        <f>H$44</f>
        <v>554.93207324276432</v>
      </c>
      <c r="I145" s="3"/>
      <c r="J145" s="3"/>
      <c r="K145" s="3"/>
      <c r="L145" s="851">
        <f>L43</f>
        <v>0</v>
      </c>
      <c r="M145" s="3" t="e">
        <f t="shared" ref="M145:AB145" si="200">M43</f>
        <v>#DIV/0!</v>
      </c>
      <c r="N145" s="3" t="e">
        <f t="shared" si="200"/>
        <v>#DIV/0!</v>
      </c>
      <c r="O145" s="3" t="e">
        <f t="shared" si="200"/>
        <v>#DIV/0!</v>
      </c>
      <c r="P145" s="851">
        <f t="shared" si="200"/>
        <v>493.96107613050947</v>
      </c>
      <c r="Q145" s="2" t="e">
        <f t="shared" si="200"/>
        <v>#DIV/0!</v>
      </c>
      <c r="R145" s="2" t="e">
        <f t="shared" si="200"/>
        <v>#DIV/0!</v>
      </c>
      <c r="S145" s="2" t="e">
        <f t="shared" si="200"/>
        <v>#DIV/0!</v>
      </c>
      <c r="T145" s="851">
        <f t="shared" si="200"/>
        <v>492.86523216308041</v>
      </c>
      <c r="U145" s="2" t="e">
        <f t="shared" si="200"/>
        <v>#DIV/0!</v>
      </c>
      <c r="V145" s="2" t="e">
        <f t="shared" si="200"/>
        <v>#DIV/0!</v>
      </c>
      <c r="W145" s="2" t="e">
        <f t="shared" si="200"/>
        <v>#DIV/0!</v>
      </c>
      <c r="X145" s="851">
        <f t="shared" si="200"/>
        <v>426.66478236291692</v>
      </c>
      <c r="Y145" s="851" t="e">
        <f t="shared" si="200"/>
        <v>#DIV/0!</v>
      </c>
      <c r="Z145" s="851" t="e">
        <f t="shared" si="200"/>
        <v>#DIV/0!</v>
      </c>
      <c r="AA145" s="851" t="e">
        <f t="shared" si="200"/>
        <v>#DIV/0!</v>
      </c>
      <c r="AB145" s="851">
        <f t="shared" si="200"/>
        <v>511.3212874082439</v>
      </c>
      <c r="AC145" s="851"/>
      <c r="AD145" s="851"/>
      <c r="AE145" s="851"/>
      <c r="AF145" s="851">
        <f t="shared" ref="AF145:AJ145" si="201">AF43</f>
        <v>562.24157955865269</v>
      </c>
      <c r="AG145" s="851" t="e">
        <f t="shared" si="201"/>
        <v>#DIV/0!</v>
      </c>
      <c r="AH145" s="851" t="e">
        <f t="shared" si="201"/>
        <v>#DIV/0!</v>
      </c>
      <c r="AI145" s="851" t="e">
        <f t="shared" si="201"/>
        <v>#DIV/0!</v>
      </c>
      <c r="AJ145" s="851">
        <f t="shared" si="201"/>
        <v>602.32544378698219</v>
      </c>
      <c r="AK145" s="851" t="e">
        <f t="shared" ref="AK145:AM145" si="202">(AK137+AK139)/AK144*100</f>
        <v>#DIV/0!</v>
      </c>
      <c r="AL145" s="851" t="e">
        <f t="shared" si="202"/>
        <v>#DIV/0!</v>
      </c>
      <c r="AM145" s="851" t="e">
        <f t="shared" si="202"/>
        <v>#DIV/0!</v>
      </c>
      <c r="AN145" s="851">
        <f t="shared" ref="AN145" si="203">AN43</f>
        <v>591.64973102211593</v>
      </c>
      <c r="AO145" s="851" t="e">
        <f t="shared" ref="AO145:AQ145" si="204">(AO137+AO139)/AO144*100</f>
        <v>#DIV/0!</v>
      </c>
      <c r="AP145" s="851" t="e">
        <f t="shared" si="204"/>
        <v>#DIV/0!</v>
      </c>
      <c r="AQ145" s="851" t="e">
        <f t="shared" si="204"/>
        <v>#DIV/0!</v>
      </c>
      <c r="AR145" s="863">
        <f t="shared" ref="AR145" si="205">AR43</f>
        <v>618.6004784688995</v>
      </c>
      <c r="AS145" s="851" t="e">
        <f t="shared" ref="AS145:AU145" si="206">(AS137+AS139)/AS144*100</f>
        <v>#DIV/0!</v>
      </c>
      <c r="AT145" s="851" t="e">
        <f t="shared" si="206"/>
        <v>#DIV/0!</v>
      </c>
      <c r="AU145" s="851" t="e">
        <f t="shared" si="206"/>
        <v>#DIV/0!</v>
      </c>
      <c r="AV145" s="851">
        <f>(AV137+AV139)/AV144*100</f>
        <v>629.15332598798204</v>
      </c>
      <c r="AW145" s="851"/>
      <c r="AX145" s="851"/>
      <c r="AY145" s="851"/>
      <c r="AZ145" s="851">
        <f ca="1">(AZ137+AZ139)/AZ144*100</f>
        <v>623.00758490946521</v>
      </c>
      <c r="BA145" s="851"/>
      <c r="BB145" s="851"/>
      <c r="BC145" s="851"/>
      <c r="BD145" s="851">
        <f ca="1">(BD137+BD139)/BD144*100</f>
        <v>625.49530156978574</v>
      </c>
    </row>
    <row r="146" spans="3:56" ht="12.75" customHeight="1" x14ac:dyDescent="0.2">
      <c r="C146" s="3" t="s">
        <v>38</v>
      </c>
      <c r="D146" s="851">
        <f>D$44</f>
        <v>557.77413467934116</v>
      </c>
      <c r="E146" s="3"/>
      <c r="F146" s="3"/>
      <c r="G146" s="3"/>
      <c r="H146" s="851">
        <f>H$44</f>
        <v>554.93207324276432</v>
      </c>
      <c r="I146" s="3"/>
      <c r="J146" s="3"/>
      <c r="K146" s="3"/>
      <c r="L146" s="851">
        <f>L$44</f>
        <v>574.14294015107487</v>
      </c>
      <c r="M146" s="3"/>
      <c r="N146" s="3"/>
      <c r="O146" s="3"/>
      <c r="P146" s="851">
        <f>P$44</f>
        <v>538.75214653692046</v>
      </c>
      <c r="T146" s="851">
        <f>T$44</f>
        <v>492.9784824462061</v>
      </c>
      <c r="X146" s="851">
        <f>X$44</f>
        <v>418.71113623516106</v>
      </c>
      <c r="Y146" s="851"/>
      <c r="Z146" s="851"/>
      <c r="AA146" s="851"/>
      <c r="AB146" s="851">
        <f>AB$44</f>
        <v>496.95087521174474</v>
      </c>
      <c r="AC146" s="851"/>
      <c r="AD146" s="851"/>
      <c r="AE146" s="851"/>
      <c r="AF146" s="851">
        <f>AF$44</f>
        <v>563.76306620209061</v>
      </c>
      <c r="AG146" s="851">
        <f t="shared" ref="AG146:AJ146" si="207">AG$44</f>
        <v>0</v>
      </c>
      <c r="AH146" s="851">
        <f t="shared" si="207"/>
        <v>0</v>
      </c>
      <c r="AI146" s="851">
        <f t="shared" si="207"/>
        <v>0</v>
      </c>
      <c r="AJ146" s="851">
        <f t="shared" si="207"/>
        <v>597.04142011834313</v>
      </c>
      <c r="AK146" s="851"/>
      <c r="AL146" s="851"/>
      <c r="AM146" s="851"/>
      <c r="AN146" s="851">
        <f t="shared" ref="AN146" si="208">AN$44</f>
        <v>588.58338314405262</v>
      </c>
      <c r="AO146" s="851"/>
      <c r="AP146" s="851"/>
      <c r="AQ146" s="851"/>
      <c r="AR146" s="863">
        <f t="shared" ref="AR146" si="209">AR$44</f>
        <v>613.21770334928237</v>
      </c>
      <c r="AS146" s="851"/>
      <c r="AT146" s="851"/>
      <c r="AU146" s="851"/>
      <c r="AV146" s="851">
        <f>+AV143/AV144*100</f>
        <v>619.94268588105308</v>
      </c>
      <c r="AW146" s="851"/>
      <c r="AX146" s="851"/>
      <c r="AY146" s="851"/>
      <c r="AZ146" s="851">
        <f ca="1">+AZ143/AZ144*100</f>
        <v>620.91445972400857</v>
      </c>
      <c r="BA146" s="851"/>
      <c r="BB146" s="851"/>
      <c r="BC146" s="851"/>
      <c r="BD146" s="851">
        <f ca="1">+BD143/BD144*100</f>
        <v>623.40217638432898</v>
      </c>
    </row>
    <row r="147" spans="3:56" x14ac:dyDescent="0.2">
      <c r="C147" s="926" t="s">
        <v>233</v>
      </c>
      <c r="D147" s="927">
        <f>D$45</f>
        <v>4.6398307205101519E-2</v>
      </c>
      <c r="E147" s="926"/>
      <c r="F147" s="926"/>
      <c r="G147" s="926"/>
      <c r="H147" s="927">
        <f>H$45</f>
        <v>-5.0953625488759924E-3</v>
      </c>
      <c r="I147" s="926"/>
      <c r="J147" s="926"/>
      <c r="K147" s="926"/>
      <c r="L147" s="927">
        <f>L$45</f>
        <v>1.5247456597724085E-2</v>
      </c>
      <c r="M147" s="926"/>
      <c r="N147" s="926"/>
      <c r="O147" s="926"/>
      <c r="P147" s="927">
        <f>P$45</f>
        <v>-9.4232557557415553E-2</v>
      </c>
      <c r="T147" s="927">
        <f>T$45</f>
        <v>-8.7865552985952222E-2</v>
      </c>
      <c r="X147" s="927">
        <f>X$45</f>
        <v>-0.12265673166608726</v>
      </c>
      <c r="Y147" s="928"/>
      <c r="Z147" s="928"/>
      <c r="AA147" s="928"/>
      <c r="AB147" s="927">
        <f>AB$45</f>
        <v>0.19631858318245032</v>
      </c>
      <c r="AC147" s="928"/>
      <c r="AD147" s="928"/>
      <c r="AE147" s="928"/>
      <c r="AF147" s="927">
        <f>AF$45</f>
        <v>0.14043138879918371</v>
      </c>
      <c r="AG147" s="927">
        <f t="shared" ref="AG147:AJ147" si="210">AG$45</f>
        <v>0</v>
      </c>
      <c r="AH147" s="927">
        <f t="shared" si="210"/>
        <v>0</v>
      </c>
      <c r="AI147" s="927">
        <f t="shared" si="210"/>
        <v>0</v>
      </c>
      <c r="AJ147" s="927">
        <f t="shared" si="210"/>
        <v>6.968560972855431E-2</v>
      </c>
      <c r="AK147" s="928"/>
      <c r="AL147" s="928"/>
      <c r="AM147" s="928"/>
      <c r="AN147" s="1397">
        <f t="shared" ref="AN147" si="211">AN$45</f>
        <v>-1.3508002394712837E-2</v>
      </c>
      <c r="AO147" s="928"/>
      <c r="AP147" s="928"/>
      <c r="AQ147" s="928"/>
      <c r="AR147" s="929">
        <f t="shared" ref="AR147" si="212">AR$45</f>
        <v>4.2916996639626781E-2</v>
      </c>
      <c r="AS147" s="928"/>
      <c r="AT147" s="928"/>
      <c r="AU147" s="928"/>
      <c r="AV147" s="927">
        <f>+AV146/AR146-1</f>
        <v>1.0966712955350344E-2</v>
      </c>
      <c r="AW147" s="928"/>
      <c r="AX147" s="928"/>
      <c r="AY147" s="928"/>
      <c r="AZ147" s="927">
        <f ca="1">+AZ146/AV146-1</f>
        <v>1.5675220711321991E-3</v>
      </c>
      <c r="BA147" s="928"/>
      <c r="BB147" s="928"/>
      <c r="BC147" s="928"/>
      <c r="BD147" s="927">
        <f ca="1">+BD146/AZ146-1</f>
        <v>4.0065368447470551E-3</v>
      </c>
    </row>
    <row r="148" spans="3:56" s="1" customFormat="1" x14ac:dyDescent="0.2">
      <c r="C148" s="2" t="s">
        <v>44</v>
      </c>
      <c r="D148" s="2"/>
      <c r="E148" s="2"/>
      <c r="F148" s="2"/>
      <c r="G148" s="2"/>
      <c r="H148" s="118" t="e">
        <f>H202/(H207*100)</f>
        <v>#DIV/0!</v>
      </c>
      <c r="I148" s="118" t="e">
        <f>I202/(I207*100)</f>
        <v>#DIV/0!</v>
      </c>
      <c r="J148" s="118" t="e">
        <f>J202/(J207*100)</f>
        <v>#DIV/0!</v>
      </c>
      <c r="K148" s="118" t="e">
        <f>K202/(K207*100)</f>
        <v>#DIV/0!</v>
      </c>
      <c r="L148" s="118">
        <f>L146/(L161*100)</f>
        <v>0.15736470387398563</v>
      </c>
      <c r="M148" s="118" t="e">
        <f t="shared" ref="M148:AQ148" si="213">M146/(M161*100)</f>
        <v>#DIV/0!</v>
      </c>
      <c r="N148" s="118" t="e">
        <f t="shared" si="213"/>
        <v>#DIV/0!</v>
      </c>
      <c r="O148" s="118" t="e">
        <f t="shared" si="213"/>
        <v>#DIV/0!</v>
      </c>
      <c r="P148" s="118">
        <f t="shared" si="213"/>
        <v>0.14077284021103229</v>
      </c>
      <c r="Q148" s="118" t="e">
        <f t="shared" si="213"/>
        <v>#DIV/0!</v>
      </c>
      <c r="R148" s="118" t="e">
        <f t="shared" si="213"/>
        <v>#DIV/0!</v>
      </c>
      <c r="S148" s="118" t="e">
        <f t="shared" si="213"/>
        <v>#DIV/0!</v>
      </c>
      <c r="T148" s="118">
        <f t="shared" si="213"/>
        <v>0.12531987100638742</v>
      </c>
      <c r="U148" s="118" t="e">
        <f t="shared" si="213"/>
        <v>#DIV/0!</v>
      </c>
      <c r="V148" s="118" t="e">
        <f t="shared" si="213"/>
        <v>#DIV/0!</v>
      </c>
      <c r="W148" s="118" t="e">
        <f t="shared" si="213"/>
        <v>#DIV/0!</v>
      </c>
      <c r="X148" s="118">
        <f t="shared" si="213"/>
        <v>0.10304296990037137</v>
      </c>
      <c r="Y148" s="118" t="e">
        <f t="shared" si="213"/>
        <v>#DIV/0!</v>
      </c>
      <c r="Z148" s="118" t="e">
        <f t="shared" si="213"/>
        <v>#DIV/0!</v>
      </c>
      <c r="AA148" s="118" t="e">
        <f t="shared" si="213"/>
        <v>#DIV/0!</v>
      </c>
      <c r="AB148" s="118">
        <f t="shared" si="213"/>
        <v>0.11200675411425233</v>
      </c>
      <c r="AC148" s="118" t="e">
        <f t="shared" si="213"/>
        <v>#DIV/0!</v>
      </c>
      <c r="AD148" s="118" t="e">
        <f t="shared" si="213"/>
        <v>#DIV/0!</v>
      </c>
      <c r="AE148" s="118" t="e">
        <f t="shared" si="213"/>
        <v>#DIV/0!</v>
      </c>
      <c r="AF148" s="131">
        <f t="shared" si="213"/>
        <v>0.13170740035796658</v>
      </c>
      <c r="AG148" s="131" t="e">
        <f t="shared" si="213"/>
        <v>#DIV/0!</v>
      </c>
      <c r="AH148" s="131" t="e">
        <f t="shared" si="213"/>
        <v>#DIV/0!</v>
      </c>
      <c r="AI148" s="131" t="e">
        <f t="shared" si="213"/>
        <v>#DIV/0!</v>
      </c>
      <c r="AJ148" s="131">
        <f t="shared" si="213"/>
        <v>0.13971387060446758</v>
      </c>
      <c r="AK148" s="118" t="e">
        <f t="shared" si="213"/>
        <v>#DIV/0!</v>
      </c>
      <c r="AL148" s="118" t="e">
        <f t="shared" si="213"/>
        <v>#DIV/0!</v>
      </c>
      <c r="AM148" s="118" t="e">
        <f t="shared" si="213"/>
        <v>#DIV/0!</v>
      </c>
      <c r="AN148" s="131">
        <f t="shared" si="213"/>
        <v>0.134774735808214</v>
      </c>
      <c r="AO148" s="118" t="e">
        <f t="shared" si="213"/>
        <v>#DIV/0!</v>
      </c>
      <c r="AP148" s="118" t="e">
        <f t="shared" si="213"/>
        <v>#DIV/0!</v>
      </c>
      <c r="AQ148" s="118" t="e">
        <f t="shared" si="213"/>
        <v>#DIV/0!</v>
      </c>
      <c r="AR148" s="860">
        <f t="shared" ref="AR148" si="214">AR146/(AR161*100)</f>
        <v>0.13026768861255134</v>
      </c>
      <c r="AS148" s="118" t="e">
        <f t="shared" ref="AS148:AU148" si="215">AS146/(AS161*100)</f>
        <v>#DIV/0!</v>
      </c>
      <c r="AT148" s="118" t="e">
        <f t="shared" si="215"/>
        <v>#DIV/0!</v>
      </c>
      <c r="AU148" s="118" t="e">
        <f t="shared" si="215"/>
        <v>#DIV/0!</v>
      </c>
      <c r="AV148" s="118">
        <f>AV146/(AV161*100)</f>
        <v>0.13144930913952821</v>
      </c>
      <c r="AW148" s="118"/>
      <c r="AX148" s="118"/>
      <c r="AY148" s="118"/>
      <c r="AZ148" s="118">
        <f ca="1">AZ146/(AZ161*100)</f>
        <v>0.1271880582058959</v>
      </c>
      <c r="BA148" s="118"/>
      <c r="BB148" s="118"/>
      <c r="BC148" s="118"/>
      <c r="BD148" s="118">
        <f ca="1">BD146/(BD161*100)</f>
        <v>0.12356907567853265</v>
      </c>
    </row>
    <row r="149" spans="3:56" s="1" customFormat="1" x14ac:dyDescent="0.2">
      <c r="AR149" s="868"/>
    </row>
    <row r="150" spans="3:56" x14ac:dyDescent="0.2">
      <c r="C150" s="78"/>
      <c r="D150" s="858">
        <f>MODEL!BR158</f>
        <v>0</v>
      </c>
      <c r="E150" s="78"/>
      <c r="F150" s="78"/>
      <c r="G150" s="78"/>
      <c r="H150" s="858" t="str">
        <f>H$2</f>
        <v>FY16</v>
      </c>
      <c r="I150" s="78"/>
      <c r="J150" s="78"/>
      <c r="K150" s="78"/>
      <c r="L150" s="858" t="str">
        <f>L$2</f>
        <v>FY17</v>
      </c>
      <c r="M150" s="78"/>
      <c r="N150" s="78"/>
      <c r="O150" s="78"/>
      <c r="P150" s="858" t="str">
        <f>P$2</f>
        <v>FY18</v>
      </c>
      <c r="T150" s="858" t="str">
        <f>T$2</f>
        <v>FY19</v>
      </c>
      <c r="X150" s="858" t="str">
        <f>X$2</f>
        <v>FY20</v>
      </c>
      <c r="Y150" s="852"/>
      <c r="Z150" s="852"/>
      <c r="AA150" s="852"/>
      <c r="AB150" s="858" t="str">
        <f>AB$2</f>
        <v>FY21</v>
      </c>
      <c r="AC150" s="852"/>
      <c r="AD150" s="852"/>
      <c r="AE150" s="852"/>
      <c r="AF150" s="858" t="str">
        <f>AF$2</f>
        <v>FY22</v>
      </c>
      <c r="AG150" s="852"/>
      <c r="AH150" s="852"/>
      <c r="AI150" s="852"/>
      <c r="AJ150" s="858" t="str">
        <f>AJ$2</f>
        <v>FY23</v>
      </c>
      <c r="AK150" s="852"/>
      <c r="AL150" s="852"/>
      <c r="AM150" s="852"/>
      <c r="AN150" s="858" t="str">
        <f>AN$2</f>
        <v>FY24</v>
      </c>
      <c r="AO150" s="852"/>
      <c r="AP150" s="852"/>
      <c r="AQ150" s="852"/>
      <c r="AR150" s="859" t="str">
        <f>AR$2</f>
        <v>FY25</v>
      </c>
      <c r="AS150" s="852"/>
      <c r="AT150" s="852"/>
      <c r="AU150" s="852"/>
      <c r="AV150" s="858" t="str">
        <f>AV$2</f>
        <v>FY26E</v>
      </c>
      <c r="AW150" s="852"/>
      <c r="AX150" s="852"/>
      <c r="AY150" s="852"/>
      <c r="AZ150" s="858" t="str">
        <f>AZ$2</f>
        <v>FY27E</v>
      </c>
      <c r="BA150" s="852"/>
      <c r="BB150" s="852"/>
      <c r="BC150" s="852"/>
      <c r="BD150" s="858" t="str">
        <f>BD$2</f>
        <v>FY28E</v>
      </c>
    </row>
    <row r="151" spans="3:56" x14ac:dyDescent="0.2">
      <c r="C151" s="956" t="s">
        <v>693</v>
      </c>
      <c r="D151" s="956"/>
      <c r="E151" s="956"/>
      <c r="F151" s="956"/>
      <c r="G151" s="956"/>
      <c r="H151" s="957"/>
      <c r="I151" s="956"/>
      <c r="J151" s="956"/>
      <c r="K151" s="956"/>
      <c r="L151" s="957"/>
      <c r="M151" s="956"/>
      <c r="N151" s="956"/>
      <c r="O151" s="956"/>
      <c r="P151" s="958"/>
      <c r="T151" s="957"/>
      <c r="X151" s="957"/>
      <c r="Y151" s="957"/>
      <c r="Z151" s="957"/>
      <c r="AA151" s="957"/>
      <c r="AB151" s="957"/>
      <c r="AC151" s="957"/>
      <c r="AD151" s="957"/>
      <c r="AE151" s="957"/>
      <c r="AF151" s="957"/>
      <c r="AG151" s="957"/>
      <c r="AH151" s="957"/>
      <c r="AI151" s="957"/>
      <c r="AJ151" s="957"/>
      <c r="AK151" s="957"/>
      <c r="AL151" s="957"/>
      <c r="AM151" s="957"/>
      <c r="AN151" s="957"/>
      <c r="AO151" s="957"/>
      <c r="AP151" s="957"/>
      <c r="AQ151" s="957"/>
      <c r="AR151" s="958"/>
      <c r="AS151" s="957"/>
      <c r="AT151" s="957"/>
      <c r="AU151" s="957"/>
      <c r="AV151" s="957"/>
      <c r="AW151" s="957"/>
      <c r="AX151" s="957"/>
      <c r="AY151" s="957"/>
      <c r="AZ151" s="957"/>
      <c r="BA151" s="957"/>
      <c r="BB151" s="957"/>
      <c r="BC151" s="957"/>
      <c r="BD151" s="957"/>
    </row>
    <row r="152" spans="3:56" x14ac:dyDescent="0.2">
      <c r="C152" s="90" t="str">
        <f>C119</f>
        <v>Total Income</v>
      </c>
      <c r="D152" s="91">
        <f>D119/D$18-1</f>
        <v>0</v>
      </c>
      <c r="E152" s="91" t="e">
        <f t="shared" ref="E152:P152" si="216">E119/E$18-1</f>
        <v>#DIV/0!</v>
      </c>
      <c r="F152" s="91" t="e">
        <f t="shared" si="216"/>
        <v>#DIV/0!</v>
      </c>
      <c r="G152" s="91" t="e">
        <f t="shared" si="216"/>
        <v>#DIV/0!</v>
      </c>
      <c r="H152" s="91">
        <f t="shared" si="216"/>
        <v>0</v>
      </c>
      <c r="I152" s="91" t="e">
        <f t="shared" si="216"/>
        <v>#DIV/0!</v>
      </c>
      <c r="J152" s="91" t="e">
        <f t="shared" si="216"/>
        <v>#DIV/0!</v>
      </c>
      <c r="K152" s="91" t="e">
        <f t="shared" si="216"/>
        <v>#DIV/0!</v>
      </c>
      <c r="L152" s="91">
        <f t="shared" si="216"/>
        <v>0</v>
      </c>
      <c r="M152" s="91" t="e">
        <f t="shared" si="216"/>
        <v>#DIV/0!</v>
      </c>
      <c r="N152" s="91" t="e">
        <f t="shared" si="216"/>
        <v>#DIV/0!</v>
      </c>
      <c r="O152" s="91" t="e">
        <f t="shared" si="216"/>
        <v>#DIV/0!</v>
      </c>
      <c r="P152" s="898">
        <f t="shared" si="216"/>
        <v>0</v>
      </c>
      <c r="T152" s="898">
        <f>T119/T$18-1</f>
        <v>0</v>
      </c>
      <c r="X152" s="898">
        <f>X119/X$18-1</f>
        <v>0</v>
      </c>
      <c r="Y152" s="898"/>
      <c r="Z152" s="898"/>
      <c r="AA152" s="898"/>
      <c r="AB152" s="898">
        <f>AB119/AB$18-1</f>
        <v>0</v>
      </c>
      <c r="AC152" s="898"/>
      <c r="AD152" s="898"/>
      <c r="AE152" s="898"/>
      <c r="AF152" s="898">
        <f>AF119/AF$18-1</f>
        <v>0</v>
      </c>
      <c r="AG152" s="91"/>
      <c r="AH152" s="91"/>
      <c r="AI152" s="91"/>
      <c r="AJ152" s="898">
        <f>AJ119/AJ$18-1</f>
        <v>0</v>
      </c>
      <c r="AK152" s="91"/>
      <c r="AL152" s="91"/>
      <c r="AM152" s="91"/>
      <c r="AN152" s="898">
        <f>AN119/AN$18-1</f>
        <v>0</v>
      </c>
      <c r="AO152" s="91"/>
      <c r="AP152" s="91"/>
      <c r="AQ152" s="91"/>
      <c r="AR152" s="899">
        <f>AR119/AR$18-1</f>
        <v>0</v>
      </c>
      <c r="AS152" s="91"/>
      <c r="AT152" s="91"/>
      <c r="AU152" s="91"/>
      <c r="AV152" s="91">
        <f>AV119/AV$18-1</f>
        <v>-1.8841151434989878E-2</v>
      </c>
      <c r="AW152" s="91"/>
      <c r="AX152" s="91"/>
      <c r="AY152" s="91"/>
      <c r="AZ152" s="91">
        <f>AZ119/AZ$18-1</f>
        <v>-3.974451199373219E-2</v>
      </c>
      <c r="BA152" s="91"/>
      <c r="BB152" s="91"/>
      <c r="BC152" s="91"/>
      <c r="BD152" s="91">
        <f>BD119/BD$18-1</f>
        <v>-5.6432826430514504E-2</v>
      </c>
    </row>
    <row r="153" spans="3:56" x14ac:dyDescent="0.2">
      <c r="C153" s="90" t="s">
        <v>940</v>
      </c>
      <c r="D153" s="959">
        <f>(D113-D$13)*10000</f>
        <v>0</v>
      </c>
      <c r="E153" s="959">
        <f t="shared" ref="E153:P153" si="217">(E113-E$13)*10000</f>
        <v>0</v>
      </c>
      <c r="F153" s="959">
        <f t="shared" si="217"/>
        <v>0</v>
      </c>
      <c r="G153" s="959">
        <f t="shared" si="217"/>
        <v>0</v>
      </c>
      <c r="H153" s="959">
        <f t="shared" si="217"/>
        <v>0</v>
      </c>
      <c r="I153" s="959">
        <f t="shared" si="217"/>
        <v>0</v>
      </c>
      <c r="J153" s="959">
        <f t="shared" si="217"/>
        <v>0</v>
      </c>
      <c r="K153" s="959">
        <f t="shared" si="217"/>
        <v>0</v>
      </c>
      <c r="L153" s="959">
        <f t="shared" si="217"/>
        <v>0</v>
      </c>
      <c r="M153" s="959">
        <f t="shared" si="217"/>
        <v>0</v>
      </c>
      <c r="N153" s="959">
        <f t="shared" si="217"/>
        <v>0</v>
      </c>
      <c r="O153" s="959">
        <f t="shared" si="217"/>
        <v>0</v>
      </c>
      <c r="P153" s="959">
        <f t="shared" si="217"/>
        <v>0</v>
      </c>
      <c r="T153" s="959">
        <f>(T113-T$13)*10000</f>
        <v>0</v>
      </c>
      <c r="X153" s="959">
        <f>(X113-X$13)*10000</f>
        <v>0</v>
      </c>
      <c r="Y153" s="959"/>
      <c r="Z153" s="959"/>
      <c r="AA153" s="959"/>
      <c r="AB153" s="959">
        <f>(AB113-AB$13)*10000</f>
        <v>0</v>
      </c>
      <c r="AC153" s="959"/>
      <c r="AD153" s="959"/>
      <c r="AE153" s="959"/>
      <c r="AF153" s="959">
        <f>(AF113-AF$13)*10000</f>
        <v>0</v>
      </c>
      <c r="AG153" s="959"/>
      <c r="AH153" s="959"/>
      <c r="AI153" s="959"/>
      <c r="AJ153" s="959">
        <f>(AJ113-AJ$13)*10000</f>
        <v>0</v>
      </c>
      <c r="AK153" s="959"/>
      <c r="AL153" s="959"/>
      <c r="AM153" s="959"/>
      <c r="AN153" s="959">
        <f>(AN113-AN$13)*10000</f>
        <v>0</v>
      </c>
      <c r="AO153" s="959"/>
      <c r="AP153" s="959"/>
      <c r="AQ153" s="959"/>
      <c r="AR153" s="960">
        <f>(AR113-AR$13)*10000</f>
        <v>0</v>
      </c>
      <c r="AS153" s="959"/>
      <c r="AT153" s="959"/>
      <c r="AU153" s="959"/>
      <c r="AV153" s="959">
        <f>(AV113-AV$13)*10000</f>
        <v>-2.6011784112767513</v>
      </c>
      <c r="AW153" s="959"/>
      <c r="AX153" s="959"/>
      <c r="AY153" s="959"/>
      <c r="AZ153" s="959">
        <f>(AZ113-AZ$13)*10000</f>
        <v>-4.5965181324002931</v>
      </c>
      <c r="BA153" s="959"/>
      <c r="BB153" s="959"/>
      <c r="BC153" s="959"/>
      <c r="BD153" s="959">
        <f>(BD113-BD$13)*10000</f>
        <v>-6.6083799561484149</v>
      </c>
    </row>
    <row r="154" spans="3:56" x14ac:dyDescent="0.2">
      <c r="C154" s="90" t="str">
        <f>C124</f>
        <v>Expenses</v>
      </c>
      <c r="D154" s="91">
        <f>+D124/D$24-1</f>
        <v>0</v>
      </c>
      <c r="E154" s="91" t="e">
        <f t="shared" ref="E154:P154" si="218">+E124/E$24-1</f>
        <v>#DIV/0!</v>
      </c>
      <c r="F154" s="91" t="e">
        <f t="shared" si="218"/>
        <v>#DIV/0!</v>
      </c>
      <c r="G154" s="91" t="e">
        <f t="shared" si="218"/>
        <v>#DIV/0!</v>
      </c>
      <c r="H154" s="91">
        <f t="shared" si="218"/>
        <v>0</v>
      </c>
      <c r="I154" s="91" t="e">
        <f t="shared" si="218"/>
        <v>#DIV/0!</v>
      </c>
      <c r="J154" s="91" t="e">
        <f t="shared" si="218"/>
        <v>#DIV/0!</v>
      </c>
      <c r="K154" s="91" t="e">
        <f t="shared" si="218"/>
        <v>#DIV/0!</v>
      </c>
      <c r="L154" s="91">
        <f t="shared" si="218"/>
        <v>0</v>
      </c>
      <c r="M154" s="91" t="e">
        <f t="shared" si="218"/>
        <v>#DIV/0!</v>
      </c>
      <c r="N154" s="91" t="e">
        <f t="shared" si="218"/>
        <v>#DIV/0!</v>
      </c>
      <c r="O154" s="91" t="e">
        <f t="shared" si="218"/>
        <v>#DIV/0!</v>
      </c>
      <c r="P154" s="898">
        <f t="shared" si="218"/>
        <v>0</v>
      </c>
      <c r="T154" s="898">
        <f>+T124/T$24-1</f>
        <v>0</v>
      </c>
      <c r="X154" s="898">
        <f>+X124/X$24-1</f>
        <v>0</v>
      </c>
      <c r="Y154" s="898"/>
      <c r="Z154" s="898"/>
      <c r="AA154" s="898"/>
      <c r="AB154" s="898">
        <f>+AB124/AB$24-1</f>
        <v>0</v>
      </c>
      <c r="AC154" s="898"/>
      <c r="AD154" s="898"/>
      <c r="AE154" s="898"/>
      <c r="AF154" s="898">
        <f>+AF124/AF$24-1</f>
        <v>0</v>
      </c>
      <c r="AG154" s="91"/>
      <c r="AH154" s="91"/>
      <c r="AI154" s="91"/>
      <c r="AJ154" s="898">
        <f>+AJ124/AJ$24-1</f>
        <v>0</v>
      </c>
      <c r="AK154" s="91"/>
      <c r="AL154" s="91"/>
      <c r="AM154" s="91"/>
      <c r="AN154" s="898">
        <f>+AN124/AN$24-1</f>
        <v>0</v>
      </c>
      <c r="AO154" s="91"/>
      <c r="AP154" s="91"/>
      <c r="AQ154" s="91"/>
      <c r="AR154" s="899">
        <f>+AR124/AR$24-1</f>
        <v>0</v>
      </c>
      <c r="AS154" s="91"/>
      <c r="AT154" s="91"/>
      <c r="AU154" s="91"/>
      <c r="AV154" s="91">
        <f>+AV124/AV$24-1</f>
        <v>8.2915011173787523E-3</v>
      </c>
      <c r="AW154" s="91"/>
      <c r="AX154" s="91"/>
      <c r="AY154" s="91"/>
      <c r="AZ154" s="91">
        <f>+AZ124/AZ$24-1</f>
        <v>1.1432593145545233E-2</v>
      </c>
      <c r="BA154" s="91"/>
      <c r="BB154" s="91"/>
      <c r="BC154" s="91"/>
      <c r="BD154" s="91">
        <f>+BD124/BD$24-1</f>
        <v>1.3667083984477246E-2</v>
      </c>
    </row>
    <row r="155" spans="3:56" x14ac:dyDescent="0.2">
      <c r="C155" s="853" t="str">
        <f>C126</f>
        <v>Pre Provision Profit</v>
      </c>
      <c r="D155" s="854">
        <f>+D126/D$26-1</f>
        <v>0</v>
      </c>
      <c r="E155" s="854" t="e">
        <f t="shared" ref="E155:P155" si="219">+E126/E$26-1</f>
        <v>#DIV/0!</v>
      </c>
      <c r="F155" s="854" t="e">
        <f t="shared" si="219"/>
        <v>#DIV/0!</v>
      </c>
      <c r="G155" s="854" t="e">
        <f t="shared" si="219"/>
        <v>#DIV/0!</v>
      </c>
      <c r="H155" s="854">
        <f t="shared" si="219"/>
        <v>0</v>
      </c>
      <c r="I155" s="854" t="e">
        <f t="shared" si="219"/>
        <v>#DIV/0!</v>
      </c>
      <c r="J155" s="854" t="e">
        <f t="shared" si="219"/>
        <v>#DIV/0!</v>
      </c>
      <c r="K155" s="854" t="e">
        <f t="shared" si="219"/>
        <v>#DIV/0!</v>
      </c>
      <c r="L155" s="854">
        <f t="shared" si="219"/>
        <v>0</v>
      </c>
      <c r="M155" s="854" t="e">
        <f t="shared" si="219"/>
        <v>#DIV/0!</v>
      </c>
      <c r="N155" s="854" t="e">
        <f t="shared" si="219"/>
        <v>#DIV/0!</v>
      </c>
      <c r="O155" s="854" t="e">
        <f t="shared" si="219"/>
        <v>#DIV/0!</v>
      </c>
      <c r="P155" s="857">
        <f t="shared" si="219"/>
        <v>0</v>
      </c>
      <c r="Q155" s="3"/>
      <c r="R155" s="3"/>
      <c r="S155" s="3"/>
      <c r="T155" s="857">
        <f>+T126/T$26-1</f>
        <v>0</v>
      </c>
      <c r="U155" s="3"/>
      <c r="V155" s="3"/>
      <c r="W155" s="3"/>
      <c r="X155" s="857">
        <f>+X126/X$26-1</f>
        <v>0</v>
      </c>
      <c r="Y155" s="857"/>
      <c r="Z155" s="857"/>
      <c r="AA155" s="857"/>
      <c r="AB155" s="857">
        <f>+AB126/AB$26-1</f>
        <v>0</v>
      </c>
      <c r="AC155" s="857"/>
      <c r="AD155" s="857"/>
      <c r="AE155" s="857"/>
      <c r="AF155" s="857">
        <f>+AF126/AF$26-1</f>
        <v>0</v>
      </c>
      <c r="AG155" s="854"/>
      <c r="AH155" s="854"/>
      <c r="AI155" s="854"/>
      <c r="AJ155" s="857">
        <f>+AJ126/AJ$26-1</f>
        <v>0</v>
      </c>
      <c r="AK155" s="854"/>
      <c r="AL155" s="854"/>
      <c r="AM155" s="854"/>
      <c r="AN155" s="857">
        <f>+AN126/AN$26-1</f>
        <v>0</v>
      </c>
      <c r="AO155" s="854"/>
      <c r="AP155" s="854"/>
      <c r="AQ155" s="854"/>
      <c r="AR155" s="961">
        <f>+AR126/AR$26-1</f>
        <v>0</v>
      </c>
      <c r="AS155" s="854"/>
      <c r="AT155" s="854"/>
      <c r="AU155" s="854"/>
      <c r="AV155" s="854">
        <f>+AV126/AV$26-1</f>
        <v>-4.1251911083639015E-2</v>
      </c>
      <c r="AW155" s="854"/>
      <c r="AX155" s="854"/>
      <c r="AY155" s="854"/>
      <c r="AZ155" s="854">
        <f>+AZ126/AZ$26-1</f>
        <v>-7.9897836287806778E-2</v>
      </c>
      <c r="BA155" s="854"/>
      <c r="BB155" s="854"/>
      <c r="BC155" s="854"/>
      <c r="BD155" s="854">
        <f>+BD126/BD$26-1</f>
        <v>-0.1114154657508365</v>
      </c>
    </row>
    <row r="156" spans="3:56" x14ac:dyDescent="0.2">
      <c r="C156" s="90" t="str">
        <f>C128</f>
        <v>Impairment Charge</v>
      </c>
      <c r="D156" s="91">
        <f>+D128/D$27-1</f>
        <v>0</v>
      </c>
      <c r="E156" s="91" t="e">
        <f t="shared" ref="E156:P156" si="220">+E128/E$27-1</f>
        <v>#DIV/0!</v>
      </c>
      <c r="F156" s="91" t="e">
        <f t="shared" si="220"/>
        <v>#DIV/0!</v>
      </c>
      <c r="G156" s="91" t="e">
        <f t="shared" si="220"/>
        <v>#DIV/0!</v>
      </c>
      <c r="H156" s="91">
        <f t="shared" si="220"/>
        <v>0</v>
      </c>
      <c r="I156" s="91" t="e">
        <f t="shared" si="220"/>
        <v>#DIV/0!</v>
      </c>
      <c r="J156" s="91" t="e">
        <f t="shared" si="220"/>
        <v>#DIV/0!</v>
      </c>
      <c r="K156" s="91" t="e">
        <f t="shared" si="220"/>
        <v>#DIV/0!</v>
      </c>
      <c r="L156" s="91">
        <f t="shared" si="220"/>
        <v>0</v>
      </c>
      <c r="M156" s="91" t="e">
        <f t="shared" si="220"/>
        <v>#DIV/0!</v>
      </c>
      <c r="N156" s="91" t="e">
        <f t="shared" si="220"/>
        <v>#DIV/0!</v>
      </c>
      <c r="O156" s="91" t="e">
        <f t="shared" si="220"/>
        <v>#DIV/0!</v>
      </c>
      <c r="P156" s="898">
        <f t="shared" si="220"/>
        <v>0</v>
      </c>
      <c r="T156" s="898">
        <f>+T128/T$27-1</f>
        <v>0</v>
      </c>
      <c r="X156" s="898">
        <f>+X128/X$27-1</f>
        <v>0</v>
      </c>
      <c r="Y156" s="898"/>
      <c r="Z156" s="898"/>
      <c r="AA156" s="898"/>
      <c r="AB156" s="898">
        <f>+AB128/AB$27-1</f>
        <v>0</v>
      </c>
      <c r="AC156" s="898"/>
      <c r="AD156" s="898"/>
      <c r="AE156" s="898"/>
      <c r="AF156" s="898">
        <f>+AF128/AF$27-1</f>
        <v>0</v>
      </c>
      <c r="AG156" s="91"/>
      <c r="AH156" s="91"/>
      <c r="AI156" s="91"/>
      <c r="AJ156" s="898">
        <f>+AJ128/AJ$27-1</f>
        <v>0</v>
      </c>
      <c r="AK156" s="91"/>
      <c r="AL156" s="91"/>
      <c r="AM156" s="91"/>
      <c r="AN156" s="898">
        <f>+AN128/AN$27-1</f>
        <v>0</v>
      </c>
      <c r="AO156" s="91"/>
      <c r="AP156" s="91"/>
      <c r="AQ156" s="91"/>
      <c r="AR156" s="899">
        <f>+AR128/AR$27-1</f>
        <v>0</v>
      </c>
      <c r="AS156" s="91"/>
      <c r="AT156" s="91"/>
      <c r="AU156" s="91"/>
      <c r="AV156" s="91">
        <f>+AV128/AV$27-1</f>
        <v>0.42966377093194619</v>
      </c>
      <c r="AW156" s="91"/>
      <c r="AX156" s="91"/>
      <c r="AY156" s="91"/>
      <c r="AZ156" s="91">
        <f>+AZ128/AZ$27-1</f>
        <v>0.55050978961399477</v>
      </c>
      <c r="BA156" s="91"/>
      <c r="BB156" s="91"/>
      <c r="BC156" s="91"/>
      <c r="BD156" s="91">
        <f>+BD128/BD$27-1</f>
        <v>0.44947730789106943</v>
      </c>
    </row>
    <row r="157" spans="3:56" x14ac:dyDescent="0.2">
      <c r="C157" s="90" t="s">
        <v>944</v>
      </c>
      <c r="D157" s="959">
        <f>(D129-D$28)*10000</f>
        <v>0</v>
      </c>
      <c r="E157" s="959">
        <f t="shared" ref="E157:P157" si="221">(E129-E$28)*10000</f>
        <v>0</v>
      </c>
      <c r="F157" s="959">
        <f t="shared" si="221"/>
        <v>0</v>
      </c>
      <c r="G157" s="959">
        <f t="shared" si="221"/>
        <v>0</v>
      </c>
      <c r="H157" s="959">
        <f t="shared" si="221"/>
        <v>0</v>
      </c>
      <c r="I157" s="959">
        <f t="shared" si="221"/>
        <v>0</v>
      </c>
      <c r="J157" s="959">
        <f t="shared" si="221"/>
        <v>0</v>
      </c>
      <c r="K157" s="959">
        <f t="shared" si="221"/>
        <v>0</v>
      </c>
      <c r="L157" s="959">
        <f t="shared" si="221"/>
        <v>0</v>
      </c>
      <c r="M157" s="959">
        <f t="shared" si="221"/>
        <v>0</v>
      </c>
      <c r="N157" s="959">
        <f t="shared" si="221"/>
        <v>0</v>
      </c>
      <c r="O157" s="959">
        <f t="shared" si="221"/>
        <v>0</v>
      </c>
      <c r="P157" s="959">
        <f t="shared" si="221"/>
        <v>0</v>
      </c>
      <c r="T157" s="959">
        <f>(T129-T$28)*10000</f>
        <v>0</v>
      </c>
      <c r="X157" s="959">
        <f>(X129-X$28)*10000</f>
        <v>0</v>
      </c>
      <c r="Y157" s="959"/>
      <c r="Z157" s="959"/>
      <c r="AA157" s="959"/>
      <c r="AB157" s="959">
        <f>(AB129-AB$28)*10000</f>
        <v>0</v>
      </c>
      <c r="AC157" s="959"/>
      <c r="AD157" s="959"/>
      <c r="AE157" s="959"/>
      <c r="AF157" s="959">
        <f>(AF129-AF$28)*10000</f>
        <v>0</v>
      </c>
      <c r="AG157" s="959"/>
      <c r="AH157" s="959"/>
      <c r="AI157" s="959"/>
      <c r="AJ157" s="959">
        <f>(AJ129-AJ$28)*10000</f>
        <v>0</v>
      </c>
      <c r="AK157" s="959"/>
      <c r="AL157" s="959"/>
      <c r="AM157" s="959"/>
      <c r="AN157" s="959">
        <f>(AN129-AN$28)*10000</f>
        <v>0</v>
      </c>
      <c r="AO157" s="959"/>
      <c r="AP157" s="959"/>
      <c r="AQ157" s="959"/>
      <c r="AR157" s="960">
        <f>(AR129-AR$28)*10000</f>
        <v>0</v>
      </c>
      <c r="AS157" s="959"/>
      <c r="AT157" s="959"/>
      <c r="AU157" s="959"/>
      <c r="AV157" s="959">
        <f>(AV129-AV$28)*10000</f>
        <v>3.0943103937399568</v>
      </c>
      <c r="AW157" s="959"/>
      <c r="AX157" s="959"/>
      <c r="AY157" s="959"/>
      <c r="AZ157" s="959">
        <f>(AZ129-AZ$28)*10000</f>
        <v>5.6409968798248258</v>
      </c>
      <c r="BA157" s="959"/>
      <c r="BB157" s="959"/>
      <c r="BC157" s="959"/>
      <c r="BD157" s="959">
        <f>(BD129-BD$28)*10000</f>
        <v>5.1231951054553493</v>
      </c>
    </row>
    <row r="158" spans="3:56" ht="12.75" customHeight="1" x14ac:dyDescent="0.2">
      <c r="C158" s="853" t="str">
        <f>C136</f>
        <v>Reported Cash Profit</v>
      </c>
      <c r="D158" s="857">
        <f>D136/D$34-1</f>
        <v>0</v>
      </c>
      <c r="E158" s="857" t="e">
        <f t="shared" ref="E158:P158" si="222">E136/E$34-1</f>
        <v>#DIV/0!</v>
      </c>
      <c r="F158" s="857" t="e">
        <f t="shared" si="222"/>
        <v>#DIV/0!</v>
      </c>
      <c r="G158" s="857" t="e">
        <f t="shared" si="222"/>
        <v>#DIV/0!</v>
      </c>
      <c r="H158" s="857">
        <f t="shared" si="222"/>
        <v>0</v>
      </c>
      <c r="I158" s="857" t="e">
        <f t="shared" si="222"/>
        <v>#DIV/0!</v>
      </c>
      <c r="J158" s="857" t="e">
        <f t="shared" si="222"/>
        <v>#DIV/0!</v>
      </c>
      <c r="K158" s="857" t="e">
        <f t="shared" si="222"/>
        <v>#DIV/0!</v>
      </c>
      <c r="L158" s="963">
        <f t="shared" si="222"/>
        <v>0</v>
      </c>
      <c r="M158" s="963" t="e">
        <f t="shared" si="222"/>
        <v>#DIV/0!</v>
      </c>
      <c r="N158" s="963" t="e">
        <f t="shared" si="222"/>
        <v>#DIV/0!</v>
      </c>
      <c r="O158" s="963" t="e">
        <f t="shared" si="222"/>
        <v>#DIV/0!</v>
      </c>
      <c r="P158" s="963">
        <f t="shared" si="222"/>
        <v>0</v>
      </c>
      <c r="Q158" s="965"/>
      <c r="R158" s="965"/>
      <c r="S158" s="965"/>
      <c r="T158" s="963">
        <f>T136/T$34-1</f>
        <v>0</v>
      </c>
      <c r="U158" s="965"/>
      <c r="V158" s="965"/>
      <c r="W158" s="965"/>
      <c r="X158" s="963">
        <f>X136/X$34-1</f>
        <v>0</v>
      </c>
      <c r="Y158" s="963"/>
      <c r="Z158" s="963"/>
      <c r="AA158" s="963"/>
      <c r="AB158" s="963">
        <f>AB136/AB$34-1</f>
        <v>0</v>
      </c>
      <c r="AC158" s="963"/>
      <c r="AD158" s="963"/>
      <c r="AE158" s="963"/>
      <c r="AF158" s="963">
        <f>AF136/AF$34-1</f>
        <v>0</v>
      </c>
      <c r="AG158" s="963"/>
      <c r="AH158" s="963"/>
      <c r="AI158" s="963"/>
      <c r="AJ158" s="963">
        <f>AJ136/AJ$34-1</f>
        <v>0</v>
      </c>
      <c r="AK158" s="963"/>
      <c r="AL158" s="963"/>
      <c r="AM158" s="963"/>
      <c r="AN158" s="963">
        <f>AN136/AN$34-1</f>
        <v>0</v>
      </c>
      <c r="AO158" s="963"/>
      <c r="AP158" s="963"/>
      <c r="AQ158" s="963"/>
      <c r="AR158" s="966">
        <f>AR136/AR$34-1</f>
        <v>0</v>
      </c>
      <c r="AS158" s="963"/>
      <c r="AT158" s="963"/>
      <c r="AU158" s="963"/>
      <c r="AV158" s="963">
        <f>AV136/AV$34-1</f>
        <v>-6.3576992990468817E-2</v>
      </c>
      <c r="AW158" s="963"/>
      <c r="AX158" s="963"/>
      <c r="AY158" s="963"/>
      <c r="AZ158" s="963">
        <f>AZ136/AZ$34-1</f>
        <v>-0.1202192345708204</v>
      </c>
      <c r="BA158" s="963"/>
      <c r="BB158" s="963"/>
      <c r="BC158" s="963"/>
      <c r="BD158" s="963">
        <f>BD136/BD$34-1</f>
        <v>-0.14965238614706977</v>
      </c>
    </row>
    <row r="159" spans="3:56" x14ac:dyDescent="0.2">
      <c r="C159" s="855" t="str">
        <f>C146</f>
        <v>Cash EPS</v>
      </c>
      <c r="D159" s="856">
        <f>+D146/D$44-1</f>
        <v>0</v>
      </c>
      <c r="E159" s="856" t="e">
        <f t="shared" ref="E159:P159" si="223">+E146/E$44-1</f>
        <v>#DIV/0!</v>
      </c>
      <c r="F159" s="856" t="e">
        <f t="shared" si="223"/>
        <v>#DIV/0!</v>
      </c>
      <c r="G159" s="856" t="e">
        <f t="shared" si="223"/>
        <v>#DIV/0!</v>
      </c>
      <c r="H159" s="856">
        <f t="shared" si="223"/>
        <v>0</v>
      </c>
      <c r="I159" s="856" t="e">
        <f t="shared" si="223"/>
        <v>#DIV/0!</v>
      </c>
      <c r="J159" s="856" t="e">
        <f t="shared" si="223"/>
        <v>#DIV/0!</v>
      </c>
      <c r="K159" s="856" t="e">
        <f t="shared" si="223"/>
        <v>#DIV/0!</v>
      </c>
      <c r="L159" s="968">
        <f t="shared" si="223"/>
        <v>0</v>
      </c>
      <c r="M159" s="968" t="e">
        <f t="shared" si="223"/>
        <v>#DIV/0!</v>
      </c>
      <c r="N159" s="968" t="e">
        <f t="shared" si="223"/>
        <v>#DIV/0!</v>
      </c>
      <c r="O159" s="968" t="e">
        <f t="shared" si="223"/>
        <v>#DIV/0!</v>
      </c>
      <c r="P159" s="968">
        <f t="shared" si="223"/>
        <v>0</v>
      </c>
      <c r="Q159" s="965"/>
      <c r="R159" s="965"/>
      <c r="S159" s="965"/>
      <c r="T159" s="968">
        <f>+T146/T$44-1</f>
        <v>0</v>
      </c>
      <c r="U159" s="965"/>
      <c r="V159" s="965"/>
      <c r="W159" s="965"/>
      <c r="X159" s="968">
        <f>+X146/X$44-1</f>
        <v>0</v>
      </c>
      <c r="Y159" s="963"/>
      <c r="Z159" s="963"/>
      <c r="AA159" s="963"/>
      <c r="AB159" s="968">
        <f>+AB146/AB$44-1</f>
        <v>0</v>
      </c>
      <c r="AC159" s="963"/>
      <c r="AD159" s="963"/>
      <c r="AE159" s="963"/>
      <c r="AF159" s="968">
        <f>+AF146/AF$44-1</f>
        <v>0</v>
      </c>
      <c r="AG159" s="963"/>
      <c r="AH159" s="963"/>
      <c r="AI159" s="963"/>
      <c r="AJ159" s="968">
        <f>+AJ146/AJ$44-1</f>
        <v>0</v>
      </c>
      <c r="AK159" s="963"/>
      <c r="AL159" s="963"/>
      <c r="AM159" s="963"/>
      <c r="AN159" s="1398">
        <f>+AN146/AN$44-1</f>
        <v>0</v>
      </c>
      <c r="AO159" s="963"/>
      <c r="AP159" s="963"/>
      <c r="AQ159" s="963"/>
      <c r="AR159" s="971">
        <f>+AR146/AR$44-1</f>
        <v>0</v>
      </c>
      <c r="AS159" s="963"/>
      <c r="AT159" s="963"/>
      <c r="AU159" s="963"/>
      <c r="AV159" s="968">
        <f>+AV146/AV$44-1</f>
        <v>-6.3576992990468817E-2</v>
      </c>
      <c r="AW159" s="963"/>
      <c r="AX159" s="963"/>
      <c r="AY159" s="963"/>
      <c r="AZ159" s="968">
        <f ca="1">+AZ146/AZ$44-1</f>
        <v>-0.12021923457082029</v>
      </c>
      <c r="BA159" s="963"/>
      <c r="BB159" s="963"/>
      <c r="BC159" s="963"/>
      <c r="BD159" s="968">
        <f ca="1">+BD146/BD$44-1</f>
        <v>-0.14965238614706977</v>
      </c>
    </row>
    <row r="161" spans="3:56" x14ac:dyDescent="0.2">
      <c r="C161" s="2" t="s">
        <v>954</v>
      </c>
      <c r="H161" s="976">
        <f>MODEL!BV$1012</f>
        <v>34.990685206617712</v>
      </c>
      <c r="L161" s="977">
        <f>MODEL!BZ$1012</f>
        <v>36.484861345453716</v>
      </c>
      <c r="M161" s="876"/>
      <c r="N161" s="876"/>
      <c r="O161" s="876"/>
      <c r="P161" s="977">
        <f>MODEL!CD$1012</f>
        <v>38.271029108262518</v>
      </c>
      <c r="Q161" s="876"/>
      <c r="R161" s="876"/>
      <c r="S161" s="876"/>
      <c r="T161" s="977">
        <f>MODEL!CH$1012</f>
        <v>39.337614895971249</v>
      </c>
      <c r="U161" s="876"/>
      <c r="V161" s="876"/>
      <c r="W161" s="876"/>
      <c r="X161" s="977">
        <f>MODEL!CL$1012</f>
        <v>40.634614534111172</v>
      </c>
      <c r="Y161" s="977"/>
      <c r="Z161" s="977"/>
      <c r="AA161" s="977"/>
      <c r="AB161" s="977">
        <f>MODEL!CP$1012</f>
        <v>44.367938267796845</v>
      </c>
      <c r="AC161" s="977"/>
      <c r="AD161" s="977"/>
      <c r="AE161" s="977"/>
      <c r="AF161" s="977">
        <f>MODEL!CT$1012</f>
        <v>42.804205737099295</v>
      </c>
      <c r="AG161" s="977"/>
      <c r="AH161" s="977"/>
      <c r="AI161" s="977"/>
      <c r="AJ161" s="977">
        <f>MODEL!CX$1012</f>
        <v>42.73315294574995</v>
      </c>
      <c r="AK161" s="977"/>
      <c r="AL161" s="977"/>
      <c r="AM161" s="977"/>
      <c r="AN161" s="977">
        <f>MODEL!DB$1012</f>
        <v>43.671640653899217</v>
      </c>
      <c r="AO161" s="977"/>
      <c r="AP161" s="977"/>
      <c r="AQ161" s="977"/>
      <c r="AR161" s="978">
        <f>MODEL!DF$1012</f>
        <v>47.073661157307015</v>
      </c>
      <c r="AS161" s="977"/>
      <c r="AT161" s="977"/>
      <c r="AU161" s="977"/>
      <c r="AV161" s="977">
        <f>MODEL!DJ$1012</f>
        <v>47.162110621898258</v>
      </c>
      <c r="AW161" s="977"/>
      <c r="AX161" s="977"/>
      <c r="AY161" s="977"/>
      <c r="AZ161" s="977">
        <f ca="1">MODEL!DN$1012</f>
        <v>48.818613042967712</v>
      </c>
      <c r="BA161" s="977"/>
      <c r="BB161" s="977"/>
      <c r="BC161" s="977"/>
      <c r="BD161" s="977">
        <f ca="1">MODEL!DR$1012</f>
        <v>50.449691636936883</v>
      </c>
    </row>
    <row r="163" spans="3:56" x14ac:dyDescent="0.2">
      <c r="C163" s="1"/>
      <c r="D163" s="1"/>
      <c r="E163" s="1"/>
      <c r="F163" s="1"/>
      <c r="G163" s="1"/>
      <c r="H163" s="1"/>
      <c r="I163" s="1"/>
      <c r="J163" s="1"/>
      <c r="K163" s="1"/>
      <c r="L163" s="1"/>
      <c r="M163" s="1"/>
      <c r="N163" s="1"/>
      <c r="O163" s="1"/>
      <c r="P163" s="1"/>
      <c r="Q163" s="1"/>
      <c r="R163" s="1"/>
      <c r="S163" s="1"/>
      <c r="T163" s="1"/>
      <c r="U163" s="1"/>
      <c r="V163" s="1"/>
      <c r="W163" s="1"/>
      <c r="X163" s="1"/>
      <c r="Y163" s="1"/>
      <c r="Z163" s="1"/>
      <c r="AA163" s="1"/>
      <c r="AB163" s="1"/>
      <c r="AC163" s="1"/>
      <c r="AD163" s="1"/>
      <c r="AE163" s="1"/>
      <c r="AF163" s="1"/>
      <c r="AG163" s="1"/>
      <c r="AH163" s="1"/>
      <c r="AI163" s="1"/>
      <c r="AJ163" s="1"/>
      <c r="AK163" s="1"/>
      <c r="AL163" s="1"/>
      <c r="AM163" s="1"/>
      <c r="AN163" s="1"/>
      <c r="AO163" s="1"/>
      <c r="AP163" s="1"/>
      <c r="AQ163" s="1"/>
      <c r="AR163" s="868"/>
      <c r="AS163" s="1"/>
      <c r="AT163" s="1"/>
      <c r="AU163" s="1"/>
      <c r="AV163" s="1"/>
      <c r="AW163" s="1"/>
      <c r="AX163" s="1"/>
      <c r="AY163" s="1"/>
      <c r="AZ163" s="1"/>
      <c r="BA163" s="1"/>
      <c r="BB163" s="1"/>
      <c r="BC163" s="1"/>
      <c r="BD163" s="1"/>
    </row>
    <row r="164" spans="3:56" x14ac:dyDescent="0.2">
      <c r="C164" s="1"/>
      <c r="D164" s="1"/>
      <c r="E164" s="1"/>
      <c r="F164" s="1"/>
      <c r="G164" s="1"/>
      <c r="H164" s="1"/>
      <c r="I164" s="1"/>
      <c r="J164" s="1"/>
      <c r="K164" s="1"/>
      <c r="L164" s="1"/>
      <c r="M164" s="1"/>
      <c r="N164" s="1"/>
      <c r="O164" s="1"/>
      <c r="P164" s="1"/>
      <c r="Q164" s="1"/>
      <c r="R164" s="1"/>
      <c r="S164" s="1"/>
      <c r="T164" s="1"/>
      <c r="U164" s="1"/>
      <c r="V164" s="1"/>
      <c r="W164" s="1"/>
      <c r="X164" s="1"/>
      <c r="Y164" s="1"/>
      <c r="Z164" s="1"/>
      <c r="AA164" s="1"/>
      <c r="AB164" s="1"/>
      <c r="AC164" s="1"/>
      <c r="AD164" s="1"/>
      <c r="AE164" s="1"/>
      <c r="AF164" s="1"/>
      <c r="AG164" s="1"/>
      <c r="AH164" s="1"/>
      <c r="AI164" s="1"/>
      <c r="AJ164" s="1"/>
      <c r="AK164" s="1"/>
      <c r="AL164" s="1"/>
      <c r="AM164" s="1"/>
      <c r="AN164" s="1"/>
      <c r="AO164" s="1"/>
      <c r="AP164" s="1"/>
      <c r="AQ164" s="1"/>
      <c r="AR164" s="868"/>
      <c r="AS164" s="1"/>
      <c r="AT164" s="1"/>
      <c r="AU164" s="1"/>
      <c r="AV164" s="1"/>
      <c r="AW164" s="1"/>
      <c r="AX164" s="1"/>
      <c r="AY164" s="1"/>
      <c r="AZ164" s="1"/>
      <c r="BA164" s="1"/>
      <c r="BB164" s="1"/>
      <c r="BC164" s="1"/>
      <c r="BD164" s="1"/>
    </row>
    <row r="165" spans="3:56" x14ac:dyDescent="0.2">
      <c r="C165" s="1"/>
      <c r="D165" s="1"/>
      <c r="E165" s="1"/>
      <c r="F165" s="1"/>
      <c r="G165" s="1"/>
      <c r="H165" s="1"/>
      <c r="I165" s="1"/>
      <c r="J165" s="1"/>
      <c r="K165" s="1"/>
      <c r="L165" s="1"/>
      <c r="M165" s="1"/>
      <c r="N165" s="1"/>
      <c r="O165" s="1"/>
      <c r="P165" s="1"/>
      <c r="Q165" s="1"/>
      <c r="R165" s="1"/>
      <c r="S165" s="1"/>
      <c r="T165" s="1"/>
      <c r="U165" s="1"/>
      <c r="V165" s="1"/>
      <c r="W165" s="1"/>
      <c r="X165" s="1"/>
      <c r="Y165" s="1"/>
      <c r="Z165" s="1"/>
      <c r="AA165" s="1"/>
      <c r="AB165" s="1"/>
      <c r="AC165" s="1"/>
      <c r="AD165" s="1"/>
      <c r="AE165" s="1"/>
      <c r="AF165" s="1"/>
      <c r="AG165" s="1"/>
      <c r="AH165" s="1"/>
      <c r="AI165" s="1"/>
      <c r="AJ165" s="1"/>
      <c r="AK165" s="1"/>
      <c r="AL165" s="1"/>
      <c r="AM165" s="1"/>
      <c r="AN165" s="1"/>
      <c r="AO165" s="1"/>
      <c r="AP165" s="1"/>
      <c r="AQ165" s="1"/>
      <c r="AR165" s="868"/>
      <c r="AS165" s="1"/>
      <c r="AT165" s="1"/>
      <c r="AU165" s="1"/>
      <c r="AV165" s="1"/>
      <c r="AW165" s="1"/>
      <c r="AX165" s="1"/>
      <c r="AY165" s="1"/>
      <c r="AZ165" s="1"/>
      <c r="BA165" s="1"/>
      <c r="BB165" s="1"/>
      <c r="BC165" s="1"/>
      <c r="BD165" s="1"/>
    </row>
    <row r="166" spans="3:56" x14ac:dyDescent="0.2">
      <c r="C166" s="1"/>
      <c r="D166" s="1"/>
      <c r="E166" s="1"/>
      <c r="F166" s="1"/>
      <c r="G166" s="1"/>
      <c r="H166" s="1"/>
      <c r="I166" s="1"/>
      <c r="J166" s="1"/>
      <c r="K166" s="1"/>
      <c r="L166" s="1"/>
      <c r="M166" s="1"/>
      <c r="N166" s="1"/>
      <c r="O166" s="1"/>
      <c r="P166" s="1"/>
      <c r="Q166" s="1"/>
      <c r="R166" s="1"/>
      <c r="S166" s="1"/>
      <c r="T166" s="1"/>
      <c r="U166" s="1"/>
      <c r="V166" s="1"/>
      <c r="W166" s="1"/>
      <c r="X166" s="1"/>
      <c r="Y166" s="1"/>
      <c r="Z166" s="1"/>
      <c r="AA166" s="1"/>
      <c r="AB166" s="1"/>
      <c r="AC166" s="1"/>
      <c r="AD166" s="1"/>
      <c r="AE166" s="1"/>
      <c r="AF166" s="1"/>
      <c r="AG166" s="1"/>
      <c r="AH166" s="1"/>
      <c r="AI166" s="1"/>
      <c r="AJ166" s="1"/>
      <c r="AK166" s="1"/>
      <c r="AL166" s="1"/>
      <c r="AM166" s="1"/>
      <c r="AN166" s="1"/>
      <c r="AO166" s="1"/>
      <c r="AP166" s="1"/>
      <c r="AQ166" s="1"/>
      <c r="AR166" s="868"/>
      <c r="AS166" s="1"/>
      <c r="AT166" s="1"/>
      <c r="AU166" s="1"/>
      <c r="AV166" s="1"/>
      <c r="AW166" s="1"/>
      <c r="AX166" s="1"/>
      <c r="AY166" s="1"/>
      <c r="AZ166" s="1"/>
      <c r="BA166" s="1"/>
      <c r="BB166" s="1"/>
      <c r="BC166" s="1"/>
      <c r="BD166" s="1"/>
    </row>
    <row r="167" spans="3:56" x14ac:dyDescent="0.2">
      <c r="C167" s="1"/>
      <c r="D167" s="1"/>
      <c r="E167" s="1"/>
      <c r="F167" s="1"/>
      <c r="G167" s="1"/>
      <c r="H167" s="1"/>
      <c r="I167" s="1"/>
      <c r="J167" s="1"/>
      <c r="K167" s="1"/>
      <c r="L167" s="1"/>
      <c r="M167" s="1"/>
      <c r="N167" s="1"/>
      <c r="O167" s="1"/>
      <c r="P167" s="1"/>
      <c r="Q167" s="1"/>
      <c r="R167" s="1"/>
      <c r="S167" s="1"/>
      <c r="T167" s="1"/>
      <c r="U167" s="1"/>
      <c r="V167" s="1"/>
      <c r="W167" s="1"/>
      <c r="X167" s="1"/>
      <c r="Y167" s="1"/>
      <c r="Z167" s="1"/>
      <c r="AA167" s="1"/>
      <c r="AB167" s="1"/>
      <c r="AC167" s="1"/>
      <c r="AD167" s="1"/>
      <c r="AE167" s="1"/>
      <c r="AF167" s="1"/>
      <c r="AG167" s="1"/>
      <c r="AH167" s="1"/>
      <c r="AI167" s="1"/>
      <c r="AJ167" s="1"/>
      <c r="AK167" s="1"/>
      <c r="AL167" s="1"/>
      <c r="AM167" s="1"/>
      <c r="AN167" s="1"/>
      <c r="AO167" s="1"/>
      <c r="AP167" s="1"/>
      <c r="AQ167" s="1"/>
      <c r="AR167" s="868"/>
      <c r="AS167" s="1"/>
      <c r="AT167" s="1"/>
      <c r="AU167" s="1"/>
      <c r="AV167" s="1"/>
      <c r="AW167" s="1"/>
      <c r="AX167" s="1"/>
      <c r="AY167" s="1"/>
      <c r="AZ167" s="1"/>
      <c r="BA167" s="1"/>
      <c r="BB167" s="1"/>
      <c r="BC167" s="1"/>
      <c r="BD167" s="1"/>
    </row>
    <row r="168" spans="3:56" x14ac:dyDescent="0.2">
      <c r="C168" s="1"/>
      <c r="D168" s="1"/>
      <c r="E168" s="1"/>
      <c r="F168" s="1"/>
      <c r="G168" s="1"/>
      <c r="H168" s="1"/>
      <c r="I168" s="1"/>
      <c r="J168" s="1"/>
      <c r="K168" s="1"/>
      <c r="L168" s="1"/>
      <c r="M168" s="1"/>
      <c r="N168" s="1"/>
      <c r="O168" s="1"/>
      <c r="P168" s="1"/>
      <c r="Q168" s="1"/>
      <c r="R168" s="1"/>
      <c r="S168" s="1"/>
      <c r="T168" s="1"/>
      <c r="U168" s="1"/>
      <c r="V168" s="1"/>
      <c r="W168" s="1"/>
      <c r="X168" s="1"/>
      <c r="Y168" s="1"/>
      <c r="Z168" s="1"/>
      <c r="AA168" s="1"/>
      <c r="AB168" s="1"/>
      <c r="AC168" s="1"/>
      <c r="AD168" s="1"/>
      <c r="AE168" s="1"/>
      <c r="AF168" s="1"/>
      <c r="AG168" s="1"/>
      <c r="AH168" s="1"/>
      <c r="AI168" s="1"/>
      <c r="AJ168" s="1"/>
      <c r="AK168" s="1"/>
      <c r="AL168" s="1"/>
      <c r="AM168" s="1"/>
      <c r="AN168" s="1"/>
      <c r="AO168" s="1"/>
      <c r="AP168" s="1"/>
      <c r="AQ168" s="1"/>
      <c r="AR168" s="868"/>
      <c r="AS168" s="1"/>
      <c r="AT168" s="1"/>
      <c r="AU168" s="1"/>
      <c r="AV168" s="1"/>
      <c r="AW168" s="1"/>
      <c r="AX168" s="1"/>
      <c r="AY168" s="1"/>
      <c r="AZ168" s="1"/>
      <c r="BA168" s="1"/>
      <c r="BB168" s="1"/>
      <c r="BC168" s="1"/>
      <c r="BD168" s="1"/>
    </row>
    <row r="169" spans="3:56" x14ac:dyDescent="0.2">
      <c r="C169" s="1"/>
      <c r="D169" s="1"/>
      <c r="E169" s="1"/>
      <c r="F169" s="1"/>
      <c r="G169" s="1"/>
      <c r="H169" s="1"/>
      <c r="I169" s="1"/>
      <c r="J169" s="1"/>
      <c r="K169" s="1"/>
      <c r="L169" s="1"/>
      <c r="M169" s="1"/>
      <c r="N169" s="1"/>
      <c r="O169" s="1"/>
      <c r="P169" s="1"/>
      <c r="Q169" s="1"/>
      <c r="R169" s="1"/>
      <c r="S169" s="1"/>
      <c r="T169" s="1"/>
      <c r="U169" s="1"/>
      <c r="V169" s="1"/>
      <c r="W169" s="1"/>
      <c r="X169" s="1"/>
      <c r="Y169" s="1"/>
      <c r="Z169" s="1"/>
      <c r="AA169" s="1"/>
      <c r="AB169" s="1"/>
      <c r="AC169" s="1"/>
      <c r="AD169" s="1"/>
      <c r="AE169" s="1"/>
      <c r="AF169" s="1"/>
      <c r="AG169" s="1"/>
      <c r="AH169" s="1"/>
      <c r="AI169" s="1"/>
      <c r="AJ169" s="1"/>
      <c r="AK169" s="1"/>
      <c r="AL169" s="1"/>
      <c r="AM169" s="1"/>
      <c r="AN169" s="1"/>
      <c r="AO169" s="1"/>
      <c r="AP169" s="1"/>
      <c r="AQ169" s="1"/>
      <c r="AR169" s="868"/>
      <c r="AS169" s="1"/>
      <c r="AT169" s="1"/>
      <c r="AU169" s="1"/>
      <c r="AV169" s="1"/>
      <c r="AW169" s="1"/>
      <c r="AX169" s="1"/>
      <c r="AY169" s="1"/>
      <c r="AZ169" s="1"/>
      <c r="BA169" s="1"/>
      <c r="BB169" s="1"/>
      <c r="BC169" s="1"/>
      <c r="BD169" s="1"/>
    </row>
    <row r="170" spans="3:56" x14ac:dyDescent="0.2">
      <c r="C170" s="1"/>
      <c r="D170" s="1"/>
      <c r="E170" s="1"/>
      <c r="F170" s="1"/>
      <c r="G170" s="1"/>
      <c r="H170" s="1"/>
      <c r="I170" s="1"/>
      <c r="J170" s="1"/>
      <c r="K170" s="1"/>
      <c r="L170" s="1"/>
      <c r="M170" s="1"/>
      <c r="N170" s="1"/>
      <c r="O170" s="1"/>
      <c r="P170" s="1"/>
      <c r="Q170" s="1"/>
      <c r="R170" s="1"/>
      <c r="S170" s="1"/>
      <c r="T170" s="1"/>
      <c r="U170" s="1"/>
      <c r="V170" s="1"/>
      <c r="W170" s="1"/>
      <c r="X170" s="1"/>
      <c r="Y170" s="1"/>
      <c r="Z170" s="1"/>
      <c r="AA170" s="1"/>
      <c r="AB170" s="1"/>
      <c r="AC170" s="1"/>
      <c r="AD170" s="1"/>
      <c r="AE170" s="1"/>
      <c r="AF170" s="1"/>
      <c r="AG170" s="1"/>
      <c r="AH170" s="1"/>
      <c r="AI170" s="1"/>
      <c r="AJ170" s="1"/>
      <c r="AK170" s="1"/>
      <c r="AL170" s="1"/>
      <c r="AM170" s="1"/>
      <c r="AN170" s="1"/>
      <c r="AO170" s="1"/>
      <c r="AP170" s="1"/>
      <c r="AQ170" s="1"/>
      <c r="AR170" s="868"/>
      <c r="AS170" s="1"/>
      <c r="AT170" s="1"/>
      <c r="AU170" s="1"/>
      <c r="AV170" s="1"/>
      <c r="AW170" s="1"/>
      <c r="AX170" s="1"/>
      <c r="AY170" s="1"/>
      <c r="AZ170" s="1"/>
      <c r="BA170" s="1"/>
      <c r="BB170" s="1"/>
      <c r="BC170" s="1"/>
      <c r="BD170" s="1"/>
    </row>
    <row r="171" spans="3:56" x14ac:dyDescent="0.2">
      <c r="C171" s="1"/>
      <c r="D171" s="1"/>
      <c r="E171" s="1"/>
      <c r="F171" s="1"/>
      <c r="G171" s="1"/>
      <c r="H171" s="1"/>
      <c r="I171" s="1"/>
      <c r="J171" s="1"/>
      <c r="K171" s="1"/>
      <c r="L171" s="1"/>
      <c r="M171" s="1"/>
      <c r="N171" s="1"/>
      <c r="O171" s="1"/>
      <c r="P171" s="1"/>
      <c r="Q171" s="1"/>
      <c r="R171" s="1"/>
      <c r="S171" s="1"/>
      <c r="T171" s="1"/>
      <c r="U171" s="1"/>
      <c r="V171" s="1"/>
      <c r="W171" s="1"/>
      <c r="X171" s="1"/>
      <c r="Y171" s="1"/>
      <c r="Z171" s="1"/>
      <c r="AA171" s="1"/>
      <c r="AB171" s="1"/>
      <c r="AC171" s="1"/>
      <c r="AD171" s="1"/>
      <c r="AE171" s="1"/>
      <c r="AF171" s="1"/>
      <c r="AG171" s="1"/>
      <c r="AH171" s="1"/>
      <c r="AI171" s="1"/>
      <c r="AJ171" s="1"/>
      <c r="AK171" s="1"/>
      <c r="AL171" s="1"/>
      <c r="AM171" s="1"/>
      <c r="AN171" s="1"/>
      <c r="AO171" s="1"/>
      <c r="AP171" s="1"/>
      <c r="AQ171" s="1"/>
      <c r="AR171" s="868"/>
      <c r="AS171" s="1"/>
      <c r="AT171" s="1"/>
      <c r="AU171" s="1"/>
      <c r="AV171" s="1"/>
      <c r="AW171" s="1"/>
      <c r="AX171" s="1"/>
      <c r="AY171" s="1"/>
      <c r="AZ171" s="1"/>
      <c r="BA171" s="1"/>
      <c r="BB171" s="1"/>
      <c r="BC171" s="1"/>
      <c r="BD171" s="1"/>
    </row>
    <row r="172" spans="3:56" x14ac:dyDescent="0.2">
      <c r="C172" s="1"/>
      <c r="D172" s="1"/>
      <c r="E172" s="1"/>
      <c r="F172" s="1"/>
      <c r="G172" s="1"/>
      <c r="H172" s="1"/>
      <c r="I172" s="1"/>
      <c r="J172" s="1"/>
      <c r="K172" s="1"/>
      <c r="L172" s="1"/>
      <c r="M172" s="1"/>
      <c r="N172" s="1"/>
      <c r="O172" s="1"/>
      <c r="P172" s="1"/>
      <c r="Q172" s="1"/>
      <c r="R172" s="1"/>
      <c r="S172" s="1"/>
      <c r="T172" s="1"/>
      <c r="U172" s="1"/>
      <c r="V172" s="1"/>
      <c r="W172" s="1"/>
      <c r="X172" s="1"/>
      <c r="Y172" s="1"/>
      <c r="Z172" s="1"/>
      <c r="AA172" s="1"/>
      <c r="AB172" s="1"/>
      <c r="AC172" s="1"/>
      <c r="AD172" s="1"/>
      <c r="AE172" s="1"/>
      <c r="AF172" s="1"/>
      <c r="AG172" s="1"/>
      <c r="AH172" s="1"/>
      <c r="AI172" s="1"/>
      <c r="AJ172" s="1"/>
      <c r="AK172" s="1"/>
      <c r="AL172" s="1"/>
      <c r="AM172" s="1"/>
      <c r="AN172" s="1"/>
      <c r="AO172" s="1"/>
      <c r="AP172" s="1"/>
      <c r="AQ172" s="1"/>
      <c r="AR172" s="868"/>
      <c r="AS172" s="1"/>
      <c r="AT172" s="1"/>
      <c r="AU172" s="1"/>
      <c r="AV172" s="1"/>
      <c r="AW172" s="1"/>
      <c r="AX172" s="1"/>
      <c r="AY172" s="1"/>
      <c r="AZ172" s="1"/>
      <c r="BA172" s="1"/>
      <c r="BB172" s="1"/>
      <c r="BC172" s="1"/>
      <c r="BD172" s="1"/>
    </row>
    <row r="173" spans="3:56" x14ac:dyDescent="0.2">
      <c r="C173" s="1"/>
      <c r="D173" s="1"/>
      <c r="E173" s="1"/>
      <c r="F173" s="1"/>
      <c r="G173" s="1"/>
      <c r="H173" s="1"/>
      <c r="I173" s="1"/>
      <c r="J173" s="1"/>
      <c r="K173" s="1"/>
      <c r="L173" s="1"/>
      <c r="M173" s="1"/>
      <c r="N173" s="1"/>
      <c r="O173" s="1"/>
      <c r="P173" s="1"/>
      <c r="Q173" s="1"/>
      <c r="R173" s="1"/>
      <c r="S173" s="1"/>
      <c r="T173" s="1"/>
      <c r="U173" s="1"/>
      <c r="V173" s="1"/>
      <c r="W173" s="1"/>
      <c r="X173" s="1"/>
      <c r="Y173" s="1"/>
      <c r="Z173" s="1"/>
      <c r="AA173" s="1"/>
      <c r="AB173" s="1"/>
      <c r="AC173" s="1"/>
      <c r="AD173" s="1"/>
      <c r="AE173" s="1"/>
      <c r="AF173" s="1"/>
      <c r="AG173" s="1"/>
      <c r="AH173" s="1"/>
      <c r="AI173" s="1"/>
      <c r="AJ173" s="1"/>
      <c r="AK173" s="1"/>
      <c r="AL173" s="1"/>
      <c r="AM173" s="1"/>
      <c r="AN173" s="1"/>
      <c r="AO173" s="1"/>
      <c r="AP173" s="1"/>
      <c r="AQ173" s="1"/>
      <c r="AR173" s="868"/>
      <c r="AS173" s="1"/>
      <c r="AT173" s="1"/>
      <c r="AU173" s="1"/>
      <c r="AV173" s="1"/>
      <c r="AW173" s="1"/>
      <c r="AX173" s="1"/>
      <c r="AY173" s="1"/>
      <c r="AZ173" s="1"/>
      <c r="BA173" s="1"/>
      <c r="BB173" s="1"/>
      <c r="BC173" s="1"/>
      <c r="BD173" s="1"/>
    </row>
    <row r="174" spans="3:56" x14ac:dyDescent="0.2">
      <c r="C174" s="1"/>
      <c r="D174" s="1"/>
      <c r="E174" s="1"/>
      <c r="F174" s="1"/>
      <c r="G174" s="1"/>
      <c r="H174" s="1"/>
      <c r="I174" s="1"/>
      <c r="J174" s="1"/>
      <c r="K174" s="1"/>
      <c r="L174" s="1"/>
      <c r="M174" s="1"/>
      <c r="N174" s="1"/>
      <c r="O174" s="1"/>
      <c r="P174" s="1"/>
      <c r="Q174" s="1"/>
      <c r="R174" s="1"/>
      <c r="S174" s="1"/>
      <c r="T174" s="1"/>
      <c r="U174" s="1"/>
      <c r="V174" s="1"/>
      <c r="W174" s="1"/>
      <c r="X174" s="1"/>
      <c r="Y174" s="1"/>
      <c r="Z174" s="1"/>
      <c r="AA174" s="1"/>
      <c r="AB174" s="1"/>
      <c r="AC174" s="1"/>
      <c r="AD174" s="1"/>
      <c r="AE174" s="1"/>
      <c r="AF174" s="1"/>
      <c r="AG174" s="1"/>
      <c r="AH174" s="1"/>
      <c r="AI174" s="1"/>
      <c r="AJ174" s="1"/>
      <c r="AK174" s="1"/>
      <c r="AL174" s="1"/>
      <c r="AM174" s="1"/>
      <c r="AN174" s="1"/>
      <c r="AO174" s="1"/>
      <c r="AP174" s="1"/>
      <c r="AQ174" s="1"/>
      <c r="AR174" s="868"/>
      <c r="AS174" s="1"/>
      <c r="AT174" s="1"/>
      <c r="AU174" s="1"/>
      <c r="AV174" s="1"/>
      <c r="AW174" s="1"/>
      <c r="AX174" s="1"/>
      <c r="AY174" s="1"/>
      <c r="AZ174" s="1"/>
      <c r="BA174" s="1"/>
      <c r="BB174" s="1"/>
      <c r="BC174" s="1"/>
      <c r="BD174" s="1"/>
    </row>
    <row r="175" spans="3:56" x14ac:dyDescent="0.2">
      <c r="C175" s="1"/>
      <c r="D175" s="1"/>
      <c r="E175" s="1"/>
      <c r="F175" s="1"/>
      <c r="G175" s="1"/>
      <c r="H175" s="1"/>
      <c r="I175" s="1"/>
      <c r="J175" s="1"/>
      <c r="K175" s="1"/>
      <c r="L175" s="1"/>
      <c r="M175" s="1"/>
      <c r="N175" s="1"/>
      <c r="O175" s="1"/>
      <c r="P175" s="1"/>
      <c r="Q175" s="1"/>
      <c r="R175" s="1"/>
      <c r="S175" s="1"/>
      <c r="T175" s="1"/>
      <c r="U175" s="1"/>
      <c r="V175" s="1"/>
      <c r="W175" s="1"/>
      <c r="X175" s="1"/>
      <c r="Y175" s="1"/>
      <c r="Z175" s="1"/>
      <c r="AA175" s="1"/>
      <c r="AB175" s="1"/>
      <c r="AC175" s="1"/>
      <c r="AD175" s="1"/>
      <c r="AE175" s="1"/>
      <c r="AF175" s="1"/>
      <c r="AG175" s="1"/>
      <c r="AH175" s="1"/>
      <c r="AI175" s="1"/>
      <c r="AJ175" s="1"/>
      <c r="AK175" s="1"/>
      <c r="AL175" s="1"/>
      <c r="AM175" s="1"/>
      <c r="AN175" s="1"/>
      <c r="AO175" s="1"/>
      <c r="AP175" s="1"/>
      <c r="AQ175" s="1"/>
      <c r="AR175" s="868"/>
      <c r="AS175" s="1"/>
      <c r="AT175" s="1"/>
      <c r="AU175" s="1"/>
      <c r="AV175" s="1"/>
      <c r="AW175" s="1"/>
      <c r="AX175" s="1"/>
      <c r="AY175" s="1"/>
      <c r="AZ175" s="1"/>
      <c r="BA175" s="1"/>
      <c r="BB175" s="1"/>
      <c r="BC175" s="1"/>
      <c r="BD175" s="1"/>
    </row>
    <row r="176" spans="3:56" x14ac:dyDescent="0.2">
      <c r="C176" s="1"/>
      <c r="D176" s="1"/>
      <c r="E176" s="1"/>
      <c r="F176" s="1"/>
      <c r="G176" s="1"/>
      <c r="H176" s="1"/>
      <c r="I176" s="1"/>
      <c r="J176" s="1"/>
      <c r="K176" s="1"/>
      <c r="L176" s="1"/>
      <c r="M176" s="1"/>
      <c r="N176" s="1"/>
      <c r="O176" s="1"/>
      <c r="P176" s="1"/>
      <c r="Q176" s="1"/>
      <c r="R176" s="1"/>
      <c r="S176" s="1"/>
      <c r="T176" s="1"/>
      <c r="U176" s="1"/>
      <c r="V176" s="1"/>
      <c r="W176" s="1"/>
      <c r="X176" s="1"/>
      <c r="Y176" s="1"/>
      <c r="Z176" s="1"/>
      <c r="AA176" s="1"/>
      <c r="AB176" s="1"/>
      <c r="AC176" s="1"/>
      <c r="AD176" s="1"/>
      <c r="AE176" s="1"/>
      <c r="AF176" s="1"/>
      <c r="AG176" s="1"/>
      <c r="AH176" s="1"/>
      <c r="AI176" s="1"/>
      <c r="AJ176" s="1"/>
      <c r="AK176" s="1"/>
      <c r="AL176" s="1"/>
      <c r="AM176" s="1"/>
      <c r="AN176" s="1"/>
      <c r="AO176" s="1"/>
      <c r="AP176" s="1"/>
      <c r="AQ176" s="1"/>
      <c r="AR176" s="868"/>
      <c r="AS176" s="1"/>
      <c r="AT176" s="1"/>
      <c r="AU176" s="1"/>
      <c r="AV176" s="1"/>
      <c r="AW176" s="1"/>
      <c r="AX176" s="1"/>
      <c r="AY176" s="1"/>
      <c r="AZ176" s="1"/>
      <c r="BA176" s="1"/>
      <c r="BB176" s="1"/>
      <c r="BC176" s="1"/>
      <c r="BD176" s="1"/>
    </row>
    <row r="177" spans="3:56" x14ac:dyDescent="0.2">
      <c r="C177" s="1"/>
      <c r="D177" s="1"/>
      <c r="E177" s="1"/>
      <c r="F177" s="1"/>
      <c r="G177" s="1"/>
      <c r="H177" s="1"/>
      <c r="I177" s="1"/>
      <c r="J177" s="1"/>
      <c r="K177" s="1"/>
      <c r="L177" s="1"/>
      <c r="M177" s="1"/>
      <c r="N177" s="1"/>
      <c r="O177" s="1"/>
      <c r="P177" s="1"/>
      <c r="Q177" s="1"/>
      <c r="R177" s="1"/>
      <c r="S177" s="1"/>
      <c r="T177" s="1"/>
      <c r="U177" s="1"/>
      <c r="V177" s="1"/>
      <c r="W177" s="1"/>
      <c r="X177" s="1"/>
      <c r="Y177" s="1"/>
      <c r="Z177" s="1"/>
      <c r="AA177" s="1"/>
      <c r="AB177" s="1"/>
      <c r="AC177" s="1"/>
      <c r="AD177" s="1"/>
      <c r="AE177" s="1"/>
      <c r="AF177" s="1"/>
      <c r="AG177" s="1"/>
      <c r="AH177" s="1"/>
      <c r="AI177" s="1"/>
      <c r="AJ177" s="1"/>
      <c r="AK177" s="1"/>
      <c r="AL177" s="1"/>
      <c r="AM177" s="1"/>
      <c r="AN177" s="1"/>
      <c r="AO177" s="1"/>
      <c r="AP177" s="1"/>
      <c r="AQ177" s="1"/>
      <c r="AR177" s="868"/>
      <c r="AS177" s="1"/>
      <c r="AT177" s="1"/>
      <c r="AU177" s="1"/>
      <c r="AV177" s="1"/>
      <c r="AW177" s="1"/>
      <c r="AX177" s="1"/>
      <c r="AY177" s="1"/>
      <c r="AZ177" s="1"/>
      <c r="BA177" s="1"/>
      <c r="BB177" s="1"/>
      <c r="BC177" s="1"/>
      <c r="BD177" s="1"/>
    </row>
    <row r="178" spans="3:56" x14ac:dyDescent="0.2">
      <c r="C178" s="1"/>
      <c r="D178" s="1"/>
      <c r="E178" s="1"/>
      <c r="F178" s="1"/>
      <c r="G178" s="1"/>
      <c r="H178" s="1"/>
      <c r="I178" s="1"/>
      <c r="J178" s="1"/>
      <c r="K178" s="1"/>
      <c r="L178" s="1"/>
      <c r="M178" s="1"/>
      <c r="N178" s="1"/>
      <c r="O178" s="1"/>
      <c r="P178" s="1"/>
      <c r="Q178" s="1"/>
      <c r="R178" s="1"/>
      <c r="S178" s="1"/>
      <c r="T178" s="1"/>
      <c r="U178" s="1"/>
      <c r="V178" s="1"/>
      <c r="W178" s="1"/>
      <c r="X178" s="1"/>
      <c r="Y178" s="1"/>
      <c r="Z178" s="1"/>
      <c r="AA178" s="1"/>
      <c r="AB178" s="1"/>
      <c r="AC178" s="1"/>
      <c r="AD178" s="1"/>
      <c r="AE178" s="1"/>
      <c r="AF178" s="1"/>
      <c r="AG178" s="1"/>
      <c r="AH178" s="1"/>
      <c r="AI178" s="1"/>
      <c r="AJ178" s="1"/>
      <c r="AK178" s="1"/>
      <c r="AL178" s="1"/>
      <c r="AM178" s="1"/>
      <c r="AN178" s="1"/>
      <c r="AO178" s="1"/>
      <c r="AP178" s="1"/>
      <c r="AQ178" s="1"/>
      <c r="AR178" s="868"/>
      <c r="AS178" s="1"/>
      <c r="AT178" s="1"/>
      <c r="AU178" s="1"/>
      <c r="AV178" s="1"/>
      <c r="AW178" s="1"/>
      <c r="AX178" s="1"/>
      <c r="AY178" s="1"/>
      <c r="AZ178" s="1"/>
      <c r="BA178" s="1"/>
      <c r="BB178" s="1"/>
      <c r="BC178" s="1"/>
      <c r="BD178" s="1"/>
    </row>
    <row r="179" spans="3:56" x14ac:dyDescent="0.2">
      <c r="C179" s="1"/>
      <c r="D179" s="1"/>
      <c r="E179" s="1"/>
      <c r="F179" s="1"/>
      <c r="G179" s="1"/>
      <c r="H179" s="1"/>
      <c r="I179" s="1"/>
      <c r="J179" s="1"/>
      <c r="K179" s="1"/>
      <c r="L179" s="1"/>
      <c r="M179" s="1"/>
      <c r="N179" s="1"/>
      <c r="O179" s="1"/>
      <c r="P179" s="1"/>
      <c r="Q179" s="1"/>
      <c r="R179" s="1"/>
      <c r="S179" s="1"/>
      <c r="T179" s="1"/>
      <c r="U179" s="1"/>
      <c r="V179" s="1"/>
      <c r="W179" s="1"/>
      <c r="X179" s="1"/>
      <c r="Y179" s="1"/>
      <c r="Z179" s="1"/>
      <c r="AA179" s="1"/>
      <c r="AB179" s="1"/>
      <c r="AC179" s="1"/>
      <c r="AD179" s="1"/>
      <c r="AE179" s="1"/>
      <c r="AF179" s="1"/>
      <c r="AG179" s="1"/>
      <c r="AH179" s="1"/>
      <c r="AI179" s="1"/>
      <c r="AJ179" s="1"/>
      <c r="AK179" s="1"/>
      <c r="AL179" s="1"/>
      <c r="AM179" s="1"/>
      <c r="AN179" s="1"/>
      <c r="AO179" s="1"/>
      <c r="AP179" s="1"/>
      <c r="AQ179" s="1"/>
      <c r="AR179" s="868"/>
      <c r="AS179" s="1"/>
      <c r="AT179" s="1"/>
      <c r="AU179" s="1"/>
      <c r="AV179" s="1"/>
      <c r="AW179" s="1"/>
      <c r="AX179" s="1"/>
      <c r="AY179" s="1"/>
      <c r="AZ179" s="1"/>
      <c r="BA179" s="1"/>
      <c r="BB179" s="1"/>
      <c r="BC179" s="1"/>
      <c r="BD179" s="1"/>
    </row>
    <row r="180" spans="3:56" x14ac:dyDescent="0.2">
      <c r="C180" s="1"/>
      <c r="D180" s="1"/>
      <c r="E180" s="1"/>
      <c r="F180" s="1"/>
      <c r="G180" s="1"/>
      <c r="H180" s="1"/>
      <c r="I180" s="1"/>
      <c r="J180" s="1"/>
      <c r="K180" s="1"/>
      <c r="L180" s="1"/>
      <c r="M180" s="1"/>
      <c r="N180" s="1"/>
      <c r="O180" s="1"/>
      <c r="P180" s="1"/>
      <c r="Q180" s="1"/>
      <c r="R180" s="1"/>
      <c r="S180" s="1"/>
      <c r="T180" s="1"/>
      <c r="U180" s="1"/>
      <c r="V180" s="1"/>
      <c r="W180" s="1"/>
      <c r="X180" s="1"/>
      <c r="Y180" s="1"/>
      <c r="Z180" s="1"/>
      <c r="AA180" s="1"/>
      <c r="AB180" s="1"/>
      <c r="AC180" s="1"/>
      <c r="AD180" s="1"/>
      <c r="AE180" s="1"/>
      <c r="AF180" s="1"/>
      <c r="AG180" s="1"/>
      <c r="AH180" s="1"/>
      <c r="AI180" s="1"/>
      <c r="AJ180" s="1"/>
      <c r="AK180" s="1"/>
      <c r="AL180" s="1"/>
      <c r="AM180" s="1"/>
      <c r="AN180" s="1"/>
      <c r="AO180" s="1"/>
      <c r="AP180" s="1"/>
      <c r="AQ180" s="1"/>
      <c r="AR180" s="868"/>
      <c r="AS180" s="1"/>
      <c r="AT180" s="1"/>
      <c r="AU180" s="1"/>
      <c r="AV180" s="1"/>
      <c r="AW180" s="1"/>
      <c r="AX180" s="1"/>
      <c r="AY180" s="1"/>
      <c r="AZ180" s="1"/>
      <c r="BA180" s="1"/>
      <c r="BB180" s="1"/>
      <c r="BC180" s="1"/>
      <c r="BD180" s="1"/>
    </row>
    <row r="181" spans="3:56" x14ac:dyDescent="0.2">
      <c r="C181" s="1"/>
      <c r="D181" s="1"/>
      <c r="E181" s="1"/>
      <c r="F181" s="1"/>
      <c r="G181" s="1"/>
      <c r="H181" s="1"/>
      <c r="I181" s="1"/>
      <c r="J181" s="1"/>
      <c r="K181" s="1"/>
      <c r="L181" s="1"/>
      <c r="M181" s="1"/>
      <c r="N181" s="1"/>
      <c r="O181" s="1"/>
      <c r="P181" s="1"/>
      <c r="Q181" s="1"/>
      <c r="R181" s="1"/>
      <c r="S181" s="1"/>
      <c r="T181" s="1"/>
      <c r="U181" s="1"/>
      <c r="V181" s="1"/>
      <c r="W181" s="1"/>
      <c r="X181" s="1"/>
      <c r="Y181" s="1"/>
      <c r="Z181" s="1"/>
      <c r="AA181" s="1"/>
      <c r="AB181" s="1"/>
      <c r="AC181" s="1"/>
      <c r="AD181" s="1"/>
      <c r="AE181" s="1"/>
      <c r="AF181" s="1"/>
      <c r="AG181" s="1"/>
      <c r="AH181" s="1"/>
      <c r="AI181" s="1"/>
      <c r="AJ181" s="1"/>
      <c r="AK181" s="1"/>
      <c r="AL181" s="1"/>
      <c r="AM181" s="1"/>
      <c r="AN181" s="1"/>
      <c r="AO181" s="1"/>
      <c r="AP181" s="1"/>
      <c r="AQ181" s="1"/>
      <c r="AR181" s="868"/>
      <c r="AS181" s="1"/>
      <c r="AT181" s="1"/>
      <c r="AU181" s="1"/>
      <c r="AV181" s="1"/>
      <c r="AW181" s="1"/>
      <c r="AX181" s="1"/>
      <c r="AY181" s="1"/>
      <c r="AZ181" s="1"/>
      <c r="BA181" s="1"/>
      <c r="BB181" s="1"/>
      <c r="BC181" s="1"/>
      <c r="BD181" s="1"/>
    </row>
    <row r="182" spans="3:56" x14ac:dyDescent="0.2">
      <c r="C182" s="1"/>
      <c r="D182" s="1"/>
      <c r="E182" s="1"/>
      <c r="F182" s="1"/>
      <c r="G182" s="1"/>
      <c r="H182" s="1"/>
      <c r="I182" s="1"/>
      <c r="J182" s="1"/>
      <c r="K182" s="1"/>
      <c r="L182" s="1"/>
      <c r="M182" s="1"/>
      <c r="N182" s="1"/>
      <c r="O182" s="1"/>
      <c r="P182" s="1"/>
      <c r="Q182" s="1"/>
      <c r="R182" s="1"/>
      <c r="S182" s="1"/>
      <c r="T182" s="1"/>
      <c r="U182" s="1"/>
      <c r="V182" s="1"/>
      <c r="W182" s="1"/>
      <c r="X182" s="1"/>
      <c r="Y182" s="1"/>
      <c r="Z182" s="1"/>
      <c r="AA182" s="1"/>
      <c r="AB182" s="1"/>
      <c r="AC182" s="1"/>
      <c r="AD182" s="1"/>
      <c r="AE182" s="1"/>
      <c r="AF182" s="1"/>
      <c r="AG182" s="1"/>
      <c r="AH182" s="1"/>
      <c r="AI182" s="1"/>
      <c r="AJ182" s="1"/>
      <c r="AK182" s="1"/>
      <c r="AL182" s="1"/>
      <c r="AM182" s="1"/>
      <c r="AN182" s="1"/>
      <c r="AO182" s="1"/>
      <c r="AP182" s="1"/>
      <c r="AQ182" s="1"/>
      <c r="AR182" s="868"/>
      <c r="AS182" s="1"/>
      <c r="AT182" s="1"/>
      <c r="AU182" s="1"/>
      <c r="AV182" s="1"/>
      <c r="AW182" s="1"/>
      <c r="AX182" s="1"/>
      <c r="AY182" s="1"/>
      <c r="AZ182" s="1"/>
      <c r="BA182" s="1"/>
      <c r="BB182" s="1"/>
      <c r="BC182" s="1"/>
      <c r="BD182" s="1"/>
    </row>
    <row r="183" spans="3:56" x14ac:dyDescent="0.2">
      <c r="C183" s="1"/>
      <c r="D183" s="1"/>
      <c r="E183" s="1"/>
      <c r="F183" s="1"/>
      <c r="G183" s="1"/>
      <c r="H183" s="1"/>
      <c r="I183" s="1"/>
      <c r="J183" s="1"/>
      <c r="K183" s="1"/>
      <c r="L183" s="1"/>
      <c r="M183" s="1"/>
      <c r="N183" s="1"/>
      <c r="O183" s="1"/>
      <c r="P183" s="1"/>
      <c r="Q183" s="1"/>
      <c r="R183" s="1"/>
      <c r="S183" s="1"/>
      <c r="T183" s="1"/>
      <c r="U183" s="1"/>
      <c r="V183" s="1"/>
      <c r="W183" s="1"/>
      <c r="X183" s="1"/>
      <c r="Y183" s="1"/>
      <c r="Z183" s="1"/>
      <c r="AA183" s="1"/>
      <c r="AB183" s="1"/>
      <c r="AC183" s="1"/>
      <c r="AD183" s="1"/>
      <c r="AE183" s="1"/>
      <c r="AF183" s="1"/>
      <c r="AG183" s="1"/>
      <c r="AH183" s="1"/>
      <c r="AI183" s="1"/>
      <c r="AJ183" s="1"/>
      <c r="AK183" s="1"/>
      <c r="AL183" s="1"/>
      <c r="AM183" s="1"/>
      <c r="AN183" s="1"/>
      <c r="AO183" s="1"/>
      <c r="AP183" s="1"/>
      <c r="AQ183" s="1"/>
      <c r="AR183" s="868"/>
      <c r="AS183" s="1"/>
      <c r="AT183" s="1"/>
      <c r="AU183" s="1"/>
      <c r="AV183" s="1"/>
      <c r="AW183" s="1"/>
      <c r="AX183" s="1"/>
      <c r="AY183" s="1"/>
      <c r="AZ183" s="1"/>
      <c r="BA183" s="1"/>
      <c r="BB183" s="1"/>
      <c r="BC183" s="1"/>
      <c r="BD183" s="1"/>
    </row>
    <row r="184" spans="3:56" x14ac:dyDescent="0.2">
      <c r="C184" s="1"/>
      <c r="D184" s="1"/>
      <c r="E184" s="1"/>
      <c r="F184" s="1"/>
      <c r="G184" s="1"/>
      <c r="H184" s="1"/>
      <c r="I184" s="1"/>
      <c r="J184" s="1"/>
      <c r="K184" s="1"/>
      <c r="L184" s="1"/>
      <c r="M184" s="1"/>
      <c r="N184" s="1"/>
      <c r="O184" s="1"/>
      <c r="P184" s="1"/>
      <c r="Q184" s="1"/>
      <c r="R184" s="1"/>
      <c r="S184" s="1"/>
      <c r="T184" s="1"/>
      <c r="U184" s="1"/>
      <c r="V184" s="1"/>
      <c r="W184" s="1"/>
      <c r="X184" s="1"/>
      <c r="Y184" s="1"/>
      <c r="Z184" s="1"/>
      <c r="AA184" s="1"/>
      <c r="AB184" s="1"/>
      <c r="AC184" s="1"/>
      <c r="AD184" s="1"/>
      <c r="AE184" s="1"/>
      <c r="AF184" s="1"/>
      <c r="AG184" s="1"/>
      <c r="AH184" s="1"/>
      <c r="AI184" s="1"/>
      <c r="AJ184" s="1"/>
      <c r="AK184" s="1"/>
      <c r="AL184" s="1"/>
      <c r="AM184" s="1"/>
      <c r="AN184" s="1"/>
      <c r="AO184" s="1"/>
      <c r="AP184" s="1"/>
      <c r="AQ184" s="1"/>
      <c r="AR184" s="868"/>
      <c r="AS184" s="1"/>
      <c r="AT184" s="1"/>
      <c r="AU184" s="1"/>
      <c r="AV184" s="1"/>
      <c r="AW184" s="1"/>
      <c r="AX184" s="1"/>
      <c r="AY184" s="1"/>
      <c r="AZ184" s="1"/>
      <c r="BA184" s="1"/>
      <c r="BB184" s="1"/>
      <c r="BC184" s="1"/>
      <c r="BD184" s="1"/>
    </row>
    <row r="185" spans="3:56" x14ac:dyDescent="0.2">
      <c r="C185" s="1"/>
      <c r="D185" s="1"/>
      <c r="E185" s="1"/>
      <c r="F185" s="1"/>
      <c r="G185" s="1"/>
      <c r="H185" s="1"/>
      <c r="I185" s="1"/>
      <c r="J185" s="1"/>
      <c r="K185" s="1"/>
      <c r="L185" s="1"/>
      <c r="M185" s="1"/>
      <c r="N185" s="1"/>
      <c r="O185" s="1"/>
      <c r="P185" s="1"/>
      <c r="Q185" s="1"/>
      <c r="R185" s="1"/>
      <c r="S185" s="1"/>
      <c r="T185" s="1"/>
      <c r="U185" s="1"/>
      <c r="V185" s="1"/>
      <c r="W185" s="1"/>
      <c r="X185" s="1"/>
      <c r="Y185" s="1"/>
      <c r="Z185" s="1"/>
      <c r="AA185" s="1"/>
      <c r="AB185" s="1"/>
      <c r="AC185" s="1"/>
      <c r="AD185" s="1"/>
      <c r="AE185" s="1"/>
      <c r="AF185" s="1"/>
      <c r="AG185" s="1"/>
      <c r="AH185" s="1"/>
      <c r="AI185" s="1"/>
      <c r="AJ185" s="1"/>
      <c r="AK185" s="1"/>
      <c r="AL185" s="1"/>
      <c r="AM185" s="1"/>
      <c r="AN185" s="1"/>
      <c r="AO185" s="1"/>
      <c r="AP185" s="1"/>
      <c r="AQ185" s="1"/>
      <c r="AR185" s="868"/>
      <c r="AS185" s="1"/>
      <c r="AT185" s="1"/>
      <c r="AU185" s="1"/>
      <c r="AV185" s="1"/>
      <c r="AW185" s="1"/>
      <c r="AX185" s="1"/>
      <c r="AY185" s="1"/>
      <c r="AZ185" s="1"/>
      <c r="BA185" s="1"/>
      <c r="BB185" s="1"/>
      <c r="BC185" s="1"/>
      <c r="BD185" s="1"/>
    </row>
    <row r="186" spans="3:56" x14ac:dyDescent="0.2">
      <c r="C186" s="1"/>
      <c r="D186" s="1"/>
      <c r="E186" s="1"/>
      <c r="F186" s="1"/>
      <c r="G186" s="1"/>
      <c r="H186" s="1"/>
      <c r="I186" s="1"/>
      <c r="J186" s="1"/>
      <c r="K186" s="1"/>
      <c r="L186" s="1"/>
      <c r="M186" s="1"/>
      <c r="N186" s="1"/>
      <c r="O186" s="1"/>
      <c r="P186" s="1"/>
      <c r="Q186" s="1"/>
      <c r="R186" s="1"/>
      <c r="S186" s="1"/>
      <c r="T186" s="1"/>
      <c r="U186" s="1"/>
      <c r="V186" s="1"/>
      <c r="W186" s="1"/>
      <c r="X186" s="1"/>
      <c r="Y186" s="1"/>
      <c r="Z186" s="1"/>
      <c r="AA186" s="1"/>
      <c r="AB186" s="1"/>
      <c r="AC186" s="1"/>
      <c r="AD186" s="1"/>
      <c r="AE186" s="1"/>
      <c r="AF186" s="1"/>
      <c r="AG186" s="1"/>
      <c r="AH186" s="1"/>
      <c r="AI186" s="1"/>
      <c r="AJ186" s="1"/>
      <c r="AK186" s="1"/>
      <c r="AL186" s="1"/>
      <c r="AM186" s="1"/>
      <c r="AN186" s="1"/>
      <c r="AO186" s="1"/>
      <c r="AP186" s="1"/>
      <c r="AQ186" s="1"/>
      <c r="AR186" s="868"/>
      <c r="AS186" s="1"/>
      <c r="AT186" s="1"/>
      <c r="AU186" s="1"/>
      <c r="AV186" s="1"/>
      <c r="AW186" s="1"/>
      <c r="AX186" s="1"/>
      <c r="AY186" s="1"/>
      <c r="AZ186" s="1"/>
      <c r="BA186" s="1"/>
      <c r="BB186" s="1"/>
      <c r="BC186" s="1"/>
      <c r="BD186" s="1"/>
    </row>
    <row r="187" spans="3:56" x14ac:dyDescent="0.2">
      <c r="C187" s="1"/>
      <c r="D187" s="1"/>
      <c r="E187" s="1"/>
      <c r="F187" s="1"/>
      <c r="G187" s="1"/>
      <c r="H187" s="1"/>
      <c r="I187" s="1"/>
      <c r="J187" s="1"/>
      <c r="K187" s="1"/>
      <c r="L187" s="1"/>
      <c r="M187" s="1"/>
      <c r="N187" s="1"/>
      <c r="O187" s="1"/>
      <c r="P187" s="1"/>
      <c r="Q187" s="1"/>
      <c r="R187" s="1"/>
      <c r="S187" s="1"/>
      <c r="T187" s="1"/>
      <c r="U187" s="1"/>
      <c r="V187" s="1"/>
      <c r="W187" s="1"/>
      <c r="X187" s="1"/>
      <c r="Y187" s="1"/>
      <c r="Z187" s="1"/>
      <c r="AA187" s="1"/>
      <c r="AB187" s="1"/>
      <c r="AC187" s="1"/>
      <c r="AD187" s="1"/>
      <c r="AE187" s="1"/>
      <c r="AF187" s="1"/>
      <c r="AG187" s="1"/>
      <c r="AH187" s="1"/>
      <c r="AI187" s="1"/>
      <c r="AJ187" s="1"/>
      <c r="AK187" s="1"/>
      <c r="AL187" s="1"/>
      <c r="AM187" s="1"/>
      <c r="AN187" s="1"/>
      <c r="AO187" s="1"/>
      <c r="AP187" s="1"/>
      <c r="AQ187" s="1"/>
      <c r="AR187" s="868"/>
      <c r="AS187" s="1"/>
      <c r="AT187" s="1"/>
      <c r="AU187" s="1"/>
      <c r="AV187" s="1"/>
      <c r="AW187" s="1"/>
      <c r="AX187" s="1"/>
      <c r="AY187" s="1"/>
      <c r="AZ187" s="1"/>
      <c r="BA187" s="1"/>
      <c r="BB187" s="1"/>
      <c r="BC187" s="1"/>
      <c r="BD187" s="1"/>
    </row>
    <row r="188" spans="3:56" x14ac:dyDescent="0.2">
      <c r="C188" s="1"/>
      <c r="D188" s="1"/>
      <c r="E188" s="1"/>
      <c r="F188" s="1"/>
      <c r="G188" s="1"/>
      <c r="H188" s="1"/>
      <c r="I188" s="1"/>
      <c r="J188" s="1"/>
      <c r="K188" s="1"/>
      <c r="L188" s="1"/>
      <c r="M188" s="1"/>
      <c r="N188" s="1"/>
      <c r="O188" s="1"/>
      <c r="P188" s="1"/>
      <c r="Q188" s="1"/>
      <c r="R188" s="1"/>
      <c r="S188" s="1"/>
      <c r="T188" s="1"/>
      <c r="U188" s="1"/>
      <c r="V188" s="1"/>
      <c r="W188" s="1"/>
      <c r="X188" s="1"/>
      <c r="Y188" s="1"/>
      <c r="Z188" s="1"/>
      <c r="AA188" s="1"/>
      <c r="AB188" s="1"/>
      <c r="AC188" s="1"/>
      <c r="AD188" s="1"/>
      <c r="AE188" s="1"/>
      <c r="AF188" s="1"/>
      <c r="AG188" s="1"/>
      <c r="AH188" s="1"/>
      <c r="AI188" s="1"/>
      <c r="AJ188" s="1"/>
      <c r="AK188" s="1"/>
      <c r="AL188" s="1"/>
      <c r="AM188" s="1"/>
      <c r="AN188" s="1"/>
      <c r="AO188" s="1"/>
      <c r="AP188" s="1"/>
      <c r="AQ188" s="1"/>
      <c r="AR188" s="868"/>
      <c r="AS188" s="1"/>
      <c r="AT188" s="1"/>
      <c r="AU188" s="1"/>
      <c r="AV188" s="1"/>
      <c r="AW188" s="1"/>
      <c r="AX188" s="1"/>
      <c r="AY188" s="1"/>
      <c r="AZ188" s="1"/>
      <c r="BA188" s="1"/>
      <c r="BB188" s="1"/>
      <c r="BC188" s="1"/>
      <c r="BD188" s="1"/>
    </row>
    <row r="189" spans="3:56" x14ac:dyDescent="0.2">
      <c r="C189" s="1"/>
      <c r="D189" s="1"/>
      <c r="E189" s="1"/>
      <c r="F189" s="1"/>
      <c r="G189" s="1"/>
      <c r="H189" s="1"/>
      <c r="I189" s="1"/>
      <c r="J189" s="1"/>
      <c r="K189" s="1"/>
      <c r="L189" s="1"/>
      <c r="M189" s="1"/>
      <c r="N189" s="1"/>
      <c r="O189" s="1"/>
      <c r="P189" s="1"/>
      <c r="Q189" s="1"/>
      <c r="R189" s="1"/>
      <c r="S189" s="1"/>
      <c r="T189" s="1"/>
      <c r="U189" s="1"/>
      <c r="V189" s="1"/>
      <c r="W189" s="1"/>
      <c r="X189" s="1"/>
      <c r="Y189" s="1"/>
      <c r="Z189" s="1"/>
      <c r="AA189" s="1"/>
      <c r="AB189" s="1"/>
      <c r="AC189" s="1"/>
      <c r="AD189" s="1"/>
      <c r="AE189" s="1"/>
      <c r="AF189" s="1"/>
      <c r="AG189" s="1"/>
      <c r="AH189" s="1"/>
      <c r="AI189" s="1"/>
      <c r="AJ189" s="1"/>
      <c r="AK189" s="1"/>
      <c r="AL189" s="1"/>
      <c r="AM189" s="1"/>
      <c r="AN189" s="1"/>
      <c r="AO189" s="1"/>
      <c r="AP189" s="1"/>
      <c r="AQ189" s="1"/>
      <c r="AR189" s="868"/>
      <c r="AS189" s="1"/>
      <c r="AT189" s="1"/>
      <c r="AU189" s="1"/>
      <c r="AV189" s="1"/>
      <c r="AW189" s="1"/>
      <c r="AX189" s="1"/>
      <c r="AY189" s="1"/>
      <c r="AZ189" s="1"/>
      <c r="BA189" s="1"/>
      <c r="BB189" s="1"/>
      <c r="BC189" s="1"/>
      <c r="BD189" s="1"/>
    </row>
    <row r="190" spans="3:56" x14ac:dyDescent="0.2">
      <c r="C190" s="1"/>
      <c r="D190" s="1"/>
      <c r="E190" s="1"/>
      <c r="F190" s="1"/>
      <c r="G190" s="1"/>
      <c r="H190" s="1"/>
      <c r="I190" s="1"/>
      <c r="J190" s="1"/>
      <c r="K190" s="1"/>
      <c r="L190" s="1"/>
      <c r="M190" s="1"/>
      <c r="N190" s="1"/>
      <c r="O190" s="1"/>
      <c r="P190" s="1"/>
      <c r="Q190" s="1"/>
      <c r="R190" s="1"/>
      <c r="S190" s="1"/>
      <c r="T190" s="1"/>
      <c r="U190" s="1"/>
      <c r="V190" s="1"/>
      <c r="W190" s="1"/>
      <c r="X190" s="1"/>
      <c r="Y190" s="1"/>
      <c r="Z190" s="1"/>
      <c r="AA190" s="1"/>
      <c r="AB190" s="1"/>
      <c r="AC190" s="1"/>
      <c r="AD190" s="1"/>
      <c r="AE190" s="1"/>
      <c r="AF190" s="1"/>
      <c r="AG190" s="1"/>
      <c r="AH190" s="1"/>
      <c r="AI190" s="1"/>
      <c r="AJ190" s="1"/>
      <c r="AK190" s="1"/>
      <c r="AL190" s="1"/>
      <c r="AM190" s="1"/>
      <c r="AN190" s="1"/>
      <c r="AO190" s="1"/>
      <c r="AP190" s="1"/>
      <c r="AQ190" s="1"/>
      <c r="AR190" s="868"/>
      <c r="AS190" s="1"/>
      <c r="AT190" s="1"/>
      <c r="AU190" s="1"/>
      <c r="AV190" s="1"/>
      <c r="AW190" s="1"/>
      <c r="AX190" s="1"/>
      <c r="AY190" s="1"/>
      <c r="AZ190" s="1"/>
      <c r="BA190" s="1"/>
      <c r="BB190" s="1"/>
      <c r="BC190" s="1"/>
      <c r="BD190" s="1"/>
    </row>
    <row r="191" spans="3:56" x14ac:dyDescent="0.2">
      <c r="C191" s="1"/>
      <c r="D191" s="1"/>
      <c r="E191" s="1"/>
      <c r="F191" s="1"/>
      <c r="G191" s="1"/>
      <c r="H191" s="1"/>
      <c r="I191" s="1"/>
      <c r="J191" s="1"/>
      <c r="K191" s="1"/>
      <c r="L191" s="1"/>
      <c r="M191" s="1"/>
      <c r="N191" s="1"/>
      <c r="O191" s="1"/>
      <c r="P191" s="1"/>
      <c r="Q191" s="1"/>
      <c r="R191" s="1"/>
      <c r="S191" s="1"/>
      <c r="T191" s="1"/>
      <c r="U191" s="1"/>
      <c r="V191" s="1"/>
      <c r="W191" s="1"/>
      <c r="X191" s="1"/>
      <c r="Y191" s="1"/>
      <c r="Z191" s="1"/>
      <c r="AA191" s="1"/>
      <c r="AB191" s="1"/>
      <c r="AC191" s="1"/>
      <c r="AD191" s="1"/>
      <c r="AE191" s="1"/>
      <c r="AF191" s="1"/>
      <c r="AG191" s="1"/>
      <c r="AH191" s="1"/>
      <c r="AI191" s="1"/>
      <c r="AJ191" s="1"/>
      <c r="AK191" s="1"/>
      <c r="AL191" s="1"/>
      <c r="AM191" s="1"/>
      <c r="AN191" s="1"/>
      <c r="AO191" s="1"/>
      <c r="AP191" s="1"/>
      <c r="AQ191" s="1"/>
      <c r="AR191" s="868"/>
      <c r="AS191" s="1"/>
      <c r="AT191" s="1"/>
      <c r="AU191" s="1"/>
      <c r="AV191" s="1"/>
      <c r="AW191" s="1"/>
      <c r="AX191" s="1"/>
      <c r="AY191" s="1"/>
      <c r="AZ191" s="1"/>
      <c r="BA191" s="1"/>
      <c r="BB191" s="1"/>
      <c r="BC191" s="1"/>
      <c r="BD191" s="1"/>
    </row>
    <row r="192" spans="3:56" ht="12.75" customHeight="1" x14ac:dyDescent="0.2">
      <c r="C192" s="1"/>
      <c r="D192" s="1"/>
      <c r="E192" s="1"/>
      <c r="F192" s="1"/>
      <c r="G192" s="1"/>
      <c r="H192" s="1"/>
      <c r="I192" s="1"/>
      <c r="J192" s="1"/>
      <c r="K192" s="1"/>
      <c r="L192" s="1"/>
      <c r="M192" s="1"/>
      <c r="N192" s="1"/>
      <c r="O192" s="1"/>
      <c r="P192" s="1"/>
      <c r="Q192" s="1"/>
      <c r="R192" s="1"/>
      <c r="S192" s="1"/>
      <c r="T192" s="1"/>
      <c r="U192" s="1"/>
      <c r="V192" s="1"/>
      <c r="W192" s="1"/>
      <c r="X192" s="1"/>
      <c r="Y192" s="1"/>
      <c r="Z192" s="1"/>
      <c r="AA192" s="1"/>
      <c r="AB192" s="1"/>
      <c r="AC192" s="1"/>
      <c r="AD192" s="1"/>
      <c r="AE192" s="1"/>
      <c r="AF192" s="1"/>
      <c r="AG192" s="1"/>
      <c r="AH192" s="1"/>
      <c r="AI192" s="1"/>
      <c r="AJ192" s="1"/>
      <c r="AK192" s="1"/>
      <c r="AL192" s="1"/>
      <c r="AM192" s="1"/>
      <c r="AN192" s="1"/>
      <c r="AO192" s="1"/>
      <c r="AP192" s="1"/>
      <c r="AQ192" s="1"/>
      <c r="AR192" s="868"/>
      <c r="AS192" s="1"/>
      <c r="AT192" s="1"/>
      <c r="AU192" s="1"/>
      <c r="AV192" s="1"/>
      <c r="AW192" s="1"/>
      <c r="AX192" s="1"/>
      <c r="AY192" s="1"/>
      <c r="AZ192" s="1"/>
      <c r="BA192" s="1"/>
      <c r="BB192" s="1"/>
      <c r="BC192" s="1"/>
      <c r="BD192" s="1"/>
    </row>
    <row r="193" spans="3:56" x14ac:dyDescent="0.2">
      <c r="C193" s="1"/>
      <c r="D193" s="1"/>
      <c r="E193" s="1"/>
      <c r="F193" s="1"/>
      <c r="G193" s="1"/>
      <c r="H193" s="1"/>
      <c r="I193" s="1"/>
      <c r="J193" s="1"/>
      <c r="K193" s="1"/>
      <c r="L193" s="1"/>
      <c r="M193" s="1"/>
      <c r="N193" s="1"/>
      <c r="O193" s="1"/>
      <c r="P193" s="1"/>
      <c r="Q193" s="1"/>
      <c r="R193" s="1"/>
      <c r="S193" s="1"/>
      <c r="T193" s="1"/>
      <c r="U193" s="1"/>
      <c r="V193" s="1"/>
      <c r="W193" s="1"/>
      <c r="X193" s="1"/>
      <c r="Y193" s="1"/>
      <c r="Z193" s="1"/>
      <c r="AA193" s="1"/>
      <c r="AB193" s="1"/>
      <c r="AC193" s="1"/>
      <c r="AD193" s="1"/>
      <c r="AE193" s="1"/>
      <c r="AF193" s="1"/>
      <c r="AG193" s="1"/>
      <c r="AH193" s="1"/>
      <c r="AI193" s="1"/>
      <c r="AJ193" s="1"/>
      <c r="AK193" s="1"/>
      <c r="AL193" s="1"/>
      <c r="AM193" s="1"/>
      <c r="AN193" s="1"/>
      <c r="AO193" s="1"/>
      <c r="AP193" s="1"/>
      <c r="AQ193" s="1"/>
      <c r="AR193" s="868"/>
      <c r="AS193" s="1"/>
      <c r="AT193" s="1"/>
      <c r="AU193" s="1"/>
      <c r="AV193" s="1"/>
      <c r="AW193" s="1"/>
      <c r="AX193" s="1"/>
      <c r="AY193" s="1"/>
      <c r="AZ193" s="1"/>
      <c r="BA193" s="1"/>
      <c r="BB193" s="1"/>
      <c r="BC193" s="1"/>
      <c r="BD193" s="1"/>
    </row>
    <row r="194" spans="3:56" x14ac:dyDescent="0.2">
      <c r="C194" s="1"/>
      <c r="D194" s="1"/>
      <c r="E194" s="1"/>
      <c r="F194" s="1"/>
      <c r="G194" s="1"/>
      <c r="H194" s="1"/>
      <c r="I194" s="1"/>
      <c r="J194" s="1"/>
      <c r="K194" s="1"/>
      <c r="L194" s="1"/>
      <c r="M194" s="1"/>
      <c r="N194" s="1"/>
      <c r="O194" s="1"/>
      <c r="P194" s="1"/>
      <c r="Q194" s="1"/>
      <c r="R194" s="1"/>
      <c r="S194" s="1"/>
      <c r="T194" s="1"/>
      <c r="U194" s="1"/>
      <c r="V194" s="1"/>
      <c r="W194" s="1"/>
      <c r="X194" s="1"/>
      <c r="Y194" s="1"/>
      <c r="Z194" s="1"/>
      <c r="AA194" s="1"/>
      <c r="AB194" s="1"/>
      <c r="AC194" s="1"/>
      <c r="AD194" s="1"/>
      <c r="AE194" s="1"/>
      <c r="AF194" s="1"/>
      <c r="AG194" s="1"/>
      <c r="AH194" s="1"/>
      <c r="AI194" s="1"/>
      <c r="AJ194" s="1"/>
      <c r="AK194" s="1"/>
      <c r="AL194" s="1"/>
      <c r="AM194" s="1"/>
      <c r="AN194" s="1"/>
      <c r="AO194" s="1"/>
      <c r="AP194" s="1"/>
      <c r="AQ194" s="1"/>
      <c r="AR194" s="868"/>
      <c r="AS194" s="1"/>
      <c r="AT194" s="1"/>
      <c r="AU194" s="1"/>
      <c r="AV194" s="1"/>
      <c r="AW194" s="1"/>
      <c r="AX194" s="1"/>
      <c r="AY194" s="1"/>
      <c r="AZ194" s="1"/>
      <c r="BA194" s="1"/>
      <c r="BB194" s="1"/>
      <c r="BC194" s="1"/>
      <c r="BD194" s="1"/>
    </row>
    <row r="195" spans="3:56" ht="12.75" customHeight="1" x14ac:dyDescent="0.2">
      <c r="C195" s="1"/>
      <c r="D195" s="1"/>
      <c r="E195" s="1"/>
      <c r="F195" s="1"/>
      <c r="G195" s="1"/>
      <c r="H195" s="1"/>
      <c r="I195" s="1"/>
      <c r="J195" s="1"/>
      <c r="K195" s="1"/>
      <c r="L195" s="1"/>
      <c r="M195" s="1"/>
      <c r="N195" s="1"/>
      <c r="O195" s="1"/>
      <c r="P195" s="1"/>
      <c r="Q195" s="1"/>
      <c r="R195" s="1"/>
      <c r="S195" s="1"/>
      <c r="T195" s="1"/>
      <c r="U195" s="1"/>
      <c r="V195" s="1"/>
      <c r="W195" s="1"/>
      <c r="X195" s="1"/>
      <c r="Y195" s="1"/>
      <c r="Z195" s="1"/>
      <c r="AA195" s="1"/>
      <c r="AB195" s="1"/>
      <c r="AC195" s="1"/>
      <c r="AD195" s="1"/>
      <c r="AE195" s="1"/>
      <c r="AF195" s="1"/>
      <c r="AG195" s="1"/>
      <c r="AH195" s="1"/>
      <c r="AI195" s="1"/>
      <c r="AJ195" s="1"/>
      <c r="AK195" s="1"/>
      <c r="AL195" s="1"/>
      <c r="AM195" s="1"/>
      <c r="AN195" s="1"/>
      <c r="AO195" s="1"/>
      <c r="AP195" s="1"/>
      <c r="AQ195" s="1"/>
      <c r="AR195" s="868"/>
      <c r="AS195" s="1"/>
      <c r="AT195" s="1"/>
      <c r="AU195" s="1"/>
      <c r="AV195" s="1"/>
      <c r="AW195" s="1"/>
      <c r="AX195" s="1"/>
      <c r="AY195" s="1"/>
      <c r="AZ195" s="1"/>
      <c r="BA195" s="1"/>
      <c r="BB195" s="1"/>
      <c r="BC195" s="1"/>
      <c r="BD195" s="1"/>
    </row>
    <row r="196" spans="3:56" ht="12.75" customHeight="1" x14ac:dyDescent="0.2">
      <c r="C196" s="1"/>
      <c r="D196" s="1"/>
      <c r="E196" s="1"/>
      <c r="F196" s="1"/>
      <c r="G196" s="1"/>
      <c r="H196" s="1"/>
      <c r="I196" s="1"/>
      <c r="J196" s="1"/>
      <c r="K196" s="1"/>
      <c r="L196" s="1"/>
      <c r="M196" s="1"/>
      <c r="N196" s="1"/>
      <c r="O196" s="1"/>
      <c r="P196" s="1"/>
      <c r="Q196" s="1"/>
      <c r="R196" s="1"/>
      <c r="S196" s="1"/>
      <c r="T196" s="1"/>
      <c r="U196" s="1"/>
      <c r="V196" s="1"/>
      <c r="W196" s="1"/>
      <c r="X196" s="1"/>
      <c r="Y196" s="1"/>
      <c r="Z196" s="1"/>
      <c r="AA196" s="1"/>
      <c r="AB196" s="1"/>
      <c r="AC196" s="1"/>
      <c r="AD196" s="1"/>
      <c r="AE196" s="1"/>
      <c r="AF196" s="1"/>
      <c r="AG196" s="1"/>
      <c r="AH196" s="1"/>
      <c r="AI196" s="1"/>
      <c r="AJ196" s="1"/>
      <c r="AK196" s="1"/>
      <c r="AL196" s="1"/>
      <c r="AM196" s="1"/>
      <c r="AN196" s="1"/>
      <c r="AO196" s="1"/>
      <c r="AP196" s="1"/>
      <c r="AQ196" s="1"/>
      <c r="AR196" s="868"/>
      <c r="AS196" s="1"/>
      <c r="AT196" s="1"/>
      <c r="AU196" s="1"/>
      <c r="AV196" s="1"/>
      <c r="AW196" s="1"/>
      <c r="AX196" s="1"/>
      <c r="AY196" s="1"/>
      <c r="AZ196" s="1"/>
      <c r="BA196" s="1"/>
      <c r="BB196" s="1"/>
      <c r="BC196" s="1"/>
      <c r="BD196" s="1"/>
    </row>
    <row r="197" spans="3:56" ht="12.75" customHeight="1" x14ac:dyDescent="0.2">
      <c r="C197" s="1"/>
      <c r="D197" s="1"/>
      <c r="E197" s="1"/>
      <c r="F197" s="1"/>
      <c r="G197" s="1"/>
      <c r="H197" s="1"/>
      <c r="I197" s="1"/>
      <c r="J197" s="1"/>
      <c r="K197" s="1"/>
      <c r="L197" s="1"/>
      <c r="M197" s="1"/>
      <c r="N197" s="1"/>
      <c r="O197" s="1"/>
      <c r="P197" s="1"/>
      <c r="Q197" s="1"/>
      <c r="R197" s="1"/>
      <c r="S197" s="1"/>
      <c r="T197" s="1"/>
      <c r="U197" s="1"/>
      <c r="V197" s="1"/>
      <c r="W197" s="1"/>
      <c r="X197" s="1"/>
      <c r="Y197" s="1"/>
      <c r="Z197" s="1"/>
      <c r="AA197" s="1"/>
      <c r="AB197" s="1"/>
      <c r="AC197" s="1"/>
      <c r="AD197" s="1"/>
      <c r="AE197" s="1"/>
      <c r="AF197" s="1"/>
      <c r="AG197" s="1"/>
      <c r="AH197" s="1"/>
      <c r="AI197" s="1"/>
      <c r="AJ197" s="1"/>
      <c r="AK197" s="1"/>
      <c r="AL197" s="1"/>
      <c r="AM197" s="1"/>
      <c r="AN197" s="1"/>
      <c r="AO197" s="1"/>
      <c r="AP197" s="1"/>
      <c r="AQ197" s="1"/>
      <c r="AR197" s="868"/>
      <c r="AS197" s="1"/>
      <c r="AT197" s="1"/>
      <c r="AU197" s="1"/>
      <c r="AV197" s="1"/>
      <c r="AW197" s="1"/>
      <c r="AX197" s="1"/>
      <c r="AY197" s="1"/>
      <c r="AZ197" s="1"/>
      <c r="BA197" s="1"/>
      <c r="BB197" s="1"/>
      <c r="BC197" s="1"/>
      <c r="BD197" s="1"/>
    </row>
    <row r="198" spans="3:56" x14ac:dyDescent="0.2">
      <c r="C198" s="1"/>
      <c r="D198" s="1"/>
      <c r="E198" s="1"/>
      <c r="F198" s="1"/>
      <c r="G198" s="1"/>
      <c r="H198" s="1"/>
      <c r="I198" s="1"/>
      <c r="J198" s="1"/>
      <c r="K198" s="1"/>
      <c r="L198" s="1"/>
      <c r="M198" s="1"/>
      <c r="N198" s="1"/>
      <c r="O198" s="1"/>
      <c r="P198" s="1"/>
      <c r="Q198" s="1"/>
      <c r="R198" s="1"/>
      <c r="S198" s="1"/>
      <c r="T198" s="1"/>
      <c r="U198" s="1"/>
      <c r="V198" s="1"/>
      <c r="W198" s="1"/>
      <c r="X198" s="1"/>
      <c r="Y198" s="1"/>
      <c r="Z198" s="1"/>
      <c r="AA198" s="1"/>
      <c r="AB198" s="1"/>
      <c r="AC198" s="1"/>
      <c r="AD198" s="1"/>
      <c r="AE198" s="1"/>
      <c r="AF198" s="1"/>
      <c r="AG198" s="1"/>
      <c r="AH198" s="1"/>
      <c r="AI198" s="1"/>
      <c r="AJ198" s="1"/>
      <c r="AK198" s="1"/>
      <c r="AL198" s="1"/>
      <c r="AM198" s="1"/>
      <c r="AN198" s="1"/>
      <c r="AO198" s="1"/>
      <c r="AP198" s="1"/>
      <c r="AQ198" s="1"/>
      <c r="AR198" s="868"/>
      <c r="AS198" s="1"/>
      <c r="AT198" s="1"/>
      <c r="AU198" s="1"/>
      <c r="AV198" s="1"/>
      <c r="AW198" s="1"/>
      <c r="AX198" s="1"/>
      <c r="AY198" s="1"/>
      <c r="AZ198" s="1"/>
      <c r="BA198" s="1"/>
      <c r="BB198" s="1"/>
      <c r="BC198" s="1"/>
      <c r="BD198" s="1"/>
    </row>
    <row r="199" spans="3:56" x14ac:dyDescent="0.2">
      <c r="C199" s="1"/>
      <c r="D199" s="1"/>
      <c r="E199" s="1"/>
      <c r="F199" s="1"/>
      <c r="G199" s="1"/>
      <c r="H199" s="1"/>
      <c r="I199" s="1"/>
      <c r="J199" s="1"/>
      <c r="K199" s="1"/>
      <c r="L199" s="1"/>
      <c r="M199" s="1"/>
      <c r="N199" s="1"/>
      <c r="O199" s="1"/>
      <c r="P199" s="1"/>
      <c r="Q199" s="1"/>
      <c r="R199" s="1"/>
      <c r="S199" s="1"/>
      <c r="T199" s="1"/>
      <c r="U199" s="1"/>
      <c r="V199" s="1"/>
      <c r="W199" s="1"/>
      <c r="X199" s="1"/>
      <c r="Y199" s="1"/>
      <c r="Z199" s="1"/>
      <c r="AA199" s="1"/>
      <c r="AB199" s="1"/>
      <c r="AC199" s="1"/>
      <c r="AD199" s="1"/>
      <c r="AE199" s="1"/>
      <c r="AF199" s="1"/>
      <c r="AG199" s="1"/>
      <c r="AH199" s="1"/>
      <c r="AI199" s="1"/>
      <c r="AJ199" s="1"/>
      <c r="AK199" s="1"/>
      <c r="AL199" s="1"/>
      <c r="AM199" s="1"/>
      <c r="AN199" s="1"/>
      <c r="AO199" s="1"/>
      <c r="AP199" s="1"/>
      <c r="AQ199" s="1"/>
      <c r="AR199" s="868"/>
      <c r="AS199" s="1"/>
      <c r="AT199" s="1"/>
      <c r="AU199" s="1"/>
      <c r="AV199" s="1"/>
      <c r="AW199" s="1"/>
      <c r="AX199" s="1"/>
      <c r="AY199" s="1"/>
      <c r="AZ199" s="1"/>
      <c r="BA199" s="1"/>
      <c r="BB199" s="1"/>
      <c r="BC199" s="1"/>
      <c r="BD199" s="1"/>
    </row>
    <row r="200" spans="3:56" x14ac:dyDescent="0.2">
      <c r="C200" s="1"/>
      <c r="D200" s="1"/>
      <c r="E200" s="1"/>
      <c r="F200" s="1"/>
      <c r="G200" s="1"/>
      <c r="H200" s="1"/>
      <c r="I200" s="1"/>
      <c r="J200" s="1"/>
      <c r="K200" s="1"/>
      <c r="L200" s="1"/>
      <c r="M200" s="1"/>
      <c r="N200" s="1"/>
      <c r="O200" s="1"/>
      <c r="P200" s="1"/>
      <c r="Q200" s="1"/>
      <c r="R200" s="1"/>
      <c r="S200" s="1"/>
      <c r="T200" s="1"/>
      <c r="U200" s="1"/>
      <c r="V200" s="1"/>
      <c r="W200" s="1"/>
      <c r="X200" s="1"/>
      <c r="Y200" s="1"/>
      <c r="Z200" s="1"/>
      <c r="AA200" s="1"/>
      <c r="AB200" s="1"/>
      <c r="AC200" s="1"/>
      <c r="AD200" s="1"/>
      <c r="AE200" s="1"/>
      <c r="AF200" s="1"/>
      <c r="AG200" s="1"/>
      <c r="AH200" s="1"/>
      <c r="AI200" s="1"/>
      <c r="AJ200" s="1"/>
      <c r="AK200" s="1"/>
      <c r="AL200" s="1"/>
      <c r="AM200" s="1"/>
      <c r="AN200" s="1"/>
      <c r="AO200" s="1"/>
      <c r="AP200" s="1"/>
      <c r="AQ200" s="1"/>
      <c r="AR200" s="868"/>
      <c r="AS200" s="1"/>
      <c r="AT200" s="1"/>
      <c r="AU200" s="1"/>
      <c r="AV200" s="1"/>
      <c r="AW200" s="1"/>
      <c r="AX200" s="1"/>
      <c r="AY200" s="1"/>
      <c r="AZ200" s="1"/>
      <c r="BA200" s="1"/>
      <c r="BB200" s="1"/>
      <c r="BC200" s="1"/>
      <c r="BD200" s="1"/>
    </row>
    <row r="201" spans="3:56" ht="12.75" customHeight="1" x14ac:dyDescent="0.2">
      <c r="C201" s="1"/>
      <c r="D201" s="1"/>
      <c r="E201" s="1"/>
      <c r="F201" s="1"/>
      <c r="G201" s="1"/>
      <c r="H201" s="1"/>
      <c r="I201" s="1"/>
      <c r="J201" s="1"/>
      <c r="K201" s="1"/>
      <c r="L201" s="1"/>
      <c r="M201" s="1"/>
      <c r="N201" s="1"/>
      <c r="O201" s="1"/>
      <c r="P201" s="1"/>
      <c r="Q201" s="1"/>
      <c r="R201" s="1"/>
      <c r="S201" s="1"/>
      <c r="T201" s="1"/>
      <c r="U201" s="1"/>
      <c r="V201" s="1"/>
      <c r="W201" s="1"/>
      <c r="X201" s="1"/>
      <c r="Y201" s="1"/>
      <c r="Z201" s="1"/>
      <c r="AA201" s="1"/>
      <c r="AB201" s="1"/>
      <c r="AC201" s="1"/>
      <c r="AD201" s="1"/>
      <c r="AE201" s="1"/>
      <c r="AF201" s="1"/>
      <c r="AG201" s="1"/>
      <c r="AH201" s="1"/>
      <c r="AI201" s="1"/>
      <c r="AJ201" s="1"/>
      <c r="AK201" s="1"/>
      <c r="AL201" s="1"/>
      <c r="AM201" s="1"/>
      <c r="AN201" s="1"/>
      <c r="AO201" s="1"/>
      <c r="AP201" s="1"/>
      <c r="AQ201" s="1"/>
      <c r="AR201" s="868"/>
      <c r="AS201" s="1"/>
      <c r="AT201" s="1"/>
      <c r="AU201" s="1"/>
      <c r="AV201" s="1"/>
      <c r="AW201" s="1"/>
      <c r="AX201" s="1"/>
      <c r="AY201" s="1"/>
      <c r="AZ201" s="1"/>
      <c r="BA201" s="1"/>
      <c r="BB201" s="1"/>
      <c r="BC201" s="1"/>
      <c r="BD201" s="1"/>
    </row>
    <row r="202" spans="3:56" x14ac:dyDescent="0.2">
      <c r="C202" s="1"/>
      <c r="D202" s="1"/>
      <c r="E202" s="1"/>
      <c r="F202" s="1"/>
      <c r="G202" s="1"/>
      <c r="H202" s="1"/>
      <c r="I202" s="1"/>
      <c r="J202" s="1"/>
      <c r="K202" s="1"/>
      <c r="L202" s="1"/>
      <c r="M202" s="1"/>
      <c r="N202" s="1"/>
      <c r="O202" s="1"/>
      <c r="P202" s="1"/>
      <c r="Q202" s="1"/>
      <c r="R202" s="1"/>
      <c r="S202" s="1"/>
      <c r="T202" s="1"/>
      <c r="U202" s="1"/>
      <c r="V202" s="1"/>
      <c r="W202" s="1"/>
      <c r="X202" s="1"/>
      <c r="Y202" s="1"/>
      <c r="Z202" s="1"/>
      <c r="AA202" s="1"/>
      <c r="AB202" s="1"/>
      <c r="AC202" s="1"/>
      <c r="AD202" s="1"/>
      <c r="AE202" s="1"/>
      <c r="AF202" s="1"/>
      <c r="AG202" s="1"/>
      <c r="AH202" s="1"/>
      <c r="AI202" s="1"/>
      <c r="AJ202" s="1"/>
      <c r="AK202" s="1"/>
      <c r="AL202" s="1"/>
      <c r="AM202" s="1"/>
      <c r="AN202" s="1"/>
      <c r="AO202" s="1"/>
      <c r="AP202" s="1"/>
      <c r="AQ202" s="1"/>
      <c r="AR202" s="868"/>
      <c r="AS202" s="1"/>
      <c r="AT202" s="1"/>
      <c r="AU202" s="1"/>
      <c r="AV202" s="1"/>
      <c r="AW202" s="1"/>
      <c r="AX202" s="1"/>
      <c r="AY202" s="1"/>
      <c r="AZ202" s="1"/>
      <c r="BA202" s="1"/>
      <c r="BB202" s="1"/>
      <c r="BC202" s="1"/>
      <c r="BD202" s="1"/>
    </row>
    <row r="203" spans="3:56" x14ac:dyDescent="0.2">
      <c r="C203" s="1"/>
      <c r="D203" s="1"/>
      <c r="E203" s="1"/>
      <c r="F203" s="1"/>
      <c r="G203" s="1"/>
      <c r="H203" s="1"/>
      <c r="I203" s="1"/>
      <c r="J203" s="1"/>
      <c r="K203" s="1"/>
      <c r="L203" s="1"/>
      <c r="M203" s="1"/>
      <c r="N203" s="1"/>
      <c r="O203" s="1"/>
      <c r="P203" s="1"/>
      <c r="Q203" s="1"/>
      <c r="R203" s="1"/>
      <c r="S203" s="1"/>
      <c r="T203" s="1"/>
      <c r="U203" s="1"/>
      <c r="V203" s="1"/>
      <c r="W203" s="1"/>
      <c r="X203" s="1"/>
      <c r="Y203" s="1"/>
      <c r="Z203" s="1"/>
      <c r="AA203" s="1"/>
      <c r="AB203" s="1"/>
      <c r="AC203" s="1"/>
      <c r="AD203" s="1"/>
      <c r="AE203" s="1"/>
      <c r="AF203" s="1"/>
      <c r="AG203" s="1"/>
      <c r="AH203" s="1"/>
      <c r="AI203" s="1"/>
      <c r="AJ203" s="1"/>
      <c r="AK203" s="1"/>
      <c r="AL203" s="1"/>
      <c r="AM203" s="1"/>
      <c r="AN203" s="1"/>
      <c r="AO203" s="1"/>
      <c r="AP203" s="1"/>
      <c r="AQ203" s="1"/>
      <c r="AR203" s="868"/>
      <c r="AS203" s="1"/>
      <c r="AT203" s="1"/>
      <c r="AU203" s="1"/>
      <c r="AV203" s="1"/>
      <c r="AW203" s="1"/>
      <c r="AX203" s="1"/>
      <c r="AY203" s="1"/>
      <c r="AZ203" s="1"/>
      <c r="BA203" s="1"/>
      <c r="BB203" s="1"/>
      <c r="BC203" s="1"/>
      <c r="BD203" s="1"/>
    </row>
    <row r="204" spans="3:56" x14ac:dyDescent="0.2">
      <c r="C204" s="1"/>
      <c r="D204" s="1"/>
      <c r="E204" s="1"/>
      <c r="F204" s="1"/>
      <c r="G204" s="1"/>
      <c r="H204" s="1"/>
      <c r="I204" s="1"/>
      <c r="J204" s="1"/>
      <c r="K204" s="1"/>
      <c r="L204" s="1"/>
      <c r="M204" s="1"/>
      <c r="N204" s="1"/>
      <c r="O204" s="1"/>
      <c r="P204" s="1"/>
      <c r="Q204" s="1"/>
      <c r="R204" s="1"/>
      <c r="S204" s="1"/>
      <c r="T204" s="1"/>
      <c r="U204" s="1"/>
      <c r="V204" s="1"/>
      <c r="W204" s="1"/>
      <c r="X204" s="1"/>
      <c r="Y204" s="1"/>
      <c r="Z204" s="1"/>
      <c r="AA204" s="1"/>
      <c r="AB204" s="1"/>
      <c r="AC204" s="1"/>
      <c r="AD204" s="1"/>
      <c r="AE204" s="1"/>
      <c r="AF204" s="1"/>
      <c r="AG204" s="1"/>
      <c r="AH204" s="1"/>
      <c r="AI204" s="1"/>
      <c r="AJ204" s="1"/>
      <c r="AK204" s="1"/>
      <c r="AL204" s="1"/>
      <c r="AM204" s="1"/>
      <c r="AN204" s="1"/>
      <c r="AO204" s="1"/>
      <c r="AP204" s="1"/>
      <c r="AQ204" s="1"/>
      <c r="AR204" s="868"/>
      <c r="AS204" s="1"/>
      <c r="AT204" s="1"/>
      <c r="AU204" s="1"/>
      <c r="AV204" s="1"/>
      <c r="AW204" s="1"/>
      <c r="AX204" s="1"/>
      <c r="AY204" s="1"/>
      <c r="AZ204" s="1"/>
      <c r="BA204" s="1"/>
      <c r="BB204" s="1"/>
      <c r="BC204" s="1"/>
      <c r="BD204" s="1"/>
    </row>
    <row r="205" spans="3:56" x14ac:dyDescent="0.2">
      <c r="C205" s="1"/>
      <c r="D205" s="1"/>
      <c r="E205" s="1"/>
      <c r="F205" s="1"/>
      <c r="G205" s="1"/>
      <c r="H205" s="1"/>
      <c r="I205" s="1"/>
      <c r="J205" s="1"/>
      <c r="K205" s="1"/>
      <c r="L205" s="1"/>
      <c r="M205" s="1"/>
      <c r="N205" s="1"/>
      <c r="O205" s="1"/>
      <c r="P205" s="1"/>
      <c r="Q205" s="1"/>
      <c r="R205" s="1"/>
      <c r="S205" s="1"/>
      <c r="T205" s="1"/>
      <c r="U205" s="1"/>
      <c r="V205" s="1"/>
      <c r="W205" s="1"/>
      <c r="X205" s="1"/>
      <c r="Y205" s="1"/>
      <c r="Z205" s="1"/>
      <c r="AA205" s="1"/>
      <c r="AB205" s="1"/>
      <c r="AC205" s="1"/>
      <c r="AD205" s="1"/>
      <c r="AE205" s="1"/>
      <c r="AF205" s="1"/>
      <c r="AG205" s="1"/>
      <c r="AH205" s="1"/>
      <c r="AI205" s="1"/>
      <c r="AJ205" s="1"/>
      <c r="AK205" s="1"/>
      <c r="AL205" s="1"/>
      <c r="AM205" s="1"/>
      <c r="AN205" s="1"/>
      <c r="AO205" s="1"/>
      <c r="AP205" s="1"/>
      <c r="AQ205" s="1"/>
      <c r="AR205" s="868"/>
      <c r="AS205" s="1"/>
      <c r="AT205" s="1"/>
      <c r="AU205" s="1"/>
      <c r="AV205" s="1"/>
      <c r="AW205" s="1"/>
      <c r="AX205" s="1"/>
      <c r="AY205" s="1"/>
      <c r="AZ205" s="1"/>
      <c r="BA205" s="1"/>
      <c r="BB205" s="1"/>
      <c r="BC205" s="1"/>
      <c r="BD205" s="1"/>
    </row>
    <row r="206" spans="3:56" x14ac:dyDescent="0.2">
      <c r="C206" s="1"/>
      <c r="D206" s="1"/>
      <c r="E206" s="1"/>
      <c r="F206" s="1"/>
      <c r="G206" s="1"/>
      <c r="H206" s="1"/>
      <c r="I206" s="1"/>
      <c r="J206" s="1"/>
      <c r="K206" s="1"/>
      <c r="L206" s="1"/>
      <c r="M206" s="1"/>
      <c r="N206" s="1"/>
      <c r="O206" s="1"/>
      <c r="P206" s="1"/>
      <c r="Q206" s="1"/>
      <c r="R206" s="1"/>
      <c r="S206" s="1"/>
      <c r="T206" s="1"/>
      <c r="U206" s="1"/>
      <c r="V206" s="1"/>
      <c r="W206" s="1"/>
      <c r="X206" s="1"/>
      <c r="Y206" s="1"/>
      <c r="Z206" s="1"/>
      <c r="AA206" s="1"/>
      <c r="AB206" s="1"/>
      <c r="AC206" s="1"/>
      <c r="AD206" s="1"/>
      <c r="AE206" s="1"/>
      <c r="AF206" s="1"/>
      <c r="AG206" s="1"/>
      <c r="AH206" s="1"/>
      <c r="AI206" s="1"/>
      <c r="AJ206" s="1"/>
      <c r="AK206" s="1"/>
      <c r="AL206" s="1"/>
      <c r="AM206" s="1"/>
      <c r="AN206" s="1"/>
      <c r="AO206" s="1"/>
      <c r="AP206" s="1"/>
      <c r="AQ206" s="1"/>
      <c r="AR206" s="868"/>
      <c r="AS206" s="1"/>
      <c r="AT206" s="1"/>
      <c r="AU206" s="1"/>
      <c r="AV206" s="1"/>
      <c r="AW206" s="1"/>
      <c r="AX206" s="1"/>
      <c r="AY206" s="1"/>
      <c r="AZ206" s="1"/>
      <c r="BA206" s="1"/>
      <c r="BB206" s="1"/>
      <c r="BC206" s="1"/>
      <c r="BD206" s="1"/>
    </row>
    <row r="207" spans="3:56" x14ac:dyDescent="0.2">
      <c r="C207" s="1"/>
      <c r="D207" s="1"/>
      <c r="E207" s="1"/>
      <c r="F207" s="1"/>
      <c r="G207" s="1"/>
      <c r="H207" s="1"/>
      <c r="I207" s="1"/>
      <c r="J207" s="1"/>
      <c r="K207" s="1"/>
      <c r="L207" s="1"/>
      <c r="M207" s="1"/>
      <c r="N207" s="1"/>
      <c r="O207" s="1"/>
      <c r="P207" s="1"/>
      <c r="Q207" s="1"/>
      <c r="R207" s="1"/>
      <c r="S207" s="1"/>
      <c r="T207" s="1"/>
      <c r="U207" s="1"/>
      <c r="V207" s="1"/>
      <c r="W207" s="1"/>
      <c r="X207" s="1"/>
      <c r="Y207" s="1"/>
      <c r="Z207" s="1"/>
      <c r="AA207" s="1"/>
      <c r="AB207" s="1"/>
      <c r="AC207" s="1"/>
      <c r="AD207" s="1"/>
      <c r="AE207" s="1"/>
      <c r="AF207" s="1"/>
      <c r="AG207" s="1"/>
      <c r="AH207" s="1"/>
      <c r="AI207" s="1"/>
      <c r="AJ207" s="1"/>
      <c r="AK207" s="1"/>
      <c r="AL207" s="1"/>
      <c r="AM207" s="1"/>
      <c r="AN207" s="1"/>
      <c r="AO207" s="1"/>
      <c r="AP207" s="1"/>
      <c r="AQ207" s="1"/>
      <c r="AR207" s="868"/>
      <c r="AS207" s="1"/>
      <c r="AT207" s="1"/>
      <c r="AU207" s="1"/>
      <c r="AV207" s="1"/>
      <c r="AW207" s="1"/>
      <c r="AX207" s="1"/>
      <c r="AY207" s="1"/>
      <c r="AZ207" s="1"/>
      <c r="BA207" s="1"/>
      <c r="BB207" s="1"/>
      <c r="BC207" s="1"/>
      <c r="BD207" s="1"/>
    </row>
    <row r="208" spans="3:56" x14ac:dyDescent="0.2">
      <c r="C208" s="1"/>
      <c r="D208" s="1"/>
      <c r="E208" s="1"/>
      <c r="F208" s="1"/>
      <c r="G208" s="1"/>
      <c r="H208" s="1"/>
      <c r="I208" s="1"/>
      <c r="J208" s="1"/>
      <c r="K208" s="1"/>
      <c r="L208" s="1"/>
      <c r="M208" s="1"/>
      <c r="N208" s="1"/>
      <c r="O208" s="1"/>
      <c r="P208" s="1"/>
      <c r="Q208" s="1"/>
      <c r="R208" s="1"/>
      <c r="S208" s="1"/>
      <c r="T208" s="1"/>
      <c r="U208" s="1"/>
      <c r="V208" s="1"/>
      <c r="W208" s="1"/>
      <c r="X208" s="1"/>
      <c r="Y208" s="1"/>
      <c r="Z208" s="1"/>
      <c r="AA208" s="1"/>
      <c r="AB208" s="1"/>
      <c r="AC208" s="1"/>
      <c r="AD208" s="1"/>
      <c r="AE208" s="1"/>
      <c r="AF208" s="1"/>
      <c r="AG208" s="1"/>
      <c r="AH208" s="1"/>
      <c r="AI208" s="1"/>
      <c r="AJ208" s="1"/>
      <c r="AK208" s="1"/>
      <c r="AL208" s="1"/>
      <c r="AM208" s="1"/>
      <c r="AN208" s="1"/>
      <c r="AO208" s="1"/>
      <c r="AP208" s="1"/>
      <c r="AQ208" s="1"/>
      <c r="AR208" s="868"/>
      <c r="AS208" s="1"/>
      <c r="AT208" s="1"/>
      <c r="AU208" s="1"/>
      <c r="AV208" s="1"/>
      <c r="AW208" s="1"/>
      <c r="AX208" s="1"/>
      <c r="AY208" s="1"/>
      <c r="AZ208" s="1"/>
      <c r="BA208" s="1"/>
      <c r="BB208" s="1"/>
      <c r="BC208" s="1"/>
      <c r="BD208" s="1"/>
    </row>
    <row r="209" spans="3:56" x14ac:dyDescent="0.2">
      <c r="C209" s="1"/>
      <c r="D209" s="1"/>
      <c r="E209" s="1"/>
      <c r="F209" s="1"/>
      <c r="G209" s="1"/>
      <c r="H209" s="1"/>
      <c r="I209" s="1"/>
      <c r="J209" s="1"/>
      <c r="K209" s="1"/>
      <c r="L209" s="1"/>
      <c r="M209" s="1"/>
      <c r="N209" s="1"/>
      <c r="O209" s="1"/>
      <c r="P209" s="1"/>
      <c r="Q209" s="1"/>
      <c r="R209" s="1"/>
      <c r="S209" s="1"/>
      <c r="T209" s="1"/>
      <c r="U209" s="1"/>
      <c r="V209" s="1"/>
      <c r="W209" s="1"/>
      <c r="X209" s="1"/>
      <c r="Y209" s="1"/>
      <c r="Z209" s="1"/>
      <c r="AA209" s="1"/>
      <c r="AB209" s="1"/>
      <c r="AC209" s="1"/>
      <c r="AD209" s="1"/>
      <c r="AE209" s="1"/>
      <c r="AF209" s="1"/>
      <c r="AG209" s="1"/>
      <c r="AH209" s="1"/>
      <c r="AI209" s="1"/>
      <c r="AJ209" s="1"/>
      <c r="AK209" s="1"/>
      <c r="AL209" s="1"/>
      <c r="AM209" s="1"/>
      <c r="AN209" s="1"/>
      <c r="AO209" s="1"/>
      <c r="AP209" s="1"/>
      <c r="AQ209" s="1"/>
      <c r="AR209" s="868"/>
      <c r="AS209" s="1"/>
      <c r="AT209" s="1"/>
      <c r="AU209" s="1"/>
      <c r="AV209" s="1"/>
      <c r="AW209" s="1"/>
      <c r="AX209" s="1"/>
      <c r="AY209" s="1"/>
      <c r="AZ209" s="1"/>
      <c r="BA209" s="1"/>
      <c r="BB209" s="1"/>
      <c r="BC209" s="1"/>
      <c r="BD209" s="1"/>
    </row>
    <row r="210" spans="3:56" x14ac:dyDescent="0.2">
      <c r="C210" s="1"/>
      <c r="D210" s="1"/>
      <c r="E210" s="1"/>
      <c r="F210" s="1"/>
      <c r="G210" s="1"/>
      <c r="H210" s="1"/>
      <c r="I210" s="1"/>
      <c r="J210" s="1"/>
      <c r="K210" s="1"/>
      <c r="L210" s="1"/>
      <c r="M210" s="1"/>
      <c r="N210" s="1"/>
      <c r="O210" s="1"/>
      <c r="P210" s="1"/>
      <c r="Q210" s="1"/>
      <c r="R210" s="1"/>
      <c r="S210" s="1"/>
      <c r="T210" s="1"/>
      <c r="U210" s="1"/>
      <c r="V210" s="1"/>
      <c r="W210" s="1"/>
      <c r="X210" s="1"/>
      <c r="Y210" s="1"/>
      <c r="Z210" s="1"/>
      <c r="AA210" s="1"/>
      <c r="AB210" s="1"/>
      <c r="AC210" s="1"/>
      <c r="AD210" s="1"/>
      <c r="AE210" s="1"/>
      <c r="AF210" s="1"/>
      <c r="AG210" s="1"/>
      <c r="AH210" s="1"/>
      <c r="AI210" s="1"/>
      <c r="AJ210" s="1"/>
      <c r="AK210" s="1"/>
      <c r="AL210" s="1"/>
      <c r="AM210" s="1"/>
      <c r="AN210" s="1"/>
      <c r="AO210" s="1"/>
      <c r="AP210" s="1"/>
      <c r="AQ210" s="1"/>
      <c r="AR210" s="868"/>
      <c r="AS210" s="1"/>
      <c r="AT210" s="1"/>
      <c r="AU210" s="1"/>
      <c r="AV210" s="1"/>
      <c r="AW210" s="1"/>
      <c r="AX210" s="1"/>
      <c r="AY210" s="1"/>
      <c r="AZ210" s="1"/>
      <c r="BA210" s="1"/>
      <c r="BB210" s="1"/>
      <c r="BC210" s="1"/>
      <c r="BD210" s="1"/>
    </row>
    <row r="211" spans="3:56" x14ac:dyDescent="0.2">
      <c r="C211" s="1"/>
      <c r="D211" s="1"/>
      <c r="E211" s="1"/>
      <c r="F211" s="1"/>
      <c r="G211" s="1"/>
      <c r="H211" s="1"/>
      <c r="I211" s="1"/>
      <c r="J211" s="1"/>
      <c r="K211" s="1"/>
      <c r="L211" s="1"/>
      <c r="M211" s="1"/>
      <c r="N211" s="1"/>
      <c r="O211" s="1"/>
      <c r="P211" s="1"/>
      <c r="Q211" s="1"/>
      <c r="R211" s="1"/>
      <c r="S211" s="1"/>
      <c r="T211" s="1"/>
      <c r="U211" s="1"/>
      <c r="V211" s="1"/>
      <c r="W211" s="1"/>
      <c r="X211" s="1"/>
      <c r="Y211" s="1"/>
      <c r="Z211" s="1"/>
      <c r="AA211" s="1"/>
      <c r="AB211" s="1"/>
      <c r="AC211" s="1"/>
      <c r="AD211" s="1"/>
      <c r="AE211" s="1"/>
      <c r="AF211" s="1"/>
      <c r="AG211" s="1"/>
      <c r="AH211" s="1"/>
      <c r="AI211" s="1"/>
      <c r="AJ211" s="1"/>
      <c r="AK211" s="1"/>
      <c r="AL211" s="1"/>
      <c r="AM211" s="1"/>
      <c r="AN211" s="1"/>
      <c r="AO211" s="1"/>
      <c r="AP211" s="1"/>
      <c r="AQ211" s="1"/>
      <c r="AR211" s="868"/>
      <c r="AS211" s="1"/>
      <c r="AT211" s="1"/>
      <c r="AU211" s="1"/>
      <c r="AV211" s="1"/>
      <c r="AW211" s="1"/>
      <c r="AX211" s="1"/>
      <c r="AY211" s="1"/>
      <c r="AZ211" s="1"/>
      <c r="BA211" s="1"/>
      <c r="BB211" s="1"/>
      <c r="BC211" s="1"/>
      <c r="BD211" s="1"/>
    </row>
    <row r="212" spans="3:56" x14ac:dyDescent="0.2">
      <c r="C212" s="1"/>
      <c r="D212" s="1"/>
      <c r="E212" s="1"/>
      <c r="F212" s="1"/>
      <c r="G212" s="1"/>
      <c r="H212" s="1"/>
      <c r="I212" s="1"/>
      <c r="J212" s="1"/>
      <c r="K212" s="1"/>
      <c r="L212" s="1"/>
      <c r="M212" s="1"/>
      <c r="N212" s="1"/>
      <c r="O212" s="1"/>
      <c r="P212" s="1"/>
      <c r="Q212" s="1"/>
      <c r="R212" s="1"/>
      <c r="S212" s="1"/>
      <c r="T212" s="1"/>
      <c r="U212" s="1"/>
      <c r="V212" s="1"/>
      <c r="W212" s="1"/>
      <c r="X212" s="1"/>
      <c r="Y212" s="1"/>
      <c r="Z212" s="1"/>
      <c r="AA212" s="1"/>
      <c r="AB212" s="1"/>
      <c r="AC212" s="1"/>
      <c r="AD212" s="1"/>
      <c r="AE212" s="1"/>
      <c r="AF212" s="1"/>
      <c r="AG212" s="1"/>
      <c r="AH212" s="1"/>
      <c r="AI212" s="1"/>
      <c r="AJ212" s="1"/>
      <c r="AK212" s="1"/>
      <c r="AL212" s="1"/>
      <c r="AM212" s="1"/>
      <c r="AN212" s="1"/>
      <c r="AO212" s="1"/>
      <c r="AP212" s="1"/>
      <c r="AQ212" s="1"/>
      <c r="AR212" s="868"/>
      <c r="AS212" s="1"/>
      <c r="AT212" s="1"/>
      <c r="AU212" s="1"/>
      <c r="AV212" s="1"/>
      <c r="AW212" s="1"/>
      <c r="AX212" s="1"/>
      <c r="AY212" s="1"/>
      <c r="AZ212" s="1"/>
      <c r="BA212" s="1"/>
      <c r="BB212" s="1"/>
      <c r="BC212" s="1"/>
      <c r="BD212" s="1"/>
    </row>
    <row r="213" spans="3:56" x14ac:dyDescent="0.2">
      <c r="C213" s="1"/>
      <c r="D213" s="1"/>
      <c r="E213" s="1"/>
      <c r="F213" s="1"/>
      <c r="G213" s="1"/>
      <c r="H213" s="1"/>
      <c r="I213" s="1"/>
      <c r="J213" s="1"/>
      <c r="K213" s="1"/>
      <c r="L213" s="1"/>
      <c r="M213" s="1"/>
      <c r="N213" s="1"/>
      <c r="O213" s="1"/>
      <c r="P213" s="1"/>
      <c r="Q213" s="1"/>
      <c r="R213" s="1"/>
      <c r="S213" s="1"/>
      <c r="T213" s="1"/>
      <c r="U213" s="1"/>
      <c r="V213" s="1"/>
      <c r="W213" s="1"/>
      <c r="X213" s="1"/>
      <c r="Y213" s="1"/>
      <c r="Z213" s="1"/>
      <c r="AA213" s="1"/>
      <c r="AB213" s="1"/>
      <c r="AC213" s="1"/>
      <c r="AD213" s="1"/>
      <c r="AE213" s="1"/>
      <c r="AF213" s="1"/>
      <c r="AG213" s="1"/>
      <c r="AH213" s="1"/>
      <c r="AI213" s="1"/>
      <c r="AJ213" s="1"/>
      <c r="AK213" s="1"/>
      <c r="AL213" s="1"/>
      <c r="AM213" s="1"/>
      <c r="AN213" s="1"/>
      <c r="AO213" s="1"/>
      <c r="AP213" s="1"/>
      <c r="AQ213" s="1"/>
      <c r="AR213" s="868"/>
      <c r="AS213" s="1"/>
      <c r="AT213" s="1"/>
      <c r="AU213" s="1"/>
      <c r="AV213" s="1"/>
      <c r="AW213" s="1"/>
      <c r="AX213" s="1"/>
      <c r="AY213" s="1"/>
      <c r="AZ213" s="1"/>
      <c r="BA213" s="1"/>
      <c r="BB213" s="1"/>
      <c r="BC213" s="1"/>
      <c r="BD213" s="1"/>
    </row>
    <row r="214" spans="3:56" x14ac:dyDescent="0.2">
      <c r="C214" s="1"/>
      <c r="D214" s="1"/>
      <c r="E214" s="1"/>
      <c r="F214" s="1"/>
      <c r="G214" s="1"/>
      <c r="H214" s="1"/>
      <c r="I214" s="1"/>
      <c r="J214" s="1"/>
      <c r="K214" s="1"/>
      <c r="L214" s="1"/>
      <c r="M214" s="1"/>
      <c r="N214" s="1"/>
      <c r="O214" s="1"/>
      <c r="P214" s="1"/>
      <c r="Q214" s="1"/>
      <c r="R214" s="1"/>
      <c r="S214" s="1"/>
      <c r="T214" s="1"/>
      <c r="U214" s="1"/>
      <c r="V214" s="1"/>
      <c r="W214" s="1"/>
      <c r="X214" s="1"/>
      <c r="Y214" s="1"/>
      <c r="Z214" s="1"/>
      <c r="AA214" s="1"/>
      <c r="AB214" s="1"/>
      <c r="AC214" s="1"/>
      <c r="AD214" s="1"/>
      <c r="AE214" s="1"/>
      <c r="AF214" s="1"/>
      <c r="AG214" s="1"/>
      <c r="AH214" s="1"/>
      <c r="AI214" s="1"/>
      <c r="AJ214" s="1"/>
      <c r="AK214" s="1"/>
      <c r="AL214" s="1"/>
      <c r="AM214" s="1"/>
      <c r="AN214" s="1"/>
      <c r="AO214" s="1"/>
      <c r="AP214" s="1"/>
      <c r="AQ214" s="1"/>
      <c r="AR214" s="868"/>
      <c r="AS214" s="1"/>
      <c r="AT214" s="1"/>
      <c r="AU214" s="1"/>
      <c r="AV214" s="1"/>
      <c r="AW214" s="1"/>
      <c r="AX214" s="1"/>
      <c r="AY214" s="1"/>
      <c r="AZ214" s="1"/>
      <c r="BA214" s="1"/>
      <c r="BB214" s="1"/>
      <c r="BC214" s="1"/>
      <c r="BD214" s="1"/>
    </row>
    <row r="215" spans="3:56" x14ac:dyDescent="0.2">
      <c r="C215" s="1"/>
      <c r="D215" s="1"/>
      <c r="E215" s="1"/>
      <c r="F215" s="1"/>
      <c r="G215" s="1"/>
      <c r="H215" s="1"/>
      <c r="I215" s="1"/>
      <c r="J215" s="1"/>
      <c r="K215" s="1"/>
      <c r="L215" s="1"/>
      <c r="M215" s="1"/>
      <c r="N215" s="1"/>
      <c r="O215" s="1"/>
      <c r="P215" s="1"/>
      <c r="Q215" s="1"/>
      <c r="R215" s="1"/>
      <c r="S215" s="1"/>
      <c r="T215" s="1"/>
      <c r="U215" s="1"/>
      <c r="V215" s="1"/>
      <c r="W215" s="1"/>
      <c r="X215" s="1"/>
      <c r="Y215" s="1"/>
      <c r="Z215" s="1"/>
      <c r="AA215" s="1"/>
      <c r="AB215" s="1"/>
      <c r="AC215" s="1"/>
      <c r="AD215" s="1"/>
      <c r="AE215" s="1"/>
      <c r="AF215" s="1"/>
      <c r="AG215" s="1"/>
      <c r="AH215" s="1"/>
      <c r="AI215" s="1"/>
      <c r="AJ215" s="1"/>
      <c r="AK215" s="1"/>
      <c r="AL215" s="1"/>
      <c r="AM215" s="1"/>
      <c r="AN215" s="1"/>
      <c r="AO215" s="1"/>
      <c r="AP215" s="1"/>
      <c r="AQ215" s="1"/>
      <c r="AR215" s="868"/>
      <c r="AS215" s="1"/>
      <c r="AT215" s="1"/>
      <c r="AU215" s="1"/>
      <c r="AV215" s="1"/>
      <c r="AW215" s="1"/>
      <c r="AX215" s="1"/>
      <c r="AY215" s="1"/>
      <c r="AZ215" s="1"/>
      <c r="BA215" s="1"/>
      <c r="BB215" s="1"/>
      <c r="BC215" s="1"/>
      <c r="BD215" s="1"/>
    </row>
    <row r="216" spans="3:56" x14ac:dyDescent="0.2">
      <c r="C216" s="1"/>
      <c r="D216" s="1"/>
      <c r="E216" s="1"/>
      <c r="F216" s="1"/>
      <c r="G216" s="1"/>
      <c r="H216" s="1"/>
      <c r="I216" s="1"/>
      <c r="J216" s="1"/>
      <c r="K216" s="1"/>
      <c r="L216" s="1"/>
      <c r="M216" s="1"/>
      <c r="N216" s="1"/>
      <c r="O216" s="1"/>
      <c r="P216" s="1"/>
      <c r="Q216" s="1"/>
      <c r="R216" s="1"/>
      <c r="S216" s="1"/>
      <c r="T216" s="1"/>
      <c r="U216" s="1"/>
      <c r="V216" s="1"/>
      <c r="W216" s="1"/>
      <c r="X216" s="1"/>
      <c r="Y216" s="1"/>
      <c r="Z216" s="1"/>
      <c r="AA216" s="1"/>
      <c r="AB216" s="1"/>
      <c r="AC216" s="1"/>
      <c r="AD216" s="1"/>
      <c r="AE216" s="1"/>
      <c r="AF216" s="1"/>
      <c r="AG216" s="1"/>
      <c r="AH216" s="1"/>
      <c r="AI216" s="1"/>
      <c r="AJ216" s="1"/>
      <c r="AK216" s="1"/>
      <c r="AL216" s="1"/>
      <c r="AM216" s="1"/>
      <c r="AN216" s="1"/>
      <c r="AO216" s="1"/>
      <c r="AP216" s="1"/>
      <c r="AQ216" s="1"/>
      <c r="AR216" s="868"/>
      <c r="AS216" s="1"/>
      <c r="AT216" s="1"/>
      <c r="AU216" s="1"/>
      <c r="AV216" s="1"/>
      <c r="AW216" s="1"/>
      <c r="AX216" s="1"/>
      <c r="AY216" s="1"/>
      <c r="AZ216" s="1"/>
      <c r="BA216" s="1"/>
      <c r="BB216" s="1"/>
      <c r="BC216" s="1"/>
      <c r="BD216" s="1"/>
    </row>
    <row r="217" spans="3:56" x14ac:dyDescent="0.2">
      <c r="C217" s="1"/>
      <c r="D217" s="1"/>
      <c r="E217" s="1"/>
      <c r="F217" s="1"/>
      <c r="G217" s="1"/>
      <c r="H217" s="1"/>
      <c r="I217" s="1"/>
      <c r="J217" s="1"/>
      <c r="K217" s="1"/>
      <c r="L217" s="1"/>
      <c r="M217" s="1"/>
      <c r="N217" s="1"/>
      <c r="O217" s="1"/>
      <c r="P217" s="1"/>
      <c r="Q217" s="1"/>
      <c r="R217" s="1"/>
      <c r="S217" s="1"/>
      <c r="T217" s="1"/>
      <c r="U217" s="1"/>
      <c r="V217" s="1"/>
      <c r="W217" s="1"/>
      <c r="X217" s="1"/>
      <c r="Y217" s="1"/>
      <c r="Z217" s="1"/>
      <c r="AA217" s="1"/>
      <c r="AB217" s="1"/>
      <c r="AC217" s="1"/>
      <c r="AD217" s="1"/>
      <c r="AE217" s="1"/>
      <c r="AF217" s="1"/>
      <c r="AG217" s="1"/>
      <c r="AH217" s="1"/>
      <c r="AI217" s="1"/>
      <c r="AJ217" s="1"/>
      <c r="AK217" s="1"/>
      <c r="AL217" s="1"/>
      <c r="AM217" s="1"/>
      <c r="AN217" s="1"/>
      <c r="AO217" s="1"/>
      <c r="AP217" s="1"/>
      <c r="AQ217" s="1"/>
      <c r="AR217" s="868"/>
      <c r="AS217" s="1"/>
      <c r="AT217" s="1"/>
      <c r="AU217" s="1"/>
      <c r="AV217" s="1"/>
      <c r="AW217" s="1"/>
      <c r="AX217" s="1"/>
      <c r="AY217" s="1"/>
      <c r="AZ217" s="1"/>
      <c r="BA217" s="1"/>
      <c r="BB217" s="1"/>
      <c r="BC217" s="1"/>
      <c r="BD217" s="1"/>
    </row>
    <row r="218" spans="3:56" x14ac:dyDescent="0.2">
      <c r="C218" s="1"/>
      <c r="D218" s="1"/>
      <c r="E218" s="1"/>
      <c r="F218" s="1"/>
      <c r="G218" s="1"/>
      <c r="H218" s="1"/>
      <c r="I218" s="1"/>
      <c r="J218" s="1"/>
      <c r="K218" s="1"/>
      <c r="L218" s="1"/>
      <c r="M218" s="1"/>
      <c r="N218" s="1"/>
      <c r="O218" s="1"/>
      <c r="P218" s="1"/>
      <c r="Q218" s="1"/>
      <c r="R218" s="1"/>
      <c r="S218" s="1"/>
      <c r="T218" s="1"/>
      <c r="U218" s="1"/>
      <c r="V218" s="1"/>
      <c r="W218" s="1"/>
      <c r="X218" s="1"/>
      <c r="Y218" s="1"/>
      <c r="Z218" s="1"/>
      <c r="AA218" s="1"/>
      <c r="AB218" s="1"/>
      <c r="AC218" s="1"/>
      <c r="AD218" s="1"/>
      <c r="AE218" s="1"/>
      <c r="AF218" s="1"/>
      <c r="AG218" s="1"/>
      <c r="AH218" s="1"/>
      <c r="AI218" s="1"/>
      <c r="AJ218" s="1"/>
      <c r="AK218" s="1"/>
      <c r="AL218" s="1"/>
      <c r="AM218" s="1"/>
      <c r="AN218" s="1"/>
      <c r="AO218" s="1"/>
      <c r="AP218" s="1"/>
      <c r="AQ218" s="1"/>
      <c r="AR218" s="868"/>
      <c r="AS218" s="1"/>
      <c r="AT218" s="1"/>
      <c r="AU218" s="1"/>
      <c r="AV218" s="1"/>
      <c r="AW218" s="1"/>
      <c r="AX218" s="1"/>
      <c r="AY218" s="1"/>
      <c r="AZ218" s="1"/>
      <c r="BA218" s="1"/>
      <c r="BB218" s="1"/>
      <c r="BC218" s="1"/>
      <c r="BD218" s="1"/>
    </row>
    <row r="219" spans="3:56" x14ac:dyDescent="0.2">
      <c r="C219" s="1"/>
      <c r="D219" s="1"/>
      <c r="E219" s="1"/>
      <c r="F219" s="1"/>
      <c r="G219" s="1"/>
      <c r="H219" s="1"/>
      <c r="I219" s="1"/>
      <c r="J219" s="1"/>
      <c r="K219" s="1"/>
      <c r="L219" s="1"/>
      <c r="M219" s="1"/>
      <c r="N219" s="1"/>
      <c r="O219" s="1"/>
      <c r="P219" s="1"/>
      <c r="Q219" s="1"/>
      <c r="R219" s="1"/>
      <c r="S219" s="1"/>
      <c r="T219" s="1"/>
      <c r="U219" s="1"/>
      <c r="V219" s="1"/>
      <c r="W219" s="1"/>
      <c r="X219" s="1"/>
      <c r="Y219" s="1"/>
      <c r="Z219" s="1"/>
      <c r="AA219" s="1"/>
      <c r="AB219" s="1"/>
      <c r="AC219" s="1"/>
      <c r="AD219" s="1"/>
      <c r="AE219" s="1"/>
      <c r="AF219" s="1"/>
      <c r="AG219" s="1"/>
      <c r="AH219" s="1"/>
      <c r="AI219" s="1"/>
      <c r="AJ219" s="1"/>
      <c r="AK219" s="1"/>
      <c r="AL219" s="1"/>
      <c r="AM219" s="1"/>
      <c r="AN219" s="1"/>
      <c r="AO219" s="1"/>
      <c r="AP219" s="1"/>
      <c r="AQ219" s="1"/>
      <c r="AR219" s="868"/>
      <c r="AS219" s="1"/>
      <c r="AT219" s="1"/>
      <c r="AU219" s="1"/>
      <c r="AV219" s="1"/>
      <c r="AW219" s="1"/>
      <c r="AX219" s="1"/>
      <c r="AY219" s="1"/>
      <c r="AZ219" s="1"/>
      <c r="BA219" s="1"/>
      <c r="BB219" s="1"/>
      <c r="BC219" s="1"/>
      <c r="BD219" s="1"/>
    </row>
    <row r="220" spans="3:56" x14ac:dyDescent="0.2">
      <c r="C220" s="1"/>
      <c r="D220" s="1"/>
      <c r="E220" s="1"/>
      <c r="F220" s="1"/>
      <c r="G220" s="1"/>
      <c r="H220" s="1"/>
      <c r="I220" s="1"/>
      <c r="J220" s="1"/>
      <c r="K220" s="1"/>
      <c r="L220" s="1"/>
      <c r="M220" s="1"/>
      <c r="N220" s="1"/>
      <c r="O220" s="1"/>
      <c r="P220" s="1"/>
      <c r="Q220" s="1"/>
      <c r="R220" s="1"/>
      <c r="S220" s="1"/>
      <c r="T220" s="1"/>
      <c r="U220" s="1"/>
      <c r="V220" s="1"/>
      <c r="W220" s="1"/>
      <c r="X220" s="1"/>
      <c r="Y220" s="1"/>
      <c r="Z220" s="1"/>
      <c r="AA220" s="1"/>
      <c r="AB220" s="1"/>
      <c r="AC220" s="1"/>
      <c r="AD220" s="1"/>
      <c r="AE220" s="1"/>
      <c r="AF220" s="1"/>
      <c r="AG220" s="1"/>
      <c r="AH220" s="1"/>
      <c r="AI220" s="1"/>
      <c r="AJ220" s="1"/>
      <c r="AK220" s="1"/>
      <c r="AL220" s="1"/>
      <c r="AM220" s="1"/>
      <c r="AN220" s="1"/>
      <c r="AO220" s="1"/>
      <c r="AP220" s="1"/>
      <c r="AQ220" s="1"/>
      <c r="AR220" s="868"/>
      <c r="AS220" s="1"/>
      <c r="AT220" s="1"/>
      <c r="AU220" s="1"/>
      <c r="AV220" s="1"/>
      <c r="AW220" s="1"/>
      <c r="AX220" s="1"/>
      <c r="AY220" s="1"/>
      <c r="AZ220" s="1"/>
      <c r="BA220" s="1"/>
      <c r="BB220" s="1"/>
      <c r="BC220" s="1"/>
      <c r="BD220" s="1"/>
    </row>
    <row r="221" spans="3:56" x14ac:dyDescent="0.2">
      <c r="C221" s="1"/>
      <c r="D221" s="1"/>
      <c r="E221" s="1"/>
      <c r="F221" s="1"/>
      <c r="G221" s="1"/>
      <c r="H221" s="1"/>
      <c r="I221" s="1"/>
      <c r="J221" s="1"/>
      <c r="K221" s="1"/>
      <c r="L221" s="1"/>
      <c r="M221" s="1"/>
      <c r="N221" s="1"/>
      <c r="O221" s="1"/>
      <c r="P221" s="1"/>
      <c r="Q221" s="1"/>
      <c r="R221" s="1"/>
      <c r="S221" s="1"/>
      <c r="T221" s="1"/>
      <c r="U221" s="1"/>
      <c r="V221" s="1"/>
      <c r="W221" s="1"/>
      <c r="X221" s="1"/>
      <c r="Y221" s="1"/>
      <c r="Z221" s="1"/>
      <c r="AA221" s="1"/>
      <c r="AB221" s="1"/>
      <c r="AC221" s="1"/>
      <c r="AD221" s="1"/>
      <c r="AE221" s="1"/>
      <c r="AF221" s="1"/>
      <c r="AG221" s="1"/>
      <c r="AH221" s="1"/>
      <c r="AI221" s="1"/>
      <c r="AJ221" s="1"/>
      <c r="AK221" s="1"/>
      <c r="AL221" s="1"/>
      <c r="AM221" s="1"/>
      <c r="AN221" s="1"/>
      <c r="AO221" s="1"/>
      <c r="AP221" s="1"/>
      <c r="AQ221" s="1"/>
      <c r="AR221" s="868"/>
      <c r="AS221" s="1"/>
      <c r="AT221" s="1"/>
      <c r="AU221" s="1"/>
      <c r="AV221" s="1"/>
      <c r="AW221" s="1"/>
      <c r="AX221" s="1"/>
      <c r="AY221" s="1"/>
      <c r="AZ221" s="1"/>
      <c r="BA221" s="1"/>
      <c r="BB221" s="1"/>
      <c r="BC221" s="1"/>
      <c r="BD221" s="1"/>
    </row>
    <row r="222" spans="3:56" x14ac:dyDescent="0.2">
      <c r="C222" s="1"/>
      <c r="D222" s="1"/>
      <c r="E222" s="1"/>
      <c r="F222" s="1"/>
      <c r="G222" s="1"/>
      <c r="H222" s="1"/>
      <c r="I222" s="1"/>
      <c r="J222" s="1"/>
      <c r="K222" s="1"/>
      <c r="L222" s="1"/>
      <c r="M222" s="1"/>
      <c r="N222" s="1"/>
      <c r="O222" s="1"/>
      <c r="P222" s="1"/>
      <c r="Q222" s="1"/>
      <c r="R222" s="1"/>
      <c r="S222" s="1"/>
      <c r="T222" s="1"/>
      <c r="U222" s="1"/>
      <c r="V222" s="1"/>
      <c r="W222" s="1"/>
      <c r="X222" s="1"/>
      <c r="Y222" s="1"/>
      <c r="Z222" s="1"/>
      <c r="AA222" s="1"/>
      <c r="AB222" s="1"/>
      <c r="AC222" s="1"/>
      <c r="AD222" s="1"/>
      <c r="AE222" s="1"/>
      <c r="AF222" s="1"/>
      <c r="AG222" s="1"/>
      <c r="AH222" s="1"/>
      <c r="AI222" s="1"/>
      <c r="AJ222" s="1"/>
      <c r="AK222" s="1"/>
      <c r="AL222" s="1"/>
      <c r="AM222" s="1"/>
      <c r="AN222" s="1"/>
      <c r="AO222" s="1"/>
      <c r="AP222" s="1"/>
      <c r="AQ222" s="1"/>
      <c r="AR222" s="868"/>
      <c r="AS222" s="1"/>
      <c r="AT222" s="1"/>
      <c r="AU222" s="1"/>
      <c r="AV222" s="1"/>
      <c r="AW222" s="1"/>
      <c r="AX222" s="1"/>
      <c r="AY222" s="1"/>
      <c r="AZ222" s="1"/>
      <c r="BA222" s="1"/>
      <c r="BB222" s="1"/>
      <c r="BC222" s="1"/>
      <c r="BD222" s="1"/>
    </row>
    <row r="223" spans="3:56" x14ac:dyDescent="0.2">
      <c r="C223" s="1"/>
      <c r="D223" s="1"/>
      <c r="E223" s="1"/>
      <c r="F223" s="1"/>
      <c r="G223" s="1"/>
      <c r="H223" s="1"/>
      <c r="I223" s="1"/>
      <c r="J223" s="1"/>
      <c r="K223" s="1"/>
      <c r="L223" s="1"/>
      <c r="M223" s="1"/>
      <c r="N223" s="1"/>
      <c r="O223" s="1"/>
      <c r="P223" s="1"/>
      <c r="Q223" s="1"/>
      <c r="R223" s="1"/>
      <c r="S223" s="1"/>
      <c r="T223" s="1"/>
      <c r="U223" s="1"/>
      <c r="V223" s="1"/>
      <c r="W223" s="1"/>
      <c r="X223" s="1"/>
      <c r="Y223" s="1"/>
      <c r="Z223" s="1"/>
      <c r="AA223" s="1"/>
      <c r="AB223" s="1"/>
      <c r="AC223" s="1"/>
      <c r="AD223" s="1"/>
      <c r="AE223" s="1"/>
      <c r="AF223" s="1"/>
      <c r="AG223" s="1"/>
      <c r="AH223" s="1"/>
      <c r="AI223" s="1"/>
      <c r="AJ223" s="1"/>
      <c r="AK223" s="1"/>
      <c r="AL223" s="1"/>
      <c r="AM223" s="1"/>
      <c r="AN223" s="1"/>
      <c r="AO223" s="1"/>
      <c r="AP223" s="1"/>
      <c r="AQ223" s="1"/>
      <c r="AR223" s="868"/>
      <c r="AS223" s="1"/>
      <c r="AT223" s="1"/>
      <c r="AU223" s="1"/>
      <c r="AV223" s="1"/>
      <c r="AW223" s="1"/>
      <c r="AX223" s="1"/>
      <c r="AY223" s="1"/>
      <c r="AZ223" s="1"/>
      <c r="BA223" s="1"/>
      <c r="BB223" s="1"/>
      <c r="BC223" s="1"/>
      <c r="BD223" s="1"/>
    </row>
    <row r="228" spans="44:44" s="2" customFormat="1" x14ac:dyDescent="0.2">
      <c r="AR228" s="51"/>
    </row>
    <row r="229" spans="44:44" s="2" customFormat="1" x14ac:dyDescent="0.2">
      <c r="AR229" s="51"/>
    </row>
    <row r="230" spans="44:44" s="2" customFormat="1" x14ac:dyDescent="0.2">
      <c r="AR230" s="51"/>
    </row>
    <row r="231" spans="44:44" s="2" customFormat="1" x14ac:dyDescent="0.2">
      <c r="AR231" s="51"/>
    </row>
    <row r="232" spans="44:44" s="2" customFormat="1" x14ac:dyDescent="0.2">
      <c r="AR232" s="51"/>
    </row>
    <row r="233" spans="44:44" s="2" customFormat="1" x14ac:dyDescent="0.2">
      <c r="AR233" s="51"/>
    </row>
    <row r="234" spans="44:44" s="2" customFormat="1" x14ac:dyDescent="0.2">
      <c r="AR234" s="51"/>
    </row>
    <row r="235" spans="44:44" s="2" customFormat="1" x14ac:dyDescent="0.2">
      <c r="AR235" s="51"/>
    </row>
    <row r="236" spans="44:44" s="2" customFormat="1" x14ac:dyDescent="0.2">
      <c r="AR236" s="51"/>
    </row>
    <row r="237" spans="44:44" s="2" customFormat="1" x14ac:dyDescent="0.2">
      <c r="AR237" s="51"/>
    </row>
  </sheetData>
  <pageMargins left="0" right="0" top="0" bottom="0" header="0" footer="0"/>
  <pageSetup paperSize="5" scale="17" orientation="landscape"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8600F92-252B-42EF-B7E4-EB8E73ADBA10}">
  <sheetPr codeName="Sheet10">
    <tabColor indexed="43"/>
    <pageSetUpPr fitToPage="1"/>
  </sheetPr>
  <dimension ref="A1:Y139"/>
  <sheetViews>
    <sheetView workbookViewId="0">
      <selection activeCell="M17" sqref="M17"/>
    </sheetView>
  </sheetViews>
  <sheetFormatPr defaultColWidth="9.140625" defaultRowHeight="12.75" x14ac:dyDescent="0.2"/>
  <cols>
    <col min="1" max="1" width="1.7109375" style="1" customWidth="1"/>
    <col min="2" max="2" width="39.7109375" style="1" customWidth="1"/>
    <col min="3" max="3" width="5" style="1" customWidth="1"/>
    <col min="4" max="5" width="9.28515625" style="1" customWidth="1"/>
    <col min="6" max="7" width="10.7109375" style="1" customWidth="1"/>
    <col min="8" max="9" width="9.28515625" style="1" customWidth="1"/>
    <col min="10" max="10" width="25.7109375" style="1" customWidth="1"/>
    <col min="11" max="14" width="9.28515625" style="1" customWidth="1"/>
    <col min="15" max="15" width="16.28515625" style="1" customWidth="1"/>
    <col min="16" max="25" width="9.28515625" style="1" customWidth="1"/>
    <col min="26" max="16384" width="9.140625" style="1"/>
  </cols>
  <sheetData>
    <row r="1" spans="1:25" ht="19.5" x14ac:dyDescent="0.3">
      <c r="A1" s="4"/>
      <c r="B1" s="980"/>
      <c r="C1" s="4"/>
      <c r="D1" s="4"/>
      <c r="E1" s="4"/>
      <c r="F1" s="6"/>
      <c r="G1" s="981"/>
      <c r="H1" s="4"/>
      <c r="I1" s="4"/>
      <c r="J1" s="982"/>
      <c r="K1" s="4"/>
      <c r="L1" s="4"/>
      <c r="M1" s="4"/>
      <c r="N1" s="4"/>
      <c r="O1" s="4"/>
      <c r="P1" s="4"/>
      <c r="Q1" s="4"/>
      <c r="R1" s="4"/>
      <c r="S1" s="4"/>
      <c r="T1" s="4"/>
      <c r="U1" s="4"/>
      <c r="V1" s="4"/>
      <c r="W1" s="4"/>
      <c r="X1" s="4"/>
      <c r="Y1" s="4"/>
    </row>
    <row r="2" spans="1:25" x14ac:dyDescent="0.2">
      <c r="A2" s="4"/>
      <c r="B2" s="105"/>
      <c r="C2" s="105"/>
      <c r="D2" s="105"/>
      <c r="E2" s="4"/>
      <c r="F2" s="6"/>
      <c r="G2" s="6"/>
      <c r="H2" s="4"/>
      <c r="I2" s="983"/>
      <c r="J2" s="140"/>
      <c r="K2" s="4"/>
      <c r="L2" s="4"/>
      <c r="M2" s="4"/>
      <c r="N2" s="4"/>
      <c r="O2" s="4"/>
      <c r="P2" s="4"/>
      <c r="Q2" s="4"/>
      <c r="R2" s="4"/>
      <c r="S2" s="4"/>
      <c r="T2" s="4"/>
      <c r="U2" s="4"/>
      <c r="V2" s="4"/>
      <c r="W2" s="4"/>
      <c r="X2" s="4"/>
      <c r="Y2" s="4"/>
    </row>
    <row r="3" spans="1:25" x14ac:dyDescent="0.2">
      <c r="A3" s="4"/>
      <c r="B3" s="984" t="s">
        <v>1177</v>
      </c>
      <c r="C3" s="984"/>
      <c r="D3" s="985"/>
      <c r="E3" s="4"/>
      <c r="F3" s="6"/>
      <c r="G3" s="981"/>
      <c r="H3" s="4"/>
      <c r="I3" s="986"/>
      <c r="J3" s="981"/>
      <c r="K3" s="4"/>
      <c r="L3" s="4"/>
      <c r="M3" s="4"/>
      <c r="N3" s="4"/>
      <c r="O3" s="4"/>
      <c r="P3" s="4"/>
      <c r="Q3" s="4"/>
      <c r="R3" s="4"/>
      <c r="S3" s="4"/>
      <c r="T3" s="4"/>
      <c r="U3" s="4"/>
      <c r="V3" s="4"/>
      <c r="W3" s="4"/>
      <c r="X3" s="4"/>
      <c r="Y3" s="4"/>
    </row>
    <row r="4" spans="1:25" x14ac:dyDescent="0.2">
      <c r="A4" s="4"/>
      <c r="B4" s="1513" t="s">
        <v>949</v>
      </c>
      <c r="C4" s="1514"/>
      <c r="D4" s="1514"/>
      <c r="E4" s="4"/>
      <c r="F4" s="6"/>
      <c r="G4" s="981"/>
      <c r="H4" s="4"/>
      <c r="I4" s="4"/>
      <c r="J4" s="982"/>
      <c r="K4" s="4"/>
      <c r="L4" s="4"/>
      <c r="M4" s="4"/>
      <c r="N4" s="4"/>
      <c r="O4" s="4"/>
      <c r="P4" s="4"/>
      <c r="Q4" s="4"/>
      <c r="R4" s="4"/>
      <c r="S4" s="4"/>
      <c r="T4" s="4"/>
      <c r="U4" s="4"/>
      <c r="V4" s="4"/>
      <c r="W4" s="4"/>
      <c r="X4" s="4"/>
      <c r="Y4" s="4"/>
    </row>
    <row r="5" spans="1:25" x14ac:dyDescent="0.2">
      <c r="A5" s="4"/>
      <c r="B5" s="4" t="s">
        <v>1180</v>
      </c>
      <c r="C5" s="4"/>
      <c r="D5" s="987">
        <v>6.9979605982932309</v>
      </c>
      <c r="E5" s="4"/>
      <c r="F5" s="6"/>
      <c r="G5" s="981"/>
      <c r="H5" s="4"/>
      <c r="I5" s="988"/>
      <c r="J5" s="982"/>
      <c r="K5" s="4"/>
      <c r="L5" s="4"/>
      <c r="M5" s="4"/>
      <c r="N5" s="4"/>
      <c r="O5" s="4"/>
      <c r="P5" s="4"/>
      <c r="Q5" s="4"/>
      <c r="R5" s="4"/>
      <c r="S5" s="4"/>
      <c r="T5" s="4"/>
      <c r="U5" s="4"/>
      <c r="V5" s="4"/>
      <c r="W5" s="4"/>
      <c r="X5" s="4"/>
      <c r="Y5" s="4"/>
    </row>
    <row r="6" spans="1:25" x14ac:dyDescent="0.2">
      <c r="A6" s="4"/>
      <c r="B6" s="4" t="s">
        <v>1181</v>
      </c>
      <c r="C6" s="4"/>
      <c r="D6" s="987">
        <v>7.6571831752565211</v>
      </c>
      <c r="E6" s="4"/>
      <c r="F6" s="6"/>
      <c r="G6" s="981"/>
      <c r="H6" s="4"/>
      <c r="I6" s="988"/>
      <c r="J6" s="982"/>
      <c r="K6" s="4"/>
      <c r="L6" s="4"/>
      <c r="M6" s="4"/>
      <c r="N6" s="4"/>
      <c r="O6" s="4"/>
      <c r="P6" s="4"/>
      <c r="Q6" s="4"/>
      <c r="R6" s="4"/>
      <c r="S6" s="4"/>
      <c r="T6" s="4"/>
      <c r="U6" s="4"/>
      <c r="V6" s="4"/>
      <c r="W6" s="4"/>
      <c r="X6" s="4"/>
      <c r="Y6" s="4"/>
    </row>
    <row r="7" spans="1:25" x14ac:dyDescent="0.2">
      <c r="A7" s="4"/>
      <c r="B7" s="105" t="s">
        <v>956</v>
      </c>
      <c r="C7" s="105"/>
      <c r="D7" s="989">
        <v>7.4374423162687577</v>
      </c>
      <c r="E7" s="4"/>
      <c r="F7" s="6"/>
      <c r="G7" s="981"/>
      <c r="H7" s="4"/>
      <c r="I7" s="990"/>
      <c r="J7" s="982"/>
      <c r="K7" s="4"/>
      <c r="L7" s="4"/>
      <c r="M7" s="4"/>
      <c r="N7" s="4"/>
      <c r="O7" s="4"/>
      <c r="P7" s="4"/>
      <c r="Q7" s="4"/>
      <c r="R7" s="4"/>
      <c r="S7" s="4"/>
      <c r="T7" s="4"/>
      <c r="U7" s="4"/>
      <c r="V7" s="4"/>
      <c r="W7" s="4"/>
      <c r="X7" s="4"/>
      <c r="Y7" s="4"/>
    </row>
    <row r="8" spans="1:25" x14ac:dyDescent="0.2">
      <c r="A8" s="4"/>
      <c r="B8" s="105" t="s">
        <v>957</v>
      </c>
      <c r="C8" s="105"/>
      <c r="D8" s="991">
        <v>26</v>
      </c>
      <c r="E8" s="4"/>
      <c r="F8" s="6"/>
      <c r="G8" s="6"/>
      <c r="H8" s="4"/>
      <c r="I8" s="992"/>
      <c r="J8" s="982"/>
      <c r="K8" s="4"/>
      <c r="L8" s="4"/>
      <c r="M8" s="4"/>
      <c r="N8" s="4"/>
      <c r="O8" s="4"/>
      <c r="P8" s="4"/>
      <c r="Q8" s="4"/>
      <c r="R8" s="4"/>
      <c r="S8" s="4"/>
      <c r="T8" s="4"/>
      <c r="U8" s="4"/>
      <c r="V8" s="4"/>
      <c r="W8" s="4"/>
      <c r="X8" s="4"/>
      <c r="Y8" s="4"/>
    </row>
    <row r="9" spans="1:25" x14ac:dyDescent="0.2">
      <c r="A9" s="4"/>
      <c r="B9" s="154" t="s">
        <v>958</v>
      </c>
      <c r="C9" s="154"/>
      <c r="D9" s="993">
        <v>193.37</v>
      </c>
      <c r="E9" s="4"/>
      <c r="F9" s="994"/>
      <c r="G9" s="994"/>
      <c r="H9" s="4"/>
      <c r="I9" s="990"/>
      <c r="J9" s="995"/>
      <c r="K9" s="4"/>
      <c r="L9" s="4"/>
      <c r="M9" s="4"/>
      <c r="N9" s="4"/>
      <c r="O9" s="4"/>
      <c r="P9" s="4"/>
      <c r="Q9" s="4"/>
      <c r="R9" s="4"/>
      <c r="S9" s="4"/>
      <c r="T9" s="4"/>
      <c r="U9" s="4"/>
      <c r="V9" s="4"/>
      <c r="W9" s="4"/>
      <c r="X9" s="4"/>
      <c r="Y9" s="4"/>
    </row>
    <row r="10" spans="1:25" x14ac:dyDescent="0.2">
      <c r="A10" s="4"/>
      <c r="B10" s="870" t="s">
        <v>929</v>
      </c>
      <c r="C10" s="869"/>
      <c r="D10" s="869"/>
      <c r="E10" s="4"/>
      <c r="F10" s="4"/>
      <c r="G10" s="981"/>
      <c r="H10" s="4"/>
      <c r="I10" s="996"/>
      <c r="J10" s="982"/>
      <c r="K10" s="4"/>
      <c r="L10" s="4"/>
      <c r="M10" s="4"/>
      <c r="N10" s="4"/>
      <c r="O10" s="4"/>
      <c r="P10" s="4"/>
      <c r="Q10" s="4"/>
      <c r="R10" s="4"/>
      <c r="S10" s="4"/>
      <c r="T10" s="4"/>
      <c r="U10" s="4"/>
      <c r="V10" s="4"/>
      <c r="W10" s="4"/>
      <c r="X10" s="4"/>
      <c r="Y10" s="4"/>
    </row>
    <row r="11" spans="1:25" x14ac:dyDescent="0.2">
      <c r="A11" s="4"/>
      <c r="B11" s="4" t="s">
        <v>1182</v>
      </c>
      <c r="C11" s="4"/>
      <c r="D11" s="948">
        <v>0.14182984092283313</v>
      </c>
      <c r="E11" s="4"/>
      <c r="F11" s="4"/>
      <c r="G11" s="981"/>
      <c r="H11" s="4"/>
      <c r="I11" s="997"/>
      <c r="J11" s="982"/>
      <c r="K11" s="4"/>
      <c r="L11" s="4"/>
      <c r="M11" s="983"/>
      <c r="N11" s="4"/>
      <c r="O11" s="983"/>
      <c r="P11" s="4"/>
      <c r="Q11" s="4"/>
      <c r="R11" s="4"/>
      <c r="S11" s="4"/>
      <c r="T11" s="4"/>
      <c r="U11" s="4"/>
      <c r="V11" s="4"/>
      <c r="W11" s="4"/>
      <c r="X11" s="4"/>
      <c r="Y11" s="4"/>
    </row>
    <row r="12" spans="1:25" x14ac:dyDescent="0.2">
      <c r="A12" s="4"/>
      <c r="B12" s="4" t="s">
        <v>1183</v>
      </c>
      <c r="C12" s="4"/>
      <c r="D12" s="948">
        <v>0.15869175562762045</v>
      </c>
      <c r="E12" s="4"/>
      <c r="F12" s="4"/>
      <c r="G12" s="981"/>
      <c r="H12" s="4"/>
      <c r="I12" s="997"/>
      <c r="J12" s="982"/>
      <c r="K12" s="4"/>
      <c r="L12" s="4"/>
      <c r="M12" s="6"/>
      <c r="N12" s="4"/>
      <c r="O12" s="983"/>
      <c r="P12" s="4"/>
      <c r="Q12" s="4"/>
      <c r="R12" s="4"/>
      <c r="S12" s="4"/>
      <c r="T12" s="4"/>
      <c r="U12" s="4"/>
      <c r="V12" s="4"/>
      <c r="W12" s="4"/>
      <c r="X12" s="4"/>
      <c r="Y12" s="4"/>
    </row>
    <row r="13" spans="1:25" x14ac:dyDescent="0.2">
      <c r="A13" s="4"/>
      <c r="B13" s="4" t="s">
        <v>1184</v>
      </c>
      <c r="C13" s="4"/>
      <c r="D13" s="991">
        <v>15.72429794718084</v>
      </c>
      <c r="E13" s="4"/>
      <c r="F13" s="4"/>
      <c r="G13" s="981"/>
      <c r="H13" s="4"/>
      <c r="I13" s="998"/>
      <c r="J13" s="982"/>
      <c r="K13" s="4"/>
      <c r="L13" s="4"/>
      <c r="M13" s="6"/>
      <c r="N13" s="4"/>
      <c r="O13" s="983"/>
      <c r="P13" s="4"/>
      <c r="Q13" s="4"/>
      <c r="R13" s="4"/>
      <c r="S13" s="4"/>
      <c r="T13" s="4"/>
      <c r="U13" s="4"/>
      <c r="V13" s="4"/>
      <c r="W13" s="4"/>
      <c r="X13" s="4"/>
      <c r="Y13" s="4"/>
    </row>
    <row r="14" spans="1:25" x14ac:dyDescent="0.2">
      <c r="A14" s="4"/>
      <c r="B14" s="4" t="s">
        <v>1185</v>
      </c>
      <c r="C14" s="4"/>
      <c r="D14" s="991">
        <v>2.2072803491467239</v>
      </c>
      <c r="E14" s="4"/>
      <c r="F14" s="4"/>
      <c r="G14" s="981"/>
      <c r="H14" s="4"/>
      <c r="I14" s="998"/>
      <c r="J14" s="982"/>
      <c r="K14" s="4"/>
      <c r="L14" s="4"/>
      <c r="M14" s="6"/>
      <c r="N14" s="4"/>
      <c r="O14" s="983"/>
      <c r="P14" s="4"/>
      <c r="Q14" s="4"/>
      <c r="R14" s="4"/>
      <c r="S14" s="4"/>
      <c r="T14" s="4"/>
      <c r="U14" s="4"/>
      <c r="V14" s="4"/>
      <c r="W14" s="4"/>
      <c r="X14" s="4"/>
      <c r="Y14" s="4"/>
    </row>
    <row r="15" spans="1:25" x14ac:dyDescent="0.2">
      <c r="A15" s="4"/>
      <c r="B15" s="4" t="s">
        <v>1186</v>
      </c>
      <c r="C15" s="4"/>
      <c r="D15" s="991">
        <v>2.4736427228479698</v>
      </c>
      <c r="E15" s="4"/>
      <c r="F15" s="6"/>
      <c r="G15" s="6"/>
      <c r="H15" s="4"/>
      <c r="I15" s="998"/>
      <c r="J15" s="982"/>
      <c r="K15" s="4"/>
      <c r="L15" s="4"/>
      <c r="M15" s="6"/>
      <c r="N15" s="4"/>
      <c r="O15" s="983"/>
      <c r="P15" s="4"/>
      <c r="Q15" s="4"/>
      <c r="R15" s="4"/>
      <c r="S15" s="4"/>
      <c r="T15" s="4"/>
      <c r="U15" s="4"/>
      <c r="V15" s="4"/>
      <c r="W15" s="4"/>
      <c r="X15" s="4"/>
      <c r="Y15" s="4"/>
    </row>
    <row r="16" spans="1:25" x14ac:dyDescent="0.2">
      <c r="A16" s="4"/>
      <c r="B16" s="105" t="s">
        <v>959</v>
      </c>
      <c r="C16" s="105"/>
      <c r="D16" s="999">
        <v>104.1</v>
      </c>
      <c r="E16" s="4"/>
      <c r="F16" s="994"/>
      <c r="G16" s="994"/>
      <c r="H16" s="4"/>
      <c r="I16" s="1000"/>
      <c r="J16" s="995"/>
      <c r="K16" s="4"/>
      <c r="L16" s="4"/>
      <c r="M16" s="4"/>
      <c r="N16" s="4"/>
      <c r="O16" s="4"/>
      <c r="P16" s="4"/>
      <c r="Q16" s="4"/>
      <c r="R16" s="6"/>
      <c r="S16" s="6"/>
      <c r="T16" s="6"/>
      <c r="U16" s="6"/>
      <c r="V16" s="6"/>
      <c r="W16" s="6"/>
      <c r="X16" s="6"/>
      <c r="Y16" s="986"/>
    </row>
    <row r="17" spans="1:25" x14ac:dyDescent="0.2">
      <c r="A17" s="4"/>
      <c r="B17" s="4" t="s">
        <v>967</v>
      </c>
      <c r="C17" s="105"/>
      <c r="D17" s="948">
        <v>0.15000000000000002</v>
      </c>
      <c r="E17" s="4"/>
      <c r="F17" s="994"/>
      <c r="G17" s="994"/>
      <c r="H17" s="4"/>
      <c r="I17" s="1000"/>
      <c r="J17" s="995"/>
      <c r="K17" s="4"/>
      <c r="L17" s="4"/>
      <c r="M17" s="4"/>
      <c r="N17" s="4"/>
      <c r="O17" s="4"/>
      <c r="P17" s="4"/>
      <c r="Q17" s="4"/>
      <c r="R17" s="6"/>
      <c r="S17" s="6"/>
      <c r="T17" s="6"/>
      <c r="U17" s="6"/>
      <c r="V17" s="6"/>
      <c r="W17" s="6"/>
      <c r="X17" s="6"/>
      <c r="Y17" s="986"/>
    </row>
    <row r="18" spans="1:25" x14ac:dyDescent="0.2">
      <c r="A18" s="4"/>
      <c r="B18" s="105" t="s">
        <v>1163</v>
      </c>
      <c r="C18" s="105"/>
      <c r="D18" s="999">
        <v>119.72</v>
      </c>
      <c r="E18" s="4"/>
      <c r="F18" s="994"/>
      <c r="G18" s="994"/>
      <c r="H18" s="4"/>
      <c r="I18" s="1000"/>
      <c r="J18" s="995"/>
      <c r="K18" s="4"/>
      <c r="L18" s="4"/>
      <c r="M18" s="4"/>
      <c r="N18" s="4"/>
      <c r="O18" s="4"/>
      <c r="P18" s="4"/>
      <c r="Q18" s="4"/>
      <c r="R18" s="6"/>
      <c r="S18" s="6"/>
      <c r="T18" s="6"/>
      <c r="U18" s="6"/>
      <c r="V18" s="6"/>
      <c r="W18" s="6"/>
      <c r="X18" s="6"/>
      <c r="Y18" s="986"/>
    </row>
    <row r="19" spans="1:25" x14ac:dyDescent="0.2">
      <c r="A19" s="4"/>
      <c r="B19" s="1513" t="s">
        <v>950</v>
      </c>
      <c r="C19" s="1514"/>
      <c r="D19" s="1514"/>
      <c r="E19" s="4"/>
      <c r="F19" s="4"/>
      <c r="G19" s="981"/>
      <c r="H19" s="4"/>
      <c r="I19" s="996"/>
      <c r="J19" s="982"/>
      <c r="K19" s="4"/>
      <c r="L19" s="4"/>
      <c r="M19" s="4"/>
      <c r="N19" s="4"/>
      <c r="O19" s="4"/>
      <c r="P19" s="4"/>
      <c r="Q19" s="4"/>
      <c r="R19" s="1001"/>
      <c r="S19" s="1002"/>
      <c r="T19" s="1001"/>
      <c r="U19" s="1003"/>
      <c r="V19" s="1001"/>
      <c r="W19" s="1004"/>
      <c r="X19" s="1003"/>
      <c r="Y19" s="1005"/>
    </row>
    <row r="20" spans="1:25" x14ac:dyDescent="0.2">
      <c r="A20" s="4"/>
      <c r="B20" s="4" t="s">
        <v>688</v>
      </c>
      <c r="C20" s="4"/>
      <c r="D20" s="987">
        <v>46.15102313523326</v>
      </c>
      <c r="E20" s="6"/>
      <c r="F20" s="4"/>
      <c r="G20" s="981"/>
      <c r="H20" s="4"/>
      <c r="I20" s="988"/>
      <c r="J20" s="982"/>
      <c r="K20" s="4"/>
      <c r="L20" s="4"/>
      <c r="M20" s="983"/>
      <c r="N20" s="4"/>
      <c r="O20" s="1001"/>
      <c r="P20" s="4"/>
      <c r="Q20" s="4"/>
      <c r="R20" s="1001"/>
      <c r="S20" s="1002"/>
      <c r="T20" s="1001"/>
      <c r="U20" s="1006"/>
      <c r="V20" s="1001"/>
      <c r="W20" s="1004"/>
      <c r="X20" s="1006"/>
      <c r="Y20" s="1005"/>
    </row>
    <row r="21" spans="1:25" x14ac:dyDescent="0.2">
      <c r="A21" s="4"/>
      <c r="B21" s="4" t="s">
        <v>1187</v>
      </c>
      <c r="C21" s="4"/>
      <c r="D21" s="948">
        <v>0.13144930913952821</v>
      </c>
      <c r="E21" s="6"/>
      <c r="F21" s="4"/>
      <c r="G21" s="981"/>
      <c r="H21" s="4"/>
      <c r="I21" s="997"/>
      <c r="J21" s="982"/>
      <c r="K21" s="4"/>
      <c r="L21" s="4"/>
      <c r="M21" s="4"/>
      <c r="N21" s="4"/>
      <c r="O21" s="1007"/>
      <c r="P21" s="4"/>
      <c r="Q21" s="4"/>
      <c r="R21" s="1001"/>
      <c r="S21" s="1002"/>
      <c r="T21" s="1001"/>
      <c r="U21" s="1006"/>
      <c r="V21" s="1001"/>
      <c r="W21" s="1004"/>
      <c r="X21" s="1006"/>
      <c r="Y21" s="1005"/>
    </row>
    <row r="22" spans="1:25" x14ac:dyDescent="0.2">
      <c r="A22" s="4"/>
      <c r="B22" s="4" t="s">
        <v>960</v>
      </c>
      <c r="C22" s="4"/>
      <c r="D22" s="1006">
        <v>2.2000000000000002</v>
      </c>
      <c r="E22" s="4"/>
      <c r="F22" s="6"/>
      <c r="G22" s="6"/>
      <c r="H22" s="4"/>
      <c r="I22" s="1008"/>
      <c r="J22" s="982"/>
      <c r="K22" s="4"/>
      <c r="L22" s="4"/>
      <c r="M22" s="4"/>
      <c r="N22" s="4"/>
      <c r="O22" s="4"/>
      <c r="P22" s="4"/>
      <c r="Q22" s="4"/>
      <c r="R22" s="4"/>
      <c r="S22" s="4"/>
      <c r="T22" s="4"/>
      <c r="U22" s="4"/>
      <c r="V22" s="4"/>
      <c r="W22" s="4"/>
      <c r="X22" s="4"/>
      <c r="Y22" s="4"/>
    </row>
    <row r="23" spans="1:25" x14ac:dyDescent="0.2">
      <c r="A23" s="4"/>
      <c r="B23" s="154" t="s">
        <v>961</v>
      </c>
      <c r="C23" s="154"/>
      <c r="D23" s="993">
        <v>101.53</v>
      </c>
      <c r="E23" s="4"/>
      <c r="F23" s="994"/>
      <c r="G23" s="994"/>
      <c r="H23" s="4"/>
      <c r="I23" s="990"/>
      <c r="J23" s="995"/>
      <c r="K23" s="4"/>
      <c r="L23" s="4"/>
      <c r="M23" s="4"/>
      <c r="N23" s="4"/>
      <c r="O23" s="4"/>
      <c r="P23" s="4"/>
      <c r="Q23" s="167"/>
      <c r="R23" s="4"/>
      <c r="S23" s="4"/>
      <c r="T23" s="4"/>
      <c r="U23" s="4"/>
      <c r="V23" s="4"/>
      <c r="W23" s="4"/>
      <c r="X23" s="4"/>
      <c r="Y23" s="4"/>
    </row>
    <row r="24" spans="1:25" x14ac:dyDescent="0.2">
      <c r="A24" s="4"/>
      <c r="E24" s="4"/>
      <c r="F24" s="6"/>
      <c r="G24" s="6"/>
      <c r="H24" s="4"/>
      <c r="I24" s="1009"/>
      <c r="J24" s="982"/>
      <c r="K24" s="4"/>
      <c r="L24" s="4"/>
      <c r="M24" s="4"/>
      <c r="N24" s="4"/>
      <c r="O24" s="4"/>
      <c r="P24" s="4"/>
      <c r="Q24" s="4"/>
      <c r="R24" s="4"/>
      <c r="S24" s="4"/>
      <c r="T24" s="4"/>
      <c r="U24" s="4"/>
      <c r="V24" s="4"/>
      <c r="W24" s="4"/>
      <c r="X24" s="4"/>
      <c r="Y24" s="4"/>
    </row>
    <row r="25" spans="1:25" x14ac:dyDescent="0.2">
      <c r="A25" s="4"/>
      <c r="B25" s="984" t="s">
        <v>955</v>
      </c>
      <c r="C25" s="984"/>
      <c r="D25" s="985"/>
      <c r="E25" s="1010"/>
      <c r="F25" s="107"/>
      <c r="G25" s="107"/>
      <c r="H25" s="4"/>
      <c r="I25" s="1011"/>
      <c r="J25" s="984" t="s">
        <v>955</v>
      </c>
      <c r="K25" s="985" t="s">
        <v>1114</v>
      </c>
      <c r="L25" s="985" t="s">
        <v>1179</v>
      </c>
      <c r="M25" s="1527" t="s">
        <v>935</v>
      </c>
      <c r="N25" s="995"/>
      <c r="O25" s="4"/>
      <c r="P25" s="4"/>
      <c r="Q25" s="4"/>
      <c r="R25" s="4"/>
      <c r="S25" s="4"/>
      <c r="T25" s="4"/>
      <c r="U25" s="4"/>
      <c r="V25" s="4"/>
      <c r="W25" s="4"/>
      <c r="X25" s="4"/>
      <c r="Y25" s="4"/>
    </row>
    <row r="26" spans="1:25" x14ac:dyDescent="0.2">
      <c r="A26" s="4"/>
      <c r="B26" s="105" t="s">
        <v>962</v>
      </c>
      <c r="C26" s="105"/>
      <c r="D26" s="105"/>
      <c r="E26" s="1010"/>
      <c r="F26" s="4"/>
      <c r="G26" s="4"/>
      <c r="H26" s="4"/>
      <c r="I26" s="1011"/>
      <c r="J26" s="105" t="str">
        <f>B26</f>
        <v>12-month fwd Valuation</v>
      </c>
      <c r="K26" s="986"/>
      <c r="L26" s="986"/>
      <c r="M26" s="986"/>
      <c r="N26" s="995"/>
      <c r="O26" s="4"/>
      <c r="P26" s="4"/>
      <c r="Q26" s="4"/>
      <c r="R26" s="4"/>
      <c r="S26" s="4"/>
      <c r="T26" s="4"/>
      <c r="U26" s="4"/>
      <c r="V26" s="4"/>
      <c r="W26" s="4"/>
      <c r="X26" s="4"/>
      <c r="Y26" s="4"/>
    </row>
    <row r="27" spans="1:25" x14ac:dyDescent="0.2">
      <c r="A27" s="4"/>
      <c r="B27" s="4" t="s">
        <v>949</v>
      </c>
      <c r="C27" s="4"/>
      <c r="D27" s="1010">
        <v>193.37</v>
      </c>
      <c r="E27" s="1010"/>
      <c r="F27" s="107"/>
      <c r="G27" s="107"/>
      <c r="H27" s="4"/>
      <c r="I27" s="1011"/>
      <c r="J27" s="4" t="str">
        <f t="shared" ref="J27:J41" si="0">B27</f>
        <v>Bull Case</v>
      </c>
      <c r="K27" s="1010">
        <f>D27</f>
        <v>193.37</v>
      </c>
      <c r="L27" s="1010">
        <v>178.03</v>
      </c>
      <c r="M27" s="1525">
        <f>+K27/L27-1</f>
        <v>8.616525304723921E-2</v>
      </c>
      <c r="N27" s="995"/>
      <c r="O27" s="4"/>
      <c r="P27" s="4"/>
      <c r="Q27" s="4"/>
      <c r="R27" s="4"/>
      <c r="S27" s="4"/>
      <c r="T27" s="4"/>
      <c r="U27" s="4"/>
      <c r="V27" s="4"/>
      <c r="W27" s="4"/>
      <c r="X27" s="4"/>
      <c r="Y27" s="4"/>
    </row>
    <row r="28" spans="1:25" x14ac:dyDescent="0.2">
      <c r="A28" s="4"/>
      <c r="B28" s="4" t="s">
        <v>929</v>
      </c>
      <c r="C28" s="4"/>
      <c r="D28" s="1010">
        <v>119.72</v>
      </c>
      <c r="E28" s="4"/>
      <c r="F28" s="4"/>
      <c r="G28" s="981"/>
      <c r="H28" s="4"/>
      <c r="I28" s="1009"/>
      <c r="J28" s="4" t="str">
        <f t="shared" si="0"/>
        <v>Base Case</v>
      </c>
      <c r="K28" s="1010">
        <f t="shared" ref="K28:K29" si="1">D28</f>
        <v>119.72</v>
      </c>
      <c r="L28" s="1010">
        <v>112.42</v>
      </c>
      <c r="M28" s="1525">
        <f t="shared" ref="M28:M29" si="2">+K28/L28-1</f>
        <v>6.4935064935064846E-2</v>
      </c>
      <c r="N28" s="4"/>
      <c r="O28" s="4"/>
      <c r="P28" s="4"/>
      <c r="Q28" s="4"/>
      <c r="R28" s="4"/>
      <c r="S28" s="4"/>
      <c r="T28" s="4"/>
      <c r="U28" s="4"/>
      <c r="V28" s="4"/>
      <c r="W28" s="4"/>
      <c r="X28" s="4"/>
      <c r="Y28" s="4"/>
    </row>
    <row r="29" spans="1:25" x14ac:dyDescent="0.2">
      <c r="A29" s="4"/>
      <c r="B29" s="4" t="s">
        <v>950</v>
      </c>
      <c r="C29" s="4"/>
      <c r="D29" s="1010">
        <v>101.53</v>
      </c>
      <c r="E29" s="4"/>
      <c r="F29" s="4"/>
      <c r="G29" s="981"/>
      <c r="H29" s="4"/>
      <c r="I29" s="1013"/>
      <c r="J29" s="4" t="str">
        <f t="shared" si="0"/>
        <v>Bear Case</v>
      </c>
      <c r="K29" s="1010">
        <f t="shared" si="1"/>
        <v>101.53</v>
      </c>
      <c r="L29" s="1010">
        <v>101.21</v>
      </c>
      <c r="M29" s="1525">
        <f t="shared" si="2"/>
        <v>3.1617429107795303E-3</v>
      </c>
      <c r="N29" s="4"/>
      <c r="O29" s="4"/>
      <c r="P29" s="4"/>
      <c r="Q29" s="4"/>
      <c r="R29" s="4"/>
      <c r="S29" s="4"/>
      <c r="T29" s="4"/>
      <c r="U29" s="4"/>
      <c r="V29" s="4"/>
      <c r="W29" s="4"/>
      <c r="X29" s="4"/>
      <c r="Y29" s="4"/>
    </row>
    <row r="30" spans="1:25" x14ac:dyDescent="0.2">
      <c r="A30" s="4"/>
      <c r="B30" s="105" t="s">
        <v>963</v>
      </c>
      <c r="C30" s="105"/>
      <c r="D30" s="105"/>
      <c r="E30" s="4"/>
      <c r="F30" s="4"/>
      <c r="G30" s="981"/>
      <c r="H30" s="4"/>
      <c r="I30" s="1013"/>
      <c r="J30" s="105" t="str">
        <f t="shared" si="0"/>
        <v>Probability</v>
      </c>
      <c r="K30" s="986"/>
      <c r="L30" s="986"/>
      <c r="M30" s="1526"/>
      <c r="N30" s="4"/>
      <c r="O30" s="4"/>
      <c r="P30" s="4"/>
      <c r="Q30" s="4"/>
      <c r="R30" s="4"/>
      <c r="S30" s="4"/>
      <c r="T30" s="4"/>
      <c r="U30" s="4"/>
      <c r="V30" s="4"/>
      <c r="W30" s="4"/>
      <c r="X30" s="4"/>
      <c r="Y30" s="4"/>
    </row>
    <row r="31" spans="1:25" x14ac:dyDescent="0.2">
      <c r="A31" s="4"/>
      <c r="B31" s="4" t="s">
        <v>964</v>
      </c>
      <c r="C31" s="4"/>
      <c r="D31" s="1012">
        <v>0.3</v>
      </c>
      <c r="E31" s="4"/>
      <c r="F31" s="4"/>
      <c r="G31" s="981"/>
      <c r="H31" s="4"/>
      <c r="I31" s="1013"/>
      <c r="J31" s="4" t="str">
        <f t="shared" si="0"/>
        <v>Probability: Bull Case</v>
      </c>
      <c r="K31" s="1012">
        <f t="shared" ref="K31:K41" si="3">D31</f>
        <v>0.3</v>
      </c>
      <c r="L31" s="1012">
        <v>0.3</v>
      </c>
      <c r="M31" s="1526"/>
      <c r="N31" s="4"/>
      <c r="O31" s="4"/>
      <c r="P31" s="4"/>
      <c r="Q31" s="4"/>
      <c r="R31" s="4"/>
      <c r="S31" s="4"/>
      <c r="T31" s="4"/>
      <c r="U31" s="4"/>
      <c r="V31" s="4"/>
      <c r="W31" s="4"/>
      <c r="X31" s="4"/>
      <c r="Y31" s="4"/>
    </row>
    <row r="32" spans="1:25" x14ac:dyDescent="0.2">
      <c r="A32" s="4"/>
      <c r="B32" s="4" t="s">
        <v>965</v>
      </c>
      <c r="C32" s="4"/>
      <c r="D32" s="1012">
        <v>0.6</v>
      </c>
      <c r="E32" s="4"/>
      <c r="F32" s="167"/>
      <c r="G32" s="981"/>
      <c r="H32" s="4"/>
      <c r="I32" s="990"/>
      <c r="J32" s="4" t="str">
        <f t="shared" si="0"/>
        <v>Probability: Base Case</v>
      </c>
      <c r="K32" s="1012">
        <f t="shared" si="3"/>
        <v>0.6</v>
      </c>
      <c r="L32" s="1012">
        <v>0.6</v>
      </c>
      <c r="M32" s="1526"/>
      <c r="N32" s="4"/>
      <c r="O32" s="4"/>
      <c r="P32" s="4"/>
      <c r="Q32" s="4"/>
      <c r="R32" s="4"/>
      <c r="S32" s="4"/>
      <c r="T32" s="4"/>
      <c r="U32" s="4"/>
      <c r="V32" s="4"/>
      <c r="W32" s="4"/>
      <c r="X32" s="4"/>
      <c r="Y32" s="4"/>
    </row>
    <row r="33" spans="1:25" ht="13.5" thickBot="1" x14ac:dyDescent="0.25">
      <c r="A33" s="4"/>
      <c r="B33" s="4" t="s">
        <v>966</v>
      </c>
      <c r="C33" s="4"/>
      <c r="D33" s="1012">
        <v>0.1</v>
      </c>
      <c r="E33" s="278"/>
      <c r="F33" s="4"/>
      <c r="G33" s="981"/>
      <c r="H33" s="4"/>
      <c r="I33" s="988"/>
      <c r="J33" s="4" t="str">
        <f t="shared" si="0"/>
        <v>Probability: Bear Case</v>
      </c>
      <c r="K33" s="1012">
        <f t="shared" si="3"/>
        <v>0.1</v>
      </c>
      <c r="L33" s="1012">
        <v>0.1</v>
      </c>
      <c r="M33" s="1526"/>
      <c r="N33" s="4"/>
      <c r="O33" s="4"/>
      <c r="P33" s="4"/>
      <c r="Q33" s="4"/>
      <c r="R33" s="4"/>
      <c r="S33" s="4"/>
      <c r="T33" s="4"/>
      <c r="U33" s="4"/>
      <c r="V33" s="4"/>
      <c r="W33" s="4"/>
      <c r="X33" s="4"/>
      <c r="Y33" s="4"/>
    </row>
    <row r="34" spans="1:25" ht="13.5" thickBot="1" x14ac:dyDescent="0.25">
      <c r="A34" s="4"/>
      <c r="B34" s="1014" t="s">
        <v>969</v>
      </c>
      <c r="C34" s="1015"/>
      <c r="D34" s="1016">
        <v>140</v>
      </c>
      <c r="E34" s="4"/>
      <c r="F34" s="4"/>
      <c r="G34" s="981"/>
      <c r="H34" s="4"/>
      <c r="I34" s="1020"/>
      <c r="J34" s="1014" t="str">
        <f t="shared" si="0"/>
        <v>12-month forward Price Target</v>
      </c>
      <c r="K34" s="1519">
        <f t="shared" si="3"/>
        <v>140</v>
      </c>
      <c r="L34" s="1519">
        <v>131</v>
      </c>
      <c r="M34" s="1521">
        <f>+K34/L34-1</f>
        <v>6.8702290076335881E-2</v>
      </c>
      <c r="N34" s="4"/>
      <c r="O34" s="4"/>
      <c r="P34" s="4"/>
      <c r="Q34" s="4"/>
      <c r="R34" s="4"/>
      <c r="S34" s="4"/>
      <c r="T34" s="4"/>
      <c r="U34" s="4"/>
      <c r="V34" s="4"/>
      <c r="W34" s="4"/>
      <c r="X34" s="4"/>
      <c r="Y34" s="4"/>
    </row>
    <row r="35" spans="1:25" ht="13.5" thickBot="1" x14ac:dyDescent="0.25">
      <c r="A35" s="4"/>
      <c r="B35" s="4" t="s">
        <v>970</v>
      </c>
      <c r="C35" s="4"/>
      <c r="D35" s="987">
        <v>169.56</v>
      </c>
      <c r="E35" s="4"/>
      <c r="F35" s="4"/>
      <c r="G35" s="981"/>
      <c r="H35" s="4"/>
      <c r="I35" s="988"/>
      <c r="J35" s="4" t="str">
        <f t="shared" si="0"/>
        <v>Current Price</v>
      </c>
      <c r="K35" s="987">
        <f t="shared" si="3"/>
        <v>169.56</v>
      </c>
      <c r="L35" s="1522"/>
      <c r="M35" s="1526"/>
      <c r="N35" s="4"/>
      <c r="O35" s="4"/>
      <c r="P35" s="4"/>
      <c r="Q35" s="4"/>
      <c r="R35" s="4"/>
      <c r="S35" s="4"/>
      <c r="T35" s="4"/>
      <c r="U35" s="4"/>
      <c r="V35" s="4"/>
      <c r="W35" s="4"/>
      <c r="X35" s="4"/>
      <c r="Y35" s="4"/>
    </row>
    <row r="36" spans="1:25" ht="13.5" thickBot="1" x14ac:dyDescent="0.25">
      <c r="A36" s="4"/>
      <c r="B36" s="1017" t="s">
        <v>971</v>
      </c>
      <c r="C36" s="1018"/>
      <c r="D36" s="1019">
        <v>-0.1743335692380279</v>
      </c>
      <c r="E36" s="4"/>
      <c r="F36" s="4"/>
      <c r="G36" s="981"/>
      <c r="H36" s="4"/>
      <c r="I36" s="1022"/>
      <c r="J36" s="1017" t="str">
        <f t="shared" si="0"/>
        <v>Upside / (Downside)</v>
      </c>
      <c r="K36" s="1019">
        <f t="shared" si="3"/>
        <v>-0.1743335692380279</v>
      </c>
      <c r="L36" s="1523"/>
      <c r="M36" s="1526"/>
      <c r="N36" s="4"/>
      <c r="O36" s="4"/>
      <c r="P36" s="4"/>
      <c r="Q36" s="4"/>
      <c r="R36" s="4"/>
      <c r="S36" s="4"/>
      <c r="T36" s="4"/>
      <c r="U36" s="4"/>
      <c r="V36" s="4"/>
      <c r="W36" s="4"/>
      <c r="X36" s="4"/>
      <c r="Y36" s="4"/>
    </row>
    <row r="37" spans="1:25" ht="13.5" thickBot="1" x14ac:dyDescent="0.25">
      <c r="A37" s="4"/>
      <c r="B37" s="4" t="s">
        <v>972</v>
      </c>
      <c r="C37" s="4"/>
      <c r="D37" s="987">
        <v>5.4</v>
      </c>
      <c r="E37" s="4"/>
      <c r="F37" s="4"/>
      <c r="G37" s="981"/>
      <c r="H37" s="4"/>
      <c r="I37" s="1023"/>
      <c r="J37" s="4" t="str">
        <f t="shared" si="0"/>
        <v>Add: Exp 12-month Div</v>
      </c>
      <c r="K37" s="987">
        <f t="shared" si="3"/>
        <v>5.4</v>
      </c>
      <c r="L37" s="987"/>
      <c r="M37" s="1526"/>
      <c r="N37" s="4"/>
      <c r="O37" s="983"/>
      <c r="P37" s="4"/>
      <c r="Q37" s="4"/>
      <c r="R37" s="4"/>
      <c r="S37" s="4"/>
      <c r="T37" s="4"/>
      <c r="U37" s="4"/>
      <c r="V37" s="4"/>
      <c r="W37" s="4"/>
      <c r="X37" s="4"/>
      <c r="Y37" s="4"/>
    </row>
    <row r="38" spans="1:25" ht="13.5" thickBot="1" x14ac:dyDescent="0.25">
      <c r="A38" s="4"/>
      <c r="B38" s="1017" t="s">
        <v>973</v>
      </c>
      <c r="C38" s="1018"/>
      <c r="D38" s="1021">
        <v>-0.14248643548006601</v>
      </c>
      <c r="E38" s="987"/>
      <c r="F38" s="987"/>
      <c r="G38" s="981"/>
      <c r="H38" s="4"/>
      <c r="I38" s="1023"/>
      <c r="J38" s="1017" t="str">
        <f t="shared" si="0"/>
        <v>Implied 12 month TSR</v>
      </c>
      <c r="K38" s="1021">
        <f t="shared" si="3"/>
        <v>-0.14248643548006601</v>
      </c>
      <c r="L38" s="1524"/>
      <c r="M38" s="1526"/>
      <c r="N38" s="4"/>
      <c r="O38" s="983"/>
      <c r="P38" s="4"/>
      <c r="Q38" s="4"/>
      <c r="R38" s="4"/>
      <c r="S38" s="4"/>
      <c r="T38" s="4"/>
      <c r="U38" s="4"/>
      <c r="V38" s="4"/>
      <c r="W38" s="4"/>
      <c r="X38" s="4"/>
      <c r="Y38" s="4"/>
    </row>
    <row r="39" spans="1:25" x14ac:dyDescent="0.2">
      <c r="A39" s="4"/>
      <c r="B39" s="4" t="s">
        <v>1188</v>
      </c>
      <c r="C39" s="4"/>
      <c r="D39" s="994">
        <v>21.146990514940612</v>
      </c>
      <c r="E39" s="4"/>
      <c r="F39" s="6"/>
      <c r="G39" s="981"/>
      <c r="H39" s="4"/>
      <c r="I39" s="997"/>
      <c r="J39" s="4" t="str">
        <f t="shared" si="0"/>
        <v>FY26E P/E Multiple at PT</v>
      </c>
      <c r="K39" s="994">
        <f t="shared" si="3"/>
        <v>21.146990514940612</v>
      </c>
      <c r="L39" s="994"/>
      <c r="M39" s="1526"/>
      <c r="N39" s="4"/>
      <c r="O39" s="983"/>
      <c r="P39" s="4"/>
      <c r="Q39" s="4"/>
      <c r="R39" s="4"/>
      <c r="S39" s="4"/>
      <c r="T39" s="4"/>
      <c r="U39" s="4"/>
      <c r="V39" s="4"/>
      <c r="W39" s="4"/>
      <c r="X39" s="4"/>
      <c r="Y39" s="4"/>
    </row>
    <row r="40" spans="1:25" x14ac:dyDescent="0.2">
      <c r="A40" s="4"/>
      <c r="B40" s="4" t="s">
        <v>1189</v>
      </c>
      <c r="C40" s="4"/>
      <c r="D40" s="994">
        <v>2.9684846194096188</v>
      </c>
      <c r="E40" s="4"/>
      <c r="F40" s="6"/>
      <c r="G40" s="981"/>
      <c r="H40" s="4"/>
      <c r="I40" s="996"/>
      <c r="J40" s="4" t="str">
        <f t="shared" si="0"/>
        <v>FY26E P/BV Multiple at PT</v>
      </c>
      <c r="K40" s="994">
        <f t="shared" si="3"/>
        <v>2.9684846194096188</v>
      </c>
      <c r="L40" s="994"/>
      <c r="M40" s="1526"/>
      <c r="N40" s="4"/>
      <c r="O40" s="4"/>
      <c r="P40" s="4"/>
      <c r="Q40" s="4"/>
      <c r="R40" s="4"/>
      <c r="S40" s="4"/>
      <c r="T40" s="4"/>
      <c r="U40" s="4"/>
      <c r="V40" s="4"/>
      <c r="W40" s="4"/>
      <c r="X40" s="4"/>
      <c r="Y40" s="4"/>
    </row>
    <row r="41" spans="1:25" x14ac:dyDescent="0.2">
      <c r="A41" s="4"/>
      <c r="B41" s="7" t="s">
        <v>1190</v>
      </c>
      <c r="C41" s="7"/>
      <c r="D41" s="1024">
        <v>3.6785714285714283E-2</v>
      </c>
      <c r="E41" s="4"/>
      <c r="F41" s="6"/>
      <c r="G41" s="981"/>
      <c r="H41" s="4"/>
      <c r="I41" s="996"/>
      <c r="J41" s="7" t="str">
        <f t="shared" si="0"/>
        <v>FY26E Dividend Yield at PT</v>
      </c>
      <c r="K41" s="1520">
        <f t="shared" si="3"/>
        <v>3.6785714285714283E-2</v>
      </c>
      <c r="L41" s="1520"/>
      <c r="M41" s="1520"/>
      <c r="N41" s="4"/>
      <c r="O41" s="4"/>
      <c r="P41" s="4"/>
      <c r="Q41" s="4"/>
      <c r="R41" s="4"/>
      <c r="S41" s="4"/>
      <c r="T41" s="4"/>
      <c r="U41" s="4"/>
      <c r="V41" s="4"/>
      <c r="W41" s="4"/>
      <c r="X41" s="4"/>
      <c r="Y41" s="4"/>
    </row>
    <row r="42" spans="1:25" x14ac:dyDescent="0.2">
      <c r="A42" s="4"/>
      <c r="B42" s="4"/>
      <c r="C42" s="4"/>
      <c r="D42" s="4"/>
      <c r="E42" s="4"/>
      <c r="F42" s="6"/>
      <c r="G42" s="981"/>
      <c r="H42" s="4"/>
      <c r="I42" s="996"/>
      <c r="J42" s="982"/>
      <c r="K42" s="4"/>
      <c r="L42" s="4"/>
      <c r="M42" s="4"/>
      <c r="N42" s="4"/>
      <c r="O42" s="4"/>
      <c r="P42" s="4"/>
      <c r="Q42" s="4"/>
      <c r="R42" s="4"/>
      <c r="S42" s="4"/>
      <c r="T42" s="167"/>
      <c r="U42" s="4"/>
      <c r="V42" s="4"/>
      <c r="W42" s="4"/>
      <c r="X42" s="4"/>
      <c r="Y42" s="4"/>
    </row>
    <row r="43" spans="1:25" x14ac:dyDescent="0.2">
      <c r="A43" s="4"/>
      <c r="B43" s="4"/>
      <c r="C43" s="4"/>
      <c r="D43" s="1025"/>
      <c r="E43" s="4"/>
      <c r="F43" s="6"/>
      <c r="G43" s="981"/>
      <c r="H43" s="4"/>
      <c r="I43" s="1026"/>
      <c r="J43" s="982"/>
      <c r="K43" s="4"/>
      <c r="L43" s="4"/>
      <c r="M43" s="4"/>
      <c r="N43" s="4"/>
      <c r="O43" s="4"/>
      <c r="P43" s="4"/>
      <c r="Q43" s="4"/>
      <c r="R43" s="4"/>
      <c r="S43" s="4"/>
      <c r="T43" s="167"/>
      <c r="U43" s="4"/>
      <c r="V43" s="4"/>
      <c r="W43" s="4"/>
      <c r="X43" s="4"/>
      <c r="Y43" s="4"/>
    </row>
    <row r="44" spans="1:25" x14ac:dyDescent="0.2">
      <c r="A44" s="4"/>
      <c r="B44" s="4"/>
      <c r="C44" s="4"/>
      <c r="D44" s="1025"/>
      <c r="E44" s="4"/>
      <c r="F44" s="6"/>
      <c r="G44" s="981"/>
      <c r="H44" s="4"/>
      <c r="I44" s="1026"/>
      <c r="J44" s="982"/>
      <c r="K44" s="4"/>
      <c r="L44" s="4"/>
      <c r="M44" s="4"/>
      <c r="N44" s="4"/>
      <c r="O44" s="4"/>
      <c r="P44" s="4"/>
      <c r="Q44" s="4"/>
      <c r="R44" s="4"/>
      <c r="S44" s="4"/>
      <c r="T44" s="167"/>
      <c r="U44" s="4"/>
      <c r="V44" s="4"/>
      <c r="W44" s="4"/>
      <c r="X44" s="4"/>
      <c r="Y44" s="4"/>
    </row>
    <row r="45" spans="1:25" x14ac:dyDescent="0.2">
      <c r="A45" s="4"/>
      <c r="B45" s="4"/>
      <c r="C45" s="4"/>
      <c r="D45" s="1025"/>
      <c r="E45" s="4"/>
      <c r="F45" s="6"/>
      <c r="G45" s="981"/>
      <c r="H45" s="4"/>
      <c r="I45" s="1026"/>
      <c r="J45" s="982"/>
      <c r="K45" s="4"/>
      <c r="L45" s="4"/>
      <c r="M45" s="4"/>
      <c r="N45" s="4"/>
      <c r="O45" s="4"/>
      <c r="P45" s="4"/>
      <c r="Q45" s="4"/>
      <c r="R45" s="4"/>
      <c r="S45" s="4"/>
      <c r="T45" s="167"/>
      <c r="U45" s="4"/>
      <c r="V45" s="4"/>
      <c r="W45" s="4"/>
      <c r="X45" s="4"/>
      <c r="Y45" s="4"/>
    </row>
    <row r="46" spans="1:25" x14ac:dyDescent="0.2">
      <c r="A46" s="4"/>
      <c r="B46" s="4"/>
      <c r="C46" s="4"/>
      <c r="D46" s="6"/>
      <c r="E46" s="4"/>
      <c r="F46" s="6"/>
      <c r="G46" s="981"/>
      <c r="H46" s="4"/>
      <c r="I46" s="1027"/>
      <c r="J46" s="982"/>
      <c r="K46" s="4"/>
      <c r="L46" s="4"/>
      <c r="M46" s="4"/>
      <c r="N46" s="4"/>
      <c r="O46" s="4"/>
      <c r="P46" s="4"/>
      <c r="Q46" s="4"/>
      <c r="R46" s="4"/>
      <c r="S46" s="195"/>
      <c r="T46" s="4"/>
      <c r="U46" s="4"/>
      <c r="V46" s="4"/>
      <c r="W46" s="4"/>
      <c r="X46" s="4"/>
      <c r="Y46" s="4"/>
    </row>
    <row r="47" spans="1:25" x14ac:dyDescent="0.2">
      <c r="A47" s="4"/>
      <c r="B47" s="4"/>
      <c r="C47" s="4"/>
      <c r="D47" s="1025"/>
      <c r="E47" s="4"/>
      <c r="F47" s="6"/>
      <c r="G47" s="981"/>
      <c r="H47" s="4"/>
      <c r="I47" s="1026"/>
      <c r="J47" s="982"/>
      <c r="K47" s="4"/>
      <c r="L47" s="4"/>
      <c r="M47" s="4"/>
      <c r="N47" s="4"/>
      <c r="O47" s="4"/>
      <c r="P47" s="4"/>
      <c r="Q47" s="4"/>
      <c r="R47" s="4"/>
      <c r="S47" s="4"/>
      <c r="T47" s="4"/>
      <c r="U47" s="4"/>
      <c r="V47" s="4"/>
      <c r="W47" s="4"/>
      <c r="X47" s="4"/>
      <c r="Y47" s="4"/>
    </row>
    <row r="48" spans="1:25" x14ac:dyDescent="0.2">
      <c r="A48" s="4"/>
      <c r="B48" s="4"/>
      <c r="C48" s="4"/>
      <c r="D48" s="1025"/>
      <c r="E48" s="4"/>
      <c r="F48" s="6"/>
      <c r="G48" s="981"/>
      <c r="H48" s="4"/>
      <c r="I48" s="1026"/>
      <c r="J48" s="982"/>
      <c r="K48" s="4"/>
      <c r="L48" s="4"/>
      <c r="M48" s="4"/>
      <c r="N48" s="4"/>
      <c r="O48" s="4"/>
      <c r="P48" s="4"/>
      <c r="Q48" s="4"/>
      <c r="R48" s="4"/>
      <c r="S48" s="4"/>
      <c r="T48" s="4"/>
      <c r="U48" s="4"/>
      <c r="V48" s="4"/>
      <c r="W48" s="4"/>
      <c r="X48" s="4"/>
      <c r="Y48" s="4"/>
    </row>
    <row r="49" spans="1:25" x14ac:dyDescent="0.2">
      <c r="A49" s="4"/>
      <c r="B49" s="4"/>
      <c r="C49" s="4"/>
      <c r="D49" s="1025"/>
      <c r="E49" s="4"/>
      <c r="F49" s="6"/>
      <c r="G49" s="981"/>
      <c r="H49" s="4"/>
      <c r="I49" s="1026"/>
      <c r="J49" s="982"/>
      <c r="K49" s="4"/>
      <c r="L49" s="4"/>
      <c r="M49" s="4"/>
      <c r="N49" s="4"/>
      <c r="O49" s="4"/>
      <c r="P49" s="4"/>
      <c r="Q49" s="4"/>
      <c r="R49" s="4"/>
      <c r="S49" s="4"/>
      <c r="T49" s="4"/>
      <c r="U49" s="4"/>
      <c r="V49" s="4"/>
      <c r="W49" s="4"/>
      <c r="X49" s="4"/>
      <c r="Y49" s="4"/>
    </row>
    <row r="50" spans="1:25" x14ac:dyDescent="0.2">
      <c r="A50" s="4"/>
      <c r="B50" s="4"/>
      <c r="C50" s="4"/>
      <c r="D50" s="6"/>
      <c r="E50" s="4"/>
      <c r="F50" s="6"/>
      <c r="G50" s="981"/>
      <c r="H50" s="4"/>
      <c r="I50" s="1027"/>
      <c r="J50" s="982"/>
      <c r="K50" s="4"/>
      <c r="L50" s="4"/>
      <c r="M50" s="4"/>
      <c r="N50" s="4"/>
      <c r="O50" s="4"/>
      <c r="P50" s="4"/>
      <c r="Q50" s="4"/>
      <c r="R50" s="4"/>
      <c r="S50" s="4"/>
      <c r="T50" s="4"/>
      <c r="U50" s="4"/>
      <c r="V50" s="4"/>
      <c r="W50" s="4"/>
      <c r="X50" s="4"/>
      <c r="Y50" s="4"/>
    </row>
    <row r="51" spans="1:25" x14ac:dyDescent="0.2">
      <c r="A51" s="4"/>
      <c r="B51" s="105"/>
      <c r="C51" s="105"/>
      <c r="D51" s="986"/>
      <c r="E51" s="4"/>
      <c r="F51" s="6"/>
      <c r="G51" s="981"/>
      <c r="H51" s="4"/>
      <c r="I51" s="1028"/>
      <c r="J51" s="982"/>
      <c r="K51" s="4"/>
      <c r="L51" s="4"/>
      <c r="M51" s="4"/>
      <c r="N51" s="4"/>
      <c r="O51" s="4"/>
      <c r="P51" s="4"/>
      <c r="Q51" s="4"/>
      <c r="R51" s="4"/>
      <c r="S51" s="4"/>
      <c r="T51" s="4"/>
      <c r="U51" s="4"/>
      <c r="V51" s="4"/>
      <c r="W51" s="4"/>
      <c r="X51" s="4"/>
      <c r="Y51" s="4"/>
    </row>
    <row r="52" spans="1:25" x14ac:dyDescent="0.2">
      <c r="A52" s="4"/>
      <c r="B52" s="4"/>
      <c r="C52" s="4"/>
      <c r="D52" s="1029"/>
      <c r="E52" s="4"/>
      <c r="F52" s="6"/>
      <c r="G52" s="981"/>
      <c r="H52" s="4"/>
      <c r="I52" s="1030"/>
      <c r="J52" s="995"/>
      <c r="K52" s="4"/>
      <c r="L52" s="4"/>
      <c r="M52" s="4"/>
      <c r="N52" s="4"/>
      <c r="O52" s="4"/>
      <c r="P52" s="4"/>
      <c r="Q52" s="4"/>
      <c r="R52" s="4"/>
      <c r="S52" s="4"/>
      <c r="T52" s="4"/>
      <c r="U52" s="4"/>
      <c r="V52" s="4"/>
      <c r="W52" s="4"/>
      <c r="X52" s="4"/>
      <c r="Y52" s="4"/>
    </row>
    <row r="53" spans="1:25" x14ac:dyDescent="0.2">
      <c r="A53" s="4"/>
      <c r="B53" s="4"/>
      <c r="C53" s="4"/>
      <c r="D53" s="1029"/>
      <c r="E53" s="4"/>
      <c r="F53" s="6"/>
      <c r="G53" s="981"/>
      <c r="H53" s="4"/>
      <c r="I53" s="1030"/>
      <c r="J53" s="995"/>
      <c r="K53" s="4"/>
      <c r="L53" s="4"/>
      <c r="M53" s="4"/>
      <c r="N53" s="4"/>
      <c r="O53" s="4"/>
      <c r="P53" s="4"/>
      <c r="Q53" s="4"/>
      <c r="R53" s="4"/>
      <c r="S53" s="4"/>
      <c r="T53" s="4"/>
      <c r="U53" s="4"/>
      <c r="V53" s="4"/>
      <c r="W53" s="4"/>
      <c r="X53" s="4"/>
      <c r="Y53" s="4"/>
    </row>
    <row r="54" spans="1:25" x14ac:dyDescent="0.2">
      <c r="A54" s="4"/>
      <c r="B54" s="4"/>
      <c r="C54" s="4"/>
      <c r="D54" s="1029"/>
      <c r="E54" s="4"/>
      <c r="F54" s="6"/>
      <c r="G54" s="981"/>
      <c r="H54" s="4"/>
      <c r="I54" s="1030"/>
      <c r="J54" s="995"/>
      <c r="K54" s="4"/>
      <c r="L54" s="4"/>
      <c r="M54" s="4"/>
      <c r="N54" s="4"/>
      <c r="O54" s="4"/>
      <c r="P54" s="4"/>
      <c r="Q54" s="4"/>
      <c r="R54" s="4"/>
      <c r="S54" s="4"/>
      <c r="T54" s="4"/>
      <c r="U54" s="4"/>
      <c r="V54" s="4"/>
      <c r="W54" s="4"/>
      <c r="X54" s="4"/>
      <c r="Y54" s="4"/>
    </row>
    <row r="55" spans="1:25" x14ac:dyDescent="0.2">
      <c r="A55" s="4"/>
      <c r="B55" s="4"/>
      <c r="C55" s="4"/>
      <c r="D55" s="1029"/>
      <c r="E55" s="4"/>
      <c r="F55" s="6"/>
      <c r="G55" s="981"/>
      <c r="H55" s="4"/>
      <c r="I55" s="1030"/>
      <c r="J55" s="995"/>
      <c r="K55" s="4"/>
      <c r="L55" s="4"/>
      <c r="M55" s="4"/>
      <c r="N55" s="4"/>
      <c r="O55" s="4"/>
      <c r="P55" s="4"/>
      <c r="Q55" s="4"/>
      <c r="R55" s="4"/>
      <c r="S55" s="4"/>
      <c r="T55" s="4"/>
      <c r="U55" s="4"/>
      <c r="V55" s="4"/>
      <c r="W55" s="4"/>
      <c r="X55" s="4"/>
      <c r="Y55" s="4"/>
    </row>
    <row r="56" spans="1:25" x14ac:dyDescent="0.2">
      <c r="A56" s="4"/>
      <c r="B56" s="4"/>
      <c r="C56" s="4"/>
      <c r="D56" s="1029"/>
      <c r="E56" s="4"/>
      <c r="F56" s="6"/>
      <c r="G56" s="981"/>
      <c r="H56" s="4"/>
      <c r="I56" s="1030"/>
      <c r="J56" s="995"/>
      <c r="K56" s="4"/>
      <c r="L56" s="4"/>
      <c r="M56" s="4"/>
      <c r="N56" s="4"/>
      <c r="O56" s="4"/>
      <c r="P56" s="4"/>
      <c r="Q56" s="4"/>
      <c r="R56" s="4"/>
      <c r="S56" s="4"/>
      <c r="T56" s="4"/>
      <c r="U56" s="4"/>
      <c r="V56" s="4"/>
      <c r="W56" s="4"/>
      <c r="X56" s="4"/>
      <c r="Y56" s="4"/>
    </row>
    <row r="57" spans="1:25" x14ac:dyDescent="0.2">
      <c r="A57" s="4"/>
      <c r="B57" s="4"/>
      <c r="C57" s="4"/>
      <c r="D57" s="1029"/>
      <c r="E57" s="4"/>
      <c r="F57" s="6"/>
      <c r="G57" s="981"/>
      <c r="H57" s="4"/>
      <c r="I57" s="1030"/>
      <c r="J57" s="995"/>
      <c r="K57" s="4"/>
      <c r="L57" s="4"/>
      <c r="M57" s="4"/>
      <c r="N57" s="4"/>
      <c r="O57" s="4"/>
      <c r="P57" s="4"/>
      <c r="Q57" s="4"/>
      <c r="R57" s="4"/>
      <c r="S57" s="4"/>
      <c r="T57" s="4"/>
      <c r="U57" s="4"/>
      <c r="V57" s="4"/>
      <c r="W57" s="4"/>
      <c r="X57" s="4"/>
      <c r="Y57" s="4"/>
    </row>
    <row r="58" spans="1:25" x14ac:dyDescent="0.2">
      <c r="A58" s="4"/>
      <c r="B58" s="334"/>
      <c r="C58" s="334"/>
      <c r="D58" s="867"/>
      <c r="E58" s="4"/>
      <c r="F58" s="6"/>
      <c r="G58" s="981"/>
      <c r="H58" s="4"/>
      <c r="I58" s="1031"/>
      <c r="J58" s="982"/>
      <c r="K58" s="4"/>
      <c r="L58" s="4"/>
      <c r="M58" s="4"/>
      <c r="N58" s="4"/>
      <c r="O58" s="4"/>
      <c r="P58" s="4"/>
      <c r="Q58" s="4"/>
      <c r="R58" s="4"/>
      <c r="S58" s="4"/>
      <c r="T58" s="4"/>
      <c r="U58" s="4"/>
      <c r="V58" s="4"/>
      <c r="W58" s="4"/>
      <c r="X58" s="4"/>
      <c r="Y58" s="4"/>
    </row>
    <row r="59" spans="1:25" x14ac:dyDescent="0.2">
      <c r="A59" s="4"/>
      <c r="B59" s="334"/>
      <c r="C59" s="334"/>
      <c r="D59" s="867"/>
      <c r="E59" s="4"/>
      <c r="F59" s="6"/>
      <c r="G59" s="981"/>
      <c r="H59" s="4"/>
      <c r="I59" s="1031"/>
      <c r="J59" s="982"/>
      <c r="K59" s="4"/>
      <c r="L59" s="4"/>
      <c r="M59" s="4"/>
      <c r="N59" s="4"/>
      <c r="O59" s="4"/>
      <c r="P59" s="4"/>
      <c r="Q59" s="4"/>
      <c r="R59" s="4"/>
      <c r="S59" s="4"/>
      <c r="T59" s="4"/>
      <c r="U59" s="4"/>
      <c r="V59" s="4"/>
      <c r="W59" s="4"/>
      <c r="X59" s="4"/>
      <c r="Y59" s="4"/>
    </row>
    <row r="60" spans="1:25" x14ac:dyDescent="0.2">
      <c r="A60" s="4"/>
      <c r="B60" s="334"/>
      <c r="C60" s="4"/>
      <c r="D60" s="867"/>
      <c r="E60" s="4"/>
      <c r="F60" s="6"/>
      <c r="G60" s="981"/>
      <c r="H60" s="4"/>
      <c r="I60" s="1031"/>
      <c r="J60" s="982"/>
      <c r="K60" s="4"/>
      <c r="L60" s="4"/>
      <c r="M60" s="4"/>
      <c r="N60" s="4"/>
      <c r="O60" s="4"/>
      <c r="P60" s="4"/>
      <c r="Q60" s="4"/>
      <c r="R60" s="4"/>
      <c r="S60" s="4"/>
      <c r="T60" s="4"/>
      <c r="U60" s="4"/>
      <c r="V60" s="4"/>
      <c r="W60" s="4"/>
      <c r="X60" s="4"/>
      <c r="Y60" s="4"/>
    </row>
    <row r="61" spans="1:25" x14ac:dyDescent="0.2">
      <c r="A61" s="4"/>
      <c r="B61" s="4"/>
      <c r="C61" s="4"/>
      <c r="D61" s="1029"/>
      <c r="E61" s="4"/>
      <c r="F61" s="6"/>
      <c r="G61" s="981"/>
      <c r="H61" s="4"/>
      <c r="I61" s="1030"/>
      <c r="J61" s="982"/>
      <c r="K61" s="4"/>
      <c r="L61" s="4"/>
      <c r="M61" s="4"/>
      <c r="N61" s="4"/>
      <c r="O61" s="4"/>
      <c r="P61" s="4"/>
      <c r="Q61" s="4"/>
      <c r="R61" s="4"/>
      <c r="S61" s="4"/>
      <c r="T61" s="4"/>
      <c r="U61" s="4"/>
      <c r="V61" s="4"/>
      <c r="W61" s="4"/>
      <c r="X61" s="4"/>
      <c r="Y61" s="4"/>
    </row>
    <row r="62" spans="1:25" x14ac:dyDescent="0.2">
      <c r="A62" s="4"/>
      <c r="B62" s="105"/>
      <c r="C62" s="105"/>
      <c r="D62" s="986"/>
      <c r="E62" s="4"/>
      <c r="F62" s="6"/>
      <c r="G62" s="981"/>
      <c r="H62" s="4"/>
      <c r="I62" s="1028"/>
      <c r="J62" s="982"/>
      <c r="K62" s="4"/>
      <c r="L62" s="4"/>
      <c r="M62" s="4"/>
      <c r="N62" s="4"/>
      <c r="O62" s="4"/>
      <c r="P62" s="4"/>
      <c r="Q62" s="4"/>
      <c r="R62" s="4"/>
      <c r="S62" s="4"/>
      <c r="T62" s="4"/>
      <c r="U62" s="4"/>
      <c r="V62" s="4"/>
      <c r="W62" s="4"/>
      <c r="X62" s="4"/>
      <c r="Y62" s="4"/>
    </row>
    <row r="63" spans="1:25" x14ac:dyDescent="0.2">
      <c r="A63" s="4"/>
      <c r="B63" s="4"/>
      <c r="C63" s="4"/>
      <c r="D63" s="1002"/>
      <c r="E63" s="4"/>
      <c r="F63" s="6"/>
      <c r="G63" s="981"/>
      <c r="H63" s="4"/>
      <c r="I63" s="1032"/>
      <c r="J63" s="982"/>
      <c r="K63" s="4"/>
      <c r="L63" s="4"/>
      <c r="M63" s="4"/>
      <c r="N63" s="4"/>
      <c r="O63" s="4"/>
      <c r="P63" s="4"/>
      <c r="Q63" s="4"/>
      <c r="R63" s="4"/>
      <c r="S63" s="4"/>
      <c r="T63" s="4"/>
      <c r="U63" s="4"/>
      <c r="V63" s="4"/>
      <c r="W63" s="4"/>
      <c r="X63" s="4"/>
      <c r="Y63" s="4"/>
    </row>
    <row r="64" spans="1:25" x14ac:dyDescent="0.2">
      <c r="A64" s="4"/>
      <c r="B64" s="4"/>
      <c r="C64" s="4"/>
      <c r="D64" s="1029"/>
      <c r="E64" s="4"/>
      <c r="F64" s="6"/>
      <c r="G64" s="981"/>
      <c r="H64" s="4"/>
      <c r="I64" s="1030"/>
      <c r="J64" s="995"/>
      <c r="K64" s="4"/>
      <c r="L64" s="4"/>
      <c r="M64" s="4"/>
      <c r="N64" s="4"/>
      <c r="O64" s="4"/>
      <c r="P64" s="4"/>
      <c r="Q64" s="4"/>
      <c r="R64" s="4"/>
      <c r="S64" s="4"/>
      <c r="T64" s="4"/>
      <c r="U64" s="4"/>
      <c r="V64" s="4"/>
      <c r="W64" s="4"/>
      <c r="X64" s="4"/>
      <c r="Y64" s="4"/>
    </row>
    <row r="65" spans="1:25" x14ac:dyDescent="0.2">
      <c r="A65" s="4"/>
      <c r="B65" s="334"/>
      <c r="C65" s="334"/>
      <c r="D65" s="867"/>
      <c r="E65" s="4"/>
      <c r="F65" s="6"/>
      <c r="G65" s="981"/>
      <c r="H65" s="4"/>
      <c r="I65" s="1031"/>
      <c r="J65" s="982"/>
      <c r="K65" s="4"/>
      <c r="L65" s="4"/>
      <c r="M65" s="4"/>
      <c r="N65" s="4"/>
      <c r="O65" s="4"/>
      <c r="P65" s="4"/>
      <c r="Q65" s="4"/>
      <c r="R65" s="4"/>
      <c r="S65" s="4"/>
      <c r="T65" s="4"/>
      <c r="U65" s="4"/>
      <c r="V65" s="4"/>
      <c r="W65" s="4"/>
      <c r="X65" s="4"/>
      <c r="Y65" s="4"/>
    </row>
    <row r="66" spans="1:25" x14ac:dyDescent="0.2">
      <c r="A66" s="4"/>
      <c r="B66" s="4"/>
      <c r="C66" s="4"/>
      <c r="D66" s="1029"/>
      <c r="E66" s="4"/>
      <c r="F66" s="6"/>
      <c r="G66" s="981"/>
      <c r="H66" s="4"/>
      <c r="I66" s="1030"/>
      <c r="J66" s="982"/>
      <c r="K66" s="4"/>
      <c r="L66" s="4"/>
      <c r="M66" s="4"/>
      <c r="N66" s="4"/>
      <c r="O66" s="4"/>
      <c r="P66" s="4"/>
      <c r="Q66" s="4"/>
      <c r="R66" s="4"/>
      <c r="S66" s="4"/>
      <c r="T66" s="4"/>
      <c r="U66" s="4"/>
      <c r="V66" s="4"/>
      <c r="W66" s="4"/>
      <c r="X66" s="4"/>
      <c r="Y66" s="4"/>
    </row>
    <row r="67" spans="1:25" x14ac:dyDescent="0.2">
      <c r="A67" s="4"/>
      <c r="B67" s="4"/>
      <c r="C67" s="4"/>
      <c r="D67" s="1002"/>
      <c r="E67" s="4"/>
      <c r="F67" s="6"/>
      <c r="G67" s="981"/>
      <c r="H67" s="4"/>
      <c r="I67" s="1032"/>
      <c r="J67" s="982"/>
      <c r="K67" s="4"/>
      <c r="L67" s="4"/>
      <c r="M67" s="4"/>
      <c r="N67" s="4"/>
      <c r="O67" s="4"/>
      <c r="P67" s="4"/>
      <c r="Q67" s="4"/>
      <c r="R67" s="4"/>
      <c r="S67" s="4"/>
      <c r="T67" s="4"/>
      <c r="U67" s="4"/>
      <c r="V67" s="4"/>
      <c r="W67" s="4"/>
      <c r="X67" s="4"/>
      <c r="Y67" s="4"/>
    </row>
    <row r="68" spans="1:25" x14ac:dyDescent="0.2">
      <c r="A68" s="4"/>
      <c r="B68" s="4"/>
      <c r="C68" s="4"/>
      <c r="D68" s="1029"/>
      <c r="E68" s="4"/>
      <c r="F68" s="6"/>
      <c r="G68" s="981"/>
      <c r="H68" s="4"/>
      <c r="I68" s="1030"/>
      <c r="J68" s="995"/>
      <c r="K68" s="4"/>
      <c r="L68" s="4"/>
      <c r="M68" s="4"/>
      <c r="N68" s="4"/>
      <c r="O68" s="4"/>
      <c r="P68" s="4"/>
      <c r="Q68" s="4"/>
      <c r="R68" s="4"/>
      <c r="S68" s="4"/>
      <c r="T68" s="4"/>
      <c r="U68" s="4"/>
      <c r="V68" s="4"/>
      <c r="W68" s="4"/>
      <c r="X68" s="4"/>
      <c r="Y68" s="4"/>
    </row>
    <row r="69" spans="1:25" x14ac:dyDescent="0.2">
      <c r="A69" s="4"/>
      <c r="B69" s="334"/>
      <c r="C69" s="334"/>
      <c r="D69" s="867"/>
      <c r="E69" s="4"/>
      <c r="F69" s="6"/>
      <c r="G69" s="981"/>
      <c r="H69" s="4"/>
      <c r="I69" s="1031"/>
      <c r="J69" s="982"/>
      <c r="K69" s="4"/>
      <c r="L69" s="4"/>
      <c r="M69" s="4"/>
      <c r="N69" s="4"/>
      <c r="O69" s="4"/>
      <c r="P69" s="4"/>
      <c r="Q69" s="4"/>
      <c r="R69" s="4"/>
      <c r="S69" s="4"/>
      <c r="T69" s="4"/>
      <c r="U69" s="4"/>
      <c r="V69" s="4"/>
      <c r="W69" s="4"/>
      <c r="X69" s="4"/>
      <c r="Y69" s="4"/>
    </row>
    <row r="70" spans="1:25" x14ac:dyDescent="0.2">
      <c r="A70" s="4"/>
      <c r="B70" s="4"/>
      <c r="C70" s="4"/>
      <c r="D70" s="1029"/>
      <c r="E70" s="4"/>
      <c r="F70" s="6"/>
      <c r="G70" s="981"/>
      <c r="H70" s="4"/>
      <c r="I70" s="1030"/>
      <c r="J70" s="982"/>
      <c r="K70" s="4"/>
      <c r="L70" s="4"/>
      <c r="M70" s="4"/>
      <c r="N70" s="4"/>
      <c r="O70" s="4"/>
      <c r="P70" s="4"/>
      <c r="Q70" s="4"/>
      <c r="R70" s="4"/>
      <c r="S70" s="4"/>
      <c r="T70" s="4"/>
      <c r="U70" s="4"/>
      <c r="V70" s="4"/>
      <c r="W70" s="4"/>
      <c r="X70" s="4"/>
      <c r="Y70" s="4"/>
    </row>
    <row r="71" spans="1:25" x14ac:dyDescent="0.2">
      <c r="A71" s="4"/>
      <c r="B71" s="105"/>
      <c r="C71" s="105"/>
      <c r="D71" s="986"/>
      <c r="E71" s="4"/>
      <c r="F71" s="6"/>
      <c r="G71" s="981"/>
      <c r="H71" s="4"/>
      <c r="I71" s="1028"/>
      <c r="J71" s="982"/>
      <c r="K71" s="4"/>
      <c r="L71" s="4"/>
      <c r="M71" s="4"/>
      <c r="N71" s="4"/>
      <c r="O71" s="4"/>
      <c r="P71" s="4"/>
      <c r="Q71" s="4"/>
      <c r="R71" s="4"/>
      <c r="S71" s="4"/>
      <c r="T71" s="4"/>
      <c r="U71" s="4"/>
      <c r="V71" s="4"/>
      <c r="W71" s="4"/>
      <c r="X71" s="4"/>
      <c r="Y71" s="4"/>
    </row>
    <row r="72" spans="1:25" x14ac:dyDescent="0.2">
      <c r="A72" s="4"/>
      <c r="B72" s="4"/>
      <c r="C72" s="4"/>
      <c r="D72" s="1002"/>
      <c r="E72" s="4"/>
      <c r="F72" s="6"/>
      <c r="G72" s="981"/>
      <c r="H72" s="4"/>
      <c r="I72" s="1032"/>
      <c r="J72" s="982"/>
      <c r="K72" s="4"/>
      <c r="L72" s="4"/>
      <c r="M72" s="4"/>
      <c r="N72" s="4"/>
      <c r="O72" s="4"/>
      <c r="P72" s="4"/>
      <c r="Q72" s="4"/>
      <c r="R72" s="4"/>
      <c r="S72" s="4"/>
      <c r="T72" s="4"/>
      <c r="U72" s="4"/>
      <c r="V72" s="4"/>
      <c r="W72" s="4"/>
      <c r="X72" s="4"/>
      <c r="Y72" s="4"/>
    </row>
    <row r="73" spans="1:25" x14ac:dyDescent="0.2">
      <c r="A73" s="4"/>
      <c r="B73" s="4"/>
      <c r="C73" s="4"/>
      <c r="D73" s="1029"/>
      <c r="E73" s="4"/>
      <c r="F73" s="6"/>
      <c r="G73" s="981"/>
      <c r="H73" s="4"/>
      <c r="I73" s="1030"/>
      <c r="J73" s="995"/>
      <c r="K73" s="4"/>
      <c r="L73" s="4"/>
      <c r="M73" s="4"/>
      <c r="N73" s="4"/>
      <c r="O73" s="4"/>
      <c r="P73" s="4"/>
      <c r="Q73" s="4"/>
      <c r="R73" s="4"/>
      <c r="S73" s="4"/>
      <c r="T73" s="4"/>
      <c r="U73" s="4"/>
      <c r="V73" s="4"/>
      <c r="W73" s="4"/>
      <c r="X73" s="4"/>
      <c r="Y73" s="4"/>
    </row>
    <row r="74" spans="1:25" x14ac:dyDescent="0.2">
      <c r="A74" s="4"/>
      <c r="B74" s="4"/>
      <c r="C74" s="4"/>
      <c r="D74" s="1029"/>
      <c r="E74" s="4"/>
      <c r="F74" s="6"/>
      <c r="G74" s="981"/>
      <c r="H74" s="4"/>
      <c r="I74" s="1030"/>
      <c r="J74" s="982"/>
      <c r="K74" s="4"/>
      <c r="L74" s="4"/>
      <c r="M74" s="4"/>
      <c r="N74" s="4"/>
      <c r="O74" s="4"/>
      <c r="P74" s="4"/>
      <c r="Q74" s="4"/>
      <c r="R74" s="4"/>
      <c r="S74" s="4"/>
      <c r="T74" s="4"/>
      <c r="U74" s="4"/>
      <c r="V74" s="4"/>
      <c r="W74" s="4"/>
      <c r="X74" s="4"/>
      <c r="Y74" s="4"/>
    </row>
    <row r="75" spans="1:25" x14ac:dyDescent="0.2">
      <c r="A75" s="4"/>
      <c r="B75" s="105"/>
      <c r="C75" s="105"/>
      <c r="D75" s="1033"/>
      <c r="E75" s="4"/>
      <c r="F75" s="6"/>
      <c r="G75" s="981"/>
      <c r="H75" s="4"/>
      <c r="I75" s="1034"/>
      <c r="J75" s="982"/>
      <c r="K75" s="4"/>
      <c r="L75" s="4"/>
      <c r="M75" s="4"/>
      <c r="N75" s="4"/>
      <c r="O75" s="4"/>
      <c r="P75" s="4"/>
      <c r="Q75" s="4"/>
      <c r="R75" s="4"/>
      <c r="S75" s="4"/>
      <c r="T75" s="4"/>
      <c r="U75" s="4"/>
      <c r="V75" s="4"/>
      <c r="W75" s="4"/>
      <c r="X75" s="4"/>
      <c r="Y75" s="4"/>
    </row>
    <row r="76" spans="1:25" x14ac:dyDescent="0.2">
      <c r="A76" s="4"/>
      <c r="B76" s="4"/>
      <c r="C76" s="4"/>
      <c r="D76" s="6"/>
      <c r="E76" s="4"/>
      <c r="F76" s="6"/>
      <c r="G76" s="981"/>
      <c r="H76" s="4"/>
      <c r="I76" s="1027"/>
      <c r="J76" s="982"/>
      <c r="K76" s="4"/>
      <c r="L76" s="4"/>
      <c r="M76" s="4"/>
      <c r="N76" s="4"/>
      <c r="O76" s="4"/>
      <c r="P76" s="4"/>
      <c r="Q76" s="4"/>
      <c r="R76" s="4"/>
      <c r="S76" s="4"/>
      <c r="T76" s="4"/>
      <c r="U76" s="4"/>
      <c r="V76" s="4"/>
      <c r="W76" s="4"/>
      <c r="X76" s="4"/>
      <c r="Y76" s="4"/>
    </row>
    <row r="77" spans="1:25" x14ac:dyDescent="0.2">
      <c r="A77" s="4"/>
      <c r="B77" s="4"/>
      <c r="C77" s="4"/>
      <c r="D77" s="4"/>
      <c r="E77" s="4"/>
      <c r="F77" s="6"/>
      <c r="G77" s="981"/>
      <c r="H77" s="4"/>
      <c r="I77" s="996"/>
      <c r="J77" s="982"/>
      <c r="K77" s="4"/>
      <c r="L77" s="4"/>
      <c r="M77" s="4"/>
      <c r="N77" s="4"/>
      <c r="O77" s="4"/>
      <c r="P77" s="4"/>
      <c r="Q77" s="4"/>
      <c r="R77" s="4"/>
      <c r="S77" s="4"/>
      <c r="T77" s="4"/>
      <c r="U77" s="4"/>
      <c r="V77" s="4"/>
      <c r="W77" s="4"/>
      <c r="X77" s="4"/>
      <c r="Y77" s="4"/>
    </row>
    <row r="78" spans="1:25" x14ac:dyDescent="0.2">
      <c r="A78" s="4"/>
      <c r="B78" s="105"/>
      <c r="C78" s="4"/>
      <c r="D78" s="4"/>
      <c r="E78" s="4"/>
      <c r="F78" s="6"/>
      <c r="G78" s="981"/>
      <c r="H78" s="4"/>
      <c r="I78" s="996"/>
      <c r="J78" s="982"/>
      <c r="K78" s="4"/>
      <c r="L78" s="4"/>
      <c r="M78" s="4"/>
      <c r="N78" s="4"/>
      <c r="O78" s="4"/>
      <c r="P78" s="4"/>
      <c r="Q78" s="4"/>
      <c r="R78" s="4"/>
      <c r="S78" s="4"/>
      <c r="T78" s="4"/>
      <c r="U78" s="4"/>
      <c r="V78" s="4"/>
      <c r="W78" s="4"/>
      <c r="X78" s="4"/>
      <c r="Y78" s="4"/>
    </row>
    <row r="79" spans="1:25" x14ac:dyDescent="0.2">
      <c r="A79" s="4"/>
      <c r="B79" s="4"/>
      <c r="C79" s="4"/>
      <c r="D79" s="987"/>
      <c r="E79" s="1035"/>
      <c r="F79" s="6"/>
      <c r="G79" s="981"/>
      <c r="H79" s="4"/>
      <c r="I79" s="988"/>
      <c r="J79" s="995"/>
      <c r="K79" s="4"/>
      <c r="L79" s="4"/>
      <c r="M79" s="4"/>
      <c r="N79" s="4"/>
      <c r="O79" s="4"/>
      <c r="P79" s="4"/>
      <c r="Q79" s="4"/>
      <c r="R79" s="4"/>
      <c r="S79" s="4"/>
      <c r="T79" s="4"/>
      <c r="U79" s="4"/>
      <c r="V79" s="4"/>
      <c r="W79" s="4"/>
      <c r="X79" s="4"/>
      <c r="Y79" s="4"/>
    </row>
    <row r="80" spans="1:25" x14ac:dyDescent="0.2">
      <c r="A80" s="4"/>
      <c r="B80" s="4"/>
      <c r="C80" s="4"/>
      <c r="D80" s="987"/>
      <c r="E80" s="6"/>
      <c r="F80" s="6"/>
      <c r="G80" s="981"/>
      <c r="H80" s="4"/>
      <c r="I80" s="988"/>
      <c r="J80" s="995"/>
      <c r="K80" s="4"/>
      <c r="L80" s="4"/>
      <c r="M80" s="4"/>
      <c r="N80" s="4"/>
      <c r="O80" s="4"/>
      <c r="P80" s="4"/>
      <c r="Q80" s="4"/>
      <c r="R80" s="4"/>
      <c r="S80" s="4"/>
      <c r="T80" s="4"/>
      <c r="U80" s="4"/>
      <c r="V80" s="4"/>
      <c r="W80" s="4"/>
      <c r="X80" s="4"/>
      <c r="Y80" s="4"/>
    </row>
    <row r="81" spans="1:25" x14ac:dyDescent="0.2">
      <c r="A81" s="4"/>
      <c r="B81" s="105"/>
      <c r="C81" s="105"/>
      <c r="D81" s="989"/>
      <c r="E81" s="4"/>
      <c r="F81" s="6"/>
      <c r="G81" s="981"/>
      <c r="H81" s="4"/>
      <c r="I81" s="990"/>
      <c r="J81" s="995"/>
      <c r="K81" s="4"/>
      <c r="L81" s="4"/>
      <c r="M81" s="4"/>
      <c r="N81" s="4"/>
      <c r="O81" s="4"/>
      <c r="P81" s="4"/>
      <c r="Q81" s="4"/>
      <c r="R81" s="4"/>
      <c r="S81" s="4"/>
      <c r="T81" s="4"/>
      <c r="U81" s="4"/>
      <c r="V81" s="4"/>
      <c r="W81" s="4"/>
      <c r="X81" s="4"/>
      <c r="Y81" s="4"/>
    </row>
    <row r="82" spans="1:25" x14ac:dyDescent="0.2">
      <c r="A82" s="4"/>
      <c r="B82" s="4"/>
      <c r="C82" s="105"/>
      <c r="D82" s="1036"/>
      <c r="E82" s="4"/>
      <c r="F82" s="6"/>
      <c r="G82" s="981"/>
      <c r="H82" s="4"/>
      <c r="I82" s="998"/>
      <c r="J82" s="982"/>
      <c r="K82" s="4"/>
      <c r="L82" s="4"/>
      <c r="M82" s="4"/>
      <c r="N82" s="4"/>
      <c r="O82" s="4"/>
      <c r="P82" s="4"/>
      <c r="Q82" s="4"/>
      <c r="R82" s="4"/>
      <c r="S82" s="4"/>
      <c r="T82" s="4"/>
      <c r="U82" s="4"/>
      <c r="V82" s="4"/>
      <c r="W82" s="4"/>
      <c r="X82" s="4"/>
      <c r="Y82" s="4"/>
    </row>
    <row r="83" spans="1:25" x14ac:dyDescent="0.2">
      <c r="A83" s="4"/>
      <c r="B83" s="4"/>
      <c r="C83" s="105"/>
      <c r="D83" s="1037"/>
      <c r="E83" s="4"/>
      <c r="F83" s="6"/>
      <c r="G83" s="981"/>
      <c r="H83" s="4"/>
      <c r="I83" s="1038"/>
      <c r="J83" s="982"/>
      <c r="K83" s="4"/>
      <c r="L83" s="4"/>
      <c r="M83" s="4"/>
      <c r="N83" s="4"/>
      <c r="O83" s="4"/>
      <c r="P83" s="4"/>
      <c r="Q83" s="4"/>
      <c r="R83" s="4"/>
      <c r="S83" s="4"/>
      <c r="T83" s="4"/>
      <c r="U83" s="4"/>
      <c r="V83" s="4"/>
      <c r="W83" s="4"/>
      <c r="X83" s="4"/>
      <c r="Y83" s="4"/>
    </row>
    <row r="84" spans="1:25" x14ac:dyDescent="0.2">
      <c r="A84" s="4"/>
      <c r="B84" s="105"/>
      <c r="C84" s="105"/>
      <c r="D84" s="991"/>
      <c r="E84" s="4"/>
      <c r="F84" s="6"/>
      <c r="G84" s="981"/>
      <c r="H84" s="4"/>
      <c r="I84" s="998"/>
      <c r="J84" s="982"/>
      <c r="K84" s="4"/>
      <c r="L84" s="4"/>
      <c r="M84" s="4"/>
      <c r="N84" s="4"/>
      <c r="O84" s="4"/>
      <c r="P84" s="4"/>
      <c r="Q84" s="4"/>
      <c r="R84" s="4"/>
      <c r="S84" s="4"/>
      <c r="T84" s="4"/>
      <c r="U84" s="4"/>
      <c r="V84" s="4"/>
      <c r="W84" s="4"/>
      <c r="X84" s="4"/>
      <c r="Y84" s="4"/>
    </row>
    <row r="85" spans="1:25" x14ac:dyDescent="0.2">
      <c r="A85" s="4"/>
      <c r="B85" s="105"/>
      <c r="C85" s="105"/>
      <c r="D85" s="989"/>
      <c r="E85" s="4"/>
      <c r="F85" s="6"/>
      <c r="G85" s="981"/>
      <c r="H85" s="4"/>
      <c r="I85" s="990"/>
      <c r="J85" s="995"/>
      <c r="K85" s="4"/>
      <c r="L85" s="4"/>
      <c r="M85" s="4"/>
      <c r="N85" s="4"/>
      <c r="O85" s="4"/>
      <c r="P85" s="4"/>
      <c r="Q85" s="4"/>
      <c r="R85" s="4"/>
      <c r="S85" s="4"/>
      <c r="T85" s="4"/>
      <c r="U85" s="4"/>
      <c r="V85" s="4"/>
      <c r="W85" s="4"/>
      <c r="X85" s="4"/>
      <c r="Y85" s="4"/>
    </row>
    <row r="86" spans="1:25" x14ac:dyDescent="0.2">
      <c r="A86" s="4"/>
      <c r="B86" s="4"/>
      <c r="C86" s="4"/>
      <c r="D86" s="4"/>
      <c r="E86" s="4"/>
      <c r="F86" s="6"/>
      <c r="G86" s="981"/>
      <c r="H86" s="4"/>
      <c r="I86" s="4"/>
      <c r="J86" s="982"/>
      <c r="K86" s="4"/>
      <c r="L86" s="4"/>
      <c r="M86" s="4"/>
      <c r="N86" s="4"/>
      <c r="O86" s="4"/>
      <c r="P86" s="4"/>
      <c r="Q86" s="4"/>
      <c r="R86" s="4"/>
      <c r="S86" s="4"/>
      <c r="T86" s="4"/>
      <c r="U86" s="4"/>
      <c r="V86" s="4"/>
      <c r="W86" s="4"/>
      <c r="X86" s="4"/>
      <c r="Y86" s="4"/>
    </row>
    <row r="87" spans="1:25" x14ac:dyDescent="0.2">
      <c r="A87" s="4"/>
      <c r="B87" s="4"/>
      <c r="C87" s="4"/>
      <c r="D87" s="4"/>
      <c r="E87" s="4"/>
      <c r="F87" s="6"/>
      <c r="G87" s="981"/>
      <c r="H87" s="4"/>
      <c r="I87" s="4"/>
      <c r="J87" s="982"/>
      <c r="K87" s="4"/>
      <c r="L87" s="4"/>
      <c r="M87" s="4"/>
      <c r="N87" s="4"/>
      <c r="O87" s="4"/>
      <c r="P87" s="4"/>
      <c r="Q87" s="4"/>
      <c r="R87" s="4"/>
      <c r="S87" s="4"/>
      <c r="T87" s="4"/>
      <c r="U87" s="4"/>
      <c r="V87" s="4"/>
      <c r="W87" s="4"/>
      <c r="X87" s="4"/>
      <c r="Y87" s="4"/>
    </row>
    <row r="88" spans="1:25" x14ac:dyDescent="0.2">
      <c r="A88" s="4"/>
      <c r="B88" s="4"/>
      <c r="C88" s="4"/>
      <c r="D88" s="4"/>
      <c r="E88" s="4"/>
      <c r="F88" s="6"/>
      <c r="G88" s="981"/>
      <c r="H88" s="4"/>
      <c r="I88" s="4"/>
      <c r="J88" s="982"/>
      <c r="K88" s="4"/>
      <c r="L88" s="4"/>
      <c r="M88" s="4"/>
      <c r="N88" s="4"/>
      <c r="O88" s="4"/>
      <c r="P88" s="4"/>
      <c r="Q88" s="4"/>
      <c r="R88" s="4"/>
      <c r="S88" s="4"/>
      <c r="T88" s="4"/>
      <c r="U88" s="4"/>
      <c r="V88" s="4"/>
      <c r="W88" s="4"/>
      <c r="X88" s="4"/>
      <c r="Y88" s="4"/>
    </row>
    <row r="89" spans="1:25" x14ac:dyDescent="0.2">
      <c r="A89" s="4"/>
      <c r="B89" s="4"/>
      <c r="C89" s="4"/>
      <c r="D89" s="4"/>
      <c r="E89" s="4"/>
      <c r="F89" s="6"/>
      <c r="G89" s="981"/>
      <c r="H89" s="4"/>
      <c r="I89" s="4"/>
      <c r="J89" s="982"/>
      <c r="K89" s="4"/>
      <c r="L89" s="4"/>
      <c r="M89" s="4"/>
      <c r="N89" s="4"/>
      <c r="O89" s="4"/>
      <c r="P89" s="4"/>
      <c r="Q89" s="4"/>
      <c r="R89" s="4"/>
      <c r="S89" s="4"/>
      <c r="T89" s="4"/>
      <c r="U89" s="4"/>
      <c r="V89" s="4"/>
      <c r="W89" s="4"/>
      <c r="X89" s="4"/>
      <c r="Y89" s="4"/>
    </row>
    <row r="90" spans="1:25" x14ac:dyDescent="0.2">
      <c r="A90" s="4"/>
      <c r="B90" s="4"/>
      <c r="C90" s="4"/>
      <c r="D90" s="4"/>
      <c r="E90" s="4"/>
      <c r="F90" s="6"/>
      <c r="G90" s="981"/>
      <c r="H90" s="4"/>
      <c r="I90" s="4"/>
      <c r="J90" s="982"/>
      <c r="K90" s="4"/>
      <c r="L90" s="4"/>
      <c r="M90" s="4"/>
      <c r="N90" s="4"/>
      <c r="O90" s="4"/>
      <c r="P90" s="4"/>
      <c r="Q90" s="4"/>
      <c r="R90" s="4"/>
      <c r="S90" s="4"/>
      <c r="T90" s="4"/>
      <c r="U90" s="4"/>
      <c r="V90" s="4"/>
      <c r="W90" s="4"/>
      <c r="X90" s="4"/>
      <c r="Y90" s="4"/>
    </row>
    <row r="91" spans="1:25" x14ac:dyDescent="0.2">
      <c r="A91" s="4"/>
      <c r="B91" s="4"/>
      <c r="C91" s="4"/>
      <c r="D91" s="4"/>
      <c r="E91" s="4"/>
      <c r="F91" s="6"/>
      <c r="G91" s="981"/>
      <c r="H91" s="4"/>
      <c r="I91" s="4"/>
      <c r="J91" s="982"/>
      <c r="K91" s="4"/>
      <c r="L91" s="4"/>
      <c r="M91" s="4"/>
      <c r="N91" s="4"/>
      <c r="O91" s="4"/>
      <c r="P91" s="4"/>
      <c r="Q91" s="4"/>
      <c r="R91" s="4"/>
      <c r="S91" s="4"/>
      <c r="T91" s="4"/>
      <c r="U91" s="4"/>
      <c r="V91" s="4"/>
      <c r="W91" s="4"/>
      <c r="X91" s="4"/>
      <c r="Y91" s="4"/>
    </row>
    <row r="92" spans="1:25" x14ac:dyDescent="0.2">
      <c r="A92" s="4"/>
      <c r="B92" s="4"/>
      <c r="C92" s="4"/>
      <c r="D92" s="4"/>
      <c r="E92" s="4"/>
      <c r="F92" s="1001"/>
      <c r="G92" s="866"/>
      <c r="H92" s="1039"/>
      <c r="I92" s="4"/>
      <c r="J92" s="982"/>
      <c r="K92" s="4"/>
      <c r="L92" s="4"/>
      <c r="M92" s="4"/>
      <c r="N92" s="4"/>
      <c r="O92" s="4"/>
      <c r="P92" s="4"/>
      <c r="Q92" s="4"/>
      <c r="R92" s="4"/>
      <c r="S92" s="4"/>
      <c r="T92" s="4"/>
      <c r="U92" s="4"/>
      <c r="V92" s="4"/>
      <c r="W92" s="4"/>
      <c r="X92" s="4"/>
      <c r="Y92" s="4"/>
    </row>
    <row r="93" spans="1:25" x14ac:dyDescent="0.2">
      <c r="A93" s="4"/>
      <c r="B93" s="4"/>
      <c r="C93" s="4"/>
      <c r="D93" s="4"/>
      <c r="E93" s="4"/>
      <c r="F93" s="6"/>
      <c r="G93" s="981"/>
      <c r="H93" s="4"/>
      <c r="I93" s="4"/>
      <c r="J93" s="982"/>
      <c r="K93" s="4"/>
      <c r="L93" s="4"/>
      <c r="M93" s="4"/>
      <c r="N93" s="4"/>
      <c r="O93" s="4"/>
      <c r="P93" s="4"/>
      <c r="Q93" s="4"/>
      <c r="R93" s="4"/>
      <c r="S93" s="4"/>
      <c r="T93" s="4"/>
      <c r="U93" s="4"/>
      <c r="V93" s="4"/>
      <c r="W93" s="4"/>
      <c r="X93" s="4"/>
      <c r="Y93" s="4"/>
    </row>
    <row r="94" spans="1:25" x14ac:dyDescent="0.2">
      <c r="A94" s="4"/>
      <c r="B94" s="4"/>
      <c r="C94" s="4"/>
      <c r="D94" s="4"/>
      <c r="E94" s="4"/>
      <c r="F94" s="6"/>
      <c r="G94" s="981"/>
      <c r="H94" s="4"/>
      <c r="I94" s="4"/>
      <c r="J94" s="982"/>
      <c r="K94" s="4"/>
      <c r="L94" s="4"/>
      <c r="M94" s="4"/>
      <c r="N94" s="4"/>
      <c r="O94" s="4"/>
      <c r="P94" s="4"/>
      <c r="Q94" s="4"/>
      <c r="R94" s="4"/>
      <c r="S94" s="4"/>
      <c r="T94" s="4"/>
      <c r="U94" s="4"/>
      <c r="V94" s="4"/>
      <c r="W94" s="4"/>
      <c r="X94" s="4"/>
      <c r="Y94" s="4"/>
    </row>
    <row r="95" spans="1:25" x14ac:dyDescent="0.2">
      <c r="A95" s="4"/>
      <c r="B95" s="4"/>
      <c r="C95" s="4"/>
      <c r="D95" s="4"/>
      <c r="E95" s="4"/>
      <c r="F95" s="6"/>
      <c r="G95" s="981"/>
      <c r="H95" s="4"/>
      <c r="I95" s="4"/>
      <c r="J95" s="982"/>
      <c r="K95" s="4"/>
      <c r="L95" s="4"/>
      <c r="M95" s="4"/>
      <c r="N95" s="4"/>
      <c r="O95" s="4"/>
      <c r="P95" s="4"/>
      <c r="Q95" s="4"/>
      <c r="R95" s="4"/>
      <c r="S95" s="4"/>
      <c r="T95" s="4"/>
      <c r="U95" s="4"/>
      <c r="V95" s="4"/>
      <c r="W95" s="4"/>
      <c r="X95" s="4"/>
      <c r="Y95" s="4"/>
    </row>
    <row r="96" spans="1:25" x14ac:dyDescent="0.2">
      <c r="A96" s="4"/>
      <c r="B96" s="4"/>
      <c r="C96" s="4"/>
      <c r="D96" s="4"/>
      <c r="E96" s="4"/>
      <c r="F96" s="6"/>
      <c r="G96" s="981"/>
      <c r="H96" s="4"/>
      <c r="I96" s="4"/>
      <c r="J96" s="982"/>
      <c r="K96" s="4"/>
      <c r="L96" s="4"/>
      <c r="M96" s="4"/>
      <c r="N96" s="4"/>
      <c r="O96" s="4"/>
      <c r="P96" s="4"/>
      <c r="Q96" s="4"/>
      <c r="R96" s="4"/>
      <c r="S96" s="4"/>
      <c r="T96" s="4"/>
      <c r="U96" s="4"/>
      <c r="V96" s="4"/>
      <c r="W96" s="4"/>
      <c r="X96" s="4"/>
      <c r="Y96" s="4"/>
    </row>
    <row r="97" spans="1:25" x14ac:dyDescent="0.2">
      <c r="A97" s="4"/>
      <c r="B97" s="4"/>
      <c r="C97" s="4"/>
      <c r="D97" s="4"/>
      <c r="E97" s="4"/>
      <c r="F97" s="6"/>
      <c r="G97" s="981"/>
      <c r="H97" s="4"/>
      <c r="I97" s="4"/>
      <c r="J97" s="982"/>
      <c r="K97" s="4"/>
      <c r="L97" s="4"/>
      <c r="M97" s="4"/>
      <c r="N97" s="4"/>
      <c r="O97" s="4"/>
      <c r="P97" s="4"/>
      <c r="Q97" s="4"/>
      <c r="R97" s="4"/>
      <c r="S97" s="4"/>
      <c r="T97" s="4"/>
      <c r="U97" s="4"/>
      <c r="V97" s="4"/>
      <c r="W97" s="4"/>
      <c r="X97" s="4"/>
      <c r="Y97" s="4"/>
    </row>
    <row r="98" spans="1:25" x14ac:dyDescent="0.2">
      <c r="A98" s="4"/>
      <c r="B98" s="4"/>
      <c r="C98" s="4"/>
      <c r="D98" s="4"/>
      <c r="E98" s="4"/>
      <c r="F98" s="6"/>
      <c r="G98" s="981"/>
      <c r="H98" s="4"/>
      <c r="I98" s="4"/>
      <c r="J98" s="982"/>
      <c r="K98" s="4"/>
      <c r="L98" s="4"/>
      <c r="M98" s="4"/>
      <c r="N98" s="4"/>
      <c r="O98" s="4"/>
      <c r="P98" s="4"/>
      <c r="Q98" s="4"/>
      <c r="R98" s="4"/>
      <c r="S98" s="4"/>
      <c r="T98" s="4"/>
      <c r="U98" s="4"/>
      <c r="V98" s="4"/>
      <c r="W98" s="4"/>
      <c r="X98" s="4"/>
      <c r="Y98" s="4"/>
    </row>
    <row r="99" spans="1:25" x14ac:dyDescent="0.2">
      <c r="A99" s="4"/>
      <c r="B99" s="4"/>
      <c r="C99" s="4"/>
      <c r="D99" s="118"/>
      <c r="E99" s="4"/>
      <c r="F99" s="6"/>
      <c r="G99" s="981"/>
      <c r="H99" s="4"/>
      <c r="I99" s="4"/>
      <c r="J99" s="982"/>
      <c r="K99" s="4"/>
      <c r="L99" s="4"/>
      <c r="M99" s="4"/>
      <c r="N99" s="4"/>
      <c r="O99" s="4"/>
      <c r="P99" s="4"/>
      <c r="Q99" s="4"/>
      <c r="R99" s="4"/>
      <c r="S99" s="4"/>
      <c r="T99" s="4"/>
      <c r="U99" s="4"/>
      <c r="V99" s="4"/>
      <c r="W99" s="4"/>
      <c r="X99" s="4"/>
      <c r="Y99" s="4"/>
    </row>
    <row r="100" spans="1:25" x14ac:dyDescent="0.2">
      <c r="A100" s="4"/>
      <c r="B100" s="4"/>
      <c r="C100" s="4"/>
      <c r="D100" s="1002"/>
      <c r="E100" s="4"/>
      <c r="F100" s="6"/>
      <c r="G100" s="981"/>
      <c r="H100" s="4"/>
      <c r="I100" s="4"/>
      <c r="J100" s="982"/>
      <c r="K100" s="4"/>
      <c r="L100" s="4"/>
      <c r="M100" s="4"/>
      <c r="N100" s="4"/>
      <c r="O100" s="4"/>
      <c r="P100" s="4"/>
      <c r="Q100" s="4"/>
      <c r="R100" s="4"/>
      <c r="S100" s="4"/>
      <c r="T100" s="4"/>
      <c r="U100" s="4"/>
      <c r="V100" s="4"/>
      <c r="W100" s="4"/>
      <c r="X100" s="4"/>
      <c r="Y100" s="4"/>
    </row>
    <row r="101" spans="1:25" x14ac:dyDescent="0.2">
      <c r="A101" s="4"/>
      <c r="B101" s="4"/>
      <c r="C101" s="4"/>
      <c r="D101" s="4"/>
      <c r="E101" s="4"/>
      <c r="F101" s="4"/>
      <c r="G101" s="981"/>
      <c r="H101" s="4"/>
      <c r="I101" s="4"/>
      <c r="J101" s="982"/>
      <c r="K101" s="4"/>
      <c r="L101" s="4"/>
      <c r="M101" s="4"/>
      <c r="N101" s="4"/>
      <c r="O101" s="4"/>
      <c r="P101" s="4"/>
      <c r="Q101" s="4"/>
      <c r="R101" s="4"/>
      <c r="S101" s="4"/>
      <c r="T101" s="4"/>
      <c r="U101" s="4"/>
      <c r="V101" s="4"/>
      <c r="W101" s="4"/>
      <c r="X101" s="4"/>
      <c r="Y101" s="4"/>
    </row>
    <row r="102" spans="1:25" x14ac:dyDescent="0.2">
      <c r="A102" s="4"/>
      <c r="B102" s="4"/>
      <c r="C102" s="4"/>
      <c r="D102" s="4"/>
      <c r="E102" s="4"/>
      <c r="F102" s="4"/>
      <c r="G102" s="981"/>
      <c r="H102" s="4"/>
      <c r="I102" s="4"/>
      <c r="J102" s="982"/>
      <c r="K102" s="4"/>
      <c r="L102" s="4"/>
      <c r="M102" s="4"/>
      <c r="N102" s="4"/>
      <c r="O102" s="4"/>
      <c r="P102" s="4"/>
      <c r="Q102" s="4"/>
      <c r="R102" s="4"/>
      <c r="S102" s="4"/>
      <c r="T102" s="4"/>
      <c r="U102" s="4"/>
      <c r="V102" s="4"/>
      <c r="W102" s="4"/>
      <c r="X102" s="4"/>
      <c r="Y102" s="4"/>
    </row>
    <row r="103" spans="1:25" x14ac:dyDescent="0.2">
      <c r="A103" s="4"/>
      <c r="B103" s="4"/>
      <c r="C103" s="4"/>
      <c r="D103" s="4"/>
      <c r="E103" s="4"/>
      <c r="F103" s="4"/>
      <c r="G103" s="981"/>
      <c r="H103" s="4"/>
      <c r="I103" s="4"/>
      <c r="J103" s="982"/>
      <c r="K103" s="4"/>
      <c r="L103" s="4"/>
      <c r="M103" s="4"/>
      <c r="N103" s="4"/>
      <c r="O103" s="4"/>
      <c r="P103" s="4"/>
      <c r="Q103" s="4"/>
      <c r="R103" s="4"/>
      <c r="S103" s="4"/>
      <c r="T103" s="4"/>
      <c r="U103" s="4"/>
      <c r="V103" s="4"/>
      <c r="W103" s="4"/>
      <c r="X103" s="4"/>
      <c r="Y103" s="4"/>
    </row>
    <row r="104" spans="1:25" x14ac:dyDescent="0.2">
      <c r="A104" s="4"/>
      <c r="B104" s="4"/>
      <c r="C104" s="4"/>
      <c r="D104" s="4"/>
      <c r="E104" s="4"/>
      <c r="F104" s="4"/>
      <c r="G104" s="981"/>
      <c r="H104" s="4"/>
      <c r="I104" s="4"/>
      <c r="J104" s="982"/>
      <c r="K104" s="4"/>
      <c r="L104" s="4"/>
      <c r="M104" s="4"/>
      <c r="N104" s="4"/>
      <c r="O104" s="4"/>
      <c r="P104" s="4"/>
      <c r="Q104" s="4"/>
      <c r="R104" s="4"/>
      <c r="S104" s="4"/>
      <c r="T104" s="4"/>
      <c r="U104" s="4"/>
      <c r="V104" s="4"/>
      <c r="W104" s="4"/>
      <c r="X104" s="4"/>
      <c r="Y104" s="4"/>
    </row>
    <row r="105" spans="1:25" x14ac:dyDescent="0.2">
      <c r="A105" s="4"/>
      <c r="B105" s="4"/>
      <c r="C105" s="4"/>
      <c r="D105" s="4"/>
      <c r="E105" s="4"/>
      <c r="F105" s="4"/>
      <c r="G105" s="981"/>
      <c r="H105" s="4"/>
      <c r="I105" s="4"/>
      <c r="J105" s="982"/>
      <c r="K105" s="4"/>
      <c r="L105" s="4"/>
      <c r="M105" s="4"/>
      <c r="N105" s="4"/>
      <c r="O105" s="4"/>
      <c r="P105" s="4"/>
      <c r="Q105" s="4"/>
      <c r="R105" s="4"/>
      <c r="S105" s="4"/>
      <c r="T105" s="4"/>
      <c r="U105" s="4"/>
      <c r="V105" s="4"/>
      <c r="W105" s="4"/>
      <c r="X105" s="4"/>
      <c r="Y105" s="4"/>
    </row>
    <row r="106" spans="1:25" x14ac:dyDescent="0.2">
      <c r="A106" s="4"/>
      <c r="B106" s="4"/>
      <c r="C106" s="4"/>
      <c r="D106" s="4"/>
      <c r="E106" s="4"/>
      <c r="F106" s="4"/>
      <c r="G106" s="981"/>
      <c r="H106" s="4"/>
      <c r="I106" s="4"/>
      <c r="J106" s="982"/>
      <c r="K106" s="4"/>
      <c r="L106" s="4"/>
      <c r="M106" s="4"/>
      <c r="N106" s="4"/>
      <c r="O106" s="4"/>
      <c r="P106" s="4"/>
      <c r="Q106" s="4"/>
      <c r="R106" s="4"/>
      <c r="S106" s="4"/>
      <c r="T106" s="4"/>
      <c r="U106" s="4"/>
      <c r="V106" s="4"/>
      <c r="W106" s="4"/>
      <c r="X106" s="4"/>
      <c r="Y106" s="4"/>
    </row>
    <row r="107" spans="1:25" x14ac:dyDescent="0.2">
      <c r="A107" s="4"/>
      <c r="B107" s="4"/>
      <c r="C107" s="4"/>
      <c r="D107" s="4"/>
      <c r="E107" s="4"/>
      <c r="F107" s="4"/>
      <c r="G107" s="981"/>
      <c r="H107" s="4"/>
      <c r="I107" s="4"/>
      <c r="J107" s="982"/>
      <c r="K107" s="4"/>
      <c r="L107" s="4"/>
      <c r="M107" s="4"/>
      <c r="N107" s="4"/>
      <c r="O107" s="4"/>
      <c r="P107" s="4"/>
      <c r="Q107" s="4"/>
      <c r="R107" s="4"/>
      <c r="S107" s="4"/>
      <c r="T107" s="4"/>
      <c r="U107" s="4"/>
      <c r="V107" s="4"/>
      <c r="W107" s="4"/>
      <c r="X107" s="4"/>
      <c r="Y107" s="4"/>
    </row>
    <row r="108" spans="1:25" x14ac:dyDescent="0.2">
      <c r="A108" s="4"/>
      <c r="B108" s="4"/>
      <c r="C108" s="4"/>
      <c r="D108" s="4"/>
      <c r="E108" s="4"/>
      <c r="F108" s="4"/>
      <c r="G108" s="981"/>
      <c r="H108" s="4"/>
      <c r="I108" s="4"/>
      <c r="J108" s="982"/>
      <c r="K108" s="4"/>
      <c r="L108" s="4"/>
      <c r="M108" s="4"/>
      <c r="N108" s="4"/>
      <c r="O108" s="4"/>
      <c r="P108" s="4"/>
      <c r="Q108" s="4"/>
      <c r="R108" s="4"/>
      <c r="S108" s="4"/>
      <c r="T108" s="4"/>
      <c r="U108" s="4"/>
      <c r="V108" s="4"/>
      <c r="W108" s="4"/>
      <c r="X108" s="4"/>
      <c r="Y108" s="4"/>
    </row>
    <row r="109" spans="1:25" x14ac:dyDescent="0.2">
      <c r="A109" s="4"/>
      <c r="B109" s="4"/>
      <c r="C109" s="4"/>
      <c r="D109" s="4"/>
      <c r="E109" s="4"/>
      <c r="F109" s="4"/>
      <c r="G109" s="981"/>
      <c r="H109" s="4"/>
      <c r="I109" s="4"/>
      <c r="J109" s="982"/>
      <c r="K109" s="4"/>
      <c r="L109" s="4"/>
      <c r="M109" s="4"/>
      <c r="N109" s="4"/>
      <c r="O109" s="4"/>
      <c r="P109" s="4"/>
      <c r="Q109" s="4"/>
      <c r="R109" s="4"/>
      <c r="S109" s="4"/>
      <c r="T109" s="4"/>
      <c r="U109" s="4"/>
      <c r="V109" s="4"/>
      <c r="W109" s="4"/>
      <c r="X109" s="4"/>
      <c r="Y109" s="4"/>
    </row>
    <row r="110" spans="1:25" x14ac:dyDescent="0.2">
      <c r="A110" s="4"/>
      <c r="B110" s="4"/>
      <c r="C110" s="4"/>
      <c r="D110" s="4"/>
      <c r="E110" s="4"/>
      <c r="F110" s="4"/>
      <c r="G110" s="981"/>
      <c r="H110" s="4"/>
      <c r="I110" s="4"/>
      <c r="J110" s="982"/>
      <c r="K110" s="4"/>
      <c r="L110" s="4"/>
      <c r="M110" s="4"/>
      <c r="N110" s="4"/>
      <c r="O110" s="4"/>
      <c r="P110" s="4"/>
      <c r="Q110" s="4"/>
      <c r="R110" s="4"/>
      <c r="S110" s="4"/>
      <c r="T110" s="4"/>
      <c r="U110" s="4"/>
      <c r="V110" s="4"/>
      <c r="W110" s="4"/>
      <c r="X110" s="4"/>
      <c r="Y110" s="4"/>
    </row>
    <row r="111" spans="1:25" x14ac:dyDescent="0.2">
      <c r="A111" s="4"/>
      <c r="B111" s="4"/>
      <c r="C111" s="4"/>
      <c r="D111" s="4"/>
      <c r="E111" s="4"/>
      <c r="F111" s="4"/>
      <c r="G111" s="981"/>
      <c r="H111" s="4"/>
      <c r="I111" s="4"/>
      <c r="J111" s="982"/>
      <c r="K111" s="4"/>
      <c r="L111" s="4"/>
      <c r="M111" s="4"/>
      <c r="N111" s="4"/>
      <c r="O111" s="4"/>
      <c r="P111" s="4"/>
      <c r="Q111" s="4"/>
      <c r="R111" s="4"/>
      <c r="S111" s="4"/>
      <c r="T111" s="4"/>
      <c r="U111" s="4"/>
      <c r="V111" s="4"/>
      <c r="W111" s="4"/>
      <c r="X111" s="4"/>
      <c r="Y111" s="4"/>
    </row>
    <row r="112" spans="1:25" x14ac:dyDescent="0.2">
      <c r="A112" s="4"/>
      <c r="B112" s="4"/>
      <c r="C112" s="4"/>
      <c r="D112" s="4"/>
      <c r="E112" s="4"/>
      <c r="F112" s="4"/>
      <c r="G112" s="981"/>
      <c r="H112" s="4"/>
      <c r="I112" s="4"/>
      <c r="J112" s="982"/>
      <c r="K112" s="4"/>
      <c r="L112" s="4"/>
      <c r="M112" s="4"/>
      <c r="N112" s="4"/>
      <c r="O112" s="4"/>
      <c r="P112" s="4"/>
      <c r="Q112" s="4"/>
      <c r="R112" s="4"/>
      <c r="S112" s="4"/>
      <c r="T112" s="4"/>
      <c r="U112" s="4"/>
      <c r="V112" s="4"/>
      <c r="W112" s="4"/>
      <c r="X112" s="4"/>
      <c r="Y112" s="4"/>
    </row>
    <row r="113" spans="1:25" x14ac:dyDescent="0.2">
      <c r="A113" s="4"/>
      <c r="B113" s="4"/>
      <c r="C113" s="4"/>
      <c r="D113" s="4"/>
      <c r="E113" s="4"/>
      <c r="F113" s="4"/>
      <c r="G113" s="981"/>
      <c r="H113" s="4"/>
      <c r="I113" s="4"/>
      <c r="J113" s="982"/>
      <c r="K113" s="4"/>
      <c r="L113" s="4"/>
      <c r="M113" s="4"/>
      <c r="N113" s="4"/>
      <c r="O113" s="4"/>
      <c r="P113" s="4"/>
      <c r="Q113" s="4"/>
      <c r="R113" s="4"/>
      <c r="S113" s="4"/>
      <c r="T113" s="4"/>
      <c r="U113" s="4"/>
      <c r="V113" s="4"/>
      <c r="W113" s="4"/>
      <c r="X113" s="4"/>
      <c r="Y113" s="4"/>
    </row>
    <row r="114" spans="1:25" x14ac:dyDescent="0.2">
      <c r="A114" s="4"/>
      <c r="B114" s="4"/>
      <c r="C114" s="4"/>
      <c r="D114" s="4"/>
      <c r="E114" s="4"/>
      <c r="F114" s="4"/>
      <c r="G114" s="981"/>
      <c r="H114" s="4"/>
      <c r="I114" s="4"/>
      <c r="J114" s="982"/>
      <c r="K114" s="4"/>
      <c r="L114" s="4"/>
      <c r="M114" s="4"/>
      <c r="N114" s="4"/>
      <c r="O114" s="4"/>
      <c r="P114" s="4"/>
      <c r="Q114" s="4"/>
      <c r="R114" s="4"/>
      <c r="S114" s="4"/>
      <c r="T114" s="4"/>
      <c r="U114" s="4"/>
      <c r="V114" s="4"/>
      <c r="W114" s="4"/>
      <c r="X114" s="4"/>
      <c r="Y114" s="4"/>
    </row>
    <row r="115" spans="1:25" x14ac:dyDescent="0.2">
      <c r="A115" s="4"/>
      <c r="B115" s="4"/>
      <c r="C115" s="4"/>
      <c r="D115" s="4"/>
      <c r="E115" s="4"/>
      <c r="F115" s="4"/>
      <c r="G115" s="981"/>
      <c r="H115" s="4"/>
      <c r="I115" s="4"/>
      <c r="J115" s="982"/>
      <c r="K115" s="4"/>
      <c r="L115" s="4"/>
      <c r="M115" s="4"/>
      <c r="N115" s="4"/>
      <c r="O115" s="4"/>
      <c r="P115" s="4"/>
      <c r="Q115" s="4"/>
      <c r="R115" s="4"/>
      <c r="S115" s="4"/>
      <c r="T115" s="4"/>
      <c r="U115" s="4"/>
      <c r="V115" s="4"/>
      <c r="W115" s="4"/>
      <c r="X115" s="4"/>
      <c r="Y115" s="4"/>
    </row>
    <row r="116" spans="1:25" x14ac:dyDescent="0.2">
      <c r="A116" s="4"/>
      <c r="B116" s="4"/>
      <c r="C116" s="4"/>
      <c r="D116" s="4"/>
      <c r="E116" s="4"/>
      <c r="F116" s="4"/>
      <c r="G116" s="981"/>
      <c r="H116" s="4"/>
      <c r="I116" s="4"/>
      <c r="J116" s="982"/>
      <c r="K116" s="4"/>
      <c r="L116" s="4"/>
      <c r="M116" s="4"/>
      <c r="N116" s="4"/>
      <c r="O116" s="4"/>
      <c r="P116" s="4"/>
      <c r="Q116" s="4"/>
      <c r="R116" s="4"/>
      <c r="S116" s="4"/>
      <c r="T116" s="4"/>
      <c r="U116" s="4"/>
      <c r="V116" s="4"/>
      <c r="W116" s="4"/>
      <c r="X116" s="4"/>
      <c r="Y116" s="4"/>
    </row>
    <row r="117" spans="1:25" x14ac:dyDescent="0.2">
      <c r="A117" s="4"/>
      <c r="B117" s="4"/>
      <c r="C117" s="4"/>
      <c r="D117" s="4"/>
      <c r="E117" s="4"/>
      <c r="F117" s="4"/>
      <c r="G117" s="981"/>
      <c r="H117" s="4"/>
      <c r="I117" s="4"/>
      <c r="J117" s="982"/>
      <c r="K117" s="4"/>
      <c r="L117" s="4"/>
      <c r="M117" s="4"/>
      <c r="N117" s="4"/>
      <c r="O117" s="4"/>
      <c r="P117" s="4"/>
      <c r="Q117" s="4"/>
      <c r="R117" s="4"/>
      <c r="S117" s="4"/>
      <c r="T117" s="4"/>
      <c r="U117" s="4"/>
      <c r="V117" s="4"/>
      <c r="W117" s="4"/>
      <c r="X117" s="4"/>
      <c r="Y117" s="4"/>
    </row>
    <row r="118" spans="1:25" x14ac:dyDescent="0.2">
      <c r="A118" s="4"/>
      <c r="B118" s="4"/>
      <c r="C118" s="4"/>
      <c r="D118" s="4"/>
      <c r="E118" s="4"/>
      <c r="F118" s="4"/>
      <c r="G118" s="981"/>
      <c r="H118" s="4"/>
      <c r="I118" s="4"/>
      <c r="J118" s="982"/>
      <c r="K118" s="4"/>
      <c r="L118" s="4"/>
      <c r="M118" s="4"/>
      <c r="N118" s="4"/>
      <c r="O118" s="4"/>
      <c r="P118" s="4"/>
      <c r="Q118" s="4"/>
      <c r="R118" s="4"/>
      <c r="S118" s="4"/>
      <c r="T118" s="4"/>
      <c r="U118" s="4"/>
      <c r="V118" s="4"/>
      <c r="W118" s="4"/>
      <c r="X118" s="4"/>
      <c r="Y118" s="4"/>
    </row>
    <row r="119" spans="1:25" x14ac:dyDescent="0.2">
      <c r="A119" s="4"/>
      <c r="B119" s="4"/>
      <c r="C119" s="4"/>
      <c r="D119" s="4"/>
      <c r="E119" s="4"/>
      <c r="F119" s="4"/>
      <c r="G119" s="981"/>
      <c r="H119" s="4"/>
      <c r="I119" s="4"/>
      <c r="J119" s="982"/>
      <c r="K119" s="4"/>
      <c r="L119" s="4"/>
      <c r="M119" s="4"/>
      <c r="N119" s="4"/>
      <c r="O119" s="4"/>
      <c r="P119" s="4"/>
      <c r="Q119" s="4"/>
      <c r="R119" s="4"/>
      <c r="S119" s="4"/>
      <c r="T119" s="4"/>
      <c r="U119" s="4"/>
      <c r="V119" s="4"/>
      <c r="W119" s="4"/>
      <c r="X119" s="4"/>
      <c r="Y119" s="4"/>
    </row>
    <row r="120" spans="1:25" x14ac:dyDescent="0.2">
      <c r="A120" s="4"/>
      <c r="B120" s="4"/>
      <c r="C120" s="4"/>
      <c r="D120" s="4"/>
      <c r="E120" s="4"/>
      <c r="F120" s="4"/>
      <c r="G120" s="981"/>
      <c r="H120" s="4"/>
      <c r="I120" s="4"/>
      <c r="J120" s="982"/>
      <c r="K120" s="4"/>
      <c r="L120" s="4"/>
      <c r="M120" s="4"/>
      <c r="N120" s="4"/>
      <c r="O120" s="4"/>
      <c r="P120" s="4"/>
      <c r="Q120" s="4"/>
      <c r="R120" s="4"/>
      <c r="S120" s="4"/>
      <c r="T120" s="4"/>
      <c r="U120" s="4"/>
      <c r="V120" s="4"/>
      <c r="W120" s="4"/>
      <c r="X120" s="4"/>
      <c r="Y120" s="4"/>
    </row>
    <row r="121" spans="1:25" x14ac:dyDescent="0.2">
      <c r="A121" s="4"/>
      <c r="B121" s="4"/>
      <c r="C121" s="4"/>
      <c r="D121" s="4"/>
      <c r="E121" s="4"/>
      <c r="F121" s="4"/>
      <c r="G121" s="981"/>
      <c r="H121" s="4"/>
      <c r="I121" s="4"/>
      <c r="J121" s="982"/>
      <c r="K121" s="4"/>
      <c r="L121" s="4"/>
      <c r="M121" s="4"/>
      <c r="N121" s="4"/>
      <c r="O121" s="4"/>
      <c r="P121" s="4"/>
      <c r="Q121" s="4"/>
      <c r="R121" s="4"/>
      <c r="S121" s="4"/>
      <c r="T121" s="4"/>
      <c r="U121" s="4"/>
      <c r="V121" s="4"/>
      <c r="W121" s="4"/>
      <c r="X121" s="4"/>
      <c r="Y121" s="4"/>
    </row>
    <row r="122" spans="1:25" x14ac:dyDescent="0.2">
      <c r="A122" s="4"/>
      <c r="B122" s="4"/>
      <c r="C122" s="4"/>
      <c r="D122" s="4"/>
      <c r="E122" s="4"/>
      <c r="F122" s="4"/>
      <c r="G122" s="981"/>
      <c r="H122" s="4"/>
      <c r="I122" s="4"/>
      <c r="J122" s="982"/>
      <c r="K122" s="4"/>
      <c r="L122" s="4"/>
      <c r="M122" s="4"/>
      <c r="N122" s="4"/>
      <c r="O122" s="4"/>
      <c r="P122" s="4"/>
      <c r="Q122" s="4"/>
      <c r="R122" s="4"/>
      <c r="S122" s="4"/>
      <c r="T122" s="4"/>
      <c r="U122" s="4"/>
      <c r="V122" s="4"/>
      <c r="W122" s="4"/>
      <c r="X122" s="4"/>
      <c r="Y122" s="4"/>
    </row>
    <row r="123" spans="1:25" x14ac:dyDescent="0.2">
      <c r="A123" s="4"/>
      <c r="B123" s="4"/>
      <c r="C123" s="4"/>
      <c r="D123" s="4"/>
      <c r="E123" s="4"/>
      <c r="F123" s="4"/>
      <c r="G123" s="981"/>
      <c r="H123" s="4"/>
      <c r="I123" s="4"/>
      <c r="J123" s="982"/>
      <c r="K123" s="4"/>
      <c r="L123" s="4"/>
      <c r="M123" s="4"/>
      <c r="N123" s="4"/>
      <c r="O123" s="4"/>
      <c r="P123" s="4"/>
      <c r="Q123" s="4"/>
      <c r="R123" s="4"/>
      <c r="S123" s="4"/>
      <c r="T123" s="4"/>
      <c r="U123" s="4"/>
      <c r="V123" s="4"/>
      <c r="W123" s="4"/>
      <c r="X123" s="4"/>
      <c r="Y123" s="4"/>
    </row>
    <row r="124" spans="1:25" x14ac:dyDescent="0.2">
      <c r="A124" s="4"/>
      <c r="B124" s="4"/>
      <c r="C124" s="4"/>
      <c r="D124" s="4"/>
      <c r="E124" s="4"/>
      <c r="F124" s="4"/>
      <c r="G124" s="981"/>
      <c r="H124" s="4"/>
      <c r="I124" s="4"/>
      <c r="J124" s="982"/>
      <c r="K124" s="4"/>
      <c r="L124" s="4"/>
      <c r="M124" s="4"/>
      <c r="N124" s="4"/>
      <c r="O124" s="4"/>
      <c r="P124" s="4"/>
      <c r="Q124" s="4"/>
      <c r="R124" s="4"/>
      <c r="S124" s="4"/>
      <c r="T124" s="4"/>
      <c r="U124" s="4"/>
      <c r="V124" s="4"/>
      <c r="W124" s="4"/>
      <c r="X124" s="4"/>
      <c r="Y124" s="4"/>
    </row>
    <row r="125" spans="1:25" x14ac:dyDescent="0.2">
      <c r="A125" s="4"/>
      <c r="B125" s="4"/>
      <c r="C125" s="4"/>
      <c r="D125" s="4"/>
      <c r="E125" s="4"/>
      <c r="F125" s="4"/>
      <c r="G125" s="981"/>
      <c r="H125" s="4"/>
      <c r="I125" s="4"/>
      <c r="J125" s="982"/>
      <c r="K125" s="4"/>
      <c r="L125" s="4"/>
      <c r="M125" s="4"/>
      <c r="N125" s="4"/>
      <c r="O125" s="4"/>
      <c r="P125" s="4"/>
      <c r="Q125" s="4"/>
      <c r="R125" s="4"/>
      <c r="S125" s="4"/>
      <c r="T125" s="4"/>
      <c r="U125" s="4"/>
      <c r="V125" s="4"/>
      <c r="W125" s="4"/>
      <c r="X125" s="4"/>
      <c r="Y125" s="4"/>
    </row>
    <row r="126" spans="1:25" x14ac:dyDescent="0.2">
      <c r="A126" s="4"/>
      <c r="B126" s="4"/>
      <c r="C126" s="4"/>
      <c r="D126" s="4"/>
      <c r="E126" s="4"/>
      <c r="F126" s="4"/>
      <c r="G126" s="981"/>
      <c r="H126" s="4"/>
      <c r="I126" s="4"/>
      <c r="J126" s="982"/>
      <c r="K126" s="4"/>
      <c r="L126" s="4"/>
      <c r="M126" s="4"/>
      <c r="N126" s="4"/>
      <c r="O126" s="4"/>
      <c r="P126" s="4"/>
      <c r="Q126" s="4"/>
      <c r="R126" s="4"/>
      <c r="S126" s="4"/>
      <c r="T126" s="4"/>
      <c r="U126" s="4"/>
      <c r="V126" s="4"/>
      <c r="W126" s="4"/>
      <c r="X126" s="4"/>
      <c r="Y126" s="4"/>
    </row>
    <row r="127" spans="1:25" x14ac:dyDescent="0.2">
      <c r="A127" s="4"/>
      <c r="B127" s="4"/>
      <c r="C127" s="4"/>
      <c r="D127" s="4"/>
      <c r="E127" s="4"/>
      <c r="F127" s="4"/>
      <c r="G127" s="981"/>
      <c r="H127" s="4"/>
      <c r="I127" s="4"/>
      <c r="J127" s="982"/>
      <c r="K127" s="4"/>
      <c r="L127" s="4"/>
      <c r="M127" s="4"/>
      <c r="N127" s="4"/>
      <c r="O127" s="4"/>
      <c r="P127" s="4"/>
      <c r="Q127" s="4"/>
      <c r="R127" s="4"/>
      <c r="S127" s="4"/>
      <c r="T127" s="4"/>
      <c r="U127" s="4"/>
      <c r="V127" s="4"/>
      <c r="W127" s="4"/>
      <c r="X127" s="4"/>
      <c r="Y127" s="4"/>
    </row>
    <row r="128" spans="1:25" x14ac:dyDescent="0.2">
      <c r="A128" s="4"/>
      <c r="B128" s="4"/>
      <c r="C128" s="4"/>
      <c r="D128" s="4"/>
      <c r="E128" s="4"/>
      <c r="F128" s="4"/>
      <c r="G128" s="981"/>
      <c r="H128" s="4"/>
      <c r="I128" s="4"/>
      <c r="J128" s="982"/>
      <c r="K128" s="4"/>
      <c r="L128" s="4"/>
      <c r="M128" s="4"/>
      <c r="N128" s="4"/>
      <c r="O128" s="4"/>
      <c r="P128" s="4"/>
      <c r="Q128" s="4"/>
      <c r="R128" s="4"/>
      <c r="S128" s="4"/>
      <c r="T128" s="4"/>
      <c r="U128" s="4"/>
      <c r="V128" s="4"/>
      <c r="W128" s="4"/>
      <c r="X128" s="4"/>
      <c r="Y128" s="4"/>
    </row>
    <row r="129" spans="1:25" x14ac:dyDescent="0.2">
      <c r="A129" s="4"/>
      <c r="B129" s="4"/>
      <c r="C129" s="4"/>
      <c r="D129" s="4"/>
      <c r="E129" s="4"/>
      <c r="F129" s="4"/>
      <c r="G129" s="981"/>
      <c r="H129" s="4"/>
      <c r="I129" s="987"/>
      <c r="J129" s="982"/>
      <c r="K129" s="4"/>
      <c r="L129" s="4"/>
      <c r="M129" s="983"/>
      <c r="N129" s="4"/>
      <c r="O129" s="4"/>
      <c r="P129" s="4"/>
      <c r="Q129" s="4"/>
      <c r="R129" s="4"/>
      <c r="S129" s="4"/>
      <c r="T129" s="4"/>
      <c r="U129" s="4"/>
      <c r="V129" s="4"/>
      <c r="W129" s="4"/>
      <c r="X129" s="4"/>
      <c r="Y129" s="4"/>
    </row>
    <row r="130" spans="1:25" x14ac:dyDescent="0.2">
      <c r="A130" s="4"/>
      <c r="B130" s="4"/>
      <c r="C130" s="4"/>
      <c r="D130" s="4"/>
      <c r="E130" s="4"/>
      <c r="F130" s="4"/>
      <c r="G130" s="981"/>
      <c r="H130" s="4"/>
      <c r="I130" s="987"/>
      <c r="J130" s="982"/>
      <c r="K130" s="4"/>
      <c r="L130" s="4"/>
      <c r="M130" s="983"/>
      <c r="N130" s="4"/>
      <c r="O130" s="4"/>
      <c r="P130" s="4"/>
      <c r="Q130" s="4"/>
      <c r="R130" s="4"/>
      <c r="S130" s="4"/>
      <c r="T130" s="4"/>
      <c r="U130" s="4"/>
      <c r="V130" s="4"/>
      <c r="W130" s="4"/>
      <c r="X130" s="4"/>
      <c r="Y130" s="4"/>
    </row>
    <row r="131" spans="1:25" x14ac:dyDescent="0.2">
      <c r="A131" s="4"/>
      <c r="B131" s="4"/>
      <c r="C131" s="4"/>
      <c r="D131" s="4"/>
      <c r="E131" s="4"/>
      <c r="F131" s="4"/>
      <c r="G131" s="981"/>
      <c r="H131" s="4"/>
      <c r="I131" s="989"/>
      <c r="J131" s="982"/>
      <c r="K131" s="4"/>
      <c r="L131" s="4"/>
      <c r="M131" s="4"/>
      <c r="N131" s="4"/>
      <c r="O131" s="4"/>
      <c r="P131" s="4"/>
      <c r="Q131" s="4"/>
      <c r="R131" s="4"/>
      <c r="S131" s="4"/>
      <c r="T131" s="4"/>
      <c r="U131" s="4"/>
      <c r="V131" s="4"/>
      <c r="W131" s="4"/>
      <c r="X131" s="4"/>
      <c r="Y131" s="4"/>
    </row>
    <row r="132" spans="1:25" x14ac:dyDescent="0.2">
      <c r="A132" s="4"/>
      <c r="B132" s="4"/>
      <c r="C132" s="4"/>
      <c r="D132" s="4"/>
      <c r="E132" s="4"/>
      <c r="F132" s="4"/>
      <c r="G132" s="981"/>
      <c r="H132" s="4"/>
      <c r="I132" s="1040"/>
      <c r="J132" s="982"/>
      <c r="K132" s="4"/>
      <c r="L132" s="4"/>
      <c r="M132" s="4"/>
      <c r="N132" s="4"/>
      <c r="O132" s="4"/>
      <c r="P132" s="4"/>
      <c r="Q132" s="4"/>
      <c r="R132" s="4"/>
      <c r="S132" s="4"/>
      <c r="T132" s="4"/>
      <c r="U132" s="4"/>
      <c r="V132" s="4"/>
      <c r="W132" s="4"/>
      <c r="X132" s="4"/>
      <c r="Y132" s="4"/>
    </row>
    <row r="133" spans="1:25" x14ac:dyDescent="0.2">
      <c r="A133" s="4"/>
      <c r="B133" s="4"/>
      <c r="C133" s="4"/>
      <c r="D133" s="4"/>
      <c r="E133" s="4"/>
      <c r="F133" s="4"/>
      <c r="G133" s="981"/>
      <c r="H133" s="4"/>
      <c r="I133" s="1040"/>
      <c r="J133" s="982"/>
      <c r="K133" s="4"/>
      <c r="L133" s="4"/>
      <c r="M133" s="4"/>
      <c r="N133" s="4"/>
      <c r="O133" s="4"/>
      <c r="P133" s="4"/>
      <c r="Q133" s="4"/>
      <c r="R133" s="4"/>
      <c r="S133" s="4"/>
      <c r="T133" s="4"/>
      <c r="U133" s="4"/>
      <c r="V133" s="4"/>
      <c r="W133" s="4"/>
      <c r="X133" s="4"/>
      <c r="Y133" s="4"/>
    </row>
    <row r="134" spans="1:25" x14ac:dyDescent="0.2">
      <c r="A134" s="4"/>
      <c r="B134" s="4"/>
      <c r="C134" s="4"/>
      <c r="D134" s="4"/>
      <c r="E134" s="4"/>
      <c r="F134" s="4"/>
      <c r="G134" s="981"/>
      <c r="H134" s="4"/>
      <c r="I134" s="1041"/>
      <c r="J134" s="982"/>
      <c r="K134" s="4"/>
      <c r="L134" s="4"/>
      <c r="M134" s="4"/>
      <c r="N134" s="4"/>
      <c r="O134" s="4"/>
      <c r="P134" s="4"/>
      <c r="Q134" s="4"/>
      <c r="R134" s="4"/>
      <c r="S134" s="4"/>
      <c r="T134" s="4"/>
      <c r="U134" s="4"/>
      <c r="V134" s="4"/>
      <c r="W134" s="4"/>
      <c r="X134" s="4"/>
      <c r="Y134" s="4"/>
    </row>
    <row r="135" spans="1:25" x14ac:dyDescent="0.2">
      <c r="A135" s="4"/>
      <c r="B135" s="4"/>
      <c r="C135" s="4"/>
      <c r="D135" s="4"/>
      <c r="E135" s="4"/>
      <c r="F135" s="4"/>
      <c r="G135" s="981"/>
      <c r="H135" s="4"/>
      <c r="I135" s="989"/>
      <c r="J135" s="995"/>
      <c r="K135" s="4"/>
      <c r="L135" s="4"/>
      <c r="M135" s="4"/>
      <c r="N135" s="4"/>
      <c r="O135" s="4"/>
      <c r="P135" s="4"/>
      <c r="Q135" s="4"/>
      <c r="R135" s="4"/>
      <c r="S135" s="4"/>
      <c r="T135" s="4"/>
      <c r="U135" s="4"/>
      <c r="V135" s="4"/>
      <c r="W135" s="4"/>
      <c r="X135" s="4"/>
      <c r="Y135" s="4"/>
    </row>
    <row r="136" spans="1:25" x14ac:dyDescent="0.2">
      <c r="B136" s="4"/>
      <c r="C136" s="4"/>
      <c r="D136" s="4"/>
      <c r="E136" s="4"/>
      <c r="F136" s="4"/>
    </row>
    <row r="137" spans="1:25" x14ac:dyDescent="0.2">
      <c r="B137" s="4"/>
      <c r="C137" s="4"/>
      <c r="D137" s="4"/>
      <c r="E137" s="4"/>
      <c r="F137" s="4"/>
    </row>
    <row r="138" spans="1:25" x14ac:dyDescent="0.2">
      <c r="B138" s="4"/>
      <c r="C138" s="4"/>
      <c r="D138" s="4"/>
      <c r="E138" s="4"/>
      <c r="F138" s="4"/>
    </row>
    <row r="139" spans="1:25" x14ac:dyDescent="0.2">
      <c r="B139" s="4"/>
      <c r="C139" s="4"/>
      <c r="D139" s="4"/>
      <c r="E139" s="4"/>
      <c r="F139" s="4"/>
    </row>
  </sheetData>
  <pageMargins left="0" right="0" top="0" bottom="0" header="0" footer="0"/>
  <pageSetup paperSize="5" orientation="landscape" r:id="rId1"/>
  <headerFooter alignWithMargins="0"/>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CFB3DF0-7E94-49BE-8498-19E67833010C}">
  <sheetPr codeName="Sheet12">
    <tabColor indexed="43"/>
  </sheetPr>
  <dimension ref="B1:JD150"/>
  <sheetViews>
    <sheetView zoomScaleNormal="100" workbookViewId="0">
      <selection activeCell="C1" sqref="C1"/>
    </sheetView>
  </sheetViews>
  <sheetFormatPr defaultColWidth="9.140625" defaultRowHeight="12.75" outlineLevelCol="1" x14ac:dyDescent="0.2"/>
  <cols>
    <col min="1" max="1" width="0.7109375" style="1" customWidth="1"/>
    <col min="2" max="2" width="31.7109375" style="1" customWidth="1"/>
    <col min="3" max="3" width="7.42578125" style="1" customWidth="1"/>
    <col min="4" max="4" width="6.7109375" style="1" customWidth="1"/>
    <col min="5" max="5" width="0.7109375" style="1" customWidth="1"/>
    <col min="6" max="6" width="25.7109375" style="1" customWidth="1"/>
    <col min="7" max="7" width="8.28515625" style="1" customWidth="1"/>
    <col min="8" max="8" width="10.28515625" style="1" customWidth="1"/>
    <col min="9" max="9" width="10.5703125" style="1" customWidth="1"/>
    <col min="10" max="10" width="7.42578125" style="1" customWidth="1"/>
    <col min="11" max="11" width="14.42578125" style="1" customWidth="1"/>
    <col min="12" max="15" width="13.42578125" style="1" customWidth="1"/>
    <col min="16" max="16" width="1.28515625" style="1" customWidth="1"/>
    <col min="17" max="17" width="34" style="1" customWidth="1"/>
    <col min="18" max="18" width="9.42578125" style="1" customWidth="1"/>
    <col min="19" max="19" width="10.7109375" style="1" customWidth="1"/>
    <col min="20" max="22" width="12" style="1" hidden="1" customWidth="1"/>
    <col min="23" max="23" width="12.28515625" style="1" hidden="1" customWidth="1"/>
    <col min="24" max="24" width="12" style="1" hidden="1" customWidth="1"/>
    <col min="25" max="29" width="12" style="1" hidden="1" customWidth="1" outlineLevel="1"/>
    <col min="30" max="30" width="12" style="1" customWidth="1" collapsed="1"/>
    <col min="31" max="148" width="12" style="1" customWidth="1"/>
    <col min="149" max="16384" width="9.140625" style="1"/>
  </cols>
  <sheetData>
    <row r="1" spans="2:264" s="1044" customFormat="1" x14ac:dyDescent="0.2">
      <c r="B1" s="1042" t="s">
        <v>974</v>
      </c>
      <c r="C1" s="1043"/>
      <c r="G1" s="1043"/>
      <c r="H1" s="1045">
        <v>104.1</v>
      </c>
      <c r="P1" s="1046"/>
      <c r="T1" s="1044">
        <v>0</v>
      </c>
      <c r="U1" s="1044">
        <v>0</v>
      </c>
      <c r="V1" s="1044">
        <v>0</v>
      </c>
      <c r="W1" s="1044">
        <v>0</v>
      </c>
      <c r="X1" s="1044">
        <v>0</v>
      </c>
      <c r="Y1" s="1044">
        <v>0</v>
      </c>
      <c r="AA1" s="1044">
        <v>0</v>
      </c>
      <c r="AB1" s="1044">
        <v>0</v>
      </c>
      <c r="AC1" s="1044">
        <v>0</v>
      </c>
      <c r="AD1" s="1044">
        <v>0</v>
      </c>
      <c r="AE1" s="1044">
        <v>0</v>
      </c>
      <c r="AF1" s="1044">
        <v>0</v>
      </c>
      <c r="AG1" s="1044">
        <v>0</v>
      </c>
      <c r="AH1" s="1044">
        <v>0</v>
      </c>
      <c r="AI1" s="1044">
        <v>0</v>
      </c>
      <c r="AJ1" s="1044">
        <v>0</v>
      </c>
      <c r="AK1" s="1361">
        <v>0</v>
      </c>
      <c r="AL1" s="1044">
        <f t="shared" ref="AL1:AQ1" si="0">AK1+1</f>
        <v>1</v>
      </c>
      <c r="AM1" s="1044">
        <f t="shared" ref="AM1:AN1" si="1">AL1+1</f>
        <v>2</v>
      </c>
      <c r="AN1" s="1044">
        <f t="shared" si="1"/>
        <v>3</v>
      </c>
      <c r="AO1" s="1044">
        <f t="shared" si="0"/>
        <v>4</v>
      </c>
      <c r="AP1" s="1044">
        <f t="shared" si="0"/>
        <v>5</v>
      </c>
      <c r="AQ1" s="1044">
        <f t="shared" si="0"/>
        <v>6</v>
      </c>
      <c r="AR1" s="1044">
        <f>AQ1+1</f>
        <v>7</v>
      </c>
      <c r="AS1" s="1044">
        <f t="shared" ref="AS1:DD1" si="2">AR1+1</f>
        <v>8</v>
      </c>
      <c r="AT1" s="1044">
        <f t="shared" si="2"/>
        <v>9</v>
      </c>
      <c r="AU1" s="1044">
        <f t="shared" si="2"/>
        <v>10</v>
      </c>
      <c r="AV1" s="1044">
        <f t="shared" si="2"/>
        <v>11</v>
      </c>
      <c r="AW1" s="1044">
        <f t="shared" si="2"/>
        <v>12</v>
      </c>
      <c r="AX1" s="1044">
        <f t="shared" si="2"/>
        <v>13</v>
      </c>
      <c r="AY1" s="1044">
        <f t="shared" si="2"/>
        <v>14</v>
      </c>
      <c r="AZ1" s="1044">
        <f t="shared" si="2"/>
        <v>15</v>
      </c>
      <c r="BA1" s="1044">
        <f t="shared" si="2"/>
        <v>16</v>
      </c>
      <c r="BB1" s="1044">
        <f t="shared" si="2"/>
        <v>17</v>
      </c>
      <c r="BC1" s="1044">
        <f t="shared" si="2"/>
        <v>18</v>
      </c>
      <c r="BD1" s="1044">
        <f t="shared" si="2"/>
        <v>19</v>
      </c>
      <c r="BE1" s="1044">
        <f t="shared" si="2"/>
        <v>20</v>
      </c>
      <c r="BF1" s="1044">
        <f t="shared" si="2"/>
        <v>21</v>
      </c>
      <c r="BG1" s="1044">
        <f t="shared" si="2"/>
        <v>22</v>
      </c>
      <c r="BH1" s="1044">
        <f t="shared" si="2"/>
        <v>23</v>
      </c>
      <c r="BI1" s="1044">
        <f t="shared" si="2"/>
        <v>24</v>
      </c>
      <c r="BJ1" s="1044">
        <f t="shared" si="2"/>
        <v>25</v>
      </c>
      <c r="BK1" s="1044">
        <f t="shared" si="2"/>
        <v>26</v>
      </c>
      <c r="BL1" s="1044">
        <f t="shared" si="2"/>
        <v>27</v>
      </c>
      <c r="BM1" s="1044">
        <f t="shared" si="2"/>
        <v>28</v>
      </c>
      <c r="BN1" s="1044">
        <f t="shared" si="2"/>
        <v>29</v>
      </c>
      <c r="BO1" s="1044">
        <f t="shared" si="2"/>
        <v>30</v>
      </c>
      <c r="BP1" s="1044">
        <f t="shared" si="2"/>
        <v>31</v>
      </c>
      <c r="BQ1" s="1044">
        <f t="shared" si="2"/>
        <v>32</v>
      </c>
      <c r="BR1" s="1044">
        <f t="shared" si="2"/>
        <v>33</v>
      </c>
      <c r="BS1" s="1044">
        <f t="shared" si="2"/>
        <v>34</v>
      </c>
      <c r="BT1" s="1044">
        <f t="shared" si="2"/>
        <v>35</v>
      </c>
      <c r="BU1" s="1044">
        <f t="shared" si="2"/>
        <v>36</v>
      </c>
      <c r="BV1" s="1044">
        <f t="shared" si="2"/>
        <v>37</v>
      </c>
      <c r="BW1" s="1044">
        <f t="shared" si="2"/>
        <v>38</v>
      </c>
      <c r="BX1" s="1044">
        <f t="shared" si="2"/>
        <v>39</v>
      </c>
      <c r="BY1" s="1044">
        <f t="shared" si="2"/>
        <v>40</v>
      </c>
      <c r="BZ1" s="1044">
        <f t="shared" si="2"/>
        <v>41</v>
      </c>
      <c r="CA1" s="1044">
        <f t="shared" si="2"/>
        <v>42</v>
      </c>
      <c r="CB1" s="1044">
        <f t="shared" si="2"/>
        <v>43</v>
      </c>
      <c r="CC1" s="1044">
        <f t="shared" si="2"/>
        <v>44</v>
      </c>
      <c r="CD1" s="1044">
        <f t="shared" si="2"/>
        <v>45</v>
      </c>
      <c r="CE1" s="1044">
        <f t="shared" si="2"/>
        <v>46</v>
      </c>
      <c r="CF1" s="1044">
        <f t="shared" si="2"/>
        <v>47</v>
      </c>
      <c r="CG1" s="1044">
        <f t="shared" si="2"/>
        <v>48</v>
      </c>
      <c r="CH1" s="1044">
        <f t="shared" si="2"/>
        <v>49</v>
      </c>
      <c r="CI1" s="1044">
        <f t="shared" si="2"/>
        <v>50</v>
      </c>
      <c r="CJ1" s="1044">
        <f t="shared" si="2"/>
        <v>51</v>
      </c>
      <c r="CK1" s="1044">
        <f t="shared" si="2"/>
        <v>52</v>
      </c>
      <c r="CL1" s="1044">
        <f t="shared" si="2"/>
        <v>53</v>
      </c>
      <c r="CM1" s="1044">
        <f t="shared" si="2"/>
        <v>54</v>
      </c>
      <c r="CN1" s="1044">
        <f t="shared" si="2"/>
        <v>55</v>
      </c>
      <c r="CO1" s="1044">
        <f t="shared" si="2"/>
        <v>56</v>
      </c>
      <c r="CP1" s="1044">
        <f t="shared" si="2"/>
        <v>57</v>
      </c>
      <c r="CQ1" s="1044">
        <f t="shared" si="2"/>
        <v>58</v>
      </c>
      <c r="CR1" s="1044">
        <f t="shared" si="2"/>
        <v>59</v>
      </c>
      <c r="CS1" s="1044">
        <f t="shared" si="2"/>
        <v>60</v>
      </c>
      <c r="CT1" s="1044">
        <f t="shared" si="2"/>
        <v>61</v>
      </c>
      <c r="CU1" s="1044">
        <f t="shared" si="2"/>
        <v>62</v>
      </c>
      <c r="CV1" s="1044">
        <f t="shared" si="2"/>
        <v>63</v>
      </c>
      <c r="CW1" s="1044">
        <f t="shared" si="2"/>
        <v>64</v>
      </c>
      <c r="CX1" s="1044">
        <f t="shared" si="2"/>
        <v>65</v>
      </c>
      <c r="CY1" s="1044">
        <f t="shared" si="2"/>
        <v>66</v>
      </c>
      <c r="CZ1" s="1044">
        <f t="shared" si="2"/>
        <v>67</v>
      </c>
      <c r="DA1" s="1044">
        <f t="shared" si="2"/>
        <v>68</v>
      </c>
      <c r="DB1" s="1044">
        <f t="shared" si="2"/>
        <v>69</v>
      </c>
      <c r="DC1" s="1044">
        <f t="shared" si="2"/>
        <v>70</v>
      </c>
      <c r="DD1" s="1044">
        <f t="shared" si="2"/>
        <v>71</v>
      </c>
      <c r="DE1" s="1044">
        <f t="shared" ref="DE1:ER1" si="3">DD1+1</f>
        <v>72</v>
      </c>
      <c r="DF1" s="1044">
        <f t="shared" si="3"/>
        <v>73</v>
      </c>
      <c r="DG1" s="1044">
        <f t="shared" si="3"/>
        <v>74</v>
      </c>
      <c r="DH1" s="1044">
        <f t="shared" si="3"/>
        <v>75</v>
      </c>
      <c r="DI1" s="1044">
        <f t="shared" si="3"/>
        <v>76</v>
      </c>
      <c r="DJ1" s="1044">
        <f t="shared" si="3"/>
        <v>77</v>
      </c>
      <c r="DK1" s="1044">
        <f t="shared" si="3"/>
        <v>78</v>
      </c>
      <c r="DL1" s="1044">
        <f t="shared" si="3"/>
        <v>79</v>
      </c>
      <c r="DM1" s="1044">
        <f t="shared" si="3"/>
        <v>80</v>
      </c>
      <c r="DN1" s="1044">
        <f t="shared" si="3"/>
        <v>81</v>
      </c>
      <c r="DO1" s="1044">
        <f t="shared" si="3"/>
        <v>82</v>
      </c>
      <c r="DP1" s="1044">
        <f t="shared" si="3"/>
        <v>83</v>
      </c>
      <c r="DQ1" s="1044">
        <f t="shared" si="3"/>
        <v>84</v>
      </c>
      <c r="DR1" s="1044">
        <f t="shared" si="3"/>
        <v>85</v>
      </c>
      <c r="DS1" s="1044">
        <f t="shared" si="3"/>
        <v>86</v>
      </c>
      <c r="DT1" s="1044">
        <f t="shared" si="3"/>
        <v>87</v>
      </c>
      <c r="DU1" s="1044">
        <f t="shared" si="3"/>
        <v>88</v>
      </c>
      <c r="DV1" s="1044">
        <f t="shared" si="3"/>
        <v>89</v>
      </c>
      <c r="DW1" s="1044">
        <f t="shared" si="3"/>
        <v>90</v>
      </c>
      <c r="DX1" s="1044">
        <f t="shared" si="3"/>
        <v>91</v>
      </c>
      <c r="DY1" s="1044">
        <f t="shared" si="3"/>
        <v>92</v>
      </c>
      <c r="DZ1" s="1044">
        <f t="shared" si="3"/>
        <v>93</v>
      </c>
      <c r="EA1" s="1044">
        <f t="shared" si="3"/>
        <v>94</v>
      </c>
      <c r="EB1" s="1044">
        <f t="shared" si="3"/>
        <v>95</v>
      </c>
      <c r="EC1" s="1044">
        <f t="shared" si="3"/>
        <v>96</v>
      </c>
      <c r="ED1" s="1044">
        <f t="shared" si="3"/>
        <v>97</v>
      </c>
      <c r="EE1" s="1044">
        <f t="shared" si="3"/>
        <v>98</v>
      </c>
      <c r="EF1" s="1044">
        <f t="shared" si="3"/>
        <v>99</v>
      </c>
      <c r="EG1" s="1044">
        <f t="shared" si="3"/>
        <v>100</v>
      </c>
      <c r="EH1" s="1044">
        <f t="shared" si="3"/>
        <v>101</v>
      </c>
      <c r="EI1" s="1044">
        <f t="shared" si="3"/>
        <v>102</v>
      </c>
      <c r="EJ1" s="1044">
        <f t="shared" si="3"/>
        <v>103</v>
      </c>
      <c r="EK1" s="1044">
        <f t="shared" si="3"/>
        <v>104</v>
      </c>
      <c r="EL1" s="1044">
        <f t="shared" si="3"/>
        <v>105</v>
      </c>
      <c r="EM1" s="1044">
        <f t="shared" si="3"/>
        <v>106</v>
      </c>
      <c r="EN1" s="1044">
        <f t="shared" si="3"/>
        <v>107</v>
      </c>
      <c r="EO1" s="1044">
        <f t="shared" si="3"/>
        <v>108</v>
      </c>
      <c r="EP1" s="1044">
        <f t="shared" si="3"/>
        <v>109</v>
      </c>
      <c r="EQ1" s="1044">
        <f t="shared" si="3"/>
        <v>110</v>
      </c>
      <c r="ER1" s="1044">
        <f t="shared" si="3"/>
        <v>111</v>
      </c>
      <c r="ES1" s="1"/>
      <c r="ET1" s="1"/>
      <c r="EU1" s="1"/>
      <c r="EV1" s="1"/>
      <c r="EW1" s="1"/>
      <c r="EX1" s="1"/>
      <c r="EY1" s="1"/>
      <c r="EZ1" s="1"/>
      <c r="FA1" s="1"/>
      <c r="FB1" s="1"/>
      <c r="FC1" s="1"/>
      <c r="FD1" s="1"/>
      <c r="FE1" s="1"/>
      <c r="FF1" s="1"/>
      <c r="FG1" s="1"/>
      <c r="FH1" s="1"/>
      <c r="FI1" s="1"/>
      <c r="FJ1" s="1"/>
      <c r="FK1" s="1"/>
      <c r="FL1" s="1"/>
      <c r="FM1" s="1"/>
      <c r="FN1" s="1"/>
      <c r="FO1" s="1"/>
      <c r="FP1" s="1"/>
      <c r="FQ1" s="1"/>
      <c r="FR1" s="1"/>
      <c r="FS1" s="1"/>
      <c r="FT1" s="1"/>
      <c r="FU1" s="1"/>
      <c r="FV1" s="1"/>
      <c r="FW1" s="1"/>
      <c r="FX1" s="1"/>
      <c r="FY1" s="1"/>
      <c r="FZ1" s="1"/>
      <c r="GA1" s="1"/>
      <c r="GB1" s="1"/>
      <c r="GC1" s="1"/>
      <c r="GD1" s="1"/>
      <c r="GE1" s="1"/>
      <c r="GF1" s="1"/>
      <c r="GG1" s="1"/>
      <c r="GH1" s="1"/>
      <c r="GI1" s="1"/>
      <c r="GJ1" s="1"/>
      <c r="GK1" s="1"/>
      <c r="GL1" s="1"/>
      <c r="GM1" s="1"/>
      <c r="GN1" s="1"/>
      <c r="GO1" s="1"/>
      <c r="GP1" s="1"/>
      <c r="GQ1" s="1"/>
      <c r="GR1" s="1"/>
      <c r="GS1" s="1"/>
      <c r="GT1" s="1"/>
      <c r="GU1" s="1"/>
      <c r="GV1" s="1"/>
      <c r="GW1" s="1"/>
      <c r="GX1" s="1"/>
      <c r="GY1" s="1"/>
      <c r="GZ1" s="1"/>
      <c r="HA1" s="1"/>
      <c r="HB1" s="1"/>
      <c r="HC1" s="1"/>
      <c r="HD1" s="1"/>
      <c r="HE1" s="1"/>
      <c r="HF1" s="1"/>
      <c r="HG1" s="1"/>
      <c r="HH1" s="1"/>
      <c r="HI1" s="1"/>
      <c r="HJ1" s="1"/>
      <c r="HK1" s="1"/>
      <c r="HL1" s="1"/>
      <c r="HM1" s="1"/>
      <c r="HN1" s="1"/>
      <c r="HO1" s="1"/>
      <c r="HP1" s="1"/>
      <c r="HQ1" s="1"/>
      <c r="HR1" s="1"/>
      <c r="HS1" s="1"/>
      <c r="HT1" s="1"/>
      <c r="HU1" s="1"/>
      <c r="HV1" s="1"/>
      <c r="HW1" s="1"/>
      <c r="HX1" s="1"/>
      <c r="HY1" s="1"/>
      <c r="HZ1" s="1"/>
      <c r="IA1" s="1"/>
      <c r="IB1" s="1"/>
      <c r="IC1" s="1"/>
      <c r="ID1" s="1"/>
      <c r="IE1" s="1"/>
      <c r="IF1" s="1"/>
      <c r="IG1" s="1"/>
      <c r="IH1" s="1"/>
      <c r="II1" s="1"/>
      <c r="IJ1" s="1"/>
      <c r="IK1" s="1"/>
      <c r="IL1" s="1"/>
      <c r="IM1" s="1"/>
      <c r="IN1" s="1"/>
      <c r="IO1" s="1"/>
      <c r="IP1" s="1"/>
      <c r="IQ1" s="1"/>
      <c r="IR1" s="1"/>
      <c r="IS1" s="1"/>
      <c r="IT1" s="1"/>
      <c r="IU1" s="1"/>
      <c r="IV1" s="1"/>
      <c r="IW1" s="1"/>
      <c r="IX1" s="1"/>
      <c r="IY1" s="1"/>
      <c r="IZ1" s="1"/>
      <c r="JA1" s="1"/>
      <c r="JB1" s="1"/>
      <c r="JC1" s="1"/>
      <c r="JD1" s="1"/>
    </row>
    <row r="2" spans="2:264" s="1044" customFormat="1" ht="13.5" customHeight="1" thickBot="1" x14ac:dyDescent="0.25">
      <c r="B2" s="1042"/>
      <c r="C2" s="1043"/>
      <c r="F2" s="1047" t="s">
        <v>2</v>
      </c>
      <c r="G2" s="1048"/>
      <c r="H2" s="1048">
        <f>SUMMARY!EI2</f>
        <v>169.56</v>
      </c>
      <c r="I2" s="1048"/>
      <c r="J2" s="1048"/>
      <c r="K2" s="1051"/>
      <c r="L2" s="1048"/>
      <c r="M2" s="1048"/>
      <c r="N2" s="1048"/>
      <c r="O2" s="1048"/>
      <c r="P2" s="1046"/>
      <c r="Q2" s="1049"/>
      <c r="R2" s="1050"/>
      <c r="S2" s="1051"/>
      <c r="T2" s="1051">
        <v>39629</v>
      </c>
      <c r="U2" s="1051">
        <f>+T2+365</f>
        <v>39994</v>
      </c>
      <c r="V2" s="1051">
        <f>+U2+365</f>
        <v>40359</v>
      </c>
      <c r="W2" s="1051">
        <f>+V2+365</f>
        <v>40724</v>
      </c>
      <c r="X2" s="1051">
        <f>+W2+366</f>
        <v>41090</v>
      </c>
      <c r="Y2" s="1051">
        <f>+X2+365</f>
        <v>41455</v>
      </c>
      <c r="Z2" s="1051">
        <f>+Y2+365</f>
        <v>41820</v>
      </c>
      <c r="AA2" s="1051">
        <f>+Z2+365</f>
        <v>42185</v>
      </c>
      <c r="AB2" s="1051">
        <f>+AA2+366</f>
        <v>42551</v>
      </c>
      <c r="AC2" s="1051">
        <f t="shared" ref="AC2:AD2" si="4">+AB2+365</f>
        <v>42916</v>
      </c>
      <c r="AD2" s="1051">
        <f t="shared" si="4"/>
        <v>43281</v>
      </c>
      <c r="AE2" s="1051">
        <f>+AD2+365</f>
        <v>43646</v>
      </c>
      <c r="AF2" s="1051">
        <f>EOMONTH(AE2,12)</f>
        <v>44012</v>
      </c>
      <c r="AG2" s="1051">
        <f t="shared" ref="AG2:AQ2" si="5">EOMONTH(AF2,12)</f>
        <v>44377</v>
      </c>
      <c r="AH2" s="1051">
        <f t="shared" si="5"/>
        <v>44742</v>
      </c>
      <c r="AI2" s="1051">
        <f t="shared" si="5"/>
        <v>45107</v>
      </c>
      <c r="AJ2" s="1051">
        <f t="shared" si="5"/>
        <v>45473</v>
      </c>
      <c r="AK2" s="1362">
        <f t="shared" si="5"/>
        <v>45838</v>
      </c>
      <c r="AL2" s="1051">
        <f t="shared" si="5"/>
        <v>46203</v>
      </c>
      <c r="AM2" s="1051">
        <f t="shared" ref="AM2:AN2" si="6">EOMONTH(AL2,12)</f>
        <v>46568</v>
      </c>
      <c r="AN2" s="1051">
        <f t="shared" si="6"/>
        <v>46934</v>
      </c>
      <c r="AO2" s="1051">
        <f t="shared" si="5"/>
        <v>47299</v>
      </c>
      <c r="AP2" s="1051">
        <f t="shared" si="5"/>
        <v>47664</v>
      </c>
      <c r="AQ2" s="1051">
        <f t="shared" si="5"/>
        <v>48029</v>
      </c>
      <c r="AR2" s="1051">
        <f>EOMONTH(AQ2,12)</f>
        <v>48395</v>
      </c>
      <c r="AS2" s="1051">
        <f t="shared" ref="AS2:DD2" si="7">EOMONTH(AR2,12)</f>
        <v>48760</v>
      </c>
      <c r="AT2" s="1051">
        <f t="shared" si="7"/>
        <v>49125</v>
      </c>
      <c r="AU2" s="1051">
        <f t="shared" si="7"/>
        <v>49490</v>
      </c>
      <c r="AV2" s="1051">
        <f t="shared" si="7"/>
        <v>49856</v>
      </c>
      <c r="AW2" s="1051">
        <f t="shared" si="7"/>
        <v>50221</v>
      </c>
      <c r="AX2" s="1051">
        <f t="shared" si="7"/>
        <v>50586</v>
      </c>
      <c r="AY2" s="1051">
        <f t="shared" si="7"/>
        <v>50951</v>
      </c>
      <c r="AZ2" s="1051">
        <f t="shared" si="7"/>
        <v>51317</v>
      </c>
      <c r="BA2" s="1051">
        <f t="shared" si="7"/>
        <v>51682</v>
      </c>
      <c r="BB2" s="1051">
        <f t="shared" si="7"/>
        <v>52047</v>
      </c>
      <c r="BC2" s="1051">
        <f t="shared" si="7"/>
        <v>52412</v>
      </c>
      <c r="BD2" s="1051">
        <f t="shared" si="7"/>
        <v>52778</v>
      </c>
      <c r="BE2" s="1051">
        <f t="shared" si="7"/>
        <v>53143</v>
      </c>
      <c r="BF2" s="1051">
        <f t="shared" si="7"/>
        <v>53508</v>
      </c>
      <c r="BG2" s="1051">
        <f t="shared" si="7"/>
        <v>53873</v>
      </c>
      <c r="BH2" s="1051">
        <f t="shared" si="7"/>
        <v>54239</v>
      </c>
      <c r="BI2" s="1051">
        <f t="shared" si="7"/>
        <v>54604</v>
      </c>
      <c r="BJ2" s="1051">
        <f t="shared" si="7"/>
        <v>54969</v>
      </c>
      <c r="BK2" s="1051">
        <f t="shared" si="7"/>
        <v>55334</v>
      </c>
      <c r="BL2" s="1051">
        <f t="shared" si="7"/>
        <v>55700</v>
      </c>
      <c r="BM2" s="1051">
        <f t="shared" si="7"/>
        <v>56065</v>
      </c>
      <c r="BN2" s="1051">
        <f t="shared" si="7"/>
        <v>56430</v>
      </c>
      <c r="BO2" s="1051">
        <f t="shared" si="7"/>
        <v>56795</v>
      </c>
      <c r="BP2" s="1051">
        <f t="shared" si="7"/>
        <v>57161</v>
      </c>
      <c r="BQ2" s="1051">
        <f t="shared" si="7"/>
        <v>57526</v>
      </c>
      <c r="BR2" s="1051">
        <f t="shared" si="7"/>
        <v>57891</v>
      </c>
      <c r="BS2" s="1051">
        <f t="shared" si="7"/>
        <v>58256</v>
      </c>
      <c r="BT2" s="1051">
        <f t="shared" si="7"/>
        <v>58622</v>
      </c>
      <c r="BU2" s="1051">
        <f t="shared" si="7"/>
        <v>58987</v>
      </c>
      <c r="BV2" s="1051">
        <f t="shared" si="7"/>
        <v>59352</v>
      </c>
      <c r="BW2" s="1051">
        <f t="shared" si="7"/>
        <v>59717</v>
      </c>
      <c r="BX2" s="1051">
        <f t="shared" si="7"/>
        <v>60083</v>
      </c>
      <c r="BY2" s="1051">
        <f t="shared" si="7"/>
        <v>60448</v>
      </c>
      <c r="BZ2" s="1051">
        <f t="shared" si="7"/>
        <v>60813</v>
      </c>
      <c r="CA2" s="1051">
        <f t="shared" si="7"/>
        <v>61178</v>
      </c>
      <c r="CB2" s="1051">
        <f t="shared" si="7"/>
        <v>61544</v>
      </c>
      <c r="CC2" s="1051">
        <f t="shared" si="7"/>
        <v>61909</v>
      </c>
      <c r="CD2" s="1051">
        <f t="shared" si="7"/>
        <v>62274</v>
      </c>
      <c r="CE2" s="1051">
        <f t="shared" si="7"/>
        <v>62639</v>
      </c>
      <c r="CF2" s="1051">
        <f t="shared" si="7"/>
        <v>63005</v>
      </c>
      <c r="CG2" s="1051">
        <f t="shared" si="7"/>
        <v>63370</v>
      </c>
      <c r="CH2" s="1051">
        <f t="shared" si="7"/>
        <v>63735</v>
      </c>
      <c r="CI2" s="1051">
        <f t="shared" si="7"/>
        <v>64100</v>
      </c>
      <c r="CJ2" s="1051">
        <f t="shared" si="7"/>
        <v>64466</v>
      </c>
      <c r="CK2" s="1051">
        <f t="shared" si="7"/>
        <v>64831</v>
      </c>
      <c r="CL2" s="1051">
        <f t="shared" si="7"/>
        <v>65196</v>
      </c>
      <c r="CM2" s="1051">
        <f t="shared" si="7"/>
        <v>65561</v>
      </c>
      <c r="CN2" s="1051">
        <f t="shared" si="7"/>
        <v>65927</v>
      </c>
      <c r="CO2" s="1051">
        <f t="shared" si="7"/>
        <v>66292</v>
      </c>
      <c r="CP2" s="1051">
        <f t="shared" si="7"/>
        <v>66657</v>
      </c>
      <c r="CQ2" s="1051">
        <f t="shared" si="7"/>
        <v>67022</v>
      </c>
      <c r="CR2" s="1051">
        <f t="shared" si="7"/>
        <v>67388</v>
      </c>
      <c r="CS2" s="1051">
        <f t="shared" si="7"/>
        <v>67753</v>
      </c>
      <c r="CT2" s="1051">
        <f t="shared" si="7"/>
        <v>68118</v>
      </c>
      <c r="CU2" s="1051">
        <f t="shared" si="7"/>
        <v>68483</v>
      </c>
      <c r="CV2" s="1051">
        <f t="shared" si="7"/>
        <v>68849</v>
      </c>
      <c r="CW2" s="1051">
        <f t="shared" si="7"/>
        <v>69214</v>
      </c>
      <c r="CX2" s="1051">
        <f t="shared" si="7"/>
        <v>69579</v>
      </c>
      <c r="CY2" s="1051">
        <f t="shared" si="7"/>
        <v>69944</v>
      </c>
      <c r="CZ2" s="1051">
        <f t="shared" si="7"/>
        <v>70310</v>
      </c>
      <c r="DA2" s="1051">
        <f t="shared" si="7"/>
        <v>70675</v>
      </c>
      <c r="DB2" s="1051">
        <f t="shared" si="7"/>
        <v>71040</v>
      </c>
      <c r="DC2" s="1051">
        <f t="shared" si="7"/>
        <v>71405</v>
      </c>
      <c r="DD2" s="1051">
        <f t="shared" si="7"/>
        <v>71771</v>
      </c>
      <c r="DE2" s="1051">
        <f t="shared" ref="DE2:ER2" si="8">EOMONTH(DD2,12)</f>
        <v>72136</v>
      </c>
      <c r="DF2" s="1051">
        <f t="shared" si="8"/>
        <v>72501</v>
      </c>
      <c r="DG2" s="1051">
        <f t="shared" si="8"/>
        <v>72866</v>
      </c>
      <c r="DH2" s="1051">
        <f t="shared" si="8"/>
        <v>73231</v>
      </c>
      <c r="DI2" s="1051">
        <f t="shared" si="8"/>
        <v>73596</v>
      </c>
      <c r="DJ2" s="1051">
        <f t="shared" si="8"/>
        <v>73961</v>
      </c>
      <c r="DK2" s="1051">
        <f t="shared" si="8"/>
        <v>74326</v>
      </c>
      <c r="DL2" s="1051">
        <f t="shared" si="8"/>
        <v>74692</v>
      </c>
      <c r="DM2" s="1051">
        <f t="shared" si="8"/>
        <v>75057</v>
      </c>
      <c r="DN2" s="1051">
        <f t="shared" si="8"/>
        <v>75422</v>
      </c>
      <c r="DO2" s="1051">
        <f t="shared" si="8"/>
        <v>75787</v>
      </c>
      <c r="DP2" s="1051">
        <f t="shared" si="8"/>
        <v>76153</v>
      </c>
      <c r="DQ2" s="1051">
        <f t="shared" si="8"/>
        <v>76518</v>
      </c>
      <c r="DR2" s="1051">
        <f t="shared" si="8"/>
        <v>76883</v>
      </c>
      <c r="DS2" s="1051">
        <f t="shared" si="8"/>
        <v>77248</v>
      </c>
      <c r="DT2" s="1051">
        <f t="shared" si="8"/>
        <v>77614</v>
      </c>
      <c r="DU2" s="1051">
        <f t="shared" si="8"/>
        <v>77979</v>
      </c>
      <c r="DV2" s="1051">
        <f t="shared" si="8"/>
        <v>78344</v>
      </c>
      <c r="DW2" s="1051">
        <f t="shared" si="8"/>
        <v>78709</v>
      </c>
      <c r="DX2" s="1051">
        <f t="shared" si="8"/>
        <v>79075</v>
      </c>
      <c r="DY2" s="1051">
        <f t="shared" si="8"/>
        <v>79440</v>
      </c>
      <c r="DZ2" s="1051">
        <f t="shared" si="8"/>
        <v>79805</v>
      </c>
      <c r="EA2" s="1051">
        <f t="shared" si="8"/>
        <v>80170</v>
      </c>
      <c r="EB2" s="1051">
        <f t="shared" si="8"/>
        <v>80536</v>
      </c>
      <c r="EC2" s="1051">
        <f t="shared" si="8"/>
        <v>80901</v>
      </c>
      <c r="ED2" s="1051">
        <f t="shared" si="8"/>
        <v>81266</v>
      </c>
      <c r="EE2" s="1051">
        <f t="shared" si="8"/>
        <v>81631</v>
      </c>
      <c r="EF2" s="1051">
        <f t="shared" si="8"/>
        <v>81997</v>
      </c>
      <c r="EG2" s="1051">
        <f t="shared" si="8"/>
        <v>82362</v>
      </c>
      <c r="EH2" s="1051">
        <f t="shared" si="8"/>
        <v>82727</v>
      </c>
      <c r="EI2" s="1051">
        <f t="shared" si="8"/>
        <v>83092</v>
      </c>
      <c r="EJ2" s="1051">
        <f t="shared" si="8"/>
        <v>83458</v>
      </c>
      <c r="EK2" s="1051">
        <f t="shared" si="8"/>
        <v>83823</v>
      </c>
      <c r="EL2" s="1051">
        <f t="shared" si="8"/>
        <v>84188</v>
      </c>
      <c r="EM2" s="1051">
        <f t="shared" si="8"/>
        <v>84553</v>
      </c>
      <c r="EN2" s="1051">
        <f t="shared" si="8"/>
        <v>84919</v>
      </c>
      <c r="EO2" s="1051">
        <f t="shared" si="8"/>
        <v>85284</v>
      </c>
      <c r="EP2" s="1051">
        <f t="shared" si="8"/>
        <v>85649</v>
      </c>
      <c r="EQ2" s="1051">
        <f t="shared" si="8"/>
        <v>86014</v>
      </c>
      <c r="ER2" s="1051">
        <f t="shared" si="8"/>
        <v>86380</v>
      </c>
      <c r="ES2" s="1"/>
      <c r="ET2" s="1"/>
      <c r="EU2" s="1"/>
      <c r="EV2" s="1"/>
      <c r="EW2" s="1"/>
      <c r="EX2" s="1"/>
      <c r="EY2" s="1"/>
      <c r="EZ2" s="1"/>
      <c r="FA2" s="1"/>
      <c r="FB2" s="1"/>
      <c r="FC2" s="1"/>
      <c r="FD2" s="1"/>
      <c r="FE2" s="1"/>
      <c r="FF2" s="1"/>
      <c r="FG2" s="1"/>
      <c r="FH2" s="1"/>
      <c r="FI2" s="1"/>
      <c r="FJ2" s="1"/>
      <c r="FK2" s="1"/>
      <c r="FL2" s="1"/>
      <c r="FM2" s="1"/>
      <c r="FN2" s="1"/>
      <c r="FO2" s="1"/>
      <c r="FP2" s="1"/>
      <c r="FQ2" s="1"/>
      <c r="FR2" s="1"/>
      <c r="FS2" s="1"/>
      <c r="FT2" s="1"/>
      <c r="FU2" s="1"/>
      <c r="FV2" s="1"/>
      <c r="FW2" s="1"/>
      <c r="FX2" s="1"/>
      <c r="FY2" s="1"/>
      <c r="FZ2" s="1"/>
      <c r="GA2" s="1"/>
      <c r="GB2" s="1"/>
      <c r="GC2" s="1"/>
      <c r="GD2" s="1"/>
      <c r="GE2" s="1"/>
      <c r="GF2" s="1"/>
      <c r="GG2" s="1"/>
      <c r="GH2" s="1"/>
      <c r="GI2" s="1"/>
      <c r="GJ2" s="1"/>
      <c r="GK2" s="1"/>
      <c r="GL2" s="1"/>
      <c r="GM2" s="1"/>
      <c r="GN2" s="1"/>
      <c r="GO2" s="1"/>
      <c r="GP2" s="1"/>
      <c r="GQ2" s="1"/>
      <c r="GR2" s="1"/>
      <c r="GS2" s="1"/>
      <c r="GT2" s="1"/>
      <c r="GU2" s="1"/>
      <c r="GV2" s="1"/>
      <c r="GW2" s="1"/>
      <c r="GX2" s="1"/>
      <c r="GY2" s="1"/>
      <c r="GZ2" s="1"/>
      <c r="HA2" s="1"/>
      <c r="HB2" s="1"/>
      <c r="HC2" s="1"/>
      <c r="HD2" s="1"/>
      <c r="HE2" s="1"/>
      <c r="HF2" s="1"/>
      <c r="HG2" s="1"/>
      <c r="HH2" s="1"/>
      <c r="HI2" s="1"/>
      <c r="HJ2" s="1"/>
      <c r="HK2" s="1"/>
      <c r="HL2" s="1"/>
      <c r="HM2" s="1"/>
      <c r="HN2" s="1"/>
      <c r="HO2" s="1"/>
      <c r="HP2" s="1"/>
      <c r="HQ2" s="1"/>
      <c r="HR2" s="1"/>
      <c r="HS2" s="1"/>
      <c r="HT2" s="1"/>
      <c r="HU2" s="1"/>
      <c r="HV2" s="1"/>
      <c r="HW2" s="1"/>
      <c r="HX2" s="1"/>
      <c r="HY2" s="1"/>
      <c r="HZ2" s="1"/>
      <c r="IA2" s="1"/>
      <c r="IB2" s="1"/>
      <c r="IC2" s="1"/>
      <c r="ID2" s="1"/>
      <c r="IE2" s="1"/>
      <c r="IF2" s="1"/>
      <c r="IG2" s="1"/>
      <c r="IH2" s="1"/>
      <c r="II2" s="1"/>
      <c r="IJ2" s="1"/>
      <c r="IK2" s="1"/>
      <c r="IL2" s="1"/>
      <c r="IM2" s="1"/>
      <c r="IN2" s="1"/>
      <c r="IO2" s="1"/>
      <c r="IP2" s="1"/>
      <c r="IQ2" s="1"/>
      <c r="IR2" s="1"/>
      <c r="IS2" s="1"/>
      <c r="IT2" s="1"/>
      <c r="IU2" s="1"/>
      <c r="IV2" s="1"/>
      <c r="IW2" s="1"/>
      <c r="IX2" s="1"/>
      <c r="IY2" s="1"/>
      <c r="IZ2" s="1"/>
      <c r="JA2" s="1"/>
      <c r="JB2" s="1"/>
      <c r="JC2" s="1"/>
      <c r="JD2" s="1"/>
    </row>
    <row r="3" spans="2:264" s="1044" customFormat="1" ht="13.5" thickBot="1" x14ac:dyDescent="0.25">
      <c r="B3" s="1052" t="s">
        <v>975</v>
      </c>
      <c r="C3" s="1053"/>
      <c r="F3" s="1054" t="s">
        <v>976</v>
      </c>
      <c r="G3" s="1043"/>
      <c r="H3" s="1055">
        <v>140</v>
      </c>
      <c r="I3" s="1056">
        <f>+H3/H2-1</f>
        <v>-0.1743335692380279</v>
      </c>
      <c r="J3" s="1056"/>
      <c r="K3" s="1051"/>
      <c r="L3" s="1056"/>
      <c r="M3" s="1056"/>
      <c r="N3" s="1056"/>
      <c r="O3" s="1056"/>
      <c r="P3" s="1046"/>
      <c r="Q3" s="1049"/>
      <c r="R3" s="1047"/>
      <c r="S3" s="1047"/>
      <c r="T3" s="1047"/>
      <c r="W3" s="1057"/>
      <c r="X3" s="1057"/>
      <c r="Y3" s="1057"/>
      <c r="Z3" s="1057"/>
      <c r="AA3" s="1057"/>
      <c r="AB3" s="1057"/>
      <c r="AC3" s="1057"/>
      <c r="AD3" s="1057"/>
      <c r="AE3" s="1057"/>
      <c r="AF3" s="1057"/>
      <c r="AG3" s="1057"/>
      <c r="AH3" s="1057"/>
      <c r="AI3" s="1057"/>
      <c r="AJ3" s="1057"/>
      <c r="AK3" s="1363"/>
      <c r="AL3" s="1057"/>
      <c r="AM3" s="1057"/>
      <c r="AN3" s="1057"/>
      <c r="AO3" s="1057"/>
      <c r="AQ3" s="1047"/>
      <c r="AR3" s="1047"/>
      <c r="AS3" s="1047"/>
      <c r="AT3" s="1047"/>
      <c r="AU3" s="1047"/>
      <c r="AV3" s="1047" t="s">
        <v>977</v>
      </c>
      <c r="AY3" s="1047"/>
      <c r="AZ3" s="1047"/>
      <c r="BA3" s="1047" t="s">
        <v>978</v>
      </c>
      <c r="ES3" s="1"/>
      <c r="ET3" s="1"/>
      <c r="EU3" s="1"/>
      <c r="EV3" s="1"/>
      <c r="EW3" s="1"/>
      <c r="EX3" s="1"/>
      <c r="EY3" s="1"/>
      <c r="EZ3" s="1"/>
      <c r="FA3" s="1"/>
      <c r="FB3" s="1"/>
      <c r="FC3" s="1"/>
      <c r="FD3" s="1"/>
      <c r="FE3" s="1"/>
      <c r="FF3" s="1"/>
      <c r="FG3" s="1"/>
      <c r="FH3" s="1"/>
      <c r="FI3" s="1"/>
      <c r="FJ3" s="1"/>
      <c r="FK3" s="1"/>
      <c r="FL3" s="1"/>
      <c r="FM3" s="1"/>
      <c r="FN3" s="1"/>
      <c r="FO3" s="1"/>
      <c r="FP3" s="1"/>
      <c r="FQ3" s="1"/>
      <c r="FR3" s="1"/>
      <c r="FS3" s="1"/>
      <c r="FT3" s="1"/>
      <c r="FU3" s="1"/>
      <c r="FV3" s="1"/>
      <c r="FW3" s="1"/>
      <c r="FX3" s="1"/>
      <c r="FY3" s="1"/>
      <c r="FZ3" s="1"/>
      <c r="GA3" s="1"/>
      <c r="GB3" s="1"/>
      <c r="GC3" s="1"/>
      <c r="GD3" s="1"/>
      <c r="GE3" s="1"/>
      <c r="GF3" s="1"/>
      <c r="GG3" s="1"/>
      <c r="GH3" s="1"/>
      <c r="GI3" s="1"/>
      <c r="GJ3" s="1"/>
      <c r="GK3" s="1"/>
      <c r="GL3" s="1"/>
      <c r="GM3" s="1"/>
      <c r="GN3" s="1"/>
      <c r="GO3" s="1"/>
      <c r="GP3" s="1"/>
      <c r="GQ3" s="1"/>
      <c r="GR3" s="1"/>
      <c r="GS3" s="1"/>
      <c r="GT3" s="1"/>
      <c r="GU3" s="1"/>
      <c r="GV3" s="1"/>
      <c r="GW3" s="1"/>
      <c r="GX3" s="1"/>
      <c r="GY3" s="1"/>
      <c r="GZ3" s="1"/>
      <c r="HA3" s="1"/>
      <c r="HB3" s="1"/>
      <c r="HC3" s="1"/>
      <c r="HD3" s="1"/>
      <c r="HE3" s="1"/>
      <c r="HF3" s="1"/>
      <c r="HG3" s="1"/>
      <c r="HH3" s="1"/>
      <c r="HI3" s="1"/>
      <c r="HJ3" s="1"/>
      <c r="HK3" s="1"/>
      <c r="HL3" s="1"/>
      <c r="HM3" s="1"/>
      <c r="HN3" s="1"/>
      <c r="HO3" s="1"/>
      <c r="HP3" s="1"/>
      <c r="HQ3" s="1"/>
      <c r="HR3" s="1"/>
      <c r="HS3" s="1"/>
      <c r="HT3" s="1"/>
      <c r="HU3" s="1"/>
      <c r="HV3" s="1"/>
      <c r="HW3" s="1"/>
      <c r="HX3" s="1"/>
      <c r="HY3" s="1"/>
      <c r="HZ3" s="1"/>
      <c r="IA3" s="1"/>
      <c r="IB3" s="1"/>
      <c r="IC3" s="1"/>
      <c r="ID3" s="1"/>
      <c r="IE3" s="1"/>
      <c r="IF3" s="1"/>
      <c r="IG3" s="1"/>
      <c r="IH3" s="1"/>
      <c r="II3" s="1"/>
      <c r="IJ3" s="1"/>
      <c r="IK3" s="1"/>
      <c r="IL3" s="1"/>
      <c r="IM3" s="1"/>
      <c r="IN3" s="1"/>
      <c r="IO3" s="1"/>
      <c r="IP3" s="1"/>
      <c r="IQ3" s="1"/>
      <c r="IR3" s="1"/>
      <c r="IS3" s="1"/>
      <c r="IT3" s="1"/>
      <c r="IU3" s="1"/>
      <c r="IV3" s="1"/>
      <c r="IW3" s="1"/>
      <c r="IX3" s="1"/>
      <c r="IY3" s="1"/>
      <c r="IZ3" s="1"/>
      <c r="JA3" s="1"/>
      <c r="JB3" s="1"/>
      <c r="JC3" s="1"/>
      <c r="JD3" s="1"/>
    </row>
    <row r="4" spans="2:264" s="1044" customFormat="1" x14ac:dyDescent="0.2">
      <c r="B4" s="1058"/>
      <c r="C4" s="1059"/>
      <c r="F4" s="1060" t="s">
        <v>979</v>
      </c>
      <c r="G4" s="1061" t="s">
        <v>22</v>
      </c>
      <c r="H4" s="1062" t="s">
        <v>980</v>
      </c>
      <c r="I4" s="1063"/>
      <c r="J4" s="1063"/>
      <c r="K4" s="1272" t="s">
        <v>1157</v>
      </c>
      <c r="L4" s="1272" t="s">
        <v>1158</v>
      </c>
      <c r="M4" s="1272" t="s">
        <v>1158</v>
      </c>
      <c r="N4" s="1272" t="s">
        <v>1157</v>
      </c>
      <c r="O4" s="1272"/>
      <c r="P4" s="1046"/>
      <c r="Q4" s="1064">
        <v>46081</v>
      </c>
      <c r="R4" s="1043"/>
      <c r="T4" s="1044">
        <v>0</v>
      </c>
      <c r="U4" s="1044">
        <v>0</v>
      </c>
      <c r="V4" s="1044">
        <v>0</v>
      </c>
      <c r="W4" s="1044">
        <v>0</v>
      </c>
      <c r="X4" s="1044">
        <v>0</v>
      </c>
      <c r="Y4" s="1044">
        <v>0</v>
      </c>
      <c r="Z4" s="1044">
        <v>0</v>
      </c>
      <c r="AA4" s="1044">
        <v>0</v>
      </c>
      <c r="AB4" s="1044">
        <v>0</v>
      </c>
      <c r="AC4" s="1044">
        <v>0</v>
      </c>
      <c r="AD4" s="1044">
        <v>0</v>
      </c>
      <c r="AE4" s="1044">
        <v>0</v>
      </c>
      <c r="AF4" s="1044">
        <v>0</v>
      </c>
      <c r="AG4" s="1044">
        <v>0</v>
      </c>
      <c r="AH4" s="1044">
        <v>0</v>
      </c>
      <c r="AI4" s="1044">
        <v>0</v>
      </c>
      <c r="AJ4" s="1044">
        <v>0</v>
      </c>
      <c r="AK4" s="1361">
        <v>0</v>
      </c>
      <c r="AL4" s="1065">
        <f t="shared" ref="AL4:AQ4" si="9">AK4+1</f>
        <v>1</v>
      </c>
      <c r="AM4" s="1065">
        <f t="shared" ref="AM4:AN4" si="10">AL4+1</f>
        <v>2</v>
      </c>
      <c r="AN4" s="1065">
        <f t="shared" si="10"/>
        <v>3</v>
      </c>
      <c r="AO4" s="1065">
        <f t="shared" si="9"/>
        <v>4</v>
      </c>
      <c r="AP4" s="1065">
        <f t="shared" si="9"/>
        <v>5</v>
      </c>
      <c r="AQ4" s="1065">
        <f t="shared" si="9"/>
        <v>6</v>
      </c>
      <c r="AR4" s="1065">
        <f>AQ4+1</f>
        <v>7</v>
      </c>
      <c r="AS4" s="1065">
        <f t="shared" ref="AS4:AU4" si="11">AR4+1</f>
        <v>8</v>
      </c>
      <c r="AT4" s="1065">
        <f t="shared" si="11"/>
        <v>9</v>
      </c>
      <c r="AU4" s="1065">
        <f t="shared" si="11"/>
        <v>10</v>
      </c>
      <c r="AV4" s="1066">
        <v>1</v>
      </c>
      <c r="AW4" s="1066">
        <f>AV4+1</f>
        <v>2</v>
      </c>
      <c r="AX4" s="1066">
        <f>AW4+1</f>
        <v>3</v>
      </c>
      <c r="AY4" s="1066">
        <f>AX4+1</f>
        <v>4</v>
      </c>
      <c r="AZ4" s="1066">
        <f>AY4+1</f>
        <v>5</v>
      </c>
      <c r="BA4" s="1065">
        <v>1</v>
      </c>
      <c r="BB4" s="1065">
        <f t="shared" ref="BB4:DM4" si="12">BA4+1</f>
        <v>2</v>
      </c>
      <c r="BC4" s="1065">
        <f t="shared" si="12"/>
        <v>3</v>
      </c>
      <c r="BD4" s="1065">
        <f t="shared" si="12"/>
        <v>4</v>
      </c>
      <c r="BE4" s="1065">
        <f t="shared" si="12"/>
        <v>5</v>
      </c>
      <c r="BF4" s="1065">
        <f t="shared" si="12"/>
        <v>6</v>
      </c>
      <c r="BG4" s="1065">
        <f t="shared" si="12"/>
        <v>7</v>
      </c>
      <c r="BH4" s="1065">
        <f t="shared" si="12"/>
        <v>8</v>
      </c>
      <c r="BI4" s="1065">
        <f t="shared" si="12"/>
        <v>9</v>
      </c>
      <c r="BJ4" s="1065">
        <f t="shared" si="12"/>
        <v>10</v>
      </c>
      <c r="BK4" s="1065">
        <f t="shared" si="12"/>
        <v>11</v>
      </c>
      <c r="BL4" s="1065">
        <f t="shared" si="12"/>
        <v>12</v>
      </c>
      <c r="BM4" s="1065">
        <f t="shared" si="12"/>
        <v>13</v>
      </c>
      <c r="BN4" s="1065">
        <f t="shared" si="12"/>
        <v>14</v>
      </c>
      <c r="BO4" s="1065">
        <f t="shared" si="12"/>
        <v>15</v>
      </c>
      <c r="BP4" s="1065">
        <f t="shared" si="12"/>
        <v>16</v>
      </c>
      <c r="BQ4" s="1065">
        <f t="shared" si="12"/>
        <v>17</v>
      </c>
      <c r="BR4" s="1065">
        <f t="shared" si="12"/>
        <v>18</v>
      </c>
      <c r="BS4" s="1065">
        <f t="shared" si="12"/>
        <v>19</v>
      </c>
      <c r="BT4" s="1065">
        <f t="shared" si="12"/>
        <v>20</v>
      </c>
      <c r="BU4" s="1065">
        <f t="shared" si="12"/>
        <v>21</v>
      </c>
      <c r="BV4" s="1065">
        <f t="shared" si="12"/>
        <v>22</v>
      </c>
      <c r="BW4" s="1065">
        <f t="shared" si="12"/>
        <v>23</v>
      </c>
      <c r="BX4" s="1065">
        <f t="shared" si="12"/>
        <v>24</v>
      </c>
      <c r="BY4" s="1065">
        <f t="shared" si="12"/>
        <v>25</v>
      </c>
      <c r="BZ4" s="1065">
        <f t="shared" si="12"/>
        <v>26</v>
      </c>
      <c r="CA4" s="1065">
        <f t="shared" si="12"/>
        <v>27</v>
      </c>
      <c r="CB4" s="1065">
        <f t="shared" si="12"/>
        <v>28</v>
      </c>
      <c r="CC4" s="1065">
        <f t="shared" si="12"/>
        <v>29</v>
      </c>
      <c r="CD4" s="1065">
        <f t="shared" si="12"/>
        <v>30</v>
      </c>
      <c r="CE4" s="1065">
        <f t="shared" si="12"/>
        <v>31</v>
      </c>
      <c r="CF4" s="1065">
        <f t="shared" si="12"/>
        <v>32</v>
      </c>
      <c r="CG4" s="1065">
        <f t="shared" si="12"/>
        <v>33</v>
      </c>
      <c r="CH4" s="1065">
        <f t="shared" si="12"/>
        <v>34</v>
      </c>
      <c r="CI4" s="1065">
        <f t="shared" si="12"/>
        <v>35</v>
      </c>
      <c r="CJ4" s="1065">
        <f t="shared" si="12"/>
        <v>36</v>
      </c>
      <c r="CK4" s="1065">
        <f t="shared" si="12"/>
        <v>37</v>
      </c>
      <c r="CL4" s="1065">
        <f t="shared" si="12"/>
        <v>38</v>
      </c>
      <c r="CM4" s="1065">
        <f t="shared" si="12"/>
        <v>39</v>
      </c>
      <c r="CN4" s="1065">
        <f t="shared" si="12"/>
        <v>40</v>
      </c>
      <c r="CO4" s="1065">
        <f t="shared" si="12"/>
        <v>41</v>
      </c>
      <c r="CP4" s="1065">
        <f t="shared" si="12"/>
        <v>42</v>
      </c>
      <c r="CQ4" s="1065">
        <f t="shared" si="12"/>
        <v>43</v>
      </c>
      <c r="CR4" s="1065">
        <f t="shared" si="12"/>
        <v>44</v>
      </c>
      <c r="CS4" s="1065">
        <f t="shared" si="12"/>
        <v>45</v>
      </c>
      <c r="CT4" s="1065">
        <f t="shared" si="12"/>
        <v>46</v>
      </c>
      <c r="CU4" s="1065">
        <f t="shared" si="12"/>
        <v>47</v>
      </c>
      <c r="CV4" s="1065">
        <f t="shared" si="12"/>
        <v>48</v>
      </c>
      <c r="CW4" s="1065">
        <f t="shared" si="12"/>
        <v>49</v>
      </c>
      <c r="CX4" s="1065">
        <f t="shared" si="12"/>
        <v>50</v>
      </c>
      <c r="CY4" s="1065">
        <f t="shared" si="12"/>
        <v>51</v>
      </c>
      <c r="CZ4" s="1065">
        <f t="shared" si="12"/>
        <v>52</v>
      </c>
      <c r="DA4" s="1065">
        <f t="shared" si="12"/>
        <v>53</v>
      </c>
      <c r="DB4" s="1065">
        <f t="shared" si="12"/>
        <v>54</v>
      </c>
      <c r="DC4" s="1065">
        <f t="shared" si="12"/>
        <v>55</v>
      </c>
      <c r="DD4" s="1065">
        <f t="shared" si="12"/>
        <v>56</v>
      </c>
      <c r="DE4" s="1065">
        <f t="shared" si="12"/>
        <v>57</v>
      </c>
      <c r="DF4" s="1065">
        <f t="shared" si="12"/>
        <v>58</v>
      </c>
      <c r="DG4" s="1065">
        <f t="shared" si="12"/>
        <v>59</v>
      </c>
      <c r="DH4" s="1065">
        <f t="shared" si="12"/>
        <v>60</v>
      </c>
      <c r="DI4" s="1065">
        <f t="shared" si="12"/>
        <v>61</v>
      </c>
      <c r="DJ4" s="1065">
        <f t="shared" si="12"/>
        <v>62</v>
      </c>
      <c r="DK4" s="1065">
        <f t="shared" si="12"/>
        <v>63</v>
      </c>
      <c r="DL4" s="1065">
        <f t="shared" si="12"/>
        <v>64</v>
      </c>
      <c r="DM4" s="1065">
        <f t="shared" si="12"/>
        <v>65</v>
      </c>
      <c r="DN4" s="1065">
        <f t="shared" ref="DN4:ER4" si="13">DM4+1</f>
        <v>66</v>
      </c>
      <c r="DO4" s="1065">
        <f t="shared" si="13"/>
        <v>67</v>
      </c>
      <c r="DP4" s="1065">
        <f t="shared" si="13"/>
        <v>68</v>
      </c>
      <c r="DQ4" s="1065">
        <f t="shared" si="13"/>
        <v>69</v>
      </c>
      <c r="DR4" s="1065">
        <f t="shared" si="13"/>
        <v>70</v>
      </c>
      <c r="DS4" s="1065">
        <f t="shared" si="13"/>
        <v>71</v>
      </c>
      <c r="DT4" s="1065">
        <f t="shared" si="13"/>
        <v>72</v>
      </c>
      <c r="DU4" s="1065">
        <f t="shared" si="13"/>
        <v>73</v>
      </c>
      <c r="DV4" s="1065">
        <f t="shared" si="13"/>
        <v>74</v>
      </c>
      <c r="DW4" s="1065">
        <f t="shared" si="13"/>
        <v>75</v>
      </c>
      <c r="DX4" s="1065">
        <f t="shared" si="13"/>
        <v>76</v>
      </c>
      <c r="DY4" s="1065">
        <f t="shared" si="13"/>
        <v>77</v>
      </c>
      <c r="DZ4" s="1065">
        <f t="shared" si="13"/>
        <v>78</v>
      </c>
      <c r="EA4" s="1065">
        <f t="shared" si="13"/>
        <v>79</v>
      </c>
      <c r="EB4" s="1065">
        <f t="shared" si="13"/>
        <v>80</v>
      </c>
      <c r="EC4" s="1065">
        <f t="shared" si="13"/>
        <v>81</v>
      </c>
      <c r="ED4" s="1065">
        <f t="shared" si="13"/>
        <v>82</v>
      </c>
      <c r="EE4" s="1065">
        <f t="shared" si="13"/>
        <v>83</v>
      </c>
      <c r="EF4" s="1065">
        <f t="shared" si="13"/>
        <v>84</v>
      </c>
      <c r="EG4" s="1065">
        <f t="shared" si="13"/>
        <v>85</v>
      </c>
      <c r="EH4" s="1065">
        <f t="shared" si="13"/>
        <v>86</v>
      </c>
      <c r="EI4" s="1065">
        <f t="shared" si="13"/>
        <v>87</v>
      </c>
      <c r="EJ4" s="1065">
        <f t="shared" si="13"/>
        <v>88</v>
      </c>
      <c r="EK4" s="1065">
        <f t="shared" si="13"/>
        <v>89</v>
      </c>
      <c r="EL4" s="1065">
        <f t="shared" si="13"/>
        <v>90</v>
      </c>
      <c r="EM4" s="1065">
        <f t="shared" si="13"/>
        <v>91</v>
      </c>
      <c r="EN4" s="1065">
        <f t="shared" si="13"/>
        <v>92</v>
      </c>
      <c r="EO4" s="1065">
        <f t="shared" si="13"/>
        <v>93</v>
      </c>
      <c r="EP4" s="1065">
        <f t="shared" si="13"/>
        <v>94</v>
      </c>
      <c r="EQ4" s="1065">
        <f t="shared" si="13"/>
        <v>95</v>
      </c>
      <c r="ER4" s="1065">
        <f t="shared" si="13"/>
        <v>96</v>
      </c>
      <c r="ES4" s="1"/>
      <c r="ET4" s="1"/>
      <c r="EU4" s="1"/>
      <c r="EV4" s="1"/>
      <c r="EW4" s="1"/>
      <c r="EX4" s="1"/>
      <c r="EY4" s="1"/>
      <c r="EZ4" s="1"/>
      <c r="FA4" s="1"/>
      <c r="FB4" s="1"/>
      <c r="FC4" s="1"/>
      <c r="FD4" s="1"/>
      <c r="FE4" s="1"/>
      <c r="FF4" s="1"/>
      <c r="FG4" s="1"/>
      <c r="FH4" s="1"/>
      <c r="FI4" s="1"/>
      <c r="FJ4" s="1"/>
      <c r="FK4" s="1"/>
      <c r="FL4" s="1"/>
      <c r="FM4" s="1"/>
      <c r="FN4" s="1"/>
      <c r="FO4" s="1"/>
      <c r="FP4" s="1"/>
      <c r="FQ4" s="1"/>
      <c r="FR4" s="1"/>
      <c r="FS4" s="1"/>
      <c r="FT4" s="1"/>
      <c r="FU4" s="1"/>
      <c r="FV4" s="1"/>
      <c r="FW4" s="1"/>
      <c r="FX4" s="1"/>
      <c r="FY4" s="1"/>
      <c r="FZ4" s="1"/>
      <c r="GA4" s="1"/>
      <c r="GB4" s="1"/>
      <c r="GC4" s="1"/>
      <c r="GD4" s="1"/>
      <c r="GE4" s="1"/>
      <c r="GF4" s="1"/>
      <c r="GG4" s="1"/>
      <c r="GH4" s="1"/>
      <c r="GI4" s="1"/>
      <c r="GJ4" s="1"/>
      <c r="GK4" s="1"/>
      <c r="GL4" s="1"/>
      <c r="GM4" s="1"/>
      <c r="GN4" s="1"/>
      <c r="GO4" s="1"/>
      <c r="GP4" s="1"/>
      <c r="GQ4" s="1"/>
      <c r="GR4" s="1"/>
      <c r="GS4" s="1"/>
      <c r="GT4" s="1"/>
      <c r="GU4" s="1"/>
      <c r="GV4" s="1"/>
      <c r="GW4" s="1"/>
      <c r="GX4" s="1"/>
      <c r="GY4" s="1"/>
      <c r="GZ4" s="1"/>
      <c r="HA4" s="1"/>
      <c r="HB4" s="1"/>
      <c r="HC4" s="1"/>
      <c r="HD4" s="1"/>
      <c r="HE4" s="1"/>
      <c r="HF4" s="1"/>
      <c r="HG4" s="1"/>
      <c r="HH4" s="1"/>
      <c r="HI4" s="1"/>
      <c r="HJ4" s="1"/>
      <c r="HK4" s="1"/>
      <c r="HL4" s="1"/>
      <c r="HM4" s="1"/>
      <c r="HN4" s="1"/>
      <c r="HO4" s="1"/>
      <c r="HP4" s="1"/>
      <c r="HQ4" s="1"/>
      <c r="HR4" s="1"/>
      <c r="HS4" s="1"/>
      <c r="HT4" s="1"/>
      <c r="HU4" s="1"/>
      <c r="HV4" s="1"/>
      <c r="HW4" s="1"/>
      <c r="HX4" s="1"/>
      <c r="HY4" s="1"/>
      <c r="HZ4" s="1"/>
      <c r="IA4" s="1"/>
      <c r="IB4" s="1"/>
      <c r="IC4" s="1"/>
      <c r="ID4" s="1"/>
      <c r="IE4" s="1"/>
      <c r="IF4" s="1"/>
      <c r="IG4" s="1"/>
      <c r="IH4" s="1"/>
      <c r="II4" s="1"/>
      <c r="IJ4" s="1"/>
      <c r="IK4" s="1"/>
      <c r="IL4" s="1"/>
      <c r="IM4" s="1"/>
      <c r="IN4" s="1"/>
      <c r="IO4" s="1"/>
      <c r="IP4" s="1"/>
      <c r="IQ4" s="1"/>
      <c r="IR4" s="1"/>
      <c r="IS4" s="1"/>
      <c r="IT4" s="1"/>
      <c r="IU4" s="1"/>
      <c r="IV4" s="1"/>
      <c r="IW4" s="1"/>
      <c r="IX4" s="1"/>
      <c r="IY4" s="1"/>
      <c r="IZ4" s="1"/>
      <c r="JA4" s="1"/>
      <c r="JB4" s="1"/>
      <c r="JC4" s="1"/>
      <c r="JD4" s="1"/>
    </row>
    <row r="5" spans="2:264" s="1044" customFormat="1" x14ac:dyDescent="0.2">
      <c r="B5" s="1067" t="s">
        <v>981</v>
      </c>
      <c r="C5" s="1068"/>
      <c r="D5" s="1069"/>
      <c r="F5" s="1070" t="s">
        <v>982</v>
      </c>
      <c r="G5" s="1071">
        <f>C8*C9</f>
        <v>77232</v>
      </c>
      <c r="H5" s="1072">
        <f t="shared" ref="H5:H11" si="14">+G5/$C$8</f>
        <v>46.15102313523326</v>
      </c>
      <c r="I5" s="1485">
        <v>47.073661157307015</v>
      </c>
      <c r="J5" s="1483">
        <f>+H5/I5-1</f>
        <v>-1.9599878135472815E-2</v>
      </c>
      <c r="K5" s="1487" t="s">
        <v>1162</v>
      </c>
      <c r="L5" s="1487" t="s">
        <v>1159</v>
      </c>
      <c r="M5" s="1487" t="s">
        <v>1160</v>
      </c>
      <c r="N5" s="1487" t="s">
        <v>1161</v>
      </c>
      <c r="O5" s="1487" t="str">
        <f>AO5</f>
        <v>FY29E</v>
      </c>
      <c r="P5" s="1073"/>
      <c r="Q5" s="1047" t="s">
        <v>968</v>
      </c>
      <c r="R5" s="1074"/>
      <c r="S5" s="1074"/>
      <c r="T5" s="1074" t="s">
        <v>168</v>
      </c>
      <c r="U5" s="1074" t="s">
        <v>171</v>
      </c>
      <c r="V5" s="1074" t="s">
        <v>174</v>
      </c>
      <c r="W5" s="1074" t="s">
        <v>177</v>
      </c>
      <c r="X5" s="1074" t="s">
        <v>180</v>
      </c>
      <c r="Y5" s="1074" t="s">
        <v>183</v>
      </c>
      <c r="Z5" s="1074" t="s">
        <v>186</v>
      </c>
      <c r="AA5" s="1074" t="s">
        <v>189</v>
      </c>
      <c r="AB5" s="1074" t="s">
        <v>192</v>
      </c>
      <c r="AC5" s="1074" t="s">
        <v>195</v>
      </c>
      <c r="AD5" s="1074" t="s">
        <v>198</v>
      </c>
      <c r="AE5" s="1074" t="s">
        <v>201</v>
      </c>
      <c r="AF5" s="1074" t="s">
        <v>204</v>
      </c>
      <c r="AG5" s="1074" t="s">
        <v>207</v>
      </c>
      <c r="AH5" s="1074" t="s">
        <v>210</v>
      </c>
      <c r="AI5" s="1074" t="s">
        <v>213</v>
      </c>
      <c r="AJ5" s="1074" t="s">
        <v>216</v>
      </c>
      <c r="AK5" s="1364" t="str">
        <f>MODEL!DF7</f>
        <v>FY25</v>
      </c>
      <c r="AL5" s="1479" t="str">
        <f>MODEL!DJ7</f>
        <v>FY26E</v>
      </c>
      <c r="AM5" s="1480" t="str">
        <f>MODEL!$DN7</f>
        <v>FY27E</v>
      </c>
      <c r="AN5" s="1480" t="str">
        <f>MODEL!$DR7</f>
        <v>FY28E</v>
      </c>
      <c r="AO5" s="1075" t="s">
        <v>983</v>
      </c>
      <c r="AP5" s="1075" t="s">
        <v>984</v>
      </c>
      <c r="AQ5" s="1075" t="s">
        <v>985</v>
      </c>
      <c r="AR5" s="1075" t="s">
        <v>986</v>
      </c>
      <c r="AS5" s="1075" t="s">
        <v>1154</v>
      </c>
      <c r="AT5" s="1075" t="s">
        <v>1155</v>
      </c>
      <c r="AU5" s="1075" t="s">
        <v>1156</v>
      </c>
      <c r="AV5" s="1076">
        <f t="shared" ref="AV5:DG5" si="15">+AV2</f>
        <v>49856</v>
      </c>
      <c r="AW5" s="1076">
        <f t="shared" si="15"/>
        <v>50221</v>
      </c>
      <c r="AX5" s="1077">
        <f t="shared" si="15"/>
        <v>50586</v>
      </c>
      <c r="AY5" s="1077">
        <f t="shared" si="15"/>
        <v>50951</v>
      </c>
      <c r="AZ5" s="1077">
        <f t="shared" si="15"/>
        <v>51317</v>
      </c>
      <c r="BA5" s="1078">
        <f t="shared" si="15"/>
        <v>51682</v>
      </c>
      <c r="BB5" s="1078">
        <f t="shared" si="15"/>
        <v>52047</v>
      </c>
      <c r="BC5" s="1078">
        <f t="shared" si="15"/>
        <v>52412</v>
      </c>
      <c r="BD5" s="1078">
        <f t="shared" si="15"/>
        <v>52778</v>
      </c>
      <c r="BE5" s="1078">
        <f t="shared" si="15"/>
        <v>53143</v>
      </c>
      <c r="BF5" s="1078">
        <f t="shared" si="15"/>
        <v>53508</v>
      </c>
      <c r="BG5" s="1078">
        <f t="shared" si="15"/>
        <v>53873</v>
      </c>
      <c r="BH5" s="1078">
        <f t="shared" si="15"/>
        <v>54239</v>
      </c>
      <c r="BI5" s="1078">
        <f t="shared" si="15"/>
        <v>54604</v>
      </c>
      <c r="BJ5" s="1078">
        <f t="shared" si="15"/>
        <v>54969</v>
      </c>
      <c r="BK5" s="1078">
        <f t="shared" si="15"/>
        <v>55334</v>
      </c>
      <c r="BL5" s="1078">
        <f t="shared" si="15"/>
        <v>55700</v>
      </c>
      <c r="BM5" s="1078">
        <f t="shared" si="15"/>
        <v>56065</v>
      </c>
      <c r="BN5" s="1078">
        <f t="shared" si="15"/>
        <v>56430</v>
      </c>
      <c r="BO5" s="1078">
        <f t="shared" si="15"/>
        <v>56795</v>
      </c>
      <c r="BP5" s="1078">
        <f t="shared" si="15"/>
        <v>57161</v>
      </c>
      <c r="BQ5" s="1078">
        <f t="shared" si="15"/>
        <v>57526</v>
      </c>
      <c r="BR5" s="1078">
        <f t="shared" si="15"/>
        <v>57891</v>
      </c>
      <c r="BS5" s="1078">
        <f t="shared" si="15"/>
        <v>58256</v>
      </c>
      <c r="BT5" s="1078">
        <f t="shared" si="15"/>
        <v>58622</v>
      </c>
      <c r="BU5" s="1078">
        <f t="shared" si="15"/>
        <v>58987</v>
      </c>
      <c r="BV5" s="1078">
        <f t="shared" si="15"/>
        <v>59352</v>
      </c>
      <c r="BW5" s="1078">
        <f t="shared" si="15"/>
        <v>59717</v>
      </c>
      <c r="BX5" s="1078">
        <f t="shared" si="15"/>
        <v>60083</v>
      </c>
      <c r="BY5" s="1078">
        <f t="shared" si="15"/>
        <v>60448</v>
      </c>
      <c r="BZ5" s="1078">
        <f t="shared" si="15"/>
        <v>60813</v>
      </c>
      <c r="CA5" s="1078">
        <f t="shared" si="15"/>
        <v>61178</v>
      </c>
      <c r="CB5" s="1078">
        <f t="shared" si="15"/>
        <v>61544</v>
      </c>
      <c r="CC5" s="1078">
        <f t="shared" si="15"/>
        <v>61909</v>
      </c>
      <c r="CD5" s="1078">
        <f t="shared" si="15"/>
        <v>62274</v>
      </c>
      <c r="CE5" s="1078">
        <f t="shared" si="15"/>
        <v>62639</v>
      </c>
      <c r="CF5" s="1078">
        <f t="shared" si="15"/>
        <v>63005</v>
      </c>
      <c r="CG5" s="1078">
        <f t="shared" si="15"/>
        <v>63370</v>
      </c>
      <c r="CH5" s="1078">
        <f t="shared" si="15"/>
        <v>63735</v>
      </c>
      <c r="CI5" s="1078">
        <f t="shared" si="15"/>
        <v>64100</v>
      </c>
      <c r="CJ5" s="1078">
        <f t="shared" si="15"/>
        <v>64466</v>
      </c>
      <c r="CK5" s="1078">
        <f t="shared" si="15"/>
        <v>64831</v>
      </c>
      <c r="CL5" s="1078">
        <f t="shared" si="15"/>
        <v>65196</v>
      </c>
      <c r="CM5" s="1078">
        <f t="shared" si="15"/>
        <v>65561</v>
      </c>
      <c r="CN5" s="1078">
        <f t="shared" si="15"/>
        <v>65927</v>
      </c>
      <c r="CO5" s="1078">
        <f t="shared" si="15"/>
        <v>66292</v>
      </c>
      <c r="CP5" s="1078">
        <f t="shared" si="15"/>
        <v>66657</v>
      </c>
      <c r="CQ5" s="1078">
        <f t="shared" si="15"/>
        <v>67022</v>
      </c>
      <c r="CR5" s="1078">
        <f t="shared" si="15"/>
        <v>67388</v>
      </c>
      <c r="CS5" s="1078">
        <f t="shared" si="15"/>
        <v>67753</v>
      </c>
      <c r="CT5" s="1078">
        <f t="shared" si="15"/>
        <v>68118</v>
      </c>
      <c r="CU5" s="1078">
        <f t="shared" si="15"/>
        <v>68483</v>
      </c>
      <c r="CV5" s="1078">
        <f t="shared" si="15"/>
        <v>68849</v>
      </c>
      <c r="CW5" s="1078">
        <f t="shared" si="15"/>
        <v>69214</v>
      </c>
      <c r="CX5" s="1078">
        <f t="shared" si="15"/>
        <v>69579</v>
      </c>
      <c r="CY5" s="1078">
        <f t="shared" si="15"/>
        <v>69944</v>
      </c>
      <c r="CZ5" s="1078">
        <f t="shared" si="15"/>
        <v>70310</v>
      </c>
      <c r="DA5" s="1078">
        <f t="shared" si="15"/>
        <v>70675</v>
      </c>
      <c r="DB5" s="1078">
        <f t="shared" si="15"/>
        <v>71040</v>
      </c>
      <c r="DC5" s="1078">
        <f t="shared" si="15"/>
        <v>71405</v>
      </c>
      <c r="DD5" s="1078">
        <f t="shared" si="15"/>
        <v>71771</v>
      </c>
      <c r="DE5" s="1078">
        <f t="shared" si="15"/>
        <v>72136</v>
      </c>
      <c r="DF5" s="1078">
        <f t="shared" si="15"/>
        <v>72501</v>
      </c>
      <c r="DG5" s="1078">
        <f t="shared" si="15"/>
        <v>72866</v>
      </c>
      <c r="DH5" s="1078">
        <f t="shared" ref="DH5:ER5" si="16">+DH2</f>
        <v>73231</v>
      </c>
      <c r="DI5" s="1078">
        <f t="shared" si="16"/>
        <v>73596</v>
      </c>
      <c r="DJ5" s="1078">
        <f t="shared" si="16"/>
        <v>73961</v>
      </c>
      <c r="DK5" s="1078">
        <f t="shared" si="16"/>
        <v>74326</v>
      </c>
      <c r="DL5" s="1078">
        <f t="shared" si="16"/>
        <v>74692</v>
      </c>
      <c r="DM5" s="1078">
        <f t="shared" si="16"/>
        <v>75057</v>
      </c>
      <c r="DN5" s="1078">
        <f t="shared" si="16"/>
        <v>75422</v>
      </c>
      <c r="DO5" s="1078">
        <f t="shared" si="16"/>
        <v>75787</v>
      </c>
      <c r="DP5" s="1078">
        <f t="shared" si="16"/>
        <v>76153</v>
      </c>
      <c r="DQ5" s="1078">
        <f t="shared" si="16"/>
        <v>76518</v>
      </c>
      <c r="DR5" s="1078">
        <f t="shared" si="16"/>
        <v>76883</v>
      </c>
      <c r="DS5" s="1078">
        <f t="shared" si="16"/>
        <v>77248</v>
      </c>
      <c r="DT5" s="1078">
        <f t="shared" si="16"/>
        <v>77614</v>
      </c>
      <c r="DU5" s="1078">
        <f t="shared" si="16"/>
        <v>77979</v>
      </c>
      <c r="DV5" s="1078">
        <f t="shared" si="16"/>
        <v>78344</v>
      </c>
      <c r="DW5" s="1078">
        <f t="shared" si="16"/>
        <v>78709</v>
      </c>
      <c r="DX5" s="1078">
        <f t="shared" si="16"/>
        <v>79075</v>
      </c>
      <c r="DY5" s="1078">
        <f t="shared" si="16"/>
        <v>79440</v>
      </c>
      <c r="DZ5" s="1078">
        <f t="shared" si="16"/>
        <v>79805</v>
      </c>
      <c r="EA5" s="1078">
        <f t="shared" si="16"/>
        <v>80170</v>
      </c>
      <c r="EB5" s="1078">
        <f t="shared" si="16"/>
        <v>80536</v>
      </c>
      <c r="EC5" s="1078">
        <f t="shared" si="16"/>
        <v>80901</v>
      </c>
      <c r="ED5" s="1078">
        <f t="shared" si="16"/>
        <v>81266</v>
      </c>
      <c r="EE5" s="1078">
        <f t="shared" si="16"/>
        <v>81631</v>
      </c>
      <c r="EF5" s="1078">
        <f t="shared" si="16"/>
        <v>81997</v>
      </c>
      <c r="EG5" s="1078">
        <f t="shared" si="16"/>
        <v>82362</v>
      </c>
      <c r="EH5" s="1078">
        <f t="shared" si="16"/>
        <v>82727</v>
      </c>
      <c r="EI5" s="1078">
        <f t="shared" si="16"/>
        <v>83092</v>
      </c>
      <c r="EJ5" s="1078">
        <f t="shared" si="16"/>
        <v>83458</v>
      </c>
      <c r="EK5" s="1078">
        <f t="shared" si="16"/>
        <v>83823</v>
      </c>
      <c r="EL5" s="1078">
        <f t="shared" si="16"/>
        <v>84188</v>
      </c>
      <c r="EM5" s="1078">
        <f t="shared" si="16"/>
        <v>84553</v>
      </c>
      <c r="EN5" s="1078">
        <f t="shared" si="16"/>
        <v>84919</v>
      </c>
      <c r="EO5" s="1078">
        <f t="shared" si="16"/>
        <v>85284</v>
      </c>
      <c r="EP5" s="1078">
        <f t="shared" si="16"/>
        <v>85649</v>
      </c>
      <c r="EQ5" s="1078">
        <f t="shared" si="16"/>
        <v>86014</v>
      </c>
      <c r="ER5" s="1078">
        <f t="shared" si="16"/>
        <v>86380</v>
      </c>
      <c r="ES5" s="1"/>
      <c r="ET5" s="1"/>
      <c r="EU5" s="1"/>
      <c r="EV5" s="1"/>
      <c r="EW5" s="1"/>
      <c r="EX5" s="1"/>
      <c r="EY5" s="1"/>
      <c r="EZ5" s="1"/>
      <c r="FA5" s="1"/>
      <c r="FB5" s="1"/>
      <c r="FC5" s="1"/>
      <c r="FD5" s="1"/>
      <c r="FE5" s="1"/>
      <c r="FF5" s="1"/>
      <c r="FG5" s="1"/>
      <c r="FH5" s="1"/>
      <c r="FI5" s="1"/>
      <c r="FJ5" s="1"/>
      <c r="FK5" s="1"/>
      <c r="FL5" s="1"/>
      <c r="FM5" s="1"/>
      <c r="FN5" s="1"/>
      <c r="FO5" s="1"/>
      <c r="FP5" s="1"/>
      <c r="FQ5" s="1"/>
      <c r="FR5" s="1"/>
      <c r="FS5" s="1"/>
      <c r="FT5" s="1"/>
      <c r="FU5" s="1"/>
      <c r="FV5" s="1"/>
      <c r="FW5" s="1"/>
      <c r="FX5" s="1"/>
      <c r="FY5" s="1"/>
      <c r="FZ5" s="1"/>
      <c r="GA5" s="1"/>
      <c r="GB5" s="1"/>
      <c r="GC5" s="1"/>
      <c r="GD5" s="1"/>
      <c r="GE5" s="1"/>
      <c r="GF5" s="1"/>
      <c r="GG5" s="1"/>
      <c r="GH5" s="1"/>
      <c r="GI5" s="1"/>
      <c r="GJ5" s="1"/>
      <c r="GK5" s="1"/>
      <c r="GL5" s="1"/>
      <c r="GM5" s="1"/>
      <c r="GN5" s="1"/>
      <c r="GO5" s="1"/>
      <c r="GP5" s="1"/>
      <c r="GQ5" s="1"/>
      <c r="GR5" s="1"/>
      <c r="GS5" s="1"/>
      <c r="GT5" s="1"/>
      <c r="GU5" s="1"/>
      <c r="GV5" s="1"/>
      <c r="GW5" s="1"/>
      <c r="GX5" s="1"/>
      <c r="GY5" s="1"/>
      <c r="GZ5" s="1"/>
      <c r="HA5" s="1"/>
      <c r="HB5" s="1"/>
      <c r="HC5" s="1"/>
      <c r="HD5" s="1"/>
      <c r="HE5" s="1"/>
      <c r="HF5" s="1"/>
      <c r="HG5" s="1"/>
      <c r="HH5" s="1"/>
      <c r="HI5" s="1"/>
      <c r="HJ5" s="1"/>
      <c r="HK5" s="1"/>
      <c r="HL5" s="1"/>
      <c r="HM5" s="1"/>
      <c r="HN5" s="1"/>
      <c r="HO5" s="1"/>
      <c r="HP5" s="1"/>
      <c r="HQ5" s="1"/>
      <c r="HR5" s="1"/>
      <c r="HS5" s="1"/>
      <c r="HT5" s="1"/>
      <c r="HU5" s="1"/>
      <c r="HV5" s="1"/>
      <c r="HW5" s="1"/>
      <c r="HX5" s="1"/>
      <c r="HY5" s="1"/>
      <c r="HZ5" s="1"/>
      <c r="IA5" s="1"/>
      <c r="IB5" s="1"/>
      <c r="IC5" s="1"/>
      <c r="ID5" s="1"/>
      <c r="IE5" s="1"/>
      <c r="IF5" s="1"/>
      <c r="IG5" s="1"/>
      <c r="IH5" s="1"/>
      <c r="II5" s="1"/>
      <c r="IJ5" s="1"/>
      <c r="IK5" s="1"/>
      <c r="IL5" s="1"/>
      <c r="IM5" s="1"/>
      <c r="IN5" s="1"/>
      <c r="IO5" s="1"/>
      <c r="IP5" s="1"/>
      <c r="IQ5" s="1"/>
      <c r="IR5" s="1"/>
      <c r="IS5" s="1"/>
      <c r="IT5" s="1"/>
      <c r="IU5" s="1"/>
      <c r="IV5" s="1"/>
      <c r="IW5" s="1"/>
      <c r="IX5" s="1"/>
      <c r="IY5" s="1"/>
      <c r="IZ5" s="1"/>
      <c r="JA5" s="1"/>
      <c r="JB5" s="1"/>
      <c r="JC5" s="1"/>
      <c r="JD5" s="1"/>
    </row>
    <row r="6" spans="2:264" s="1044" customFormat="1" x14ac:dyDescent="0.2">
      <c r="B6" s="1079" t="s">
        <v>987</v>
      </c>
      <c r="C6" s="1080">
        <f ca="1">(SUMIF(MODEL!$7:$7,$D$6,MODEL!$1033:$1033)+SUMIF(MODEL!$7:$7,$D$7,MODEL!$1033:$1033))/100</f>
        <v>5.4</v>
      </c>
      <c r="D6" s="1081" t="s">
        <v>925</v>
      </c>
      <c r="F6" s="1070" t="s">
        <v>988</v>
      </c>
      <c r="G6" s="1082">
        <f ca="1">SUM(AJ109:AU109)</f>
        <v>47948.150350039905</v>
      </c>
      <c r="H6" s="1072">
        <f t="shared" ca="1" si="14"/>
        <v>28.652063860787422</v>
      </c>
      <c r="I6" s="1485">
        <v>26.776248227081172</v>
      </c>
      <c r="J6" s="1483">
        <f t="shared" ref="J6:J13" ca="1" si="17">+H6/I6-1</f>
        <v>7.0055207802005359E-2</v>
      </c>
      <c r="K6" s="1483"/>
      <c r="L6" s="1483"/>
      <c r="M6" s="1483"/>
      <c r="N6" s="1483"/>
      <c r="O6" s="1483"/>
      <c r="P6" s="1073"/>
      <c r="Q6" s="1047"/>
      <c r="R6" s="1074"/>
      <c r="S6" s="1074"/>
      <c r="T6" s="1074"/>
      <c r="U6" s="1074"/>
      <c r="V6" s="1074"/>
      <c r="W6" s="1074"/>
      <c r="X6" s="1074"/>
      <c r="Y6" s="1074"/>
      <c r="Z6" s="1074"/>
      <c r="AA6" s="1074"/>
      <c r="AB6" s="1074"/>
      <c r="AC6" s="1074"/>
      <c r="AD6" s="1074"/>
      <c r="AE6" s="1074"/>
      <c r="AF6" s="1074"/>
      <c r="AG6" s="1074"/>
      <c r="AH6" s="1074"/>
      <c r="AI6" s="1074"/>
      <c r="AJ6" s="1074"/>
      <c r="AK6" s="1364"/>
      <c r="AL6" s="1074"/>
      <c r="AM6" s="1074"/>
      <c r="AN6" s="1074"/>
      <c r="AO6" s="1074"/>
      <c r="AP6" s="1083"/>
      <c r="AQ6" s="1083"/>
      <c r="AR6" s="1083"/>
      <c r="AS6" s="1083"/>
      <c r="AT6" s="1083"/>
      <c r="AU6" s="1083"/>
      <c r="AV6" s="1083"/>
      <c r="AW6" s="1083"/>
      <c r="AX6" s="1083"/>
      <c r="AY6" s="1083"/>
      <c r="AZ6" s="1083"/>
      <c r="BA6" s="1083"/>
      <c r="BB6" s="1083"/>
      <c r="BC6" s="1083"/>
      <c r="BD6" s="1083"/>
      <c r="BE6" s="1083"/>
      <c r="BF6" s="1083"/>
      <c r="BG6" s="1083"/>
      <c r="BH6" s="1083"/>
      <c r="BI6" s="1083"/>
      <c r="BJ6" s="1083"/>
      <c r="BK6" s="1083"/>
      <c r="BL6" s="1083"/>
      <c r="BM6" s="1083"/>
      <c r="BN6" s="1083"/>
      <c r="BO6" s="1083"/>
      <c r="BP6" s="1083"/>
      <c r="BQ6" s="1083"/>
      <c r="BR6" s="1083"/>
      <c r="BS6" s="1083"/>
      <c r="BT6" s="1083"/>
      <c r="BU6" s="1083"/>
      <c r="BV6" s="1083"/>
      <c r="BW6" s="1083"/>
      <c r="BX6" s="1083"/>
      <c r="BY6" s="1083"/>
      <c r="BZ6" s="1083"/>
      <c r="CA6" s="1083"/>
      <c r="CB6" s="1083"/>
      <c r="CC6" s="1083"/>
      <c r="CD6" s="1083"/>
      <c r="CE6" s="1083"/>
      <c r="CF6" s="1083"/>
      <c r="CG6" s="1083"/>
      <c r="CH6" s="1083"/>
      <c r="CI6" s="1083"/>
      <c r="CJ6" s="1083"/>
      <c r="CK6" s="1083"/>
      <c r="CL6" s="1083"/>
      <c r="CM6" s="1083"/>
      <c r="CN6" s="1083"/>
      <c r="CO6" s="1083"/>
      <c r="CP6" s="1083"/>
      <c r="CQ6" s="1083"/>
      <c r="CR6" s="1083"/>
      <c r="CS6" s="1083"/>
      <c r="CT6" s="1083"/>
      <c r="CU6" s="1083"/>
      <c r="CV6" s="1083"/>
      <c r="CW6" s="1083"/>
      <c r="CX6" s="1083"/>
      <c r="CY6" s="1083"/>
      <c r="CZ6" s="1083"/>
      <c r="DA6" s="1083"/>
      <c r="DB6" s="1083"/>
      <c r="DC6" s="1083"/>
      <c r="DD6" s="1083"/>
      <c r="DE6" s="1083"/>
      <c r="DF6" s="1083"/>
      <c r="DG6" s="1083"/>
      <c r="DH6" s="1083"/>
      <c r="DI6" s="1083"/>
      <c r="DJ6" s="1083"/>
      <c r="DK6" s="1083"/>
      <c r="DL6" s="1083"/>
      <c r="DM6" s="1083"/>
      <c r="DN6" s="1083"/>
      <c r="DO6" s="1083"/>
      <c r="DP6" s="1083"/>
      <c r="DQ6" s="1083"/>
      <c r="DR6" s="1083"/>
      <c r="DS6" s="1083"/>
      <c r="DT6" s="1083"/>
      <c r="DU6" s="1083"/>
      <c r="DV6" s="1083"/>
      <c r="DW6" s="1083"/>
      <c r="DX6" s="1083"/>
      <c r="DY6" s="1083"/>
      <c r="DZ6" s="1083"/>
      <c r="EA6" s="1083"/>
      <c r="EB6" s="1083"/>
      <c r="EC6" s="1083"/>
      <c r="ED6" s="1083"/>
      <c r="EE6" s="1083"/>
      <c r="EF6" s="1083"/>
      <c r="EG6" s="1083"/>
      <c r="EH6" s="1083"/>
      <c r="EI6" s="1083"/>
      <c r="EJ6" s="1083"/>
      <c r="EK6" s="1083"/>
      <c r="EL6" s="1083"/>
      <c r="EM6" s="1083"/>
      <c r="EN6" s="1083"/>
      <c r="EO6" s="1083"/>
      <c r="EP6" s="1083"/>
      <c r="EQ6" s="1083"/>
      <c r="ER6" s="1083"/>
      <c r="ES6" s="1"/>
      <c r="ET6" s="1"/>
      <c r="EU6" s="1"/>
      <c r="EV6" s="1"/>
      <c r="EW6" s="1"/>
      <c r="EX6" s="1"/>
      <c r="EY6" s="1"/>
      <c r="EZ6" s="1"/>
      <c r="FA6" s="1"/>
      <c r="FB6" s="1"/>
      <c r="FC6" s="1"/>
      <c r="FD6" s="1"/>
      <c r="FE6" s="1"/>
      <c r="FF6" s="1"/>
      <c r="FG6" s="1"/>
      <c r="FH6" s="1"/>
      <c r="FI6" s="1"/>
      <c r="FJ6" s="1"/>
      <c r="FK6" s="1"/>
      <c r="FL6" s="1"/>
      <c r="FM6" s="1"/>
      <c r="FN6" s="1"/>
      <c r="FO6" s="1"/>
      <c r="FP6" s="1"/>
      <c r="FQ6" s="1"/>
      <c r="FR6" s="1"/>
      <c r="FS6" s="1"/>
      <c r="FT6" s="1"/>
      <c r="FU6" s="1"/>
      <c r="FV6" s="1"/>
      <c r="FW6" s="1"/>
      <c r="FX6" s="1"/>
      <c r="FY6" s="1"/>
      <c r="FZ6" s="1"/>
      <c r="GA6" s="1"/>
      <c r="GB6" s="1"/>
      <c r="GC6" s="1"/>
      <c r="GD6" s="1"/>
      <c r="GE6" s="1"/>
      <c r="GF6" s="1"/>
      <c r="GG6" s="1"/>
      <c r="GH6" s="1"/>
      <c r="GI6" s="1"/>
      <c r="GJ6" s="1"/>
      <c r="GK6" s="1"/>
      <c r="GL6" s="1"/>
      <c r="GM6" s="1"/>
      <c r="GN6" s="1"/>
      <c r="GO6" s="1"/>
      <c r="GP6" s="1"/>
      <c r="GQ6" s="1"/>
      <c r="GR6" s="1"/>
      <c r="GS6" s="1"/>
      <c r="GT6" s="1"/>
      <c r="GU6" s="1"/>
      <c r="GV6" s="1"/>
      <c r="GW6" s="1"/>
      <c r="GX6" s="1"/>
      <c r="GY6" s="1"/>
      <c r="GZ6" s="1"/>
      <c r="HA6" s="1"/>
      <c r="HB6" s="1"/>
      <c r="HC6" s="1"/>
      <c r="HD6" s="1"/>
      <c r="HE6" s="1"/>
      <c r="HF6" s="1"/>
      <c r="HG6" s="1"/>
      <c r="HH6" s="1"/>
      <c r="HI6" s="1"/>
      <c r="HJ6" s="1"/>
      <c r="HK6" s="1"/>
      <c r="HL6" s="1"/>
      <c r="HM6" s="1"/>
      <c r="HN6" s="1"/>
      <c r="HO6" s="1"/>
      <c r="HP6" s="1"/>
      <c r="HQ6" s="1"/>
      <c r="HR6" s="1"/>
      <c r="HS6" s="1"/>
      <c r="HT6" s="1"/>
      <c r="HU6" s="1"/>
      <c r="HV6" s="1"/>
      <c r="HW6" s="1"/>
      <c r="HX6" s="1"/>
      <c r="HY6" s="1"/>
      <c r="HZ6" s="1"/>
      <c r="IA6" s="1"/>
      <c r="IB6" s="1"/>
      <c r="IC6" s="1"/>
      <c r="ID6" s="1"/>
      <c r="IE6" s="1"/>
      <c r="IF6" s="1"/>
      <c r="IG6" s="1"/>
      <c r="IH6" s="1"/>
      <c r="II6" s="1"/>
      <c r="IJ6" s="1"/>
      <c r="IK6" s="1"/>
      <c r="IL6" s="1"/>
      <c r="IM6" s="1"/>
      <c r="IN6" s="1"/>
      <c r="IO6" s="1"/>
      <c r="IP6" s="1"/>
      <c r="IQ6" s="1"/>
      <c r="IR6" s="1"/>
      <c r="IS6" s="1"/>
      <c r="IT6" s="1"/>
      <c r="IU6" s="1"/>
      <c r="IV6" s="1"/>
      <c r="IW6" s="1"/>
      <c r="IX6" s="1"/>
      <c r="IY6" s="1"/>
      <c r="IZ6" s="1"/>
      <c r="JA6" s="1"/>
      <c r="JB6" s="1"/>
      <c r="JC6" s="1"/>
      <c r="JD6" s="1"/>
    </row>
    <row r="7" spans="2:264" s="1044" customFormat="1" x14ac:dyDescent="0.2">
      <c r="B7" s="1079" t="s">
        <v>989</v>
      </c>
      <c r="C7" s="1084">
        <f>SUMMARY!EI2</f>
        <v>169.56</v>
      </c>
      <c r="D7" s="1081" t="s">
        <v>926</v>
      </c>
      <c r="E7" s="1085"/>
      <c r="F7" s="1070" t="s">
        <v>990</v>
      </c>
      <c r="G7" s="1082">
        <f ca="1">SUM(AV109:AZ109)</f>
        <v>15620.648461881177</v>
      </c>
      <c r="H7" s="1072">
        <f t="shared" ca="1" si="14"/>
        <v>9.3343291453234922</v>
      </c>
      <c r="I7" s="1485">
        <v>8.9186419696217083</v>
      </c>
      <c r="J7" s="1483">
        <f t="shared" ca="1" si="17"/>
        <v>4.6608797294215742E-2</v>
      </c>
      <c r="K7" s="1483"/>
      <c r="L7" s="1483"/>
      <c r="M7" s="1483"/>
      <c r="N7" s="1483"/>
      <c r="O7" s="1483"/>
      <c r="P7" s="1073"/>
      <c r="Q7" s="1044" t="s">
        <v>89</v>
      </c>
      <c r="X7" s="1086"/>
      <c r="Y7" s="1086">
        <f>MODEL!BJ183</f>
        <v>372840</v>
      </c>
      <c r="Z7" s="1086">
        <f>MODEL!BN183</f>
        <v>399685</v>
      </c>
      <c r="AA7" s="1086">
        <f>MODEL!BR183</f>
        <v>422851</v>
      </c>
      <c r="AB7" s="1086">
        <f>MODEL!BV183</f>
        <v>456074</v>
      </c>
      <c r="AC7" s="1086">
        <f>MODEL!BZ183</f>
        <v>485857</v>
      </c>
      <c r="AD7" s="1086">
        <f>MODEL!CD183</f>
        <v>501665</v>
      </c>
      <c r="AE7" s="1087">
        <f>MODEL!CH183</f>
        <v>522942</v>
      </c>
      <c r="AF7" s="1088">
        <f>MODEL!CL183</f>
        <v>542880</v>
      </c>
      <c r="AG7" s="1088">
        <f>MODEL!CP183</f>
        <v>579756</v>
      </c>
      <c r="AH7" s="1088">
        <f>MODEL!CT183</f>
        <v>621993</v>
      </c>
      <c r="AI7" s="1088">
        <f>MODEL!CX183</f>
        <v>652218</v>
      </c>
      <c r="AJ7" s="1088">
        <f>MODEL!DB183</f>
        <v>664701</v>
      </c>
      <c r="AK7" s="1365">
        <f>MODEL!DF183</f>
        <v>707862</v>
      </c>
      <c r="AL7" s="1088">
        <f>MODEL!DJ183</f>
        <v>756337.91903707723</v>
      </c>
      <c r="AM7" s="1088">
        <f>MODEL!$DN183</f>
        <v>803032.96385639708</v>
      </c>
      <c r="AN7" s="1088">
        <f>MODEL!$DR183</f>
        <v>842128.77139679424</v>
      </c>
      <c r="AO7" s="1086">
        <f t="shared" ref="AO7:CJ8" si="18">+AN7*(1+AO10)</f>
        <v>875813.92225266609</v>
      </c>
      <c r="AP7" s="1086">
        <f t="shared" si="18"/>
        <v>910846.47914277273</v>
      </c>
      <c r="AQ7" s="1086">
        <f t="shared" si="18"/>
        <v>947280.33830848371</v>
      </c>
      <c r="AR7" s="1086">
        <f t="shared" si="18"/>
        <v>985171.55184082314</v>
      </c>
      <c r="AS7" s="1086">
        <f t="shared" si="18"/>
        <v>1024578.4139144561</v>
      </c>
      <c r="AT7" s="1086">
        <f t="shared" si="18"/>
        <v>1065561.5504710344</v>
      </c>
      <c r="AU7" s="1086">
        <f t="shared" si="18"/>
        <v>1108184.0124898758</v>
      </c>
      <c r="AV7" s="1086">
        <f t="shared" si="18"/>
        <v>1141429.532864572</v>
      </c>
      <c r="AW7" s="1086">
        <f t="shared" si="18"/>
        <v>1175672.4188505092</v>
      </c>
      <c r="AX7" s="1086">
        <f t="shared" si="18"/>
        <v>1210942.5914160246</v>
      </c>
      <c r="AY7" s="1086">
        <f t="shared" si="18"/>
        <v>1247270.8691585055</v>
      </c>
      <c r="AZ7" s="1086">
        <f t="shared" si="18"/>
        <v>1284688.9952332606</v>
      </c>
      <c r="BA7" s="1086">
        <f t="shared" si="18"/>
        <v>1323229.6650902585</v>
      </c>
      <c r="BB7" s="1086">
        <f t="shared" si="18"/>
        <v>1362926.5550429663</v>
      </c>
      <c r="BC7" s="1086">
        <f t="shared" si="18"/>
        <v>1403814.3516942554</v>
      </c>
      <c r="BD7" s="1086">
        <f t="shared" si="18"/>
        <v>1445928.782245083</v>
      </c>
      <c r="BE7" s="1086">
        <f t="shared" si="18"/>
        <v>1489306.6457124355</v>
      </c>
      <c r="BF7" s="1086">
        <f t="shared" si="18"/>
        <v>1533985.8450838085</v>
      </c>
      <c r="BG7" s="1086">
        <f t="shared" si="18"/>
        <v>1580005.4204363229</v>
      </c>
      <c r="BH7" s="1086">
        <f t="shared" si="18"/>
        <v>1627405.5830494126</v>
      </c>
      <c r="BI7" s="1086">
        <f t="shared" si="18"/>
        <v>1676227.7505408949</v>
      </c>
      <c r="BJ7" s="1086">
        <f t="shared" si="18"/>
        <v>1726514.5830571218</v>
      </c>
      <c r="BK7" s="1086">
        <f t="shared" si="18"/>
        <v>1778310.0205488356</v>
      </c>
      <c r="BL7" s="1086">
        <f t="shared" si="18"/>
        <v>1831659.3211653007</v>
      </c>
      <c r="BM7" s="1086">
        <f t="shared" si="18"/>
        <v>1886609.1008002597</v>
      </c>
      <c r="BN7" s="1086">
        <f t="shared" si="18"/>
        <v>1943207.3738242676</v>
      </c>
      <c r="BO7" s="1086">
        <f t="shared" si="18"/>
        <v>2001503.5950389958</v>
      </c>
      <c r="BP7" s="1086">
        <f t="shared" si="18"/>
        <v>2061548.7028901658</v>
      </c>
      <c r="BQ7" s="1086">
        <f t="shared" si="18"/>
        <v>2123395.1639768709</v>
      </c>
      <c r="BR7" s="1086">
        <f t="shared" si="18"/>
        <v>2187097.0188961769</v>
      </c>
      <c r="BS7" s="1086">
        <f t="shared" si="18"/>
        <v>2252709.9294630624</v>
      </c>
      <c r="BT7" s="1086">
        <f t="shared" si="18"/>
        <v>2320291.2273469544</v>
      </c>
      <c r="BU7" s="1086">
        <f t="shared" si="18"/>
        <v>2389899.964167363</v>
      </c>
      <c r="BV7" s="1086">
        <f t="shared" si="18"/>
        <v>2461596.9630923839</v>
      </c>
      <c r="BW7" s="1086">
        <f t="shared" si="18"/>
        <v>2535444.8719851556</v>
      </c>
      <c r="BX7" s="1086">
        <f t="shared" si="18"/>
        <v>2611508.2181447102</v>
      </c>
      <c r="BY7" s="1086">
        <f t="shared" si="18"/>
        <v>2689853.4646890517</v>
      </c>
      <c r="BZ7" s="1086">
        <f t="shared" si="18"/>
        <v>2770549.0686297235</v>
      </c>
      <c r="CA7" s="1086">
        <f t="shared" si="18"/>
        <v>2853665.5406886153</v>
      </c>
      <c r="CB7" s="1086">
        <f t="shared" si="18"/>
        <v>2939275.506909274</v>
      </c>
      <c r="CC7" s="1086">
        <f t="shared" si="18"/>
        <v>3027453.7721165521</v>
      </c>
      <c r="CD7" s="1086">
        <f t="shared" si="18"/>
        <v>3118277.3852800489</v>
      </c>
      <c r="CE7" s="1086">
        <f t="shared" si="18"/>
        <v>3211825.7068384504</v>
      </c>
      <c r="CF7" s="1086">
        <f t="shared" si="18"/>
        <v>3308180.4780436042</v>
      </c>
      <c r="CG7" s="1086">
        <f t="shared" si="18"/>
        <v>3407425.8923849124</v>
      </c>
      <c r="CH7" s="1086">
        <f t="shared" si="18"/>
        <v>3509648.6691564596</v>
      </c>
      <c r="CI7" s="1086">
        <f t="shared" si="18"/>
        <v>3614938.1292311535</v>
      </c>
      <c r="CJ7" s="1086">
        <f t="shared" si="18"/>
        <v>3723386.2731080884</v>
      </c>
      <c r="CK7" s="1086"/>
      <c r="CL7" s="1086"/>
      <c r="CM7" s="1086"/>
      <c r="CN7" s="1086"/>
      <c r="CO7" s="1086"/>
      <c r="CP7" s="1086"/>
      <c r="CQ7" s="1086"/>
      <c r="CR7" s="1086"/>
      <c r="CS7" s="1086"/>
      <c r="CT7" s="1086"/>
      <c r="CU7" s="1086"/>
      <c r="CV7" s="1086"/>
      <c r="CW7" s="1086"/>
      <c r="CX7" s="1086"/>
      <c r="CY7" s="1086"/>
      <c r="CZ7" s="1086"/>
      <c r="DA7" s="1086"/>
      <c r="DB7" s="1086"/>
      <c r="DC7" s="1086"/>
      <c r="DD7" s="1086"/>
      <c r="DE7" s="1086"/>
      <c r="DF7" s="1086"/>
      <c r="DG7" s="1086"/>
      <c r="DH7" s="1086"/>
      <c r="DI7" s="1086"/>
      <c r="DJ7" s="1086"/>
      <c r="DK7" s="1086"/>
      <c r="DL7" s="1086"/>
      <c r="DM7" s="1086"/>
      <c r="DN7" s="1086"/>
      <c r="DO7" s="1086"/>
      <c r="DP7" s="1086"/>
      <c r="DQ7" s="1086"/>
      <c r="DR7" s="1086"/>
      <c r="DS7" s="1086"/>
      <c r="DT7" s="1086"/>
      <c r="DU7" s="1086"/>
      <c r="DV7" s="1086"/>
      <c r="DW7" s="1086"/>
      <c r="DX7" s="1086"/>
      <c r="DY7" s="1086"/>
      <c r="DZ7" s="1086"/>
      <c r="EA7" s="1086"/>
      <c r="EB7" s="1086"/>
      <c r="EC7" s="1086"/>
      <c r="ED7" s="1086"/>
      <c r="EE7" s="1086"/>
      <c r="EF7" s="1086"/>
      <c r="EG7" s="1086"/>
      <c r="EH7" s="1086"/>
      <c r="EI7" s="1086"/>
      <c r="EJ7" s="1086"/>
      <c r="EK7" s="1086"/>
      <c r="EL7" s="1086"/>
      <c r="EM7" s="1086"/>
      <c r="EN7" s="1086"/>
      <c r="EO7" s="1086"/>
      <c r="EP7" s="1086"/>
      <c r="EQ7" s="1086"/>
      <c r="ER7" s="1086"/>
      <c r="ES7" s="1"/>
      <c r="ET7" s="1"/>
      <c r="EU7" s="1"/>
      <c r="EV7" s="1"/>
      <c r="EW7" s="1"/>
      <c r="EX7" s="1"/>
      <c r="EY7" s="1"/>
      <c r="EZ7" s="1"/>
      <c r="FA7" s="1"/>
      <c r="FB7" s="1"/>
      <c r="FC7" s="1"/>
      <c r="FD7" s="1"/>
      <c r="FE7" s="1"/>
      <c r="FF7" s="1"/>
      <c r="FG7" s="1"/>
      <c r="FH7" s="1"/>
      <c r="FI7" s="1"/>
      <c r="FJ7" s="1"/>
      <c r="FK7" s="1"/>
      <c r="FL7" s="1"/>
      <c r="FM7" s="1"/>
      <c r="FN7" s="1"/>
      <c r="FO7" s="1"/>
      <c r="FP7" s="1"/>
      <c r="FQ7" s="1"/>
      <c r="FR7" s="1"/>
      <c r="FS7" s="1"/>
      <c r="FT7" s="1"/>
      <c r="FU7" s="1"/>
      <c r="FV7" s="1"/>
      <c r="FW7" s="1"/>
      <c r="FX7" s="1"/>
      <c r="FY7" s="1"/>
      <c r="FZ7" s="1"/>
      <c r="GA7" s="1"/>
      <c r="GB7" s="1"/>
      <c r="GC7" s="1"/>
      <c r="GD7" s="1"/>
      <c r="GE7" s="1"/>
      <c r="GF7" s="1"/>
      <c r="GG7" s="1"/>
      <c r="GH7" s="1"/>
      <c r="GI7" s="1"/>
      <c r="GJ7" s="1"/>
      <c r="GK7" s="1"/>
      <c r="GL7" s="1"/>
      <c r="GM7" s="1"/>
      <c r="GN7" s="1"/>
      <c r="GO7" s="1"/>
      <c r="GP7" s="1"/>
      <c r="GQ7" s="1"/>
      <c r="GR7" s="1"/>
      <c r="GS7" s="1"/>
      <c r="GT7" s="1"/>
      <c r="GU7" s="1"/>
      <c r="GV7" s="1"/>
      <c r="GW7" s="1"/>
      <c r="GX7" s="1"/>
      <c r="GY7" s="1"/>
      <c r="GZ7" s="1"/>
      <c r="HA7" s="1"/>
      <c r="HB7" s="1"/>
      <c r="HC7" s="1"/>
      <c r="HD7" s="1"/>
      <c r="HE7" s="1"/>
      <c r="HF7" s="1"/>
      <c r="HG7" s="1"/>
      <c r="HH7" s="1"/>
      <c r="HI7" s="1"/>
      <c r="HJ7" s="1"/>
      <c r="HK7" s="1"/>
      <c r="HL7" s="1"/>
      <c r="HM7" s="1"/>
      <c r="HN7" s="1"/>
      <c r="HO7" s="1"/>
      <c r="HP7" s="1"/>
      <c r="HQ7" s="1"/>
      <c r="HR7" s="1"/>
      <c r="HS7" s="1"/>
      <c r="HT7" s="1"/>
      <c r="HU7" s="1"/>
      <c r="HV7" s="1"/>
      <c r="HW7" s="1"/>
      <c r="HX7" s="1"/>
      <c r="HY7" s="1"/>
      <c r="HZ7" s="1"/>
      <c r="IA7" s="1"/>
      <c r="IB7" s="1"/>
      <c r="IC7" s="1"/>
      <c r="ID7" s="1"/>
      <c r="IE7" s="1"/>
      <c r="IF7" s="1"/>
      <c r="IG7" s="1"/>
      <c r="IH7" s="1"/>
      <c r="II7" s="1"/>
      <c r="IJ7" s="1"/>
      <c r="IK7" s="1"/>
      <c r="IL7" s="1"/>
      <c r="IM7" s="1"/>
      <c r="IN7" s="1"/>
      <c r="IO7" s="1"/>
      <c r="IP7" s="1"/>
      <c r="IQ7" s="1"/>
      <c r="IR7" s="1"/>
      <c r="IS7" s="1"/>
      <c r="IT7" s="1"/>
      <c r="IU7" s="1"/>
      <c r="IV7" s="1"/>
      <c r="IW7" s="1"/>
      <c r="IX7" s="1"/>
      <c r="IY7" s="1"/>
      <c r="IZ7" s="1"/>
      <c r="JA7" s="1"/>
      <c r="JB7" s="1"/>
      <c r="JC7" s="1"/>
      <c r="JD7" s="1"/>
    </row>
    <row r="8" spans="2:264" s="1044" customFormat="1" x14ac:dyDescent="0.2">
      <c r="B8" s="1067" t="s">
        <v>991</v>
      </c>
      <c r="C8" s="1089">
        <f>SUMIF(MODEL!$7:$7,$D$8,MODEL!$999:$999)</f>
        <v>1673.462358</v>
      </c>
      <c r="D8" s="1081" t="s">
        <v>1178</v>
      </c>
      <c r="E8" s="1090"/>
      <c r="F8" s="1070" t="s">
        <v>992</v>
      </c>
      <c r="G8" s="1082">
        <f ca="1">SUM(BA109:CJ109)</f>
        <v>28910.077475092119</v>
      </c>
      <c r="H8" s="1072">
        <f t="shared" ca="1" si="14"/>
        <v>17.27560667073703</v>
      </c>
      <c r="I8" s="1485">
        <v>16.507520237927714</v>
      </c>
      <c r="J8" s="1483">
        <f t="shared" ca="1" si="17"/>
        <v>4.6529486060817193E-2</v>
      </c>
      <c r="K8" s="1483"/>
      <c r="L8" s="1483"/>
      <c r="M8" s="1483"/>
      <c r="N8" s="1483"/>
      <c r="O8" s="1483"/>
      <c r="P8" s="1073"/>
      <c r="Q8" s="1044" t="s">
        <v>271</v>
      </c>
      <c r="X8" s="1086"/>
      <c r="Y8" s="1086">
        <f t="shared" ref="Y8:AJ8" si="19">Y9-Y7</f>
        <v>195981</v>
      </c>
      <c r="Z8" s="1086">
        <f t="shared" si="19"/>
        <v>208442</v>
      </c>
      <c r="AA8" s="1086">
        <f t="shared" si="19"/>
        <v>223321</v>
      </c>
      <c r="AB8" s="1086">
        <f t="shared" si="19"/>
        <v>245656</v>
      </c>
      <c r="AC8" s="1086">
        <f t="shared" si="19"/>
        <v>251145</v>
      </c>
      <c r="AD8" s="1086">
        <f>AD9-AD7</f>
        <v>246743</v>
      </c>
      <c r="AE8" s="1087">
        <f t="shared" si="19"/>
        <v>238071</v>
      </c>
      <c r="AF8" s="1086">
        <f t="shared" si="19"/>
        <v>237228</v>
      </c>
      <c r="AG8" s="1086">
        <f t="shared" si="19"/>
        <v>238510</v>
      </c>
      <c r="AH8" s="1086">
        <f t="shared" si="19"/>
        <v>262970</v>
      </c>
      <c r="AI8" s="1086">
        <f t="shared" si="19"/>
        <v>281033</v>
      </c>
      <c r="AJ8" s="1086">
        <f t="shared" si="19"/>
        <v>285247</v>
      </c>
      <c r="AK8" s="1366">
        <f>AK9-AK7</f>
        <v>308021</v>
      </c>
      <c r="AL8" s="1086">
        <f>AL9-AL7</f>
        <v>329225.46601251944</v>
      </c>
      <c r="AM8" s="1086">
        <f t="shared" ref="AM8:AN8" si="20">AM9-AM7</f>
        <v>349137.25673012121</v>
      </c>
      <c r="AN8" s="1086">
        <f t="shared" si="20"/>
        <v>366612.09389009199</v>
      </c>
      <c r="AO8" s="1086">
        <f t="shared" si="18"/>
        <v>383109.63811514608</v>
      </c>
      <c r="AP8" s="1086">
        <f t="shared" si="18"/>
        <v>400349.57183032762</v>
      </c>
      <c r="AQ8" s="1086">
        <f t="shared" si="18"/>
        <v>418365.30256269232</v>
      </c>
      <c r="AR8" s="1086">
        <f t="shared" si="18"/>
        <v>437191.74117801344</v>
      </c>
      <c r="AS8" s="1086">
        <f t="shared" si="18"/>
        <v>456865.36953102401</v>
      </c>
      <c r="AT8" s="1086">
        <f t="shared" si="18"/>
        <v>477424.31115992006</v>
      </c>
      <c r="AU8" s="1086">
        <f t="shared" si="18"/>
        <v>498908.40516211645</v>
      </c>
      <c r="AV8" s="1086">
        <f t="shared" si="18"/>
        <v>513875.65731697995</v>
      </c>
      <c r="AW8" s="1086">
        <f t="shared" si="18"/>
        <v>529291.92703648936</v>
      </c>
      <c r="AX8" s="1086">
        <f t="shared" si="18"/>
        <v>545170.68484758411</v>
      </c>
      <c r="AY8" s="1086">
        <f t="shared" si="18"/>
        <v>561525.80539301166</v>
      </c>
      <c r="AZ8" s="1086">
        <f t="shared" si="18"/>
        <v>578371.57955480204</v>
      </c>
      <c r="BA8" s="1086">
        <f t="shared" si="18"/>
        <v>595722.72694144608</v>
      </c>
      <c r="BB8" s="1086">
        <f t="shared" si="18"/>
        <v>613594.40874968946</v>
      </c>
      <c r="BC8" s="1086">
        <f t="shared" si="18"/>
        <v>632002.24101218011</v>
      </c>
      <c r="BD8" s="1086">
        <f t="shared" si="18"/>
        <v>650962.30824254558</v>
      </c>
      <c r="BE8" s="1086">
        <f t="shared" si="18"/>
        <v>670491.17748982192</v>
      </c>
      <c r="BF8" s="1086">
        <f t="shared" si="18"/>
        <v>690605.91281451657</v>
      </c>
      <c r="BG8" s="1086">
        <f t="shared" si="18"/>
        <v>711324.09019895212</v>
      </c>
      <c r="BH8" s="1086">
        <f t="shared" si="18"/>
        <v>732663.81290492066</v>
      </c>
      <c r="BI8" s="1086">
        <f t="shared" si="18"/>
        <v>754643.7272920683</v>
      </c>
      <c r="BJ8" s="1086">
        <f t="shared" si="18"/>
        <v>777283.0391108304</v>
      </c>
      <c r="BK8" s="1086">
        <f t="shared" si="18"/>
        <v>800601.53028415539</v>
      </c>
      <c r="BL8" s="1086">
        <f t="shared" si="18"/>
        <v>824619.57619268005</v>
      </c>
      <c r="BM8" s="1086">
        <f t="shared" si="18"/>
        <v>849358.16347846051</v>
      </c>
      <c r="BN8" s="1086">
        <f t="shared" si="18"/>
        <v>874838.90838281438</v>
      </c>
      <c r="BO8" s="1086">
        <f t="shared" si="18"/>
        <v>901084.07563429885</v>
      </c>
      <c r="BP8" s="1086">
        <f t="shared" si="18"/>
        <v>928116.59790332778</v>
      </c>
      <c r="BQ8" s="1086">
        <f t="shared" si="18"/>
        <v>955960.09584042768</v>
      </c>
      <c r="BR8" s="1086">
        <f t="shared" si="18"/>
        <v>984638.89871564053</v>
      </c>
      <c r="BS8" s="1086">
        <f t="shared" si="18"/>
        <v>1014178.0656771098</v>
      </c>
      <c r="BT8" s="1086">
        <f t="shared" si="18"/>
        <v>1044603.4076474231</v>
      </c>
      <c r="BU8" s="1086">
        <f t="shared" si="18"/>
        <v>1075941.5098768459</v>
      </c>
      <c r="BV8" s="1086">
        <f t="shared" si="18"/>
        <v>1108219.7551731514</v>
      </c>
      <c r="BW8" s="1086">
        <f t="shared" si="18"/>
        <v>1141466.3478283458</v>
      </c>
      <c r="BX8" s="1086">
        <f t="shared" si="18"/>
        <v>1175710.3382631962</v>
      </c>
      <c r="BY8" s="1086">
        <f t="shared" si="18"/>
        <v>1210981.6484110921</v>
      </c>
      <c r="BZ8" s="1086">
        <f t="shared" si="18"/>
        <v>1247311.0978634248</v>
      </c>
      <c r="CA8" s="1086">
        <f t="shared" si="18"/>
        <v>1284730.4307993276</v>
      </c>
      <c r="CB8" s="1086">
        <f t="shared" si="18"/>
        <v>1323272.3437233074</v>
      </c>
      <c r="CC8" s="1086">
        <f t="shared" si="18"/>
        <v>1362970.5140350065</v>
      </c>
      <c r="CD8" s="1086">
        <f t="shared" si="18"/>
        <v>1403859.6294560567</v>
      </c>
      <c r="CE8" s="1086">
        <f t="shared" si="18"/>
        <v>1445975.4183397384</v>
      </c>
      <c r="CF8" s="1086">
        <f t="shared" si="18"/>
        <v>1489354.6808899306</v>
      </c>
      <c r="CG8" s="1086">
        <f t="shared" si="18"/>
        <v>1534035.3213166285</v>
      </c>
      <c r="CH8" s="1086">
        <f t="shared" si="18"/>
        <v>1580056.3809561273</v>
      </c>
      <c r="CI8" s="1086">
        <f t="shared" si="18"/>
        <v>1627458.0723848112</v>
      </c>
      <c r="CJ8" s="1086">
        <f t="shared" si="18"/>
        <v>1676281.8145563556</v>
      </c>
      <c r="CK8" s="1086"/>
      <c r="CL8" s="1086"/>
      <c r="CM8" s="1086"/>
      <c r="CN8" s="1086"/>
      <c r="CO8" s="1086"/>
      <c r="CP8" s="1086"/>
      <c r="CQ8" s="1086"/>
      <c r="CR8" s="1086"/>
      <c r="CS8" s="1086"/>
      <c r="CT8" s="1086"/>
      <c r="CU8" s="1086"/>
      <c r="CV8" s="1086"/>
      <c r="CW8" s="1086"/>
      <c r="CX8" s="1086"/>
      <c r="CY8" s="1086"/>
      <c r="CZ8" s="1086"/>
      <c r="DA8" s="1086"/>
      <c r="DB8" s="1086"/>
      <c r="DC8" s="1086"/>
      <c r="DD8" s="1086"/>
      <c r="DE8" s="1086"/>
      <c r="DF8" s="1086"/>
      <c r="DG8" s="1086"/>
      <c r="DH8" s="1086"/>
      <c r="DI8" s="1086"/>
      <c r="DJ8" s="1086"/>
      <c r="DK8" s="1086"/>
      <c r="DL8" s="1086"/>
      <c r="DM8" s="1086"/>
      <c r="DN8" s="1086"/>
      <c r="DO8" s="1086"/>
      <c r="DP8" s="1086"/>
      <c r="DQ8" s="1086"/>
      <c r="DR8" s="1086"/>
      <c r="DS8" s="1086"/>
      <c r="DT8" s="1086"/>
      <c r="DU8" s="1086"/>
      <c r="DV8" s="1086"/>
      <c r="DW8" s="1086"/>
      <c r="DX8" s="1086"/>
      <c r="DY8" s="1086"/>
      <c r="DZ8" s="1086"/>
      <c r="EA8" s="1086"/>
      <c r="EB8" s="1086"/>
      <c r="EC8" s="1086"/>
      <c r="ED8" s="1086"/>
      <c r="EE8" s="1086"/>
      <c r="EF8" s="1086"/>
      <c r="EG8" s="1086"/>
      <c r="EH8" s="1086"/>
      <c r="EI8" s="1086"/>
      <c r="EJ8" s="1086"/>
      <c r="EK8" s="1086"/>
      <c r="EL8" s="1086"/>
      <c r="EM8" s="1086"/>
      <c r="EN8" s="1086"/>
      <c r="EO8" s="1086"/>
      <c r="EP8" s="1086"/>
      <c r="EQ8" s="1086"/>
      <c r="ER8" s="1086"/>
      <c r="ES8" s="1"/>
      <c r="ET8" s="1"/>
      <c r="EU8" s="1"/>
      <c r="EV8" s="1"/>
      <c r="EW8" s="1"/>
      <c r="EX8" s="1"/>
      <c r="EY8" s="1"/>
      <c r="EZ8" s="1"/>
      <c r="FA8" s="1"/>
      <c r="FB8" s="1"/>
      <c r="FC8" s="1"/>
      <c r="FD8" s="1"/>
      <c r="FE8" s="1"/>
      <c r="FF8" s="1"/>
      <c r="FG8" s="1"/>
      <c r="FH8" s="1"/>
      <c r="FI8" s="1"/>
      <c r="FJ8" s="1"/>
      <c r="FK8" s="1"/>
      <c r="FL8" s="1"/>
      <c r="FM8" s="1"/>
      <c r="FN8" s="1"/>
      <c r="FO8" s="1"/>
      <c r="FP8" s="1"/>
      <c r="FQ8" s="1"/>
      <c r="FR8" s="1"/>
      <c r="FS8" s="1"/>
      <c r="FT8" s="1"/>
      <c r="FU8" s="1"/>
      <c r="FV8" s="1"/>
      <c r="FW8" s="1"/>
      <c r="FX8" s="1"/>
      <c r="FY8" s="1"/>
      <c r="FZ8" s="1"/>
      <c r="GA8" s="1"/>
      <c r="GB8" s="1"/>
      <c r="GC8" s="1"/>
      <c r="GD8" s="1"/>
      <c r="GE8" s="1"/>
      <c r="GF8" s="1"/>
      <c r="GG8" s="1"/>
      <c r="GH8" s="1"/>
      <c r="GI8" s="1"/>
      <c r="GJ8" s="1"/>
      <c r="GK8" s="1"/>
      <c r="GL8" s="1"/>
      <c r="GM8" s="1"/>
      <c r="GN8" s="1"/>
      <c r="GO8" s="1"/>
      <c r="GP8" s="1"/>
      <c r="GQ8" s="1"/>
      <c r="GR8" s="1"/>
      <c r="GS8" s="1"/>
      <c r="GT8" s="1"/>
      <c r="GU8" s="1"/>
      <c r="GV8" s="1"/>
      <c r="GW8" s="1"/>
      <c r="GX8" s="1"/>
      <c r="GY8" s="1"/>
      <c r="GZ8" s="1"/>
      <c r="HA8" s="1"/>
      <c r="HB8" s="1"/>
      <c r="HC8" s="1"/>
      <c r="HD8" s="1"/>
      <c r="HE8" s="1"/>
      <c r="HF8" s="1"/>
      <c r="HG8" s="1"/>
      <c r="HH8" s="1"/>
      <c r="HI8" s="1"/>
      <c r="HJ8" s="1"/>
      <c r="HK8" s="1"/>
      <c r="HL8" s="1"/>
      <c r="HM8" s="1"/>
      <c r="HN8" s="1"/>
      <c r="HO8" s="1"/>
      <c r="HP8" s="1"/>
      <c r="HQ8" s="1"/>
      <c r="HR8" s="1"/>
      <c r="HS8" s="1"/>
      <c r="HT8" s="1"/>
      <c r="HU8" s="1"/>
      <c r="HV8" s="1"/>
      <c r="HW8" s="1"/>
      <c r="HX8" s="1"/>
      <c r="HY8" s="1"/>
      <c r="HZ8" s="1"/>
      <c r="IA8" s="1"/>
      <c r="IB8" s="1"/>
      <c r="IC8" s="1"/>
      <c r="ID8" s="1"/>
      <c r="IE8" s="1"/>
      <c r="IF8" s="1"/>
      <c r="IG8" s="1"/>
      <c r="IH8" s="1"/>
      <c r="II8" s="1"/>
      <c r="IJ8" s="1"/>
      <c r="IK8" s="1"/>
      <c r="IL8" s="1"/>
      <c r="IM8" s="1"/>
      <c r="IN8" s="1"/>
      <c r="IO8" s="1"/>
      <c r="IP8" s="1"/>
      <c r="IQ8" s="1"/>
      <c r="IR8" s="1"/>
      <c r="IS8" s="1"/>
      <c r="IT8" s="1"/>
      <c r="IU8" s="1"/>
      <c r="IV8" s="1"/>
      <c r="IW8" s="1"/>
      <c r="IX8" s="1"/>
      <c r="IY8" s="1"/>
      <c r="IZ8" s="1"/>
      <c r="JA8" s="1"/>
      <c r="JB8" s="1"/>
      <c r="JC8" s="1"/>
      <c r="JD8" s="1"/>
    </row>
    <row r="9" spans="2:264" s="1044" customFormat="1" ht="13.5" thickBot="1" x14ac:dyDescent="0.25">
      <c r="B9" s="1067" t="s">
        <v>993</v>
      </c>
      <c r="C9" s="1091">
        <f>SUMIF(MODEL!$7:$7,$D$9,MODEL!$1012:$1012)</f>
        <v>46.15102313523326</v>
      </c>
      <c r="D9" s="1092" t="str">
        <f>D8</f>
        <v>1H26</v>
      </c>
      <c r="E9" s="1090"/>
      <c r="F9" s="1093" t="s">
        <v>994</v>
      </c>
      <c r="G9" s="1094">
        <f ca="1">SUM(G6:G8)</f>
        <v>92478.876287013205</v>
      </c>
      <c r="H9" s="1095">
        <f t="shared" ca="1" si="14"/>
        <v>55.26199967684795</v>
      </c>
      <c r="I9" s="1485">
        <v>52.202410434630593</v>
      </c>
      <c r="J9" s="1483">
        <f t="shared" ca="1" si="17"/>
        <v>5.8610114298240479E-2</v>
      </c>
      <c r="K9" s="1491"/>
      <c r="L9" s="1491"/>
      <c r="M9" s="1491"/>
      <c r="N9" s="1491"/>
      <c r="O9" s="1491"/>
      <c r="P9" s="1096"/>
      <c r="Q9" s="1047" t="s">
        <v>272</v>
      </c>
      <c r="R9" s="1047"/>
      <c r="S9" s="1047"/>
      <c r="T9" s="1047"/>
      <c r="U9" s="1047"/>
      <c r="V9" s="1047"/>
      <c r="W9" s="1047"/>
      <c r="X9" s="1097"/>
      <c r="Y9" s="1097">
        <f>MODEL!BJ187</f>
        <v>568821</v>
      </c>
      <c r="Z9" s="1097">
        <f>MODEL!BN187</f>
        <v>608127</v>
      </c>
      <c r="AA9" s="1097">
        <f>MODEL!BR187</f>
        <v>646172</v>
      </c>
      <c r="AB9" s="1097">
        <f>MODEL!BV187</f>
        <v>701730</v>
      </c>
      <c r="AC9" s="1097">
        <f>MODEL!BZ187</f>
        <v>737002</v>
      </c>
      <c r="AD9" s="1097">
        <f>MODEL!CD187</f>
        <v>748408</v>
      </c>
      <c r="AE9" s="1098">
        <f>MODEL!CH187</f>
        <v>761013</v>
      </c>
      <c r="AF9" s="1099">
        <f>MODEL!CL187</f>
        <v>780108</v>
      </c>
      <c r="AG9" s="1099">
        <f>MODEL!CP187</f>
        <v>818266</v>
      </c>
      <c r="AH9" s="1099">
        <f>MODEL!CT187</f>
        <v>884963</v>
      </c>
      <c r="AI9" s="1099">
        <f>MODEL!CX187</f>
        <v>933251</v>
      </c>
      <c r="AJ9" s="1099">
        <f>MODEL!DB187</f>
        <v>949948</v>
      </c>
      <c r="AK9" s="1367">
        <f>MODEL!DF187</f>
        <v>1015883</v>
      </c>
      <c r="AL9" s="1099">
        <f>MODEL!DJ187</f>
        <v>1085563.3850495967</v>
      </c>
      <c r="AM9" s="1099">
        <f>MODEL!$DN187</f>
        <v>1152170.2205865183</v>
      </c>
      <c r="AN9" s="1099">
        <f>MODEL!$DR187</f>
        <v>1208740.8652868862</v>
      </c>
      <c r="AO9" s="1097">
        <f t="shared" ref="AO9:CF9" si="21">SUM(AO7:AO8)</f>
        <v>1258923.5603678122</v>
      </c>
      <c r="AP9" s="1097">
        <f t="shared" si="21"/>
        <v>1311196.0509731004</v>
      </c>
      <c r="AQ9" s="1097">
        <f t="shared" si="21"/>
        <v>1365645.640871176</v>
      </c>
      <c r="AR9" s="1097">
        <f t="shared" si="21"/>
        <v>1422363.2930188365</v>
      </c>
      <c r="AS9" s="1097">
        <f t="shared" si="21"/>
        <v>1481443.7834454803</v>
      </c>
      <c r="AT9" s="1097">
        <f t="shared" si="21"/>
        <v>1542985.8616309543</v>
      </c>
      <c r="AU9" s="1097">
        <f t="shared" si="21"/>
        <v>1607092.4176519923</v>
      </c>
      <c r="AV9" s="1097">
        <f t="shared" si="21"/>
        <v>1655305.190181552</v>
      </c>
      <c r="AW9" s="1097">
        <f t="shared" si="21"/>
        <v>1704964.3458869986</v>
      </c>
      <c r="AX9" s="1097">
        <f>SUM(AX7:AX8)</f>
        <v>1756113.2762636086</v>
      </c>
      <c r="AY9" s="1097">
        <f>SUM(AY7:AY8)</f>
        <v>1808796.6745515172</v>
      </c>
      <c r="AZ9" s="1097">
        <f>SUM(AZ7:AZ8)</f>
        <v>1863060.5747880626</v>
      </c>
      <c r="BA9" s="1097">
        <f t="shared" si="21"/>
        <v>1918952.3920317045</v>
      </c>
      <c r="BB9" s="1097">
        <f t="shared" si="21"/>
        <v>1976520.9637926556</v>
      </c>
      <c r="BC9" s="1097">
        <f t="shared" si="21"/>
        <v>2035816.5927064354</v>
      </c>
      <c r="BD9" s="1097">
        <f t="shared" si="21"/>
        <v>2096891.0904876287</v>
      </c>
      <c r="BE9" s="1097">
        <f t="shared" si="21"/>
        <v>2159797.8232022575</v>
      </c>
      <c r="BF9" s="1097">
        <f t="shared" si="21"/>
        <v>2224591.7578983251</v>
      </c>
      <c r="BG9" s="1097">
        <f t="shared" si="21"/>
        <v>2291329.5106352749</v>
      </c>
      <c r="BH9" s="1097">
        <f t="shared" si="21"/>
        <v>2360069.3959543332</v>
      </c>
      <c r="BI9" s="1097">
        <f t="shared" si="21"/>
        <v>2430871.4778329632</v>
      </c>
      <c r="BJ9" s="1097">
        <f t="shared" si="21"/>
        <v>2503797.6221679524</v>
      </c>
      <c r="BK9" s="1097">
        <f t="shared" si="21"/>
        <v>2578911.550832991</v>
      </c>
      <c r="BL9" s="1097">
        <f t="shared" si="21"/>
        <v>2656278.8973579807</v>
      </c>
      <c r="BM9" s="1097">
        <f t="shared" si="21"/>
        <v>2735967.2642787201</v>
      </c>
      <c r="BN9" s="1097">
        <f t="shared" si="21"/>
        <v>2818046.282207082</v>
      </c>
      <c r="BO9" s="1097">
        <f t="shared" si="21"/>
        <v>2902587.6706732949</v>
      </c>
      <c r="BP9" s="1097">
        <f t="shared" si="21"/>
        <v>2989665.3007934936</v>
      </c>
      <c r="BQ9" s="1097">
        <f t="shared" si="21"/>
        <v>3079355.2598172985</v>
      </c>
      <c r="BR9" s="1097">
        <f t="shared" si="21"/>
        <v>3171735.9176118174</v>
      </c>
      <c r="BS9" s="1097">
        <f t="shared" si="21"/>
        <v>3266887.9951401721</v>
      </c>
      <c r="BT9" s="1097">
        <f t="shared" si="21"/>
        <v>3364894.6349943774</v>
      </c>
      <c r="BU9" s="1097">
        <f t="shared" si="21"/>
        <v>3465841.4740442089</v>
      </c>
      <c r="BV9" s="1097">
        <f t="shared" si="21"/>
        <v>3569816.7182655353</v>
      </c>
      <c r="BW9" s="1097">
        <f t="shared" si="21"/>
        <v>3676911.2198135015</v>
      </c>
      <c r="BX9" s="1097">
        <f t="shared" si="21"/>
        <v>3787218.5564079061</v>
      </c>
      <c r="BY9" s="1097">
        <f t="shared" si="21"/>
        <v>3900835.1131001441</v>
      </c>
      <c r="BZ9" s="1097">
        <f t="shared" si="21"/>
        <v>4017860.1664931485</v>
      </c>
      <c r="CA9" s="1097">
        <f t="shared" si="21"/>
        <v>4138395.9714879431</v>
      </c>
      <c r="CB9" s="1097">
        <f t="shared" si="21"/>
        <v>4262547.8506325819</v>
      </c>
      <c r="CC9" s="1097">
        <f t="shared" si="21"/>
        <v>4390424.2861515582</v>
      </c>
      <c r="CD9" s="1097">
        <f t="shared" si="21"/>
        <v>4522137.0147361057</v>
      </c>
      <c r="CE9" s="1097">
        <f t="shared" si="21"/>
        <v>4657801.125178189</v>
      </c>
      <c r="CF9" s="1097">
        <f t="shared" si="21"/>
        <v>4797535.1589335352</v>
      </c>
      <c r="CG9" s="1097">
        <f>SUM(CG7:CG8)</f>
        <v>4941461.2137015406</v>
      </c>
      <c r="CH9" s="1097">
        <f>SUM(CH7:CH8)</f>
        <v>5089705.0501125865</v>
      </c>
      <c r="CI9" s="1097">
        <f>SUM(CI7:CI8)</f>
        <v>5242396.201615965</v>
      </c>
      <c r="CJ9" s="1097">
        <f>SUM(CJ7:CJ8)</f>
        <v>5399668.087664444</v>
      </c>
      <c r="CK9" s="1097"/>
      <c r="CL9" s="1097"/>
      <c r="CM9" s="1097"/>
      <c r="CN9" s="1097"/>
      <c r="CO9" s="1097"/>
      <c r="CP9" s="1097"/>
      <c r="CQ9" s="1097"/>
      <c r="CR9" s="1097"/>
      <c r="CS9" s="1097"/>
      <c r="CT9" s="1097"/>
      <c r="CU9" s="1097"/>
      <c r="CV9" s="1097"/>
      <c r="CW9" s="1097"/>
      <c r="CX9" s="1097"/>
      <c r="CY9" s="1097"/>
      <c r="CZ9" s="1097"/>
      <c r="DA9" s="1097"/>
      <c r="DB9" s="1097"/>
      <c r="DC9" s="1097"/>
      <c r="DD9" s="1097"/>
      <c r="DE9" s="1097"/>
      <c r="DF9" s="1097"/>
      <c r="DG9" s="1097"/>
      <c r="DH9" s="1097"/>
      <c r="DI9" s="1097"/>
      <c r="DJ9" s="1097"/>
      <c r="DK9" s="1097"/>
      <c r="DL9" s="1097"/>
      <c r="DM9" s="1097"/>
      <c r="DN9" s="1097"/>
      <c r="DO9" s="1097"/>
      <c r="DP9" s="1097"/>
      <c r="DQ9" s="1097"/>
      <c r="DR9" s="1097"/>
      <c r="DS9" s="1097"/>
      <c r="DT9" s="1097"/>
      <c r="DU9" s="1097"/>
      <c r="DV9" s="1097"/>
      <c r="DW9" s="1097"/>
      <c r="DX9" s="1097"/>
      <c r="DY9" s="1097"/>
      <c r="DZ9" s="1097"/>
      <c r="EA9" s="1097"/>
      <c r="EB9" s="1097"/>
      <c r="EC9" s="1097"/>
      <c r="ED9" s="1097"/>
      <c r="EE9" s="1097"/>
      <c r="EF9" s="1097"/>
      <c r="EG9" s="1097"/>
      <c r="EH9" s="1097"/>
      <c r="EI9" s="1097"/>
      <c r="EJ9" s="1097"/>
      <c r="EK9" s="1097"/>
      <c r="EL9" s="1097"/>
      <c r="EM9" s="1097"/>
      <c r="EN9" s="1097"/>
      <c r="EO9" s="1097"/>
      <c r="EP9" s="1097"/>
      <c r="EQ9" s="1097"/>
      <c r="ER9" s="1097"/>
      <c r="ES9" s="1"/>
      <c r="ET9" s="1"/>
      <c r="EU9" s="1"/>
      <c r="EV9" s="1"/>
      <c r="EW9" s="1"/>
      <c r="EX9" s="1"/>
      <c r="EY9" s="1"/>
      <c r="EZ9" s="1"/>
      <c r="FA9" s="1"/>
      <c r="FB9" s="1"/>
      <c r="FC9" s="1"/>
      <c r="FD9" s="1"/>
      <c r="FE9" s="1"/>
      <c r="FF9" s="1"/>
      <c r="FG9" s="1"/>
      <c r="FH9" s="1"/>
      <c r="FI9" s="1"/>
      <c r="FJ9" s="1"/>
      <c r="FK9" s="1"/>
      <c r="FL9" s="1"/>
      <c r="FM9" s="1"/>
      <c r="FN9" s="1"/>
      <c r="FO9" s="1"/>
      <c r="FP9" s="1"/>
      <c r="FQ9" s="1"/>
      <c r="FR9" s="1"/>
      <c r="FS9" s="1"/>
      <c r="FT9" s="1"/>
      <c r="FU9" s="1"/>
      <c r="FV9" s="1"/>
      <c r="FW9" s="1"/>
      <c r="FX9" s="1"/>
      <c r="FY9" s="1"/>
      <c r="FZ9" s="1"/>
      <c r="GA9" s="1"/>
      <c r="GB9" s="1"/>
      <c r="GC9" s="1"/>
      <c r="GD9" s="1"/>
      <c r="GE9" s="1"/>
      <c r="GF9" s="1"/>
      <c r="GG9" s="1"/>
      <c r="GH9" s="1"/>
      <c r="GI9" s="1"/>
      <c r="GJ9" s="1"/>
      <c r="GK9" s="1"/>
      <c r="GL9" s="1"/>
      <c r="GM9" s="1"/>
      <c r="GN9" s="1"/>
      <c r="GO9" s="1"/>
      <c r="GP9" s="1"/>
      <c r="GQ9" s="1"/>
      <c r="GR9" s="1"/>
      <c r="GS9" s="1"/>
      <c r="GT9" s="1"/>
      <c r="GU9" s="1"/>
      <c r="GV9" s="1"/>
      <c r="GW9" s="1"/>
      <c r="GX9" s="1"/>
      <c r="GY9" s="1"/>
      <c r="GZ9" s="1"/>
      <c r="HA9" s="1"/>
      <c r="HB9" s="1"/>
      <c r="HC9" s="1"/>
      <c r="HD9" s="1"/>
      <c r="HE9" s="1"/>
      <c r="HF9" s="1"/>
      <c r="HG9" s="1"/>
      <c r="HH9" s="1"/>
      <c r="HI9" s="1"/>
      <c r="HJ9" s="1"/>
      <c r="HK9" s="1"/>
      <c r="HL9" s="1"/>
      <c r="HM9" s="1"/>
      <c r="HN9" s="1"/>
      <c r="HO9" s="1"/>
      <c r="HP9" s="1"/>
      <c r="HQ9" s="1"/>
      <c r="HR9" s="1"/>
      <c r="HS9" s="1"/>
      <c r="HT9" s="1"/>
      <c r="HU9" s="1"/>
      <c r="HV9" s="1"/>
      <c r="HW9" s="1"/>
      <c r="HX9" s="1"/>
      <c r="HY9" s="1"/>
      <c r="HZ9" s="1"/>
      <c r="IA9" s="1"/>
      <c r="IB9" s="1"/>
      <c r="IC9" s="1"/>
      <c r="ID9" s="1"/>
      <c r="IE9" s="1"/>
      <c r="IF9" s="1"/>
      <c r="IG9" s="1"/>
      <c r="IH9" s="1"/>
      <c r="II9" s="1"/>
      <c r="IJ9" s="1"/>
      <c r="IK9" s="1"/>
      <c r="IL9" s="1"/>
      <c r="IM9" s="1"/>
      <c r="IN9" s="1"/>
      <c r="IO9" s="1"/>
      <c r="IP9" s="1"/>
      <c r="IQ9" s="1"/>
      <c r="IR9" s="1"/>
      <c r="IS9" s="1"/>
      <c r="IT9" s="1"/>
      <c r="IU9" s="1"/>
      <c r="IV9" s="1"/>
      <c r="IW9" s="1"/>
      <c r="IX9" s="1"/>
      <c r="IY9" s="1"/>
      <c r="IZ9" s="1"/>
      <c r="JA9" s="1"/>
      <c r="JB9" s="1"/>
      <c r="JC9" s="1"/>
      <c r="JD9" s="1"/>
    </row>
    <row r="10" spans="2:264" s="1044" customFormat="1" ht="13.5" thickBot="1" x14ac:dyDescent="0.25">
      <c r="B10" s="1067"/>
      <c r="C10" s="1100"/>
      <c r="D10" s="1069"/>
      <c r="E10" s="1101"/>
      <c r="F10" s="1102" t="s">
        <v>995</v>
      </c>
      <c r="G10" s="1103">
        <f ca="1">+G9+G5</f>
        <v>169710.87628701321</v>
      </c>
      <c r="H10" s="1104">
        <f t="shared" ca="1" si="14"/>
        <v>101.41302281208121</v>
      </c>
      <c r="I10" s="1485">
        <v>99.276071591937608</v>
      </c>
      <c r="J10" s="1483">
        <f t="shared" ca="1" si="17"/>
        <v>2.1525340254470171E-2</v>
      </c>
      <c r="K10" s="1491">
        <f>AVERAGE(MODEL!BW183,MODEL!CA183,MODEL!CE183,MODEL!CI183,MODEL!CM183,MODEL!CQ183,MODEL!CU183,MODEL!CY183,MODEL!DC183,MODEL!DG183)</f>
        <v>5.3039346429041331E-2</v>
      </c>
      <c r="L10" s="1488">
        <f>AVERAGE(AI10,AJ10,AK10)</f>
        <v>4.4222018488035163E-2</v>
      </c>
      <c r="M10" s="1488">
        <f>AVERAGE(AL10,AM10,AN10)</f>
        <v>5.963522688715258E-2</v>
      </c>
      <c r="N10" s="1488">
        <f>AVERAGE(AL10:AU10)</f>
        <v>4.5890568066145762E-2</v>
      </c>
      <c r="O10" s="1491">
        <f>AO10</f>
        <v>0.04</v>
      </c>
      <c r="P10" s="1096"/>
      <c r="Q10" s="1046" t="s">
        <v>928</v>
      </c>
      <c r="R10" s="1046"/>
      <c r="S10" s="1046"/>
      <c r="T10" s="1046"/>
      <c r="U10" s="1046"/>
      <c r="V10" s="1046"/>
      <c r="W10" s="1046"/>
      <c r="X10" s="1046"/>
      <c r="Y10" s="1105"/>
      <c r="Z10" s="1105">
        <f t="shared" ref="Z10:AP12" si="22">+Z7/Y7-1</f>
        <v>7.2001394700139443E-2</v>
      </c>
      <c r="AA10" s="1105">
        <f t="shared" si="22"/>
        <v>5.7960644007155615E-2</v>
      </c>
      <c r="AB10" s="1105">
        <f t="shared" si="22"/>
        <v>7.8569046780071483E-2</v>
      </c>
      <c r="AC10" s="1105">
        <f t="shared" si="22"/>
        <v>6.5302999074711598E-2</v>
      </c>
      <c r="AD10" s="1105">
        <f t="shared" si="22"/>
        <v>3.2536322415854801E-2</v>
      </c>
      <c r="AE10" s="1106">
        <f t="shared" si="22"/>
        <v>4.2412765490915216E-2</v>
      </c>
      <c r="AF10" s="1105">
        <f t="shared" si="22"/>
        <v>3.8126599125715588E-2</v>
      </c>
      <c r="AG10" s="1105">
        <f t="shared" si="22"/>
        <v>6.7926613616268838E-2</v>
      </c>
      <c r="AH10" s="1105">
        <f t="shared" si="22"/>
        <v>7.2853062322770334E-2</v>
      </c>
      <c r="AI10" s="1105">
        <f t="shared" si="22"/>
        <v>4.8593794463924755E-2</v>
      </c>
      <c r="AJ10" s="1105">
        <f t="shared" si="22"/>
        <v>1.9139306182901938E-2</v>
      </c>
      <c r="AK10" s="1368">
        <f t="shared" si="22"/>
        <v>6.4932954817278787E-2</v>
      </c>
      <c r="AL10" s="1105">
        <f t="shared" si="22"/>
        <v>6.8482160416970084E-2</v>
      </c>
      <c r="AM10" s="1105">
        <f t="shared" ref="AM10:AN12" si="23">+AM7/AL7-1</f>
        <v>6.1738336322961329E-2</v>
      </c>
      <c r="AN10" s="1105">
        <f t="shared" si="23"/>
        <v>4.868518392152632E-2</v>
      </c>
      <c r="AO10" s="1107">
        <f>$H$73</f>
        <v>0.04</v>
      </c>
      <c r="AP10" s="1108">
        <f t="shared" ref="AP10:AU11" si="24">AO10</f>
        <v>0.04</v>
      </c>
      <c r="AQ10" s="1108">
        <f t="shared" si="24"/>
        <v>0.04</v>
      </c>
      <c r="AR10" s="1108">
        <f t="shared" si="24"/>
        <v>0.04</v>
      </c>
      <c r="AS10" s="1108">
        <f t="shared" si="24"/>
        <v>0.04</v>
      </c>
      <c r="AT10" s="1108">
        <f t="shared" si="24"/>
        <v>0.04</v>
      </c>
      <c r="AU10" s="1108">
        <f t="shared" si="24"/>
        <v>0.04</v>
      </c>
      <c r="AV10" s="1109">
        <v>0.03</v>
      </c>
      <c r="AW10" s="1109">
        <v>0.03</v>
      </c>
      <c r="AX10" s="1109">
        <v>0.03</v>
      </c>
      <c r="AY10" s="1109">
        <v>0.03</v>
      </c>
      <c r="AZ10" s="1109">
        <v>0.03</v>
      </c>
      <c r="BA10" s="1110">
        <v>0.03</v>
      </c>
      <c r="BB10" s="1110">
        <v>0.03</v>
      </c>
      <c r="BC10" s="1110">
        <v>0.03</v>
      </c>
      <c r="BD10" s="1110">
        <v>0.03</v>
      </c>
      <c r="BE10" s="1110">
        <v>0.03</v>
      </c>
      <c r="BF10" s="1110">
        <v>0.03</v>
      </c>
      <c r="BG10" s="1110">
        <v>0.03</v>
      </c>
      <c r="BH10" s="1110">
        <v>0.03</v>
      </c>
      <c r="BI10" s="1110">
        <v>0.03</v>
      </c>
      <c r="BJ10" s="1110">
        <v>0.03</v>
      </c>
      <c r="BK10" s="1110">
        <v>0.03</v>
      </c>
      <c r="BL10" s="1110">
        <v>0.03</v>
      </c>
      <c r="BM10" s="1110">
        <v>0.03</v>
      </c>
      <c r="BN10" s="1110">
        <v>0.03</v>
      </c>
      <c r="BO10" s="1110">
        <v>0.03</v>
      </c>
      <c r="BP10" s="1110">
        <v>0.03</v>
      </c>
      <c r="BQ10" s="1110">
        <v>0.03</v>
      </c>
      <c r="BR10" s="1110">
        <v>0.03</v>
      </c>
      <c r="BS10" s="1110">
        <v>0.03</v>
      </c>
      <c r="BT10" s="1110">
        <v>0.03</v>
      </c>
      <c r="BU10" s="1110">
        <v>0.03</v>
      </c>
      <c r="BV10" s="1110">
        <v>0.03</v>
      </c>
      <c r="BW10" s="1110">
        <v>0.03</v>
      </c>
      <c r="BX10" s="1110">
        <v>0.03</v>
      </c>
      <c r="BY10" s="1110">
        <v>0.03</v>
      </c>
      <c r="BZ10" s="1110">
        <v>0.03</v>
      </c>
      <c r="CA10" s="1110">
        <v>0.03</v>
      </c>
      <c r="CB10" s="1110">
        <v>0.03</v>
      </c>
      <c r="CC10" s="1110">
        <v>0.03</v>
      </c>
      <c r="CD10" s="1110">
        <v>0.03</v>
      </c>
      <c r="CE10" s="1110">
        <v>0.03</v>
      </c>
      <c r="CF10" s="1110">
        <v>0.03</v>
      </c>
      <c r="CG10" s="1110">
        <v>0.03</v>
      </c>
      <c r="CH10" s="1110">
        <v>0.03</v>
      </c>
      <c r="CI10" s="1110">
        <v>0.03</v>
      </c>
      <c r="CJ10" s="1110">
        <v>0.03</v>
      </c>
      <c r="CK10" s="1111"/>
      <c r="CL10" s="1111"/>
      <c r="CM10" s="1111"/>
      <c r="CN10" s="1111"/>
      <c r="CO10" s="1111"/>
      <c r="CP10" s="1111"/>
      <c r="CQ10" s="1111"/>
      <c r="CR10" s="1111"/>
      <c r="CS10" s="1111"/>
      <c r="CT10" s="1111"/>
      <c r="CU10" s="1111"/>
      <c r="CV10" s="1111"/>
      <c r="CW10" s="1111"/>
      <c r="CX10" s="1111"/>
      <c r="CY10" s="1111"/>
      <c r="CZ10" s="1111"/>
      <c r="DA10" s="1111"/>
      <c r="DB10" s="1111"/>
      <c r="DC10" s="1111"/>
      <c r="DD10" s="1111"/>
      <c r="DE10" s="1111"/>
      <c r="DF10" s="1111"/>
      <c r="DG10" s="1111"/>
      <c r="DH10" s="1111"/>
      <c r="DI10" s="1111"/>
      <c r="DJ10" s="1111"/>
      <c r="DK10" s="1111"/>
      <c r="DL10" s="1111"/>
      <c r="DM10" s="1111"/>
      <c r="DN10" s="1111"/>
      <c r="DO10" s="1111"/>
      <c r="DP10" s="1111"/>
      <c r="DQ10" s="1111"/>
      <c r="DR10" s="1111"/>
      <c r="DS10" s="1111"/>
      <c r="DT10" s="1111"/>
      <c r="DU10" s="1111"/>
      <c r="DV10" s="1111"/>
      <c r="DW10" s="1111"/>
      <c r="DX10" s="1111"/>
      <c r="DY10" s="1111"/>
      <c r="DZ10" s="1111"/>
      <c r="EA10" s="1111"/>
      <c r="EB10" s="1111"/>
      <c r="EC10" s="1111"/>
      <c r="ED10" s="1111"/>
      <c r="EE10" s="1111"/>
      <c r="EF10" s="1111"/>
      <c r="EG10" s="1111"/>
      <c r="EH10" s="1111"/>
      <c r="EI10" s="1111"/>
      <c r="EJ10" s="1111"/>
      <c r="EK10" s="1111"/>
      <c r="EL10" s="1111"/>
      <c r="EM10" s="1111"/>
      <c r="EN10" s="1111"/>
      <c r="EO10" s="1111"/>
      <c r="EP10" s="1111"/>
      <c r="EQ10" s="1111"/>
      <c r="ER10" s="1111"/>
      <c r="ES10" s="1"/>
      <c r="ET10" s="1"/>
      <c r="EU10" s="1"/>
      <c r="EV10" s="1"/>
      <c r="EW10" s="1"/>
      <c r="EX10" s="1"/>
      <c r="EY10" s="1"/>
      <c r="EZ10" s="1"/>
      <c r="FA10" s="1"/>
      <c r="FB10" s="1"/>
      <c r="FC10" s="1"/>
      <c r="FD10" s="1"/>
      <c r="FE10" s="1"/>
      <c r="FF10" s="1"/>
      <c r="FG10" s="1"/>
      <c r="FH10" s="1"/>
      <c r="FI10" s="1"/>
      <c r="FJ10" s="1"/>
      <c r="FK10" s="1"/>
      <c r="FL10" s="1"/>
      <c r="FM10" s="1"/>
      <c r="FN10" s="1"/>
      <c r="FO10" s="1"/>
      <c r="FP10" s="1"/>
      <c r="FQ10" s="1"/>
      <c r="FR10" s="1"/>
      <c r="FS10" s="1"/>
      <c r="FT10" s="1"/>
      <c r="FU10" s="1"/>
      <c r="FV10" s="1"/>
      <c r="FW10" s="1"/>
      <c r="FX10" s="1"/>
      <c r="FY10" s="1"/>
      <c r="FZ10" s="1"/>
      <c r="GA10" s="1"/>
      <c r="GB10" s="1"/>
      <c r="GC10" s="1"/>
      <c r="GD10" s="1"/>
      <c r="GE10" s="1"/>
      <c r="GF10" s="1"/>
      <c r="GG10" s="1"/>
      <c r="GH10" s="1"/>
      <c r="GI10" s="1"/>
      <c r="GJ10" s="1"/>
      <c r="GK10" s="1"/>
      <c r="GL10" s="1"/>
      <c r="GM10" s="1"/>
      <c r="GN10" s="1"/>
      <c r="GO10" s="1"/>
      <c r="GP10" s="1"/>
      <c r="GQ10" s="1"/>
      <c r="GR10" s="1"/>
      <c r="GS10" s="1"/>
      <c r="GT10" s="1"/>
      <c r="GU10" s="1"/>
      <c r="GV10" s="1"/>
      <c r="GW10" s="1"/>
      <c r="GX10" s="1"/>
      <c r="GY10" s="1"/>
      <c r="GZ10" s="1"/>
      <c r="HA10" s="1"/>
      <c r="HB10" s="1"/>
      <c r="HC10" s="1"/>
      <c r="HD10" s="1"/>
      <c r="HE10" s="1"/>
      <c r="HF10" s="1"/>
      <c r="HG10" s="1"/>
      <c r="HH10" s="1"/>
      <c r="HI10" s="1"/>
      <c r="HJ10" s="1"/>
      <c r="HK10" s="1"/>
      <c r="HL10" s="1"/>
      <c r="HM10" s="1"/>
      <c r="HN10" s="1"/>
      <c r="HO10" s="1"/>
      <c r="HP10" s="1"/>
      <c r="HQ10" s="1"/>
      <c r="HR10" s="1"/>
      <c r="HS10" s="1"/>
      <c r="HT10" s="1"/>
      <c r="HU10" s="1"/>
      <c r="HV10" s="1"/>
      <c r="HW10" s="1"/>
      <c r="HX10" s="1"/>
      <c r="HY10" s="1"/>
      <c r="HZ10" s="1"/>
      <c r="IA10" s="1"/>
      <c r="IB10" s="1"/>
      <c r="IC10" s="1"/>
      <c r="ID10" s="1"/>
      <c r="IE10" s="1"/>
      <c r="IF10" s="1"/>
      <c r="IG10" s="1"/>
      <c r="IH10" s="1"/>
      <c r="II10" s="1"/>
      <c r="IJ10" s="1"/>
      <c r="IK10" s="1"/>
      <c r="IL10" s="1"/>
      <c r="IM10" s="1"/>
      <c r="IN10" s="1"/>
      <c r="IO10" s="1"/>
      <c r="IP10" s="1"/>
      <c r="IQ10" s="1"/>
      <c r="IR10" s="1"/>
      <c r="IS10" s="1"/>
      <c r="IT10" s="1"/>
      <c r="IU10" s="1"/>
      <c r="IV10" s="1"/>
      <c r="IW10" s="1"/>
      <c r="IX10" s="1"/>
      <c r="IY10" s="1"/>
      <c r="IZ10" s="1"/>
      <c r="JA10" s="1"/>
      <c r="JB10" s="1"/>
      <c r="JC10" s="1"/>
      <c r="JD10" s="1"/>
    </row>
    <row r="11" spans="2:264" s="1044" customFormat="1" ht="13.5" thickBot="1" x14ac:dyDescent="0.25">
      <c r="B11" s="1067" t="s">
        <v>996</v>
      </c>
      <c r="C11" s="1100"/>
      <c r="D11" s="1112"/>
      <c r="F11" s="1070" t="s">
        <v>997</v>
      </c>
      <c r="G11" s="1082">
        <v>0</v>
      </c>
      <c r="H11" s="1072">
        <f t="shared" si="14"/>
        <v>0</v>
      </c>
      <c r="I11" s="1485"/>
      <c r="J11" s="1483"/>
      <c r="K11" s="1491">
        <f>AVERAGE(MODEL!BW184,MODEL!CA184,MODEL!CE184,MODEL!CI184,MODEL!CM184,MODEL!CQ184,MODEL!CU184,MODEL!CY184,MODEL!DC184,MODEL!DG184)</f>
        <v>3.4669988134771658E-2</v>
      </c>
      <c r="L11" s="1488">
        <f t="shared" ref="L11:L12" si="25">AVERAGE(AI11,AJ11,AK11)</f>
        <v>5.4507567172645897E-2</v>
      </c>
      <c r="M11" s="1488">
        <f t="shared" ref="M11:M12" si="26">AVERAGE(AL11,AM11,AN11)</f>
        <v>5.9791056553281173E-2</v>
      </c>
      <c r="N11" s="1488">
        <f t="shared" ref="N11:N12" si="27">AVERAGE(AL11:AU11)</f>
        <v>4.9437316965984343E-2</v>
      </c>
      <c r="O11" s="1491">
        <f t="shared" ref="O11:O12" si="28">AO11</f>
        <v>4.4999999999999998E-2</v>
      </c>
      <c r="P11" s="1096"/>
      <c r="Q11" s="1046" t="s">
        <v>936</v>
      </c>
      <c r="R11" s="1046"/>
      <c r="S11" s="1046"/>
      <c r="T11" s="1046"/>
      <c r="U11" s="1046"/>
      <c r="V11" s="1046"/>
      <c r="W11" s="1046"/>
      <c r="X11" s="1046"/>
      <c r="Y11" s="1105"/>
      <c r="Z11" s="1105">
        <f t="shared" si="22"/>
        <v>6.3582694240768234E-2</v>
      </c>
      <c r="AA11" s="1105">
        <f t="shared" si="22"/>
        <v>7.1381967165926152E-2</v>
      </c>
      <c r="AB11" s="1105">
        <f t="shared" si="22"/>
        <v>0.10001298579175266</v>
      </c>
      <c r="AC11" s="1105">
        <f t="shared" si="22"/>
        <v>2.2344253753215915E-2</v>
      </c>
      <c r="AD11" s="1105">
        <f t="shared" si="22"/>
        <v>-1.7527723028529341E-2</v>
      </c>
      <c r="AE11" s="1106">
        <f t="shared" si="22"/>
        <v>-3.5145880531565199E-2</v>
      </c>
      <c r="AF11" s="1105">
        <f t="shared" si="22"/>
        <v>-3.5409604697758112E-3</v>
      </c>
      <c r="AG11" s="1105">
        <f t="shared" si="22"/>
        <v>5.4040838349604936E-3</v>
      </c>
      <c r="AH11" s="1105">
        <f t="shared" si="22"/>
        <v>0.10255335206071026</v>
      </c>
      <c r="AI11" s="1105">
        <f t="shared" si="22"/>
        <v>6.8688443548693856E-2</v>
      </c>
      <c r="AJ11" s="1105">
        <f t="shared" si="22"/>
        <v>1.4994680340031152E-2</v>
      </c>
      <c r="AK11" s="1368">
        <f t="shared" si="22"/>
        <v>7.9839577629212677E-2</v>
      </c>
      <c r="AL11" s="1105">
        <f t="shared" si="22"/>
        <v>6.8840975168963814E-2</v>
      </c>
      <c r="AM11" s="1105">
        <f t="shared" si="23"/>
        <v>6.0480712378563561E-2</v>
      </c>
      <c r="AN11" s="1105">
        <f t="shared" si="23"/>
        <v>5.0051482112316137E-2</v>
      </c>
      <c r="AO11" s="1107">
        <f>$H74</f>
        <v>4.4999999999999998E-2</v>
      </c>
      <c r="AP11" s="1108">
        <f t="shared" si="24"/>
        <v>4.4999999999999998E-2</v>
      </c>
      <c r="AQ11" s="1108">
        <f t="shared" si="24"/>
        <v>4.4999999999999998E-2</v>
      </c>
      <c r="AR11" s="1108">
        <f t="shared" si="24"/>
        <v>4.4999999999999998E-2</v>
      </c>
      <c r="AS11" s="1108">
        <f t="shared" si="24"/>
        <v>4.4999999999999998E-2</v>
      </c>
      <c r="AT11" s="1108">
        <f t="shared" si="24"/>
        <v>4.4999999999999998E-2</v>
      </c>
      <c r="AU11" s="1108">
        <f t="shared" si="24"/>
        <v>4.4999999999999998E-2</v>
      </c>
      <c r="AV11" s="1109">
        <v>0.03</v>
      </c>
      <c r="AW11" s="1109">
        <v>0.03</v>
      </c>
      <c r="AX11" s="1109">
        <v>0.03</v>
      </c>
      <c r="AY11" s="1109">
        <v>0.03</v>
      </c>
      <c r="AZ11" s="1109">
        <v>0.03</v>
      </c>
      <c r="BA11" s="1110">
        <v>0.03</v>
      </c>
      <c r="BB11" s="1110">
        <v>0.03</v>
      </c>
      <c r="BC11" s="1110">
        <v>0.03</v>
      </c>
      <c r="BD11" s="1110">
        <v>0.03</v>
      </c>
      <c r="BE11" s="1110">
        <v>0.03</v>
      </c>
      <c r="BF11" s="1110">
        <v>0.03</v>
      </c>
      <c r="BG11" s="1110">
        <v>0.03</v>
      </c>
      <c r="BH11" s="1110">
        <v>0.03</v>
      </c>
      <c r="BI11" s="1110">
        <v>0.03</v>
      </c>
      <c r="BJ11" s="1110">
        <v>0.03</v>
      </c>
      <c r="BK11" s="1110">
        <v>0.03</v>
      </c>
      <c r="BL11" s="1110">
        <v>0.03</v>
      </c>
      <c r="BM11" s="1110">
        <v>0.03</v>
      </c>
      <c r="BN11" s="1110">
        <v>0.03</v>
      </c>
      <c r="BO11" s="1110">
        <v>0.03</v>
      </c>
      <c r="BP11" s="1110">
        <v>0.03</v>
      </c>
      <c r="BQ11" s="1110">
        <v>0.03</v>
      </c>
      <c r="BR11" s="1110">
        <v>0.03</v>
      </c>
      <c r="BS11" s="1110">
        <v>0.03</v>
      </c>
      <c r="BT11" s="1110">
        <v>0.03</v>
      </c>
      <c r="BU11" s="1110">
        <v>0.03</v>
      </c>
      <c r="BV11" s="1110">
        <v>0.03</v>
      </c>
      <c r="BW11" s="1110">
        <v>0.03</v>
      </c>
      <c r="BX11" s="1110">
        <v>0.03</v>
      </c>
      <c r="BY11" s="1110">
        <v>0.03</v>
      </c>
      <c r="BZ11" s="1110">
        <v>0.03</v>
      </c>
      <c r="CA11" s="1110">
        <v>0.03</v>
      </c>
      <c r="CB11" s="1110">
        <v>0.03</v>
      </c>
      <c r="CC11" s="1110">
        <v>0.03</v>
      </c>
      <c r="CD11" s="1110">
        <v>0.03</v>
      </c>
      <c r="CE11" s="1110">
        <v>0.03</v>
      </c>
      <c r="CF11" s="1110">
        <v>0.03</v>
      </c>
      <c r="CG11" s="1110">
        <v>0.03</v>
      </c>
      <c r="CH11" s="1110">
        <v>0.03</v>
      </c>
      <c r="CI11" s="1110">
        <v>0.03</v>
      </c>
      <c r="CJ11" s="1110">
        <v>0.03</v>
      </c>
      <c r="CK11" s="1111"/>
      <c r="CL11" s="1111"/>
      <c r="CM11" s="1111"/>
      <c r="CN11" s="1111"/>
      <c r="CO11" s="1111"/>
      <c r="CP11" s="1111"/>
      <c r="CQ11" s="1111"/>
      <c r="CR11" s="1111"/>
      <c r="CS11" s="1111"/>
      <c r="CT11" s="1111"/>
      <c r="CU11" s="1111"/>
      <c r="CV11" s="1111"/>
      <c r="CW11" s="1111"/>
      <c r="CX11" s="1111"/>
      <c r="CY11" s="1111"/>
      <c r="CZ11" s="1111"/>
      <c r="DA11" s="1111"/>
      <c r="DB11" s="1111"/>
      <c r="DC11" s="1111"/>
      <c r="DD11" s="1111"/>
      <c r="DE11" s="1111"/>
      <c r="DF11" s="1111"/>
      <c r="DG11" s="1111"/>
      <c r="DH11" s="1111"/>
      <c r="DI11" s="1111"/>
      <c r="DJ11" s="1111"/>
      <c r="DK11" s="1111"/>
      <c r="DL11" s="1111"/>
      <c r="DM11" s="1111"/>
      <c r="DN11" s="1111"/>
      <c r="DO11" s="1111"/>
      <c r="DP11" s="1111"/>
      <c r="DQ11" s="1111"/>
      <c r="DR11" s="1111"/>
      <c r="DS11" s="1111"/>
      <c r="DT11" s="1111"/>
      <c r="DU11" s="1111"/>
      <c r="DV11" s="1111"/>
      <c r="DW11" s="1111"/>
      <c r="DX11" s="1111"/>
      <c r="DY11" s="1111"/>
      <c r="DZ11" s="1111"/>
      <c r="EA11" s="1111"/>
      <c r="EB11" s="1111"/>
      <c r="EC11" s="1111"/>
      <c r="ED11" s="1111"/>
      <c r="EE11" s="1111"/>
      <c r="EF11" s="1111"/>
      <c r="EG11" s="1111"/>
      <c r="EH11" s="1111"/>
      <c r="EI11" s="1111"/>
      <c r="EJ11" s="1111"/>
      <c r="EK11" s="1111"/>
      <c r="EL11" s="1111"/>
      <c r="EM11" s="1111"/>
      <c r="EN11" s="1111"/>
      <c r="EO11" s="1111"/>
      <c r="EP11" s="1111"/>
      <c r="EQ11" s="1111"/>
      <c r="ER11" s="1111"/>
      <c r="ES11" s="1"/>
      <c r="ET11" s="1"/>
      <c r="EU11" s="1"/>
      <c r="EV11" s="1"/>
      <c r="EW11" s="1"/>
      <c r="EX11" s="1"/>
      <c r="EY11" s="1"/>
      <c r="EZ11" s="1"/>
      <c r="FA11" s="1"/>
      <c r="FB11" s="1"/>
      <c r="FC11" s="1"/>
      <c r="FD11" s="1"/>
      <c r="FE11" s="1"/>
      <c r="FF11" s="1"/>
      <c r="FG11" s="1"/>
      <c r="FH11" s="1"/>
      <c r="FI11" s="1"/>
      <c r="FJ11" s="1"/>
      <c r="FK11" s="1"/>
      <c r="FL11" s="1"/>
      <c r="FM11" s="1"/>
      <c r="FN11" s="1"/>
      <c r="FO11" s="1"/>
      <c r="FP11" s="1"/>
      <c r="FQ11" s="1"/>
      <c r="FR11" s="1"/>
      <c r="FS11" s="1"/>
      <c r="FT11" s="1"/>
      <c r="FU11" s="1"/>
      <c r="FV11" s="1"/>
      <c r="FW11" s="1"/>
      <c r="FX11" s="1"/>
      <c r="FY11" s="1"/>
      <c r="FZ11" s="1"/>
      <c r="GA11" s="1"/>
      <c r="GB11" s="1"/>
      <c r="GC11" s="1"/>
      <c r="GD11" s="1"/>
      <c r="GE11" s="1"/>
      <c r="GF11" s="1"/>
      <c r="GG11" s="1"/>
      <c r="GH11" s="1"/>
      <c r="GI11" s="1"/>
      <c r="GJ11" s="1"/>
      <c r="GK11" s="1"/>
      <c r="GL11" s="1"/>
      <c r="GM11" s="1"/>
      <c r="GN11" s="1"/>
      <c r="GO11" s="1"/>
      <c r="GP11" s="1"/>
      <c r="GQ11" s="1"/>
      <c r="GR11" s="1"/>
      <c r="GS11" s="1"/>
      <c r="GT11" s="1"/>
      <c r="GU11" s="1"/>
      <c r="GV11" s="1"/>
      <c r="GW11" s="1"/>
      <c r="GX11" s="1"/>
      <c r="GY11" s="1"/>
      <c r="GZ11" s="1"/>
      <c r="HA11" s="1"/>
      <c r="HB11" s="1"/>
      <c r="HC11" s="1"/>
      <c r="HD11" s="1"/>
      <c r="HE11" s="1"/>
      <c r="HF11" s="1"/>
      <c r="HG11" s="1"/>
      <c r="HH11" s="1"/>
      <c r="HI11" s="1"/>
      <c r="HJ11" s="1"/>
      <c r="HK11" s="1"/>
      <c r="HL11" s="1"/>
      <c r="HM11" s="1"/>
      <c r="HN11" s="1"/>
      <c r="HO11" s="1"/>
      <c r="HP11" s="1"/>
      <c r="HQ11" s="1"/>
      <c r="HR11" s="1"/>
      <c r="HS11" s="1"/>
      <c r="HT11" s="1"/>
      <c r="HU11" s="1"/>
      <c r="HV11" s="1"/>
      <c r="HW11" s="1"/>
      <c r="HX11" s="1"/>
      <c r="HY11" s="1"/>
      <c r="HZ11" s="1"/>
      <c r="IA11" s="1"/>
      <c r="IB11" s="1"/>
      <c r="IC11" s="1"/>
      <c r="ID11" s="1"/>
      <c r="IE11" s="1"/>
      <c r="IF11" s="1"/>
      <c r="IG11" s="1"/>
      <c r="IH11" s="1"/>
      <c r="II11" s="1"/>
      <c r="IJ11" s="1"/>
      <c r="IK11" s="1"/>
      <c r="IL11" s="1"/>
      <c r="IM11" s="1"/>
      <c r="IN11" s="1"/>
      <c r="IO11" s="1"/>
      <c r="IP11" s="1"/>
      <c r="IQ11" s="1"/>
      <c r="IR11" s="1"/>
      <c r="IS11" s="1"/>
      <c r="IT11" s="1"/>
      <c r="IU11" s="1"/>
      <c r="IV11" s="1"/>
      <c r="IW11" s="1"/>
      <c r="IX11" s="1"/>
      <c r="IY11" s="1"/>
      <c r="IZ11" s="1"/>
      <c r="JA11" s="1"/>
      <c r="JB11" s="1"/>
      <c r="JC11" s="1"/>
      <c r="JD11" s="1"/>
    </row>
    <row r="12" spans="2:264" s="1044" customFormat="1" ht="13.5" thickBot="1" x14ac:dyDescent="0.25">
      <c r="B12" s="1079" t="s">
        <v>998</v>
      </c>
      <c r="C12" s="1113">
        <v>4</v>
      </c>
      <c r="D12" s="1112"/>
      <c r="E12" s="1114"/>
      <c r="F12" s="1115" t="s">
        <v>999</v>
      </c>
      <c r="G12" s="1116">
        <f ca="1">+G11+G10</f>
        <v>169710.87628701321</v>
      </c>
      <c r="H12" s="1117">
        <f ca="1">+G12/$C$8</f>
        <v>101.41302281208121</v>
      </c>
      <c r="I12" s="1485">
        <v>99.276071591937608</v>
      </c>
      <c r="J12" s="1483">
        <f t="shared" ca="1" si="17"/>
        <v>2.1525340254470171E-2</v>
      </c>
      <c r="K12" s="1491">
        <f>AVERAGE(MODEL!BW185,MODEL!CA185,MODEL!CE185,MODEL!CI185,MODEL!CM185,MODEL!CQ185,MODEL!CU185,MODEL!CY185,MODEL!DC185,MODEL!DG185)</f>
        <v>4.245418556222802E-2</v>
      </c>
      <c r="L12" s="1488">
        <f t="shared" si="25"/>
        <v>4.7288425540641388E-2</v>
      </c>
      <c r="M12" s="1488">
        <f t="shared" si="26"/>
        <v>5.9682363792558014E-2</v>
      </c>
      <c r="N12" s="1488">
        <f t="shared" si="27"/>
        <v>4.6976946776004794E-2</v>
      </c>
      <c r="O12" s="1491">
        <f t="shared" si="28"/>
        <v>4.1516504092889539E-2</v>
      </c>
      <c r="P12" s="1096"/>
      <c r="Q12" s="1046" t="s">
        <v>1000</v>
      </c>
      <c r="R12" s="1046"/>
      <c r="S12" s="1046"/>
      <c r="T12" s="1046"/>
      <c r="U12" s="1046"/>
      <c r="V12" s="1046"/>
      <c r="W12" s="1046"/>
      <c r="X12" s="1046"/>
      <c r="Y12" s="1105"/>
      <c r="Z12" s="1105">
        <f t="shared" si="22"/>
        <v>6.910082433665421E-2</v>
      </c>
      <c r="AA12" s="1105">
        <f t="shared" si="22"/>
        <v>6.2560945328854034E-2</v>
      </c>
      <c r="AB12" s="1105">
        <f t="shared" si="22"/>
        <v>8.5980203413332568E-2</v>
      </c>
      <c r="AC12" s="1105">
        <f t="shared" si="22"/>
        <v>5.026434668604729E-2</v>
      </c>
      <c r="AD12" s="1105">
        <f t="shared" si="22"/>
        <v>1.5476213090330759E-2</v>
      </c>
      <c r="AE12" s="1106">
        <f t="shared" si="22"/>
        <v>1.6842417504890461E-2</v>
      </c>
      <c r="AF12" s="1105">
        <f t="shared" si="22"/>
        <v>2.5091555597604787E-2</v>
      </c>
      <c r="AG12" s="1105">
        <f t="shared" si="22"/>
        <v>4.8913740148800011E-2</v>
      </c>
      <c r="AH12" s="1105">
        <f t="shared" si="22"/>
        <v>8.151016906482722E-2</v>
      </c>
      <c r="AI12" s="1105">
        <f t="shared" si="22"/>
        <v>5.456499311270635E-2</v>
      </c>
      <c r="AJ12" s="1105">
        <f t="shared" si="22"/>
        <v>1.7891221118434331E-2</v>
      </c>
      <c r="AK12" s="1368">
        <f t="shared" si="22"/>
        <v>6.9409062390783482E-2</v>
      </c>
      <c r="AL12" s="1105">
        <f t="shared" si="22"/>
        <v>6.8590954912717939E-2</v>
      </c>
      <c r="AM12" s="1105">
        <f t="shared" si="23"/>
        <v>6.1356928995793814E-2</v>
      </c>
      <c r="AN12" s="1105">
        <f t="shared" si="23"/>
        <v>4.9099207469162298E-2</v>
      </c>
      <c r="AO12" s="1105">
        <f t="shared" si="22"/>
        <v>4.1516504092889539E-2</v>
      </c>
      <c r="AP12" s="1105">
        <f t="shared" si="22"/>
        <v>4.1521576250440617E-2</v>
      </c>
      <c r="AQ12" s="1105">
        <f t="shared" ref="AQ12:CJ12" si="29">+AQ9/AP9-1</f>
        <v>4.1526657937740241E-2</v>
      </c>
      <c r="AR12" s="1105">
        <f>+AR9/AQ9-1</f>
        <v>4.1531749123058681E-2</v>
      </c>
      <c r="AS12" s="1105">
        <f>+AS9/AR9-1</f>
        <v>4.1536849774329365E-2</v>
      </c>
      <c r="AT12" s="1105">
        <f t="shared" ref="AT12:AU12" si="30">+AT9/AS9-1</f>
        <v>4.1541959859146438E-2</v>
      </c>
      <c r="AU12" s="1105">
        <f t="shared" si="30"/>
        <v>4.1547079344768978E-2</v>
      </c>
      <c r="AV12" s="1105">
        <f>+AV9/AU9-1</f>
        <v>3.0000000000000027E-2</v>
      </c>
      <c r="AW12" s="1105">
        <f t="shared" si="29"/>
        <v>3.0000000000000027E-2</v>
      </c>
      <c r="AX12" s="1105">
        <f t="shared" si="29"/>
        <v>3.0000000000000027E-2</v>
      </c>
      <c r="AY12" s="1105">
        <f t="shared" si="29"/>
        <v>3.0000000000000249E-2</v>
      </c>
      <c r="AZ12" s="1105">
        <f t="shared" si="29"/>
        <v>2.9999999999999805E-2</v>
      </c>
      <c r="BA12" s="1105">
        <f t="shared" si="29"/>
        <v>3.0000000000000027E-2</v>
      </c>
      <c r="BB12" s="1105">
        <f t="shared" si="29"/>
        <v>3.0000000000000027E-2</v>
      </c>
      <c r="BC12" s="1105">
        <f t="shared" si="29"/>
        <v>3.0000000000000027E-2</v>
      </c>
      <c r="BD12" s="1105">
        <f t="shared" si="29"/>
        <v>3.0000000000000249E-2</v>
      </c>
      <c r="BE12" s="1105">
        <f t="shared" si="29"/>
        <v>3.0000000000000027E-2</v>
      </c>
      <c r="BF12" s="1105">
        <f t="shared" si="29"/>
        <v>3.0000000000000027E-2</v>
      </c>
      <c r="BG12" s="1105">
        <f t="shared" si="29"/>
        <v>3.0000000000000027E-2</v>
      </c>
      <c r="BH12" s="1105">
        <f t="shared" si="29"/>
        <v>3.0000000000000027E-2</v>
      </c>
      <c r="BI12" s="1105">
        <f t="shared" si="29"/>
        <v>3.0000000000000027E-2</v>
      </c>
      <c r="BJ12" s="1105">
        <f t="shared" si="29"/>
        <v>3.0000000000000027E-2</v>
      </c>
      <c r="BK12" s="1105">
        <f t="shared" si="29"/>
        <v>3.0000000000000027E-2</v>
      </c>
      <c r="BL12" s="1105">
        <f t="shared" si="29"/>
        <v>3.0000000000000027E-2</v>
      </c>
      <c r="BM12" s="1105">
        <f t="shared" si="29"/>
        <v>3.0000000000000027E-2</v>
      </c>
      <c r="BN12" s="1105">
        <f t="shared" si="29"/>
        <v>3.0000000000000027E-2</v>
      </c>
      <c r="BO12" s="1105">
        <f t="shared" si="29"/>
        <v>3.0000000000000249E-2</v>
      </c>
      <c r="BP12" s="1105">
        <f t="shared" si="29"/>
        <v>3.0000000000000027E-2</v>
      </c>
      <c r="BQ12" s="1105">
        <f t="shared" si="29"/>
        <v>3.0000000000000027E-2</v>
      </c>
      <c r="BR12" s="1105">
        <f t="shared" si="29"/>
        <v>3.0000000000000027E-2</v>
      </c>
      <c r="BS12" s="1105">
        <f t="shared" si="29"/>
        <v>3.0000000000000027E-2</v>
      </c>
      <c r="BT12" s="1105">
        <f t="shared" si="29"/>
        <v>3.0000000000000027E-2</v>
      </c>
      <c r="BU12" s="1105">
        <f t="shared" si="29"/>
        <v>3.0000000000000027E-2</v>
      </c>
      <c r="BV12" s="1105">
        <f t="shared" si="29"/>
        <v>3.0000000000000027E-2</v>
      </c>
      <c r="BW12" s="1105">
        <f t="shared" si="29"/>
        <v>3.0000000000000027E-2</v>
      </c>
      <c r="BX12" s="1105">
        <f t="shared" si="29"/>
        <v>2.9999999999999805E-2</v>
      </c>
      <c r="BY12" s="1105">
        <f t="shared" si="29"/>
        <v>3.0000000000000249E-2</v>
      </c>
      <c r="BZ12" s="1105">
        <f t="shared" si="29"/>
        <v>3.0000000000000027E-2</v>
      </c>
      <c r="CA12" s="1105">
        <f t="shared" si="29"/>
        <v>3.0000000000000027E-2</v>
      </c>
      <c r="CB12" s="1105">
        <f t="shared" si="29"/>
        <v>3.0000000000000027E-2</v>
      </c>
      <c r="CC12" s="1105">
        <f t="shared" si="29"/>
        <v>2.9999999999999805E-2</v>
      </c>
      <c r="CD12" s="1105">
        <f t="shared" si="29"/>
        <v>3.0000000000000249E-2</v>
      </c>
      <c r="CE12" s="1105">
        <f t="shared" si="29"/>
        <v>3.0000000000000027E-2</v>
      </c>
      <c r="CF12" s="1105">
        <f t="shared" si="29"/>
        <v>3.0000000000000027E-2</v>
      </c>
      <c r="CG12" s="1105">
        <f t="shared" si="29"/>
        <v>2.9999999999999805E-2</v>
      </c>
      <c r="CH12" s="1105">
        <f t="shared" si="29"/>
        <v>3.0000000000000027E-2</v>
      </c>
      <c r="CI12" s="1105">
        <f t="shared" si="29"/>
        <v>3.0000000000000249E-2</v>
      </c>
      <c r="CJ12" s="1105">
        <f t="shared" si="29"/>
        <v>3.0000000000000027E-2</v>
      </c>
      <c r="CK12" s="1105"/>
      <c r="CL12" s="1105"/>
      <c r="CM12" s="1105"/>
      <c r="CN12" s="1105"/>
      <c r="CO12" s="1105"/>
      <c r="CP12" s="1105"/>
      <c r="CQ12" s="1105"/>
      <c r="CR12" s="1105"/>
      <c r="CS12" s="1105"/>
      <c r="CT12" s="1105"/>
      <c r="CU12" s="1105"/>
      <c r="CV12" s="1105"/>
      <c r="CW12" s="1105"/>
      <c r="CX12" s="1105"/>
      <c r="CY12" s="1105"/>
      <c r="CZ12" s="1105"/>
      <c r="DA12" s="1105"/>
      <c r="DB12" s="1105"/>
      <c r="DC12" s="1105"/>
      <c r="DD12" s="1105"/>
      <c r="DE12" s="1105"/>
      <c r="DF12" s="1105"/>
      <c r="DG12" s="1105"/>
      <c r="DH12" s="1105"/>
      <c r="DI12" s="1105"/>
      <c r="DJ12" s="1105"/>
      <c r="DK12" s="1105"/>
      <c r="DL12" s="1105"/>
      <c r="DM12" s="1105"/>
      <c r="DN12" s="1105"/>
      <c r="DO12" s="1105"/>
      <c r="DP12" s="1105"/>
      <c r="DQ12" s="1105"/>
      <c r="DR12" s="1105"/>
      <c r="DS12" s="1105"/>
      <c r="DT12" s="1105"/>
      <c r="DU12" s="1105"/>
      <c r="DV12" s="1105"/>
      <c r="DW12" s="1105"/>
      <c r="DX12" s="1105"/>
      <c r="DY12" s="1105"/>
      <c r="DZ12" s="1105"/>
      <c r="EA12" s="1105"/>
      <c r="EB12" s="1105"/>
      <c r="EC12" s="1105"/>
      <c r="ED12" s="1105"/>
      <c r="EE12" s="1105"/>
      <c r="EF12" s="1105"/>
      <c r="EG12" s="1105"/>
      <c r="EH12" s="1105"/>
      <c r="EI12" s="1105"/>
      <c r="EJ12" s="1105"/>
      <c r="EK12" s="1105"/>
      <c r="EL12" s="1105"/>
      <c r="EM12" s="1105"/>
      <c r="EN12" s="1105"/>
      <c r="EO12" s="1105"/>
      <c r="EP12" s="1105"/>
      <c r="EQ12" s="1105"/>
      <c r="ER12" s="1105"/>
      <c r="ES12" s="1"/>
      <c r="ET12" s="1"/>
      <c r="EU12" s="1"/>
      <c r="EV12" s="1"/>
      <c r="EW12" s="1"/>
      <c r="EX12" s="1"/>
      <c r="EY12" s="1"/>
      <c r="EZ12" s="1"/>
      <c r="FA12" s="1"/>
      <c r="FB12" s="1"/>
      <c r="FC12" s="1"/>
      <c r="FD12" s="1"/>
      <c r="FE12" s="1"/>
      <c r="FF12" s="1"/>
      <c r="FG12" s="1"/>
      <c r="FH12" s="1"/>
      <c r="FI12" s="1"/>
      <c r="FJ12" s="1"/>
      <c r="FK12" s="1"/>
      <c r="FL12" s="1"/>
      <c r="FM12" s="1"/>
      <c r="FN12" s="1"/>
      <c r="FO12" s="1"/>
      <c r="FP12" s="1"/>
      <c r="FQ12" s="1"/>
      <c r="FR12" s="1"/>
      <c r="FS12" s="1"/>
      <c r="FT12" s="1"/>
      <c r="FU12" s="1"/>
      <c r="FV12" s="1"/>
      <c r="FW12" s="1"/>
      <c r="FX12" s="1"/>
      <c r="FY12" s="1"/>
      <c r="FZ12" s="1"/>
      <c r="GA12" s="1"/>
      <c r="GB12" s="1"/>
      <c r="GC12" s="1"/>
      <c r="GD12" s="1"/>
      <c r="GE12" s="1"/>
      <c r="GF12" s="1"/>
      <c r="GG12" s="1"/>
      <c r="GH12" s="1"/>
      <c r="GI12" s="1"/>
      <c r="GJ12" s="1"/>
      <c r="GK12" s="1"/>
      <c r="GL12" s="1"/>
      <c r="GM12" s="1"/>
      <c r="GN12" s="1"/>
      <c r="GO12" s="1"/>
      <c r="GP12" s="1"/>
      <c r="GQ12" s="1"/>
      <c r="GR12" s="1"/>
      <c r="GS12" s="1"/>
      <c r="GT12" s="1"/>
      <c r="GU12" s="1"/>
      <c r="GV12" s="1"/>
      <c r="GW12" s="1"/>
      <c r="GX12" s="1"/>
      <c r="GY12" s="1"/>
      <c r="GZ12" s="1"/>
      <c r="HA12" s="1"/>
      <c r="HB12" s="1"/>
      <c r="HC12" s="1"/>
      <c r="HD12" s="1"/>
      <c r="HE12" s="1"/>
      <c r="HF12" s="1"/>
      <c r="HG12" s="1"/>
      <c r="HH12" s="1"/>
      <c r="HI12" s="1"/>
      <c r="HJ12" s="1"/>
      <c r="HK12" s="1"/>
      <c r="HL12" s="1"/>
      <c r="HM12" s="1"/>
      <c r="HN12" s="1"/>
      <c r="HO12" s="1"/>
      <c r="HP12" s="1"/>
      <c r="HQ12" s="1"/>
      <c r="HR12" s="1"/>
      <c r="HS12" s="1"/>
      <c r="HT12" s="1"/>
      <c r="HU12" s="1"/>
      <c r="HV12" s="1"/>
      <c r="HW12" s="1"/>
      <c r="HX12" s="1"/>
      <c r="HY12" s="1"/>
      <c r="HZ12" s="1"/>
      <c r="IA12" s="1"/>
      <c r="IB12" s="1"/>
      <c r="IC12" s="1"/>
      <c r="ID12" s="1"/>
      <c r="IE12" s="1"/>
      <c r="IF12" s="1"/>
      <c r="IG12" s="1"/>
      <c r="IH12" s="1"/>
      <c r="II12" s="1"/>
      <c r="IJ12" s="1"/>
      <c r="IK12" s="1"/>
      <c r="IL12" s="1"/>
      <c r="IM12" s="1"/>
      <c r="IN12" s="1"/>
      <c r="IO12" s="1"/>
      <c r="IP12" s="1"/>
      <c r="IQ12" s="1"/>
      <c r="IR12" s="1"/>
      <c r="IS12" s="1"/>
      <c r="IT12" s="1"/>
      <c r="IU12" s="1"/>
      <c r="IV12" s="1"/>
      <c r="IW12" s="1"/>
      <c r="IX12" s="1"/>
      <c r="IY12" s="1"/>
      <c r="IZ12" s="1"/>
      <c r="JA12" s="1"/>
      <c r="JB12" s="1"/>
      <c r="JC12" s="1"/>
      <c r="JD12" s="1"/>
    </row>
    <row r="13" spans="2:264" s="1044" customFormat="1" ht="13.5" thickBot="1" x14ac:dyDescent="0.25">
      <c r="B13" s="1079" t="s">
        <v>1001</v>
      </c>
      <c r="C13" s="1118">
        <v>0.8</v>
      </c>
      <c r="D13" s="1119">
        <v>0.8</v>
      </c>
      <c r="E13" s="1120"/>
      <c r="F13" s="1121" t="s">
        <v>1002</v>
      </c>
      <c r="G13" s="1122"/>
      <c r="H13" s="1123">
        <f ca="1">ROUND(H12*(1+$C$15/100)-$C$6,1)</f>
        <v>104.1</v>
      </c>
      <c r="I13" s="1485">
        <v>102.2</v>
      </c>
      <c r="J13" s="1483">
        <f t="shared" ca="1" si="17"/>
        <v>1.8590998043052753E-2</v>
      </c>
      <c r="K13" s="1491"/>
      <c r="L13" s="1491"/>
      <c r="M13" s="1491"/>
      <c r="N13" s="1491"/>
      <c r="O13" s="1491"/>
      <c r="P13" s="1096"/>
      <c r="Q13" s="1044" t="s">
        <v>351</v>
      </c>
      <c r="X13" s="1086"/>
      <c r="Y13" s="1086">
        <f t="shared" ref="Y13:AL13" si="31">Y15-Y9</f>
        <v>185036</v>
      </c>
      <c r="Z13" s="1086">
        <f t="shared" si="31"/>
        <v>183324</v>
      </c>
      <c r="AA13" s="1086">
        <f t="shared" si="31"/>
        <v>227274</v>
      </c>
      <c r="AB13" s="1086">
        <f t="shared" si="31"/>
        <v>231348</v>
      </c>
      <c r="AC13" s="1086">
        <f t="shared" si="31"/>
        <v>239316</v>
      </c>
      <c r="AD13" s="1086">
        <f t="shared" si="31"/>
        <v>226757</v>
      </c>
      <c r="AE13" s="1087">
        <f t="shared" si="31"/>
        <v>215489</v>
      </c>
      <c r="AF13" s="1086">
        <f t="shared" si="31"/>
        <v>235363</v>
      </c>
      <c r="AG13" s="1086">
        <f t="shared" si="31"/>
        <v>273696</v>
      </c>
      <c r="AH13" s="1086">
        <f t="shared" si="31"/>
        <v>330297</v>
      </c>
      <c r="AI13" s="1086">
        <f t="shared" si="31"/>
        <v>319172</v>
      </c>
      <c r="AJ13" s="1086">
        <f t="shared" si="31"/>
        <v>304128</v>
      </c>
      <c r="AK13" s="1366">
        <f t="shared" si="31"/>
        <v>337916</v>
      </c>
      <c r="AL13" s="1086">
        <f t="shared" ca="1" si="31"/>
        <v>372333.03837921936</v>
      </c>
      <c r="AM13" s="1086">
        <f t="shared" ref="AM13" ca="1" si="32">AM15-AM9</f>
        <v>395241.27505727159</v>
      </c>
      <c r="AN13" s="1086">
        <f t="shared" ref="AN13" ca="1" si="33">AN15-AN9</f>
        <v>414365.7225460764</v>
      </c>
      <c r="AO13" s="1086">
        <f t="shared" ref="AO13:CE13" ca="1" si="34">+AN13*(1+AO14)</f>
        <v>428868.52283518907</v>
      </c>
      <c r="AP13" s="1086">
        <f t="shared" ca="1" si="34"/>
        <v>443878.92113442067</v>
      </c>
      <c r="AQ13" s="1086">
        <f t="shared" ca="1" si="34"/>
        <v>459414.68337412534</v>
      </c>
      <c r="AR13" s="1086">
        <f t="shared" ca="1" si="34"/>
        <v>475494.19729221967</v>
      </c>
      <c r="AS13" s="1086">
        <f t="shared" ca="1" si="34"/>
        <v>492136.49419744732</v>
      </c>
      <c r="AT13" s="1086">
        <f t="shared" ca="1" si="34"/>
        <v>509361.27149435796</v>
      </c>
      <c r="AU13" s="1086">
        <f t="shared" ca="1" si="34"/>
        <v>527188.91599666048</v>
      </c>
      <c r="AV13" s="1086">
        <f t="shared" ca="1" si="34"/>
        <v>543004.58347656031</v>
      </c>
      <c r="AW13" s="1086">
        <f t="shared" ca="1" si="34"/>
        <v>559294.72098085715</v>
      </c>
      <c r="AX13" s="1086">
        <f t="shared" ca="1" si="34"/>
        <v>576073.56261028291</v>
      </c>
      <c r="AY13" s="1086">
        <f t="shared" ca="1" si="34"/>
        <v>593355.76948859147</v>
      </c>
      <c r="AZ13" s="1086">
        <f t="shared" ca="1" si="34"/>
        <v>611156.44257324922</v>
      </c>
      <c r="BA13" s="1086">
        <f t="shared" ca="1" si="34"/>
        <v>629491.13585044676</v>
      </c>
      <c r="BB13" s="1086">
        <f t="shared" ca="1" si="34"/>
        <v>648375.8699259602</v>
      </c>
      <c r="BC13" s="1086">
        <f t="shared" ca="1" si="34"/>
        <v>667827.14602373901</v>
      </c>
      <c r="BD13" s="1086">
        <f t="shared" ca="1" si="34"/>
        <v>687861.96040445124</v>
      </c>
      <c r="BE13" s="1086">
        <f t="shared" ca="1" si="34"/>
        <v>708497.81921658479</v>
      </c>
      <c r="BF13" s="1086">
        <f t="shared" ca="1" si="34"/>
        <v>729752.75379308232</v>
      </c>
      <c r="BG13" s="1086">
        <f t="shared" ca="1" si="34"/>
        <v>751645.33640687482</v>
      </c>
      <c r="BH13" s="1086">
        <f t="shared" ca="1" si="34"/>
        <v>774194.6964990811</v>
      </c>
      <c r="BI13" s="1086">
        <f t="shared" ca="1" si="34"/>
        <v>797420.53739405354</v>
      </c>
      <c r="BJ13" s="1086">
        <f t="shared" ca="1" si="34"/>
        <v>821343.15351587511</v>
      </c>
      <c r="BK13" s="1086">
        <f t="shared" ca="1" si="34"/>
        <v>845983.44812135142</v>
      </c>
      <c r="BL13" s="1086">
        <f t="shared" ca="1" si="34"/>
        <v>871362.95156499196</v>
      </c>
      <c r="BM13" s="1086">
        <f t="shared" ca="1" si="34"/>
        <v>897503.8401119418</v>
      </c>
      <c r="BN13" s="1086">
        <f t="shared" ca="1" si="34"/>
        <v>924428.95531530003</v>
      </c>
      <c r="BO13" s="1086">
        <f t="shared" ca="1" si="34"/>
        <v>952161.82397475909</v>
      </c>
      <c r="BP13" s="1086">
        <f t="shared" ca="1" si="34"/>
        <v>980726.67869400186</v>
      </c>
      <c r="BQ13" s="1086">
        <f t="shared" ca="1" si="34"/>
        <v>1010148.479054822</v>
      </c>
      <c r="BR13" s="1086">
        <f t="shared" ca="1" si="34"/>
        <v>1040452.9334264667</v>
      </c>
      <c r="BS13" s="1086">
        <f t="shared" ca="1" si="34"/>
        <v>1071666.5214292607</v>
      </c>
      <c r="BT13" s="1086">
        <f t="shared" ca="1" si="34"/>
        <v>1103816.5170721386</v>
      </c>
      <c r="BU13" s="1086">
        <f t="shared" ca="1" si="34"/>
        <v>1136931.0125843028</v>
      </c>
      <c r="BV13" s="1086">
        <f t="shared" ca="1" si="34"/>
        <v>1171038.9429618318</v>
      </c>
      <c r="BW13" s="1086">
        <f t="shared" ca="1" si="34"/>
        <v>1206170.1112506867</v>
      </c>
      <c r="BX13" s="1086">
        <f t="shared" ca="1" si="34"/>
        <v>1242355.2145882074</v>
      </c>
      <c r="BY13" s="1086">
        <f t="shared" ca="1" si="34"/>
        <v>1279625.8710258538</v>
      </c>
      <c r="BZ13" s="1086">
        <f t="shared" ca="1" si="34"/>
        <v>1318014.6471566295</v>
      </c>
      <c r="CA13" s="1086">
        <f t="shared" ca="1" si="34"/>
        <v>1357555.0865713283</v>
      </c>
      <c r="CB13" s="1086">
        <f t="shared" ca="1" si="34"/>
        <v>1398281.7391684682</v>
      </c>
      <c r="CC13" s="1086">
        <f t="shared" ca="1" si="34"/>
        <v>1440230.1913435222</v>
      </c>
      <c r="CD13" s="1086">
        <f t="shared" ca="1" si="34"/>
        <v>1483437.0970838279</v>
      </c>
      <c r="CE13" s="1086">
        <f t="shared" ca="1" si="34"/>
        <v>1527940.2099963429</v>
      </c>
      <c r="CF13" s="1086">
        <f ca="1">+CE13*(1+CF14)</f>
        <v>1573778.4162962332</v>
      </c>
      <c r="CG13" s="1086">
        <f ca="1">+CF13*(1+CG14)</f>
        <v>1620991.7687851202</v>
      </c>
      <c r="CH13" s="1086">
        <f ca="1">+CG13*(1+CH14)</f>
        <v>1669621.5218486739</v>
      </c>
      <c r="CI13" s="1086">
        <f ca="1">+CH13*(1+CI14)</f>
        <v>1719710.1675041341</v>
      </c>
      <c r="CJ13" s="1086">
        <f ca="1">+CI13*(1+CJ14)</f>
        <v>1771301.4725292581</v>
      </c>
      <c r="CK13" s="1086"/>
      <c r="CL13" s="1086"/>
      <c r="CM13" s="1086"/>
      <c r="CN13" s="1086"/>
      <c r="CO13" s="1086"/>
      <c r="CP13" s="1086"/>
      <c r="CQ13" s="1086"/>
      <c r="CR13" s="1086"/>
      <c r="CS13" s="1086"/>
      <c r="CT13" s="1086"/>
      <c r="CU13" s="1086"/>
      <c r="CV13" s="1086"/>
      <c r="CW13" s="1086"/>
      <c r="CX13" s="1086"/>
      <c r="CY13" s="1086"/>
      <c r="CZ13" s="1086"/>
      <c r="DA13" s="1086"/>
      <c r="DB13" s="1086"/>
      <c r="DC13" s="1086"/>
      <c r="DD13" s="1086"/>
      <c r="DE13" s="1086"/>
      <c r="DF13" s="1086"/>
      <c r="DG13" s="1086"/>
      <c r="DH13" s="1086"/>
      <c r="DI13" s="1086"/>
      <c r="DJ13" s="1086"/>
      <c r="DK13" s="1086"/>
      <c r="DL13" s="1086"/>
      <c r="DM13" s="1086"/>
      <c r="DN13" s="1086"/>
      <c r="DO13" s="1086"/>
      <c r="DP13" s="1086"/>
      <c r="DQ13" s="1086"/>
      <c r="DR13" s="1086"/>
      <c r="DS13" s="1086"/>
      <c r="DT13" s="1086"/>
      <c r="DU13" s="1086"/>
      <c r="DV13" s="1086"/>
      <c r="DW13" s="1086"/>
      <c r="DX13" s="1086"/>
      <c r="DY13" s="1086"/>
      <c r="DZ13" s="1086"/>
      <c r="EA13" s="1086"/>
      <c r="EB13" s="1086"/>
      <c r="EC13" s="1086"/>
      <c r="ED13" s="1086"/>
      <c r="EE13" s="1086"/>
      <c r="EF13" s="1086"/>
      <c r="EG13" s="1086"/>
      <c r="EH13" s="1086"/>
      <c r="EI13" s="1086"/>
      <c r="EJ13" s="1086"/>
      <c r="EK13" s="1086"/>
      <c r="EL13" s="1086"/>
      <c r="EM13" s="1086"/>
      <c r="EN13" s="1086"/>
      <c r="EO13" s="1086"/>
      <c r="EP13" s="1086"/>
      <c r="EQ13" s="1086"/>
      <c r="ER13" s="1086"/>
      <c r="ES13" s="1"/>
      <c r="ET13" s="1"/>
      <c r="EU13" s="1"/>
      <c r="EV13" s="1"/>
      <c r="EW13" s="1"/>
      <c r="EX13" s="1"/>
      <c r="EY13" s="1"/>
      <c r="EZ13" s="1"/>
      <c r="FA13" s="1"/>
      <c r="FB13" s="1"/>
      <c r="FC13" s="1"/>
      <c r="FD13" s="1"/>
      <c r="FE13" s="1"/>
      <c r="FF13" s="1"/>
      <c r="FG13" s="1"/>
      <c r="FH13" s="1"/>
      <c r="FI13" s="1"/>
      <c r="FJ13" s="1"/>
      <c r="FK13" s="1"/>
      <c r="FL13" s="1"/>
      <c r="FM13" s="1"/>
      <c r="FN13" s="1"/>
      <c r="FO13" s="1"/>
      <c r="FP13" s="1"/>
      <c r="FQ13" s="1"/>
      <c r="FR13" s="1"/>
      <c r="FS13" s="1"/>
      <c r="FT13" s="1"/>
      <c r="FU13" s="1"/>
      <c r="FV13" s="1"/>
      <c r="FW13" s="1"/>
      <c r="FX13" s="1"/>
      <c r="FY13" s="1"/>
      <c r="FZ13" s="1"/>
      <c r="GA13" s="1"/>
      <c r="GB13" s="1"/>
      <c r="GC13" s="1"/>
      <c r="GD13" s="1"/>
      <c r="GE13" s="1"/>
      <c r="GF13" s="1"/>
      <c r="GG13" s="1"/>
      <c r="GH13" s="1"/>
      <c r="GI13" s="1"/>
      <c r="GJ13" s="1"/>
      <c r="GK13" s="1"/>
      <c r="GL13" s="1"/>
      <c r="GM13" s="1"/>
      <c r="GN13" s="1"/>
      <c r="GO13" s="1"/>
      <c r="GP13" s="1"/>
      <c r="GQ13" s="1"/>
      <c r="GR13" s="1"/>
      <c r="GS13" s="1"/>
      <c r="GT13" s="1"/>
      <c r="GU13" s="1"/>
      <c r="GV13" s="1"/>
      <c r="GW13" s="1"/>
      <c r="GX13" s="1"/>
      <c r="GY13" s="1"/>
      <c r="GZ13" s="1"/>
      <c r="HA13" s="1"/>
      <c r="HB13" s="1"/>
      <c r="HC13" s="1"/>
      <c r="HD13" s="1"/>
      <c r="HE13" s="1"/>
      <c r="HF13" s="1"/>
      <c r="HG13" s="1"/>
      <c r="HH13" s="1"/>
      <c r="HI13" s="1"/>
      <c r="HJ13" s="1"/>
      <c r="HK13" s="1"/>
      <c r="HL13" s="1"/>
      <c r="HM13" s="1"/>
      <c r="HN13" s="1"/>
      <c r="HO13" s="1"/>
      <c r="HP13" s="1"/>
      <c r="HQ13" s="1"/>
      <c r="HR13" s="1"/>
      <c r="HS13" s="1"/>
      <c r="HT13" s="1"/>
      <c r="HU13" s="1"/>
      <c r="HV13" s="1"/>
      <c r="HW13" s="1"/>
      <c r="HX13" s="1"/>
      <c r="HY13" s="1"/>
      <c r="HZ13" s="1"/>
      <c r="IA13" s="1"/>
      <c r="IB13" s="1"/>
      <c r="IC13" s="1"/>
      <c r="ID13" s="1"/>
      <c r="IE13" s="1"/>
      <c r="IF13" s="1"/>
      <c r="IG13" s="1"/>
      <c r="IH13" s="1"/>
      <c r="II13" s="1"/>
      <c r="IJ13" s="1"/>
      <c r="IK13" s="1"/>
      <c r="IL13" s="1"/>
      <c r="IM13" s="1"/>
      <c r="IN13" s="1"/>
      <c r="IO13" s="1"/>
      <c r="IP13" s="1"/>
      <c r="IQ13" s="1"/>
      <c r="IR13" s="1"/>
      <c r="IS13" s="1"/>
      <c r="IT13" s="1"/>
      <c r="IU13" s="1"/>
      <c r="IV13" s="1"/>
      <c r="IW13" s="1"/>
      <c r="IX13" s="1"/>
      <c r="IY13" s="1"/>
      <c r="IZ13" s="1"/>
      <c r="JA13" s="1"/>
      <c r="JB13" s="1"/>
      <c r="JC13" s="1"/>
      <c r="JD13" s="1"/>
    </row>
    <row r="14" spans="2:264" s="1044" customFormat="1" ht="13.5" thickBot="1" x14ac:dyDescent="0.25">
      <c r="B14" s="1079" t="s">
        <v>1003</v>
      </c>
      <c r="C14" s="1118">
        <v>5</v>
      </c>
      <c r="D14" s="1069"/>
      <c r="E14" s="1124"/>
      <c r="F14" s="1125" t="s">
        <v>1004</v>
      </c>
      <c r="G14" s="1126"/>
      <c r="H14" s="1127">
        <f ca="1">+H13/H$2-1</f>
        <v>-0.38605803255484783</v>
      </c>
      <c r="I14" s="1482"/>
      <c r="J14" s="1482"/>
      <c r="K14" s="1234"/>
      <c r="L14" s="1234"/>
      <c r="M14" s="1234"/>
      <c r="N14" s="1234"/>
      <c r="O14" s="1234"/>
      <c r="P14" s="1128"/>
      <c r="Q14" s="1046" t="s">
        <v>1005</v>
      </c>
      <c r="X14" s="1086"/>
      <c r="Y14" s="1129"/>
      <c r="Z14" s="1129">
        <f t="shared" ref="Z14:AL14" si="35">Z13/Y13-1</f>
        <v>-9.2522536155126289E-3</v>
      </c>
      <c r="AA14" s="1129">
        <f t="shared" si="35"/>
        <v>0.23973947764613479</v>
      </c>
      <c r="AB14" s="1129">
        <f t="shared" si="35"/>
        <v>1.7925499617202245E-2</v>
      </c>
      <c r="AC14" s="1129">
        <f t="shared" si="35"/>
        <v>3.4441620415996743E-2</v>
      </c>
      <c r="AD14" s="1129">
        <f t="shared" si="35"/>
        <v>-5.2478731050159655E-2</v>
      </c>
      <c r="AE14" s="1130">
        <f t="shared" si="35"/>
        <v>-4.9691960997896412E-2</v>
      </c>
      <c r="AF14" s="1129">
        <f t="shared" si="35"/>
        <v>9.2227445484456272E-2</v>
      </c>
      <c r="AG14" s="1129">
        <f t="shared" si="35"/>
        <v>0.16286757051873058</v>
      </c>
      <c r="AH14" s="1129">
        <f t="shared" si="35"/>
        <v>0.20680243774114349</v>
      </c>
      <c r="AI14" s="1129">
        <f t="shared" si="35"/>
        <v>-3.3681807585294488E-2</v>
      </c>
      <c r="AJ14" s="1129">
        <f t="shared" si="35"/>
        <v>-4.7134460416327295E-2</v>
      </c>
      <c r="AK14" s="1369">
        <f t="shared" si="35"/>
        <v>0.11109795875420869</v>
      </c>
      <c r="AL14" s="1129">
        <f t="shared" ca="1" si="35"/>
        <v>0.10185086938534837</v>
      </c>
      <c r="AM14" s="1129">
        <f t="shared" ref="AM14:AN14" ca="1" si="36">AM13/AL13-1</f>
        <v>6.1526199173118412E-2</v>
      </c>
      <c r="AN14" s="1129">
        <f t="shared" ca="1" si="36"/>
        <v>4.8386767009679366E-2</v>
      </c>
      <c r="AO14" s="1131">
        <v>3.5000000000000003E-2</v>
      </c>
      <c r="AP14" s="1108">
        <f t="shared" ref="AP14:AQ14" si="37">AO14</f>
        <v>3.5000000000000003E-2</v>
      </c>
      <c r="AQ14" s="1108">
        <f t="shared" si="37"/>
        <v>3.5000000000000003E-2</v>
      </c>
      <c r="AR14" s="1108">
        <f>AQ14</f>
        <v>3.5000000000000003E-2</v>
      </c>
      <c r="AS14" s="1108">
        <f>AR14</f>
        <v>3.5000000000000003E-2</v>
      </c>
      <c r="AT14" s="1108">
        <f t="shared" ref="AT14:AU14" si="38">AS14</f>
        <v>3.5000000000000003E-2</v>
      </c>
      <c r="AU14" s="1108">
        <f t="shared" si="38"/>
        <v>3.5000000000000003E-2</v>
      </c>
      <c r="AV14" s="1109">
        <v>0.03</v>
      </c>
      <c r="AW14" s="1109">
        <v>0.03</v>
      </c>
      <c r="AX14" s="1109">
        <v>0.03</v>
      </c>
      <c r="AY14" s="1109">
        <v>0.03</v>
      </c>
      <c r="AZ14" s="1109">
        <v>0.03</v>
      </c>
      <c r="BA14" s="1110">
        <v>0.03</v>
      </c>
      <c r="BB14" s="1110">
        <v>0.03</v>
      </c>
      <c r="BC14" s="1110">
        <v>0.03</v>
      </c>
      <c r="BD14" s="1110">
        <v>0.03</v>
      </c>
      <c r="BE14" s="1110">
        <v>0.03</v>
      </c>
      <c r="BF14" s="1110">
        <v>0.03</v>
      </c>
      <c r="BG14" s="1110">
        <v>0.03</v>
      </c>
      <c r="BH14" s="1110">
        <v>0.03</v>
      </c>
      <c r="BI14" s="1110">
        <v>0.03</v>
      </c>
      <c r="BJ14" s="1110">
        <v>0.03</v>
      </c>
      <c r="BK14" s="1110">
        <v>0.03</v>
      </c>
      <c r="BL14" s="1110">
        <v>0.03</v>
      </c>
      <c r="BM14" s="1110">
        <v>0.03</v>
      </c>
      <c r="BN14" s="1110">
        <v>0.03</v>
      </c>
      <c r="BO14" s="1110">
        <v>0.03</v>
      </c>
      <c r="BP14" s="1110">
        <v>0.03</v>
      </c>
      <c r="BQ14" s="1110">
        <v>0.03</v>
      </c>
      <c r="BR14" s="1110">
        <v>0.03</v>
      </c>
      <c r="BS14" s="1110">
        <v>0.03</v>
      </c>
      <c r="BT14" s="1110">
        <v>0.03</v>
      </c>
      <c r="BU14" s="1110">
        <v>0.03</v>
      </c>
      <c r="BV14" s="1110">
        <v>0.03</v>
      </c>
      <c r="BW14" s="1110">
        <v>0.03</v>
      </c>
      <c r="BX14" s="1110">
        <v>0.03</v>
      </c>
      <c r="BY14" s="1110">
        <v>0.03</v>
      </c>
      <c r="BZ14" s="1110">
        <v>0.03</v>
      </c>
      <c r="CA14" s="1110">
        <v>0.03</v>
      </c>
      <c r="CB14" s="1110">
        <v>0.03</v>
      </c>
      <c r="CC14" s="1110">
        <v>0.03</v>
      </c>
      <c r="CD14" s="1110">
        <v>0.03</v>
      </c>
      <c r="CE14" s="1110">
        <v>0.03</v>
      </c>
      <c r="CF14" s="1110">
        <v>0.03</v>
      </c>
      <c r="CG14" s="1110">
        <v>0.03</v>
      </c>
      <c r="CH14" s="1110">
        <v>0.03</v>
      </c>
      <c r="CI14" s="1110">
        <v>0.03</v>
      </c>
      <c r="CJ14" s="1110">
        <v>0.03</v>
      </c>
      <c r="CK14" s="1111"/>
      <c r="CL14" s="1111"/>
      <c r="CM14" s="1111"/>
      <c r="CN14" s="1111"/>
      <c r="CO14" s="1111"/>
      <c r="CP14" s="1111"/>
      <c r="CQ14" s="1111"/>
      <c r="CR14" s="1111"/>
      <c r="CS14" s="1111"/>
      <c r="CT14" s="1111"/>
      <c r="CU14" s="1111"/>
      <c r="CV14" s="1111"/>
      <c r="CW14" s="1111"/>
      <c r="CX14" s="1111"/>
      <c r="CY14" s="1111"/>
      <c r="CZ14" s="1111"/>
      <c r="DA14" s="1111"/>
      <c r="DB14" s="1111"/>
      <c r="DC14" s="1111"/>
      <c r="DD14" s="1111"/>
      <c r="DE14" s="1111"/>
      <c r="DF14" s="1111"/>
      <c r="DG14" s="1111"/>
      <c r="DH14" s="1111"/>
      <c r="DI14" s="1111"/>
      <c r="DJ14" s="1111"/>
      <c r="DK14" s="1111"/>
      <c r="DL14" s="1111"/>
      <c r="DM14" s="1111"/>
      <c r="DN14" s="1111"/>
      <c r="DO14" s="1111"/>
      <c r="DP14" s="1111"/>
      <c r="DQ14" s="1111"/>
      <c r="DR14" s="1111"/>
      <c r="DS14" s="1111"/>
      <c r="DT14" s="1111"/>
      <c r="DU14" s="1111"/>
      <c r="DV14" s="1111"/>
      <c r="DW14" s="1111"/>
      <c r="DX14" s="1111"/>
      <c r="DY14" s="1111"/>
      <c r="DZ14" s="1111"/>
      <c r="EA14" s="1111"/>
      <c r="EB14" s="1111"/>
      <c r="EC14" s="1111"/>
      <c r="ED14" s="1111"/>
      <c r="EE14" s="1111"/>
      <c r="EF14" s="1111"/>
      <c r="EG14" s="1111"/>
      <c r="EH14" s="1111"/>
      <c r="EI14" s="1111"/>
      <c r="EJ14" s="1111"/>
      <c r="EK14" s="1111"/>
      <c r="EL14" s="1111"/>
      <c r="EM14" s="1111"/>
      <c r="EN14" s="1111"/>
      <c r="EO14" s="1111"/>
      <c r="EP14" s="1111"/>
      <c r="EQ14" s="1111"/>
      <c r="ER14" s="1111"/>
      <c r="ES14" s="1"/>
      <c r="ET14" s="1"/>
      <c r="EU14" s="1"/>
      <c r="EV14" s="1"/>
      <c r="EW14" s="1"/>
      <c r="EX14" s="1"/>
      <c r="EY14" s="1"/>
      <c r="EZ14" s="1"/>
      <c r="FA14" s="1"/>
      <c r="FB14" s="1"/>
      <c r="FC14" s="1"/>
      <c r="FD14" s="1"/>
      <c r="FE14" s="1"/>
      <c r="FF14" s="1"/>
      <c r="FG14" s="1"/>
      <c r="FH14" s="1"/>
      <c r="FI14" s="1"/>
      <c r="FJ14" s="1"/>
      <c r="FK14" s="1"/>
      <c r="FL14" s="1"/>
      <c r="FM14" s="1"/>
      <c r="FN14" s="1"/>
      <c r="FO14" s="1"/>
      <c r="FP14" s="1"/>
      <c r="FQ14" s="1"/>
      <c r="FR14" s="1"/>
      <c r="FS14" s="1"/>
      <c r="FT14" s="1"/>
      <c r="FU14" s="1"/>
      <c r="FV14" s="1"/>
      <c r="FW14" s="1"/>
      <c r="FX14" s="1"/>
      <c r="FY14" s="1"/>
      <c r="FZ14" s="1"/>
      <c r="GA14" s="1"/>
      <c r="GB14" s="1"/>
      <c r="GC14" s="1"/>
      <c r="GD14" s="1"/>
      <c r="GE14" s="1"/>
      <c r="GF14" s="1"/>
      <c r="GG14" s="1"/>
      <c r="GH14" s="1"/>
      <c r="GI14" s="1"/>
      <c r="GJ14" s="1"/>
      <c r="GK14" s="1"/>
      <c r="GL14" s="1"/>
      <c r="GM14" s="1"/>
      <c r="GN14" s="1"/>
      <c r="GO14" s="1"/>
      <c r="GP14" s="1"/>
      <c r="GQ14" s="1"/>
      <c r="GR14" s="1"/>
      <c r="GS14" s="1"/>
      <c r="GT14" s="1"/>
      <c r="GU14" s="1"/>
      <c r="GV14" s="1"/>
      <c r="GW14" s="1"/>
      <c r="GX14" s="1"/>
      <c r="GY14" s="1"/>
      <c r="GZ14" s="1"/>
      <c r="HA14" s="1"/>
      <c r="HB14" s="1"/>
      <c r="HC14" s="1"/>
      <c r="HD14" s="1"/>
      <c r="HE14" s="1"/>
      <c r="HF14" s="1"/>
      <c r="HG14" s="1"/>
      <c r="HH14" s="1"/>
      <c r="HI14" s="1"/>
      <c r="HJ14" s="1"/>
      <c r="HK14" s="1"/>
      <c r="HL14" s="1"/>
      <c r="HM14" s="1"/>
      <c r="HN14" s="1"/>
      <c r="HO14" s="1"/>
      <c r="HP14" s="1"/>
      <c r="HQ14" s="1"/>
      <c r="HR14" s="1"/>
      <c r="HS14" s="1"/>
      <c r="HT14" s="1"/>
      <c r="HU14" s="1"/>
      <c r="HV14" s="1"/>
      <c r="HW14" s="1"/>
      <c r="HX14" s="1"/>
      <c r="HY14" s="1"/>
      <c r="HZ14" s="1"/>
      <c r="IA14" s="1"/>
      <c r="IB14" s="1"/>
      <c r="IC14" s="1"/>
      <c r="ID14" s="1"/>
      <c r="IE14" s="1"/>
      <c r="IF14" s="1"/>
      <c r="IG14" s="1"/>
      <c r="IH14" s="1"/>
      <c r="II14" s="1"/>
      <c r="IJ14" s="1"/>
      <c r="IK14" s="1"/>
      <c r="IL14" s="1"/>
      <c r="IM14" s="1"/>
      <c r="IN14" s="1"/>
      <c r="IO14" s="1"/>
      <c r="IP14" s="1"/>
      <c r="IQ14" s="1"/>
      <c r="IR14" s="1"/>
      <c r="IS14" s="1"/>
      <c r="IT14" s="1"/>
      <c r="IU14" s="1"/>
      <c r="IV14" s="1"/>
      <c r="IW14" s="1"/>
      <c r="IX14" s="1"/>
      <c r="IY14" s="1"/>
      <c r="IZ14" s="1"/>
      <c r="JA14" s="1"/>
      <c r="JB14" s="1"/>
      <c r="JC14" s="1"/>
      <c r="JD14" s="1"/>
    </row>
    <row r="15" spans="2:264" s="1044" customFormat="1" x14ac:dyDescent="0.2">
      <c r="B15" s="1079" t="s">
        <v>1006</v>
      </c>
      <c r="C15" s="1132">
        <f>C12+C13*C14</f>
        <v>8</v>
      </c>
      <c r="D15" s="1069"/>
      <c r="E15" s="1114"/>
      <c r="G15" s="1133"/>
      <c r="H15" s="1133"/>
      <c r="I15" s="1484"/>
      <c r="J15" s="1484"/>
      <c r="K15" s="1490"/>
      <c r="L15" s="1490"/>
      <c r="M15" s="1490"/>
      <c r="N15" s="1490"/>
      <c r="O15" s="1490"/>
      <c r="P15" s="1134"/>
      <c r="Q15" s="1047" t="s">
        <v>87</v>
      </c>
      <c r="R15" s="1074"/>
      <c r="S15" s="1074"/>
      <c r="T15" s="1074"/>
      <c r="U15" s="1074"/>
      <c r="V15" s="1074"/>
      <c r="W15" s="1074"/>
      <c r="X15" s="1135"/>
      <c r="Y15" s="1135">
        <f>MODEL!BJ387</f>
        <v>753857</v>
      </c>
      <c r="Z15" s="1135">
        <f>MODEL!BN387</f>
        <v>791451</v>
      </c>
      <c r="AA15" s="1135">
        <f>MODEL!BR387</f>
        <v>873446</v>
      </c>
      <c r="AB15" s="1135">
        <f>MODEL!BV387</f>
        <v>933078</v>
      </c>
      <c r="AC15" s="1135">
        <f>MODEL!BZ387</f>
        <v>976318</v>
      </c>
      <c r="AD15" s="1135">
        <f>MODEL!CD387</f>
        <v>975165</v>
      </c>
      <c r="AE15" s="1136">
        <f>MODEL!CH387</f>
        <v>976502</v>
      </c>
      <c r="AF15" s="1137">
        <f>MODEL!CL387</f>
        <v>1015471</v>
      </c>
      <c r="AG15" s="1137">
        <f>MODEL!CP387</f>
        <v>1091962</v>
      </c>
      <c r="AH15" s="1137">
        <f>MODEL!CT387</f>
        <v>1215260</v>
      </c>
      <c r="AI15" s="1137">
        <f>MODEL!CX387</f>
        <v>1252423</v>
      </c>
      <c r="AJ15" s="1137">
        <f>MODEL!DB387</f>
        <v>1254076</v>
      </c>
      <c r="AK15" s="1370">
        <f>MODEL!DF387</f>
        <v>1353799</v>
      </c>
      <c r="AL15" s="1137">
        <f ca="1">MODEL!DJ387</f>
        <v>1457896.423428816</v>
      </c>
      <c r="AM15" s="1137">
        <f ca="1">MODEL!$DN387</f>
        <v>1547411.4956437899</v>
      </c>
      <c r="AN15" s="1137">
        <f ca="1">MODEL!$DR387</f>
        <v>1623106.5878329626</v>
      </c>
      <c r="AO15" s="1135">
        <f t="shared" ref="AO15:AU15" ca="1" si="39">+AO13+AO9</f>
        <v>1687792.0832030012</v>
      </c>
      <c r="AP15" s="1135">
        <f t="shared" ca="1" si="39"/>
        <v>1755074.972107521</v>
      </c>
      <c r="AQ15" s="1135">
        <f t="shared" ca="1" si="39"/>
        <v>1825060.3242453013</v>
      </c>
      <c r="AR15" s="1135">
        <f t="shared" ca="1" si="39"/>
        <v>1897857.4903110561</v>
      </c>
      <c r="AS15" s="1135">
        <f t="shared" ca="1" si="39"/>
        <v>1973580.2776429276</v>
      </c>
      <c r="AT15" s="1135">
        <f t="shared" ca="1" si="39"/>
        <v>2052347.1331253122</v>
      </c>
      <c r="AU15" s="1135">
        <f t="shared" ca="1" si="39"/>
        <v>2134281.3336486528</v>
      </c>
      <c r="AV15" s="1135">
        <f ca="1">+AV13+AV9</f>
        <v>2198309.7736581122</v>
      </c>
      <c r="AW15" s="1135">
        <f ca="1">+AW13+AW9</f>
        <v>2264259.0668678558</v>
      </c>
      <c r="AX15" s="1135">
        <f ca="1">+AX13+AX9</f>
        <v>2332186.8388738916</v>
      </c>
      <c r="AY15" s="1135">
        <f ca="1">+AY13+AY9</f>
        <v>2402152.4440401085</v>
      </c>
      <c r="AZ15" s="1135">
        <f ca="1">+AZ13+AZ9</f>
        <v>2474217.0173613117</v>
      </c>
      <c r="BA15" s="1135">
        <f t="shared" ref="BA15:CE15" ca="1" si="40">+BA13+BA9</f>
        <v>2548443.5278821513</v>
      </c>
      <c r="BB15" s="1135">
        <f t="shared" ca="1" si="40"/>
        <v>2624896.8337186156</v>
      </c>
      <c r="BC15" s="1135">
        <f t="shared" ca="1" si="40"/>
        <v>2703643.7387301745</v>
      </c>
      <c r="BD15" s="1135">
        <f t="shared" ca="1" si="40"/>
        <v>2784753.0508920802</v>
      </c>
      <c r="BE15" s="1135">
        <f t="shared" ca="1" si="40"/>
        <v>2868295.6424188423</v>
      </c>
      <c r="BF15" s="1135">
        <f t="shared" ca="1" si="40"/>
        <v>2954344.5116914073</v>
      </c>
      <c r="BG15" s="1135">
        <f t="shared" ca="1" si="40"/>
        <v>3042974.8470421499</v>
      </c>
      <c r="BH15" s="1135">
        <f t="shared" ca="1" si="40"/>
        <v>3134264.0924534146</v>
      </c>
      <c r="BI15" s="1135">
        <f t="shared" ca="1" si="40"/>
        <v>3228292.015227017</v>
      </c>
      <c r="BJ15" s="1135">
        <f t="shared" ca="1" si="40"/>
        <v>3325140.7756838277</v>
      </c>
      <c r="BK15" s="1135">
        <f t="shared" ca="1" si="40"/>
        <v>3424894.9989543427</v>
      </c>
      <c r="BL15" s="1135">
        <f t="shared" ca="1" si="40"/>
        <v>3527641.8489229726</v>
      </c>
      <c r="BM15" s="1135">
        <f t="shared" ca="1" si="40"/>
        <v>3633471.1043906622</v>
      </c>
      <c r="BN15" s="1135">
        <f t="shared" ca="1" si="40"/>
        <v>3742475.2375223823</v>
      </c>
      <c r="BO15" s="1135">
        <f t="shared" ca="1" si="40"/>
        <v>3854749.4946480542</v>
      </c>
      <c r="BP15" s="1135">
        <f t="shared" ca="1" si="40"/>
        <v>3970391.9794874955</v>
      </c>
      <c r="BQ15" s="1135">
        <f t="shared" ca="1" si="40"/>
        <v>4089503.7388721206</v>
      </c>
      <c r="BR15" s="1135">
        <f t="shared" ca="1" si="40"/>
        <v>4212188.8510382837</v>
      </c>
      <c r="BS15" s="1135">
        <f t="shared" ca="1" si="40"/>
        <v>4338554.5165694328</v>
      </c>
      <c r="BT15" s="1135">
        <f t="shared" ca="1" si="40"/>
        <v>4468711.1520665158</v>
      </c>
      <c r="BU15" s="1135">
        <f t="shared" ca="1" si="40"/>
        <v>4602772.4866285119</v>
      </c>
      <c r="BV15" s="1135">
        <f t="shared" ca="1" si="40"/>
        <v>4740855.6612273669</v>
      </c>
      <c r="BW15" s="1135">
        <f t="shared" ca="1" si="40"/>
        <v>4883081.3310641879</v>
      </c>
      <c r="BX15" s="1135">
        <f t="shared" ca="1" si="40"/>
        <v>5029573.7709961133</v>
      </c>
      <c r="BY15" s="1135">
        <f t="shared" ca="1" si="40"/>
        <v>5180460.9841259979</v>
      </c>
      <c r="BZ15" s="1135">
        <f t="shared" ca="1" si="40"/>
        <v>5335874.8136497783</v>
      </c>
      <c r="CA15" s="1135">
        <f t="shared" ca="1" si="40"/>
        <v>5495951.0580592714</v>
      </c>
      <c r="CB15" s="1135">
        <f t="shared" ca="1" si="40"/>
        <v>5660829.5898010498</v>
      </c>
      <c r="CC15" s="1135">
        <f t="shared" ca="1" si="40"/>
        <v>5830654.4774950799</v>
      </c>
      <c r="CD15" s="1135">
        <f t="shared" ca="1" si="40"/>
        <v>6005574.1118199341</v>
      </c>
      <c r="CE15" s="1135">
        <f t="shared" ca="1" si="40"/>
        <v>6185741.3351745317</v>
      </c>
      <c r="CF15" s="1135">
        <f ca="1">+CF13+CF9</f>
        <v>6371313.5752297686</v>
      </c>
      <c r="CG15" s="1135">
        <f ca="1">+CG13+CG9</f>
        <v>6562452.9824866606</v>
      </c>
      <c r="CH15" s="1135">
        <f ca="1">+CH13+CH9</f>
        <v>6759326.5719612604</v>
      </c>
      <c r="CI15" s="1135">
        <f ca="1">+CI13+CI9</f>
        <v>6962106.3691200987</v>
      </c>
      <c r="CJ15" s="1135">
        <f ca="1">+CJ13+CJ9</f>
        <v>7170969.5601937026</v>
      </c>
      <c r="CK15" s="1135"/>
      <c r="CL15" s="1135"/>
      <c r="CM15" s="1135"/>
      <c r="CN15" s="1135"/>
      <c r="CO15" s="1135"/>
      <c r="CP15" s="1135"/>
      <c r="CQ15" s="1135"/>
      <c r="CR15" s="1135"/>
      <c r="CS15" s="1135"/>
      <c r="CT15" s="1135"/>
      <c r="CU15" s="1135"/>
      <c r="CV15" s="1135"/>
      <c r="CW15" s="1135"/>
      <c r="CX15" s="1135"/>
      <c r="CY15" s="1135"/>
      <c r="CZ15" s="1135"/>
      <c r="DA15" s="1135"/>
      <c r="DB15" s="1135"/>
      <c r="DC15" s="1135"/>
      <c r="DD15" s="1135"/>
      <c r="DE15" s="1135"/>
      <c r="DF15" s="1135"/>
      <c r="DG15" s="1135"/>
      <c r="DH15" s="1135"/>
      <c r="DI15" s="1135"/>
      <c r="DJ15" s="1135"/>
      <c r="DK15" s="1135"/>
      <c r="DL15" s="1135"/>
      <c r="DM15" s="1135"/>
      <c r="DN15" s="1135"/>
      <c r="DO15" s="1135"/>
      <c r="DP15" s="1135"/>
      <c r="DQ15" s="1135"/>
      <c r="DR15" s="1135"/>
      <c r="DS15" s="1135"/>
      <c r="DT15" s="1135"/>
      <c r="DU15" s="1135"/>
      <c r="DV15" s="1135"/>
      <c r="DW15" s="1135"/>
      <c r="DX15" s="1135"/>
      <c r="DY15" s="1135"/>
      <c r="DZ15" s="1135"/>
      <c r="EA15" s="1135"/>
      <c r="EB15" s="1135"/>
      <c r="EC15" s="1135"/>
      <c r="ED15" s="1135"/>
      <c r="EE15" s="1135"/>
      <c r="EF15" s="1135"/>
      <c r="EG15" s="1135"/>
      <c r="EH15" s="1135"/>
      <c r="EI15" s="1135"/>
      <c r="EJ15" s="1135"/>
      <c r="EK15" s="1135"/>
      <c r="EL15" s="1135"/>
      <c r="EM15" s="1135"/>
      <c r="EN15" s="1135"/>
      <c r="EO15" s="1135"/>
      <c r="EP15" s="1135"/>
      <c r="EQ15" s="1135"/>
      <c r="ER15" s="1135"/>
      <c r="ES15" s="1"/>
      <c r="ET15" s="1"/>
      <c r="EU15" s="1"/>
      <c r="EV15" s="1"/>
      <c r="EW15" s="1"/>
      <c r="EX15" s="1"/>
      <c r="EY15" s="1"/>
      <c r="EZ15" s="1"/>
      <c r="FA15" s="1"/>
      <c r="FB15" s="1"/>
      <c r="FC15" s="1"/>
      <c r="FD15" s="1"/>
      <c r="FE15" s="1"/>
      <c r="FF15" s="1"/>
      <c r="FG15" s="1"/>
      <c r="FH15" s="1"/>
      <c r="FI15" s="1"/>
      <c r="FJ15" s="1"/>
      <c r="FK15" s="1"/>
      <c r="FL15" s="1"/>
      <c r="FM15" s="1"/>
      <c r="FN15" s="1"/>
      <c r="FO15" s="1"/>
      <c r="FP15" s="1"/>
      <c r="FQ15" s="1"/>
      <c r="FR15" s="1"/>
      <c r="FS15" s="1"/>
      <c r="FT15" s="1"/>
      <c r="FU15" s="1"/>
      <c r="FV15" s="1"/>
      <c r="FW15" s="1"/>
      <c r="FX15" s="1"/>
      <c r="FY15" s="1"/>
      <c r="FZ15" s="1"/>
      <c r="GA15" s="1"/>
      <c r="GB15" s="1"/>
      <c r="GC15" s="1"/>
      <c r="GD15" s="1"/>
      <c r="GE15" s="1"/>
      <c r="GF15" s="1"/>
      <c r="GG15" s="1"/>
      <c r="GH15" s="1"/>
      <c r="GI15" s="1"/>
      <c r="GJ15" s="1"/>
      <c r="GK15" s="1"/>
      <c r="GL15" s="1"/>
      <c r="GM15" s="1"/>
      <c r="GN15" s="1"/>
      <c r="GO15" s="1"/>
      <c r="GP15" s="1"/>
      <c r="GQ15" s="1"/>
      <c r="GR15" s="1"/>
      <c r="GS15" s="1"/>
      <c r="GT15" s="1"/>
      <c r="GU15" s="1"/>
      <c r="GV15" s="1"/>
      <c r="GW15" s="1"/>
      <c r="GX15" s="1"/>
      <c r="GY15" s="1"/>
      <c r="GZ15" s="1"/>
      <c r="HA15" s="1"/>
      <c r="HB15" s="1"/>
      <c r="HC15" s="1"/>
      <c r="HD15" s="1"/>
      <c r="HE15" s="1"/>
      <c r="HF15" s="1"/>
      <c r="HG15" s="1"/>
      <c r="HH15" s="1"/>
      <c r="HI15" s="1"/>
      <c r="HJ15" s="1"/>
      <c r="HK15" s="1"/>
      <c r="HL15" s="1"/>
      <c r="HM15" s="1"/>
      <c r="HN15" s="1"/>
      <c r="HO15" s="1"/>
      <c r="HP15" s="1"/>
      <c r="HQ15" s="1"/>
      <c r="HR15" s="1"/>
      <c r="HS15" s="1"/>
      <c r="HT15" s="1"/>
      <c r="HU15" s="1"/>
      <c r="HV15" s="1"/>
      <c r="HW15" s="1"/>
      <c r="HX15" s="1"/>
      <c r="HY15" s="1"/>
      <c r="HZ15" s="1"/>
      <c r="IA15" s="1"/>
      <c r="IB15" s="1"/>
      <c r="IC15" s="1"/>
      <c r="ID15" s="1"/>
      <c r="IE15" s="1"/>
      <c r="IF15" s="1"/>
      <c r="IG15" s="1"/>
      <c r="IH15" s="1"/>
      <c r="II15" s="1"/>
      <c r="IJ15" s="1"/>
      <c r="IK15" s="1"/>
      <c r="IL15" s="1"/>
      <c r="IM15" s="1"/>
      <c r="IN15" s="1"/>
      <c r="IO15" s="1"/>
      <c r="IP15" s="1"/>
      <c r="IQ15" s="1"/>
      <c r="IR15" s="1"/>
      <c r="IS15" s="1"/>
      <c r="IT15" s="1"/>
      <c r="IU15" s="1"/>
      <c r="IV15" s="1"/>
      <c r="IW15" s="1"/>
      <c r="IX15" s="1"/>
      <c r="IY15" s="1"/>
      <c r="IZ15" s="1"/>
      <c r="JA15" s="1"/>
      <c r="JB15" s="1"/>
      <c r="JC15" s="1"/>
      <c r="JD15" s="1"/>
    </row>
    <row r="16" spans="2:264" s="1044" customFormat="1" x14ac:dyDescent="0.2">
      <c r="B16" s="1079" t="s">
        <v>1007</v>
      </c>
      <c r="C16" s="1138">
        <f>AK92</f>
        <v>0.7753609051892314</v>
      </c>
      <c r="D16" s="1069"/>
      <c r="E16" s="1139"/>
      <c r="F16" s="1060" t="s">
        <v>979</v>
      </c>
      <c r="G16" s="1061" t="s">
        <v>22</v>
      </c>
      <c r="H16" s="1062" t="s">
        <v>980</v>
      </c>
      <c r="I16" s="1143"/>
      <c r="J16" s="1143"/>
      <c r="K16" s="1143"/>
      <c r="L16" s="1143"/>
      <c r="M16" s="1143"/>
      <c r="N16" s="1143"/>
      <c r="O16" s="1143"/>
      <c r="P16" s="1144"/>
      <c r="Q16" s="1046" t="s">
        <v>1009</v>
      </c>
      <c r="R16" s="1074" t="s">
        <v>1010</v>
      </c>
      <c r="S16" s="1145">
        <f ca="1">AVERAGE(AL16:AU16)</f>
        <v>4.6642300648749413E-2</v>
      </c>
      <c r="T16" s="1074"/>
      <c r="U16" s="1074"/>
      <c r="V16" s="1074"/>
      <c r="W16" s="1074"/>
      <c r="X16" s="1129"/>
      <c r="Y16" s="1129"/>
      <c r="Z16" s="1129">
        <f t="shared" ref="Z16:AL16" si="41">Z15/Y15-1</f>
        <v>4.9868874335583513E-2</v>
      </c>
      <c r="AA16" s="1129">
        <f t="shared" si="41"/>
        <v>0.10360085463281998</v>
      </c>
      <c r="AB16" s="1129">
        <f t="shared" si="41"/>
        <v>6.8272108407388732E-2</v>
      </c>
      <c r="AC16" s="1129">
        <f t="shared" si="41"/>
        <v>4.6341249070281476E-2</v>
      </c>
      <c r="AD16" s="1129">
        <f t="shared" si="41"/>
        <v>-1.18096767651521E-3</v>
      </c>
      <c r="AE16" s="1130">
        <f t="shared" si="41"/>
        <v>1.3710500274313198E-3</v>
      </c>
      <c r="AF16" s="1129">
        <f t="shared" si="41"/>
        <v>3.9906728301631667E-2</v>
      </c>
      <c r="AG16" s="1129">
        <f t="shared" si="41"/>
        <v>7.5325637068907048E-2</v>
      </c>
      <c r="AH16" s="1129">
        <f t="shared" si="41"/>
        <v>0.11291418565847522</v>
      </c>
      <c r="AI16" s="1129">
        <f t="shared" si="41"/>
        <v>3.0580287345917778E-2</v>
      </c>
      <c r="AJ16" s="1129">
        <f t="shared" si="41"/>
        <v>1.3198416190056683E-3</v>
      </c>
      <c r="AK16" s="1369">
        <f t="shared" si="41"/>
        <v>7.951910410533336E-2</v>
      </c>
      <c r="AL16" s="1129">
        <f t="shared" ca="1" si="41"/>
        <v>7.6892820447360455E-2</v>
      </c>
      <c r="AM16" s="1129">
        <f t="shared" ref="AM16:AN16" ca="1" si="42">AM15/AL15-1</f>
        <v>6.1400159007485522E-2</v>
      </c>
      <c r="AN16" s="1129">
        <f t="shared" ca="1" si="42"/>
        <v>4.8917235268231218E-2</v>
      </c>
      <c r="AO16" s="1129">
        <f t="shared" ref="AO16:CJ16" ca="1" si="43">+AO15/AN15-1</f>
        <v>3.9852894353907597E-2</v>
      </c>
      <c r="AP16" s="1129">
        <f t="shared" ca="1" si="43"/>
        <v>3.9864441582658783E-2</v>
      </c>
      <c r="AQ16" s="1129">
        <f t="shared" ca="1" si="43"/>
        <v>3.9875990057416599E-2</v>
      </c>
      <c r="AR16" s="1129">
        <f ca="1">+AR15/AQ15-1</f>
        <v>3.9887539660289351E-2</v>
      </c>
      <c r="AS16" s="1129">
        <f ca="1">+AS15/AR15-1</f>
        <v>3.9899090273348481E-2</v>
      </c>
      <c r="AT16" s="1129">
        <f t="shared" ref="AT16:AU16" ca="1" si="44">+AT15/AS15-1</f>
        <v>3.9910641778634348E-2</v>
      </c>
      <c r="AU16" s="1129">
        <f t="shared" ca="1" si="44"/>
        <v>3.9922194058161775E-2</v>
      </c>
      <c r="AV16" s="1129">
        <f ca="1">+AV15/AU15-1</f>
        <v>2.9999999999999805E-2</v>
      </c>
      <c r="AW16" s="1129">
        <f t="shared" ca="1" si="43"/>
        <v>3.0000000000000249E-2</v>
      </c>
      <c r="AX16" s="1129">
        <f t="shared" ca="1" si="43"/>
        <v>3.0000000000000027E-2</v>
      </c>
      <c r="AY16" s="1129">
        <f t="shared" ca="1" si="43"/>
        <v>3.0000000000000027E-2</v>
      </c>
      <c r="AZ16" s="1129">
        <f t="shared" ca="1" si="43"/>
        <v>3.0000000000000027E-2</v>
      </c>
      <c r="BA16" s="1129">
        <f t="shared" ca="1" si="43"/>
        <v>3.0000000000000027E-2</v>
      </c>
      <c r="BB16" s="1129">
        <f t="shared" ca="1" si="43"/>
        <v>2.9999999999999805E-2</v>
      </c>
      <c r="BC16" s="1129">
        <f t="shared" ca="1" si="43"/>
        <v>3.0000000000000249E-2</v>
      </c>
      <c r="BD16" s="1129">
        <f t="shared" ca="1" si="43"/>
        <v>3.0000000000000249E-2</v>
      </c>
      <c r="BE16" s="1129">
        <f t="shared" ca="1" si="43"/>
        <v>2.9999999999999805E-2</v>
      </c>
      <c r="BF16" s="1129">
        <f t="shared" ca="1" si="43"/>
        <v>2.9999999999999805E-2</v>
      </c>
      <c r="BG16" s="1129">
        <f t="shared" ca="1" si="43"/>
        <v>3.0000000000000027E-2</v>
      </c>
      <c r="BH16" s="1129">
        <f t="shared" ca="1" si="43"/>
        <v>3.0000000000000027E-2</v>
      </c>
      <c r="BI16" s="1129">
        <f t="shared" ca="1" si="43"/>
        <v>3.0000000000000027E-2</v>
      </c>
      <c r="BJ16" s="1129">
        <f t="shared" ca="1" si="43"/>
        <v>3.0000000000000027E-2</v>
      </c>
      <c r="BK16" s="1129">
        <f t="shared" ca="1" si="43"/>
        <v>3.0000000000000027E-2</v>
      </c>
      <c r="BL16" s="1129">
        <f t="shared" ca="1" si="43"/>
        <v>2.9999999999999805E-2</v>
      </c>
      <c r="BM16" s="1129">
        <f t="shared" ca="1" si="43"/>
        <v>3.0000000000000027E-2</v>
      </c>
      <c r="BN16" s="1129">
        <f t="shared" ca="1" si="43"/>
        <v>3.0000000000000027E-2</v>
      </c>
      <c r="BO16" s="1129">
        <f t="shared" ca="1" si="43"/>
        <v>3.0000000000000027E-2</v>
      </c>
      <c r="BP16" s="1129">
        <f t="shared" ca="1" si="43"/>
        <v>2.9999999999999805E-2</v>
      </c>
      <c r="BQ16" s="1129">
        <f t="shared" ca="1" si="43"/>
        <v>3.0000000000000027E-2</v>
      </c>
      <c r="BR16" s="1129">
        <f t="shared" ca="1" si="43"/>
        <v>2.9999999999999805E-2</v>
      </c>
      <c r="BS16" s="1129">
        <f t="shared" ca="1" si="43"/>
        <v>3.0000000000000249E-2</v>
      </c>
      <c r="BT16" s="1129">
        <f t="shared" ca="1" si="43"/>
        <v>3.0000000000000027E-2</v>
      </c>
      <c r="BU16" s="1129">
        <f t="shared" ca="1" si="43"/>
        <v>3.0000000000000249E-2</v>
      </c>
      <c r="BV16" s="1129">
        <f t="shared" ca="1" si="43"/>
        <v>2.9999999999999805E-2</v>
      </c>
      <c r="BW16" s="1129">
        <f t="shared" ca="1" si="43"/>
        <v>3.0000000000000027E-2</v>
      </c>
      <c r="BX16" s="1129">
        <f t="shared" ca="1" si="43"/>
        <v>3.0000000000000027E-2</v>
      </c>
      <c r="BY16" s="1129">
        <f t="shared" ca="1" si="43"/>
        <v>3.0000000000000249E-2</v>
      </c>
      <c r="BZ16" s="1129">
        <f t="shared" ca="1" si="43"/>
        <v>3.0000000000000027E-2</v>
      </c>
      <c r="CA16" s="1129">
        <f t="shared" ca="1" si="43"/>
        <v>3.0000000000000027E-2</v>
      </c>
      <c r="CB16" s="1129">
        <f t="shared" ca="1" si="43"/>
        <v>3.0000000000000027E-2</v>
      </c>
      <c r="CC16" s="1129">
        <f t="shared" ca="1" si="43"/>
        <v>2.9999999999999805E-2</v>
      </c>
      <c r="CD16" s="1129">
        <f t="shared" ca="1" si="43"/>
        <v>3.0000000000000249E-2</v>
      </c>
      <c r="CE16" s="1129">
        <f t="shared" ca="1" si="43"/>
        <v>3.0000000000000027E-2</v>
      </c>
      <c r="CF16" s="1129">
        <f t="shared" ca="1" si="43"/>
        <v>3.0000000000000249E-2</v>
      </c>
      <c r="CG16" s="1129">
        <f t="shared" ca="1" si="43"/>
        <v>2.9999999999999805E-2</v>
      </c>
      <c r="CH16" s="1129">
        <f t="shared" ca="1" si="43"/>
        <v>3.0000000000000027E-2</v>
      </c>
      <c r="CI16" s="1129">
        <f t="shared" ca="1" si="43"/>
        <v>3.0000000000000027E-2</v>
      </c>
      <c r="CJ16" s="1129">
        <f t="shared" ca="1" si="43"/>
        <v>3.0000000000000249E-2</v>
      </c>
      <c r="CK16" s="1129"/>
      <c r="CL16" s="1129"/>
      <c r="CM16" s="1129"/>
      <c r="CN16" s="1129"/>
      <c r="CO16" s="1129"/>
      <c r="CP16" s="1129"/>
      <c r="CQ16" s="1129"/>
      <c r="CR16" s="1129"/>
      <c r="CS16" s="1129"/>
      <c r="CT16" s="1129"/>
      <c r="CU16" s="1129"/>
      <c r="CV16" s="1129"/>
      <c r="CW16" s="1129"/>
      <c r="CX16" s="1129"/>
      <c r="CY16" s="1129"/>
      <c r="CZ16" s="1129"/>
      <c r="DA16" s="1129"/>
      <c r="DB16" s="1129"/>
      <c r="DC16" s="1129"/>
      <c r="DD16" s="1129"/>
      <c r="DE16" s="1129"/>
      <c r="DF16" s="1129"/>
      <c r="DG16" s="1129"/>
      <c r="DH16" s="1129"/>
      <c r="DI16" s="1129"/>
      <c r="DJ16" s="1129"/>
      <c r="DK16" s="1129"/>
      <c r="DL16" s="1129"/>
      <c r="DM16" s="1129"/>
      <c r="DN16" s="1129"/>
      <c r="DO16" s="1129"/>
      <c r="DP16" s="1129"/>
      <c r="DQ16" s="1129"/>
      <c r="DR16" s="1129"/>
      <c r="DS16" s="1129"/>
      <c r="DT16" s="1129"/>
      <c r="DU16" s="1129"/>
      <c r="DV16" s="1129"/>
      <c r="DW16" s="1129"/>
      <c r="DX16" s="1129"/>
      <c r="DY16" s="1129"/>
      <c r="DZ16" s="1129"/>
      <c r="EA16" s="1129"/>
      <c r="EB16" s="1129"/>
      <c r="EC16" s="1129"/>
      <c r="ED16" s="1129"/>
      <c r="EE16" s="1129"/>
      <c r="EF16" s="1129"/>
      <c r="EG16" s="1129"/>
      <c r="EH16" s="1129"/>
      <c r="EI16" s="1129"/>
      <c r="EJ16" s="1129"/>
      <c r="EK16" s="1129"/>
      <c r="EL16" s="1129"/>
      <c r="EM16" s="1129"/>
      <c r="EN16" s="1129"/>
      <c r="EO16" s="1129"/>
      <c r="EP16" s="1129"/>
      <c r="EQ16" s="1129"/>
      <c r="ER16" s="1129"/>
      <c r="ES16" s="1"/>
      <c r="ET16" s="1"/>
      <c r="EU16" s="1"/>
      <c r="EV16" s="1"/>
      <c r="EW16" s="1"/>
      <c r="EX16" s="1"/>
      <c r="EY16" s="1"/>
      <c r="EZ16" s="1"/>
      <c r="FA16" s="1"/>
      <c r="FB16" s="1"/>
      <c r="FC16" s="1"/>
      <c r="FD16" s="1"/>
      <c r="FE16" s="1"/>
      <c r="FF16" s="1"/>
      <c r="FG16" s="1"/>
      <c r="FH16" s="1"/>
      <c r="FI16" s="1"/>
      <c r="FJ16" s="1"/>
      <c r="FK16" s="1"/>
      <c r="FL16" s="1"/>
      <c r="FM16" s="1"/>
      <c r="FN16" s="1"/>
      <c r="FO16" s="1"/>
      <c r="FP16" s="1"/>
      <c r="FQ16" s="1"/>
      <c r="FR16" s="1"/>
      <c r="FS16" s="1"/>
      <c r="FT16" s="1"/>
      <c r="FU16" s="1"/>
      <c r="FV16" s="1"/>
      <c r="FW16" s="1"/>
      <c r="FX16" s="1"/>
      <c r="FY16" s="1"/>
      <c r="FZ16" s="1"/>
      <c r="GA16" s="1"/>
      <c r="GB16" s="1"/>
      <c r="GC16" s="1"/>
      <c r="GD16" s="1"/>
      <c r="GE16" s="1"/>
      <c r="GF16" s="1"/>
      <c r="GG16" s="1"/>
      <c r="GH16" s="1"/>
      <c r="GI16" s="1"/>
      <c r="GJ16" s="1"/>
      <c r="GK16" s="1"/>
      <c r="GL16" s="1"/>
      <c r="GM16" s="1"/>
      <c r="GN16" s="1"/>
      <c r="GO16" s="1"/>
      <c r="GP16" s="1"/>
      <c r="GQ16" s="1"/>
      <c r="GR16" s="1"/>
      <c r="GS16" s="1"/>
      <c r="GT16" s="1"/>
      <c r="GU16" s="1"/>
      <c r="GV16" s="1"/>
      <c r="GW16" s="1"/>
      <c r="GX16" s="1"/>
      <c r="GY16" s="1"/>
      <c r="GZ16" s="1"/>
      <c r="HA16" s="1"/>
      <c r="HB16" s="1"/>
      <c r="HC16" s="1"/>
      <c r="HD16" s="1"/>
      <c r="HE16" s="1"/>
      <c r="HF16" s="1"/>
      <c r="HG16" s="1"/>
      <c r="HH16" s="1"/>
      <c r="HI16" s="1"/>
      <c r="HJ16" s="1"/>
      <c r="HK16" s="1"/>
      <c r="HL16" s="1"/>
      <c r="HM16" s="1"/>
      <c r="HN16" s="1"/>
      <c r="HO16" s="1"/>
      <c r="HP16" s="1"/>
      <c r="HQ16" s="1"/>
      <c r="HR16" s="1"/>
      <c r="HS16" s="1"/>
      <c r="HT16" s="1"/>
      <c r="HU16" s="1"/>
      <c r="HV16" s="1"/>
      <c r="HW16" s="1"/>
      <c r="HX16" s="1"/>
      <c r="HY16" s="1"/>
      <c r="HZ16" s="1"/>
      <c r="IA16" s="1"/>
      <c r="IB16" s="1"/>
      <c r="IC16" s="1"/>
      <c r="ID16" s="1"/>
      <c r="IE16" s="1"/>
      <c r="IF16" s="1"/>
      <c r="IG16" s="1"/>
      <c r="IH16" s="1"/>
      <c r="II16" s="1"/>
      <c r="IJ16" s="1"/>
      <c r="IK16" s="1"/>
      <c r="IL16" s="1"/>
      <c r="IM16" s="1"/>
      <c r="IN16" s="1"/>
      <c r="IO16" s="1"/>
      <c r="IP16" s="1"/>
      <c r="IQ16" s="1"/>
      <c r="IR16" s="1"/>
      <c r="IS16" s="1"/>
      <c r="IT16" s="1"/>
      <c r="IU16" s="1"/>
      <c r="IV16" s="1"/>
      <c r="IW16" s="1"/>
      <c r="IX16" s="1"/>
      <c r="IY16" s="1"/>
      <c r="IZ16" s="1"/>
      <c r="JA16" s="1"/>
      <c r="JB16" s="1"/>
      <c r="JC16" s="1"/>
      <c r="JD16" s="1"/>
    </row>
    <row r="17" spans="2:264" s="1044" customFormat="1" x14ac:dyDescent="0.2">
      <c r="B17" s="1079"/>
      <c r="C17" s="1100"/>
      <c r="D17" s="1069"/>
      <c r="F17" s="1070" t="s">
        <v>361</v>
      </c>
      <c r="G17" s="1071">
        <f>INDEX(MODEL!1010:1010,MATCH(D8,MODEL!7:7,0))</f>
        <v>68936</v>
      </c>
      <c r="H17" s="1072">
        <f t="shared" ref="H17:H23" si="45">+G17/$C$8</f>
        <v>41.193636457044228</v>
      </c>
      <c r="I17" s="1090"/>
      <c r="J17" s="1090"/>
      <c r="K17" s="1090"/>
      <c r="L17" s="1090"/>
      <c r="M17" s="1090"/>
      <c r="N17" s="1090"/>
      <c r="O17" s="1090"/>
      <c r="P17" s="1046"/>
      <c r="Q17" s="1044" t="s">
        <v>883</v>
      </c>
      <c r="R17" s="1074"/>
      <c r="S17" s="1074"/>
      <c r="T17" s="1074"/>
      <c r="U17" s="1074"/>
      <c r="V17" s="1074"/>
      <c r="W17" s="1074"/>
      <c r="X17" s="1129"/>
      <c r="Y17" s="1129"/>
      <c r="Z17" s="1129"/>
      <c r="AA17" s="1129"/>
      <c r="AB17" s="1129"/>
      <c r="AC17" s="1129"/>
      <c r="AD17" s="1148">
        <f>MODEL!CD1332</f>
        <v>1.1406297030887145</v>
      </c>
      <c r="AE17" s="1148">
        <f>MODEL!CH1332</f>
        <v>1.1333360104944716</v>
      </c>
      <c r="AF17" s="1148">
        <f>MODEL!CL1332</f>
        <v>1.1321378573533747</v>
      </c>
      <c r="AG17" s="1148">
        <f>MODEL!CP1332</f>
        <v>1.1435138230565962</v>
      </c>
      <c r="AH17" s="1148">
        <f>MODEL!CT1332</f>
        <v>1.1273824625035973</v>
      </c>
      <c r="AI17" s="1148">
        <f>MODEL!CX1332</f>
        <v>1.0002345841421121</v>
      </c>
      <c r="AJ17" s="1148">
        <f>MODEL!DB1332</f>
        <v>1.003049491425468</v>
      </c>
      <c r="AK17" s="1371">
        <f>MODEL!DF1332</f>
        <v>1.0021515493132842</v>
      </c>
      <c r="AL17" s="1148">
        <f>MODEL!DJ1332</f>
        <v>1.0117791582441782</v>
      </c>
      <c r="AM17" s="1148">
        <f>MODEL!$DN1332</f>
        <v>1.0117791582441782</v>
      </c>
      <c r="AN17" s="1148">
        <f>MODEL!$DR1332</f>
        <v>1.0117791582441782</v>
      </c>
      <c r="AO17" s="1149">
        <f t="shared" ref="AO17:BD18" si="46">AN17</f>
        <v>1.0117791582441782</v>
      </c>
      <c r="AP17" s="1149">
        <f t="shared" si="46"/>
        <v>1.0117791582441782</v>
      </c>
      <c r="AQ17" s="1149">
        <f t="shared" si="46"/>
        <v>1.0117791582441782</v>
      </c>
      <c r="AR17" s="1149">
        <f t="shared" si="46"/>
        <v>1.0117791582441782</v>
      </c>
      <c r="AS17" s="1149">
        <f t="shared" si="46"/>
        <v>1.0117791582441782</v>
      </c>
      <c r="AT17" s="1149">
        <f t="shared" si="46"/>
        <v>1.0117791582441782</v>
      </c>
      <c r="AU17" s="1149">
        <f t="shared" si="46"/>
        <v>1.0117791582441782</v>
      </c>
      <c r="AV17" s="1150">
        <f t="shared" si="46"/>
        <v>1.0117791582441782</v>
      </c>
      <c r="AW17" s="1150">
        <f t="shared" si="46"/>
        <v>1.0117791582441782</v>
      </c>
      <c r="AX17" s="1150">
        <f t="shared" si="46"/>
        <v>1.0117791582441782</v>
      </c>
      <c r="AY17" s="1150">
        <f t="shared" si="46"/>
        <v>1.0117791582441782</v>
      </c>
      <c r="AZ17" s="1150">
        <f t="shared" si="46"/>
        <v>1.0117791582441782</v>
      </c>
      <c r="BA17" s="1151">
        <f t="shared" si="46"/>
        <v>1.0117791582441782</v>
      </c>
      <c r="BB17" s="1151">
        <f t="shared" si="46"/>
        <v>1.0117791582441782</v>
      </c>
      <c r="BC17" s="1151">
        <f t="shared" si="46"/>
        <v>1.0117791582441782</v>
      </c>
      <c r="BD17" s="1151">
        <f t="shared" si="46"/>
        <v>1.0117791582441782</v>
      </c>
      <c r="BE17" s="1151">
        <f t="shared" ref="BE17:BT18" si="47">BD17</f>
        <v>1.0117791582441782</v>
      </c>
      <c r="BF17" s="1151">
        <f t="shared" si="47"/>
        <v>1.0117791582441782</v>
      </c>
      <c r="BG17" s="1151">
        <f t="shared" si="47"/>
        <v>1.0117791582441782</v>
      </c>
      <c r="BH17" s="1151">
        <f t="shared" si="47"/>
        <v>1.0117791582441782</v>
      </c>
      <c r="BI17" s="1151">
        <f t="shared" si="47"/>
        <v>1.0117791582441782</v>
      </c>
      <c r="BJ17" s="1151">
        <f t="shared" si="47"/>
        <v>1.0117791582441782</v>
      </c>
      <c r="BK17" s="1151">
        <f t="shared" si="47"/>
        <v>1.0117791582441782</v>
      </c>
      <c r="BL17" s="1151">
        <f t="shared" si="47"/>
        <v>1.0117791582441782</v>
      </c>
      <c r="BM17" s="1151">
        <f t="shared" si="47"/>
        <v>1.0117791582441782</v>
      </c>
      <c r="BN17" s="1151">
        <f t="shared" si="47"/>
        <v>1.0117791582441782</v>
      </c>
      <c r="BO17" s="1151">
        <f t="shared" si="47"/>
        <v>1.0117791582441782</v>
      </c>
      <c r="BP17" s="1151">
        <f t="shared" si="47"/>
        <v>1.0117791582441782</v>
      </c>
      <c r="BQ17" s="1151">
        <f t="shared" si="47"/>
        <v>1.0117791582441782</v>
      </c>
      <c r="BR17" s="1151">
        <f t="shared" si="47"/>
        <v>1.0117791582441782</v>
      </c>
      <c r="BS17" s="1151">
        <f t="shared" si="47"/>
        <v>1.0117791582441782</v>
      </c>
      <c r="BT17" s="1151">
        <f t="shared" si="47"/>
        <v>1.0117791582441782</v>
      </c>
      <c r="BU17" s="1151">
        <f t="shared" ref="BU17:CJ18" si="48">BT17</f>
        <v>1.0117791582441782</v>
      </c>
      <c r="BV17" s="1151">
        <f t="shared" si="48"/>
        <v>1.0117791582441782</v>
      </c>
      <c r="BW17" s="1151">
        <f t="shared" si="48"/>
        <v>1.0117791582441782</v>
      </c>
      <c r="BX17" s="1151">
        <f t="shared" si="48"/>
        <v>1.0117791582441782</v>
      </c>
      <c r="BY17" s="1151">
        <f t="shared" si="48"/>
        <v>1.0117791582441782</v>
      </c>
      <c r="BZ17" s="1151">
        <f t="shared" si="48"/>
        <v>1.0117791582441782</v>
      </c>
      <c r="CA17" s="1151">
        <f t="shared" si="48"/>
        <v>1.0117791582441782</v>
      </c>
      <c r="CB17" s="1151">
        <f t="shared" si="48"/>
        <v>1.0117791582441782</v>
      </c>
      <c r="CC17" s="1151">
        <f t="shared" si="48"/>
        <v>1.0117791582441782</v>
      </c>
      <c r="CD17" s="1151">
        <f t="shared" si="48"/>
        <v>1.0117791582441782</v>
      </c>
      <c r="CE17" s="1151">
        <f t="shared" si="48"/>
        <v>1.0117791582441782</v>
      </c>
      <c r="CF17" s="1151">
        <f t="shared" si="48"/>
        <v>1.0117791582441782</v>
      </c>
      <c r="CG17" s="1151">
        <f t="shared" si="48"/>
        <v>1.0117791582441782</v>
      </c>
      <c r="CH17" s="1151">
        <f t="shared" si="48"/>
        <v>1.0117791582441782</v>
      </c>
      <c r="CI17" s="1151">
        <f t="shared" si="48"/>
        <v>1.0117791582441782</v>
      </c>
      <c r="CJ17" s="1151">
        <f t="shared" si="48"/>
        <v>1.0117791582441782</v>
      </c>
      <c r="CK17" s="1152"/>
      <c r="CL17" s="1152"/>
      <c r="CM17" s="1152"/>
      <c r="CN17" s="1152"/>
      <c r="CO17" s="1152"/>
      <c r="CP17" s="1152"/>
      <c r="CQ17" s="1152"/>
      <c r="CR17" s="1152"/>
      <c r="CS17" s="1152"/>
      <c r="CT17" s="1152"/>
      <c r="CU17" s="1152"/>
      <c r="CV17" s="1152"/>
      <c r="CW17" s="1152"/>
      <c r="CX17" s="1152"/>
      <c r="CY17" s="1152"/>
      <c r="CZ17" s="1152"/>
      <c r="DA17" s="1152"/>
      <c r="DB17" s="1152"/>
      <c r="DC17" s="1152"/>
      <c r="DD17" s="1152"/>
      <c r="DE17" s="1152"/>
      <c r="DF17" s="1152"/>
      <c r="DG17" s="1152"/>
      <c r="DH17" s="1152"/>
      <c r="DI17" s="1152"/>
      <c r="DJ17" s="1152"/>
      <c r="DK17" s="1152"/>
      <c r="DL17" s="1152"/>
      <c r="DM17" s="1152"/>
      <c r="DN17" s="1152"/>
      <c r="DO17" s="1152"/>
      <c r="DP17" s="1152"/>
      <c r="DQ17" s="1152"/>
      <c r="DR17" s="1152"/>
      <c r="DS17" s="1152"/>
      <c r="DT17" s="1152"/>
      <c r="DU17" s="1152"/>
      <c r="DV17" s="1152"/>
      <c r="DW17" s="1152"/>
      <c r="DX17" s="1152"/>
      <c r="DY17" s="1152"/>
      <c r="DZ17" s="1152"/>
      <c r="EA17" s="1152"/>
      <c r="EB17" s="1152"/>
      <c r="EC17" s="1152"/>
      <c r="ED17" s="1152"/>
      <c r="EE17" s="1152"/>
      <c r="EF17" s="1152"/>
      <c r="EG17" s="1152"/>
      <c r="EH17" s="1152"/>
      <c r="EI17" s="1152"/>
      <c r="EJ17" s="1152"/>
      <c r="EK17" s="1152"/>
      <c r="EL17" s="1152"/>
      <c r="EM17" s="1152"/>
      <c r="EN17" s="1152"/>
      <c r="EO17" s="1152"/>
      <c r="EP17" s="1152"/>
      <c r="EQ17" s="1152"/>
      <c r="ER17" s="1152"/>
      <c r="ES17" s="1"/>
      <c r="ET17" s="1"/>
      <c r="EU17" s="1"/>
      <c r="EV17" s="1"/>
      <c r="EW17" s="1"/>
      <c r="EX17" s="1"/>
      <c r="EY17" s="1"/>
      <c r="EZ17" s="1"/>
      <c r="FA17" s="1"/>
      <c r="FB17" s="1"/>
      <c r="FC17" s="1"/>
      <c r="FD17" s="1"/>
      <c r="FE17" s="1"/>
      <c r="FF17" s="1"/>
      <c r="FG17" s="1"/>
      <c r="FH17" s="1"/>
      <c r="FI17" s="1"/>
      <c r="FJ17" s="1"/>
      <c r="FK17" s="1"/>
      <c r="FL17" s="1"/>
      <c r="FM17" s="1"/>
      <c r="FN17" s="1"/>
      <c r="FO17" s="1"/>
      <c r="FP17" s="1"/>
      <c r="FQ17" s="1"/>
      <c r="FR17" s="1"/>
      <c r="FS17" s="1"/>
      <c r="FT17" s="1"/>
      <c r="FU17" s="1"/>
      <c r="FV17" s="1"/>
      <c r="FW17" s="1"/>
      <c r="FX17" s="1"/>
      <c r="FY17" s="1"/>
      <c r="FZ17" s="1"/>
      <c r="GA17" s="1"/>
      <c r="GB17" s="1"/>
      <c r="GC17" s="1"/>
      <c r="GD17" s="1"/>
      <c r="GE17" s="1"/>
      <c r="GF17" s="1"/>
      <c r="GG17" s="1"/>
      <c r="GH17" s="1"/>
      <c r="GI17" s="1"/>
      <c r="GJ17" s="1"/>
      <c r="GK17" s="1"/>
      <c r="GL17" s="1"/>
      <c r="GM17" s="1"/>
      <c r="GN17" s="1"/>
      <c r="GO17" s="1"/>
      <c r="GP17" s="1"/>
      <c r="GQ17" s="1"/>
      <c r="GR17" s="1"/>
      <c r="GS17" s="1"/>
      <c r="GT17" s="1"/>
      <c r="GU17" s="1"/>
      <c r="GV17" s="1"/>
      <c r="GW17" s="1"/>
      <c r="GX17" s="1"/>
      <c r="GY17" s="1"/>
      <c r="GZ17" s="1"/>
      <c r="HA17" s="1"/>
      <c r="HB17" s="1"/>
      <c r="HC17" s="1"/>
      <c r="HD17" s="1"/>
      <c r="HE17" s="1"/>
      <c r="HF17" s="1"/>
      <c r="HG17" s="1"/>
      <c r="HH17" s="1"/>
      <c r="HI17" s="1"/>
      <c r="HJ17" s="1"/>
      <c r="HK17" s="1"/>
      <c r="HL17" s="1"/>
      <c r="HM17" s="1"/>
      <c r="HN17" s="1"/>
      <c r="HO17" s="1"/>
      <c r="HP17" s="1"/>
      <c r="HQ17" s="1"/>
      <c r="HR17" s="1"/>
      <c r="HS17" s="1"/>
      <c r="HT17" s="1"/>
      <c r="HU17" s="1"/>
      <c r="HV17" s="1"/>
      <c r="HW17" s="1"/>
      <c r="HX17" s="1"/>
      <c r="HY17" s="1"/>
      <c r="HZ17" s="1"/>
      <c r="IA17" s="1"/>
      <c r="IB17" s="1"/>
      <c r="IC17" s="1"/>
      <c r="ID17" s="1"/>
      <c r="IE17" s="1"/>
      <c r="IF17" s="1"/>
      <c r="IG17" s="1"/>
      <c r="IH17" s="1"/>
      <c r="II17" s="1"/>
      <c r="IJ17" s="1"/>
      <c r="IK17" s="1"/>
      <c r="IL17" s="1"/>
      <c r="IM17" s="1"/>
      <c r="IN17" s="1"/>
      <c r="IO17" s="1"/>
      <c r="IP17" s="1"/>
      <c r="IQ17" s="1"/>
      <c r="IR17" s="1"/>
      <c r="IS17" s="1"/>
      <c r="IT17" s="1"/>
      <c r="IU17" s="1"/>
      <c r="IV17" s="1"/>
      <c r="IW17" s="1"/>
      <c r="IX17" s="1"/>
      <c r="IY17" s="1"/>
      <c r="IZ17" s="1"/>
      <c r="JA17" s="1"/>
      <c r="JB17" s="1"/>
      <c r="JC17" s="1"/>
      <c r="JD17" s="1"/>
    </row>
    <row r="18" spans="2:264" s="1044" customFormat="1" ht="13.5" thickBot="1" x14ac:dyDescent="0.25">
      <c r="B18" s="1079"/>
      <c r="C18" s="1100"/>
      <c r="D18" s="1112"/>
      <c r="F18" s="1070" t="s">
        <v>988</v>
      </c>
      <c r="G18" s="1082">
        <f ca="1">SUM(AJ115:AU115)</f>
        <v>54368.480911069855</v>
      </c>
      <c r="H18" s="1072">
        <f t="shared" ca="1" si="45"/>
        <v>32.488618970818735</v>
      </c>
      <c r="P18" s="1046"/>
      <c r="Q18" s="1044" t="s">
        <v>884</v>
      </c>
      <c r="R18" s="1074"/>
      <c r="S18" s="1074"/>
      <c r="T18" s="1074"/>
      <c r="U18" s="1074"/>
      <c r="V18" s="1074"/>
      <c r="W18" s="1074"/>
      <c r="X18" s="1129"/>
      <c r="Y18" s="1129"/>
      <c r="Z18" s="1129"/>
      <c r="AA18" s="1129"/>
      <c r="AB18" s="1129"/>
      <c r="AC18" s="1129"/>
      <c r="AD18" s="1148">
        <f>MODEL!CD1333</f>
        <v>1.8244570261365065</v>
      </c>
      <c r="AE18" s="1148">
        <f>MODEL!CH1333</f>
        <v>1.8588152273901484</v>
      </c>
      <c r="AF18" s="1148">
        <f>MODEL!CL1333</f>
        <v>1.9422201426475796</v>
      </c>
      <c r="AG18" s="1148">
        <f>MODEL!CP1333</f>
        <v>2.2880005031235586</v>
      </c>
      <c r="AH18" s="1148">
        <f>MODEL!CT1333</f>
        <v>2.2424649199528464</v>
      </c>
      <c r="AI18" s="1148">
        <f>MODEL!CX1333</f>
        <v>2.2813263922742171</v>
      </c>
      <c r="AJ18" s="1148">
        <f>MODEL!DB1333</f>
        <v>2.0791384309037433</v>
      </c>
      <c r="AK18" s="1371">
        <f>MODEL!DF1333</f>
        <v>2.0209174049821277</v>
      </c>
      <c r="AL18" s="1148">
        <f>MODEL!DJ1333</f>
        <v>2.0106900878293601</v>
      </c>
      <c r="AM18" s="1148">
        <f>MODEL!$DN1333</f>
        <v>2.0106900878293601</v>
      </c>
      <c r="AN18" s="1148">
        <f>MODEL!$DR1333</f>
        <v>2.0106900878293601</v>
      </c>
      <c r="AO18" s="1149">
        <f t="shared" si="46"/>
        <v>2.0106900878293601</v>
      </c>
      <c r="AP18" s="1149">
        <f t="shared" si="46"/>
        <v>2.0106900878293601</v>
      </c>
      <c r="AQ18" s="1149">
        <f t="shared" si="46"/>
        <v>2.0106900878293601</v>
      </c>
      <c r="AR18" s="1149">
        <f t="shared" si="46"/>
        <v>2.0106900878293601</v>
      </c>
      <c r="AS18" s="1149">
        <f t="shared" si="46"/>
        <v>2.0106900878293601</v>
      </c>
      <c r="AT18" s="1149">
        <f t="shared" si="46"/>
        <v>2.0106900878293601</v>
      </c>
      <c r="AU18" s="1149">
        <f t="shared" si="46"/>
        <v>2.0106900878293601</v>
      </c>
      <c r="AV18" s="1150">
        <f t="shared" si="46"/>
        <v>2.0106900878293601</v>
      </c>
      <c r="AW18" s="1150">
        <f t="shared" si="46"/>
        <v>2.0106900878293601</v>
      </c>
      <c r="AX18" s="1150">
        <f t="shared" si="46"/>
        <v>2.0106900878293601</v>
      </c>
      <c r="AY18" s="1150">
        <f t="shared" si="46"/>
        <v>2.0106900878293601</v>
      </c>
      <c r="AZ18" s="1150">
        <f t="shared" si="46"/>
        <v>2.0106900878293601</v>
      </c>
      <c r="BA18" s="1151">
        <f t="shared" si="46"/>
        <v>2.0106900878293601</v>
      </c>
      <c r="BB18" s="1151">
        <f t="shared" si="46"/>
        <v>2.0106900878293601</v>
      </c>
      <c r="BC18" s="1151">
        <f t="shared" si="46"/>
        <v>2.0106900878293601</v>
      </c>
      <c r="BD18" s="1151">
        <f t="shared" si="46"/>
        <v>2.0106900878293601</v>
      </c>
      <c r="BE18" s="1151">
        <f t="shared" si="47"/>
        <v>2.0106900878293601</v>
      </c>
      <c r="BF18" s="1151">
        <f t="shared" si="47"/>
        <v>2.0106900878293601</v>
      </c>
      <c r="BG18" s="1151">
        <f t="shared" si="47"/>
        <v>2.0106900878293601</v>
      </c>
      <c r="BH18" s="1151">
        <f t="shared" si="47"/>
        <v>2.0106900878293601</v>
      </c>
      <c r="BI18" s="1151">
        <f t="shared" si="47"/>
        <v>2.0106900878293601</v>
      </c>
      <c r="BJ18" s="1151">
        <f t="shared" si="47"/>
        <v>2.0106900878293601</v>
      </c>
      <c r="BK18" s="1151">
        <f t="shared" si="47"/>
        <v>2.0106900878293601</v>
      </c>
      <c r="BL18" s="1151">
        <f t="shared" si="47"/>
        <v>2.0106900878293601</v>
      </c>
      <c r="BM18" s="1151">
        <f t="shared" si="47"/>
        <v>2.0106900878293601</v>
      </c>
      <c r="BN18" s="1151">
        <f t="shared" si="47"/>
        <v>2.0106900878293601</v>
      </c>
      <c r="BO18" s="1151">
        <f t="shared" si="47"/>
        <v>2.0106900878293601</v>
      </c>
      <c r="BP18" s="1151">
        <f t="shared" si="47"/>
        <v>2.0106900878293601</v>
      </c>
      <c r="BQ18" s="1151">
        <f t="shared" si="47"/>
        <v>2.0106900878293601</v>
      </c>
      <c r="BR18" s="1151">
        <f t="shared" si="47"/>
        <v>2.0106900878293601</v>
      </c>
      <c r="BS18" s="1151">
        <f t="shared" si="47"/>
        <v>2.0106900878293601</v>
      </c>
      <c r="BT18" s="1151">
        <f t="shared" si="47"/>
        <v>2.0106900878293601</v>
      </c>
      <c r="BU18" s="1151">
        <f t="shared" si="48"/>
        <v>2.0106900878293601</v>
      </c>
      <c r="BV18" s="1151">
        <f t="shared" si="48"/>
        <v>2.0106900878293601</v>
      </c>
      <c r="BW18" s="1151">
        <f t="shared" si="48"/>
        <v>2.0106900878293601</v>
      </c>
      <c r="BX18" s="1151">
        <f t="shared" si="48"/>
        <v>2.0106900878293601</v>
      </c>
      <c r="BY18" s="1151">
        <f t="shared" si="48"/>
        <v>2.0106900878293601</v>
      </c>
      <c r="BZ18" s="1151">
        <f t="shared" si="48"/>
        <v>2.0106900878293601</v>
      </c>
      <c r="CA18" s="1151">
        <f t="shared" si="48"/>
        <v>2.0106900878293601</v>
      </c>
      <c r="CB18" s="1151">
        <f t="shared" si="48"/>
        <v>2.0106900878293601</v>
      </c>
      <c r="CC18" s="1151">
        <f t="shared" si="48"/>
        <v>2.0106900878293601</v>
      </c>
      <c r="CD18" s="1151">
        <f t="shared" si="48"/>
        <v>2.0106900878293601</v>
      </c>
      <c r="CE18" s="1151">
        <f t="shared" si="48"/>
        <v>2.0106900878293601</v>
      </c>
      <c r="CF18" s="1151">
        <f t="shared" si="48"/>
        <v>2.0106900878293601</v>
      </c>
      <c r="CG18" s="1151">
        <f t="shared" si="48"/>
        <v>2.0106900878293601</v>
      </c>
      <c r="CH18" s="1151">
        <f t="shared" si="48"/>
        <v>2.0106900878293601</v>
      </c>
      <c r="CI18" s="1151">
        <f t="shared" si="48"/>
        <v>2.0106900878293601</v>
      </c>
      <c r="CJ18" s="1151">
        <f t="shared" si="48"/>
        <v>2.0106900878293601</v>
      </c>
      <c r="CK18" s="1152"/>
      <c r="CL18" s="1152"/>
      <c r="CM18" s="1152"/>
      <c r="CN18" s="1152"/>
      <c r="CO18" s="1152"/>
      <c r="CP18" s="1152"/>
      <c r="CQ18" s="1152"/>
      <c r="CR18" s="1152"/>
      <c r="CS18" s="1152"/>
      <c r="CT18" s="1152"/>
      <c r="CU18" s="1152"/>
      <c r="CV18" s="1152"/>
      <c r="CW18" s="1152"/>
      <c r="CX18" s="1152"/>
      <c r="CY18" s="1152"/>
      <c r="CZ18" s="1152"/>
      <c r="DA18" s="1152"/>
      <c r="DB18" s="1152"/>
      <c r="DC18" s="1152"/>
      <c r="DD18" s="1152"/>
      <c r="DE18" s="1152"/>
      <c r="DF18" s="1152"/>
      <c r="DG18" s="1152"/>
      <c r="DH18" s="1152"/>
      <c r="DI18" s="1152"/>
      <c r="DJ18" s="1152"/>
      <c r="DK18" s="1152"/>
      <c r="DL18" s="1152"/>
      <c r="DM18" s="1152"/>
      <c r="DN18" s="1152"/>
      <c r="DO18" s="1152"/>
      <c r="DP18" s="1152"/>
      <c r="DQ18" s="1152"/>
      <c r="DR18" s="1152"/>
      <c r="DS18" s="1152"/>
      <c r="DT18" s="1152"/>
      <c r="DU18" s="1152"/>
      <c r="DV18" s="1152"/>
      <c r="DW18" s="1152"/>
      <c r="DX18" s="1152"/>
      <c r="DY18" s="1152"/>
      <c r="DZ18" s="1152"/>
      <c r="EA18" s="1152"/>
      <c r="EB18" s="1152"/>
      <c r="EC18" s="1152"/>
      <c r="ED18" s="1152"/>
      <c r="EE18" s="1152"/>
      <c r="EF18" s="1152"/>
      <c r="EG18" s="1152"/>
      <c r="EH18" s="1152"/>
      <c r="EI18" s="1152"/>
      <c r="EJ18" s="1152"/>
      <c r="EK18" s="1152"/>
      <c r="EL18" s="1152"/>
      <c r="EM18" s="1152"/>
      <c r="EN18" s="1152"/>
      <c r="EO18" s="1152"/>
      <c r="EP18" s="1152"/>
      <c r="EQ18" s="1152"/>
      <c r="ER18" s="1152"/>
      <c r="ES18" s="1"/>
      <c r="ET18" s="1"/>
      <c r="EU18" s="1"/>
      <c r="EV18" s="1"/>
      <c r="EW18" s="1"/>
      <c r="EX18" s="1"/>
      <c r="EY18" s="1"/>
      <c r="EZ18" s="1"/>
      <c r="FA18" s="1"/>
      <c r="FB18" s="1"/>
      <c r="FC18" s="1"/>
      <c r="FD18" s="1"/>
      <c r="FE18" s="1"/>
      <c r="FF18" s="1"/>
      <c r="FG18" s="1"/>
      <c r="FH18" s="1"/>
      <c r="FI18" s="1"/>
      <c r="FJ18" s="1"/>
      <c r="FK18" s="1"/>
      <c r="FL18" s="1"/>
      <c r="FM18" s="1"/>
      <c r="FN18" s="1"/>
      <c r="FO18" s="1"/>
      <c r="FP18" s="1"/>
      <c r="FQ18" s="1"/>
      <c r="FR18" s="1"/>
      <c r="FS18" s="1"/>
      <c r="FT18" s="1"/>
      <c r="FU18" s="1"/>
      <c r="FV18" s="1"/>
      <c r="FW18" s="1"/>
      <c r="FX18" s="1"/>
      <c r="FY18" s="1"/>
      <c r="FZ18" s="1"/>
      <c r="GA18" s="1"/>
      <c r="GB18" s="1"/>
      <c r="GC18" s="1"/>
      <c r="GD18" s="1"/>
      <c r="GE18" s="1"/>
      <c r="GF18" s="1"/>
      <c r="GG18" s="1"/>
      <c r="GH18" s="1"/>
      <c r="GI18" s="1"/>
      <c r="GJ18" s="1"/>
      <c r="GK18" s="1"/>
      <c r="GL18" s="1"/>
      <c r="GM18" s="1"/>
      <c r="GN18" s="1"/>
      <c r="GO18" s="1"/>
      <c r="GP18" s="1"/>
      <c r="GQ18" s="1"/>
      <c r="GR18" s="1"/>
      <c r="GS18" s="1"/>
      <c r="GT18" s="1"/>
      <c r="GU18" s="1"/>
      <c r="GV18" s="1"/>
      <c r="GW18" s="1"/>
      <c r="GX18" s="1"/>
      <c r="GY18" s="1"/>
      <c r="GZ18" s="1"/>
      <c r="HA18" s="1"/>
      <c r="HB18" s="1"/>
      <c r="HC18" s="1"/>
      <c r="HD18" s="1"/>
      <c r="HE18" s="1"/>
      <c r="HF18" s="1"/>
      <c r="HG18" s="1"/>
      <c r="HH18" s="1"/>
      <c r="HI18" s="1"/>
      <c r="HJ18" s="1"/>
      <c r="HK18" s="1"/>
      <c r="HL18" s="1"/>
      <c r="HM18" s="1"/>
      <c r="HN18" s="1"/>
      <c r="HO18" s="1"/>
      <c r="HP18" s="1"/>
      <c r="HQ18" s="1"/>
      <c r="HR18" s="1"/>
      <c r="HS18" s="1"/>
      <c r="HT18" s="1"/>
      <c r="HU18" s="1"/>
      <c r="HV18" s="1"/>
      <c r="HW18" s="1"/>
      <c r="HX18" s="1"/>
      <c r="HY18" s="1"/>
      <c r="HZ18" s="1"/>
      <c r="IA18" s="1"/>
      <c r="IB18" s="1"/>
      <c r="IC18" s="1"/>
      <c r="ID18" s="1"/>
      <c r="IE18" s="1"/>
      <c r="IF18" s="1"/>
      <c r="IG18" s="1"/>
      <c r="IH18" s="1"/>
      <c r="II18" s="1"/>
      <c r="IJ18" s="1"/>
      <c r="IK18" s="1"/>
      <c r="IL18" s="1"/>
      <c r="IM18" s="1"/>
      <c r="IN18" s="1"/>
      <c r="IO18" s="1"/>
      <c r="IP18" s="1"/>
      <c r="IQ18" s="1"/>
      <c r="IR18" s="1"/>
      <c r="IS18" s="1"/>
      <c r="IT18" s="1"/>
      <c r="IU18" s="1"/>
      <c r="IV18" s="1"/>
      <c r="IW18" s="1"/>
      <c r="IX18" s="1"/>
      <c r="IY18" s="1"/>
      <c r="IZ18" s="1"/>
      <c r="JA18" s="1"/>
      <c r="JB18" s="1"/>
      <c r="JC18" s="1"/>
      <c r="JD18" s="1"/>
    </row>
    <row r="19" spans="2:264" s="1044" customFormat="1" ht="13.5" thickBot="1" x14ac:dyDescent="0.25">
      <c r="B19" s="1052" t="s">
        <v>1013</v>
      </c>
      <c r="C19" s="1053"/>
      <c r="D19" s="1069"/>
      <c r="F19" s="1070" t="s">
        <v>990</v>
      </c>
      <c r="G19" s="1082">
        <f ca="1">SUM(AV115:AZ115)</f>
        <v>17027.014667149335</v>
      </c>
      <c r="H19" s="1072">
        <f t="shared" ca="1" si="45"/>
        <v>10.174722237253535</v>
      </c>
      <c r="P19" s="1046"/>
      <c r="Q19" s="1044" t="s">
        <v>880</v>
      </c>
      <c r="R19" s="1074"/>
      <c r="S19" s="1156"/>
      <c r="T19" s="1156"/>
      <c r="U19" s="1156"/>
      <c r="V19" s="1156"/>
      <c r="W19" s="1156"/>
      <c r="X19" s="1129"/>
      <c r="Y19" s="1129"/>
      <c r="Z19" s="1129"/>
      <c r="AA19" s="1129"/>
      <c r="AB19" s="1129"/>
      <c r="AC19" s="1129"/>
      <c r="AD19" s="1088">
        <f>MODEL!CD1328</f>
        <v>572214</v>
      </c>
      <c r="AE19" s="1088">
        <f>MODEL!CH1328</f>
        <v>592669</v>
      </c>
      <c r="AF19" s="1088">
        <f>MODEL!CL1328</f>
        <v>614615</v>
      </c>
      <c r="AG19" s="1088">
        <f>MODEL!CP1328</f>
        <v>662959</v>
      </c>
      <c r="AH19" s="1088">
        <f>MODEL!CT1328</f>
        <v>701224</v>
      </c>
      <c r="AI19" s="1088">
        <f>MODEL!CX1328</f>
        <v>652371</v>
      </c>
      <c r="AJ19" s="1088">
        <f>MODEL!DB1328</f>
        <v>666728</v>
      </c>
      <c r="AK19" s="1365">
        <f>MODEL!DF1328</f>
        <v>709385</v>
      </c>
      <c r="AL19" s="1088">
        <f>MODEL!DJ1328</f>
        <v>765246.94307148736</v>
      </c>
      <c r="AM19" s="1088">
        <f>MODEL!$DN1328</f>
        <v>812492.01621295302</v>
      </c>
      <c r="AN19" s="1088">
        <f>MODEL!$DR1328</f>
        <v>852048.33945705241</v>
      </c>
      <c r="AO19" s="1086">
        <f t="shared" ref="AO19:CJ20" si="49">AO17*AO7</f>
        <v>886130.27303533466</v>
      </c>
      <c r="AP19" s="1086">
        <f t="shared" si="49"/>
        <v>921575.48395674804</v>
      </c>
      <c r="AQ19" s="1086">
        <f t="shared" si="49"/>
        <v>958438.50331501802</v>
      </c>
      <c r="AR19" s="1086">
        <f t="shared" si="49"/>
        <v>996776.04344761884</v>
      </c>
      <c r="AS19" s="1086">
        <f t="shared" si="49"/>
        <v>1036647.0851855236</v>
      </c>
      <c r="AT19" s="1086">
        <f t="shared" si="49"/>
        <v>1078112.9685929446</v>
      </c>
      <c r="AU19" s="1086">
        <f t="shared" si="49"/>
        <v>1121237.4873366624</v>
      </c>
      <c r="AV19" s="1087">
        <f>AV17*AV7</f>
        <v>1154874.6119567621</v>
      </c>
      <c r="AW19" s="1087">
        <f t="shared" si="49"/>
        <v>1189520.8503154651</v>
      </c>
      <c r="AX19" s="1087">
        <f t="shared" si="49"/>
        <v>1225206.4758249291</v>
      </c>
      <c r="AY19" s="1087">
        <f t="shared" si="49"/>
        <v>1261962.6700996771</v>
      </c>
      <c r="AZ19" s="1087">
        <f t="shared" si="49"/>
        <v>1299821.5502026675</v>
      </c>
      <c r="BA19" s="1087">
        <f t="shared" si="49"/>
        <v>1338816.1967087474</v>
      </c>
      <c r="BB19" s="1087">
        <f t="shared" si="49"/>
        <v>1378980.68261001</v>
      </c>
      <c r="BC19" s="1087">
        <f t="shared" si="49"/>
        <v>1420350.1030883105</v>
      </c>
      <c r="BD19" s="1087">
        <f t="shared" si="49"/>
        <v>1462960.6061809596</v>
      </c>
      <c r="BE19" s="1087">
        <f t="shared" si="49"/>
        <v>1506849.4243663885</v>
      </c>
      <c r="BF19" s="1087">
        <f t="shared" si="49"/>
        <v>1552054.9070973801</v>
      </c>
      <c r="BG19" s="1087">
        <f t="shared" si="49"/>
        <v>1598616.5543103016</v>
      </c>
      <c r="BH19" s="1087">
        <f t="shared" si="49"/>
        <v>1646575.0509396107</v>
      </c>
      <c r="BI19" s="1087">
        <f t="shared" si="49"/>
        <v>1695972.302467799</v>
      </c>
      <c r="BJ19" s="1087">
        <f t="shared" si="49"/>
        <v>1746851.4715418329</v>
      </c>
      <c r="BK19" s="1087">
        <f t="shared" si="49"/>
        <v>1799257.015688088</v>
      </c>
      <c r="BL19" s="1087">
        <f t="shared" si="49"/>
        <v>1853234.7261587307</v>
      </c>
      <c r="BM19" s="1087">
        <f t="shared" si="49"/>
        <v>1908831.7679434926</v>
      </c>
      <c r="BN19" s="1087">
        <f t="shared" si="49"/>
        <v>1966096.7209817977</v>
      </c>
      <c r="BO19" s="1087">
        <f t="shared" si="49"/>
        <v>2025079.6226112517</v>
      </c>
      <c r="BP19" s="1087">
        <f t="shared" si="49"/>
        <v>2085832.0112895893</v>
      </c>
      <c r="BQ19" s="1087">
        <f t="shared" si="49"/>
        <v>2148406.9716282771</v>
      </c>
      <c r="BR19" s="1087">
        <f t="shared" si="49"/>
        <v>2212859.1807771255</v>
      </c>
      <c r="BS19" s="1087">
        <f t="shared" si="49"/>
        <v>2279244.9562004395</v>
      </c>
      <c r="BT19" s="1087">
        <f t="shared" si="49"/>
        <v>2347622.3048864524</v>
      </c>
      <c r="BU19" s="1087">
        <f t="shared" si="49"/>
        <v>2418050.974033046</v>
      </c>
      <c r="BV19" s="1087">
        <f t="shared" si="49"/>
        <v>2490592.5032540374</v>
      </c>
      <c r="BW19" s="1087">
        <f t="shared" si="49"/>
        <v>2565310.278351659</v>
      </c>
      <c r="BX19" s="1087">
        <f t="shared" si="49"/>
        <v>2642269.5867022085</v>
      </c>
      <c r="BY19" s="1087">
        <f t="shared" si="49"/>
        <v>2721537.6743032751</v>
      </c>
      <c r="BZ19" s="1087">
        <f t="shared" si="49"/>
        <v>2803183.8045323733</v>
      </c>
      <c r="CA19" s="1087">
        <f t="shared" si="49"/>
        <v>2887279.318668345</v>
      </c>
      <c r="CB19" s="1087">
        <f t="shared" si="49"/>
        <v>2973897.6982283955</v>
      </c>
      <c r="CC19" s="1087">
        <f t="shared" si="49"/>
        <v>3063114.6291752472</v>
      </c>
      <c r="CD19" s="1087">
        <f t="shared" si="49"/>
        <v>3155008.0680505047</v>
      </c>
      <c r="CE19" s="1087">
        <f t="shared" si="49"/>
        <v>3249658.3100920198</v>
      </c>
      <c r="CF19" s="1087">
        <f t="shared" si="49"/>
        <v>3347148.059394781</v>
      </c>
      <c r="CG19" s="1087">
        <f t="shared" si="49"/>
        <v>3447562.5011766241</v>
      </c>
      <c r="CH19" s="1087">
        <f t="shared" si="49"/>
        <v>3550989.3762119231</v>
      </c>
      <c r="CI19" s="1087">
        <f t="shared" si="49"/>
        <v>3657519.0574982809</v>
      </c>
      <c r="CJ19" s="1087">
        <f t="shared" si="49"/>
        <v>3767244.6292232294</v>
      </c>
      <c r="CK19" s="1129"/>
      <c r="CL19" s="1129"/>
      <c r="CM19" s="1129"/>
      <c r="CN19" s="1129"/>
      <c r="CO19" s="1129"/>
      <c r="CP19" s="1129"/>
      <c r="CQ19" s="1129"/>
      <c r="CR19" s="1129"/>
      <c r="CS19" s="1129"/>
      <c r="CT19" s="1129"/>
      <c r="CU19" s="1129"/>
      <c r="CV19" s="1129"/>
      <c r="CW19" s="1129"/>
      <c r="CX19" s="1129"/>
      <c r="CY19" s="1129"/>
      <c r="CZ19" s="1129"/>
      <c r="DA19" s="1129"/>
      <c r="DB19" s="1129"/>
      <c r="DC19" s="1129"/>
      <c r="DD19" s="1129"/>
      <c r="DE19" s="1129"/>
      <c r="DF19" s="1129"/>
      <c r="DG19" s="1129"/>
      <c r="DH19" s="1129"/>
      <c r="DI19" s="1129"/>
      <c r="DJ19" s="1129"/>
      <c r="DK19" s="1129"/>
      <c r="DL19" s="1129"/>
      <c r="DM19" s="1129"/>
      <c r="DN19" s="1129"/>
      <c r="DO19" s="1129"/>
      <c r="DP19" s="1129"/>
      <c r="DQ19" s="1129"/>
      <c r="DR19" s="1129"/>
      <c r="DS19" s="1129"/>
      <c r="DT19" s="1129"/>
      <c r="DU19" s="1129"/>
      <c r="DV19" s="1129"/>
      <c r="DW19" s="1129"/>
      <c r="DX19" s="1129"/>
      <c r="DY19" s="1129"/>
      <c r="DZ19" s="1129"/>
      <c r="EA19" s="1129"/>
      <c r="EB19" s="1129"/>
      <c r="EC19" s="1129"/>
      <c r="ED19" s="1129"/>
      <c r="EE19" s="1129"/>
      <c r="EF19" s="1129"/>
      <c r="EG19" s="1129"/>
      <c r="EH19" s="1129"/>
      <c r="EI19" s="1129"/>
      <c r="EJ19" s="1129"/>
      <c r="EK19" s="1129"/>
      <c r="EL19" s="1129"/>
      <c r="EM19" s="1129"/>
      <c r="EN19" s="1129"/>
      <c r="EO19" s="1129"/>
      <c r="EP19" s="1129"/>
      <c r="EQ19" s="1129"/>
      <c r="ER19" s="1129"/>
      <c r="ES19" s="1"/>
      <c r="ET19" s="1"/>
      <c r="EU19" s="1"/>
      <c r="EV19" s="1"/>
      <c r="EW19" s="1"/>
      <c r="EX19" s="1"/>
      <c r="EY19" s="1"/>
      <c r="EZ19" s="1"/>
      <c r="FA19" s="1"/>
      <c r="FB19" s="1"/>
      <c r="FC19" s="1"/>
      <c r="FD19" s="1"/>
      <c r="FE19" s="1"/>
      <c r="FF19" s="1"/>
      <c r="FG19" s="1"/>
      <c r="FH19" s="1"/>
      <c r="FI19" s="1"/>
      <c r="FJ19" s="1"/>
      <c r="FK19" s="1"/>
      <c r="FL19" s="1"/>
      <c r="FM19" s="1"/>
      <c r="FN19" s="1"/>
      <c r="FO19" s="1"/>
      <c r="FP19" s="1"/>
      <c r="FQ19" s="1"/>
      <c r="FR19" s="1"/>
      <c r="FS19" s="1"/>
      <c r="FT19" s="1"/>
      <c r="FU19" s="1"/>
      <c r="FV19" s="1"/>
      <c r="FW19" s="1"/>
      <c r="FX19" s="1"/>
      <c r="FY19" s="1"/>
      <c r="FZ19" s="1"/>
      <c r="GA19" s="1"/>
      <c r="GB19" s="1"/>
      <c r="GC19" s="1"/>
      <c r="GD19" s="1"/>
      <c r="GE19" s="1"/>
      <c r="GF19" s="1"/>
      <c r="GG19" s="1"/>
      <c r="GH19" s="1"/>
      <c r="GI19" s="1"/>
      <c r="GJ19" s="1"/>
      <c r="GK19" s="1"/>
      <c r="GL19" s="1"/>
      <c r="GM19" s="1"/>
      <c r="GN19" s="1"/>
      <c r="GO19" s="1"/>
      <c r="GP19" s="1"/>
      <c r="GQ19" s="1"/>
      <c r="GR19" s="1"/>
      <c r="GS19" s="1"/>
      <c r="GT19" s="1"/>
      <c r="GU19" s="1"/>
      <c r="GV19" s="1"/>
      <c r="GW19" s="1"/>
      <c r="GX19" s="1"/>
      <c r="GY19" s="1"/>
      <c r="GZ19" s="1"/>
      <c r="HA19" s="1"/>
      <c r="HB19" s="1"/>
      <c r="HC19" s="1"/>
      <c r="HD19" s="1"/>
      <c r="HE19" s="1"/>
      <c r="HF19" s="1"/>
      <c r="HG19" s="1"/>
      <c r="HH19" s="1"/>
      <c r="HI19" s="1"/>
      <c r="HJ19" s="1"/>
      <c r="HK19" s="1"/>
      <c r="HL19" s="1"/>
      <c r="HM19" s="1"/>
      <c r="HN19" s="1"/>
      <c r="HO19" s="1"/>
      <c r="HP19" s="1"/>
      <c r="HQ19" s="1"/>
      <c r="HR19" s="1"/>
      <c r="HS19" s="1"/>
      <c r="HT19" s="1"/>
      <c r="HU19" s="1"/>
      <c r="HV19" s="1"/>
      <c r="HW19" s="1"/>
      <c r="HX19" s="1"/>
      <c r="HY19" s="1"/>
      <c r="HZ19" s="1"/>
      <c r="IA19" s="1"/>
      <c r="IB19" s="1"/>
      <c r="IC19" s="1"/>
      <c r="ID19" s="1"/>
      <c r="IE19" s="1"/>
      <c r="IF19" s="1"/>
      <c r="IG19" s="1"/>
      <c r="IH19" s="1"/>
      <c r="II19" s="1"/>
      <c r="IJ19" s="1"/>
      <c r="IK19" s="1"/>
      <c r="IL19" s="1"/>
      <c r="IM19" s="1"/>
      <c r="IN19" s="1"/>
      <c r="IO19" s="1"/>
      <c r="IP19" s="1"/>
      <c r="IQ19" s="1"/>
      <c r="IR19" s="1"/>
      <c r="IS19" s="1"/>
      <c r="IT19" s="1"/>
      <c r="IU19" s="1"/>
      <c r="IV19" s="1"/>
      <c r="IW19" s="1"/>
      <c r="IX19" s="1"/>
      <c r="IY19" s="1"/>
      <c r="IZ19" s="1"/>
      <c r="JA19" s="1"/>
      <c r="JB19" s="1"/>
      <c r="JC19" s="1"/>
      <c r="JD19" s="1"/>
    </row>
    <row r="20" spans="2:264" s="1044" customFormat="1" x14ac:dyDescent="0.2">
      <c r="B20" s="1069"/>
      <c r="C20" s="1100"/>
      <c r="D20" s="1157"/>
      <c r="F20" s="1070" t="s">
        <v>992</v>
      </c>
      <c r="G20" s="1082">
        <f ca="1">SUM(BA115:CJ115)</f>
        <v>31717.063485594634</v>
      </c>
      <c r="H20" s="1072">
        <f t="shared" ca="1" si="45"/>
        <v>18.952959015762119</v>
      </c>
      <c r="I20" s="1090"/>
      <c r="J20" s="1090"/>
      <c r="K20" s="1090"/>
      <c r="L20" s="1090"/>
      <c r="M20" s="1090"/>
      <c r="N20" s="1090"/>
      <c r="O20" s="1090"/>
      <c r="P20" s="1046"/>
      <c r="Q20" s="1044" t="s">
        <v>881</v>
      </c>
      <c r="R20" s="1074"/>
      <c r="S20" s="1156"/>
      <c r="T20" s="1156"/>
      <c r="U20" s="1156"/>
      <c r="V20" s="1156"/>
      <c r="W20" s="1156"/>
      <c r="X20" s="1129"/>
      <c r="Y20" s="1129"/>
      <c r="Z20" s="1129"/>
      <c r="AA20" s="1129"/>
      <c r="AB20" s="1129"/>
      <c r="AC20" s="1129"/>
      <c r="AD20" s="1088">
        <f>MODEL!CD1329</f>
        <v>450172</v>
      </c>
      <c r="AE20" s="1088">
        <f>MODEL!CH1329</f>
        <v>442530</v>
      </c>
      <c r="AF20" s="1088">
        <f>MODEL!CL1329</f>
        <v>460749</v>
      </c>
      <c r="AG20" s="1088">
        <f>MODEL!CP1329</f>
        <v>545711</v>
      </c>
      <c r="AH20" s="1088">
        <f>MODEL!CT1329</f>
        <v>589701</v>
      </c>
      <c r="AI20" s="1088">
        <f>MODEL!CX1329</f>
        <v>641128</v>
      </c>
      <c r="AJ20" s="1088">
        <f>MODEL!DB1329</f>
        <v>593068</v>
      </c>
      <c r="AK20" s="1365">
        <f>MODEL!DF1329</f>
        <v>622485</v>
      </c>
      <c r="AL20" s="1088">
        <f>MODEL!DJ1329</f>
        <v>661970.38117237494</v>
      </c>
      <c r="AM20" s="1088">
        <f>MODEL!$DN1329</f>
        <v>702006.8213991893</v>
      </c>
      <c r="AN20" s="1088">
        <f>MODEL!$DR1329</f>
        <v>737143.30326317437</v>
      </c>
      <c r="AO20" s="1086">
        <f t="shared" si="49"/>
        <v>770314.75191001745</v>
      </c>
      <c r="AP20" s="1086">
        <f t="shared" si="49"/>
        <v>804978.91574596812</v>
      </c>
      <c r="AQ20" s="1086">
        <f t="shared" si="49"/>
        <v>841202.96695453662</v>
      </c>
      <c r="AR20" s="1086">
        <f t="shared" si="49"/>
        <v>879057.10046749073</v>
      </c>
      <c r="AS20" s="1086">
        <f t="shared" si="49"/>
        <v>918614.66998852778</v>
      </c>
      <c r="AT20" s="1086">
        <f t="shared" si="49"/>
        <v>959952.33013801137</v>
      </c>
      <c r="AU20" s="1086">
        <f t="shared" si="49"/>
        <v>1003150.1849942219</v>
      </c>
      <c r="AV20" s="1087">
        <f t="shared" si="49"/>
        <v>1033244.6905440486</v>
      </c>
      <c r="AW20" s="1087">
        <f t="shared" si="49"/>
        <v>1064242.03126037</v>
      </c>
      <c r="AX20" s="1087">
        <f t="shared" si="49"/>
        <v>1096169.2921981814</v>
      </c>
      <c r="AY20" s="1087">
        <f t="shared" si="49"/>
        <v>1129054.3709641267</v>
      </c>
      <c r="AZ20" s="1087">
        <f t="shared" si="49"/>
        <v>1162926.0020930506</v>
      </c>
      <c r="BA20" s="1087">
        <f t="shared" si="49"/>
        <v>1197813.7821558421</v>
      </c>
      <c r="BB20" s="1087">
        <f t="shared" si="49"/>
        <v>1233748.1956205175</v>
      </c>
      <c r="BC20" s="1087">
        <f t="shared" si="49"/>
        <v>1270760.6414891328</v>
      </c>
      <c r="BD20" s="1087">
        <f t="shared" si="49"/>
        <v>1308883.4607338069</v>
      </c>
      <c r="BE20" s="1087">
        <f t="shared" si="49"/>
        <v>1348149.9645558211</v>
      </c>
      <c r="BF20" s="1087">
        <f t="shared" si="49"/>
        <v>1388594.4634924957</v>
      </c>
      <c r="BG20" s="1087">
        <f t="shared" si="49"/>
        <v>1430252.2973972708</v>
      </c>
      <c r="BH20" s="1087">
        <f t="shared" si="49"/>
        <v>1473159.8663191888</v>
      </c>
      <c r="BI20" s="1087">
        <f t="shared" si="49"/>
        <v>1517354.6623087644</v>
      </c>
      <c r="BJ20" s="1087">
        <f t="shared" si="49"/>
        <v>1562875.3021780276</v>
      </c>
      <c r="BK20" s="1087">
        <f t="shared" si="49"/>
        <v>1609761.5612433685</v>
      </c>
      <c r="BL20" s="1087">
        <f t="shared" si="49"/>
        <v>1658054.4080806696</v>
      </c>
      <c r="BM20" s="1087">
        <f t="shared" si="49"/>
        <v>1707796.0403230898</v>
      </c>
      <c r="BN20" s="1087">
        <f t="shared" si="49"/>
        <v>1759029.9215327825</v>
      </c>
      <c r="BO20" s="1087">
        <f t="shared" si="49"/>
        <v>1811800.8191787661</v>
      </c>
      <c r="BP20" s="1087">
        <f t="shared" si="49"/>
        <v>1866154.843754129</v>
      </c>
      <c r="BQ20" s="1087">
        <f t="shared" si="49"/>
        <v>1922139.4890667531</v>
      </c>
      <c r="BR20" s="1087">
        <f t="shared" si="49"/>
        <v>1979803.6737387558</v>
      </c>
      <c r="BS20" s="1087">
        <f t="shared" si="49"/>
        <v>2039197.7839509184</v>
      </c>
      <c r="BT20" s="1087">
        <f t="shared" si="49"/>
        <v>2100373.7174694459</v>
      </c>
      <c r="BU20" s="1087">
        <f t="shared" si="49"/>
        <v>2163384.9289935296</v>
      </c>
      <c r="BV20" s="1087">
        <f t="shared" si="49"/>
        <v>2228286.4768633358</v>
      </c>
      <c r="BW20" s="1087">
        <f t="shared" si="49"/>
        <v>2295135.0711692357</v>
      </c>
      <c r="BX20" s="1087">
        <f t="shared" si="49"/>
        <v>2363989.1233043126</v>
      </c>
      <c r="BY20" s="1087">
        <f t="shared" si="49"/>
        <v>2434908.797003442</v>
      </c>
      <c r="BZ20" s="1087">
        <f t="shared" si="49"/>
        <v>2507956.0609135451</v>
      </c>
      <c r="CA20" s="1087">
        <f t="shared" si="49"/>
        <v>2583194.7427409515</v>
      </c>
      <c r="CB20" s="1087">
        <f t="shared" si="49"/>
        <v>2660690.5850231801</v>
      </c>
      <c r="CC20" s="1087">
        <f t="shared" si="49"/>
        <v>2740511.3025738755</v>
      </c>
      <c r="CD20" s="1087">
        <f t="shared" si="49"/>
        <v>2822726.6416510916</v>
      </c>
      <c r="CE20" s="1087">
        <f t="shared" si="49"/>
        <v>2907408.4409006243</v>
      </c>
      <c r="CF20" s="1087">
        <f t="shared" si="49"/>
        <v>2994630.694127643</v>
      </c>
      <c r="CG20" s="1087">
        <f t="shared" si="49"/>
        <v>3084469.6149514723</v>
      </c>
      <c r="CH20" s="1087">
        <f t="shared" si="49"/>
        <v>3177003.7034000163</v>
      </c>
      <c r="CI20" s="1087">
        <f t="shared" si="49"/>
        <v>3272313.8145020171</v>
      </c>
      <c r="CJ20" s="1087">
        <f t="shared" si="49"/>
        <v>3370483.2289370778</v>
      </c>
      <c r="CK20" s="1086"/>
      <c r="CL20" s="1086"/>
      <c r="CM20" s="1086"/>
      <c r="CN20" s="1086"/>
      <c r="CO20" s="1086"/>
      <c r="CP20" s="1086"/>
      <c r="CQ20" s="1086"/>
      <c r="CR20" s="1086"/>
      <c r="CS20" s="1086"/>
      <c r="CT20" s="1086"/>
      <c r="CU20" s="1086"/>
      <c r="CV20" s="1086"/>
      <c r="CW20" s="1086"/>
      <c r="CX20" s="1086"/>
      <c r="CY20" s="1086"/>
      <c r="CZ20" s="1086"/>
      <c r="DA20" s="1086"/>
      <c r="DB20" s="1086"/>
      <c r="DC20" s="1086"/>
      <c r="DD20" s="1086"/>
      <c r="DE20" s="1086"/>
      <c r="DF20" s="1086"/>
      <c r="DG20" s="1086"/>
      <c r="DH20" s="1086"/>
      <c r="DI20" s="1086"/>
      <c r="DJ20" s="1086"/>
      <c r="DK20" s="1086"/>
      <c r="DL20" s="1086"/>
      <c r="DM20" s="1086"/>
      <c r="DN20" s="1086"/>
      <c r="DO20" s="1086"/>
      <c r="DP20" s="1086"/>
      <c r="DQ20" s="1086"/>
      <c r="DR20" s="1086"/>
      <c r="DS20" s="1086"/>
      <c r="DT20" s="1086"/>
      <c r="DU20" s="1086"/>
      <c r="DV20" s="1086"/>
      <c r="DW20" s="1086"/>
      <c r="DX20" s="1086"/>
      <c r="DY20" s="1086"/>
      <c r="DZ20" s="1086"/>
      <c r="EA20" s="1086"/>
      <c r="EB20" s="1086"/>
      <c r="EC20" s="1086"/>
      <c r="ED20" s="1086"/>
      <c r="EE20" s="1086"/>
      <c r="EF20" s="1086"/>
      <c r="EG20" s="1086"/>
      <c r="EH20" s="1086"/>
      <c r="EI20" s="1086"/>
      <c r="EJ20" s="1086"/>
      <c r="EK20" s="1086"/>
      <c r="EL20" s="1086"/>
      <c r="EM20" s="1086"/>
      <c r="EN20" s="1086"/>
      <c r="EO20" s="1086"/>
      <c r="EP20" s="1086"/>
      <c r="EQ20" s="1086"/>
      <c r="ER20" s="1086"/>
      <c r="ES20" s="1"/>
      <c r="ET20" s="1"/>
      <c r="EU20" s="1"/>
      <c r="EV20" s="1"/>
      <c r="EW20" s="1"/>
      <c r="EX20" s="1"/>
      <c r="EY20" s="1"/>
      <c r="EZ20" s="1"/>
      <c r="FA20" s="1"/>
      <c r="FB20" s="1"/>
      <c r="FC20" s="1"/>
      <c r="FD20" s="1"/>
      <c r="FE20" s="1"/>
      <c r="FF20" s="1"/>
      <c r="FG20" s="1"/>
      <c r="FH20" s="1"/>
      <c r="FI20" s="1"/>
      <c r="FJ20" s="1"/>
      <c r="FK20" s="1"/>
      <c r="FL20" s="1"/>
      <c r="FM20" s="1"/>
      <c r="FN20" s="1"/>
      <c r="FO20" s="1"/>
      <c r="FP20" s="1"/>
      <c r="FQ20" s="1"/>
      <c r="FR20" s="1"/>
      <c r="FS20" s="1"/>
      <c r="FT20" s="1"/>
      <c r="FU20" s="1"/>
      <c r="FV20" s="1"/>
      <c r="FW20" s="1"/>
      <c r="FX20" s="1"/>
      <c r="FY20" s="1"/>
      <c r="FZ20" s="1"/>
      <c r="GA20" s="1"/>
      <c r="GB20" s="1"/>
      <c r="GC20" s="1"/>
      <c r="GD20" s="1"/>
      <c r="GE20" s="1"/>
      <c r="GF20" s="1"/>
      <c r="GG20" s="1"/>
      <c r="GH20" s="1"/>
      <c r="GI20" s="1"/>
      <c r="GJ20" s="1"/>
      <c r="GK20" s="1"/>
      <c r="GL20" s="1"/>
      <c r="GM20" s="1"/>
      <c r="GN20" s="1"/>
      <c r="GO20" s="1"/>
      <c r="GP20" s="1"/>
      <c r="GQ20" s="1"/>
      <c r="GR20" s="1"/>
      <c r="GS20" s="1"/>
      <c r="GT20" s="1"/>
      <c r="GU20" s="1"/>
      <c r="GV20" s="1"/>
      <c r="GW20" s="1"/>
      <c r="GX20" s="1"/>
      <c r="GY20" s="1"/>
      <c r="GZ20" s="1"/>
      <c r="HA20" s="1"/>
      <c r="HB20" s="1"/>
      <c r="HC20" s="1"/>
      <c r="HD20" s="1"/>
      <c r="HE20" s="1"/>
      <c r="HF20" s="1"/>
      <c r="HG20" s="1"/>
      <c r="HH20" s="1"/>
      <c r="HI20" s="1"/>
      <c r="HJ20" s="1"/>
      <c r="HK20" s="1"/>
      <c r="HL20" s="1"/>
      <c r="HM20" s="1"/>
      <c r="HN20" s="1"/>
      <c r="HO20" s="1"/>
      <c r="HP20" s="1"/>
      <c r="HQ20" s="1"/>
      <c r="HR20" s="1"/>
      <c r="HS20" s="1"/>
      <c r="HT20" s="1"/>
      <c r="HU20" s="1"/>
      <c r="HV20" s="1"/>
      <c r="HW20" s="1"/>
      <c r="HX20" s="1"/>
      <c r="HY20" s="1"/>
      <c r="HZ20" s="1"/>
      <c r="IA20" s="1"/>
      <c r="IB20" s="1"/>
      <c r="IC20" s="1"/>
      <c r="ID20" s="1"/>
      <c r="IE20" s="1"/>
      <c r="IF20" s="1"/>
      <c r="IG20" s="1"/>
      <c r="IH20" s="1"/>
      <c r="II20" s="1"/>
      <c r="IJ20" s="1"/>
      <c r="IK20" s="1"/>
      <c r="IL20" s="1"/>
      <c r="IM20" s="1"/>
      <c r="IN20" s="1"/>
      <c r="IO20" s="1"/>
      <c r="IP20" s="1"/>
      <c r="IQ20" s="1"/>
      <c r="IR20" s="1"/>
      <c r="IS20" s="1"/>
      <c r="IT20" s="1"/>
      <c r="IU20" s="1"/>
      <c r="IV20" s="1"/>
      <c r="IW20" s="1"/>
      <c r="IX20" s="1"/>
      <c r="IY20" s="1"/>
      <c r="IZ20" s="1"/>
      <c r="JA20" s="1"/>
      <c r="JB20" s="1"/>
      <c r="JC20" s="1"/>
      <c r="JD20" s="1"/>
    </row>
    <row r="21" spans="2:264" s="1044" customFormat="1" ht="13.5" thickBot="1" x14ac:dyDescent="0.25">
      <c r="B21" s="1158" t="s">
        <v>1016</v>
      </c>
      <c r="C21" s="1084">
        <f>+C7</f>
        <v>169.56</v>
      </c>
      <c r="D21" s="1112"/>
      <c r="F21" s="1093" t="s">
        <v>994</v>
      </c>
      <c r="G21" s="1094">
        <f ca="1">SUM(G18:G20)</f>
        <v>103112.55906381382</v>
      </c>
      <c r="H21" s="1095">
        <f t="shared" ca="1" si="45"/>
        <v>61.616300223834386</v>
      </c>
      <c r="I21" s="1162"/>
      <c r="J21" s="1162"/>
      <c r="K21" s="1162"/>
      <c r="L21" s="1162"/>
      <c r="M21" s="1162"/>
      <c r="N21" s="1162"/>
      <c r="O21" s="1162"/>
      <c r="P21" s="1046"/>
      <c r="Q21" s="1047" t="s">
        <v>882</v>
      </c>
      <c r="R21" s="1074"/>
      <c r="S21" s="1074"/>
      <c r="T21" s="1074"/>
      <c r="U21" s="1074"/>
      <c r="V21" s="1074"/>
      <c r="W21" s="1074"/>
      <c r="X21" s="1129"/>
      <c r="Y21" s="1129"/>
      <c r="Z21" s="1129"/>
      <c r="AA21" s="1129"/>
      <c r="AB21" s="1129"/>
      <c r="AC21" s="1129"/>
      <c r="AD21" s="1097">
        <f t="shared" ref="AD21:CJ21" si="50">SUM(AD19:AD20)</f>
        <v>1022386</v>
      </c>
      <c r="AE21" s="1097">
        <f t="shared" si="50"/>
        <v>1035199</v>
      </c>
      <c r="AF21" s="1097">
        <f t="shared" si="50"/>
        <v>1075364</v>
      </c>
      <c r="AG21" s="1097">
        <f t="shared" si="50"/>
        <v>1208670</v>
      </c>
      <c r="AH21" s="1097">
        <f t="shared" si="50"/>
        <v>1290925</v>
      </c>
      <c r="AI21" s="1097">
        <f>SUM(AI19:AI20)</f>
        <v>1293499</v>
      </c>
      <c r="AJ21" s="1097">
        <f>SUM(AJ19:AJ20)</f>
        <v>1259796</v>
      </c>
      <c r="AK21" s="1372">
        <f>SUM(AK19:AK20)</f>
        <v>1331870</v>
      </c>
      <c r="AL21" s="1097">
        <f>SUM(AL19:AL20)</f>
        <v>1427217.3242438622</v>
      </c>
      <c r="AM21" s="1097">
        <f t="shared" ref="AM21:AN21" si="51">SUM(AM19:AM20)</f>
        <v>1514498.8376121423</v>
      </c>
      <c r="AN21" s="1097">
        <f t="shared" si="51"/>
        <v>1589191.6427202267</v>
      </c>
      <c r="AO21" s="1097">
        <f t="shared" ref="AO21" si="52">SUM(AO19:AO20)</f>
        <v>1656445.0249453522</v>
      </c>
      <c r="AP21" s="1097">
        <f t="shared" si="50"/>
        <v>1726554.3997027162</v>
      </c>
      <c r="AQ21" s="1097">
        <f t="shared" si="50"/>
        <v>1799641.4702695548</v>
      </c>
      <c r="AR21" s="1097">
        <f t="shared" si="50"/>
        <v>1875833.1439151096</v>
      </c>
      <c r="AS21" s="1097">
        <f t="shared" si="50"/>
        <v>1955261.7551740515</v>
      </c>
      <c r="AT21" s="1097">
        <f t="shared" si="50"/>
        <v>2038065.2987309559</v>
      </c>
      <c r="AU21" s="1097">
        <f t="shared" si="50"/>
        <v>2124387.6723308843</v>
      </c>
      <c r="AV21" s="1098">
        <f t="shared" si="50"/>
        <v>2188119.3025008105</v>
      </c>
      <c r="AW21" s="1098">
        <f t="shared" si="50"/>
        <v>2253762.8815758349</v>
      </c>
      <c r="AX21" s="1098">
        <f t="shared" si="50"/>
        <v>2321375.7680231105</v>
      </c>
      <c r="AY21" s="1098">
        <f t="shared" si="50"/>
        <v>2391017.0410638037</v>
      </c>
      <c r="AZ21" s="1098">
        <f t="shared" si="50"/>
        <v>2462747.5522957183</v>
      </c>
      <c r="BA21" s="1098">
        <f t="shared" si="50"/>
        <v>2536629.9788645897</v>
      </c>
      <c r="BB21" s="1098">
        <f t="shared" si="50"/>
        <v>2612728.8782305275</v>
      </c>
      <c r="BC21" s="1098">
        <f t="shared" si="50"/>
        <v>2691110.7445774432</v>
      </c>
      <c r="BD21" s="1098">
        <f t="shared" si="50"/>
        <v>2771844.0669147666</v>
      </c>
      <c r="BE21" s="1098">
        <f t="shared" si="50"/>
        <v>2854999.3889222099</v>
      </c>
      <c r="BF21" s="1098">
        <f t="shared" si="50"/>
        <v>2940649.3705898756</v>
      </c>
      <c r="BG21" s="1098">
        <f t="shared" si="50"/>
        <v>3028868.8517075721</v>
      </c>
      <c r="BH21" s="1098">
        <f t="shared" si="50"/>
        <v>3119734.9172587995</v>
      </c>
      <c r="BI21" s="1098">
        <f t="shared" si="50"/>
        <v>3213326.9647765635</v>
      </c>
      <c r="BJ21" s="1098">
        <f t="shared" si="50"/>
        <v>3309726.7737198602</v>
      </c>
      <c r="BK21" s="1098">
        <f t="shared" si="50"/>
        <v>3409018.5769314566</v>
      </c>
      <c r="BL21" s="1098">
        <f t="shared" si="50"/>
        <v>3511289.1342394003</v>
      </c>
      <c r="BM21" s="1098">
        <f t="shared" si="50"/>
        <v>3616627.8082665824</v>
      </c>
      <c r="BN21" s="1098">
        <f t="shared" si="50"/>
        <v>3725126.6425145799</v>
      </c>
      <c r="BO21" s="1098">
        <f t="shared" si="50"/>
        <v>3836880.4417900178</v>
      </c>
      <c r="BP21" s="1098">
        <f t="shared" si="50"/>
        <v>3951986.8550437186</v>
      </c>
      <c r="BQ21" s="1098">
        <f t="shared" si="50"/>
        <v>4070546.4606950302</v>
      </c>
      <c r="BR21" s="1098">
        <f t="shared" si="50"/>
        <v>4192662.8545158813</v>
      </c>
      <c r="BS21" s="1098">
        <f t="shared" si="50"/>
        <v>4318442.7401513578</v>
      </c>
      <c r="BT21" s="1098">
        <f t="shared" si="50"/>
        <v>4447996.0223558983</v>
      </c>
      <c r="BU21" s="1098">
        <f t="shared" si="50"/>
        <v>4581435.9030265752</v>
      </c>
      <c r="BV21" s="1098">
        <f t="shared" si="50"/>
        <v>4718878.9801173732</v>
      </c>
      <c r="BW21" s="1098">
        <f t="shared" si="50"/>
        <v>4860445.3495208947</v>
      </c>
      <c r="BX21" s="1098">
        <f t="shared" si="50"/>
        <v>5006258.7100065211</v>
      </c>
      <c r="BY21" s="1098">
        <f t="shared" si="50"/>
        <v>5156446.471306717</v>
      </c>
      <c r="BZ21" s="1098">
        <f t="shared" si="50"/>
        <v>5311139.8654459184</v>
      </c>
      <c r="CA21" s="1098">
        <f t="shared" si="50"/>
        <v>5470474.0614092965</v>
      </c>
      <c r="CB21" s="1098">
        <f t="shared" si="50"/>
        <v>5634588.2832515761</v>
      </c>
      <c r="CC21" s="1098">
        <f t="shared" si="50"/>
        <v>5803625.9317491222</v>
      </c>
      <c r="CD21" s="1098">
        <f t="shared" si="50"/>
        <v>5977734.7097015958</v>
      </c>
      <c r="CE21" s="1098">
        <f t="shared" si="50"/>
        <v>6157066.7509926446</v>
      </c>
      <c r="CF21" s="1098">
        <f t="shared" si="50"/>
        <v>6341778.753522424</v>
      </c>
      <c r="CG21" s="1098">
        <f t="shared" si="50"/>
        <v>6532032.1161280964</v>
      </c>
      <c r="CH21" s="1098">
        <f t="shared" si="50"/>
        <v>6727993.0796119394</v>
      </c>
      <c r="CI21" s="1098">
        <f t="shared" si="50"/>
        <v>6929832.8720002975</v>
      </c>
      <c r="CJ21" s="1098">
        <f t="shared" si="50"/>
        <v>7137727.8581603076</v>
      </c>
      <c r="CK21" s="1086"/>
      <c r="CL21" s="1086"/>
      <c r="CM21" s="1086"/>
      <c r="CN21" s="1086"/>
      <c r="CO21" s="1086"/>
      <c r="CP21" s="1086"/>
      <c r="CQ21" s="1086"/>
      <c r="CR21" s="1086"/>
      <c r="CS21" s="1086"/>
      <c r="CT21" s="1086"/>
      <c r="CU21" s="1086"/>
      <c r="CV21" s="1086"/>
      <c r="CW21" s="1086"/>
      <c r="CX21" s="1086"/>
      <c r="CY21" s="1086"/>
      <c r="CZ21" s="1086"/>
      <c r="DA21" s="1086"/>
      <c r="DB21" s="1086"/>
      <c r="DC21" s="1086"/>
      <c r="DD21" s="1086"/>
      <c r="DE21" s="1086"/>
      <c r="DF21" s="1086"/>
      <c r="DG21" s="1086"/>
      <c r="DH21" s="1086"/>
      <c r="DI21" s="1086"/>
      <c r="DJ21" s="1086"/>
      <c r="DK21" s="1086"/>
      <c r="DL21" s="1086"/>
      <c r="DM21" s="1086"/>
      <c r="DN21" s="1086"/>
      <c r="DO21" s="1086"/>
      <c r="DP21" s="1086"/>
      <c r="DQ21" s="1086"/>
      <c r="DR21" s="1086"/>
      <c r="DS21" s="1086"/>
      <c r="DT21" s="1086"/>
      <c r="DU21" s="1086"/>
      <c r="DV21" s="1086"/>
      <c r="DW21" s="1086"/>
      <c r="DX21" s="1086"/>
      <c r="DY21" s="1086"/>
      <c r="DZ21" s="1086"/>
      <c r="EA21" s="1086"/>
      <c r="EB21" s="1086"/>
      <c r="EC21" s="1086"/>
      <c r="ED21" s="1086"/>
      <c r="EE21" s="1086"/>
      <c r="EF21" s="1086"/>
      <c r="EG21" s="1086"/>
      <c r="EH21" s="1086"/>
      <c r="EI21" s="1086"/>
      <c r="EJ21" s="1086"/>
      <c r="EK21" s="1086"/>
      <c r="EL21" s="1086"/>
      <c r="EM21" s="1086"/>
      <c r="EN21" s="1086"/>
      <c r="EO21" s="1086"/>
      <c r="EP21" s="1086"/>
      <c r="EQ21" s="1086"/>
      <c r="ER21" s="1086"/>
      <c r="ES21" s="1"/>
      <c r="ET21" s="1"/>
      <c r="EU21" s="1"/>
      <c r="EV21" s="1"/>
      <c r="EW21" s="1"/>
      <c r="EX21" s="1"/>
      <c r="EY21" s="1"/>
      <c r="EZ21" s="1"/>
      <c r="FA21" s="1"/>
      <c r="FB21" s="1"/>
      <c r="FC21" s="1"/>
      <c r="FD21" s="1"/>
      <c r="FE21" s="1"/>
      <c r="FF21" s="1"/>
      <c r="FG21" s="1"/>
      <c r="FH21" s="1"/>
      <c r="FI21" s="1"/>
      <c r="FJ21" s="1"/>
      <c r="FK21" s="1"/>
      <c r="FL21" s="1"/>
      <c r="FM21" s="1"/>
      <c r="FN21" s="1"/>
      <c r="FO21" s="1"/>
      <c r="FP21" s="1"/>
      <c r="FQ21" s="1"/>
      <c r="FR21" s="1"/>
      <c r="FS21" s="1"/>
      <c r="FT21" s="1"/>
      <c r="FU21" s="1"/>
      <c r="FV21" s="1"/>
      <c r="FW21" s="1"/>
      <c r="FX21" s="1"/>
      <c r="FY21" s="1"/>
      <c r="FZ21" s="1"/>
      <c r="GA21" s="1"/>
      <c r="GB21" s="1"/>
      <c r="GC21" s="1"/>
      <c r="GD21" s="1"/>
      <c r="GE21" s="1"/>
      <c r="GF21" s="1"/>
      <c r="GG21" s="1"/>
      <c r="GH21" s="1"/>
      <c r="GI21" s="1"/>
      <c r="GJ21" s="1"/>
      <c r="GK21" s="1"/>
      <c r="GL21" s="1"/>
      <c r="GM21" s="1"/>
      <c r="GN21" s="1"/>
      <c r="GO21" s="1"/>
      <c r="GP21" s="1"/>
      <c r="GQ21" s="1"/>
      <c r="GR21" s="1"/>
      <c r="GS21" s="1"/>
      <c r="GT21" s="1"/>
      <c r="GU21" s="1"/>
      <c r="GV21" s="1"/>
      <c r="GW21" s="1"/>
      <c r="GX21" s="1"/>
      <c r="GY21" s="1"/>
      <c r="GZ21" s="1"/>
      <c r="HA21" s="1"/>
      <c r="HB21" s="1"/>
      <c r="HC21" s="1"/>
      <c r="HD21" s="1"/>
      <c r="HE21" s="1"/>
      <c r="HF21" s="1"/>
      <c r="HG21" s="1"/>
      <c r="HH21" s="1"/>
      <c r="HI21" s="1"/>
      <c r="HJ21" s="1"/>
      <c r="HK21" s="1"/>
      <c r="HL21" s="1"/>
      <c r="HM21" s="1"/>
      <c r="HN21" s="1"/>
      <c r="HO21" s="1"/>
      <c r="HP21" s="1"/>
      <c r="HQ21" s="1"/>
      <c r="HR21" s="1"/>
      <c r="HS21" s="1"/>
      <c r="HT21" s="1"/>
      <c r="HU21" s="1"/>
      <c r="HV21" s="1"/>
      <c r="HW21" s="1"/>
      <c r="HX21" s="1"/>
      <c r="HY21" s="1"/>
      <c r="HZ21" s="1"/>
      <c r="IA21" s="1"/>
      <c r="IB21" s="1"/>
      <c r="IC21" s="1"/>
      <c r="ID21" s="1"/>
      <c r="IE21" s="1"/>
      <c r="IF21" s="1"/>
      <c r="IG21" s="1"/>
      <c r="IH21" s="1"/>
      <c r="II21" s="1"/>
      <c r="IJ21" s="1"/>
      <c r="IK21" s="1"/>
      <c r="IL21" s="1"/>
      <c r="IM21" s="1"/>
      <c r="IN21" s="1"/>
      <c r="IO21" s="1"/>
      <c r="IP21" s="1"/>
      <c r="IQ21" s="1"/>
      <c r="IR21" s="1"/>
      <c r="IS21" s="1"/>
      <c r="IT21" s="1"/>
      <c r="IU21" s="1"/>
      <c r="IV21" s="1"/>
      <c r="IW21" s="1"/>
      <c r="IX21" s="1"/>
      <c r="IY21" s="1"/>
      <c r="IZ21" s="1"/>
      <c r="JA21" s="1"/>
      <c r="JB21" s="1"/>
      <c r="JC21" s="1"/>
      <c r="JD21" s="1"/>
    </row>
    <row r="22" spans="2:264" s="1044" customFormat="1" ht="13.5" thickBot="1" x14ac:dyDescent="0.25">
      <c r="B22" s="1158" t="s">
        <v>1018</v>
      </c>
      <c r="C22" s="1163">
        <f ca="1">H12</f>
        <v>101.41302281208121</v>
      </c>
      <c r="D22" s="1069"/>
      <c r="F22" s="1102" t="s">
        <v>995</v>
      </c>
      <c r="G22" s="1103">
        <f ca="1">+G21+G17</f>
        <v>172048.55906381382</v>
      </c>
      <c r="H22" s="1104">
        <f t="shared" ca="1" si="45"/>
        <v>102.80993668087862</v>
      </c>
      <c r="I22" s="1090"/>
      <c r="J22" s="1090"/>
      <c r="K22" s="1090"/>
      <c r="L22" s="1090"/>
      <c r="M22" s="1090"/>
      <c r="N22" s="1090"/>
      <c r="O22" s="1090"/>
      <c r="P22" s="1046"/>
      <c r="Q22" s="1046" t="s">
        <v>1019</v>
      </c>
      <c r="R22" s="1074"/>
      <c r="S22" s="1074"/>
      <c r="T22" s="1074"/>
      <c r="U22" s="1074"/>
      <c r="V22" s="1074"/>
      <c r="W22" s="1074"/>
      <c r="X22" s="1129"/>
      <c r="Y22" s="1129"/>
      <c r="Z22" s="1129"/>
      <c r="AA22" s="1129"/>
      <c r="AB22" s="1129"/>
      <c r="AC22" s="1129"/>
      <c r="AD22" s="1129">
        <f t="shared" ref="AD22:AL23" si="53">AD30/AD19</f>
        <v>0.25310460771669341</v>
      </c>
      <c r="AE22" s="1129">
        <f t="shared" si="53"/>
        <v>0.2610023470098824</v>
      </c>
      <c r="AF22" s="1129">
        <f t="shared" si="53"/>
        <v>0.25207487614197505</v>
      </c>
      <c r="AG22" s="1129">
        <f t="shared" si="53"/>
        <v>0.25081641549477418</v>
      </c>
      <c r="AH22" s="1129">
        <f t="shared" si="53"/>
        <v>0.25419552097475273</v>
      </c>
      <c r="AI22" s="1129">
        <f t="shared" si="53"/>
        <v>0.23723004241451567</v>
      </c>
      <c r="AJ22" s="1129">
        <f t="shared" si="53"/>
        <v>0.22825200081592492</v>
      </c>
      <c r="AK22" s="1369">
        <f t="shared" si="53"/>
        <v>0.22071935549807228</v>
      </c>
      <c r="AL22" s="1129">
        <f t="shared" si="53"/>
        <v>0.21987062611923028</v>
      </c>
      <c r="AM22" s="1129">
        <f t="shared" ref="AM22" si="54">AM30/AM19</f>
        <v>0.21987062611923025</v>
      </c>
      <c r="AN22" s="1129">
        <f t="shared" ref="AN22" si="55">AN30/AN19</f>
        <v>0.21987062611923025</v>
      </c>
      <c r="AO22" s="1131">
        <v>0.22</v>
      </c>
      <c r="AP22" s="1149">
        <f t="shared" ref="AP22:BE24" si="56">AO22</f>
        <v>0.22</v>
      </c>
      <c r="AQ22" s="1149">
        <f t="shared" si="56"/>
        <v>0.22</v>
      </c>
      <c r="AR22" s="1149">
        <f t="shared" si="56"/>
        <v>0.22</v>
      </c>
      <c r="AS22" s="1149">
        <f t="shared" si="56"/>
        <v>0.22</v>
      </c>
      <c r="AT22" s="1149">
        <f t="shared" si="56"/>
        <v>0.22</v>
      </c>
      <c r="AU22" s="1149">
        <f t="shared" si="56"/>
        <v>0.22</v>
      </c>
      <c r="AV22" s="1150">
        <f t="shared" si="56"/>
        <v>0.22</v>
      </c>
      <c r="AW22" s="1150">
        <f t="shared" si="56"/>
        <v>0.22</v>
      </c>
      <c r="AX22" s="1150">
        <f t="shared" si="56"/>
        <v>0.22</v>
      </c>
      <c r="AY22" s="1150">
        <f t="shared" si="56"/>
        <v>0.22</v>
      </c>
      <c r="AZ22" s="1150">
        <f t="shared" si="56"/>
        <v>0.22</v>
      </c>
      <c r="BA22" s="1151">
        <f t="shared" si="56"/>
        <v>0.22</v>
      </c>
      <c r="BB22" s="1151">
        <f t="shared" si="56"/>
        <v>0.22</v>
      </c>
      <c r="BC22" s="1151">
        <f t="shared" si="56"/>
        <v>0.22</v>
      </c>
      <c r="BD22" s="1151">
        <f t="shared" si="56"/>
        <v>0.22</v>
      </c>
      <c r="BE22" s="1151">
        <f t="shared" si="56"/>
        <v>0.22</v>
      </c>
      <c r="BF22" s="1151">
        <f t="shared" ref="BF22:BU24" si="57">BE22</f>
        <v>0.22</v>
      </c>
      <c r="BG22" s="1151">
        <f t="shared" si="57"/>
        <v>0.22</v>
      </c>
      <c r="BH22" s="1151">
        <f t="shared" si="57"/>
        <v>0.22</v>
      </c>
      <c r="BI22" s="1151">
        <f t="shared" si="57"/>
        <v>0.22</v>
      </c>
      <c r="BJ22" s="1151">
        <f t="shared" si="57"/>
        <v>0.22</v>
      </c>
      <c r="BK22" s="1151">
        <f t="shared" si="57"/>
        <v>0.22</v>
      </c>
      <c r="BL22" s="1151">
        <f t="shared" si="57"/>
        <v>0.22</v>
      </c>
      <c r="BM22" s="1151">
        <f t="shared" si="57"/>
        <v>0.22</v>
      </c>
      <c r="BN22" s="1151">
        <f t="shared" si="57"/>
        <v>0.22</v>
      </c>
      <c r="BO22" s="1151">
        <f t="shared" si="57"/>
        <v>0.22</v>
      </c>
      <c r="BP22" s="1151">
        <f t="shared" si="57"/>
        <v>0.22</v>
      </c>
      <c r="BQ22" s="1151">
        <f t="shared" si="57"/>
        <v>0.22</v>
      </c>
      <c r="BR22" s="1151">
        <f t="shared" si="57"/>
        <v>0.22</v>
      </c>
      <c r="BS22" s="1151">
        <f t="shared" si="57"/>
        <v>0.22</v>
      </c>
      <c r="BT22" s="1151">
        <f t="shared" si="57"/>
        <v>0.22</v>
      </c>
      <c r="BU22" s="1151">
        <f t="shared" si="57"/>
        <v>0.22</v>
      </c>
      <c r="BV22" s="1151">
        <f t="shared" ref="BV22:CJ24" si="58">BU22</f>
        <v>0.22</v>
      </c>
      <c r="BW22" s="1151">
        <f t="shared" si="58"/>
        <v>0.22</v>
      </c>
      <c r="BX22" s="1151">
        <f t="shared" si="58"/>
        <v>0.22</v>
      </c>
      <c r="BY22" s="1151">
        <f t="shared" si="58"/>
        <v>0.22</v>
      </c>
      <c r="BZ22" s="1151">
        <f t="shared" si="58"/>
        <v>0.22</v>
      </c>
      <c r="CA22" s="1151">
        <f t="shared" si="58"/>
        <v>0.22</v>
      </c>
      <c r="CB22" s="1151">
        <f t="shared" si="58"/>
        <v>0.22</v>
      </c>
      <c r="CC22" s="1151">
        <f t="shared" si="58"/>
        <v>0.22</v>
      </c>
      <c r="CD22" s="1151">
        <f t="shared" si="58"/>
        <v>0.22</v>
      </c>
      <c r="CE22" s="1151">
        <f t="shared" si="58"/>
        <v>0.22</v>
      </c>
      <c r="CF22" s="1151">
        <f t="shared" si="58"/>
        <v>0.22</v>
      </c>
      <c r="CG22" s="1151">
        <f t="shared" si="58"/>
        <v>0.22</v>
      </c>
      <c r="CH22" s="1151">
        <f t="shared" si="58"/>
        <v>0.22</v>
      </c>
      <c r="CI22" s="1151">
        <f t="shared" si="58"/>
        <v>0.22</v>
      </c>
      <c r="CJ22" s="1151">
        <f t="shared" si="58"/>
        <v>0.22</v>
      </c>
      <c r="CK22" s="1135"/>
      <c r="CL22" s="1135"/>
      <c r="CM22" s="1135"/>
      <c r="CN22" s="1135"/>
      <c r="CO22" s="1135"/>
      <c r="CP22" s="1135"/>
      <c r="CQ22" s="1135"/>
      <c r="CR22" s="1135"/>
      <c r="CS22" s="1135"/>
      <c r="CT22" s="1135"/>
      <c r="CU22" s="1135"/>
      <c r="CV22" s="1135"/>
      <c r="CW22" s="1135"/>
      <c r="CX22" s="1135"/>
      <c r="CY22" s="1135"/>
      <c r="CZ22" s="1135"/>
      <c r="DA22" s="1135"/>
      <c r="DB22" s="1135"/>
      <c r="DC22" s="1135"/>
      <c r="DD22" s="1135"/>
      <c r="DE22" s="1135"/>
      <c r="DF22" s="1135"/>
      <c r="DG22" s="1135"/>
      <c r="DH22" s="1135"/>
      <c r="DI22" s="1135"/>
      <c r="DJ22" s="1135"/>
      <c r="DK22" s="1135"/>
      <c r="DL22" s="1135"/>
      <c r="DM22" s="1135"/>
      <c r="DN22" s="1135"/>
      <c r="DO22" s="1135"/>
      <c r="DP22" s="1135"/>
      <c r="DQ22" s="1135"/>
      <c r="DR22" s="1135"/>
      <c r="DS22" s="1135"/>
      <c r="DT22" s="1135"/>
      <c r="DU22" s="1135"/>
      <c r="DV22" s="1135"/>
      <c r="DW22" s="1135"/>
      <c r="DX22" s="1135"/>
      <c r="DY22" s="1135"/>
      <c r="DZ22" s="1135"/>
      <c r="EA22" s="1135"/>
      <c r="EB22" s="1135"/>
      <c r="EC22" s="1135"/>
      <c r="ED22" s="1135"/>
      <c r="EE22" s="1135"/>
      <c r="EF22" s="1135"/>
      <c r="EG22" s="1135"/>
      <c r="EH22" s="1135"/>
      <c r="EI22" s="1135"/>
      <c r="EJ22" s="1135"/>
      <c r="EK22" s="1135"/>
      <c r="EL22" s="1135"/>
      <c r="EM22" s="1135"/>
      <c r="EN22" s="1135"/>
      <c r="EO22" s="1135"/>
      <c r="EP22" s="1135"/>
      <c r="EQ22" s="1135"/>
      <c r="ER22" s="1135"/>
      <c r="ES22" s="1"/>
      <c r="ET22" s="1"/>
      <c r="EU22" s="1"/>
      <c r="EV22" s="1"/>
      <c r="EW22" s="1"/>
      <c r="EX22" s="1"/>
      <c r="EY22" s="1"/>
      <c r="EZ22" s="1"/>
      <c r="FA22" s="1"/>
      <c r="FB22" s="1"/>
      <c r="FC22" s="1"/>
      <c r="FD22" s="1"/>
      <c r="FE22" s="1"/>
      <c r="FF22" s="1"/>
      <c r="FG22" s="1"/>
      <c r="FH22" s="1"/>
      <c r="FI22" s="1"/>
      <c r="FJ22" s="1"/>
      <c r="FK22" s="1"/>
      <c r="FL22" s="1"/>
      <c r="FM22" s="1"/>
      <c r="FN22" s="1"/>
      <c r="FO22" s="1"/>
      <c r="FP22" s="1"/>
      <c r="FQ22" s="1"/>
      <c r="FR22" s="1"/>
      <c r="FS22" s="1"/>
      <c r="FT22" s="1"/>
      <c r="FU22" s="1"/>
      <c r="FV22" s="1"/>
      <c r="FW22" s="1"/>
      <c r="FX22" s="1"/>
      <c r="FY22" s="1"/>
      <c r="FZ22" s="1"/>
      <c r="GA22" s="1"/>
      <c r="GB22" s="1"/>
      <c r="GC22" s="1"/>
      <c r="GD22" s="1"/>
      <c r="GE22" s="1"/>
      <c r="GF22" s="1"/>
      <c r="GG22" s="1"/>
      <c r="GH22" s="1"/>
      <c r="GI22" s="1"/>
      <c r="GJ22" s="1"/>
      <c r="GK22" s="1"/>
      <c r="GL22" s="1"/>
      <c r="GM22" s="1"/>
      <c r="GN22" s="1"/>
      <c r="GO22" s="1"/>
      <c r="GP22" s="1"/>
      <c r="GQ22" s="1"/>
      <c r="GR22" s="1"/>
      <c r="GS22" s="1"/>
      <c r="GT22" s="1"/>
      <c r="GU22" s="1"/>
      <c r="GV22" s="1"/>
      <c r="GW22" s="1"/>
      <c r="GX22" s="1"/>
      <c r="GY22" s="1"/>
      <c r="GZ22" s="1"/>
      <c r="HA22" s="1"/>
      <c r="HB22" s="1"/>
      <c r="HC22" s="1"/>
      <c r="HD22" s="1"/>
      <c r="HE22" s="1"/>
      <c r="HF22" s="1"/>
      <c r="HG22" s="1"/>
      <c r="HH22" s="1"/>
      <c r="HI22" s="1"/>
      <c r="HJ22" s="1"/>
      <c r="HK22" s="1"/>
      <c r="HL22" s="1"/>
      <c r="HM22" s="1"/>
      <c r="HN22" s="1"/>
      <c r="HO22" s="1"/>
      <c r="HP22" s="1"/>
      <c r="HQ22" s="1"/>
      <c r="HR22" s="1"/>
      <c r="HS22" s="1"/>
      <c r="HT22" s="1"/>
      <c r="HU22" s="1"/>
      <c r="HV22" s="1"/>
      <c r="HW22" s="1"/>
      <c r="HX22" s="1"/>
      <c r="HY22" s="1"/>
      <c r="HZ22" s="1"/>
      <c r="IA22" s="1"/>
      <c r="IB22" s="1"/>
      <c r="IC22" s="1"/>
      <c r="ID22" s="1"/>
      <c r="IE22" s="1"/>
      <c r="IF22" s="1"/>
      <c r="IG22" s="1"/>
      <c r="IH22" s="1"/>
      <c r="II22" s="1"/>
      <c r="IJ22" s="1"/>
      <c r="IK22" s="1"/>
      <c r="IL22" s="1"/>
      <c r="IM22" s="1"/>
      <c r="IN22" s="1"/>
      <c r="IO22" s="1"/>
      <c r="IP22" s="1"/>
      <c r="IQ22" s="1"/>
      <c r="IR22" s="1"/>
      <c r="IS22" s="1"/>
      <c r="IT22" s="1"/>
      <c r="IU22" s="1"/>
      <c r="IV22" s="1"/>
      <c r="IW22" s="1"/>
      <c r="IX22" s="1"/>
      <c r="IY22" s="1"/>
      <c r="IZ22" s="1"/>
      <c r="JA22" s="1"/>
      <c r="JB22" s="1"/>
      <c r="JC22" s="1"/>
      <c r="JD22" s="1"/>
    </row>
    <row r="23" spans="2:264" s="1044" customFormat="1" ht="13.5" thickBot="1" x14ac:dyDescent="0.25">
      <c r="B23" s="1166" t="s">
        <v>1020</v>
      </c>
      <c r="C23" s="1167">
        <f ca="1">H13</f>
        <v>104.1</v>
      </c>
      <c r="D23" s="1069"/>
      <c r="F23" s="1070" t="s">
        <v>997</v>
      </c>
      <c r="G23" s="1082">
        <v>0</v>
      </c>
      <c r="H23" s="1072">
        <f t="shared" si="45"/>
        <v>0</v>
      </c>
      <c r="I23" s="1171"/>
      <c r="J23" s="1171"/>
      <c r="K23" s="1171"/>
      <c r="L23" s="1171"/>
      <c r="M23" s="1171"/>
      <c r="N23" s="1171"/>
      <c r="O23" s="1171"/>
      <c r="P23" s="1046"/>
      <c r="Q23" s="1046" t="s">
        <v>1022</v>
      </c>
      <c r="R23" s="1074"/>
      <c r="S23" s="1074"/>
      <c r="T23" s="1074"/>
      <c r="U23" s="1074"/>
      <c r="V23" s="1074"/>
      <c r="W23" s="1074"/>
      <c r="X23" s="1129"/>
      <c r="Y23" s="1129"/>
      <c r="Z23" s="1129"/>
      <c r="AA23" s="1129"/>
      <c r="AB23" s="1129"/>
      <c r="AC23" s="1129"/>
      <c r="AD23" s="1129">
        <f t="shared" si="53"/>
        <v>0.48405498342855618</v>
      </c>
      <c r="AE23" s="1129">
        <f t="shared" si="53"/>
        <v>0.47684902718459765</v>
      </c>
      <c r="AF23" s="1129">
        <f t="shared" si="53"/>
        <v>0.46187186515868728</v>
      </c>
      <c r="AG23" s="1129">
        <f t="shared" si="53"/>
        <v>0.38008213138456071</v>
      </c>
      <c r="AH23" s="1129">
        <f t="shared" si="53"/>
        <v>0.35296870787059881</v>
      </c>
      <c r="AI23" s="1129">
        <f t="shared" si="53"/>
        <v>0.31579341410763528</v>
      </c>
      <c r="AJ23" s="1129">
        <f t="shared" si="53"/>
        <v>0.3469399799011243</v>
      </c>
      <c r="AK23" s="1369">
        <f t="shared" si="53"/>
        <v>0.36374852406082075</v>
      </c>
      <c r="AL23" s="1129">
        <f t="shared" si="53"/>
        <v>0.36188939919626589</v>
      </c>
      <c r="AM23" s="1129">
        <f t="shared" ref="AM23" si="59">AM31/AM20</f>
        <v>0.36188939919626589</v>
      </c>
      <c r="AN23" s="1129">
        <f t="shared" ref="AN23" si="60">AN31/AN20</f>
        <v>0.36188939919626584</v>
      </c>
      <c r="AO23" s="1131">
        <v>0.36199999999999999</v>
      </c>
      <c r="AP23" s="1149">
        <f t="shared" si="56"/>
        <v>0.36199999999999999</v>
      </c>
      <c r="AQ23" s="1149">
        <f t="shared" si="56"/>
        <v>0.36199999999999999</v>
      </c>
      <c r="AR23" s="1149">
        <f t="shared" si="56"/>
        <v>0.36199999999999999</v>
      </c>
      <c r="AS23" s="1149">
        <f t="shared" si="56"/>
        <v>0.36199999999999999</v>
      </c>
      <c r="AT23" s="1149">
        <f t="shared" si="56"/>
        <v>0.36199999999999999</v>
      </c>
      <c r="AU23" s="1149">
        <f t="shared" si="56"/>
        <v>0.36199999999999999</v>
      </c>
      <c r="AV23" s="1150">
        <f t="shared" si="56"/>
        <v>0.36199999999999999</v>
      </c>
      <c r="AW23" s="1150">
        <f t="shared" si="56"/>
        <v>0.36199999999999999</v>
      </c>
      <c r="AX23" s="1150">
        <f t="shared" si="56"/>
        <v>0.36199999999999999</v>
      </c>
      <c r="AY23" s="1150">
        <f t="shared" si="56"/>
        <v>0.36199999999999999</v>
      </c>
      <c r="AZ23" s="1150">
        <f t="shared" si="56"/>
        <v>0.36199999999999999</v>
      </c>
      <c r="BA23" s="1151">
        <f t="shared" si="56"/>
        <v>0.36199999999999999</v>
      </c>
      <c r="BB23" s="1151">
        <f t="shared" si="56"/>
        <v>0.36199999999999999</v>
      </c>
      <c r="BC23" s="1151">
        <f t="shared" si="56"/>
        <v>0.36199999999999999</v>
      </c>
      <c r="BD23" s="1151">
        <f t="shared" si="56"/>
        <v>0.36199999999999999</v>
      </c>
      <c r="BE23" s="1151">
        <f t="shared" si="56"/>
        <v>0.36199999999999999</v>
      </c>
      <c r="BF23" s="1151">
        <f t="shared" si="57"/>
        <v>0.36199999999999999</v>
      </c>
      <c r="BG23" s="1151">
        <f t="shared" si="57"/>
        <v>0.36199999999999999</v>
      </c>
      <c r="BH23" s="1151">
        <f t="shared" si="57"/>
        <v>0.36199999999999999</v>
      </c>
      <c r="BI23" s="1151">
        <f t="shared" si="57"/>
        <v>0.36199999999999999</v>
      </c>
      <c r="BJ23" s="1151">
        <f t="shared" si="57"/>
        <v>0.36199999999999999</v>
      </c>
      <c r="BK23" s="1151">
        <f t="shared" si="57"/>
        <v>0.36199999999999999</v>
      </c>
      <c r="BL23" s="1151">
        <f t="shared" si="57"/>
        <v>0.36199999999999999</v>
      </c>
      <c r="BM23" s="1151">
        <f t="shared" si="57"/>
        <v>0.36199999999999999</v>
      </c>
      <c r="BN23" s="1151">
        <f t="shared" si="57"/>
        <v>0.36199999999999999</v>
      </c>
      <c r="BO23" s="1151">
        <f t="shared" si="57"/>
        <v>0.36199999999999999</v>
      </c>
      <c r="BP23" s="1151">
        <f t="shared" si="57"/>
        <v>0.36199999999999999</v>
      </c>
      <c r="BQ23" s="1151">
        <f t="shared" si="57"/>
        <v>0.36199999999999999</v>
      </c>
      <c r="BR23" s="1151">
        <f t="shared" si="57"/>
        <v>0.36199999999999999</v>
      </c>
      <c r="BS23" s="1151">
        <f t="shared" si="57"/>
        <v>0.36199999999999999</v>
      </c>
      <c r="BT23" s="1151">
        <f t="shared" si="57"/>
        <v>0.36199999999999999</v>
      </c>
      <c r="BU23" s="1151">
        <f t="shared" si="57"/>
        <v>0.36199999999999999</v>
      </c>
      <c r="BV23" s="1151">
        <f t="shared" si="58"/>
        <v>0.36199999999999999</v>
      </c>
      <c r="BW23" s="1151">
        <f t="shared" si="58"/>
        <v>0.36199999999999999</v>
      </c>
      <c r="BX23" s="1151">
        <f t="shared" si="58"/>
        <v>0.36199999999999999</v>
      </c>
      <c r="BY23" s="1151">
        <f t="shared" si="58"/>
        <v>0.36199999999999999</v>
      </c>
      <c r="BZ23" s="1151">
        <f t="shared" si="58"/>
        <v>0.36199999999999999</v>
      </c>
      <c r="CA23" s="1151">
        <f t="shared" si="58"/>
        <v>0.36199999999999999</v>
      </c>
      <c r="CB23" s="1151">
        <f t="shared" si="58"/>
        <v>0.36199999999999999</v>
      </c>
      <c r="CC23" s="1151">
        <f t="shared" si="58"/>
        <v>0.36199999999999999</v>
      </c>
      <c r="CD23" s="1151">
        <f t="shared" si="58"/>
        <v>0.36199999999999999</v>
      </c>
      <c r="CE23" s="1151">
        <f t="shared" si="58"/>
        <v>0.36199999999999999</v>
      </c>
      <c r="CF23" s="1151">
        <f t="shared" si="58"/>
        <v>0.36199999999999999</v>
      </c>
      <c r="CG23" s="1151">
        <f t="shared" si="58"/>
        <v>0.36199999999999999</v>
      </c>
      <c r="CH23" s="1151">
        <f t="shared" si="58"/>
        <v>0.36199999999999999</v>
      </c>
      <c r="CI23" s="1151">
        <f t="shared" si="58"/>
        <v>0.36199999999999999</v>
      </c>
      <c r="CJ23" s="1151">
        <f t="shared" si="58"/>
        <v>0.36199999999999999</v>
      </c>
      <c r="CK23" s="1135"/>
      <c r="CL23" s="1135"/>
      <c r="CM23" s="1135"/>
      <c r="CN23" s="1135"/>
      <c r="CO23" s="1135"/>
      <c r="CP23" s="1135"/>
      <c r="CQ23" s="1135"/>
      <c r="CR23" s="1135"/>
      <c r="CS23" s="1135"/>
      <c r="CT23" s="1135"/>
      <c r="CU23" s="1135"/>
      <c r="CV23" s="1135"/>
      <c r="CW23" s="1135"/>
      <c r="CX23" s="1135"/>
      <c r="CY23" s="1135"/>
      <c r="CZ23" s="1135"/>
      <c r="DA23" s="1135"/>
      <c r="DB23" s="1135"/>
      <c r="DC23" s="1135"/>
      <c r="DD23" s="1135"/>
      <c r="DE23" s="1135"/>
      <c r="DF23" s="1135"/>
      <c r="DG23" s="1135"/>
      <c r="DH23" s="1135"/>
      <c r="DI23" s="1135"/>
      <c r="DJ23" s="1135"/>
      <c r="DK23" s="1135"/>
      <c r="DL23" s="1135"/>
      <c r="DM23" s="1135"/>
      <c r="DN23" s="1135"/>
      <c r="DO23" s="1135"/>
      <c r="DP23" s="1135"/>
      <c r="DQ23" s="1135"/>
      <c r="DR23" s="1135"/>
      <c r="DS23" s="1135"/>
      <c r="DT23" s="1135"/>
      <c r="DU23" s="1135"/>
      <c r="DV23" s="1135"/>
      <c r="DW23" s="1135"/>
      <c r="DX23" s="1135"/>
      <c r="DY23" s="1135"/>
      <c r="DZ23" s="1135"/>
      <c r="EA23" s="1135"/>
      <c r="EB23" s="1135"/>
      <c r="EC23" s="1135"/>
      <c r="ED23" s="1135"/>
      <c r="EE23" s="1135"/>
      <c r="EF23" s="1135"/>
      <c r="EG23" s="1135"/>
      <c r="EH23" s="1135"/>
      <c r="EI23" s="1135"/>
      <c r="EJ23" s="1135"/>
      <c r="EK23" s="1135"/>
      <c r="EL23" s="1135"/>
      <c r="EM23" s="1135"/>
      <c r="EN23" s="1135"/>
      <c r="EO23" s="1135"/>
      <c r="EP23" s="1135"/>
      <c r="EQ23" s="1135"/>
      <c r="ER23" s="1135"/>
      <c r="ES23" s="1"/>
      <c r="ET23" s="1"/>
      <c r="EU23" s="1"/>
      <c r="EV23" s="1"/>
      <c r="EW23" s="1"/>
      <c r="EX23" s="1"/>
      <c r="EY23" s="1"/>
      <c r="EZ23" s="1"/>
      <c r="FA23" s="1"/>
      <c r="FB23" s="1"/>
      <c r="FC23" s="1"/>
      <c r="FD23" s="1"/>
      <c r="FE23" s="1"/>
      <c r="FF23" s="1"/>
      <c r="FG23" s="1"/>
      <c r="FH23" s="1"/>
      <c r="FI23" s="1"/>
      <c r="FJ23" s="1"/>
      <c r="FK23" s="1"/>
      <c r="FL23" s="1"/>
      <c r="FM23" s="1"/>
      <c r="FN23" s="1"/>
      <c r="FO23" s="1"/>
      <c r="FP23" s="1"/>
      <c r="FQ23" s="1"/>
      <c r="FR23" s="1"/>
      <c r="FS23" s="1"/>
      <c r="FT23" s="1"/>
      <c r="FU23" s="1"/>
      <c r="FV23" s="1"/>
      <c r="FW23" s="1"/>
      <c r="FX23" s="1"/>
      <c r="FY23" s="1"/>
      <c r="FZ23" s="1"/>
      <c r="GA23" s="1"/>
      <c r="GB23" s="1"/>
      <c r="GC23" s="1"/>
      <c r="GD23" s="1"/>
      <c r="GE23" s="1"/>
      <c r="GF23" s="1"/>
      <c r="GG23" s="1"/>
      <c r="GH23" s="1"/>
      <c r="GI23" s="1"/>
      <c r="GJ23" s="1"/>
      <c r="GK23" s="1"/>
      <c r="GL23" s="1"/>
      <c r="GM23" s="1"/>
      <c r="GN23" s="1"/>
      <c r="GO23" s="1"/>
      <c r="GP23" s="1"/>
      <c r="GQ23" s="1"/>
      <c r="GR23" s="1"/>
      <c r="GS23" s="1"/>
      <c r="GT23" s="1"/>
      <c r="GU23" s="1"/>
      <c r="GV23" s="1"/>
      <c r="GW23" s="1"/>
      <c r="GX23" s="1"/>
      <c r="GY23" s="1"/>
      <c r="GZ23" s="1"/>
      <c r="HA23" s="1"/>
      <c r="HB23" s="1"/>
      <c r="HC23" s="1"/>
      <c r="HD23" s="1"/>
      <c r="HE23" s="1"/>
      <c r="HF23" s="1"/>
      <c r="HG23" s="1"/>
      <c r="HH23" s="1"/>
      <c r="HI23" s="1"/>
      <c r="HJ23" s="1"/>
      <c r="HK23" s="1"/>
      <c r="HL23" s="1"/>
      <c r="HM23" s="1"/>
      <c r="HN23" s="1"/>
      <c r="HO23" s="1"/>
      <c r="HP23" s="1"/>
      <c r="HQ23" s="1"/>
      <c r="HR23" s="1"/>
      <c r="HS23" s="1"/>
      <c r="HT23" s="1"/>
      <c r="HU23" s="1"/>
      <c r="HV23" s="1"/>
      <c r="HW23" s="1"/>
      <c r="HX23" s="1"/>
      <c r="HY23" s="1"/>
      <c r="HZ23" s="1"/>
      <c r="IA23" s="1"/>
      <c r="IB23" s="1"/>
      <c r="IC23" s="1"/>
      <c r="ID23" s="1"/>
      <c r="IE23" s="1"/>
      <c r="IF23" s="1"/>
      <c r="IG23" s="1"/>
      <c r="IH23" s="1"/>
      <c r="II23" s="1"/>
      <c r="IJ23" s="1"/>
      <c r="IK23" s="1"/>
      <c r="IL23" s="1"/>
      <c r="IM23" s="1"/>
      <c r="IN23" s="1"/>
      <c r="IO23" s="1"/>
      <c r="IP23" s="1"/>
      <c r="IQ23" s="1"/>
      <c r="IR23" s="1"/>
      <c r="IS23" s="1"/>
      <c r="IT23" s="1"/>
      <c r="IU23" s="1"/>
      <c r="IV23" s="1"/>
      <c r="IW23" s="1"/>
      <c r="IX23" s="1"/>
      <c r="IY23" s="1"/>
      <c r="IZ23" s="1"/>
      <c r="JA23" s="1"/>
      <c r="JB23" s="1"/>
      <c r="JC23" s="1"/>
      <c r="JD23" s="1"/>
    </row>
    <row r="24" spans="2:264" s="1044" customFormat="1" ht="13.5" thickBot="1" x14ac:dyDescent="0.25">
      <c r="B24" s="1172"/>
      <c r="C24" s="1100"/>
      <c r="D24" s="1069"/>
      <c r="F24" s="1115" t="s">
        <v>999</v>
      </c>
      <c r="G24" s="1116">
        <f ca="1">+G23+G22</f>
        <v>172048.55906381382</v>
      </c>
      <c r="H24" s="1117">
        <f ca="1">+G24/$C$8</f>
        <v>102.80993668087862</v>
      </c>
      <c r="P24" s="1046"/>
      <c r="Q24" s="1046" t="s">
        <v>1023</v>
      </c>
      <c r="R24" s="1074"/>
      <c r="S24" s="1074"/>
      <c r="T24" s="1074"/>
      <c r="U24" s="1074"/>
      <c r="V24" s="1074"/>
      <c r="W24" s="1074"/>
      <c r="X24" s="1129"/>
      <c r="Y24" s="1129"/>
      <c r="Z24" s="1129"/>
      <c r="AA24" s="1129"/>
      <c r="AB24" s="1129"/>
      <c r="AC24" s="1129"/>
      <c r="AD24" s="1129">
        <f t="shared" ref="AD24:AL24" si="61">AD33/AD21</f>
        <v>6.6413272482213175E-3</v>
      </c>
      <c r="AE24" s="1129">
        <f t="shared" si="61"/>
        <v>6.632541182902997E-3</v>
      </c>
      <c r="AF24" s="1129">
        <f t="shared" si="61"/>
        <v>6.0054084012483213E-3</v>
      </c>
      <c r="AG24" s="1129">
        <f t="shared" si="61"/>
        <v>6.4980515773536201E-3</v>
      </c>
      <c r="AH24" s="1129">
        <f t="shared" si="61"/>
        <v>5.6184518852760617E-3</v>
      </c>
      <c r="AI24" s="1129">
        <f t="shared" si="61"/>
        <v>4.362585514175117E-3</v>
      </c>
      <c r="AJ24" s="1129">
        <f t="shared" si="61"/>
        <v>9.9246227166938147E-3</v>
      </c>
      <c r="AK24" s="1369">
        <f t="shared" si="61"/>
        <v>1.1956872667752859E-2</v>
      </c>
      <c r="AL24" s="1129">
        <f t="shared" ca="1" si="61"/>
        <v>1.0664328327969669E-2</v>
      </c>
      <c r="AM24" s="1129">
        <f t="shared" ref="AM24" ca="1" si="62">AM33/AM21</f>
        <v>1.0666791844476631E-2</v>
      </c>
      <c r="AN24" s="1129">
        <f t="shared" ref="AN24" ca="1" si="63">AN33/AN21</f>
        <v>1.0662712848032328E-2</v>
      </c>
      <c r="AO24" s="1131">
        <f t="shared" ref="AO24:BD26" ca="1" si="64">AN24</f>
        <v>1.0662712848032328E-2</v>
      </c>
      <c r="AP24" s="1149">
        <f t="shared" ca="1" si="56"/>
        <v>1.0662712848032328E-2</v>
      </c>
      <c r="AQ24" s="1149">
        <f t="shared" ca="1" si="56"/>
        <v>1.0662712848032328E-2</v>
      </c>
      <c r="AR24" s="1149">
        <f t="shared" ca="1" si="56"/>
        <v>1.0662712848032328E-2</v>
      </c>
      <c r="AS24" s="1149">
        <f t="shared" ca="1" si="56"/>
        <v>1.0662712848032328E-2</v>
      </c>
      <c r="AT24" s="1149">
        <f t="shared" ca="1" si="56"/>
        <v>1.0662712848032328E-2</v>
      </c>
      <c r="AU24" s="1149">
        <f t="shared" ca="1" si="56"/>
        <v>1.0662712848032328E-2</v>
      </c>
      <c r="AV24" s="1150">
        <f t="shared" ca="1" si="56"/>
        <v>1.0662712848032328E-2</v>
      </c>
      <c r="AW24" s="1150">
        <f t="shared" ca="1" si="56"/>
        <v>1.0662712848032328E-2</v>
      </c>
      <c r="AX24" s="1150">
        <f t="shared" ca="1" si="56"/>
        <v>1.0662712848032328E-2</v>
      </c>
      <c r="AY24" s="1150">
        <f t="shared" ca="1" si="56"/>
        <v>1.0662712848032328E-2</v>
      </c>
      <c r="AZ24" s="1150">
        <f t="shared" ca="1" si="56"/>
        <v>1.0662712848032328E-2</v>
      </c>
      <c r="BA24" s="1151">
        <f t="shared" ca="1" si="56"/>
        <v>1.0662712848032328E-2</v>
      </c>
      <c r="BB24" s="1151">
        <f t="shared" ca="1" si="56"/>
        <v>1.0662712848032328E-2</v>
      </c>
      <c r="BC24" s="1151">
        <f t="shared" ca="1" si="56"/>
        <v>1.0662712848032328E-2</v>
      </c>
      <c r="BD24" s="1151">
        <f t="shared" ca="1" si="56"/>
        <v>1.0662712848032328E-2</v>
      </c>
      <c r="BE24" s="1151">
        <f t="shared" ca="1" si="56"/>
        <v>1.0662712848032328E-2</v>
      </c>
      <c r="BF24" s="1151">
        <f t="shared" ca="1" si="57"/>
        <v>1.0662712848032328E-2</v>
      </c>
      <c r="BG24" s="1151">
        <f t="shared" ca="1" si="57"/>
        <v>1.0662712848032328E-2</v>
      </c>
      <c r="BH24" s="1151">
        <f t="shared" ca="1" si="57"/>
        <v>1.0662712848032328E-2</v>
      </c>
      <c r="BI24" s="1151">
        <f t="shared" ca="1" si="57"/>
        <v>1.0662712848032328E-2</v>
      </c>
      <c r="BJ24" s="1151">
        <f t="shared" ca="1" si="57"/>
        <v>1.0662712848032328E-2</v>
      </c>
      <c r="BK24" s="1151">
        <f t="shared" ca="1" si="57"/>
        <v>1.0662712848032328E-2</v>
      </c>
      <c r="BL24" s="1151">
        <f t="shared" ca="1" si="57"/>
        <v>1.0662712848032328E-2</v>
      </c>
      <c r="BM24" s="1151">
        <f t="shared" ca="1" si="57"/>
        <v>1.0662712848032328E-2</v>
      </c>
      <c r="BN24" s="1151">
        <f t="shared" ca="1" si="57"/>
        <v>1.0662712848032328E-2</v>
      </c>
      <c r="BO24" s="1151">
        <f t="shared" ca="1" si="57"/>
        <v>1.0662712848032328E-2</v>
      </c>
      <c r="BP24" s="1151">
        <f t="shared" ca="1" si="57"/>
        <v>1.0662712848032328E-2</v>
      </c>
      <c r="BQ24" s="1151">
        <f t="shared" ca="1" si="57"/>
        <v>1.0662712848032328E-2</v>
      </c>
      <c r="BR24" s="1151">
        <f t="shared" ca="1" si="57"/>
        <v>1.0662712848032328E-2</v>
      </c>
      <c r="BS24" s="1151">
        <f t="shared" ca="1" si="57"/>
        <v>1.0662712848032328E-2</v>
      </c>
      <c r="BT24" s="1151">
        <f t="shared" ca="1" si="57"/>
        <v>1.0662712848032328E-2</v>
      </c>
      <c r="BU24" s="1151">
        <f t="shared" ca="1" si="57"/>
        <v>1.0662712848032328E-2</v>
      </c>
      <c r="BV24" s="1151">
        <f t="shared" ca="1" si="58"/>
        <v>1.0662712848032328E-2</v>
      </c>
      <c r="BW24" s="1151">
        <f t="shared" ca="1" si="58"/>
        <v>1.0662712848032328E-2</v>
      </c>
      <c r="BX24" s="1151">
        <f t="shared" ca="1" si="58"/>
        <v>1.0662712848032328E-2</v>
      </c>
      <c r="BY24" s="1151">
        <f t="shared" ca="1" si="58"/>
        <v>1.0662712848032328E-2</v>
      </c>
      <c r="BZ24" s="1151">
        <f t="shared" ca="1" si="58"/>
        <v>1.0662712848032328E-2</v>
      </c>
      <c r="CA24" s="1151">
        <f t="shared" ca="1" si="58"/>
        <v>1.0662712848032328E-2</v>
      </c>
      <c r="CB24" s="1151">
        <f t="shared" ca="1" si="58"/>
        <v>1.0662712848032328E-2</v>
      </c>
      <c r="CC24" s="1151">
        <f t="shared" ca="1" si="58"/>
        <v>1.0662712848032328E-2</v>
      </c>
      <c r="CD24" s="1151">
        <f t="shared" ca="1" si="58"/>
        <v>1.0662712848032328E-2</v>
      </c>
      <c r="CE24" s="1151">
        <f t="shared" ca="1" si="58"/>
        <v>1.0662712848032328E-2</v>
      </c>
      <c r="CF24" s="1151">
        <f t="shared" ca="1" si="58"/>
        <v>1.0662712848032328E-2</v>
      </c>
      <c r="CG24" s="1151">
        <f t="shared" ca="1" si="58"/>
        <v>1.0662712848032328E-2</v>
      </c>
      <c r="CH24" s="1151">
        <f t="shared" ca="1" si="58"/>
        <v>1.0662712848032328E-2</v>
      </c>
      <c r="CI24" s="1151">
        <f t="shared" ca="1" si="58"/>
        <v>1.0662712848032328E-2</v>
      </c>
      <c r="CJ24" s="1151">
        <f t="shared" ca="1" si="58"/>
        <v>1.0662712848032328E-2</v>
      </c>
      <c r="CK24" s="1173"/>
      <c r="CL24" s="1173"/>
      <c r="CM24" s="1173"/>
      <c r="CN24" s="1173"/>
      <c r="CO24" s="1173"/>
      <c r="CP24" s="1173"/>
      <c r="CQ24" s="1173"/>
      <c r="CR24" s="1173"/>
      <c r="CS24" s="1173"/>
      <c r="CT24" s="1173"/>
      <c r="CU24" s="1173"/>
      <c r="CV24" s="1173"/>
      <c r="CW24" s="1173"/>
      <c r="CX24" s="1173"/>
      <c r="CY24" s="1173"/>
      <c r="CZ24" s="1173"/>
      <c r="DA24" s="1173"/>
      <c r="DB24" s="1173"/>
      <c r="DC24" s="1173"/>
      <c r="DD24" s="1173"/>
      <c r="DE24" s="1173"/>
      <c r="DF24" s="1173"/>
      <c r="DG24" s="1173"/>
      <c r="DH24" s="1173"/>
      <c r="DI24" s="1173"/>
      <c r="DJ24" s="1173"/>
      <c r="DK24" s="1173"/>
      <c r="DL24" s="1173"/>
      <c r="DM24" s="1173"/>
      <c r="DN24" s="1173"/>
      <c r="DO24" s="1173"/>
      <c r="DP24" s="1173"/>
      <c r="DQ24" s="1173"/>
      <c r="DR24" s="1173"/>
      <c r="DS24" s="1173"/>
      <c r="DT24" s="1173"/>
      <c r="DU24" s="1173"/>
      <c r="DV24" s="1173"/>
      <c r="DW24" s="1173"/>
      <c r="DX24" s="1173"/>
      <c r="DY24" s="1173"/>
      <c r="DZ24" s="1173"/>
      <c r="EA24" s="1173"/>
      <c r="EB24" s="1173"/>
      <c r="EC24" s="1173"/>
      <c r="ED24" s="1173"/>
      <c r="EE24" s="1173"/>
      <c r="EF24" s="1173"/>
      <c r="EG24" s="1173"/>
      <c r="EH24" s="1173"/>
      <c r="EI24" s="1173"/>
      <c r="EJ24" s="1173"/>
      <c r="EK24" s="1173"/>
      <c r="EL24" s="1173"/>
      <c r="EM24" s="1173"/>
      <c r="EN24" s="1173"/>
      <c r="EO24" s="1173"/>
      <c r="EP24" s="1173"/>
      <c r="EQ24" s="1173"/>
      <c r="ER24" s="1173"/>
      <c r="ES24" s="1"/>
      <c r="ET24" s="1"/>
      <c r="EU24" s="1"/>
      <c r="EV24" s="1"/>
      <c r="EW24" s="1"/>
      <c r="EX24" s="1"/>
      <c r="EY24" s="1"/>
      <c r="EZ24" s="1"/>
      <c r="FA24" s="1"/>
      <c r="FB24" s="1"/>
      <c r="FC24" s="1"/>
      <c r="FD24" s="1"/>
      <c r="FE24" s="1"/>
      <c r="FF24" s="1"/>
      <c r="FG24" s="1"/>
      <c r="FH24" s="1"/>
      <c r="FI24" s="1"/>
      <c r="FJ24" s="1"/>
      <c r="FK24" s="1"/>
      <c r="FL24" s="1"/>
      <c r="FM24" s="1"/>
      <c r="FN24" s="1"/>
      <c r="FO24" s="1"/>
      <c r="FP24" s="1"/>
      <c r="FQ24" s="1"/>
      <c r="FR24" s="1"/>
      <c r="FS24" s="1"/>
      <c r="FT24" s="1"/>
      <c r="FU24" s="1"/>
      <c r="FV24" s="1"/>
      <c r="FW24" s="1"/>
      <c r="FX24" s="1"/>
      <c r="FY24" s="1"/>
      <c r="FZ24" s="1"/>
      <c r="GA24" s="1"/>
      <c r="GB24" s="1"/>
      <c r="GC24" s="1"/>
      <c r="GD24" s="1"/>
      <c r="GE24" s="1"/>
      <c r="GF24" s="1"/>
      <c r="GG24" s="1"/>
      <c r="GH24" s="1"/>
      <c r="GI24" s="1"/>
      <c r="GJ24" s="1"/>
      <c r="GK24" s="1"/>
      <c r="GL24" s="1"/>
      <c r="GM24" s="1"/>
      <c r="GN24" s="1"/>
      <c r="GO24" s="1"/>
      <c r="GP24" s="1"/>
      <c r="GQ24" s="1"/>
      <c r="GR24" s="1"/>
      <c r="GS24" s="1"/>
      <c r="GT24" s="1"/>
      <c r="GU24" s="1"/>
      <c r="GV24" s="1"/>
      <c r="GW24" s="1"/>
      <c r="GX24" s="1"/>
      <c r="GY24" s="1"/>
      <c r="GZ24" s="1"/>
      <c r="HA24" s="1"/>
      <c r="HB24" s="1"/>
      <c r="HC24" s="1"/>
      <c r="HD24" s="1"/>
      <c r="HE24" s="1"/>
      <c r="HF24" s="1"/>
      <c r="HG24" s="1"/>
      <c r="HH24" s="1"/>
      <c r="HI24" s="1"/>
      <c r="HJ24" s="1"/>
      <c r="HK24" s="1"/>
      <c r="HL24" s="1"/>
      <c r="HM24" s="1"/>
      <c r="HN24" s="1"/>
      <c r="HO24" s="1"/>
      <c r="HP24" s="1"/>
      <c r="HQ24" s="1"/>
      <c r="HR24" s="1"/>
      <c r="HS24" s="1"/>
      <c r="HT24" s="1"/>
      <c r="HU24" s="1"/>
      <c r="HV24" s="1"/>
      <c r="HW24" s="1"/>
      <c r="HX24" s="1"/>
      <c r="HY24" s="1"/>
      <c r="HZ24" s="1"/>
      <c r="IA24" s="1"/>
      <c r="IB24" s="1"/>
      <c r="IC24" s="1"/>
      <c r="ID24" s="1"/>
      <c r="IE24" s="1"/>
      <c r="IF24" s="1"/>
      <c r="IG24" s="1"/>
      <c r="IH24" s="1"/>
      <c r="II24" s="1"/>
      <c r="IJ24" s="1"/>
      <c r="IK24" s="1"/>
      <c r="IL24" s="1"/>
      <c r="IM24" s="1"/>
      <c r="IN24" s="1"/>
      <c r="IO24" s="1"/>
      <c r="IP24" s="1"/>
      <c r="IQ24" s="1"/>
      <c r="IR24" s="1"/>
      <c r="IS24" s="1"/>
      <c r="IT24" s="1"/>
      <c r="IU24" s="1"/>
      <c r="IV24" s="1"/>
      <c r="IW24" s="1"/>
      <c r="IX24" s="1"/>
      <c r="IY24" s="1"/>
      <c r="IZ24" s="1"/>
      <c r="JA24" s="1"/>
      <c r="JB24" s="1"/>
      <c r="JC24" s="1"/>
      <c r="JD24" s="1"/>
    </row>
    <row r="25" spans="2:264" s="1044" customFormat="1" ht="13.5" thickBot="1" x14ac:dyDescent="0.25">
      <c r="B25" s="1172" t="str">
        <f>$D$25&amp;" P/E Multiple"</f>
        <v>FY26E P/E Multiple</v>
      </c>
      <c r="C25" s="1174">
        <f>+C21*100/C61</f>
        <v>25.612026512238074</v>
      </c>
      <c r="D25" s="1081" t="s">
        <v>927</v>
      </c>
      <c r="F25" s="1121" t="s">
        <v>1002</v>
      </c>
      <c r="G25" s="1122"/>
      <c r="H25" s="1123">
        <f ca="1">ROUND(H24*(1+$C$15/100)-$C$6,1)</f>
        <v>105.6</v>
      </c>
      <c r="I25" s="1143"/>
      <c r="J25" s="1143"/>
      <c r="K25" s="1143"/>
      <c r="L25" s="1143"/>
      <c r="M25" s="1143"/>
      <c r="N25" s="1143"/>
      <c r="O25" s="1143"/>
      <c r="P25" s="1046"/>
      <c r="Q25" s="1046" t="s">
        <v>1025</v>
      </c>
      <c r="R25" s="1074" t="s">
        <v>1010</v>
      </c>
      <c r="S25" s="1145">
        <f ca="1">AVERAGE(AL25:AU25)</f>
        <v>0.29696311519317342</v>
      </c>
      <c r="T25" s="1074"/>
      <c r="U25" s="1074"/>
      <c r="V25" s="1074"/>
      <c r="W25" s="1074"/>
      <c r="X25" s="1129"/>
      <c r="Y25" s="1129"/>
      <c r="Z25" s="1129"/>
      <c r="AA25" s="1129"/>
      <c r="AB25" s="1129"/>
      <c r="AC25" s="1129"/>
      <c r="AD25" s="1129">
        <f>AD34/AD21</f>
        <v>0.36143687413560044</v>
      </c>
      <c r="AE25" s="1129">
        <f t="shared" ref="AE25:CJ25" si="65">AE34/AE21</f>
        <v>0.35990567997071093</v>
      </c>
      <c r="AF25" s="1129">
        <f t="shared" si="65"/>
        <v>0.34796961772943857</v>
      </c>
      <c r="AG25" s="1129">
        <f t="shared" si="65"/>
        <v>0.31567756294108401</v>
      </c>
      <c r="AH25" s="1129">
        <f t="shared" si="65"/>
        <v>0.30493405891124581</v>
      </c>
      <c r="AI25" s="1129">
        <f t="shared" si="65"/>
        <v>0.28053288019550071</v>
      </c>
      <c r="AJ25" s="1129">
        <f t="shared" si="65"/>
        <v>0.29405078282515584</v>
      </c>
      <c r="AK25" s="1369">
        <f t="shared" si="65"/>
        <v>0.29952472838940736</v>
      </c>
      <c r="AL25" s="1129">
        <f t="shared" ca="1" si="65"/>
        <v>0.29640594672740211</v>
      </c>
      <c r="AM25" s="1129">
        <f t="shared" ref="AM25" ca="1" si="66">AM34/AM21</f>
        <v>0.29636655232211495</v>
      </c>
      <c r="AN25" s="1129">
        <f t="shared" ref="AN25" ca="1" si="67">AN34/AN21</f>
        <v>0.29640845729609672</v>
      </c>
      <c r="AO25" s="1129">
        <f t="shared" ca="1" si="65"/>
        <v>0.29669852636670385</v>
      </c>
      <c r="AP25" s="1129">
        <f t="shared" ca="1" si="65"/>
        <v>0.29686798622697086</v>
      </c>
      <c r="AQ25" s="1129">
        <f t="shared" ca="1" si="65"/>
        <v>0.29703750098272258</v>
      </c>
      <c r="AR25" s="1129">
        <f t="shared" ca="1" si="65"/>
        <v>0.29720706871001223</v>
      </c>
      <c r="AS25" s="1129">
        <f t="shared" ca="1" si="65"/>
        <v>0.29737668748247159</v>
      </c>
      <c r="AT25" s="1129">
        <f t="shared" ca="1" si="65"/>
        <v>0.29754635537139795</v>
      </c>
      <c r="AU25" s="1129">
        <f t="shared" ca="1" si="65"/>
        <v>0.29771607044584114</v>
      </c>
      <c r="AV25" s="1130">
        <f ca="1">AV34/AV21</f>
        <v>0.2977160704458412</v>
      </c>
      <c r="AW25" s="1130">
        <f t="shared" ca="1" si="65"/>
        <v>0.2977160704458412</v>
      </c>
      <c r="AX25" s="1130">
        <f t="shared" ca="1" si="65"/>
        <v>0.2977160704458412</v>
      </c>
      <c r="AY25" s="1130">
        <f t="shared" ca="1" si="65"/>
        <v>0.29771607044584114</v>
      </c>
      <c r="AZ25" s="1130">
        <f t="shared" ca="1" si="65"/>
        <v>0.29771607044584109</v>
      </c>
      <c r="BA25" s="1130">
        <f t="shared" ca="1" si="65"/>
        <v>0.29771607044584109</v>
      </c>
      <c r="BB25" s="1130">
        <f t="shared" ca="1" si="65"/>
        <v>0.2977160704458412</v>
      </c>
      <c r="BC25" s="1130">
        <f t="shared" ca="1" si="65"/>
        <v>0.29771607044584114</v>
      </c>
      <c r="BD25" s="1130">
        <f t="shared" ca="1" si="65"/>
        <v>0.29771607044584114</v>
      </c>
      <c r="BE25" s="1130">
        <f t="shared" ca="1" si="65"/>
        <v>0.29771607044584114</v>
      </c>
      <c r="BF25" s="1130">
        <f t="shared" ca="1" si="65"/>
        <v>0.29771607044584114</v>
      </c>
      <c r="BG25" s="1130">
        <f t="shared" ca="1" si="65"/>
        <v>0.2977160704458412</v>
      </c>
      <c r="BH25" s="1130">
        <f t="shared" ca="1" si="65"/>
        <v>0.29771607044584114</v>
      </c>
      <c r="BI25" s="1130">
        <f t="shared" ca="1" si="65"/>
        <v>0.29771607044584114</v>
      </c>
      <c r="BJ25" s="1130">
        <f t="shared" ca="1" si="65"/>
        <v>0.29771607044584114</v>
      </c>
      <c r="BK25" s="1130">
        <f t="shared" ca="1" si="65"/>
        <v>0.29771607044584114</v>
      </c>
      <c r="BL25" s="1130">
        <f t="shared" ca="1" si="65"/>
        <v>0.29771607044584114</v>
      </c>
      <c r="BM25" s="1130">
        <f t="shared" ca="1" si="65"/>
        <v>0.2977160704458412</v>
      </c>
      <c r="BN25" s="1130">
        <f t="shared" ca="1" si="65"/>
        <v>0.29771607044584114</v>
      </c>
      <c r="BO25" s="1130">
        <f t="shared" ca="1" si="65"/>
        <v>0.29771607044584114</v>
      </c>
      <c r="BP25" s="1130">
        <f t="shared" ca="1" si="65"/>
        <v>0.29771607044584114</v>
      </c>
      <c r="BQ25" s="1130">
        <f t="shared" ca="1" si="65"/>
        <v>0.29771607044584114</v>
      </c>
      <c r="BR25" s="1130">
        <f t="shared" ca="1" si="65"/>
        <v>0.29771607044584114</v>
      </c>
      <c r="BS25" s="1130">
        <f t="shared" ca="1" si="65"/>
        <v>0.29771607044584114</v>
      </c>
      <c r="BT25" s="1130">
        <f t="shared" ca="1" si="65"/>
        <v>0.2977160704458412</v>
      </c>
      <c r="BU25" s="1130">
        <f t="shared" ca="1" si="65"/>
        <v>0.2977160704458412</v>
      </c>
      <c r="BV25" s="1130">
        <f t="shared" ca="1" si="65"/>
        <v>0.2977160704458412</v>
      </c>
      <c r="BW25" s="1130">
        <f t="shared" ca="1" si="65"/>
        <v>0.29771607044584114</v>
      </c>
      <c r="BX25" s="1130">
        <f t="shared" ca="1" si="65"/>
        <v>0.29771607044584114</v>
      </c>
      <c r="BY25" s="1130">
        <f t="shared" ca="1" si="65"/>
        <v>0.29771607044584114</v>
      </c>
      <c r="BZ25" s="1130">
        <f t="shared" ca="1" si="65"/>
        <v>0.2977160704458412</v>
      </c>
      <c r="CA25" s="1130">
        <f t="shared" ca="1" si="65"/>
        <v>0.29771607044584114</v>
      </c>
      <c r="CB25" s="1130">
        <f t="shared" ca="1" si="65"/>
        <v>0.29771607044584114</v>
      </c>
      <c r="CC25" s="1130">
        <f t="shared" ca="1" si="65"/>
        <v>0.2977160704458412</v>
      </c>
      <c r="CD25" s="1130">
        <f t="shared" ca="1" si="65"/>
        <v>0.29771607044584114</v>
      </c>
      <c r="CE25" s="1130">
        <f t="shared" ca="1" si="65"/>
        <v>0.29771607044584114</v>
      </c>
      <c r="CF25" s="1130">
        <f t="shared" ca="1" si="65"/>
        <v>0.29771607044584114</v>
      </c>
      <c r="CG25" s="1130">
        <f t="shared" ca="1" si="65"/>
        <v>0.29771607044584109</v>
      </c>
      <c r="CH25" s="1130">
        <f t="shared" ca="1" si="65"/>
        <v>0.29771607044584114</v>
      </c>
      <c r="CI25" s="1130">
        <f t="shared" ca="1" si="65"/>
        <v>0.29771607044584114</v>
      </c>
      <c r="CJ25" s="1130">
        <f t="shared" ca="1" si="65"/>
        <v>0.29771607044584109</v>
      </c>
      <c r="CK25" s="1176"/>
      <c r="CL25" s="1176"/>
      <c r="CM25" s="1176"/>
      <c r="CN25" s="1176"/>
      <c r="CO25" s="1176"/>
      <c r="CP25" s="1176"/>
      <c r="CQ25" s="1176"/>
      <c r="CR25" s="1176"/>
      <c r="CS25" s="1176"/>
      <c r="CT25" s="1176"/>
      <c r="CU25" s="1176"/>
      <c r="CV25" s="1176"/>
      <c r="CW25" s="1176"/>
      <c r="CX25" s="1176"/>
      <c r="CY25" s="1176"/>
      <c r="CZ25" s="1176"/>
      <c r="DA25" s="1176"/>
      <c r="DB25" s="1176"/>
      <c r="DC25" s="1176"/>
      <c r="DD25" s="1176"/>
      <c r="DE25" s="1176"/>
      <c r="DF25" s="1176"/>
      <c r="DG25" s="1176"/>
      <c r="DH25" s="1176"/>
      <c r="DI25" s="1176"/>
      <c r="DJ25" s="1176"/>
      <c r="DK25" s="1176"/>
      <c r="DL25" s="1176"/>
      <c r="DM25" s="1176"/>
      <c r="DN25" s="1176"/>
      <c r="DO25" s="1176"/>
      <c r="DP25" s="1176"/>
      <c r="DQ25" s="1176"/>
      <c r="DR25" s="1176"/>
      <c r="DS25" s="1176"/>
      <c r="DT25" s="1176"/>
      <c r="DU25" s="1176"/>
      <c r="DV25" s="1176"/>
      <c r="DW25" s="1176"/>
      <c r="DX25" s="1176"/>
      <c r="DY25" s="1176"/>
      <c r="DZ25" s="1176"/>
      <c r="EA25" s="1176"/>
      <c r="EB25" s="1176"/>
      <c r="EC25" s="1176"/>
      <c r="ED25" s="1176"/>
      <c r="EE25" s="1176"/>
      <c r="EF25" s="1176"/>
      <c r="EG25" s="1176"/>
      <c r="EH25" s="1176"/>
      <c r="EI25" s="1176"/>
      <c r="EJ25" s="1176"/>
      <c r="EK25" s="1176"/>
      <c r="EL25" s="1176"/>
      <c r="EM25" s="1176"/>
      <c r="EN25" s="1176"/>
      <c r="EO25" s="1176"/>
      <c r="EP25" s="1176"/>
      <c r="EQ25" s="1176"/>
      <c r="ER25" s="1176"/>
      <c r="ES25" s="1"/>
      <c r="ET25" s="1"/>
      <c r="EU25" s="1"/>
      <c r="EV25" s="1"/>
      <c r="EW25" s="1"/>
      <c r="EX25" s="1"/>
      <c r="EY25" s="1"/>
      <c r="EZ25" s="1"/>
      <c r="FA25" s="1"/>
      <c r="FB25" s="1"/>
      <c r="FC25" s="1"/>
      <c r="FD25" s="1"/>
      <c r="FE25" s="1"/>
      <c r="FF25" s="1"/>
      <c r="FG25" s="1"/>
      <c r="FH25" s="1"/>
      <c r="FI25" s="1"/>
      <c r="FJ25" s="1"/>
      <c r="FK25" s="1"/>
      <c r="FL25" s="1"/>
      <c r="FM25" s="1"/>
      <c r="FN25" s="1"/>
      <c r="FO25" s="1"/>
      <c r="FP25" s="1"/>
      <c r="FQ25" s="1"/>
      <c r="FR25" s="1"/>
      <c r="FS25" s="1"/>
      <c r="FT25" s="1"/>
      <c r="FU25" s="1"/>
      <c r="FV25" s="1"/>
      <c r="FW25" s="1"/>
      <c r="FX25" s="1"/>
      <c r="FY25" s="1"/>
      <c r="FZ25" s="1"/>
      <c r="GA25" s="1"/>
      <c r="GB25" s="1"/>
      <c r="GC25" s="1"/>
      <c r="GD25" s="1"/>
      <c r="GE25" s="1"/>
      <c r="GF25" s="1"/>
      <c r="GG25" s="1"/>
      <c r="GH25" s="1"/>
      <c r="GI25" s="1"/>
      <c r="GJ25" s="1"/>
      <c r="GK25" s="1"/>
      <c r="GL25" s="1"/>
      <c r="GM25" s="1"/>
      <c r="GN25" s="1"/>
      <c r="GO25" s="1"/>
      <c r="GP25" s="1"/>
      <c r="GQ25" s="1"/>
      <c r="GR25" s="1"/>
      <c r="GS25" s="1"/>
      <c r="GT25" s="1"/>
      <c r="GU25" s="1"/>
      <c r="GV25" s="1"/>
      <c r="GW25" s="1"/>
      <c r="GX25" s="1"/>
      <c r="GY25" s="1"/>
      <c r="GZ25" s="1"/>
      <c r="HA25" s="1"/>
      <c r="HB25" s="1"/>
      <c r="HC25" s="1"/>
      <c r="HD25" s="1"/>
      <c r="HE25" s="1"/>
      <c r="HF25" s="1"/>
      <c r="HG25" s="1"/>
      <c r="HH25" s="1"/>
      <c r="HI25" s="1"/>
      <c r="HJ25" s="1"/>
      <c r="HK25" s="1"/>
      <c r="HL25" s="1"/>
      <c r="HM25" s="1"/>
      <c r="HN25" s="1"/>
      <c r="HO25" s="1"/>
      <c r="HP25" s="1"/>
      <c r="HQ25" s="1"/>
      <c r="HR25" s="1"/>
      <c r="HS25" s="1"/>
      <c r="HT25" s="1"/>
      <c r="HU25" s="1"/>
      <c r="HV25" s="1"/>
      <c r="HW25" s="1"/>
      <c r="HX25" s="1"/>
      <c r="HY25" s="1"/>
      <c r="HZ25" s="1"/>
      <c r="IA25" s="1"/>
      <c r="IB25" s="1"/>
      <c r="IC25" s="1"/>
      <c r="ID25" s="1"/>
      <c r="IE25" s="1"/>
      <c r="IF25" s="1"/>
      <c r="IG25" s="1"/>
      <c r="IH25" s="1"/>
      <c r="II25" s="1"/>
      <c r="IJ25" s="1"/>
      <c r="IK25" s="1"/>
      <c r="IL25" s="1"/>
      <c r="IM25" s="1"/>
      <c r="IN25" s="1"/>
      <c r="IO25" s="1"/>
      <c r="IP25" s="1"/>
      <c r="IQ25" s="1"/>
      <c r="IR25" s="1"/>
      <c r="IS25" s="1"/>
      <c r="IT25" s="1"/>
      <c r="IU25" s="1"/>
      <c r="IV25" s="1"/>
      <c r="IW25" s="1"/>
      <c r="IX25" s="1"/>
      <c r="IY25" s="1"/>
      <c r="IZ25" s="1"/>
      <c r="JA25" s="1"/>
      <c r="JB25" s="1"/>
      <c r="JC25" s="1"/>
      <c r="JD25" s="1"/>
    </row>
    <row r="26" spans="2:264" s="1044" customFormat="1" ht="13.5" thickBot="1" x14ac:dyDescent="0.25">
      <c r="B26" s="1172" t="str">
        <f>$D$25&amp;" P/BV Multiple"</f>
        <v>FY26E P/BV Multiple</v>
      </c>
      <c r="C26" s="1174">
        <f>+C21/C62</f>
        <v>3.5952589433363928</v>
      </c>
      <c r="D26" s="1069"/>
      <c r="F26" s="1125" t="s">
        <v>1004</v>
      </c>
      <c r="G26" s="1126"/>
      <c r="H26" s="1127">
        <f ca="1">+H25/H$2-1</f>
        <v>-0.37721160651096963</v>
      </c>
      <c r="P26" s="1046"/>
      <c r="Q26" s="1046" t="s">
        <v>1027</v>
      </c>
      <c r="R26" s="1074"/>
      <c r="S26" s="1074"/>
      <c r="T26" s="1074"/>
      <c r="U26" s="1074"/>
      <c r="V26" s="1074"/>
      <c r="W26" s="1074"/>
      <c r="X26" s="1129"/>
      <c r="Y26" s="1129"/>
      <c r="Z26" s="1129"/>
      <c r="AA26" s="1129"/>
      <c r="AB26" s="1129"/>
      <c r="AC26" s="1129"/>
      <c r="AD26" s="1129">
        <f t="shared" ref="AD26:AL26" si="68">AD35/AD15</f>
        <v>9.1352745432824192E-2</v>
      </c>
      <c r="AE26" s="1129">
        <f t="shared" si="68"/>
        <v>8.2117599349514903E-2</v>
      </c>
      <c r="AF26" s="1129">
        <f t="shared" si="68"/>
        <v>7.9523689007367018E-2</v>
      </c>
      <c r="AG26" s="1129">
        <f t="shared" si="68"/>
        <v>6.3308063833723158E-2</v>
      </c>
      <c r="AH26" s="1129">
        <f t="shared" si="68"/>
        <v>8.5779997695966295E-2</v>
      </c>
      <c r="AI26" s="1129">
        <f t="shared" si="68"/>
        <v>8.3935699040978973E-2</v>
      </c>
      <c r="AJ26" s="1129">
        <f t="shared" si="68"/>
        <v>7.7433106127539314E-2</v>
      </c>
      <c r="AK26" s="1369">
        <f t="shared" si="68"/>
        <v>7.1810512491145284E-2</v>
      </c>
      <c r="AL26" s="1129">
        <f t="shared" ca="1" si="68"/>
        <v>6.7704150126922963E-2</v>
      </c>
      <c r="AM26" s="1129">
        <f t="shared" ref="AM26" ca="1" si="69">AM35/AM15</f>
        <v>6.7704150126923004E-2</v>
      </c>
      <c r="AN26" s="1129">
        <f t="shared" ref="AN26" ca="1" si="70">AN35/AN15</f>
        <v>6.770415012692306E-2</v>
      </c>
      <c r="AO26" s="1131">
        <f t="shared" ca="1" si="64"/>
        <v>6.770415012692306E-2</v>
      </c>
      <c r="AP26" s="1179">
        <f t="shared" ca="1" si="64"/>
        <v>6.770415012692306E-2</v>
      </c>
      <c r="AQ26" s="1179">
        <f t="shared" ca="1" si="64"/>
        <v>6.770415012692306E-2</v>
      </c>
      <c r="AR26" s="1179">
        <f ca="1">AQ26</f>
        <v>6.770415012692306E-2</v>
      </c>
      <c r="AS26" s="1179">
        <f ca="1">AR26</f>
        <v>6.770415012692306E-2</v>
      </c>
      <c r="AT26" s="1179">
        <f t="shared" ref="AT26:AU26" ca="1" si="71">AS26</f>
        <v>6.770415012692306E-2</v>
      </c>
      <c r="AU26" s="1179">
        <f t="shared" ca="1" si="71"/>
        <v>6.770415012692306E-2</v>
      </c>
      <c r="AV26" s="1179">
        <f t="shared" ca="1" si="64"/>
        <v>6.770415012692306E-2</v>
      </c>
      <c r="AW26" s="1179">
        <f t="shared" ca="1" si="64"/>
        <v>6.770415012692306E-2</v>
      </c>
      <c r="AX26" s="1179">
        <f t="shared" ca="1" si="64"/>
        <v>6.770415012692306E-2</v>
      </c>
      <c r="AY26" s="1179">
        <f t="shared" ca="1" si="64"/>
        <v>6.770415012692306E-2</v>
      </c>
      <c r="AZ26" s="1179">
        <f t="shared" ca="1" si="64"/>
        <v>6.770415012692306E-2</v>
      </c>
      <c r="BA26" s="1179">
        <f t="shared" ca="1" si="64"/>
        <v>6.770415012692306E-2</v>
      </c>
      <c r="BB26" s="1179">
        <f t="shared" ca="1" si="64"/>
        <v>6.770415012692306E-2</v>
      </c>
      <c r="BC26" s="1179">
        <f t="shared" ca="1" si="64"/>
        <v>6.770415012692306E-2</v>
      </c>
      <c r="BD26" s="1179">
        <f t="shared" ca="1" si="64"/>
        <v>6.770415012692306E-2</v>
      </c>
      <c r="BE26" s="1179">
        <f t="shared" ref="BE26:CJ26" ca="1" si="72">BD26</f>
        <v>6.770415012692306E-2</v>
      </c>
      <c r="BF26" s="1179">
        <f t="shared" ca="1" si="72"/>
        <v>6.770415012692306E-2</v>
      </c>
      <c r="BG26" s="1179">
        <f t="shared" ca="1" si="72"/>
        <v>6.770415012692306E-2</v>
      </c>
      <c r="BH26" s="1179">
        <f t="shared" ca="1" si="72"/>
        <v>6.770415012692306E-2</v>
      </c>
      <c r="BI26" s="1179">
        <f t="shared" ca="1" si="72"/>
        <v>6.770415012692306E-2</v>
      </c>
      <c r="BJ26" s="1179">
        <f t="shared" ca="1" si="72"/>
        <v>6.770415012692306E-2</v>
      </c>
      <c r="BK26" s="1179">
        <f t="shared" ca="1" si="72"/>
        <v>6.770415012692306E-2</v>
      </c>
      <c r="BL26" s="1179">
        <f t="shared" ca="1" si="72"/>
        <v>6.770415012692306E-2</v>
      </c>
      <c r="BM26" s="1179">
        <f t="shared" ca="1" si="72"/>
        <v>6.770415012692306E-2</v>
      </c>
      <c r="BN26" s="1179">
        <f t="shared" ca="1" si="72"/>
        <v>6.770415012692306E-2</v>
      </c>
      <c r="BO26" s="1179">
        <f t="shared" ca="1" si="72"/>
        <v>6.770415012692306E-2</v>
      </c>
      <c r="BP26" s="1179">
        <f t="shared" ca="1" si="72"/>
        <v>6.770415012692306E-2</v>
      </c>
      <c r="BQ26" s="1179">
        <f t="shared" ca="1" si="72"/>
        <v>6.770415012692306E-2</v>
      </c>
      <c r="BR26" s="1179">
        <f t="shared" ca="1" si="72"/>
        <v>6.770415012692306E-2</v>
      </c>
      <c r="BS26" s="1179">
        <f t="shared" ca="1" si="72"/>
        <v>6.770415012692306E-2</v>
      </c>
      <c r="BT26" s="1179">
        <f t="shared" ca="1" si="72"/>
        <v>6.770415012692306E-2</v>
      </c>
      <c r="BU26" s="1179">
        <f t="shared" ca="1" si="72"/>
        <v>6.770415012692306E-2</v>
      </c>
      <c r="BV26" s="1179">
        <f t="shared" ca="1" si="72"/>
        <v>6.770415012692306E-2</v>
      </c>
      <c r="BW26" s="1179">
        <f t="shared" ca="1" si="72"/>
        <v>6.770415012692306E-2</v>
      </c>
      <c r="BX26" s="1179">
        <f t="shared" ca="1" si="72"/>
        <v>6.770415012692306E-2</v>
      </c>
      <c r="BY26" s="1179">
        <f t="shared" ca="1" si="72"/>
        <v>6.770415012692306E-2</v>
      </c>
      <c r="BZ26" s="1179">
        <f t="shared" ca="1" si="72"/>
        <v>6.770415012692306E-2</v>
      </c>
      <c r="CA26" s="1179">
        <f t="shared" ca="1" si="72"/>
        <v>6.770415012692306E-2</v>
      </c>
      <c r="CB26" s="1179">
        <f t="shared" ca="1" si="72"/>
        <v>6.770415012692306E-2</v>
      </c>
      <c r="CC26" s="1179">
        <f t="shared" ca="1" si="72"/>
        <v>6.770415012692306E-2</v>
      </c>
      <c r="CD26" s="1179">
        <f t="shared" ca="1" si="72"/>
        <v>6.770415012692306E-2</v>
      </c>
      <c r="CE26" s="1179">
        <f t="shared" ca="1" si="72"/>
        <v>6.770415012692306E-2</v>
      </c>
      <c r="CF26" s="1179">
        <f t="shared" ca="1" si="72"/>
        <v>6.770415012692306E-2</v>
      </c>
      <c r="CG26" s="1179">
        <f t="shared" ca="1" si="72"/>
        <v>6.770415012692306E-2</v>
      </c>
      <c r="CH26" s="1179">
        <f t="shared" ca="1" si="72"/>
        <v>6.770415012692306E-2</v>
      </c>
      <c r="CI26" s="1179">
        <f t="shared" ca="1" si="72"/>
        <v>6.770415012692306E-2</v>
      </c>
      <c r="CJ26" s="1179">
        <f t="shared" ca="1" si="72"/>
        <v>6.770415012692306E-2</v>
      </c>
      <c r="CK26" s="1176"/>
      <c r="CL26" s="1176"/>
      <c r="CM26" s="1176"/>
      <c r="CN26" s="1176"/>
      <c r="CO26" s="1176"/>
      <c r="CP26" s="1176"/>
      <c r="CQ26" s="1176"/>
      <c r="CR26" s="1176"/>
      <c r="CS26" s="1176"/>
      <c r="CT26" s="1176"/>
      <c r="CU26" s="1176"/>
      <c r="CV26" s="1176"/>
      <c r="CW26" s="1176"/>
      <c r="CX26" s="1176"/>
      <c r="CY26" s="1176"/>
      <c r="CZ26" s="1176"/>
      <c r="DA26" s="1176"/>
      <c r="DB26" s="1176"/>
      <c r="DC26" s="1176"/>
      <c r="DD26" s="1176"/>
      <c r="DE26" s="1176"/>
      <c r="DF26" s="1176"/>
      <c r="DG26" s="1176"/>
      <c r="DH26" s="1176"/>
      <c r="DI26" s="1176"/>
      <c r="DJ26" s="1176"/>
      <c r="DK26" s="1176"/>
      <c r="DL26" s="1176"/>
      <c r="DM26" s="1176"/>
      <c r="DN26" s="1176"/>
      <c r="DO26" s="1176"/>
      <c r="DP26" s="1176"/>
      <c r="DQ26" s="1176"/>
      <c r="DR26" s="1176"/>
      <c r="DS26" s="1176"/>
      <c r="DT26" s="1176"/>
      <c r="DU26" s="1176"/>
      <c r="DV26" s="1176"/>
      <c r="DW26" s="1176"/>
      <c r="DX26" s="1176"/>
      <c r="DY26" s="1176"/>
      <c r="DZ26" s="1176"/>
      <c r="EA26" s="1176"/>
      <c r="EB26" s="1176"/>
      <c r="EC26" s="1176"/>
      <c r="ED26" s="1176"/>
      <c r="EE26" s="1176"/>
      <c r="EF26" s="1176"/>
      <c r="EG26" s="1176"/>
      <c r="EH26" s="1176"/>
      <c r="EI26" s="1176"/>
      <c r="EJ26" s="1176"/>
      <c r="EK26" s="1176"/>
      <c r="EL26" s="1176"/>
      <c r="EM26" s="1176"/>
      <c r="EN26" s="1176"/>
      <c r="EO26" s="1176"/>
      <c r="EP26" s="1176"/>
      <c r="EQ26" s="1176"/>
      <c r="ER26" s="1176"/>
      <c r="ES26" s="1"/>
      <c r="ET26" s="1"/>
      <c r="EU26" s="1"/>
      <c r="EV26" s="1"/>
      <c r="EW26" s="1"/>
      <c r="EX26" s="1"/>
      <c r="EY26" s="1"/>
      <c r="EZ26" s="1"/>
      <c r="FA26" s="1"/>
      <c r="FB26" s="1"/>
      <c r="FC26" s="1"/>
      <c r="FD26" s="1"/>
      <c r="FE26" s="1"/>
      <c r="FF26" s="1"/>
      <c r="FG26" s="1"/>
      <c r="FH26" s="1"/>
      <c r="FI26" s="1"/>
      <c r="FJ26" s="1"/>
      <c r="FK26" s="1"/>
      <c r="FL26" s="1"/>
      <c r="FM26" s="1"/>
      <c r="FN26" s="1"/>
      <c r="FO26" s="1"/>
      <c r="FP26" s="1"/>
      <c r="FQ26" s="1"/>
      <c r="FR26" s="1"/>
      <c r="FS26" s="1"/>
      <c r="FT26" s="1"/>
      <c r="FU26" s="1"/>
      <c r="FV26" s="1"/>
      <c r="FW26" s="1"/>
      <c r="FX26" s="1"/>
      <c r="FY26" s="1"/>
      <c r="FZ26" s="1"/>
      <c r="GA26" s="1"/>
      <c r="GB26" s="1"/>
      <c r="GC26" s="1"/>
      <c r="GD26" s="1"/>
      <c r="GE26" s="1"/>
      <c r="GF26" s="1"/>
      <c r="GG26" s="1"/>
      <c r="GH26" s="1"/>
      <c r="GI26" s="1"/>
      <c r="GJ26" s="1"/>
      <c r="GK26" s="1"/>
      <c r="GL26" s="1"/>
      <c r="GM26" s="1"/>
      <c r="GN26" s="1"/>
      <c r="GO26" s="1"/>
      <c r="GP26" s="1"/>
      <c r="GQ26" s="1"/>
      <c r="GR26" s="1"/>
      <c r="GS26" s="1"/>
      <c r="GT26" s="1"/>
      <c r="GU26" s="1"/>
      <c r="GV26" s="1"/>
      <c r="GW26" s="1"/>
      <c r="GX26" s="1"/>
      <c r="GY26" s="1"/>
      <c r="GZ26" s="1"/>
      <c r="HA26" s="1"/>
      <c r="HB26" s="1"/>
      <c r="HC26" s="1"/>
      <c r="HD26" s="1"/>
      <c r="HE26" s="1"/>
      <c r="HF26" s="1"/>
      <c r="HG26" s="1"/>
      <c r="HH26" s="1"/>
      <c r="HI26" s="1"/>
      <c r="HJ26" s="1"/>
      <c r="HK26" s="1"/>
      <c r="HL26" s="1"/>
      <c r="HM26" s="1"/>
      <c r="HN26" s="1"/>
      <c r="HO26" s="1"/>
      <c r="HP26" s="1"/>
      <c r="HQ26" s="1"/>
      <c r="HR26" s="1"/>
      <c r="HS26" s="1"/>
      <c r="HT26" s="1"/>
      <c r="HU26" s="1"/>
      <c r="HV26" s="1"/>
      <c r="HW26" s="1"/>
      <c r="HX26" s="1"/>
      <c r="HY26" s="1"/>
      <c r="HZ26" s="1"/>
      <c r="IA26" s="1"/>
      <c r="IB26" s="1"/>
      <c r="IC26" s="1"/>
      <c r="ID26" s="1"/>
      <c r="IE26" s="1"/>
      <c r="IF26" s="1"/>
      <c r="IG26" s="1"/>
      <c r="IH26" s="1"/>
      <c r="II26" s="1"/>
      <c r="IJ26" s="1"/>
      <c r="IK26" s="1"/>
      <c r="IL26" s="1"/>
      <c r="IM26" s="1"/>
      <c r="IN26" s="1"/>
      <c r="IO26" s="1"/>
      <c r="IP26" s="1"/>
      <c r="IQ26" s="1"/>
      <c r="IR26" s="1"/>
      <c r="IS26" s="1"/>
      <c r="IT26" s="1"/>
      <c r="IU26" s="1"/>
      <c r="IV26" s="1"/>
      <c r="IW26" s="1"/>
      <c r="IX26" s="1"/>
      <c r="IY26" s="1"/>
      <c r="IZ26" s="1"/>
      <c r="JA26" s="1"/>
      <c r="JB26" s="1"/>
      <c r="JC26" s="1"/>
      <c r="JD26" s="1"/>
    </row>
    <row r="27" spans="2:264" s="1044" customFormat="1" x14ac:dyDescent="0.2">
      <c r="B27" s="1172" t="str">
        <f>$D$25&amp;" ROE"</f>
        <v>FY26E ROE</v>
      </c>
      <c r="C27" s="1180">
        <f ca="1">C63</f>
        <v>0.14182984092283313</v>
      </c>
      <c r="D27" s="1069"/>
      <c r="I27" s="1090"/>
      <c r="J27" s="1090"/>
      <c r="K27" s="1090"/>
      <c r="L27" s="1090"/>
      <c r="M27" s="1090"/>
      <c r="N27" s="1090"/>
      <c r="O27" s="1090"/>
      <c r="P27" s="1046"/>
      <c r="Q27" s="1044" t="s">
        <v>1028</v>
      </c>
      <c r="X27" s="1181"/>
      <c r="Y27" s="1181">
        <f t="shared" ref="Y27:CJ27" si="73">+Y30/Y7</f>
        <v>0.18552998605299861</v>
      </c>
      <c r="Z27" s="1181">
        <f t="shared" si="73"/>
        <v>0.18020691294394336</v>
      </c>
      <c r="AA27" s="1181">
        <f t="shared" si="73"/>
        <v>0.1918169757195797</v>
      </c>
      <c r="AB27" s="1181">
        <f t="shared" si="73"/>
        <v>0.19993685235290765</v>
      </c>
      <c r="AC27" s="1181">
        <f t="shared" si="73"/>
        <v>0.28812181362005695</v>
      </c>
      <c r="AD27" s="1181">
        <f t="shared" si="73"/>
        <v>0.28869863355027758</v>
      </c>
      <c r="AE27" s="1182">
        <f t="shared" si="73"/>
        <v>0.29580335868987384</v>
      </c>
      <c r="AF27" s="1181">
        <f t="shared" si="73"/>
        <v>0.2853835101679929</v>
      </c>
      <c r="AG27" s="1181">
        <f t="shared" si="73"/>
        <v>0.28681203816778095</v>
      </c>
      <c r="AH27" s="1181">
        <f t="shared" si="73"/>
        <v>0.28657557239390152</v>
      </c>
      <c r="AI27" s="1181">
        <f t="shared" si="73"/>
        <v>0.23728569282049866</v>
      </c>
      <c r="AJ27" s="1181">
        <f t="shared" si="73"/>
        <v>0.228948053335259</v>
      </c>
      <c r="AK27" s="1373">
        <f t="shared" si="73"/>
        <v>0.22119424407582269</v>
      </c>
      <c r="AL27" s="1181">
        <f t="shared" si="73"/>
        <v>0.22246051701753522</v>
      </c>
      <c r="AM27" s="1181">
        <f t="shared" ref="AM27" si="74">+AM30/AM7</f>
        <v>0.22246051701753519</v>
      </c>
      <c r="AN27" s="1181">
        <f t="shared" ref="AN27" si="75">+AN30/AN7</f>
        <v>0.22246051701753519</v>
      </c>
      <c r="AO27" s="1183">
        <f t="shared" si="73"/>
        <v>0.22259141481371922</v>
      </c>
      <c r="AP27" s="1183">
        <f t="shared" si="73"/>
        <v>0.22259141481371922</v>
      </c>
      <c r="AQ27" s="1183">
        <f t="shared" si="73"/>
        <v>0.22259141481371919</v>
      </c>
      <c r="AR27" s="1183">
        <f t="shared" si="73"/>
        <v>0.22259141481371922</v>
      </c>
      <c r="AS27" s="1183">
        <f t="shared" si="73"/>
        <v>0.22259141481371919</v>
      </c>
      <c r="AT27" s="1183">
        <f t="shared" si="73"/>
        <v>0.22259141481371922</v>
      </c>
      <c r="AU27" s="1183">
        <f t="shared" si="73"/>
        <v>0.22259141481371919</v>
      </c>
      <c r="AV27" s="1183">
        <f t="shared" si="73"/>
        <v>0.22259141481371919</v>
      </c>
      <c r="AW27" s="1183">
        <f t="shared" si="73"/>
        <v>0.22259141481371922</v>
      </c>
      <c r="AX27" s="1183">
        <f t="shared" si="73"/>
        <v>0.22259141481371919</v>
      </c>
      <c r="AY27" s="1183">
        <f t="shared" si="73"/>
        <v>0.22259141481371919</v>
      </c>
      <c r="AZ27" s="1183">
        <f t="shared" si="73"/>
        <v>0.22259141481371925</v>
      </c>
      <c r="BA27" s="1183">
        <f t="shared" si="73"/>
        <v>0.22259141481371916</v>
      </c>
      <c r="BB27" s="1183">
        <f t="shared" si="73"/>
        <v>0.22259141481371919</v>
      </c>
      <c r="BC27" s="1183">
        <f t="shared" si="73"/>
        <v>0.22259141481371919</v>
      </c>
      <c r="BD27" s="1183">
        <f t="shared" si="73"/>
        <v>0.22259141481371919</v>
      </c>
      <c r="BE27" s="1183">
        <f t="shared" si="73"/>
        <v>0.22259141481371919</v>
      </c>
      <c r="BF27" s="1183">
        <f t="shared" si="73"/>
        <v>0.22259141481371919</v>
      </c>
      <c r="BG27" s="1183">
        <f t="shared" si="73"/>
        <v>0.22259141481371919</v>
      </c>
      <c r="BH27" s="1183">
        <f t="shared" si="73"/>
        <v>0.22259141481371922</v>
      </c>
      <c r="BI27" s="1183">
        <f t="shared" si="73"/>
        <v>0.22259141481371922</v>
      </c>
      <c r="BJ27" s="1183">
        <f t="shared" si="73"/>
        <v>0.22259141481371916</v>
      </c>
      <c r="BK27" s="1183">
        <f t="shared" si="73"/>
        <v>0.22259141481371916</v>
      </c>
      <c r="BL27" s="1183">
        <f t="shared" si="73"/>
        <v>0.22259141481371919</v>
      </c>
      <c r="BM27" s="1183">
        <f t="shared" si="73"/>
        <v>0.22259141481371919</v>
      </c>
      <c r="BN27" s="1183">
        <f t="shared" si="73"/>
        <v>0.22259141481371922</v>
      </c>
      <c r="BO27" s="1183">
        <f t="shared" si="73"/>
        <v>0.22259141481371919</v>
      </c>
      <c r="BP27" s="1183">
        <f t="shared" si="73"/>
        <v>0.22259141481371919</v>
      </c>
      <c r="BQ27" s="1183">
        <f t="shared" si="73"/>
        <v>0.22259141481371919</v>
      </c>
      <c r="BR27" s="1183">
        <f t="shared" si="73"/>
        <v>0.22259141481371922</v>
      </c>
      <c r="BS27" s="1183">
        <f t="shared" si="73"/>
        <v>0.22259141481371922</v>
      </c>
      <c r="BT27" s="1183">
        <f t="shared" si="73"/>
        <v>0.22259141481371919</v>
      </c>
      <c r="BU27" s="1183">
        <f t="shared" si="73"/>
        <v>0.22259141481371916</v>
      </c>
      <c r="BV27" s="1183">
        <f t="shared" si="73"/>
        <v>0.22259141481371916</v>
      </c>
      <c r="BW27" s="1183">
        <f t="shared" si="73"/>
        <v>0.22259141481371919</v>
      </c>
      <c r="BX27" s="1183">
        <f t="shared" si="73"/>
        <v>0.22259141481371922</v>
      </c>
      <c r="BY27" s="1183">
        <f t="shared" si="73"/>
        <v>0.22259141481371919</v>
      </c>
      <c r="BZ27" s="1183">
        <f t="shared" si="73"/>
        <v>0.22259141481371919</v>
      </c>
      <c r="CA27" s="1183">
        <f t="shared" si="73"/>
        <v>0.22259141481371922</v>
      </c>
      <c r="CB27" s="1183">
        <f t="shared" si="73"/>
        <v>0.22259141481371922</v>
      </c>
      <c r="CC27" s="1183">
        <f t="shared" si="73"/>
        <v>0.22259141481371922</v>
      </c>
      <c r="CD27" s="1183">
        <f t="shared" si="73"/>
        <v>0.22259141481371916</v>
      </c>
      <c r="CE27" s="1183">
        <f t="shared" si="73"/>
        <v>0.22259141481371919</v>
      </c>
      <c r="CF27" s="1183">
        <f t="shared" si="73"/>
        <v>0.22259141481371922</v>
      </c>
      <c r="CG27" s="1183">
        <f t="shared" si="73"/>
        <v>0.22259141481371919</v>
      </c>
      <c r="CH27" s="1183">
        <f t="shared" si="73"/>
        <v>0.22259141481371922</v>
      </c>
      <c r="CI27" s="1183">
        <f t="shared" si="73"/>
        <v>0.22259141481371919</v>
      </c>
      <c r="CJ27" s="1183">
        <f t="shared" si="73"/>
        <v>0.22259141481371919</v>
      </c>
      <c r="CK27" s="1152"/>
      <c r="CL27" s="1152"/>
      <c r="CM27" s="1152"/>
      <c r="CN27" s="1152"/>
      <c r="CO27" s="1152"/>
      <c r="CP27" s="1152"/>
      <c r="CQ27" s="1152"/>
      <c r="CR27" s="1152"/>
      <c r="CS27" s="1152"/>
      <c r="CT27" s="1152"/>
      <c r="CU27" s="1152"/>
      <c r="CV27" s="1152"/>
      <c r="CW27" s="1152"/>
      <c r="CX27" s="1152"/>
      <c r="CY27" s="1152"/>
      <c r="CZ27" s="1152"/>
      <c r="DA27" s="1152"/>
      <c r="DB27" s="1152"/>
      <c r="DC27" s="1152"/>
      <c r="DD27" s="1152"/>
      <c r="DE27" s="1152"/>
      <c r="DF27" s="1152"/>
      <c r="DG27" s="1152"/>
      <c r="DH27" s="1152"/>
      <c r="DI27" s="1152"/>
      <c r="DJ27" s="1152"/>
      <c r="DK27" s="1152"/>
      <c r="DL27" s="1152"/>
      <c r="DM27" s="1152"/>
      <c r="DN27" s="1152"/>
      <c r="DO27" s="1152"/>
      <c r="DP27" s="1152"/>
      <c r="DQ27" s="1152"/>
      <c r="DR27" s="1152"/>
      <c r="DS27" s="1152"/>
      <c r="DT27" s="1152"/>
      <c r="DU27" s="1152"/>
      <c r="DV27" s="1152"/>
      <c r="DW27" s="1152"/>
      <c r="DX27" s="1152"/>
      <c r="DY27" s="1152"/>
      <c r="DZ27" s="1152"/>
      <c r="EA27" s="1152"/>
      <c r="EB27" s="1152"/>
      <c r="EC27" s="1152"/>
      <c r="ED27" s="1152"/>
      <c r="EE27" s="1152"/>
      <c r="EF27" s="1152"/>
      <c r="EG27" s="1152"/>
      <c r="EH27" s="1152"/>
      <c r="EI27" s="1152"/>
      <c r="EJ27" s="1152"/>
      <c r="EK27" s="1152"/>
      <c r="EL27" s="1152"/>
      <c r="EM27" s="1152"/>
      <c r="EN27" s="1152"/>
      <c r="EO27" s="1152"/>
      <c r="EP27" s="1152"/>
      <c r="EQ27" s="1152"/>
      <c r="ER27" s="1152"/>
      <c r="ES27" s="1"/>
      <c r="ET27" s="1"/>
      <c r="EU27" s="1"/>
      <c r="EV27" s="1"/>
      <c r="EW27" s="1"/>
      <c r="EX27" s="1"/>
      <c r="EY27" s="1"/>
      <c r="EZ27" s="1"/>
      <c r="FA27" s="1"/>
      <c r="FB27" s="1"/>
      <c r="FC27" s="1"/>
      <c r="FD27" s="1"/>
      <c r="FE27" s="1"/>
      <c r="FF27" s="1"/>
      <c r="FG27" s="1"/>
      <c r="FH27" s="1"/>
      <c r="FI27" s="1"/>
      <c r="FJ27" s="1"/>
      <c r="FK27" s="1"/>
      <c r="FL27" s="1"/>
      <c r="FM27" s="1"/>
      <c r="FN27" s="1"/>
      <c r="FO27" s="1"/>
      <c r="FP27" s="1"/>
      <c r="FQ27" s="1"/>
      <c r="FR27" s="1"/>
      <c r="FS27" s="1"/>
      <c r="FT27" s="1"/>
      <c r="FU27" s="1"/>
      <c r="FV27" s="1"/>
      <c r="FW27" s="1"/>
      <c r="FX27" s="1"/>
      <c r="FY27" s="1"/>
      <c r="FZ27" s="1"/>
      <c r="GA27" s="1"/>
      <c r="GB27" s="1"/>
      <c r="GC27" s="1"/>
      <c r="GD27" s="1"/>
      <c r="GE27" s="1"/>
      <c r="GF27" s="1"/>
      <c r="GG27" s="1"/>
      <c r="GH27" s="1"/>
      <c r="GI27" s="1"/>
      <c r="GJ27" s="1"/>
      <c r="GK27" s="1"/>
      <c r="GL27" s="1"/>
      <c r="GM27" s="1"/>
      <c r="GN27" s="1"/>
      <c r="GO27" s="1"/>
      <c r="GP27" s="1"/>
      <c r="GQ27" s="1"/>
      <c r="GR27" s="1"/>
      <c r="GS27" s="1"/>
      <c r="GT27" s="1"/>
      <c r="GU27" s="1"/>
      <c r="GV27" s="1"/>
      <c r="GW27" s="1"/>
      <c r="GX27" s="1"/>
      <c r="GY27" s="1"/>
      <c r="GZ27" s="1"/>
      <c r="HA27" s="1"/>
      <c r="HB27" s="1"/>
      <c r="HC27" s="1"/>
      <c r="HD27" s="1"/>
      <c r="HE27" s="1"/>
      <c r="HF27" s="1"/>
      <c r="HG27" s="1"/>
      <c r="HH27" s="1"/>
      <c r="HI27" s="1"/>
      <c r="HJ27" s="1"/>
      <c r="HK27" s="1"/>
      <c r="HL27" s="1"/>
      <c r="HM27" s="1"/>
      <c r="HN27" s="1"/>
      <c r="HO27" s="1"/>
      <c r="HP27" s="1"/>
      <c r="HQ27" s="1"/>
      <c r="HR27" s="1"/>
      <c r="HS27" s="1"/>
      <c r="HT27" s="1"/>
      <c r="HU27" s="1"/>
      <c r="HV27" s="1"/>
      <c r="HW27" s="1"/>
      <c r="HX27" s="1"/>
      <c r="HY27" s="1"/>
      <c r="HZ27" s="1"/>
      <c r="IA27" s="1"/>
      <c r="IB27" s="1"/>
      <c r="IC27" s="1"/>
      <c r="ID27" s="1"/>
      <c r="IE27" s="1"/>
      <c r="IF27" s="1"/>
      <c r="IG27" s="1"/>
      <c r="IH27" s="1"/>
      <c r="II27" s="1"/>
      <c r="IJ27" s="1"/>
      <c r="IK27" s="1"/>
      <c r="IL27" s="1"/>
      <c r="IM27" s="1"/>
      <c r="IN27" s="1"/>
      <c r="IO27" s="1"/>
      <c r="IP27" s="1"/>
      <c r="IQ27" s="1"/>
      <c r="IR27" s="1"/>
      <c r="IS27" s="1"/>
      <c r="IT27" s="1"/>
      <c r="IU27" s="1"/>
      <c r="IV27" s="1"/>
      <c r="IW27" s="1"/>
      <c r="IX27" s="1"/>
      <c r="IY27" s="1"/>
      <c r="IZ27" s="1"/>
      <c r="JA27" s="1"/>
      <c r="JB27" s="1"/>
      <c r="JC27" s="1"/>
      <c r="JD27" s="1"/>
    </row>
    <row r="28" spans="2:264" s="1044" customFormat="1" x14ac:dyDescent="0.2">
      <c r="B28" s="1172"/>
      <c r="C28" s="1100"/>
      <c r="D28" s="1069"/>
      <c r="F28" s="1140" t="s">
        <v>1008</v>
      </c>
      <c r="G28" s="1141" t="s">
        <v>22</v>
      </c>
      <c r="H28" s="1142" t="s">
        <v>980</v>
      </c>
      <c r="P28" s="1046"/>
      <c r="Q28" s="1044" t="s">
        <v>1029</v>
      </c>
      <c r="X28" s="1124"/>
      <c r="Y28" s="1124" t="e">
        <f>#REF!/(Y8+Y13)</f>
        <v>#REF!</v>
      </c>
      <c r="Z28" s="1124" t="e">
        <f>#REF!/(Z8+Z13)</f>
        <v>#REF!</v>
      </c>
      <c r="AA28" s="1124" t="e">
        <f>#REF!/(AA8+AA13)</f>
        <v>#REF!</v>
      </c>
      <c r="AB28" s="1124" t="e">
        <f>#REF!/(AB8+AB13)</f>
        <v>#REF!</v>
      </c>
      <c r="AC28" s="1124" t="e">
        <f>#REF!/(AC8+AC13)</f>
        <v>#REF!</v>
      </c>
      <c r="AD28" s="1124">
        <f t="shared" ref="AD28:AU28" si="76">AD31/(AD8+AD13)</f>
        <v>0.46020696937697991</v>
      </c>
      <c r="AE28" s="1185">
        <f t="shared" si="76"/>
        <v>0.46525266778375518</v>
      </c>
      <c r="AF28" s="1124">
        <f t="shared" si="76"/>
        <v>0.45029846103713361</v>
      </c>
      <c r="AG28" s="1124">
        <f t="shared" si="76"/>
        <v>0.40494449498834451</v>
      </c>
      <c r="AH28" s="1124">
        <f t="shared" si="76"/>
        <v>0.35084708908467854</v>
      </c>
      <c r="AI28" s="1124">
        <f t="shared" si="76"/>
        <v>0.33732474737797918</v>
      </c>
      <c r="AJ28" s="1124">
        <f t="shared" si="76"/>
        <v>0.34911389183457053</v>
      </c>
      <c r="AK28" s="1374">
        <f t="shared" si="76"/>
        <v>0.35054192591537564</v>
      </c>
      <c r="AL28" s="1124">
        <f t="shared" ca="1" si="76"/>
        <v>0.34146840502759762</v>
      </c>
      <c r="AM28" s="1124">
        <f t="shared" ref="AM28" ca="1" si="77">AM31/(AM8+AM13)</f>
        <v>0.34128983572083138</v>
      </c>
      <c r="AN28" s="1124">
        <f t="shared" ref="AN28" ca="1" si="78">AN31/(AN8+AN13)</f>
        <v>0.34157736817261364</v>
      </c>
      <c r="AO28" s="1186">
        <f t="shared" ca="1" si="76"/>
        <v>0.34342541905937107</v>
      </c>
      <c r="AP28" s="1186">
        <f t="shared" ca="1" si="76"/>
        <v>0.34517002201228508</v>
      </c>
      <c r="AQ28" s="1186">
        <f t="shared" ca="1" si="76"/>
        <v>0.34691549011856959</v>
      </c>
      <c r="AR28" s="1186">
        <f t="shared" ca="1" si="76"/>
        <v>0.34866174327458443</v>
      </c>
      <c r="AS28" s="1186">
        <f t="shared" ca="1" si="76"/>
        <v>0.35040870123200629</v>
      </c>
      <c r="AT28" s="1186">
        <f t="shared" ca="1" si="76"/>
        <v>0.35215628361253459</v>
      </c>
      <c r="AU28" s="1186">
        <f t="shared" ca="1" si="76"/>
        <v>0.35390440992264949</v>
      </c>
      <c r="AV28" s="1186">
        <f ca="1">AV31/(AV8+AV13)</f>
        <v>0.35390440992264949</v>
      </c>
      <c r="AW28" s="1186">
        <f t="shared" ref="AW28:CJ28" ca="1" si="79">AW31/(AW8+AW13)</f>
        <v>0.35390440992264954</v>
      </c>
      <c r="AX28" s="1186">
        <f t="shared" ca="1" si="79"/>
        <v>0.35390440992264949</v>
      </c>
      <c r="AY28" s="1186">
        <f t="shared" ca="1" si="79"/>
        <v>0.35390440992264943</v>
      </c>
      <c r="AZ28" s="1186">
        <f t="shared" ca="1" si="79"/>
        <v>0.35390440992264949</v>
      </c>
      <c r="BA28" s="1186">
        <f t="shared" ca="1" si="79"/>
        <v>0.35390440992264943</v>
      </c>
      <c r="BB28" s="1186">
        <f t="shared" ca="1" si="79"/>
        <v>0.35390440992264943</v>
      </c>
      <c r="BC28" s="1186">
        <f t="shared" ca="1" si="79"/>
        <v>0.35390440992264943</v>
      </c>
      <c r="BD28" s="1186">
        <f t="shared" ca="1" si="79"/>
        <v>0.35390440992264938</v>
      </c>
      <c r="BE28" s="1186">
        <f t="shared" ca="1" si="79"/>
        <v>0.35390440992264949</v>
      </c>
      <c r="BF28" s="1186">
        <f t="shared" ca="1" si="79"/>
        <v>0.35390440992264949</v>
      </c>
      <c r="BG28" s="1186">
        <f t="shared" ca="1" si="79"/>
        <v>0.35390440992264943</v>
      </c>
      <c r="BH28" s="1186">
        <f t="shared" ca="1" si="79"/>
        <v>0.35390440992264943</v>
      </c>
      <c r="BI28" s="1186">
        <f t="shared" ca="1" si="79"/>
        <v>0.35390440992264938</v>
      </c>
      <c r="BJ28" s="1186">
        <f t="shared" ca="1" si="79"/>
        <v>0.35390440992264949</v>
      </c>
      <c r="BK28" s="1186">
        <f t="shared" ca="1" si="79"/>
        <v>0.35390440992264943</v>
      </c>
      <c r="BL28" s="1186">
        <f t="shared" ca="1" si="79"/>
        <v>0.35390440992264943</v>
      </c>
      <c r="BM28" s="1186">
        <f t="shared" ca="1" si="79"/>
        <v>0.35390440992264949</v>
      </c>
      <c r="BN28" s="1186">
        <f t="shared" ca="1" si="79"/>
        <v>0.35390440992264949</v>
      </c>
      <c r="BO28" s="1186">
        <f t="shared" ca="1" si="79"/>
        <v>0.35390440992264943</v>
      </c>
      <c r="BP28" s="1186">
        <f t="shared" ca="1" si="79"/>
        <v>0.35390440992264943</v>
      </c>
      <c r="BQ28" s="1186">
        <f t="shared" ca="1" si="79"/>
        <v>0.35390440992264943</v>
      </c>
      <c r="BR28" s="1186">
        <f t="shared" ca="1" si="79"/>
        <v>0.35390440992264943</v>
      </c>
      <c r="BS28" s="1186">
        <f t="shared" ca="1" si="79"/>
        <v>0.35390440992264943</v>
      </c>
      <c r="BT28" s="1186">
        <f t="shared" ca="1" si="79"/>
        <v>0.35390440992264943</v>
      </c>
      <c r="BU28" s="1186">
        <f t="shared" ca="1" si="79"/>
        <v>0.35390440992264943</v>
      </c>
      <c r="BV28" s="1186">
        <f t="shared" ca="1" si="79"/>
        <v>0.35390440992264954</v>
      </c>
      <c r="BW28" s="1186">
        <f t="shared" ca="1" si="79"/>
        <v>0.35390440992264949</v>
      </c>
      <c r="BX28" s="1186">
        <f t="shared" ca="1" si="79"/>
        <v>0.35390440992264943</v>
      </c>
      <c r="BY28" s="1186">
        <f t="shared" ca="1" si="79"/>
        <v>0.35390440992264943</v>
      </c>
      <c r="BZ28" s="1186">
        <f t="shared" ca="1" si="79"/>
        <v>0.35390440992264943</v>
      </c>
      <c r="CA28" s="1186">
        <f t="shared" ca="1" si="79"/>
        <v>0.35390440992264938</v>
      </c>
      <c r="CB28" s="1186">
        <f t="shared" ca="1" si="79"/>
        <v>0.35390440992264949</v>
      </c>
      <c r="CC28" s="1186">
        <f t="shared" ca="1" si="79"/>
        <v>0.35390440992264949</v>
      </c>
      <c r="CD28" s="1186">
        <f t="shared" ca="1" si="79"/>
        <v>0.35390440992264943</v>
      </c>
      <c r="CE28" s="1186">
        <f t="shared" ca="1" si="79"/>
        <v>0.35390440992264943</v>
      </c>
      <c r="CF28" s="1186">
        <f t="shared" ca="1" si="79"/>
        <v>0.35390440992264938</v>
      </c>
      <c r="CG28" s="1186">
        <f t="shared" ca="1" si="79"/>
        <v>0.35390440992264938</v>
      </c>
      <c r="CH28" s="1186">
        <f t="shared" ca="1" si="79"/>
        <v>0.35390440992264932</v>
      </c>
      <c r="CI28" s="1186">
        <f t="shared" ca="1" si="79"/>
        <v>0.35390440992264938</v>
      </c>
      <c r="CJ28" s="1186">
        <f t="shared" ca="1" si="79"/>
        <v>0.35390440992264938</v>
      </c>
      <c r="CK28" s="1086"/>
      <c r="CL28" s="1086"/>
      <c r="CM28" s="1086"/>
      <c r="CN28" s="1086"/>
      <c r="CO28" s="1086"/>
      <c r="CP28" s="1086"/>
      <c r="CQ28" s="1086"/>
      <c r="CR28" s="1086"/>
      <c r="CS28" s="1086"/>
      <c r="CT28" s="1086"/>
      <c r="CU28" s="1086"/>
      <c r="CV28" s="1086"/>
      <c r="CW28" s="1086"/>
      <c r="CX28" s="1086"/>
      <c r="CY28" s="1086"/>
      <c r="CZ28" s="1086"/>
      <c r="DA28" s="1086"/>
      <c r="DB28" s="1086"/>
      <c r="DC28" s="1086"/>
      <c r="DD28" s="1086"/>
      <c r="DE28" s="1086"/>
      <c r="DF28" s="1086"/>
      <c r="DG28" s="1086"/>
      <c r="DH28" s="1086"/>
      <c r="DI28" s="1086"/>
      <c r="DJ28" s="1086"/>
      <c r="DK28" s="1086"/>
      <c r="DL28" s="1086"/>
      <c r="DM28" s="1086"/>
      <c r="DN28" s="1086"/>
      <c r="DO28" s="1086"/>
      <c r="DP28" s="1086"/>
      <c r="DQ28" s="1086"/>
      <c r="DR28" s="1086"/>
      <c r="DS28" s="1086"/>
      <c r="DT28" s="1086"/>
      <c r="DU28" s="1086"/>
      <c r="DV28" s="1086"/>
      <c r="DW28" s="1086"/>
      <c r="DX28" s="1086"/>
      <c r="DY28" s="1086"/>
      <c r="DZ28" s="1086"/>
      <c r="EA28" s="1086"/>
      <c r="EB28" s="1086"/>
      <c r="EC28" s="1086"/>
      <c r="ED28" s="1086"/>
      <c r="EE28" s="1086"/>
      <c r="EF28" s="1086"/>
      <c r="EG28" s="1086"/>
      <c r="EH28" s="1086"/>
      <c r="EI28" s="1086"/>
      <c r="EJ28" s="1086"/>
      <c r="EK28" s="1086"/>
      <c r="EL28" s="1086"/>
      <c r="EM28" s="1086"/>
      <c r="EN28" s="1086"/>
      <c r="EO28" s="1086"/>
      <c r="EP28" s="1086"/>
      <c r="EQ28" s="1086"/>
      <c r="ER28" s="1086"/>
      <c r="ES28" s="1"/>
      <c r="ET28" s="1"/>
      <c r="EU28" s="1"/>
      <c r="EV28" s="1"/>
      <c r="EW28" s="1"/>
      <c r="EX28" s="1"/>
      <c r="EY28" s="1"/>
      <c r="EZ28" s="1"/>
      <c r="FA28" s="1"/>
      <c r="FB28" s="1"/>
      <c r="FC28" s="1"/>
      <c r="FD28" s="1"/>
      <c r="FE28" s="1"/>
      <c r="FF28" s="1"/>
      <c r="FG28" s="1"/>
      <c r="FH28" s="1"/>
      <c r="FI28" s="1"/>
      <c r="FJ28" s="1"/>
      <c r="FK28" s="1"/>
      <c r="FL28" s="1"/>
      <c r="FM28" s="1"/>
      <c r="FN28" s="1"/>
      <c r="FO28" s="1"/>
      <c r="FP28" s="1"/>
      <c r="FQ28" s="1"/>
      <c r="FR28" s="1"/>
      <c r="FS28" s="1"/>
      <c r="FT28" s="1"/>
      <c r="FU28" s="1"/>
      <c r="FV28" s="1"/>
      <c r="FW28" s="1"/>
      <c r="FX28" s="1"/>
      <c r="FY28" s="1"/>
      <c r="FZ28" s="1"/>
      <c r="GA28" s="1"/>
      <c r="GB28" s="1"/>
      <c r="GC28" s="1"/>
      <c r="GD28" s="1"/>
      <c r="GE28" s="1"/>
      <c r="GF28" s="1"/>
      <c r="GG28" s="1"/>
      <c r="GH28" s="1"/>
      <c r="GI28" s="1"/>
      <c r="GJ28" s="1"/>
      <c r="GK28" s="1"/>
      <c r="GL28" s="1"/>
      <c r="GM28" s="1"/>
      <c r="GN28" s="1"/>
      <c r="GO28" s="1"/>
      <c r="GP28" s="1"/>
      <c r="GQ28" s="1"/>
      <c r="GR28" s="1"/>
      <c r="GS28" s="1"/>
      <c r="GT28" s="1"/>
      <c r="GU28" s="1"/>
      <c r="GV28" s="1"/>
      <c r="GW28" s="1"/>
      <c r="GX28" s="1"/>
      <c r="GY28" s="1"/>
      <c r="GZ28" s="1"/>
      <c r="HA28" s="1"/>
      <c r="HB28" s="1"/>
      <c r="HC28" s="1"/>
      <c r="HD28" s="1"/>
      <c r="HE28" s="1"/>
      <c r="HF28" s="1"/>
      <c r="HG28" s="1"/>
      <c r="HH28" s="1"/>
      <c r="HI28" s="1"/>
      <c r="HJ28" s="1"/>
      <c r="HK28" s="1"/>
      <c r="HL28" s="1"/>
      <c r="HM28" s="1"/>
      <c r="HN28" s="1"/>
      <c r="HO28" s="1"/>
      <c r="HP28" s="1"/>
      <c r="HQ28" s="1"/>
      <c r="HR28" s="1"/>
      <c r="HS28" s="1"/>
      <c r="HT28" s="1"/>
      <c r="HU28" s="1"/>
      <c r="HV28" s="1"/>
      <c r="HW28" s="1"/>
      <c r="HX28" s="1"/>
      <c r="HY28" s="1"/>
      <c r="HZ28" s="1"/>
      <c r="IA28" s="1"/>
      <c r="IB28" s="1"/>
      <c r="IC28" s="1"/>
      <c r="ID28" s="1"/>
      <c r="IE28" s="1"/>
      <c r="IF28" s="1"/>
      <c r="IG28" s="1"/>
      <c r="IH28" s="1"/>
      <c r="II28" s="1"/>
      <c r="IJ28" s="1"/>
      <c r="IK28" s="1"/>
      <c r="IL28" s="1"/>
      <c r="IM28" s="1"/>
      <c r="IN28" s="1"/>
      <c r="IO28" s="1"/>
      <c r="IP28" s="1"/>
      <c r="IQ28" s="1"/>
      <c r="IR28" s="1"/>
      <c r="IS28" s="1"/>
      <c r="IT28" s="1"/>
      <c r="IU28" s="1"/>
      <c r="IV28" s="1"/>
      <c r="IW28" s="1"/>
      <c r="IX28" s="1"/>
      <c r="IY28" s="1"/>
      <c r="IZ28" s="1"/>
      <c r="JA28" s="1"/>
      <c r="JB28" s="1"/>
      <c r="JC28" s="1"/>
      <c r="JD28" s="1"/>
    </row>
    <row r="29" spans="2:264" s="1044" customFormat="1" x14ac:dyDescent="0.2">
      <c r="B29" s="1187" t="s">
        <v>1030</v>
      </c>
      <c r="C29" s="1188">
        <f ca="1">+C22*100/C61</f>
        <v>15.318430224989553</v>
      </c>
      <c r="D29" s="1189" t="str">
        <f>D25</f>
        <v>FY26E</v>
      </c>
      <c r="F29" s="1146" t="s">
        <v>1011</v>
      </c>
      <c r="G29" s="1082">
        <f ca="1">R130</f>
        <v>83715.555920374711</v>
      </c>
      <c r="H29" s="1147">
        <f ca="1">+G29/$C$8</f>
        <v>50.025359411385523</v>
      </c>
      <c r="P29" s="1046"/>
      <c r="Q29" s="1044" t="s">
        <v>1031</v>
      </c>
      <c r="R29" s="1074"/>
      <c r="S29" s="1074"/>
      <c r="T29" s="1074"/>
      <c r="U29" s="1074"/>
      <c r="V29" s="1074"/>
      <c r="W29" s="1074"/>
      <c r="X29" s="1129"/>
      <c r="Y29" s="1129">
        <f t="shared" ref="Y29:CJ29" si="80">+Y36/Y15</f>
        <v>0.43663188111273094</v>
      </c>
      <c r="Z29" s="1129">
        <f t="shared" si="80"/>
        <v>0.42670361146805047</v>
      </c>
      <c r="AA29" s="1129">
        <f t="shared" si="80"/>
        <v>0.4221451583726985</v>
      </c>
      <c r="AB29" s="1129">
        <f t="shared" si="80"/>
        <v>0.4229732133862335</v>
      </c>
      <c r="AC29" s="1129">
        <f t="shared" si="80"/>
        <v>0.4476645928887924</v>
      </c>
      <c r="AD29" s="1129">
        <f t="shared" si="80"/>
        <v>0.47029169422610534</v>
      </c>
      <c r="AE29" s="1130">
        <f t="shared" si="80"/>
        <v>0.46365701247923713</v>
      </c>
      <c r="AF29" s="1129">
        <f t="shared" si="80"/>
        <v>0.44801673312187151</v>
      </c>
      <c r="AG29" s="1129">
        <f t="shared" si="80"/>
        <v>0.41272498493537318</v>
      </c>
      <c r="AH29" s="1129">
        <f t="shared" si="80"/>
        <v>0.40969998189687801</v>
      </c>
      <c r="AI29" s="1129">
        <f>+AI36/AI15</f>
        <v>0.3736692794686779</v>
      </c>
      <c r="AJ29" s="1129">
        <f>+AJ36/AJ15</f>
        <v>0.37282509194020141</v>
      </c>
      <c r="AK29" s="1369">
        <f>+AK36/AK15</f>
        <v>0.36648350309019284</v>
      </c>
      <c r="AL29" s="1129">
        <f ca="1">+AL36/AL15</f>
        <v>0.35787270763206935</v>
      </c>
      <c r="AM29" s="1129">
        <f t="shared" ref="AM29" ca="1" si="81">+AM36/AM15</f>
        <v>0.35776713612808464</v>
      </c>
      <c r="AN29" s="1129">
        <f t="shared" ref="AN29" ca="1" si="82">+AN36/AN15</f>
        <v>0.35791912842693646</v>
      </c>
      <c r="AO29" s="1129">
        <f t="shared" ref="AO29" ca="1" si="83">+AO36/AO15</f>
        <v>0.35889214822208443</v>
      </c>
      <c r="AP29" s="1129">
        <f t="shared" ca="1" si="80"/>
        <v>0.35974792939384148</v>
      </c>
      <c r="AQ29" s="1129">
        <f t="shared" ca="1" si="80"/>
        <v>0.36060460820618828</v>
      </c>
      <c r="AR29" s="1129">
        <f t="shared" ca="1" si="80"/>
        <v>0.36146217618435955</v>
      </c>
      <c r="AS29" s="1129">
        <f t="shared" ca="1" si="80"/>
        <v>0.36232062481588539</v>
      </c>
      <c r="AT29" s="1129">
        <f t="shared" ca="1" si="80"/>
        <v>0.36317994555089761</v>
      </c>
      <c r="AU29" s="1129">
        <f t="shared" ca="1" si="80"/>
        <v>0.364040129802438</v>
      </c>
      <c r="AV29" s="1129">
        <f t="shared" ca="1" si="80"/>
        <v>0.364040129802438</v>
      </c>
      <c r="AW29" s="1129">
        <f t="shared" ca="1" si="80"/>
        <v>0.364040129802438</v>
      </c>
      <c r="AX29" s="1129">
        <f t="shared" ca="1" si="80"/>
        <v>0.364040129802438</v>
      </c>
      <c r="AY29" s="1129">
        <f t="shared" ca="1" si="80"/>
        <v>0.364040129802438</v>
      </c>
      <c r="AZ29" s="1129">
        <f t="shared" ca="1" si="80"/>
        <v>0.364040129802438</v>
      </c>
      <c r="BA29" s="1129">
        <f t="shared" ca="1" si="80"/>
        <v>0.36404012980243794</v>
      </c>
      <c r="BB29" s="1129">
        <f t="shared" ca="1" si="80"/>
        <v>0.36404012980243805</v>
      </c>
      <c r="BC29" s="1129">
        <f t="shared" ca="1" si="80"/>
        <v>0.36404012980243794</v>
      </c>
      <c r="BD29" s="1129">
        <f t="shared" ca="1" si="80"/>
        <v>0.36404012980243794</v>
      </c>
      <c r="BE29" s="1129">
        <f t="shared" ca="1" si="80"/>
        <v>0.36404012980243794</v>
      </c>
      <c r="BF29" s="1129">
        <f t="shared" ca="1" si="80"/>
        <v>0.36404012980243794</v>
      </c>
      <c r="BG29" s="1129">
        <f t="shared" ca="1" si="80"/>
        <v>0.364040129802438</v>
      </c>
      <c r="BH29" s="1129">
        <f t="shared" ca="1" si="80"/>
        <v>0.36404012980243788</v>
      </c>
      <c r="BI29" s="1129">
        <f t="shared" ca="1" si="80"/>
        <v>0.36404012980243794</v>
      </c>
      <c r="BJ29" s="1129">
        <f t="shared" ca="1" si="80"/>
        <v>0.36404012980243794</v>
      </c>
      <c r="BK29" s="1129">
        <f t="shared" ca="1" si="80"/>
        <v>0.36404012980243794</v>
      </c>
      <c r="BL29" s="1129">
        <f t="shared" ca="1" si="80"/>
        <v>0.36404012980243794</v>
      </c>
      <c r="BM29" s="1129">
        <f t="shared" ca="1" si="80"/>
        <v>0.364040129802438</v>
      </c>
      <c r="BN29" s="1129">
        <f t="shared" ca="1" si="80"/>
        <v>0.36404012980243794</v>
      </c>
      <c r="BO29" s="1129">
        <f t="shared" ca="1" si="80"/>
        <v>0.36404012980243794</v>
      </c>
      <c r="BP29" s="1129">
        <f t="shared" ca="1" si="80"/>
        <v>0.364040129802438</v>
      </c>
      <c r="BQ29" s="1129">
        <f t="shared" ca="1" si="80"/>
        <v>0.36404012980243794</v>
      </c>
      <c r="BR29" s="1129">
        <f t="shared" ca="1" si="80"/>
        <v>0.364040129802438</v>
      </c>
      <c r="BS29" s="1129">
        <f t="shared" ca="1" si="80"/>
        <v>0.364040129802438</v>
      </c>
      <c r="BT29" s="1129">
        <f t="shared" ca="1" si="80"/>
        <v>0.36404012980243805</v>
      </c>
      <c r="BU29" s="1129">
        <f t="shared" ca="1" si="80"/>
        <v>0.364040129802438</v>
      </c>
      <c r="BV29" s="1129">
        <f t="shared" ca="1" si="80"/>
        <v>0.36404012980243805</v>
      </c>
      <c r="BW29" s="1129">
        <f t="shared" ca="1" si="80"/>
        <v>0.364040129802438</v>
      </c>
      <c r="BX29" s="1129">
        <f t="shared" ca="1" si="80"/>
        <v>0.364040129802438</v>
      </c>
      <c r="BY29" s="1129">
        <f t="shared" ca="1" si="80"/>
        <v>0.36404012980243794</v>
      </c>
      <c r="BZ29" s="1129">
        <f t="shared" ca="1" si="80"/>
        <v>0.36404012980243794</v>
      </c>
      <c r="CA29" s="1129">
        <f t="shared" ca="1" si="80"/>
        <v>0.36404012980243794</v>
      </c>
      <c r="CB29" s="1129">
        <f t="shared" ca="1" si="80"/>
        <v>0.36404012980243794</v>
      </c>
      <c r="CC29" s="1129">
        <f t="shared" ca="1" si="80"/>
        <v>0.36404012980243805</v>
      </c>
      <c r="CD29" s="1129">
        <f t="shared" ca="1" si="80"/>
        <v>0.36404012980243794</v>
      </c>
      <c r="CE29" s="1129">
        <f t="shared" ca="1" si="80"/>
        <v>0.36404012980243794</v>
      </c>
      <c r="CF29" s="1129">
        <f t="shared" ca="1" si="80"/>
        <v>0.36404012980243794</v>
      </c>
      <c r="CG29" s="1129">
        <f t="shared" ca="1" si="80"/>
        <v>0.36404012980243788</v>
      </c>
      <c r="CH29" s="1129">
        <f t="shared" ca="1" si="80"/>
        <v>0.36404012980243794</v>
      </c>
      <c r="CI29" s="1129">
        <f t="shared" ca="1" si="80"/>
        <v>0.36404012980243794</v>
      </c>
      <c r="CJ29" s="1129">
        <f t="shared" ca="1" si="80"/>
        <v>0.36404012980243794</v>
      </c>
      <c r="CK29" s="1086"/>
      <c r="CL29" s="1086"/>
      <c r="CM29" s="1086"/>
      <c r="CN29" s="1086"/>
      <c r="CO29" s="1086"/>
      <c r="CP29" s="1086"/>
      <c r="CQ29" s="1086"/>
      <c r="CR29" s="1086"/>
      <c r="CS29" s="1086"/>
      <c r="CT29" s="1086"/>
      <c r="CU29" s="1086"/>
      <c r="CV29" s="1086"/>
      <c r="CW29" s="1086"/>
      <c r="CX29" s="1086"/>
      <c r="CY29" s="1086"/>
      <c r="CZ29" s="1086"/>
      <c r="DA29" s="1086"/>
      <c r="DB29" s="1086"/>
      <c r="DC29" s="1086"/>
      <c r="DD29" s="1086"/>
      <c r="DE29" s="1086"/>
      <c r="DF29" s="1086"/>
      <c r="DG29" s="1086"/>
      <c r="DH29" s="1086"/>
      <c r="DI29" s="1086"/>
      <c r="DJ29" s="1086"/>
      <c r="DK29" s="1086"/>
      <c r="DL29" s="1086"/>
      <c r="DM29" s="1086"/>
      <c r="DN29" s="1086"/>
      <c r="DO29" s="1086"/>
      <c r="DP29" s="1086"/>
      <c r="DQ29" s="1086"/>
      <c r="DR29" s="1086"/>
      <c r="DS29" s="1086"/>
      <c r="DT29" s="1086"/>
      <c r="DU29" s="1086"/>
      <c r="DV29" s="1086"/>
      <c r="DW29" s="1086"/>
      <c r="DX29" s="1086"/>
      <c r="DY29" s="1086"/>
      <c r="DZ29" s="1086"/>
      <c r="EA29" s="1086"/>
      <c r="EB29" s="1086"/>
      <c r="EC29" s="1086"/>
      <c r="ED29" s="1086"/>
      <c r="EE29" s="1086"/>
      <c r="EF29" s="1086"/>
      <c r="EG29" s="1086"/>
      <c r="EH29" s="1086"/>
      <c r="EI29" s="1086"/>
      <c r="EJ29" s="1086"/>
      <c r="EK29" s="1086"/>
      <c r="EL29" s="1086"/>
      <c r="EM29" s="1086"/>
      <c r="EN29" s="1086"/>
      <c r="EO29" s="1086"/>
      <c r="EP29" s="1086"/>
      <c r="EQ29" s="1086"/>
      <c r="ER29" s="1086"/>
      <c r="ES29" s="1"/>
      <c r="ET29" s="1"/>
      <c r="EU29" s="1"/>
      <c r="EV29" s="1"/>
      <c r="EW29" s="1"/>
      <c r="EX29" s="1"/>
      <c r="EY29" s="1"/>
      <c r="EZ29" s="1"/>
      <c r="FA29" s="1"/>
      <c r="FB29" s="1"/>
      <c r="FC29" s="1"/>
      <c r="FD29" s="1"/>
      <c r="FE29" s="1"/>
      <c r="FF29" s="1"/>
      <c r="FG29" s="1"/>
      <c r="FH29" s="1"/>
      <c r="FI29" s="1"/>
      <c r="FJ29" s="1"/>
      <c r="FK29" s="1"/>
      <c r="FL29" s="1"/>
      <c r="FM29" s="1"/>
      <c r="FN29" s="1"/>
      <c r="FO29" s="1"/>
      <c r="FP29" s="1"/>
      <c r="FQ29" s="1"/>
      <c r="FR29" s="1"/>
      <c r="FS29" s="1"/>
      <c r="FT29" s="1"/>
      <c r="FU29" s="1"/>
      <c r="FV29" s="1"/>
      <c r="FW29" s="1"/>
      <c r="FX29" s="1"/>
      <c r="FY29" s="1"/>
      <c r="FZ29" s="1"/>
      <c r="GA29" s="1"/>
      <c r="GB29" s="1"/>
      <c r="GC29" s="1"/>
      <c r="GD29" s="1"/>
      <c r="GE29" s="1"/>
      <c r="GF29" s="1"/>
      <c r="GG29" s="1"/>
      <c r="GH29" s="1"/>
      <c r="GI29" s="1"/>
      <c r="GJ29" s="1"/>
      <c r="GK29" s="1"/>
      <c r="GL29" s="1"/>
      <c r="GM29" s="1"/>
      <c r="GN29" s="1"/>
      <c r="GO29" s="1"/>
      <c r="GP29" s="1"/>
      <c r="GQ29" s="1"/>
      <c r="GR29" s="1"/>
      <c r="GS29" s="1"/>
      <c r="GT29" s="1"/>
      <c r="GU29" s="1"/>
      <c r="GV29" s="1"/>
      <c r="GW29" s="1"/>
      <c r="GX29" s="1"/>
      <c r="GY29" s="1"/>
      <c r="GZ29" s="1"/>
      <c r="HA29" s="1"/>
      <c r="HB29" s="1"/>
      <c r="HC29" s="1"/>
      <c r="HD29" s="1"/>
      <c r="HE29" s="1"/>
      <c r="HF29" s="1"/>
      <c r="HG29" s="1"/>
      <c r="HH29" s="1"/>
      <c r="HI29" s="1"/>
      <c r="HJ29" s="1"/>
      <c r="HK29" s="1"/>
      <c r="HL29" s="1"/>
      <c r="HM29" s="1"/>
      <c r="HN29" s="1"/>
      <c r="HO29" s="1"/>
      <c r="HP29" s="1"/>
      <c r="HQ29" s="1"/>
      <c r="HR29" s="1"/>
      <c r="HS29" s="1"/>
      <c r="HT29" s="1"/>
      <c r="HU29" s="1"/>
      <c r="HV29" s="1"/>
      <c r="HW29" s="1"/>
      <c r="HX29" s="1"/>
      <c r="HY29" s="1"/>
      <c r="HZ29" s="1"/>
      <c r="IA29" s="1"/>
      <c r="IB29" s="1"/>
      <c r="IC29" s="1"/>
      <c r="ID29" s="1"/>
      <c r="IE29" s="1"/>
      <c r="IF29" s="1"/>
      <c r="IG29" s="1"/>
      <c r="IH29" s="1"/>
      <c r="II29" s="1"/>
      <c r="IJ29" s="1"/>
      <c r="IK29" s="1"/>
      <c r="IL29" s="1"/>
      <c r="IM29" s="1"/>
      <c r="IN29" s="1"/>
      <c r="IO29" s="1"/>
      <c r="IP29" s="1"/>
      <c r="IQ29" s="1"/>
      <c r="IR29" s="1"/>
      <c r="IS29" s="1"/>
      <c r="IT29" s="1"/>
      <c r="IU29" s="1"/>
      <c r="IV29" s="1"/>
      <c r="IW29" s="1"/>
      <c r="IX29" s="1"/>
      <c r="IY29" s="1"/>
      <c r="IZ29" s="1"/>
      <c r="JA29" s="1"/>
      <c r="JB29" s="1"/>
      <c r="JC29" s="1"/>
      <c r="JD29" s="1"/>
    </row>
    <row r="30" spans="2:264" s="1044" customFormat="1" x14ac:dyDescent="0.2">
      <c r="B30" s="1187" t="s">
        <v>1032</v>
      </c>
      <c r="C30" s="1188">
        <f ca="1">+C22/C62</f>
        <v>2.1503071316107136</v>
      </c>
      <c r="D30" s="1189" t="str">
        <f>D25</f>
        <v>FY26E</v>
      </c>
      <c r="F30" s="1146" t="s">
        <v>1012</v>
      </c>
      <c r="G30" s="1153">
        <v>0.03</v>
      </c>
      <c r="H30" s="1154"/>
      <c r="P30" s="1046"/>
      <c r="Q30" s="1044" t="s">
        <v>1033</v>
      </c>
      <c r="X30" s="1086"/>
      <c r="Y30" s="1086">
        <f>MODEL!BJ1315</f>
        <v>69173</v>
      </c>
      <c r="Z30" s="1086">
        <f>MODEL!BN1315</f>
        <v>72026</v>
      </c>
      <c r="AA30" s="1086">
        <f>MODEL!BR1315</f>
        <v>81110</v>
      </c>
      <c r="AB30" s="1086">
        <f>MODEL!BV1315</f>
        <v>91186</v>
      </c>
      <c r="AC30" s="1086">
        <f>MODEL!BZ1315</f>
        <v>139986</v>
      </c>
      <c r="AD30" s="1088">
        <f>MODEL!CD1315</f>
        <v>144830</v>
      </c>
      <c r="AE30" s="1088">
        <f>MODEL!CH1315</f>
        <v>154688</v>
      </c>
      <c r="AF30" s="1088">
        <f>MODEL!CL1315</f>
        <v>154929</v>
      </c>
      <c r="AG30" s="1088">
        <f>MODEL!CP1315</f>
        <v>166281</v>
      </c>
      <c r="AH30" s="1088">
        <f>MODEL!CT1315</f>
        <v>178248</v>
      </c>
      <c r="AI30" s="1088">
        <f>MODEL!CX1315</f>
        <v>154762</v>
      </c>
      <c r="AJ30" s="1088">
        <f>MODEL!DB1315</f>
        <v>152182</v>
      </c>
      <c r="AK30" s="1365">
        <f>MODEL!DF1315</f>
        <v>156575</v>
      </c>
      <c r="AL30" s="1088">
        <f>MODEL!DJ1315</f>
        <v>168255.32450895489</v>
      </c>
      <c r="AM30" s="1088">
        <f>MODEL!$DN1315</f>
        <v>178643.12832161775</v>
      </c>
      <c r="AN30" s="1088">
        <f>MODEL!$DR1315</f>
        <v>187340.40188027255</v>
      </c>
      <c r="AO30" s="1086">
        <f t="shared" ref="AO30:CJ31" si="84">+AO19*AO22</f>
        <v>194948.66006777363</v>
      </c>
      <c r="AP30" s="1086">
        <f t="shared" si="84"/>
        <v>202746.60647048458</v>
      </c>
      <c r="AQ30" s="1086">
        <f t="shared" si="84"/>
        <v>210856.47072930395</v>
      </c>
      <c r="AR30" s="1086">
        <f t="shared" si="84"/>
        <v>219290.72955847616</v>
      </c>
      <c r="AS30" s="1086">
        <f t="shared" si="84"/>
        <v>228062.35874081519</v>
      </c>
      <c r="AT30" s="1086">
        <f t="shared" si="84"/>
        <v>237184.85309044781</v>
      </c>
      <c r="AU30" s="1086">
        <f t="shared" si="84"/>
        <v>246672.24721406572</v>
      </c>
      <c r="AV30" s="1086">
        <f t="shared" si="84"/>
        <v>254072.41463048768</v>
      </c>
      <c r="AW30" s="1086">
        <f t="shared" si="84"/>
        <v>261694.58706940233</v>
      </c>
      <c r="AX30" s="1086">
        <f t="shared" si="84"/>
        <v>269545.42468148441</v>
      </c>
      <c r="AY30" s="1086">
        <f t="shared" si="84"/>
        <v>277631.78742192895</v>
      </c>
      <c r="AZ30" s="1086">
        <f t="shared" si="84"/>
        <v>285960.74104458687</v>
      </c>
      <c r="BA30" s="1086">
        <f t="shared" si="84"/>
        <v>294539.56327592442</v>
      </c>
      <c r="BB30" s="1086">
        <f t="shared" si="84"/>
        <v>303375.7501742022</v>
      </c>
      <c r="BC30" s="1086">
        <f t="shared" si="84"/>
        <v>312477.02267942828</v>
      </c>
      <c r="BD30" s="1086">
        <f t="shared" si="84"/>
        <v>321851.33335981111</v>
      </c>
      <c r="BE30" s="1086">
        <f t="shared" si="84"/>
        <v>331506.87336060544</v>
      </c>
      <c r="BF30" s="1086">
        <f t="shared" si="84"/>
        <v>341452.07956142363</v>
      </c>
      <c r="BG30" s="1086">
        <f t="shared" si="84"/>
        <v>351695.64194826636</v>
      </c>
      <c r="BH30" s="1086">
        <f t="shared" si="84"/>
        <v>362246.51120671438</v>
      </c>
      <c r="BI30" s="1086">
        <f t="shared" si="84"/>
        <v>373113.90654291579</v>
      </c>
      <c r="BJ30" s="1086">
        <f t="shared" si="84"/>
        <v>384307.32373920322</v>
      </c>
      <c r="BK30" s="1086">
        <f t="shared" si="84"/>
        <v>395836.54345137934</v>
      </c>
      <c r="BL30" s="1086">
        <f t="shared" si="84"/>
        <v>407711.63975492073</v>
      </c>
      <c r="BM30" s="1086">
        <f t="shared" si="84"/>
        <v>419942.9889475684</v>
      </c>
      <c r="BN30" s="1086">
        <f t="shared" si="84"/>
        <v>432541.27861599548</v>
      </c>
      <c r="BO30" s="1086">
        <f t="shared" si="84"/>
        <v>445517.51697447535</v>
      </c>
      <c r="BP30" s="1086">
        <f t="shared" si="84"/>
        <v>458883.04248370964</v>
      </c>
      <c r="BQ30" s="1086">
        <f t="shared" si="84"/>
        <v>472649.53375822096</v>
      </c>
      <c r="BR30" s="1086">
        <f t="shared" si="84"/>
        <v>486829.0197709676</v>
      </c>
      <c r="BS30" s="1086">
        <f t="shared" si="84"/>
        <v>501433.89036409667</v>
      </c>
      <c r="BT30" s="1086">
        <f t="shared" si="84"/>
        <v>516476.90707501955</v>
      </c>
      <c r="BU30" s="1086">
        <f t="shared" si="84"/>
        <v>531971.21428727009</v>
      </c>
      <c r="BV30" s="1086">
        <f t="shared" si="84"/>
        <v>547930.3507158882</v>
      </c>
      <c r="BW30" s="1086">
        <f t="shared" si="84"/>
        <v>564368.26123736496</v>
      </c>
      <c r="BX30" s="1086">
        <f t="shared" si="84"/>
        <v>581299.30907448591</v>
      </c>
      <c r="BY30" s="1086">
        <f t="shared" si="84"/>
        <v>598738.28834672051</v>
      </c>
      <c r="BZ30" s="1086">
        <f t="shared" si="84"/>
        <v>616700.43699712213</v>
      </c>
      <c r="CA30" s="1086">
        <f t="shared" si="84"/>
        <v>635201.45010703593</v>
      </c>
      <c r="CB30" s="1086">
        <f t="shared" si="84"/>
        <v>654257.49361024704</v>
      </c>
      <c r="CC30" s="1086">
        <f t="shared" si="84"/>
        <v>673885.2184185544</v>
      </c>
      <c r="CD30" s="1086">
        <f t="shared" si="84"/>
        <v>694101.77497111098</v>
      </c>
      <c r="CE30" s="1086">
        <f t="shared" si="84"/>
        <v>714924.82822024438</v>
      </c>
      <c r="CF30" s="1086">
        <f t="shared" si="84"/>
        <v>736372.57306685182</v>
      </c>
      <c r="CG30" s="1086">
        <f t="shared" si="84"/>
        <v>758463.75025885727</v>
      </c>
      <c r="CH30" s="1086">
        <f t="shared" si="84"/>
        <v>781217.66276662308</v>
      </c>
      <c r="CI30" s="1086">
        <f t="shared" si="84"/>
        <v>804654.19264962175</v>
      </c>
      <c r="CJ30" s="1086">
        <f t="shared" si="84"/>
        <v>828793.81842911046</v>
      </c>
      <c r="CK30" s="1086"/>
      <c r="CL30" s="1086"/>
      <c r="CM30" s="1086"/>
      <c r="CN30" s="1086"/>
      <c r="CO30" s="1086"/>
      <c r="CP30" s="1086"/>
      <c r="CQ30" s="1086"/>
      <c r="CR30" s="1086"/>
      <c r="CS30" s="1086"/>
      <c r="CT30" s="1086"/>
      <c r="CU30" s="1086"/>
      <c r="CV30" s="1086"/>
      <c r="CW30" s="1086"/>
      <c r="CX30" s="1086"/>
      <c r="CY30" s="1086"/>
      <c r="CZ30" s="1086"/>
      <c r="DA30" s="1086"/>
      <c r="DB30" s="1086"/>
      <c r="DC30" s="1086"/>
      <c r="DD30" s="1086"/>
      <c r="DE30" s="1086"/>
      <c r="DF30" s="1086"/>
      <c r="DG30" s="1086"/>
      <c r="DH30" s="1086"/>
      <c r="DI30" s="1086"/>
      <c r="DJ30" s="1086"/>
      <c r="DK30" s="1086"/>
      <c r="DL30" s="1086"/>
      <c r="DM30" s="1086"/>
      <c r="DN30" s="1086"/>
      <c r="DO30" s="1086"/>
      <c r="DP30" s="1086"/>
      <c r="DQ30" s="1086"/>
      <c r="DR30" s="1086"/>
      <c r="DS30" s="1086"/>
      <c r="DT30" s="1086"/>
      <c r="DU30" s="1086"/>
      <c r="DV30" s="1086"/>
      <c r="DW30" s="1086"/>
      <c r="DX30" s="1086"/>
      <c r="DY30" s="1086"/>
      <c r="DZ30" s="1086"/>
      <c r="EA30" s="1086"/>
      <c r="EB30" s="1086"/>
      <c r="EC30" s="1086"/>
      <c r="ED30" s="1086"/>
      <c r="EE30" s="1086"/>
      <c r="EF30" s="1086"/>
      <c r="EG30" s="1086"/>
      <c r="EH30" s="1086"/>
      <c r="EI30" s="1086"/>
      <c r="EJ30" s="1086"/>
      <c r="EK30" s="1086"/>
      <c r="EL30" s="1086"/>
      <c r="EM30" s="1086"/>
      <c r="EN30" s="1086"/>
      <c r="EO30" s="1086"/>
      <c r="EP30" s="1086"/>
      <c r="EQ30" s="1086"/>
      <c r="ER30" s="1086"/>
      <c r="ES30" s="1"/>
      <c r="ET30" s="1"/>
      <c r="EU30" s="1"/>
      <c r="EV30" s="1"/>
      <c r="EW30" s="1"/>
      <c r="EX30" s="1"/>
      <c r="EY30" s="1"/>
      <c r="EZ30" s="1"/>
      <c r="FA30" s="1"/>
      <c r="FB30" s="1"/>
      <c r="FC30" s="1"/>
      <c r="FD30" s="1"/>
      <c r="FE30" s="1"/>
      <c r="FF30" s="1"/>
      <c r="FG30" s="1"/>
      <c r="FH30" s="1"/>
      <c r="FI30" s="1"/>
      <c r="FJ30" s="1"/>
      <c r="FK30" s="1"/>
      <c r="FL30" s="1"/>
      <c r="FM30" s="1"/>
      <c r="FN30" s="1"/>
      <c r="FO30" s="1"/>
      <c r="FP30" s="1"/>
      <c r="FQ30" s="1"/>
      <c r="FR30" s="1"/>
      <c r="FS30" s="1"/>
      <c r="FT30" s="1"/>
      <c r="FU30" s="1"/>
      <c r="FV30" s="1"/>
      <c r="FW30" s="1"/>
      <c r="FX30" s="1"/>
      <c r="FY30" s="1"/>
      <c r="FZ30" s="1"/>
      <c r="GA30" s="1"/>
      <c r="GB30" s="1"/>
      <c r="GC30" s="1"/>
      <c r="GD30" s="1"/>
      <c r="GE30" s="1"/>
      <c r="GF30" s="1"/>
      <c r="GG30" s="1"/>
      <c r="GH30" s="1"/>
      <c r="GI30" s="1"/>
      <c r="GJ30" s="1"/>
      <c r="GK30" s="1"/>
      <c r="GL30" s="1"/>
      <c r="GM30" s="1"/>
      <c r="GN30" s="1"/>
      <c r="GO30" s="1"/>
      <c r="GP30" s="1"/>
      <c r="GQ30" s="1"/>
      <c r="GR30" s="1"/>
      <c r="GS30" s="1"/>
      <c r="GT30" s="1"/>
      <c r="GU30" s="1"/>
      <c r="GV30" s="1"/>
      <c r="GW30" s="1"/>
      <c r="GX30" s="1"/>
      <c r="GY30" s="1"/>
      <c r="GZ30" s="1"/>
      <c r="HA30" s="1"/>
      <c r="HB30" s="1"/>
      <c r="HC30" s="1"/>
      <c r="HD30" s="1"/>
      <c r="HE30" s="1"/>
      <c r="HF30" s="1"/>
      <c r="HG30" s="1"/>
      <c r="HH30" s="1"/>
      <c r="HI30" s="1"/>
      <c r="HJ30" s="1"/>
      <c r="HK30" s="1"/>
      <c r="HL30" s="1"/>
      <c r="HM30" s="1"/>
      <c r="HN30" s="1"/>
      <c r="HO30" s="1"/>
      <c r="HP30" s="1"/>
      <c r="HQ30" s="1"/>
      <c r="HR30" s="1"/>
      <c r="HS30" s="1"/>
      <c r="HT30" s="1"/>
      <c r="HU30" s="1"/>
      <c r="HV30" s="1"/>
      <c r="HW30" s="1"/>
      <c r="HX30" s="1"/>
      <c r="HY30" s="1"/>
      <c r="HZ30" s="1"/>
      <c r="IA30" s="1"/>
      <c r="IB30" s="1"/>
      <c r="IC30" s="1"/>
      <c r="ID30" s="1"/>
      <c r="IE30" s="1"/>
      <c r="IF30" s="1"/>
      <c r="IG30" s="1"/>
      <c r="IH30" s="1"/>
      <c r="II30" s="1"/>
      <c r="IJ30" s="1"/>
      <c r="IK30" s="1"/>
      <c r="IL30" s="1"/>
      <c r="IM30" s="1"/>
      <c r="IN30" s="1"/>
      <c r="IO30" s="1"/>
      <c r="IP30" s="1"/>
      <c r="IQ30" s="1"/>
      <c r="IR30" s="1"/>
      <c r="IS30" s="1"/>
      <c r="IT30" s="1"/>
      <c r="IU30" s="1"/>
      <c r="IV30" s="1"/>
      <c r="IW30" s="1"/>
      <c r="IX30" s="1"/>
      <c r="IY30" s="1"/>
      <c r="IZ30" s="1"/>
      <c r="JA30" s="1"/>
      <c r="JB30" s="1"/>
      <c r="JC30" s="1"/>
      <c r="JD30" s="1"/>
    </row>
    <row r="31" spans="2:264" s="1044" customFormat="1" x14ac:dyDescent="0.2">
      <c r="B31" s="1069"/>
      <c r="C31" s="1100"/>
      <c r="F31" s="1146" t="s">
        <v>1014</v>
      </c>
      <c r="G31" s="1155">
        <f>1/($C$15/100-G30)*((1+$C$15/100)^-10)</f>
        <v>9.2638697616936856</v>
      </c>
      <c r="H31" s="1154"/>
      <c r="P31" s="1046"/>
      <c r="Q31" s="1044" t="s">
        <v>1034</v>
      </c>
      <c r="X31" s="1086"/>
      <c r="Y31" s="1086"/>
      <c r="Z31" s="1086"/>
      <c r="AA31" s="1086"/>
      <c r="AB31" s="1086"/>
      <c r="AC31" s="1086"/>
      <c r="AD31" s="1088">
        <f>MODEL!CD1316</f>
        <v>217908</v>
      </c>
      <c r="AE31" s="1088">
        <f>MODEL!CH1316</f>
        <v>211020</v>
      </c>
      <c r="AF31" s="1088">
        <f>MODEL!CL1316</f>
        <v>212807</v>
      </c>
      <c r="AG31" s="1088">
        <f>MODEL!CP1316</f>
        <v>207415</v>
      </c>
      <c r="AH31" s="1088">
        <f>MODEL!CT1316</f>
        <v>208146</v>
      </c>
      <c r="AI31" s="1088">
        <f>MODEL!CX1316</f>
        <v>202464</v>
      </c>
      <c r="AJ31" s="1088">
        <f>MODEL!DB1316</f>
        <v>205759</v>
      </c>
      <c r="AK31" s="1365">
        <f>MODEL!DF1316</f>
        <v>226428</v>
      </c>
      <c r="AL31" s="1088">
        <f>MODEL!DJ1316</f>
        <v>239560.06352819389</v>
      </c>
      <c r="AM31" s="1088">
        <f>MODEL!$DN1316</f>
        <v>254048.82682783296</v>
      </c>
      <c r="AN31" s="1088">
        <f>MODEL!$DR1316</f>
        <v>266764.34713946097</v>
      </c>
      <c r="AO31" s="1086">
        <f t="shared" si="84"/>
        <v>278853.94019142631</v>
      </c>
      <c r="AP31" s="1086">
        <f t="shared" si="84"/>
        <v>291402.36750004045</v>
      </c>
      <c r="AQ31" s="1086">
        <f t="shared" si="84"/>
        <v>304515.47403754224</v>
      </c>
      <c r="AR31" s="1086">
        <f t="shared" si="84"/>
        <v>318218.67036923161</v>
      </c>
      <c r="AS31" s="1086">
        <f t="shared" si="84"/>
        <v>332538.51053584705</v>
      </c>
      <c r="AT31" s="1086">
        <f t="shared" si="84"/>
        <v>347502.74350996013</v>
      </c>
      <c r="AU31" s="1086">
        <f t="shared" si="84"/>
        <v>363140.36696790834</v>
      </c>
      <c r="AV31" s="1086">
        <f t="shared" si="84"/>
        <v>374034.57797694555</v>
      </c>
      <c r="AW31" s="1086">
        <f t="shared" si="84"/>
        <v>385255.61531625397</v>
      </c>
      <c r="AX31" s="1086">
        <f t="shared" si="84"/>
        <v>396813.28377574164</v>
      </c>
      <c r="AY31" s="1086">
        <f t="shared" si="84"/>
        <v>408717.68228901381</v>
      </c>
      <c r="AZ31" s="1086">
        <f t="shared" si="84"/>
        <v>420979.21275768429</v>
      </c>
      <c r="BA31" s="1086">
        <f t="shared" si="84"/>
        <v>433608.58914041478</v>
      </c>
      <c r="BB31" s="1086">
        <f t="shared" si="84"/>
        <v>446616.84681462729</v>
      </c>
      <c r="BC31" s="1086">
        <f t="shared" si="84"/>
        <v>460015.35221906606</v>
      </c>
      <c r="BD31" s="1086">
        <f t="shared" si="84"/>
        <v>473815.81278563809</v>
      </c>
      <c r="BE31" s="1086">
        <f t="shared" si="84"/>
        <v>488030.28716920724</v>
      </c>
      <c r="BF31" s="1086">
        <f t="shared" si="84"/>
        <v>502671.19578428345</v>
      </c>
      <c r="BG31" s="1086">
        <f t="shared" si="84"/>
        <v>517751.331657812</v>
      </c>
      <c r="BH31" s="1086">
        <f t="shared" si="84"/>
        <v>533283.87160754635</v>
      </c>
      <c r="BI31" s="1086">
        <f t="shared" si="84"/>
        <v>549282.38775577268</v>
      </c>
      <c r="BJ31" s="1086">
        <f t="shared" si="84"/>
        <v>565760.85938844597</v>
      </c>
      <c r="BK31" s="1086">
        <f t="shared" si="84"/>
        <v>582733.68517009937</v>
      </c>
      <c r="BL31" s="1086">
        <f t="shared" si="84"/>
        <v>600215.69572520233</v>
      </c>
      <c r="BM31" s="1086">
        <f t="shared" si="84"/>
        <v>618222.16659695853</v>
      </c>
      <c r="BN31" s="1086">
        <f t="shared" si="84"/>
        <v>636768.83159486728</v>
      </c>
      <c r="BO31" s="1086">
        <f t="shared" si="84"/>
        <v>655871.89654271328</v>
      </c>
      <c r="BP31" s="1086">
        <f t="shared" si="84"/>
        <v>675548.05343899468</v>
      </c>
      <c r="BQ31" s="1086">
        <f t="shared" si="84"/>
        <v>695814.49504216458</v>
      </c>
      <c r="BR31" s="1086">
        <f t="shared" si="84"/>
        <v>716688.92989342951</v>
      </c>
      <c r="BS31" s="1086">
        <f t="shared" si="84"/>
        <v>738189.59779023239</v>
      </c>
      <c r="BT31" s="1086">
        <f t="shared" si="84"/>
        <v>760335.28572393942</v>
      </c>
      <c r="BU31" s="1086">
        <f t="shared" si="84"/>
        <v>783145.34429565771</v>
      </c>
      <c r="BV31" s="1086">
        <f t="shared" si="84"/>
        <v>806639.70462452748</v>
      </c>
      <c r="BW31" s="1086">
        <f t="shared" si="84"/>
        <v>830838.89576326334</v>
      </c>
      <c r="BX31" s="1086">
        <f t="shared" si="84"/>
        <v>855764.06263616111</v>
      </c>
      <c r="BY31" s="1086">
        <f t="shared" si="84"/>
        <v>881436.984515246</v>
      </c>
      <c r="BZ31" s="1086">
        <f t="shared" si="84"/>
        <v>907880.09405070334</v>
      </c>
      <c r="CA31" s="1086">
        <f t="shared" si="84"/>
        <v>935116.49687222438</v>
      </c>
      <c r="CB31" s="1086">
        <f t="shared" si="84"/>
        <v>963169.99177839118</v>
      </c>
      <c r="CC31" s="1086">
        <f t="shared" si="84"/>
        <v>992065.09153174295</v>
      </c>
      <c r="CD31" s="1086">
        <f t="shared" si="84"/>
        <v>1021827.0442776951</v>
      </c>
      <c r="CE31" s="1086">
        <f t="shared" si="84"/>
        <v>1052481.855606026</v>
      </c>
      <c r="CF31" s="1086">
        <f t="shared" si="84"/>
        <v>1084056.3112742067</v>
      </c>
      <c r="CG31" s="1086">
        <f t="shared" si="84"/>
        <v>1116578.0006124328</v>
      </c>
      <c r="CH31" s="1086">
        <f t="shared" si="84"/>
        <v>1150075.3406308058</v>
      </c>
      <c r="CI31" s="1086">
        <f t="shared" si="84"/>
        <v>1184577.6008497302</v>
      </c>
      <c r="CJ31" s="1086">
        <f t="shared" si="84"/>
        <v>1220114.9288752221</v>
      </c>
      <c r="CK31" s="1086"/>
      <c r="CL31" s="1086"/>
      <c r="CM31" s="1086"/>
      <c r="CN31" s="1086"/>
      <c r="CO31" s="1086"/>
      <c r="CP31" s="1086"/>
      <c r="CQ31" s="1086"/>
      <c r="CR31" s="1086"/>
      <c r="CS31" s="1086"/>
      <c r="CT31" s="1086"/>
      <c r="CU31" s="1086"/>
      <c r="CV31" s="1086"/>
      <c r="CW31" s="1086"/>
      <c r="CX31" s="1086"/>
      <c r="CY31" s="1086"/>
      <c r="CZ31" s="1086"/>
      <c r="DA31" s="1086"/>
      <c r="DB31" s="1086"/>
      <c r="DC31" s="1086"/>
      <c r="DD31" s="1086"/>
      <c r="DE31" s="1086"/>
      <c r="DF31" s="1086"/>
      <c r="DG31" s="1086"/>
      <c r="DH31" s="1086"/>
      <c r="DI31" s="1086"/>
      <c r="DJ31" s="1086"/>
      <c r="DK31" s="1086"/>
      <c r="DL31" s="1086"/>
      <c r="DM31" s="1086"/>
      <c r="DN31" s="1086"/>
      <c r="DO31" s="1086"/>
      <c r="DP31" s="1086"/>
      <c r="DQ31" s="1086"/>
      <c r="DR31" s="1086"/>
      <c r="DS31" s="1086"/>
      <c r="DT31" s="1086"/>
      <c r="DU31" s="1086"/>
      <c r="DV31" s="1086"/>
      <c r="DW31" s="1086"/>
      <c r="DX31" s="1086"/>
      <c r="DY31" s="1086"/>
      <c r="DZ31" s="1086"/>
      <c r="EA31" s="1086"/>
      <c r="EB31" s="1086"/>
      <c r="EC31" s="1086"/>
      <c r="ED31" s="1086"/>
      <c r="EE31" s="1086"/>
      <c r="EF31" s="1086"/>
      <c r="EG31" s="1086"/>
      <c r="EH31" s="1086"/>
      <c r="EI31" s="1086"/>
      <c r="EJ31" s="1086"/>
      <c r="EK31" s="1086"/>
      <c r="EL31" s="1086"/>
      <c r="EM31" s="1086"/>
      <c r="EN31" s="1086"/>
      <c r="EO31" s="1086"/>
      <c r="EP31" s="1086"/>
      <c r="EQ31" s="1086"/>
      <c r="ER31" s="1086"/>
      <c r="ES31" s="1"/>
      <c r="ET31" s="1"/>
      <c r="EU31" s="1"/>
      <c r="EV31" s="1"/>
      <c r="EW31" s="1"/>
      <c r="EX31" s="1"/>
      <c r="EY31" s="1"/>
      <c r="EZ31" s="1"/>
      <c r="FA31" s="1"/>
      <c r="FB31" s="1"/>
      <c r="FC31" s="1"/>
      <c r="FD31" s="1"/>
      <c r="FE31" s="1"/>
      <c r="FF31" s="1"/>
      <c r="FG31" s="1"/>
      <c r="FH31" s="1"/>
      <c r="FI31" s="1"/>
      <c r="FJ31" s="1"/>
      <c r="FK31" s="1"/>
      <c r="FL31" s="1"/>
      <c r="FM31" s="1"/>
      <c r="FN31" s="1"/>
      <c r="FO31" s="1"/>
      <c r="FP31" s="1"/>
      <c r="FQ31" s="1"/>
      <c r="FR31" s="1"/>
      <c r="FS31" s="1"/>
      <c r="FT31" s="1"/>
      <c r="FU31" s="1"/>
      <c r="FV31" s="1"/>
      <c r="FW31" s="1"/>
      <c r="FX31" s="1"/>
      <c r="FY31" s="1"/>
      <c r="FZ31" s="1"/>
      <c r="GA31" s="1"/>
      <c r="GB31" s="1"/>
      <c r="GC31" s="1"/>
      <c r="GD31" s="1"/>
      <c r="GE31" s="1"/>
      <c r="GF31" s="1"/>
      <c r="GG31" s="1"/>
      <c r="GH31" s="1"/>
      <c r="GI31" s="1"/>
      <c r="GJ31" s="1"/>
      <c r="GK31" s="1"/>
      <c r="GL31" s="1"/>
      <c r="GM31" s="1"/>
      <c r="GN31" s="1"/>
      <c r="GO31" s="1"/>
      <c r="GP31" s="1"/>
      <c r="GQ31" s="1"/>
      <c r="GR31" s="1"/>
      <c r="GS31" s="1"/>
      <c r="GT31" s="1"/>
      <c r="GU31" s="1"/>
      <c r="GV31" s="1"/>
      <c r="GW31" s="1"/>
      <c r="GX31" s="1"/>
      <c r="GY31" s="1"/>
      <c r="GZ31" s="1"/>
      <c r="HA31" s="1"/>
      <c r="HB31" s="1"/>
      <c r="HC31" s="1"/>
      <c r="HD31" s="1"/>
      <c r="HE31" s="1"/>
      <c r="HF31" s="1"/>
      <c r="HG31" s="1"/>
      <c r="HH31" s="1"/>
      <c r="HI31" s="1"/>
      <c r="HJ31" s="1"/>
      <c r="HK31" s="1"/>
      <c r="HL31" s="1"/>
      <c r="HM31" s="1"/>
      <c r="HN31" s="1"/>
      <c r="HO31" s="1"/>
      <c r="HP31" s="1"/>
      <c r="HQ31" s="1"/>
      <c r="HR31" s="1"/>
      <c r="HS31" s="1"/>
      <c r="HT31" s="1"/>
      <c r="HU31" s="1"/>
      <c r="HV31" s="1"/>
      <c r="HW31" s="1"/>
      <c r="HX31" s="1"/>
      <c r="HY31" s="1"/>
      <c r="HZ31" s="1"/>
      <c r="IA31" s="1"/>
      <c r="IB31" s="1"/>
      <c r="IC31" s="1"/>
      <c r="ID31" s="1"/>
      <c r="IE31" s="1"/>
      <c r="IF31" s="1"/>
      <c r="IG31" s="1"/>
      <c r="IH31" s="1"/>
      <c r="II31" s="1"/>
      <c r="IJ31" s="1"/>
      <c r="IK31" s="1"/>
      <c r="IL31" s="1"/>
      <c r="IM31" s="1"/>
      <c r="IN31" s="1"/>
      <c r="IO31" s="1"/>
      <c r="IP31" s="1"/>
      <c r="IQ31" s="1"/>
      <c r="IR31" s="1"/>
      <c r="IS31" s="1"/>
      <c r="IT31" s="1"/>
      <c r="IU31" s="1"/>
      <c r="IV31" s="1"/>
      <c r="IW31" s="1"/>
      <c r="IX31" s="1"/>
      <c r="IY31" s="1"/>
      <c r="IZ31" s="1"/>
      <c r="JA31" s="1"/>
      <c r="JB31" s="1"/>
      <c r="JC31" s="1"/>
      <c r="JD31" s="1"/>
    </row>
    <row r="32" spans="2:264" s="1044" customFormat="1" x14ac:dyDescent="0.2">
      <c r="B32" s="1067" t="s">
        <v>1035</v>
      </c>
      <c r="C32" s="1100"/>
      <c r="F32" s="1146" t="s">
        <v>1015</v>
      </c>
      <c r="G32" s="1082">
        <f ca="1">+G31*AL127</f>
        <v>81669.946473832504</v>
      </c>
      <c r="H32" s="1147">
        <f ca="1">+G32/$C$8</f>
        <v>48.802977899926269</v>
      </c>
      <c r="I32" s="1090"/>
      <c r="J32" s="1090"/>
      <c r="K32" s="1090"/>
      <c r="L32" s="1090"/>
      <c r="M32" s="1090"/>
      <c r="N32" s="1090"/>
      <c r="O32" s="1090"/>
      <c r="P32" s="1046"/>
      <c r="Q32" s="1044" t="s">
        <v>872</v>
      </c>
      <c r="X32" s="1086"/>
      <c r="Y32" s="1086"/>
      <c r="Z32" s="1086"/>
      <c r="AA32" s="1086"/>
      <c r="AB32" s="1086"/>
      <c r="AC32" s="1086"/>
      <c r="AD32" s="1088">
        <f>MODEL!CD1317</f>
        <v>362738</v>
      </c>
      <c r="AE32" s="1088">
        <f>MODEL!CH1317</f>
        <v>365708</v>
      </c>
      <c r="AF32" s="1088">
        <f>MODEL!CL1317</f>
        <v>367736</v>
      </c>
      <c r="AG32" s="1088">
        <f>MODEL!CP1317</f>
        <v>373696</v>
      </c>
      <c r="AH32" s="1088">
        <f>MODEL!CT1317</f>
        <v>386394</v>
      </c>
      <c r="AI32" s="1088">
        <f>MODEL!CX1317</f>
        <v>357226</v>
      </c>
      <c r="AJ32" s="1088">
        <f>MODEL!DB1317</f>
        <v>357941</v>
      </c>
      <c r="AK32" s="1365">
        <f>MODEL!DF1317</f>
        <v>383003</v>
      </c>
      <c r="AL32" s="1088">
        <f>MODEL!DJ1317</f>
        <v>407815.38803714875</v>
      </c>
      <c r="AM32" s="1088">
        <f>MODEL!$DN1317</f>
        <v>432691.95514945069</v>
      </c>
      <c r="AN32" s="1088">
        <f>MODEL!$DR1317</f>
        <v>454104.74901973351</v>
      </c>
      <c r="AO32" s="1086">
        <f>SUM(AO30:AO31)</f>
        <v>473802.60025919997</v>
      </c>
      <c r="AP32" s="1086">
        <f t="shared" ref="AP32:CJ32" si="85">SUM(AP30:AP31)</f>
        <v>494148.97397052502</v>
      </c>
      <c r="AQ32" s="1086">
        <f t="shared" si="85"/>
        <v>515371.94476684619</v>
      </c>
      <c r="AR32" s="1086">
        <f t="shared" si="85"/>
        <v>537509.39992770774</v>
      </c>
      <c r="AS32" s="1086">
        <f t="shared" si="85"/>
        <v>560600.86927666224</v>
      </c>
      <c r="AT32" s="1086">
        <f t="shared" si="85"/>
        <v>584687.59660040797</v>
      </c>
      <c r="AU32" s="1086">
        <f t="shared" si="85"/>
        <v>609812.61418197409</v>
      </c>
      <c r="AV32" s="1086">
        <f t="shared" si="85"/>
        <v>628106.99260743323</v>
      </c>
      <c r="AW32" s="1086">
        <f t="shared" si="85"/>
        <v>646950.2023856563</v>
      </c>
      <c r="AX32" s="1086">
        <f t="shared" si="85"/>
        <v>666358.70845722605</v>
      </c>
      <c r="AY32" s="1086">
        <f t="shared" si="85"/>
        <v>686349.46971094282</v>
      </c>
      <c r="AZ32" s="1086">
        <f t="shared" si="85"/>
        <v>706939.95380227116</v>
      </c>
      <c r="BA32" s="1086">
        <f t="shared" si="85"/>
        <v>728148.15241633914</v>
      </c>
      <c r="BB32" s="1086">
        <f t="shared" si="85"/>
        <v>749992.59698882955</v>
      </c>
      <c r="BC32" s="1086">
        <f t="shared" si="85"/>
        <v>772492.37489849434</v>
      </c>
      <c r="BD32" s="1086">
        <f t="shared" si="85"/>
        <v>795667.14614544925</v>
      </c>
      <c r="BE32" s="1086">
        <f t="shared" si="85"/>
        <v>819537.16052981268</v>
      </c>
      <c r="BF32" s="1086">
        <f t="shared" si="85"/>
        <v>844123.27534570708</v>
      </c>
      <c r="BG32" s="1086">
        <f t="shared" si="85"/>
        <v>869446.97360607842</v>
      </c>
      <c r="BH32" s="1086">
        <f t="shared" si="85"/>
        <v>895530.38281426067</v>
      </c>
      <c r="BI32" s="1086">
        <f t="shared" si="85"/>
        <v>922396.29429868842</v>
      </c>
      <c r="BJ32" s="1086">
        <f t="shared" si="85"/>
        <v>950068.18312764913</v>
      </c>
      <c r="BK32" s="1086">
        <f t="shared" si="85"/>
        <v>978570.22862147866</v>
      </c>
      <c r="BL32" s="1086">
        <f t="shared" si="85"/>
        <v>1007927.3354801231</v>
      </c>
      <c r="BM32" s="1086">
        <f t="shared" si="85"/>
        <v>1038165.1555445269</v>
      </c>
      <c r="BN32" s="1086">
        <f t="shared" si="85"/>
        <v>1069310.1102108627</v>
      </c>
      <c r="BO32" s="1086">
        <f t="shared" si="85"/>
        <v>1101389.4135171887</v>
      </c>
      <c r="BP32" s="1086">
        <f t="shared" si="85"/>
        <v>1134431.0959227043</v>
      </c>
      <c r="BQ32" s="1086">
        <f t="shared" si="85"/>
        <v>1168464.0288003855</v>
      </c>
      <c r="BR32" s="1086">
        <f t="shared" si="85"/>
        <v>1203517.9496643972</v>
      </c>
      <c r="BS32" s="1086">
        <f t="shared" si="85"/>
        <v>1239623.4881543291</v>
      </c>
      <c r="BT32" s="1086">
        <f t="shared" si="85"/>
        <v>1276812.1927989591</v>
      </c>
      <c r="BU32" s="1086">
        <f t="shared" si="85"/>
        <v>1315116.5585829278</v>
      </c>
      <c r="BV32" s="1086">
        <f t="shared" si="85"/>
        <v>1354570.0553404158</v>
      </c>
      <c r="BW32" s="1086">
        <f t="shared" si="85"/>
        <v>1395207.1570006283</v>
      </c>
      <c r="BX32" s="1086">
        <f t="shared" si="85"/>
        <v>1437063.3717106469</v>
      </c>
      <c r="BY32" s="1086">
        <f t="shared" si="85"/>
        <v>1480175.2728619664</v>
      </c>
      <c r="BZ32" s="1086">
        <f t="shared" si="85"/>
        <v>1524580.5310478255</v>
      </c>
      <c r="CA32" s="1086">
        <f t="shared" si="85"/>
        <v>1570317.9469792603</v>
      </c>
      <c r="CB32" s="1086">
        <f t="shared" si="85"/>
        <v>1617427.4853886382</v>
      </c>
      <c r="CC32" s="1086">
        <f t="shared" si="85"/>
        <v>1665950.3099502972</v>
      </c>
      <c r="CD32" s="1086">
        <f t="shared" si="85"/>
        <v>1715928.8192488062</v>
      </c>
      <c r="CE32" s="1086">
        <f t="shared" si="85"/>
        <v>1767406.6838262705</v>
      </c>
      <c r="CF32" s="1086">
        <f t="shared" si="85"/>
        <v>1820428.8843410586</v>
      </c>
      <c r="CG32" s="1086">
        <f t="shared" si="85"/>
        <v>1875041.75087129</v>
      </c>
      <c r="CH32" s="1086">
        <f t="shared" si="85"/>
        <v>1931293.0033974289</v>
      </c>
      <c r="CI32" s="1086">
        <f t="shared" si="85"/>
        <v>1989231.7934993519</v>
      </c>
      <c r="CJ32" s="1086">
        <f t="shared" si="85"/>
        <v>2048908.7473043324</v>
      </c>
      <c r="CK32" s="1086"/>
      <c r="CL32" s="1086"/>
      <c r="CM32" s="1086"/>
      <c r="CN32" s="1086"/>
      <c r="CO32" s="1086"/>
      <c r="CP32" s="1086"/>
      <c r="CQ32" s="1086"/>
      <c r="CR32" s="1086"/>
      <c r="CS32" s="1086"/>
      <c r="CT32" s="1086"/>
      <c r="CU32" s="1086"/>
      <c r="CV32" s="1086"/>
      <c r="CW32" s="1086"/>
      <c r="CX32" s="1086"/>
      <c r="CY32" s="1086"/>
      <c r="CZ32" s="1086"/>
      <c r="DA32" s="1086"/>
      <c r="DB32" s="1086"/>
      <c r="DC32" s="1086"/>
      <c r="DD32" s="1086"/>
      <c r="DE32" s="1086"/>
      <c r="DF32" s="1086"/>
      <c r="DG32" s="1086"/>
      <c r="DH32" s="1086"/>
      <c r="DI32" s="1086"/>
      <c r="DJ32" s="1086"/>
      <c r="DK32" s="1086"/>
      <c r="DL32" s="1086"/>
      <c r="DM32" s="1086"/>
      <c r="DN32" s="1086"/>
      <c r="DO32" s="1086"/>
      <c r="DP32" s="1086"/>
      <c r="DQ32" s="1086"/>
      <c r="DR32" s="1086"/>
      <c r="DS32" s="1086"/>
      <c r="DT32" s="1086"/>
      <c r="DU32" s="1086"/>
      <c r="DV32" s="1086"/>
      <c r="DW32" s="1086"/>
      <c r="DX32" s="1086"/>
      <c r="DY32" s="1086"/>
      <c r="DZ32" s="1086"/>
      <c r="EA32" s="1086"/>
      <c r="EB32" s="1086"/>
      <c r="EC32" s="1086"/>
      <c r="ED32" s="1086"/>
      <c r="EE32" s="1086"/>
      <c r="EF32" s="1086"/>
      <c r="EG32" s="1086"/>
      <c r="EH32" s="1086"/>
      <c r="EI32" s="1086"/>
      <c r="EJ32" s="1086"/>
      <c r="EK32" s="1086"/>
      <c r="EL32" s="1086"/>
      <c r="EM32" s="1086"/>
      <c r="EN32" s="1086"/>
      <c r="EO32" s="1086"/>
      <c r="EP32" s="1086"/>
      <c r="EQ32" s="1086"/>
      <c r="ER32" s="1086"/>
      <c r="ES32" s="1"/>
      <c r="ET32" s="1"/>
      <c r="EU32" s="1"/>
      <c r="EV32" s="1"/>
      <c r="EW32" s="1"/>
      <c r="EX32" s="1"/>
      <c r="EY32" s="1"/>
      <c r="EZ32" s="1"/>
      <c r="FA32" s="1"/>
      <c r="FB32" s="1"/>
      <c r="FC32" s="1"/>
      <c r="FD32" s="1"/>
      <c r="FE32" s="1"/>
      <c r="FF32" s="1"/>
      <c r="FG32" s="1"/>
      <c r="FH32" s="1"/>
      <c r="FI32" s="1"/>
      <c r="FJ32" s="1"/>
      <c r="FK32" s="1"/>
      <c r="FL32" s="1"/>
      <c r="FM32" s="1"/>
      <c r="FN32" s="1"/>
      <c r="FO32" s="1"/>
      <c r="FP32" s="1"/>
      <c r="FQ32" s="1"/>
      <c r="FR32" s="1"/>
      <c r="FS32" s="1"/>
      <c r="FT32" s="1"/>
      <c r="FU32" s="1"/>
      <c r="FV32" s="1"/>
      <c r="FW32" s="1"/>
      <c r="FX32" s="1"/>
      <c r="FY32" s="1"/>
      <c r="FZ32" s="1"/>
      <c r="GA32" s="1"/>
      <c r="GB32" s="1"/>
      <c r="GC32" s="1"/>
      <c r="GD32" s="1"/>
      <c r="GE32" s="1"/>
      <c r="GF32" s="1"/>
      <c r="GG32" s="1"/>
      <c r="GH32" s="1"/>
      <c r="GI32" s="1"/>
      <c r="GJ32" s="1"/>
      <c r="GK32" s="1"/>
      <c r="GL32" s="1"/>
      <c r="GM32" s="1"/>
      <c r="GN32" s="1"/>
      <c r="GO32" s="1"/>
      <c r="GP32" s="1"/>
      <c r="GQ32" s="1"/>
      <c r="GR32" s="1"/>
      <c r="GS32" s="1"/>
      <c r="GT32" s="1"/>
      <c r="GU32" s="1"/>
      <c r="GV32" s="1"/>
      <c r="GW32" s="1"/>
      <c r="GX32" s="1"/>
      <c r="GY32" s="1"/>
      <c r="GZ32" s="1"/>
      <c r="HA32" s="1"/>
      <c r="HB32" s="1"/>
      <c r="HC32" s="1"/>
      <c r="HD32" s="1"/>
      <c r="HE32" s="1"/>
      <c r="HF32" s="1"/>
      <c r="HG32" s="1"/>
      <c r="HH32" s="1"/>
      <c r="HI32" s="1"/>
      <c r="HJ32" s="1"/>
      <c r="HK32" s="1"/>
      <c r="HL32" s="1"/>
      <c r="HM32" s="1"/>
      <c r="HN32" s="1"/>
      <c r="HO32" s="1"/>
      <c r="HP32" s="1"/>
      <c r="HQ32" s="1"/>
      <c r="HR32" s="1"/>
      <c r="HS32" s="1"/>
      <c r="HT32" s="1"/>
      <c r="HU32" s="1"/>
      <c r="HV32" s="1"/>
      <c r="HW32" s="1"/>
      <c r="HX32" s="1"/>
      <c r="HY32" s="1"/>
      <c r="HZ32" s="1"/>
      <c r="IA32" s="1"/>
      <c r="IB32" s="1"/>
      <c r="IC32" s="1"/>
      <c r="ID32" s="1"/>
      <c r="IE32" s="1"/>
      <c r="IF32" s="1"/>
      <c r="IG32" s="1"/>
      <c r="IH32" s="1"/>
      <c r="II32" s="1"/>
      <c r="IJ32" s="1"/>
      <c r="IK32" s="1"/>
      <c r="IL32" s="1"/>
      <c r="IM32" s="1"/>
      <c r="IN32" s="1"/>
      <c r="IO32" s="1"/>
      <c r="IP32" s="1"/>
      <c r="IQ32" s="1"/>
      <c r="IR32" s="1"/>
      <c r="IS32" s="1"/>
      <c r="IT32" s="1"/>
      <c r="IU32" s="1"/>
      <c r="IV32" s="1"/>
      <c r="IW32" s="1"/>
      <c r="IX32" s="1"/>
      <c r="IY32" s="1"/>
      <c r="IZ32" s="1"/>
      <c r="JA32" s="1"/>
      <c r="JB32" s="1"/>
      <c r="JC32" s="1"/>
      <c r="JD32" s="1"/>
    </row>
    <row r="33" spans="2:264" s="1044" customFormat="1" ht="13.5" thickBot="1" x14ac:dyDescent="0.25">
      <c r="B33" s="1079" t="s">
        <v>1037</v>
      </c>
      <c r="C33" s="1190">
        <v>10</v>
      </c>
      <c r="F33" s="1159" t="s">
        <v>1017</v>
      </c>
      <c r="G33" s="1160">
        <f ca="1">+G32+G29</f>
        <v>165385.50239420723</v>
      </c>
      <c r="H33" s="1161">
        <f ca="1">+G33/$C$8</f>
        <v>98.828337311311799</v>
      </c>
      <c r="I33" s="1162"/>
      <c r="J33" s="1162"/>
      <c r="K33" s="1162"/>
      <c r="L33" s="1162"/>
      <c r="M33" s="1162"/>
      <c r="N33" s="1162"/>
      <c r="O33" s="1162"/>
      <c r="P33" s="1046"/>
      <c r="Q33" s="1044" t="s">
        <v>1038</v>
      </c>
      <c r="X33" s="1086"/>
      <c r="Y33" s="1086"/>
      <c r="Z33" s="1086"/>
      <c r="AA33" s="1086"/>
      <c r="AB33" s="1086"/>
      <c r="AC33" s="1086"/>
      <c r="AD33" s="1086">
        <f t="shared" ref="AD33:AL33" si="86">AD34-AD32</f>
        <v>6790</v>
      </c>
      <c r="AE33" s="1086">
        <f t="shared" si="86"/>
        <v>6866</v>
      </c>
      <c r="AF33" s="1086">
        <f t="shared" si="86"/>
        <v>6458</v>
      </c>
      <c r="AG33" s="1086">
        <f t="shared" si="86"/>
        <v>7854</v>
      </c>
      <c r="AH33" s="1086">
        <f t="shared" si="86"/>
        <v>7253</v>
      </c>
      <c r="AI33" s="1086">
        <f t="shared" si="86"/>
        <v>5643</v>
      </c>
      <c r="AJ33" s="1086">
        <f t="shared" si="86"/>
        <v>12503</v>
      </c>
      <c r="AK33" s="1366">
        <f t="shared" si="86"/>
        <v>15925</v>
      </c>
      <c r="AL33" s="1086">
        <f t="shared" ca="1" si="86"/>
        <v>15220.314141102892</v>
      </c>
      <c r="AM33" s="1086">
        <f t="shared" ref="AM33" ca="1" si="87">AM34-AM32</f>
        <v>16154.843849510537</v>
      </c>
      <c r="AN33" s="1086">
        <f t="shared" ref="AN33" ca="1" si="88">AN34-AN32</f>
        <v>16945.094146818563</v>
      </c>
      <c r="AO33" s="1086">
        <f t="shared" ref="AO33:CJ33" ca="1" si="89">AO21*AO24</f>
        <v>17662.197649544036</v>
      </c>
      <c r="AP33" s="1086">
        <f t="shared" ca="1" si="89"/>
        <v>18409.753780536896</v>
      </c>
      <c r="AQ33" s="1086">
        <f t="shared" ca="1" si="89"/>
        <v>19189.06022689497</v>
      </c>
      <c r="AR33" s="1086">
        <f t="shared" ca="1" si="89"/>
        <v>20001.470164388513</v>
      </c>
      <c r="AS33" s="1086">
        <f t="shared" ca="1" si="89"/>
        <v>20848.3946381606</v>
      </c>
      <c r="AT33" s="1086">
        <f t="shared" ca="1" si="89"/>
        <v>21731.305045907407</v>
      </c>
      <c r="AU33" s="1086">
        <f t="shared" ca="1" si="89"/>
        <v>22651.735727964009</v>
      </c>
      <c r="AV33" s="1086">
        <f t="shared" ca="1" si="89"/>
        <v>23331.287799802929</v>
      </c>
      <c r="AW33" s="1086">
        <f t="shared" ca="1" si="89"/>
        <v>24031.226433797015</v>
      </c>
      <c r="AX33" s="1086">
        <f t="shared" ca="1" si="89"/>
        <v>24752.163226810932</v>
      </c>
      <c r="AY33" s="1086">
        <f t="shared" ca="1" si="89"/>
        <v>25494.728123615259</v>
      </c>
      <c r="AZ33" s="1086">
        <f t="shared" ca="1" si="89"/>
        <v>26259.569967323725</v>
      </c>
      <c r="BA33" s="1086">
        <f t="shared" ca="1" si="89"/>
        <v>27047.357066343433</v>
      </c>
      <c r="BB33" s="1086">
        <f t="shared" ca="1" si="89"/>
        <v>27858.777778333737</v>
      </c>
      <c r="BC33" s="1086">
        <f t="shared" ca="1" si="89"/>
        <v>28694.541111683749</v>
      </c>
      <c r="BD33" s="1086">
        <f t="shared" ca="1" si="89"/>
        <v>29555.37734503426</v>
      </c>
      <c r="BE33" s="1086">
        <f t="shared" ca="1" si="89"/>
        <v>30442.038665385291</v>
      </c>
      <c r="BF33" s="1086">
        <f t="shared" ca="1" si="89"/>
        <v>31355.299825346847</v>
      </c>
      <c r="BG33" s="1086">
        <f t="shared" ca="1" si="89"/>
        <v>32295.958820107255</v>
      </c>
      <c r="BH33" s="1086">
        <f t="shared" ca="1" si="89"/>
        <v>33264.837584710476</v>
      </c>
      <c r="BI33" s="1086">
        <f t="shared" ca="1" si="89"/>
        <v>34262.782712251785</v>
      </c>
      <c r="BJ33" s="1086">
        <f t="shared" ca="1" si="89"/>
        <v>35290.666193619341</v>
      </c>
      <c r="BK33" s="1086">
        <f t="shared" ca="1" si="89"/>
        <v>36349.386179427922</v>
      </c>
      <c r="BL33" s="1086">
        <f t="shared" ca="1" si="89"/>
        <v>37439.867764810762</v>
      </c>
      <c r="BM33" s="1086">
        <f t="shared" ca="1" si="89"/>
        <v>38563.063797755087</v>
      </c>
      <c r="BN33" s="1086">
        <f t="shared" ca="1" si="89"/>
        <v>39719.95571168774</v>
      </c>
      <c r="BO33" s="1086">
        <f t="shared" ca="1" si="89"/>
        <v>40911.554383038376</v>
      </c>
      <c r="BP33" s="1086">
        <f t="shared" ca="1" si="89"/>
        <v>42138.901014529532</v>
      </c>
      <c r="BQ33" s="1086">
        <f t="shared" ca="1" si="89"/>
        <v>43403.068044965417</v>
      </c>
      <c r="BR33" s="1086">
        <f t="shared" ca="1" si="89"/>
        <v>44705.160086314383</v>
      </c>
      <c r="BS33" s="1086">
        <f t="shared" ca="1" si="89"/>
        <v>46046.314888903813</v>
      </c>
      <c r="BT33" s="1086">
        <f t="shared" ca="1" si="89"/>
        <v>47427.704335570925</v>
      </c>
      <c r="BU33" s="1086">
        <f t="shared" ca="1" si="89"/>
        <v>48850.535465638051</v>
      </c>
      <c r="BV33" s="1086">
        <f t="shared" ca="1" si="89"/>
        <v>50316.051529607204</v>
      </c>
      <c r="BW33" s="1086">
        <f t="shared" ca="1" si="89"/>
        <v>51825.533075495419</v>
      </c>
      <c r="BX33" s="1086">
        <f t="shared" ca="1" si="89"/>
        <v>53380.299067760279</v>
      </c>
      <c r="BY33" s="1086">
        <f t="shared" ca="1" si="89"/>
        <v>54981.708039793091</v>
      </c>
      <c r="BZ33" s="1086">
        <f t="shared" ca="1" si="89"/>
        <v>56631.159280986882</v>
      </c>
      <c r="CA33" s="1086">
        <f t="shared" ca="1" si="89"/>
        <v>58330.094059416493</v>
      </c>
      <c r="CB33" s="1086">
        <f t="shared" ca="1" si="89"/>
        <v>60079.996881198997</v>
      </c>
      <c r="CC33" s="1086">
        <f t="shared" ca="1" si="89"/>
        <v>61882.396787634956</v>
      </c>
      <c r="CD33" s="1086">
        <f t="shared" ca="1" si="89"/>
        <v>63738.868691264004</v>
      </c>
      <c r="CE33" s="1086">
        <f t="shared" ca="1" si="89"/>
        <v>65651.034752001928</v>
      </c>
      <c r="CF33" s="1086">
        <f t="shared" ca="1" si="89"/>
        <v>67620.56579456199</v>
      </c>
      <c r="CG33" s="1086">
        <f t="shared" ca="1" si="89"/>
        <v>69649.182768398852</v>
      </c>
      <c r="CH33" s="1086">
        <f t="shared" ca="1" si="89"/>
        <v>71738.658251450819</v>
      </c>
      <c r="CI33" s="1086">
        <f t="shared" ca="1" si="89"/>
        <v>73890.817998994346</v>
      </c>
      <c r="CJ33" s="1086">
        <f t="shared" ca="1" si="89"/>
        <v>76107.542538964175</v>
      </c>
      <c r="CK33" s="1086"/>
      <c r="CL33" s="1086"/>
      <c r="CM33" s="1086"/>
      <c r="CN33" s="1086"/>
      <c r="CO33" s="1086"/>
      <c r="CP33" s="1086"/>
      <c r="CQ33" s="1086"/>
      <c r="CR33" s="1086"/>
      <c r="CS33" s="1086"/>
      <c r="CT33" s="1086"/>
      <c r="CU33" s="1086"/>
      <c r="CV33" s="1086"/>
      <c r="CW33" s="1086"/>
      <c r="CX33" s="1086"/>
      <c r="CY33" s="1086"/>
      <c r="CZ33" s="1086"/>
      <c r="DA33" s="1086"/>
      <c r="DB33" s="1086"/>
      <c r="DC33" s="1086"/>
      <c r="DD33" s="1086"/>
      <c r="DE33" s="1086"/>
      <c r="DF33" s="1086"/>
      <c r="DG33" s="1086"/>
      <c r="DH33" s="1086"/>
      <c r="DI33" s="1086"/>
      <c r="DJ33" s="1086"/>
      <c r="DK33" s="1086"/>
      <c r="DL33" s="1086"/>
      <c r="DM33" s="1086"/>
      <c r="DN33" s="1086"/>
      <c r="DO33" s="1086"/>
      <c r="DP33" s="1086"/>
      <c r="DQ33" s="1086"/>
      <c r="DR33" s="1086"/>
      <c r="DS33" s="1086"/>
      <c r="DT33" s="1086"/>
      <c r="DU33" s="1086"/>
      <c r="DV33" s="1086"/>
      <c r="DW33" s="1086"/>
      <c r="DX33" s="1086"/>
      <c r="DY33" s="1086"/>
      <c r="DZ33" s="1086"/>
      <c r="EA33" s="1086"/>
      <c r="EB33" s="1086"/>
      <c r="EC33" s="1086"/>
      <c r="ED33" s="1086"/>
      <c r="EE33" s="1086"/>
      <c r="EF33" s="1086"/>
      <c r="EG33" s="1086"/>
      <c r="EH33" s="1086"/>
      <c r="EI33" s="1086"/>
      <c r="EJ33" s="1086"/>
      <c r="EK33" s="1086"/>
      <c r="EL33" s="1086"/>
      <c r="EM33" s="1086"/>
      <c r="EN33" s="1086"/>
      <c r="EO33" s="1086"/>
      <c r="EP33" s="1086"/>
      <c r="EQ33" s="1086"/>
      <c r="ER33" s="1086"/>
      <c r="ES33" s="1"/>
      <c r="ET33" s="1"/>
      <c r="EU33" s="1"/>
      <c r="EV33" s="1"/>
      <c r="EW33" s="1"/>
      <c r="EX33" s="1"/>
      <c r="EY33" s="1"/>
      <c r="EZ33" s="1"/>
      <c r="FA33" s="1"/>
      <c r="FB33" s="1"/>
      <c r="FC33" s="1"/>
      <c r="FD33" s="1"/>
      <c r="FE33" s="1"/>
      <c r="FF33" s="1"/>
      <c r="FG33" s="1"/>
      <c r="FH33" s="1"/>
      <c r="FI33" s="1"/>
      <c r="FJ33" s="1"/>
      <c r="FK33" s="1"/>
      <c r="FL33" s="1"/>
      <c r="FM33" s="1"/>
      <c r="FN33" s="1"/>
      <c r="FO33" s="1"/>
      <c r="FP33" s="1"/>
      <c r="FQ33" s="1"/>
      <c r="FR33" s="1"/>
      <c r="FS33" s="1"/>
      <c r="FT33" s="1"/>
      <c r="FU33" s="1"/>
      <c r="FV33" s="1"/>
      <c r="FW33" s="1"/>
      <c r="FX33" s="1"/>
      <c r="FY33" s="1"/>
      <c r="FZ33" s="1"/>
      <c r="GA33" s="1"/>
      <c r="GB33" s="1"/>
      <c r="GC33" s="1"/>
      <c r="GD33" s="1"/>
      <c r="GE33" s="1"/>
      <c r="GF33" s="1"/>
      <c r="GG33" s="1"/>
      <c r="GH33" s="1"/>
      <c r="GI33" s="1"/>
      <c r="GJ33" s="1"/>
      <c r="GK33" s="1"/>
      <c r="GL33" s="1"/>
      <c r="GM33" s="1"/>
      <c r="GN33" s="1"/>
      <c r="GO33" s="1"/>
      <c r="GP33" s="1"/>
      <c r="GQ33" s="1"/>
      <c r="GR33" s="1"/>
      <c r="GS33" s="1"/>
      <c r="GT33" s="1"/>
      <c r="GU33" s="1"/>
      <c r="GV33" s="1"/>
      <c r="GW33" s="1"/>
      <c r="GX33" s="1"/>
      <c r="GY33" s="1"/>
      <c r="GZ33" s="1"/>
      <c r="HA33" s="1"/>
      <c r="HB33" s="1"/>
      <c r="HC33" s="1"/>
      <c r="HD33" s="1"/>
      <c r="HE33" s="1"/>
      <c r="HF33" s="1"/>
      <c r="HG33" s="1"/>
      <c r="HH33" s="1"/>
      <c r="HI33" s="1"/>
      <c r="HJ33" s="1"/>
      <c r="HK33" s="1"/>
      <c r="HL33" s="1"/>
      <c r="HM33" s="1"/>
      <c r="HN33" s="1"/>
      <c r="HO33" s="1"/>
      <c r="HP33" s="1"/>
      <c r="HQ33" s="1"/>
      <c r="HR33" s="1"/>
      <c r="HS33" s="1"/>
      <c r="HT33" s="1"/>
      <c r="HU33" s="1"/>
      <c r="HV33" s="1"/>
      <c r="HW33" s="1"/>
      <c r="HX33" s="1"/>
      <c r="HY33" s="1"/>
      <c r="HZ33" s="1"/>
      <c r="IA33" s="1"/>
      <c r="IB33" s="1"/>
      <c r="IC33" s="1"/>
      <c r="ID33" s="1"/>
      <c r="IE33" s="1"/>
      <c r="IF33" s="1"/>
      <c r="IG33" s="1"/>
      <c r="IH33" s="1"/>
      <c r="II33" s="1"/>
      <c r="IJ33" s="1"/>
      <c r="IK33" s="1"/>
      <c r="IL33" s="1"/>
      <c r="IM33" s="1"/>
      <c r="IN33" s="1"/>
      <c r="IO33" s="1"/>
      <c r="IP33" s="1"/>
      <c r="IQ33" s="1"/>
      <c r="IR33" s="1"/>
      <c r="IS33" s="1"/>
      <c r="IT33" s="1"/>
      <c r="IU33" s="1"/>
      <c r="IV33" s="1"/>
      <c r="IW33" s="1"/>
      <c r="IX33" s="1"/>
      <c r="IY33" s="1"/>
      <c r="IZ33" s="1"/>
      <c r="JA33" s="1"/>
      <c r="JB33" s="1"/>
      <c r="JC33" s="1"/>
      <c r="JD33" s="1"/>
    </row>
    <row r="34" spans="2:264" s="1044" customFormat="1" x14ac:dyDescent="0.2">
      <c r="B34" s="1191" t="s">
        <v>1039</v>
      </c>
      <c r="C34" s="1192">
        <f ca="1">AVERAGE(AF38:AR38)</f>
        <v>0.1199226896778402</v>
      </c>
      <c r="F34" s="1164" t="s">
        <v>1002</v>
      </c>
      <c r="G34" s="1165"/>
      <c r="H34" s="1123">
        <f ca="1">ROUND(H33*(1+$C$15/100)-$C$6,1)</f>
        <v>101.3</v>
      </c>
      <c r="I34" s="1090"/>
      <c r="J34" s="1090"/>
      <c r="K34" s="1090"/>
      <c r="L34" s="1090"/>
      <c r="M34" s="1090"/>
      <c r="N34" s="1090"/>
      <c r="O34" s="1090"/>
      <c r="P34" s="1046"/>
      <c r="Q34" s="1044" t="s">
        <v>323</v>
      </c>
      <c r="X34" s="1086"/>
      <c r="Y34" s="1086"/>
      <c r="Z34" s="1086"/>
      <c r="AA34" s="1086"/>
      <c r="AB34" s="1086"/>
      <c r="AC34" s="1086"/>
      <c r="AD34" s="1088">
        <f>MODEL!CD1321</f>
        <v>369528</v>
      </c>
      <c r="AE34" s="1088">
        <f>MODEL!CH1321</f>
        <v>372574</v>
      </c>
      <c r="AF34" s="1088">
        <f>MODEL!CL1321</f>
        <v>374194</v>
      </c>
      <c r="AG34" s="1088">
        <f>MODEL!CP1321</f>
        <v>381550</v>
      </c>
      <c r="AH34" s="1088">
        <f>MODEL!CT1321</f>
        <v>393647</v>
      </c>
      <c r="AI34" s="1088">
        <f>MODEL!CX1321</f>
        <v>362869</v>
      </c>
      <c r="AJ34" s="1088">
        <f>MODEL!DB1321</f>
        <v>370444</v>
      </c>
      <c r="AK34" s="1365">
        <f>MODEL!DF1321</f>
        <v>398928</v>
      </c>
      <c r="AL34" s="1088">
        <f ca="1">MODEL!DJ1321</f>
        <v>423035.70217825164</v>
      </c>
      <c r="AM34" s="1088">
        <f ca="1">MODEL!$DN1321</f>
        <v>448846.79899896123</v>
      </c>
      <c r="AN34" s="1088">
        <f ca="1">MODEL!$DR1321</f>
        <v>471049.84316655208</v>
      </c>
      <c r="AO34" s="1086">
        <f ca="1">AO33+AO32</f>
        <v>491464.79790874402</v>
      </c>
      <c r="AP34" s="1086">
        <f t="shared" ref="AP34:CJ34" ca="1" si="90">AP33+AP32</f>
        <v>512558.7277510619</v>
      </c>
      <c r="AQ34" s="1086">
        <f t="shared" ca="1" si="90"/>
        <v>534561.00499374117</v>
      </c>
      <c r="AR34" s="1086">
        <f t="shared" ca="1" si="90"/>
        <v>557510.87009209627</v>
      </c>
      <c r="AS34" s="1086">
        <f t="shared" ca="1" si="90"/>
        <v>581449.26391482283</v>
      </c>
      <c r="AT34" s="1086">
        <f t="shared" ca="1" si="90"/>
        <v>606418.90164631535</v>
      </c>
      <c r="AU34" s="1086">
        <f t="shared" ca="1" si="90"/>
        <v>632464.34990993806</v>
      </c>
      <c r="AV34" s="1086">
        <f t="shared" ca="1" si="90"/>
        <v>651438.28040723619</v>
      </c>
      <c r="AW34" s="1086">
        <f t="shared" ca="1" si="90"/>
        <v>670981.42881945334</v>
      </c>
      <c r="AX34" s="1086">
        <f t="shared" ca="1" si="90"/>
        <v>691110.87168403703</v>
      </c>
      <c r="AY34" s="1086">
        <f t="shared" ca="1" si="90"/>
        <v>711844.19783455809</v>
      </c>
      <c r="AZ34" s="1086">
        <f t="shared" ca="1" si="90"/>
        <v>733199.52376959485</v>
      </c>
      <c r="BA34" s="1086">
        <f t="shared" ca="1" si="90"/>
        <v>755195.50948268257</v>
      </c>
      <c r="BB34" s="1086">
        <f t="shared" ca="1" si="90"/>
        <v>777851.3747671633</v>
      </c>
      <c r="BC34" s="1086">
        <f t="shared" ca="1" si="90"/>
        <v>801186.91601017804</v>
      </c>
      <c r="BD34" s="1086">
        <f t="shared" ca="1" si="90"/>
        <v>825222.52349048352</v>
      </c>
      <c r="BE34" s="1086">
        <f t="shared" ca="1" si="90"/>
        <v>849979.19919519802</v>
      </c>
      <c r="BF34" s="1086">
        <f t="shared" ca="1" si="90"/>
        <v>875478.57517105388</v>
      </c>
      <c r="BG34" s="1086">
        <f t="shared" ca="1" si="90"/>
        <v>901742.9324261857</v>
      </c>
      <c r="BH34" s="1086">
        <f t="shared" ca="1" si="90"/>
        <v>928795.22039897111</v>
      </c>
      <c r="BI34" s="1086">
        <f t="shared" ca="1" si="90"/>
        <v>956659.07701094018</v>
      </c>
      <c r="BJ34" s="1086">
        <f t="shared" ca="1" si="90"/>
        <v>985358.8493212685</v>
      </c>
      <c r="BK34" s="1086">
        <f t="shared" ca="1" si="90"/>
        <v>1014919.6148009066</v>
      </c>
      <c r="BL34" s="1086">
        <f t="shared" ca="1" si="90"/>
        <v>1045367.2032449339</v>
      </c>
      <c r="BM34" s="1086">
        <f t="shared" ca="1" si="90"/>
        <v>1076728.219342282</v>
      </c>
      <c r="BN34" s="1086">
        <f t="shared" ca="1" si="90"/>
        <v>1109030.0659225504</v>
      </c>
      <c r="BO34" s="1086">
        <f t="shared" ca="1" si="90"/>
        <v>1142300.9679002271</v>
      </c>
      <c r="BP34" s="1086">
        <f t="shared" ca="1" si="90"/>
        <v>1176569.996937234</v>
      </c>
      <c r="BQ34" s="1086">
        <f t="shared" ca="1" si="90"/>
        <v>1211867.0968453509</v>
      </c>
      <c r="BR34" s="1086">
        <f t="shared" ca="1" si="90"/>
        <v>1248223.1097507116</v>
      </c>
      <c r="BS34" s="1086">
        <f t="shared" ca="1" si="90"/>
        <v>1285669.803043233</v>
      </c>
      <c r="BT34" s="1086">
        <f t="shared" ca="1" si="90"/>
        <v>1324239.8971345301</v>
      </c>
      <c r="BU34" s="1086">
        <f t="shared" ca="1" si="90"/>
        <v>1363967.094048566</v>
      </c>
      <c r="BV34" s="1086">
        <f t="shared" ca="1" si="90"/>
        <v>1404886.1068700231</v>
      </c>
      <c r="BW34" s="1086">
        <f t="shared" ca="1" si="90"/>
        <v>1447032.6900761237</v>
      </c>
      <c r="BX34" s="1086">
        <f t="shared" ca="1" si="90"/>
        <v>1490443.6707784072</v>
      </c>
      <c r="BY34" s="1086">
        <f t="shared" ca="1" si="90"/>
        <v>1535156.9809017596</v>
      </c>
      <c r="BZ34" s="1086">
        <f t="shared" ca="1" si="90"/>
        <v>1581211.6903288125</v>
      </c>
      <c r="CA34" s="1086">
        <f t="shared" ca="1" si="90"/>
        <v>1628648.0410386769</v>
      </c>
      <c r="CB34" s="1086">
        <f t="shared" ca="1" si="90"/>
        <v>1677507.4822698373</v>
      </c>
      <c r="CC34" s="1086">
        <f t="shared" ca="1" si="90"/>
        <v>1727832.7067379323</v>
      </c>
      <c r="CD34" s="1086">
        <f t="shared" ca="1" si="90"/>
        <v>1779667.6879400702</v>
      </c>
      <c r="CE34" s="1086">
        <f t="shared" ca="1" si="90"/>
        <v>1833057.7185782725</v>
      </c>
      <c r="CF34" s="1086">
        <f t="shared" ca="1" si="90"/>
        <v>1888049.4501356205</v>
      </c>
      <c r="CG34" s="1086">
        <f t="shared" ca="1" si="90"/>
        <v>1944690.9336396889</v>
      </c>
      <c r="CH34" s="1086">
        <f t="shared" ca="1" si="90"/>
        <v>2003031.6616488798</v>
      </c>
      <c r="CI34" s="1086">
        <f t="shared" ca="1" si="90"/>
        <v>2063122.6114983463</v>
      </c>
      <c r="CJ34" s="1086">
        <f t="shared" ca="1" si="90"/>
        <v>2125016.2898432966</v>
      </c>
      <c r="ES34" s="1"/>
      <c r="ET34" s="1"/>
      <c r="EU34" s="1"/>
      <c r="EV34" s="1"/>
      <c r="EW34" s="1"/>
      <c r="EX34" s="1"/>
      <c r="EY34" s="1"/>
      <c r="EZ34" s="1"/>
      <c r="FA34" s="1"/>
      <c r="FB34" s="1"/>
      <c r="FC34" s="1"/>
      <c r="FD34" s="1"/>
      <c r="FE34" s="1"/>
      <c r="FF34" s="1"/>
      <c r="FG34" s="1"/>
      <c r="FH34" s="1"/>
      <c r="FI34" s="1"/>
      <c r="FJ34" s="1"/>
      <c r="FK34" s="1"/>
      <c r="FL34" s="1"/>
      <c r="FM34" s="1"/>
      <c r="FN34" s="1"/>
      <c r="FO34" s="1"/>
      <c r="FP34" s="1"/>
      <c r="FQ34" s="1"/>
      <c r="FR34" s="1"/>
      <c r="FS34" s="1"/>
      <c r="FT34" s="1"/>
      <c r="FU34" s="1"/>
      <c r="FV34" s="1"/>
      <c r="FW34" s="1"/>
      <c r="FX34" s="1"/>
      <c r="FY34" s="1"/>
      <c r="FZ34" s="1"/>
      <c r="GA34" s="1"/>
      <c r="GB34" s="1"/>
      <c r="GC34" s="1"/>
      <c r="GD34" s="1"/>
      <c r="GE34" s="1"/>
      <c r="GF34" s="1"/>
      <c r="GG34" s="1"/>
      <c r="GH34" s="1"/>
      <c r="GI34" s="1"/>
      <c r="GJ34" s="1"/>
      <c r="GK34" s="1"/>
      <c r="GL34" s="1"/>
      <c r="GM34" s="1"/>
      <c r="GN34" s="1"/>
      <c r="GO34" s="1"/>
      <c r="GP34" s="1"/>
      <c r="GQ34" s="1"/>
      <c r="GR34" s="1"/>
      <c r="GS34" s="1"/>
      <c r="GT34" s="1"/>
      <c r="GU34" s="1"/>
      <c r="GV34" s="1"/>
      <c r="GW34" s="1"/>
      <c r="GX34" s="1"/>
      <c r="GY34" s="1"/>
      <c r="GZ34" s="1"/>
      <c r="HA34" s="1"/>
      <c r="HB34" s="1"/>
      <c r="HC34" s="1"/>
      <c r="HD34" s="1"/>
      <c r="HE34" s="1"/>
      <c r="HF34" s="1"/>
      <c r="HG34" s="1"/>
      <c r="HH34" s="1"/>
      <c r="HI34" s="1"/>
      <c r="HJ34" s="1"/>
      <c r="HK34" s="1"/>
      <c r="HL34" s="1"/>
      <c r="HM34" s="1"/>
      <c r="HN34" s="1"/>
      <c r="HO34" s="1"/>
      <c r="HP34" s="1"/>
      <c r="HQ34" s="1"/>
      <c r="HR34" s="1"/>
      <c r="HS34" s="1"/>
      <c r="HT34" s="1"/>
      <c r="HU34" s="1"/>
      <c r="HV34" s="1"/>
      <c r="HW34" s="1"/>
      <c r="HX34" s="1"/>
      <c r="HY34" s="1"/>
      <c r="HZ34" s="1"/>
      <c r="IA34" s="1"/>
      <c r="IB34" s="1"/>
      <c r="IC34" s="1"/>
      <c r="ID34" s="1"/>
      <c r="IE34" s="1"/>
      <c r="IF34" s="1"/>
      <c r="IG34" s="1"/>
      <c r="IH34" s="1"/>
      <c r="II34" s="1"/>
      <c r="IJ34" s="1"/>
      <c r="IK34" s="1"/>
      <c r="IL34" s="1"/>
      <c r="IM34" s="1"/>
      <c r="IN34" s="1"/>
      <c r="IO34" s="1"/>
      <c r="IP34" s="1"/>
      <c r="IQ34" s="1"/>
      <c r="IR34" s="1"/>
      <c r="IS34" s="1"/>
      <c r="IT34" s="1"/>
      <c r="IU34" s="1"/>
      <c r="IV34" s="1"/>
      <c r="IW34" s="1"/>
      <c r="IX34" s="1"/>
      <c r="IY34" s="1"/>
      <c r="IZ34" s="1"/>
      <c r="JA34" s="1"/>
      <c r="JB34" s="1"/>
      <c r="JC34" s="1"/>
      <c r="JD34" s="1"/>
    </row>
    <row r="35" spans="2:264" s="1044" customFormat="1" x14ac:dyDescent="0.2">
      <c r="B35" s="1191" t="s">
        <v>1040</v>
      </c>
      <c r="C35" s="1180">
        <f ca="1">AVERAGE(AF16:AR16)</f>
        <v>5.2788989575124637E-2</v>
      </c>
      <c r="F35" s="1168" t="s">
        <v>1021</v>
      </c>
      <c r="G35" s="1169"/>
      <c r="H35" s="1170">
        <f ca="1">(H34+$C$6)/$C$7-1</f>
        <v>-0.37072422741212552</v>
      </c>
      <c r="I35" s="1162"/>
      <c r="J35" s="1162"/>
      <c r="K35" s="1162"/>
      <c r="L35" s="1162"/>
      <c r="M35" s="1162"/>
      <c r="N35" s="1162"/>
      <c r="O35" s="1162"/>
      <c r="P35" s="1046"/>
      <c r="Q35" s="1044" t="s">
        <v>878</v>
      </c>
      <c r="X35" s="1086"/>
      <c r="Y35" s="1086"/>
      <c r="Z35" s="1086"/>
      <c r="AA35" s="1086"/>
      <c r="AB35" s="1086"/>
      <c r="AC35" s="1086"/>
      <c r="AD35" s="1086">
        <f t="shared" ref="AD35:AL35" si="91">AD36-AD34</f>
        <v>89084</v>
      </c>
      <c r="AE35" s="1086">
        <f t="shared" si="91"/>
        <v>80188</v>
      </c>
      <c r="AF35" s="1086">
        <f t="shared" si="91"/>
        <v>80754</v>
      </c>
      <c r="AG35" s="1086">
        <f t="shared" si="91"/>
        <v>69130</v>
      </c>
      <c r="AH35" s="1086">
        <f t="shared" si="91"/>
        <v>104245</v>
      </c>
      <c r="AI35" s="1086">
        <f t="shared" si="91"/>
        <v>105123</v>
      </c>
      <c r="AJ35" s="1086">
        <f t="shared" si="91"/>
        <v>97107</v>
      </c>
      <c r="AK35" s="1366">
        <f t="shared" si="91"/>
        <v>97217</v>
      </c>
      <c r="AL35" s="1086">
        <f t="shared" ca="1" si="91"/>
        <v>98705.638321328617</v>
      </c>
      <c r="AM35" s="1086">
        <f t="shared" ref="AM35" ca="1" si="92">AM36-AM34</f>
        <v>104766.18020919361</v>
      </c>
      <c r="AN35" s="1086">
        <f t="shared" ref="AN35" ca="1" si="93">AN36-AN34</f>
        <v>109891.05209464073</v>
      </c>
      <c r="AO35" s="1086">
        <f ca="1">AO26*AO15</f>
        <v>114270.52858420821</v>
      </c>
      <c r="AP35" s="1086">
        <f t="shared" ref="AP35:CJ35" ca="1" si="94">AP26*AP15</f>
        <v>118825.8593955729</v>
      </c>
      <c r="AQ35" s="1086">
        <f t="shared" ca="1" si="94"/>
        <v>123564.15818339476</v>
      </c>
      <c r="AR35" s="1086">
        <f t="shared" ca="1" si="94"/>
        <v>128492.82844352517</v>
      </c>
      <c r="AS35" s="1086">
        <f t="shared" ca="1" si="94"/>
        <v>133619.57540507126</v>
      </c>
      <c r="AT35" s="1086">
        <f t="shared" ca="1" si="94"/>
        <v>138952.41841367629</v>
      </c>
      <c r="AU35" s="1086">
        <f t="shared" ca="1" si="94"/>
        <v>144499.70382643797</v>
      </c>
      <c r="AV35" s="1086">
        <f t="shared" ca="1" si="94"/>
        <v>148834.69494123108</v>
      </c>
      <c r="AW35" s="1086">
        <f t="shared" ca="1" si="94"/>
        <v>153299.73578946802</v>
      </c>
      <c r="AX35" s="1086">
        <f t="shared" ca="1" si="94"/>
        <v>157898.72786315207</v>
      </c>
      <c r="AY35" s="1086">
        <f t="shared" ca="1" si="94"/>
        <v>162635.68969904666</v>
      </c>
      <c r="AZ35" s="1086">
        <f t="shared" ca="1" si="94"/>
        <v>167514.76039001805</v>
      </c>
      <c r="BA35" s="1086">
        <f t="shared" ca="1" si="94"/>
        <v>172540.2032017186</v>
      </c>
      <c r="BB35" s="1086">
        <f t="shared" ca="1" si="94"/>
        <v>177716.40929777015</v>
      </c>
      <c r="BC35" s="1086">
        <f t="shared" ca="1" si="94"/>
        <v>183047.90157670327</v>
      </c>
      <c r="BD35" s="1086">
        <f t="shared" ca="1" si="94"/>
        <v>188539.33862400442</v>
      </c>
      <c r="BE35" s="1086">
        <f t="shared" ca="1" si="94"/>
        <v>194195.51878272451</v>
      </c>
      <c r="BF35" s="1086">
        <f t="shared" ca="1" si="94"/>
        <v>200021.38434620624</v>
      </c>
      <c r="BG35" s="1086">
        <f t="shared" ca="1" si="94"/>
        <v>206022.02587659244</v>
      </c>
      <c r="BH35" s="1086">
        <f t="shared" ca="1" si="94"/>
        <v>212202.68665289023</v>
      </c>
      <c r="BI35" s="1086">
        <f t="shared" ca="1" si="94"/>
        <v>218568.76725247694</v>
      </c>
      <c r="BJ35" s="1086">
        <f t="shared" ca="1" si="94"/>
        <v>225125.83027005126</v>
      </c>
      <c r="BK35" s="1086">
        <f t="shared" ca="1" si="94"/>
        <v>231879.60517815282</v>
      </c>
      <c r="BL35" s="1086">
        <f t="shared" ca="1" si="94"/>
        <v>238835.99333349738</v>
      </c>
      <c r="BM35" s="1086">
        <f t="shared" ca="1" si="94"/>
        <v>246001.07313350233</v>
      </c>
      <c r="BN35" s="1086">
        <f t="shared" ca="1" si="94"/>
        <v>253381.10532750739</v>
      </c>
      <c r="BO35" s="1086">
        <f t="shared" ca="1" si="94"/>
        <v>260982.53848733267</v>
      </c>
      <c r="BP35" s="1086">
        <f t="shared" ca="1" si="94"/>
        <v>268812.01464195264</v>
      </c>
      <c r="BQ35" s="1086">
        <f t="shared" ca="1" si="94"/>
        <v>276876.37508121121</v>
      </c>
      <c r="BR35" s="1086">
        <f t="shared" ca="1" si="94"/>
        <v>285182.6663336475</v>
      </c>
      <c r="BS35" s="1086">
        <f t="shared" ca="1" si="94"/>
        <v>293738.14632365695</v>
      </c>
      <c r="BT35" s="1086">
        <f t="shared" ca="1" si="94"/>
        <v>302550.2907133667</v>
      </c>
      <c r="BU35" s="1086">
        <f t="shared" ca="1" si="94"/>
        <v>311626.79943476774</v>
      </c>
      <c r="BV35" s="1086">
        <f t="shared" ca="1" si="94"/>
        <v>320975.60341781075</v>
      </c>
      <c r="BW35" s="1086">
        <f t="shared" ca="1" si="94"/>
        <v>330604.87152034504</v>
      </c>
      <c r="BX35" s="1086">
        <f t="shared" ca="1" si="94"/>
        <v>340523.01766595541</v>
      </c>
      <c r="BY35" s="1086">
        <f t="shared" ca="1" si="94"/>
        <v>350738.70819593413</v>
      </c>
      <c r="BZ35" s="1086">
        <f t="shared" ca="1" si="94"/>
        <v>361260.86944181222</v>
      </c>
      <c r="CA35" s="1086">
        <f t="shared" ca="1" si="94"/>
        <v>372098.69552506652</v>
      </c>
      <c r="CB35" s="1086">
        <f t="shared" ca="1" si="94"/>
        <v>383261.65639081853</v>
      </c>
      <c r="CC35" s="1086">
        <f t="shared" ca="1" si="94"/>
        <v>394759.506082543</v>
      </c>
      <c r="CD35" s="1086">
        <f t="shared" ca="1" si="94"/>
        <v>406602.29126501945</v>
      </c>
      <c r="CE35" s="1086">
        <f t="shared" ca="1" si="94"/>
        <v>418800.36000296997</v>
      </c>
      <c r="CF35" s="1086">
        <f t="shared" ca="1" si="94"/>
        <v>431364.37080305914</v>
      </c>
      <c r="CG35" s="1086">
        <f t="shared" ca="1" si="94"/>
        <v>444305.30192715087</v>
      </c>
      <c r="CH35" s="1086">
        <f t="shared" ca="1" si="94"/>
        <v>457634.46098496538</v>
      </c>
      <c r="CI35" s="1086">
        <f t="shared" ca="1" si="94"/>
        <v>471363.49481451436</v>
      </c>
      <c r="CJ35" s="1086">
        <f t="shared" ca="1" si="94"/>
        <v>485504.39965894987</v>
      </c>
      <c r="CK35" s="1176"/>
      <c r="CL35" s="1176"/>
      <c r="CM35" s="1176"/>
      <c r="CN35" s="1176"/>
      <c r="CO35" s="1176"/>
      <c r="CP35" s="1176"/>
      <c r="CQ35" s="1176"/>
      <c r="CR35" s="1176"/>
      <c r="CS35" s="1176"/>
      <c r="CT35" s="1176"/>
      <c r="CU35" s="1176"/>
      <c r="CV35" s="1176"/>
      <c r="CW35" s="1176"/>
      <c r="CX35" s="1176"/>
      <c r="CY35" s="1176"/>
      <c r="CZ35" s="1176"/>
      <c r="DA35" s="1176"/>
      <c r="DB35" s="1176"/>
      <c r="DC35" s="1176"/>
      <c r="DD35" s="1176"/>
      <c r="DE35" s="1176"/>
      <c r="DF35" s="1176"/>
      <c r="DG35" s="1176"/>
      <c r="DH35" s="1176"/>
      <c r="DI35" s="1176"/>
      <c r="DJ35" s="1176"/>
      <c r="DK35" s="1176"/>
      <c r="DL35" s="1176"/>
      <c r="DM35" s="1176"/>
      <c r="DN35" s="1176"/>
      <c r="DO35" s="1176"/>
      <c r="DP35" s="1176"/>
      <c r="DQ35" s="1176"/>
      <c r="DR35" s="1176"/>
      <c r="DS35" s="1176"/>
      <c r="DT35" s="1176"/>
      <c r="DU35" s="1176"/>
      <c r="DV35" s="1176"/>
      <c r="DW35" s="1176"/>
      <c r="DX35" s="1176"/>
      <c r="DY35" s="1176"/>
      <c r="DZ35" s="1176"/>
      <c r="EA35" s="1176"/>
      <c r="EB35" s="1176"/>
      <c r="EC35" s="1176"/>
      <c r="ED35" s="1176"/>
      <c r="EE35" s="1176"/>
      <c r="EF35" s="1176"/>
      <c r="EG35" s="1176"/>
      <c r="EH35" s="1176"/>
      <c r="EI35" s="1176"/>
      <c r="EJ35" s="1176"/>
      <c r="EK35" s="1176"/>
      <c r="EL35" s="1176"/>
      <c r="EM35" s="1176"/>
      <c r="EN35" s="1176"/>
      <c r="EO35" s="1176"/>
      <c r="EP35" s="1176"/>
      <c r="EQ35" s="1176"/>
      <c r="ER35" s="1176"/>
      <c r="ES35" s="1"/>
      <c r="ET35" s="1"/>
      <c r="EU35" s="1"/>
      <c r="EV35" s="1"/>
      <c r="EW35" s="1"/>
      <c r="EX35" s="1"/>
      <c r="EY35" s="1"/>
      <c r="EZ35" s="1"/>
      <c r="FA35" s="1"/>
      <c r="FB35" s="1"/>
      <c r="FC35" s="1"/>
      <c r="FD35" s="1"/>
      <c r="FE35" s="1"/>
      <c r="FF35" s="1"/>
      <c r="FG35" s="1"/>
      <c r="FH35" s="1"/>
      <c r="FI35" s="1"/>
      <c r="FJ35" s="1"/>
      <c r="FK35" s="1"/>
      <c r="FL35" s="1"/>
      <c r="FM35" s="1"/>
      <c r="FN35" s="1"/>
      <c r="FO35" s="1"/>
      <c r="FP35" s="1"/>
      <c r="FQ35" s="1"/>
      <c r="FR35" s="1"/>
      <c r="FS35" s="1"/>
      <c r="FT35" s="1"/>
      <c r="FU35" s="1"/>
      <c r="FV35" s="1"/>
      <c r="FW35" s="1"/>
      <c r="FX35" s="1"/>
      <c r="FY35" s="1"/>
      <c r="FZ35" s="1"/>
      <c r="GA35" s="1"/>
      <c r="GB35" s="1"/>
      <c r="GC35" s="1"/>
      <c r="GD35" s="1"/>
      <c r="GE35" s="1"/>
      <c r="GF35" s="1"/>
      <c r="GG35" s="1"/>
      <c r="GH35" s="1"/>
      <c r="GI35" s="1"/>
      <c r="GJ35" s="1"/>
      <c r="GK35" s="1"/>
      <c r="GL35" s="1"/>
      <c r="GM35" s="1"/>
      <c r="GN35" s="1"/>
      <c r="GO35" s="1"/>
      <c r="GP35" s="1"/>
      <c r="GQ35" s="1"/>
      <c r="GR35" s="1"/>
      <c r="GS35" s="1"/>
      <c r="GT35" s="1"/>
      <c r="GU35" s="1"/>
      <c r="GV35" s="1"/>
      <c r="GW35" s="1"/>
      <c r="GX35" s="1"/>
      <c r="GY35" s="1"/>
      <c r="GZ35" s="1"/>
      <c r="HA35" s="1"/>
      <c r="HB35" s="1"/>
      <c r="HC35" s="1"/>
      <c r="HD35" s="1"/>
      <c r="HE35" s="1"/>
      <c r="HF35" s="1"/>
      <c r="HG35" s="1"/>
      <c r="HH35" s="1"/>
      <c r="HI35" s="1"/>
      <c r="HJ35" s="1"/>
      <c r="HK35" s="1"/>
      <c r="HL35" s="1"/>
      <c r="HM35" s="1"/>
      <c r="HN35" s="1"/>
      <c r="HO35" s="1"/>
      <c r="HP35" s="1"/>
      <c r="HQ35" s="1"/>
      <c r="HR35" s="1"/>
      <c r="HS35" s="1"/>
      <c r="HT35" s="1"/>
      <c r="HU35" s="1"/>
      <c r="HV35" s="1"/>
      <c r="HW35" s="1"/>
      <c r="HX35" s="1"/>
      <c r="HY35" s="1"/>
      <c r="HZ35" s="1"/>
      <c r="IA35" s="1"/>
      <c r="IB35" s="1"/>
      <c r="IC35" s="1"/>
      <c r="ID35" s="1"/>
      <c r="IE35" s="1"/>
      <c r="IF35" s="1"/>
      <c r="IG35" s="1"/>
      <c r="IH35" s="1"/>
      <c r="II35" s="1"/>
      <c r="IJ35" s="1"/>
      <c r="IK35" s="1"/>
      <c r="IL35" s="1"/>
      <c r="IM35" s="1"/>
      <c r="IN35" s="1"/>
      <c r="IO35" s="1"/>
      <c r="IP35" s="1"/>
      <c r="IQ35" s="1"/>
      <c r="IR35" s="1"/>
      <c r="IS35" s="1"/>
      <c r="IT35" s="1"/>
      <c r="IU35" s="1"/>
      <c r="IV35" s="1"/>
      <c r="IW35" s="1"/>
      <c r="IX35" s="1"/>
      <c r="IY35" s="1"/>
      <c r="IZ35" s="1"/>
      <c r="JA35" s="1"/>
      <c r="JB35" s="1"/>
      <c r="JC35" s="1"/>
      <c r="JD35" s="1"/>
    </row>
    <row r="36" spans="2:264" s="1044" customFormat="1" x14ac:dyDescent="0.2">
      <c r="B36" s="1191" t="s">
        <v>1041</v>
      </c>
      <c r="C36" s="1180">
        <f ca="1">AVERAGE(AF29:AR29)</f>
        <v>0.37674503143436611</v>
      </c>
      <c r="G36" s="1043"/>
      <c r="H36" s="1043"/>
      <c r="I36" s="1090"/>
      <c r="J36" s="1090"/>
      <c r="K36" s="1090"/>
      <c r="L36" s="1090"/>
      <c r="M36" s="1090"/>
      <c r="N36" s="1090"/>
      <c r="O36" s="1090"/>
      <c r="P36" s="1046"/>
      <c r="Q36" s="1047" t="s">
        <v>870</v>
      </c>
      <c r="R36" s="1074"/>
      <c r="S36" s="1074"/>
      <c r="T36" s="1074"/>
      <c r="U36" s="1074"/>
      <c r="V36" s="1074"/>
      <c r="W36" s="1074"/>
      <c r="X36" s="1135"/>
      <c r="Y36" s="1135">
        <f>MODEL!BJ1310</f>
        <v>329158</v>
      </c>
      <c r="Z36" s="1135">
        <f>MODEL!BN1310</f>
        <v>337715</v>
      </c>
      <c r="AA36" s="1135">
        <f>MODEL!BR1310</f>
        <v>368721</v>
      </c>
      <c r="AB36" s="1135">
        <f>MODEL!BV1310</f>
        <v>394667</v>
      </c>
      <c r="AC36" s="1135">
        <f>MODEL!BZ1310</f>
        <v>437063</v>
      </c>
      <c r="AD36" s="1137">
        <f>MODEL!CD1310</f>
        <v>458612</v>
      </c>
      <c r="AE36" s="1137">
        <f>MODEL!CH1310</f>
        <v>452762</v>
      </c>
      <c r="AF36" s="1137">
        <f>MODEL!CL1310</f>
        <v>454948</v>
      </c>
      <c r="AG36" s="1137">
        <f>MODEL!CP1310</f>
        <v>450680</v>
      </c>
      <c r="AH36" s="1137">
        <f>MODEL!CT1310</f>
        <v>497892</v>
      </c>
      <c r="AI36" s="1137">
        <f>MODEL!CX1310</f>
        <v>467992</v>
      </c>
      <c r="AJ36" s="1137">
        <f>MODEL!DB1310</f>
        <v>467551</v>
      </c>
      <c r="AK36" s="1370">
        <f>MODEL!DF1310</f>
        <v>496145</v>
      </c>
      <c r="AL36" s="1137">
        <f ca="1">MODEL!DJ1310</f>
        <v>521741.34049958026</v>
      </c>
      <c r="AM36" s="1137">
        <f ca="1">MODEL!$DN1310</f>
        <v>553612.97920815484</v>
      </c>
      <c r="AN36" s="1137">
        <f ca="1">MODEL!$DR1310</f>
        <v>580940.89526119281</v>
      </c>
      <c r="AO36" s="1135">
        <f t="shared" ref="AO36:CJ36" ca="1" si="95">SUM(AO34:AO35)</f>
        <v>605735.32649295218</v>
      </c>
      <c r="AP36" s="1135">
        <f t="shared" ca="1" si="95"/>
        <v>631384.58714663482</v>
      </c>
      <c r="AQ36" s="1135">
        <f t="shared" ca="1" si="95"/>
        <v>658125.16317713587</v>
      </c>
      <c r="AR36" s="1135">
        <f t="shared" ca="1" si="95"/>
        <v>686003.6985356214</v>
      </c>
      <c r="AS36" s="1135">
        <f t="shared" ca="1" si="95"/>
        <v>715068.83931989409</v>
      </c>
      <c r="AT36" s="1135">
        <f t="shared" ca="1" si="95"/>
        <v>745371.32005999167</v>
      </c>
      <c r="AU36" s="1135">
        <f t="shared" ca="1" si="95"/>
        <v>776964.05373637599</v>
      </c>
      <c r="AV36" s="1135">
        <f t="shared" ca="1" si="95"/>
        <v>800272.97534846724</v>
      </c>
      <c r="AW36" s="1135">
        <f t="shared" ca="1" si="95"/>
        <v>824281.16460892139</v>
      </c>
      <c r="AX36" s="1135">
        <f t="shared" ca="1" si="95"/>
        <v>849009.59954718908</v>
      </c>
      <c r="AY36" s="1135">
        <f t="shared" ca="1" si="95"/>
        <v>874479.88753360475</v>
      </c>
      <c r="AZ36" s="1135">
        <f t="shared" ca="1" si="95"/>
        <v>900714.28415961284</v>
      </c>
      <c r="BA36" s="1135">
        <f t="shared" ca="1" si="95"/>
        <v>927735.71268440119</v>
      </c>
      <c r="BB36" s="1135">
        <f t="shared" ca="1" si="95"/>
        <v>955567.78406493342</v>
      </c>
      <c r="BC36" s="1135">
        <f t="shared" ca="1" si="95"/>
        <v>984234.81758688134</v>
      </c>
      <c r="BD36" s="1135">
        <f t="shared" ca="1" si="95"/>
        <v>1013761.8621144879</v>
      </c>
      <c r="BE36" s="1135">
        <f t="shared" ca="1" si="95"/>
        <v>1044174.7179779225</v>
      </c>
      <c r="BF36" s="1135">
        <f t="shared" ca="1" si="95"/>
        <v>1075499.9595172601</v>
      </c>
      <c r="BG36" s="1135">
        <f t="shared" ca="1" si="95"/>
        <v>1107764.9583027782</v>
      </c>
      <c r="BH36" s="1135">
        <f t="shared" ca="1" si="95"/>
        <v>1140997.9070518613</v>
      </c>
      <c r="BI36" s="1135">
        <f t="shared" ca="1" si="95"/>
        <v>1175227.8442634172</v>
      </c>
      <c r="BJ36" s="1135">
        <f t="shared" ca="1" si="95"/>
        <v>1210484.6795913198</v>
      </c>
      <c r="BK36" s="1135">
        <f t="shared" ca="1" si="95"/>
        <v>1246799.2199790594</v>
      </c>
      <c r="BL36" s="1135">
        <f t="shared" ca="1" si="95"/>
        <v>1284203.1965784312</v>
      </c>
      <c r="BM36" s="1135">
        <f t="shared" ca="1" si="95"/>
        <v>1322729.2924757844</v>
      </c>
      <c r="BN36" s="1135">
        <f t="shared" ca="1" si="95"/>
        <v>1362411.1712500579</v>
      </c>
      <c r="BO36" s="1135">
        <f t="shared" ca="1" si="95"/>
        <v>1403283.5063875597</v>
      </c>
      <c r="BP36" s="1135">
        <f t="shared" ca="1" si="95"/>
        <v>1445382.0115791867</v>
      </c>
      <c r="BQ36" s="1135">
        <f t="shared" ca="1" si="95"/>
        <v>1488743.471926562</v>
      </c>
      <c r="BR36" s="1135">
        <f t="shared" ca="1" si="95"/>
        <v>1533405.776084359</v>
      </c>
      <c r="BS36" s="1135">
        <f t="shared" ca="1" si="95"/>
        <v>1579407.9493668899</v>
      </c>
      <c r="BT36" s="1135">
        <f t="shared" ca="1" si="95"/>
        <v>1626790.1878478969</v>
      </c>
      <c r="BU36" s="1135">
        <f t="shared" ca="1" si="95"/>
        <v>1675593.8934833338</v>
      </c>
      <c r="BV36" s="1135">
        <f t="shared" ca="1" si="95"/>
        <v>1725861.7102878338</v>
      </c>
      <c r="BW36" s="1135">
        <f t="shared" ca="1" si="95"/>
        <v>1777637.5615964688</v>
      </c>
      <c r="BX36" s="1135">
        <f t="shared" ca="1" si="95"/>
        <v>1830966.6884443627</v>
      </c>
      <c r="BY36" s="1135">
        <f t="shared" ca="1" si="95"/>
        <v>1885895.6890976937</v>
      </c>
      <c r="BZ36" s="1135">
        <f t="shared" ca="1" si="95"/>
        <v>1942472.5597706246</v>
      </c>
      <c r="CA36" s="1135">
        <f t="shared" ca="1" si="95"/>
        <v>2000746.7365637433</v>
      </c>
      <c r="CB36" s="1135">
        <f t="shared" ca="1" si="95"/>
        <v>2060769.1386606558</v>
      </c>
      <c r="CC36" s="1135">
        <f t="shared" ca="1" si="95"/>
        <v>2122592.2128204755</v>
      </c>
      <c r="CD36" s="1135">
        <f t="shared" ca="1" si="95"/>
        <v>2186269.9792050896</v>
      </c>
      <c r="CE36" s="1135">
        <f t="shared" ca="1" si="95"/>
        <v>2251858.0785812424</v>
      </c>
      <c r="CF36" s="1135">
        <f t="shared" ca="1" si="95"/>
        <v>2319413.8209386799</v>
      </c>
      <c r="CG36" s="1135">
        <f t="shared" ca="1" si="95"/>
        <v>2388996.2355668396</v>
      </c>
      <c r="CH36" s="1135">
        <f t="shared" ca="1" si="95"/>
        <v>2460666.1226338451</v>
      </c>
      <c r="CI36" s="1135">
        <f t="shared" ca="1" si="95"/>
        <v>2534486.1063128607</v>
      </c>
      <c r="CJ36" s="1135">
        <f t="shared" ca="1" si="95"/>
        <v>2610520.6895022467</v>
      </c>
      <c r="CK36" s="1176"/>
      <c r="CL36" s="1176"/>
      <c r="CM36" s="1176"/>
      <c r="CN36" s="1176"/>
      <c r="CO36" s="1176"/>
      <c r="CP36" s="1176"/>
      <c r="CQ36" s="1176"/>
      <c r="CR36" s="1176"/>
      <c r="CS36" s="1176"/>
      <c r="CT36" s="1176"/>
      <c r="CU36" s="1176"/>
      <c r="CV36" s="1176"/>
      <c r="CW36" s="1176"/>
      <c r="CX36" s="1176"/>
      <c r="CY36" s="1176"/>
      <c r="CZ36" s="1176"/>
      <c r="DA36" s="1176"/>
      <c r="DB36" s="1176"/>
      <c r="DC36" s="1176"/>
      <c r="DD36" s="1176"/>
      <c r="DE36" s="1176"/>
      <c r="DF36" s="1176"/>
      <c r="DG36" s="1176"/>
      <c r="DH36" s="1176"/>
      <c r="DI36" s="1176"/>
      <c r="DJ36" s="1176"/>
      <c r="DK36" s="1176"/>
      <c r="DL36" s="1176"/>
      <c r="DM36" s="1176"/>
      <c r="DN36" s="1176"/>
      <c r="DO36" s="1176"/>
      <c r="DP36" s="1176"/>
      <c r="DQ36" s="1176"/>
      <c r="DR36" s="1176"/>
      <c r="DS36" s="1176"/>
      <c r="DT36" s="1176"/>
      <c r="DU36" s="1176"/>
      <c r="DV36" s="1176"/>
      <c r="DW36" s="1176"/>
      <c r="DX36" s="1176"/>
      <c r="DY36" s="1176"/>
      <c r="DZ36" s="1176"/>
      <c r="EA36" s="1176"/>
      <c r="EB36" s="1176"/>
      <c r="EC36" s="1176"/>
      <c r="ED36" s="1176"/>
      <c r="EE36" s="1176"/>
      <c r="EF36" s="1176"/>
      <c r="EG36" s="1176"/>
      <c r="EH36" s="1176"/>
      <c r="EI36" s="1176"/>
      <c r="EJ36" s="1176"/>
      <c r="EK36" s="1176"/>
      <c r="EL36" s="1176"/>
      <c r="EM36" s="1176"/>
      <c r="EN36" s="1176"/>
      <c r="EO36" s="1176"/>
      <c r="EP36" s="1176"/>
      <c r="EQ36" s="1176"/>
      <c r="ER36" s="1176"/>
      <c r="ES36" s="1"/>
      <c r="ET36" s="1"/>
      <c r="EU36" s="1"/>
      <c r="EV36" s="1"/>
      <c r="EW36" s="1"/>
      <c r="EX36" s="1"/>
      <c r="EY36" s="1"/>
      <c r="EZ36" s="1"/>
      <c r="FA36" s="1"/>
      <c r="FB36" s="1"/>
      <c r="FC36" s="1"/>
      <c r="FD36" s="1"/>
      <c r="FE36" s="1"/>
      <c r="FF36" s="1"/>
      <c r="FG36" s="1"/>
      <c r="FH36" s="1"/>
      <c r="FI36" s="1"/>
      <c r="FJ36" s="1"/>
      <c r="FK36" s="1"/>
      <c r="FL36" s="1"/>
      <c r="FM36" s="1"/>
      <c r="FN36" s="1"/>
      <c r="FO36" s="1"/>
      <c r="FP36" s="1"/>
      <c r="FQ36" s="1"/>
      <c r="FR36" s="1"/>
      <c r="FS36" s="1"/>
      <c r="FT36" s="1"/>
      <c r="FU36" s="1"/>
      <c r="FV36" s="1"/>
      <c r="FW36" s="1"/>
      <c r="FX36" s="1"/>
      <c r="FY36" s="1"/>
      <c r="FZ36" s="1"/>
      <c r="GA36" s="1"/>
      <c r="GB36" s="1"/>
      <c r="GC36" s="1"/>
      <c r="GD36" s="1"/>
      <c r="GE36" s="1"/>
      <c r="GF36" s="1"/>
      <c r="GG36" s="1"/>
      <c r="GH36" s="1"/>
      <c r="GI36" s="1"/>
      <c r="GJ36" s="1"/>
      <c r="GK36" s="1"/>
      <c r="GL36" s="1"/>
      <c r="GM36" s="1"/>
      <c r="GN36" s="1"/>
      <c r="GO36" s="1"/>
      <c r="GP36" s="1"/>
      <c r="GQ36" s="1"/>
      <c r="GR36" s="1"/>
      <c r="GS36" s="1"/>
      <c r="GT36" s="1"/>
      <c r="GU36" s="1"/>
      <c r="GV36" s="1"/>
      <c r="GW36" s="1"/>
      <c r="GX36" s="1"/>
      <c r="GY36" s="1"/>
      <c r="GZ36" s="1"/>
      <c r="HA36" s="1"/>
      <c r="HB36" s="1"/>
      <c r="HC36" s="1"/>
      <c r="HD36" s="1"/>
      <c r="HE36" s="1"/>
      <c r="HF36" s="1"/>
      <c r="HG36" s="1"/>
      <c r="HH36" s="1"/>
      <c r="HI36" s="1"/>
      <c r="HJ36" s="1"/>
      <c r="HK36" s="1"/>
      <c r="HL36" s="1"/>
      <c r="HM36" s="1"/>
      <c r="HN36" s="1"/>
      <c r="HO36" s="1"/>
      <c r="HP36" s="1"/>
      <c r="HQ36" s="1"/>
      <c r="HR36" s="1"/>
      <c r="HS36" s="1"/>
      <c r="HT36" s="1"/>
      <c r="HU36" s="1"/>
      <c r="HV36" s="1"/>
      <c r="HW36" s="1"/>
      <c r="HX36" s="1"/>
      <c r="HY36" s="1"/>
      <c r="HZ36" s="1"/>
      <c r="IA36" s="1"/>
      <c r="IB36" s="1"/>
      <c r="IC36" s="1"/>
      <c r="ID36" s="1"/>
      <c r="IE36" s="1"/>
      <c r="IF36" s="1"/>
      <c r="IG36" s="1"/>
      <c r="IH36" s="1"/>
      <c r="II36" s="1"/>
      <c r="IJ36" s="1"/>
      <c r="IK36" s="1"/>
      <c r="IL36" s="1"/>
      <c r="IM36" s="1"/>
      <c r="IN36" s="1"/>
      <c r="IO36" s="1"/>
      <c r="IP36" s="1"/>
      <c r="IQ36" s="1"/>
      <c r="IR36" s="1"/>
      <c r="IS36" s="1"/>
      <c r="IT36" s="1"/>
      <c r="IU36" s="1"/>
      <c r="IV36" s="1"/>
      <c r="IW36" s="1"/>
      <c r="IX36" s="1"/>
      <c r="IY36" s="1"/>
      <c r="IZ36" s="1"/>
      <c r="JA36" s="1"/>
      <c r="JB36" s="1"/>
      <c r="JC36" s="1"/>
      <c r="JD36" s="1"/>
    </row>
    <row r="37" spans="2:264" s="1044" customFormat="1" x14ac:dyDescent="0.2">
      <c r="B37" s="1191" t="s">
        <v>1042</v>
      </c>
      <c r="C37" s="1192">
        <f ca="1">AVERAGE(AF64:AR64)</f>
        <v>1.2019842922729413E-2</v>
      </c>
      <c r="F37" s="1175" t="s">
        <v>1024</v>
      </c>
      <c r="G37" s="1141" t="s">
        <v>22</v>
      </c>
      <c r="H37" s="1142" t="s">
        <v>980</v>
      </c>
      <c r="I37" s="1171"/>
      <c r="J37" s="1171"/>
      <c r="K37" s="1171"/>
      <c r="L37" s="1171"/>
      <c r="M37" s="1171"/>
      <c r="N37" s="1171"/>
      <c r="O37" s="1171"/>
      <c r="P37" s="1046"/>
      <c r="Q37" s="1046" t="s">
        <v>1043</v>
      </c>
      <c r="R37" s="1074"/>
      <c r="S37" s="1074"/>
      <c r="T37" s="1074"/>
      <c r="U37" s="1074"/>
      <c r="V37" s="1074"/>
      <c r="W37" s="1074"/>
      <c r="X37" s="1135"/>
      <c r="Y37" s="1135"/>
      <c r="Z37" s="1135"/>
      <c r="AA37" s="1135"/>
      <c r="AB37" s="1135"/>
      <c r="AC37" s="1135"/>
      <c r="AD37" s="1135"/>
      <c r="AE37" s="1136"/>
      <c r="AF37" s="1135"/>
      <c r="AG37" s="1135"/>
      <c r="AH37" s="1135"/>
      <c r="AI37" s="1135"/>
      <c r="AJ37" s="1135"/>
      <c r="AK37" s="1375"/>
      <c r="AL37" s="1135"/>
      <c r="AM37" s="1135"/>
      <c r="AN37" s="1135"/>
      <c r="AO37" s="1135"/>
      <c r="AP37" s="1135"/>
      <c r="AQ37" s="1135"/>
      <c r="AR37" s="1135"/>
      <c r="AS37" s="1135"/>
      <c r="AT37" s="1135"/>
      <c r="AU37" s="1135"/>
      <c r="AV37" s="1135"/>
      <c r="AW37" s="1135"/>
      <c r="AX37" s="1135"/>
      <c r="AY37" s="1135"/>
      <c r="AZ37" s="1135"/>
      <c r="BA37" s="1135"/>
      <c r="BB37" s="1135"/>
      <c r="BC37" s="1135"/>
      <c r="BD37" s="1135"/>
      <c r="BE37" s="1135"/>
      <c r="BF37" s="1135"/>
      <c r="BG37" s="1135"/>
      <c r="BH37" s="1135"/>
      <c r="BI37" s="1135"/>
      <c r="BJ37" s="1135"/>
      <c r="BK37" s="1135"/>
      <c r="BL37" s="1135"/>
      <c r="BM37" s="1135"/>
      <c r="BN37" s="1135"/>
      <c r="BO37" s="1135"/>
      <c r="BP37" s="1135"/>
      <c r="BQ37" s="1135"/>
      <c r="BR37" s="1135"/>
      <c r="BS37" s="1135"/>
      <c r="BT37" s="1135"/>
      <c r="BU37" s="1135"/>
      <c r="BV37" s="1135"/>
      <c r="BW37" s="1135"/>
      <c r="BX37" s="1135"/>
      <c r="BY37" s="1135"/>
      <c r="BZ37" s="1135"/>
      <c r="CA37" s="1135"/>
      <c r="CB37" s="1135"/>
      <c r="CC37" s="1135"/>
      <c r="CD37" s="1135"/>
      <c r="CE37" s="1135"/>
      <c r="CF37" s="1135"/>
      <c r="CG37" s="1135"/>
      <c r="CH37" s="1135"/>
      <c r="CI37" s="1135"/>
      <c r="CJ37" s="1135"/>
      <c r="CK37" s="1176"/>
      <c r="CL37" s="1176"/>
      <c r="CM37" s="1176"/>
      <c r="CN37" s="1176"/>
      <c r="CO37" s="1176"/>
      <c r="CP37" s="1176"/>
      <c r="CQ37" s="1176"/>
      <c r="CR37" s="1176"/>
      <c r="CS37" s="1176"/>
      <c r="CT37" s="1176"/>
      <c r="CU37" s="1176"/>
      <c r="CV37" s="1176"/>
      <c r="CW37" s="1176"/>
      <c r="CX37" s="1176"/>
      <c r="CY37" s="1176"/>
      <c r="CZ37" s="1176"/>
      <c r="DA37" s="1176"/>
      <c r="DB37" s="1176"/>
      <c r="DC37" s="1176"/>
      <c r="DD37" s="1176"/>
      <c r="DE37" s="1176"/>
      <c r="DF37" s="1176"/>
      <c r="DG37" s="1176"/>
      <c r="DH37" s="1176"/>
      <c r="DI37" s="1176"/>
      <c r="DJ37" s="1176"/>
      <c r="DK37" s="1176"/>
      <c r="DL37" s="1176"/>
      <c r="DM37" s="1176"/>
      <c r="DN37" s="1176"/>
      <c r="DO37" s="1176"/>
      <c r="DP37" s="1176"/>
      <c r="DQ37" s="1176"/>
      <c r="DR37" s="1176"/>
      <c r="DS37" s="1176"/>
      <c r="DT37" s="1176"/>
      <c r="DU37" s="1176"/>
      <c r="DV37" s="1176"/>
      <c r="DW37" s="1176"/>
      <c r="DX37" s="1176"/>
      <c r="DY37" s="1176"/>
      <c r="DZ37" s="1176"/>
      <c r="EA37" s="1176"/>
      <c r="EB37" s="1176"/>
      <c r="EC37" s="1176"/>
      <c r="ED37" s="1176"/>
      <c r="EE37" s="1176"/>
      <c r="EF37" s="1176"/>
      <c r="EG37" s="1176"/>
      <c r="EH37" s="1176"/>
      <c r="EI37" s="1176"/>
      <c r="EJ37" s="1176"/>
      <c r="EK37" s="1176"/>
      <c r="EL37" s="1176"/>
      <c r="EM37" s="1176"/>
      <c r="EN37" s="1176"/>
      <c r="EO37" s="1176"/>
      <c r="EP37" s="1176"/>
      <c r="EQ37" s="1176"/>
      <c r="ER37" s="1176"/>
      <c r="ES37" s="1"/>
      <c r="ET37" s="1"/>
      <c r="EU37" s="1"/>
      <c r="EV37" s="1"/>
      <c r="EW37" s="1"/>
      <c r="EX37" s="1"/>
      <c r="EY37" s="1"/>
      <c r="EZ37" s="1"/>
      <c r="FA37" s="1"/>
      <c r="FB37" s="1"/>
      <c r="FC37" s="1"/>
      <c r="FD37" s="1"/>
      <c r="FE37" s="1"/>
      <c r="FF37" s="1"/>
      <c r="FG37" s="1"/>
      <c r="FH37" s="1"/>
      <c r="FI37" s="1"/>
      <c r="FJ37" s="1"/>
      <c r="FK37" s="1"/>
      <c r="FL37" s="1"/>
      <c r="FM37" s="1"/>
      <c r="FN37" s="1"/>
      <c r="FO37" s="1"/>
      <c r="FP37" s="1"/>
      <c r="FQ37" s="1"/>
      <c r="FR37" s="1"/>
      <c r="FS37" s="1"/>
      <c r="FT37" s="1"/>
      <c r="FU37" s="1"/>
      <c r="FV37" s="1"/>
      <c r="FW37" s="1"/>
      <c r="FX37" s="1"/>
      <c r="FY37" s="1"/>
      <c r="FZ37" s="1"/>
      <c r="GA37" s="1"/>
      <c r="GB37" s="1"/>
      <c r="GC37" s="1"/>
      <c r="GD37" s="1"/>
      <c r="GE37" s="1"/>
      <c r="GF37" s="1"/>
      <c r="GG37" s="1"/>
      <c r="GH37" s="1"/>
      <c r="GI37" s="1"/>
      <c r="GJ37" s="1"/>
      <c r="GK37" s="1"/>
      <c r="GL37" s="1"/>
      <c r="GM37" s="1"/>
      <c r="GN37" s="1"/>
      <c r="GO37" s="1"/>
      <c r="GP37" s="1"/>
      <c r="GQ37" s="1"/>
      <c r="GR37" s="1"/>
      <c r="GS37" s="1"/>
      <c r="GT37" s="1"/>
      <c r="GU37" s="1"/>
      <c r="GV37" s="1"/>
      <c r="GW37" s="1"/>
      <c r="GX37" s="1"/>
      <c r="GY37" s="1"/>
      <c r="GZ37" s="1"/>
      <c r="HA37" s="1"/>
      <c r="HB37" s="1"/>
      <c r="HC37" s="1"/>
      <c r="HD37" s="1"/>
      <c r="HE37" s="1"/>
      <c r="HF37" s="1"/>
      <c r="HG37" s="1"/>
      <c r="HH37" s="1"/>
      <c r="HI37" s="1"/>
      <c r="HJ37" s="1"/>
      <c r="HK37" s="1"/>
      <c r="HL37" s="1"/>
      <c r="HM37" s="1"/>
      <c r="HN37" s="1"/>
      <c r="HO37" s="1"/>
      <c r="HP37" s="1"/>
      <c r="HQ37" s="1"/>
      <c r="HR37" s="1"/>
      <c r="HS37" s="1"/>
      <c r="HT37" s="1"/>
      <c r="HU37" s="1"/>
      <c r="HV37" s="1"/>
      <c r="HW37" s="1"/>
      <c r="HX37" s="1"/>
      <c r="HY37" s="1"/>
      <c r="HZ37" s="1"/>
      <c r="IA37" s="1"/>
      <c r="IB37" s="1"/>
      <c r="IC37" s="1"/>
      <c r="ID37" s="1"/>
      <c r="IE37" s="1"/>
      <c r="IF37" s="1"/>
      <c r="IG37" s="1"/>
      <c r="IH37" s="1"/>
      <c r="II37" s="1"/>
      <c r="IJ37" s="1"/>
      <c r="IK37" s="1"/>
      <c r="IL37" s="1"/>
      <c r="IM37" s="1"/>
      <c r="IN37" s="1"/>
      <c r="IO37" s="1"/>
      <c r="IP37" s="1"/>
      <c r="IQ37" s="1"/>
      <c r="IR37" s="1"/>
      <c r="IS37" s="1"/>
      <c r="IT37" s="1"/>
      <c r="IU37" s="1"/>
      <c r="IV37" s="1"/>
      <c r="IW37" s="1"/>
      <c r="IX37" s="1"/>
      <c r="IY37" s="1"/>
      <c r="IZ37" s="1"/>
      <c r="JA37" s="1"/>
      <c r="JB37" s="1"/>
      <c r="JC37" s="1"/>
      <c r="JD37" s="1"/>
    </row>
    <row r="38" spans="2:264" s="1044" customFormat="1" x14ac:dyDescent="0.2">
      <c r="B38" s="1191" t="s">
        <v>1044</v>
      </c>
      <c r="C38" s="1192">
        <f>AVERAGE(AF75:AR75)</f>
        <v>1.0110368799035234E-3</v>
      </c>
      <c r="F38" s="1177" t="s">
        <v>1026</v>
      </c>
      <c r="G38" s="1178">
        <f>AR92</f>
        <v>0.79</v>
      </c>
      <c r="H38" s="1154"/>
      <c r="L38" s="1489">
        <f t="shared" ref="L38" si="96">AVERAGE(AI38,AJ38,AK38)</f>
        <v>0.1226245565324305</v>
      </c>
      <c r="M38" s="1489">
        <f t="shared" ref="M38" ca="1" si="97">AVERAGE(AL38,AM38,AN38)</f>
        <v>0.1189359873739974</v>
      </c>
      <c r="N38" s="1489">
        <f t="shared" ref="N38" ca="1" si="98">AVERAGE(AL38:AU38)</f>
        <v>0.11849662747436633</v>
      </c>
      <c r="O38" s="1492">
        <f t="shared" ref="O38" ca="1" si="99">AO38</f>
        <v>0.11792760989744636</v>
      </c>
      <c r="P38" s="1046"/>
      <c r="Q38" s="1047" t="s">
        <v>738</v>
      </c>
      <c r="R38" s="1074" t="s">
        <v>1010</v>
      </c>
      <c r="S38" s="1145">
        <f ca="1">AVERAGE(AL38:AU38)</f>
        <v>0.11849662747436633</v>
      </c>
      <c r="T38" s="1074"/>
      <c r="U38" s="1074"/>
      <c r="V38" s="1074"/>
      <c r="W38" s="1074"/>
      <c r="X38" s="1173"/>
      <c r="Y38" s="1173">
        <f t="shared" ref="Y38:CE38" si="100">+Y39/Y36</f>
        <v>8.2118617806646046E-2</v>
      </c>
      <c r="Z38" s="1173">
        <f t="shared" si="100"/>
        <v>9.3013339650296845E-2</v>
      </c>
      <c r="AA38" s="1173">
        <f t="shared" si="100"/>
        <v>9.0577970877709704E-2</v>
      </c>
      <c r="AB38" s="1173">
        <f t="shared" si="100"/>
        <v>0.10556494462420217</v>
      </c>
      <c r="AC38" s="1173">
        <f>+AC39/AC36</f>
        <v>0.10103577745084805</v>
      </c>
      <c r="AD38" s="1173">
        <f>+AD39/AD36</f>
        <v>0.10132748379894116</v>
      </c>
      <c r="AE38" s="1198">
        <f t="shared" si="100"/>
        <v>0.10682654463051228</v>
      </c>
      <c r="AF38" s="1173">
        <f t="shared" si="100"/>
        <v>0.115509904428638</v>
      </c>
      <c r="AG38" s="1173">
        <f t="shared" si="100"/>
        <v>0.1305493920298216</v>
      </c>
      <c r="AH38" s="1173">
        <f t="shared" si="100"/>
        <v>0.11452885364697565</v>
      </c>
      <c r="AI38" s="1173">
        <f t="shared" si="100"/>
        <v>0.12160250602574403</v>
      </c>
      <c r="AJ38" s="1173">
        <f t="shared" si="100"/>
        <v>0.12338974785638358</v>
      </c>
      <c r="AK38" s="1376">
        <f t="shared" si="100"/>
        <v>0.12288141571516391</v>
      </c>
      <c r="AL38" s="1173">
        <f t="shared" ca="1" si="100"/>
        <v>0.12137499376977245</v>
      </c>
      <c r="AM38" s="1173">
        <f t="shared" ref="AM38" ca="1" si="101">+AM39/AM36</f>
        <v>0.1184715426814056</v>
      </c>
      <c r="AN38" s="1173">
        <f t="shared" ref="AN38" ca="1" si="102">+AN39/AN36</f>
        <v>0.11696142567081413</v>
      </c>
      <c r="AO38" s="1173">
        <f t="shared" ca="1" si="100"/>
        <v>0.11792760989744636</v>
      </c>
      <c r="AP38" s="1173">
        <f t="shared" ca="1" si="100"/>
        <v>0.11853967175454821</v>
      </c>
      <c r="AQ38" s="1173">
        <f t="shared" ca="1" si="100"/>
        <v>0.11863189363818494</v>
      </c>
      <c r="AR38" s="1173">
        <f t="shared" ca="1" si="100"/>
        <v>0.11862600869702411</v>
      </c>
      <c r="AS38" s="1173">
        <f t="shared" ca="1" si="100"/>
        <v>0.11806930398722364</v>
      </c>
      <c r="AT38" s="1173">
        <f t="shared" ca="1" si="100"/>
        <v>0.11793942754174741</v>
      </c>
      <c r="AU38" s="1173">
        <f t="shared" ca="1" si="100"/>
        <v>0.11842439710549654</v>
      </c>
      <c r="AV38" s="1173">
        <f t="shared" ca="1" si="100"/>
        <v>0.12054285181431865</v>
      </c>
      <c r="AW38" s="1173">
        <f ca="1">+AW39/AW36</f>
        <v>0.12105680343981133</v>
      </c>
      <c r="AX38" s="1173">
        <f ca="1">+AX39/AX36</f>
        <v>0.1211814916251412</v>
      </c>
      <c r="AY38" s="1173">
        <f ca="1">+AY39/AY36</f>
        <v>0.12121174183311738</v>
      </c>
      <c r="AZ38" s="1173">
        <f ca="1">+AZ39/AZ36</f>
        <v>0.12121908074081088</v>
      </c>
      <c r="BA38" s="1173">
        <f t="shared" ca="1" si="100"/>
        <v>0.12186909592961545</v>
      </c>
      <c r="BB38" s="1173">
        <f t="shared" ca="1" si="100"/>
        <v>0.12193695196319063</v>
      </c>
      <c r="BC38" s="1173">
        <f t="shared" ca="1" si="100"/>
        <v>0.12186035510798733</v>
      </c>
      <c r="BD38" s="1173">
        <f t="shared" ca="1" si="100"/>
        <v>0.12174816842710671</v>
      </c>
      <c r="BE38" s="1173">
        <f t="shared" ca="1" si="100"/>
        <v>0.12162738340166378</v>
      </c>
      <c r="BF38" s="1173">
        <f t="shared" ca="1" si="100"/>
        <v>0.1215046711061427</v>
      </c>
      <c r="BG38" s="1173">
        <f t="shared" ca="1" si="100"/>
        <v>0.12138167476600878</v>
      </c>
      <c r="BH38" s="1173">
        <f t="shared" ca="1" si="100"/>
        <v>0.12125879744584635</v>
      </c>
      <c r="BI38" s="1173">
        <f t="shared" ca="1" si="100"/>
        <v>0.1211361372707333</v>
      </c>
      <c r="BJ38" s="1173">
        <f t="shared" ca="1" si="100"/>
        <v>0.12101371762158189</v>
      </c>
      <c r="BK38" s="1173">
        <f t="shared" ca="1" si="100"/>
        <v>0.12089154361794091</v>
      </c>
      <c r="BL38" s="1173">
        <f t="shared" ca="1" si="100"/>
        <v>0.12076961593357388</v>
      </c>
      <c r="BM38" s="1173">
        <f t="shared" ca="1" si="100"/>
        <v>0.12064793416506195</v>
      </c>
      <c r="BN38" s="1173">
        <f t="shared" ca="1" si="100"/>
        <v>0.12052649765055366</v>
      </c>
      <c r="BO38" s="1173">
        <f t="shared" ca="1" si="100"/>
        <v>0.12040530566812352</v>
      </c>
      <c r="BP38" s="1173">
        <f t="shared" ca="1" si="100"/>
        <v>0.12028435748366795</v>
      </c>
      <c r="BQ38" s="1173">
        <f t="shared" ca="1" si="100"/>
        <v>0.12016365236242413</v>
      </c>
      <c r="BR38" s="1173">
        <f t="shared" ca="1" si="100"/>
        <v>0.12004318957172261</v>
      </c>
      <c r="BS38" s="1173">
        <f t="shared" ca="1" si="100"/>
        <v>0.11992296838163491</v>
      </c>
      <c r="BT38" s="1173">
        <f t="shared" ca="1" si="100"/>
        <v>0.11980298806511627</v>
      </c>
      <c r="BU38" s="1173">
        <f t="shared" ca="1" si="100"/>
        <v>0.11968324789802859</v>
      </c>
      <c r="BV38" s="1173">
        <f t="shared" ca="1" si="100"/>
        <v>0.11956374715913443</v>
      </c>
      <c r="BW38" s="1173">
        <f t="shared" ca="1" si="100"/>
        <v>0.11944448513008483</v>
      </c>
      <c r="BX38" s="1173">
        <f t="shared" ca="1" si="100"/>
        <v>0.11932546109540526</v>
      </c>
      <c r="BY38" s="1173">
        <f t="shared" ca="1" si="100"/>
        <v>0.11920667434248128</v>
      </c>
      <c r="BZ38" s="1173">
        <f t="shared" ca="1" si="100"/>
        <v>0.1190881241615442</v>
      </c>
      <c r="CA38" s="1173">
        <f t="shared" ca="1" si="100"/>
        <v>0.11896980984565708</v>
      </c>
      <c r="CB38" s="1173">
        <f t="shared" ca="1" si="100"/>
        <v>0.11885173069070058</v>
      </c>
      <c r="CC38" s="1173">
        <f t="shared" ca="1" si="100"/>
        <v>0.11873388599535865</v>
      </c>
      <c r="CD38" s="1173">
        <f t="shared" ca="1" si="100"/>
        <v>0.11861627506110496</v>
      </c>
      <c r="CE38" s="1173">
        <f t="shared" ca="1" si="100"/>
        <v>0.11849889719218869</v>
      </c>
      <c r="CF38" s="1173">
        <f ca="1">+CF39/CF36</f>
        <v>0.11838175169562101</v>
      </c>
      <c r="CG38" s="1173">
        <f ca="1">+CG39/CG36</f>
        <v>0.11826483788116113</v>
      </c>
      <c r="CH38" s="1173">
        <f ca="1">+CH39/CH36</f>
        <v>0.11814815506130281</v>
      </c>
      <c r="CI38" s="1173">
        <f ca="1">+CI39/CI36</f>
        <v>0.11803170255126086</v>
      </c>
      <c r="CJ38" s="1173">
        <f ca="1">+CJ39/CJ36</f>
        <v>0.11800585942777032</v>
      </c>
      <c r="CK38" s="1176"/>
      <c r="CL38" s="1176"/>
      <c r="CM38" s="1176"/>
      <c r="CN38" s="1176"/>
      <c r="CO38" s="1176"/>
      <c r="CP38" s="1176"/>
      <c r="CQ38" s="1176"/>
      <c r="CR38" s="1176"/>
      <c r="CS38" s="1176"/>
      <c r="CT38" s="1176"/>
      <c r="CU38" s="1176"/>
      <c r="CV38" s="1176"/>
      <c r="CW38" s="1176"/>
      <c r="CX38" s="1176"/>
      <c r="CY38" s="1176"/>
      <c r="CZ38" s="1176"/>
      <c r="DA38" s="1176"/>
      <c r="DB38" s="1176"/>
      <c r="DC38" s="1176"/>
      <c r="DD38" s="1176"/>
      <c r="DE38" s="1176"/>
      <c r="DF38" s="1176"/>
      <c r="DG38" s="1176"/>
      <c r="DH38" s="1176"/>
      <c r="DI38" s="1176"/>
      <c r="DJ38" s="1176"/>
      <c r="DK38" s="1176"/>
      <c r="DL38" s="1176"/>
      <c r="DM38" s="1176"/>
      <c r="DN38" s="1176"/>
      <c r="DO38" s="1176"/>
      <c r="DP38" s="1176"/>
      <c r="DQ38" s="1176"/>
      <c r="DR38" s="1176"/>
      <c r="DS38" s="1176"/>
      <c r="DT38" s="1176"/>
      <c r="DU38" s="1176"/>
      <c r="DV38" s="1176"/>
      <c r="DW38" s="1176"/>
      <c r="DX38" s="1176"/>
      <c r="DY38" s="1176"/>
      <c r="DZ38" s="1176"/>
      <c r="EA38" s="1176"/>
      <c r="EB38" s="1176"/>
      <c r="EC38" s="1176"/>
      <c r="ED38" s="1176"/>
      <c r="EE38" s="1176"/>
      <c r="EF38" s="1176"/>
      <c r="EG38" s="1176"/>
      <c r="EH38" s="1176"/>
      <c r="EI38" s="1176"/>
      <c r="EJ38" s="1176"/>
      <c r="EK38" s="1176"/>
      <c r="EL38" s="1176"/>
      <c r="EM38" s="1176"/>
      <c r="EN38" s="1176"/>
      <c r="EO38" s="1176"/>
      <c r="EP38" s="1176"/>
      <c r="EQ38" s="1176"/>
      <c r="ER38" s="1176"/>
      <c r="ES38" s="1"/>
      <c r="ET38" s="1"/>
      <c r="EU38" s="1"/>
      <c r="EV38" s="1"/>
      <c r="EW38" s="1"/>
      <c r="EX38" s="1"/>
      <c r="EY38" s="1"/>
      <c r="EZ38" s="1"/>
      <c r="FA38" s="1"/>
      <c r="FB38" s="1"/>
      <c r="FC38" s="1"/>
      <c r="FD38" s="1"/>
      <c r="FE38" s="1"/>
      <c r="FF38" s="1"/>
      <c r="FG38" s="1"/>
      <c r="FH38" s="1"/>
      <c r="FI38" s="1"/>
      <c r="FJ38" s="1"/>
      <c r="FK38" s="1"/>
      <c r="FL38" s="1"/>
      <c r="FM38" s="1"/>
      <c r="FN38" s="1"/>
      <c r="FO38" s="1"/>
      <c r="FP38" s="1"/>
      <c r="FQ38" s="1"/>
      <c r="FR38" s="1"/>
      <c r="FS38" s="1"/>
      <c r="FT38" s="1"/>
      <c r="FU38" s="1"/>
      <c r="FV38" s="1"/>
      <c r="FW38" s="1"/>
      <c r="FX38" s="1"/>
      <c r="FY38" s="1"/>
      <c r="FZ38" s="1"/>
      <c r="GA38" s="1"/>
      <c r="GB38" s="1"/>
      <c r="GC38" s="1"/>
      <c r="GD38" s="1"/>
      <c r="GE38" s="1"/>
      <c r="GF38" s="1"/>
      <c r="GG38" s="1"/>
      <c r="GH38" s="1"/>
      <c r="GI38" s="1"/>
      <c r="GJ38" s="1"/>
      <c r="GK38" s="1"/>
      <c r="GL38" s="1"/>
      <c r="GM38" s="1"/>
      <c r="GN38" s="1"/>
      <c r="GO38" s="1"/>
      <c r="GP38" s="1"/>
      <c r="GQ38" s="1"/>
      <c r="GR38" s="1"/>
      <c r="GS38" s="1"/>
      <c r="GT38" s="1"/>
      <c r="GU38" s="1"/>
      <c r="GV38" s="1"/>
      <c r="GW38" s="1"/>
      <c r="GX38" s="1"/>
      <c r="GY38" s="1"/>
      <c r="GZ38" s="1"/>
      <c r="HA38" s="1"/>
      <c r="HB38" s="1"/>
      <c r="HC38" s="1"/>
      <c r="HD38" s="1"/>
      <c r="HE38" s="1"/>
      <c r="HF38" s="1"/>
      <c r="HG38" s="1"/>
      <c r="HH38" s="1"/>
      <c r="HI38" s="1"/>
      <c r="HJ38" s="1"/>
      <c r="HK38" s="1"/>
      <c r="HL38" s="1"/>
      <c r="HM38" s="1"/>
      <c r="HN38" s="1"/>
      <c r="HO38" s="1"/>
      <c r="HP38" s="1"/>
      <c r="HQ38" s="1"/>
      <c r="HR38" s="1"/>
      <c r="HS38" s="1"/>
      <c r="HT38" s="1"/>
      <c r="HU38" s="1"/>
      <c r="HV38" s="1"/>
      <c r="HW38" s="1"/>
      <c r="HX38" s="1"/>
      <c r="HY38" s="1"/>
      <c r="HZ38" s="1"/>
      <c r="IA38" s="1"/>
      <c r="IB38" s="1"/>
      <c r="IC38" s="1"/>
      <c r="ID38" s="1"/>
      <c r="IE38" s="1"/>
      <c r="IF38" s="1"/>
      <c r="IG38" s="1"/>
      <c r="IH38" s="1"/>
      <c r="II38" s="1"/>
      <c r="IJ38" s="1"/>
      <c r="IK38" s="1"/>
      <c r="IL38" s="1"/>
      <c r="IM38" s="1"/>
      <c r="IN38" s="1"/>
      <c r="IO38" s="1"/>
      <c r="IP38" s="1"/>
      <c r="IQ38" s="1"/>
      <c r="IR38" s="1"/>
      <c r="IS38" s="1"/>
      <c r="IT38" s="1"/>
      <c r="IU38" s="1"/>
      <c r="IV38" s="1"/>
      <c r="IW38" s="1"/>
      <c r="IX38" s="1"/>
      <c r="IY38" s="1"/>
      <c r="IZ38" s="1"/>
      <c r="JA38" s="1"/>
      <c r="JB38" s="1"/>
      <c r="JC38" s="1"/>
      <c r="JD38" s="1"/>
    </row>
    <row r="39" spans="2:264" s="1044" customFormat="1" x14ac:dyDescent="0.2">
      <c r="B39" s="1191" t="s">
        <v>1045</v>
      </c>
      <c r="C39" s="1192">
        <f ca="1">AVERAGE(AF66:AR66)</f>
        <v>7.8849085235369668E-3</v>
      </c>
      <c r="D39" s="1199"/>
      <c r="E39" s="1194"/>
      <c r="F39" s="1146" t="s">
        <v>1011</v>
      </c>
      <c r="G39" s="1082">
        <f ca="1">R137</f>
        <v>72175.303313997516</v>
      </c>
      <c r="H39" s="1147">
        <f ca="1">+G39/$C$8</f>
        <v>43.12932583691704</v>
      </c>
      <c r="I39" s="1194"/>
      <c r="J39" s="1194"/>
      <c r="K39" s="1194"/>
      <c r="L39" s="1194"/>
      <c r="M39" s="1194"/>
      <c r="N39" s="1194"/>
      <c r="O39" s="1194"/>
      <c r="P39" s="1046"/>
      <c r="Q39" s="1044" t="s">
        <v>808</v>
      </c>
      <c r="R39" s="1156"/>
      <c r="S39" s="1156"/>
      <c r="T39" s="1156"/>
      <c r="U39" s="1156"/>
      <c r="V39" s="1156"/>
      <c r="W39" s="1156"/>
      <c r="X39" s="1176"/>
      <c r="Y39" s="1176">
        <f>MODEL!BJ1196</f>
        <v>27030</v>
      </c>
      <c r="Z39" s="1176">
        <f>MODEL!BN1196</f>
        <v>31412</v>
      </c>
      <c r="AA39" s="1176">
        <f>MODEL!BR1196</f>
        <v>33398</v>
      </c>
      <c r="AB39" s="1176">
        <f>MODEL!BV1196</f>
        <v>41663</v>
      </c>
      <c r="AC39" s="1176">
        <f>MODEL!BZ1196</f>
        <v>44159</v>
      </c>
      <c r="AD39" s="1176">
        <f>MODEL!CD1196</f>
        <v>46470</v>
      </c>
      <c r="AE39" s="1203">
        <f>MODEL!CH1196</f>
        <v>48367</v>
      </c>
      <c r="AF39" s="1204">
        <f>MODEL!CL1196</f>
        <v>52551</v>
      </c>
      <c r="AG39" s="1204">
        <f>MODEL!CP1196</f>
        <v>58836</v>
      </c>
      <c r="AH39" s="1204">
        <f>MODEL!CT1196</f>
        <v>57023</v>
      </c>
      <c r="AI39" s="1204">
        <f>MODEL!CX1196</f>
        <v>56909</v>
      </c>
      <c r="AJ39" s="1204">
        <f>MODEL!DB1196</f>
        <v>57691</v>
      </c>
      <c r="AK39" s="1377">
        <f>MODEL!DF1196</f>
        <v>60967</v>
      </c>
      <c r="AL39" s="1204">
        <f ca="1">MODEL!DJ1196</f>
        <v>63326.351952569283</v>
      </c>
      <c r="AM39" s="1204">
        <f ca="1">MODEL!$DN1196</f>
        <v>65587.383695239027</v>
      </c>
      <c r="AN39" s="1204">
        <f ca="1">MODEL!$DR1196</f>
        <v>67947.675340228219</v>
      </c>
      <c r="AO39" s="1176">
        <f t="shared" ref="AO39:CJ39" ca="1" si="103">+AO41*AO42</f>
        <v>71432.919283763171</v>
      </c>
      <c r="AP39" s="1176">
        <f t="shared" ca="1" si="103"/>
        <v>74844.121711243031</v>
      </c>
      <c r="AQ39" s="1176">
        <f t="shared" ca="1" si="103"/>
        <v>78074.634358643088</v>
      </c>
      <c r="AR39" s="1176">
        <f t="shared" ca="1" si="103"/>
        <v>81377.88070867733</v>
      </c>
      <c r="AS39" s="1176">
        <f t="shared" ca="1" si="103"/>
        <v>84427.680161451746</v>
      </c>
      <c r="AT39" s="1176">
        <f t="shared" ca="1" si="103"/>
        <v>87908.666793912009</v>
      </c>
      <c r="AU39" s="1176">
        <f t="shared" ca="1" si="103"/>
        <v>92011.499636372944</v>
      </c>
      <c r="AV39" s="1176">
        <f t="shared" ca="1" si="103"/>
        <v>96467.186678434169</v>
      </c>
      <c r="AW39" s="1176">
        <f t="shared" ca="1" si="103"/>
        <v>99784.842923200966</v>
      </c>
      <c r="AX39" s="1176">
        <f t="shared" ca="1" si="103"/>
        <v>102884.24967719219</v>
      </c>
      <c r="AY39" s="1176">
        <f t="shared" ca="1" si="103"/>
        <v>105997.23036597682</v>
      </c>
      <c r="AZ39" s="1176">
        <f t="shared" ca="1" si="103"/>
        <v>109183.75753594578</v>
      </c>
      <c r="BA39" s="1176">
        <f t="shared" ca="1" si="103"/>
        <v>113062.31256646545</v>
      </c>
      <c r="BB39" s="1176">
        <f t="shared" ca="1" si="103"/>
        <v>116519.0229830983</v>
      </c>
      <c r="BC39" s="1176">
        <f t="shared" ca="1" si="103"/>
        <v>119939.2043807825</v>
      </c>
      <c r="BD39" s="1176">
        <f t="shared" ca="1" si="103"/>
        <v>123423.64993369201</v>
      </c>
      <c r="BE39" s="1176">
        <f t="shared" ca="1" si="103"/>
        <v>127000.23876182493</v>
      </c>
      <c r="BF39" s="1176">
        <f t="shared" ca="1" si="103"/>
        <v>130678.26885581447</v>
      </c>
      <c r="BG39" s="1176">
        <f t="shared" ca="1" si="103"/>
        <v>134462.3658858891</v>
      </c>
      <c r="BH39" s="1176">
        <f t="shared" ca="1" si="103"/>
        <v>138356.03409733626</v>
      </c>
      <c r="BI39" s="1176">
        <f t="shared" ca="1" si="103"/>
        <v>142362.56146708128</v>
      </c>
      <c r="BJ39" s="1176">
        <f t="shared" ca="1" si="103"/>
        <v>146485.251201315</v>
      </c>
      <c r="BK39" s="1176">
        <f t="shared" ca="1" si="103"/>
        <v>150727.48228491316</v>
      </c>
      <c r="BL39" s="1176">
        <f t="shared" ca="1" si="103"/>
        <v>155092.726831445</v>
      </c>
      <c r="BM39" s="1176">
        <f t="shared" ca="1" si="103"/>
        <v>159584.55659681742</v>
      </c>
      <c r="BN39" s="1176">
        <f t="shared" ca="1" si="103"/>
        <v>164206.64683075817</v>
      </c>
      <c r="BO39" s="1176">
        <f t="shared" ca="1" si="103"/>
        <v>168962.77952563029</v>
      </c>
      <c r="BP39" s="1176">
        <f t="shared" ca="1" si="103"/>
        <v>173856.84658125398</v>
      </c>
      <c r="BQ39" s="1176">
        <f t="shared" ca="1" si="103"/>
        <v>178892.85301741172</v>
      </c>
      <c r="BR39" s="1176">
        <f t="shared" ca="1" si="103"/>
        <v>184074.92026886914</v>
      </c>
      <c r="BS39" s="1176">
        <f t="shared" ca="1" si="103"/>
        <v>189407.28957362837</v>
      </c>
      <c r="BT39" s="1176">
        <f t="shared" ca="1" si="103"/>
        <v>194894.32545918986</v>
      </c>
      <c r="BU39" s="1176">
        <f t="shared" ca="1" si="103"/>
        <v>200540.51933018875</v>
      </c>
      <c r="BV39" s="1176">
        <f t="shared" ca="1" si="103"/>
        <v>206350.49316048587</v>
      </c>
      <c r="BW39" s="1176">
        <f t="shared" ca="1" si="103"/>
        <v>212329.00329278968</v>
      </c>
      <c r="BX39" s="1176">
        <f t="shared" ca="1" si="103"/>
        <v>218480.94434895081</v>
      </c>
      <c r="BY39" s="1176">
        <f t="shared" ca="1" si="103"/>
        <v>224811.35325415808</v>
      </c>
      <c r="BZ39" s="1176">
        <f t="shared" ca="1" si="103"/>
        <v>231325.41337835672</v>
      </c>
      <c r="CA39" s="1176">
        <f t="shared" ca="1" si="103"/>
        <v>238028.45879830752</v>
      </c>
      <c r="CB39" s="1176">
        <f t="shared" ca="1" si="103"/>
        <v>244925.97868380326</v>
      </c>
      <c r="CC39" s="1176">
        <f t="shared" ca="1" si="103"/>
        <v>252023.62181166239</v>
      </c>
      <c r="CD39" s="1176">
        <f t="shared" ca="1" si="103"/>
        <v>259327.20121122713</v>
      </c>
      <c r="CE39" s="1176">
        <f t="shared" ca="1" si="103"/>
        <v>266842.69894519821</v>
      </c>
      <c r="CF39" s="1176">
        <f t="shared" ca="1" si="103"/>
        <v>274576.27102975437</v>
      </c>
      <c r="CG39" s="1176">
        <f t="shared" ca="1" si="103"/>
        <v>282534.25249801652</v>
      </c>
      <c r="CH39" s="1176">
        <f t="shared" ca="1" si="103"/>
        <v>290723.16261103831</v>
      </c>
      <c r="CI39" s="1176">
        <f t="shared" ca="1" si="103"/>
        <v>299149.71022062289</v>
      </c>
      <c r="CJ39" s="1176">
        <f t="shared" ca="1" si="103"/>
        <v>308056.7375186882</v>
      </c>
      <c r="CK39" s="1176"/>
      <c r="CL39" s="1176"/>
      <c r="CM39" s="1176"/>
      <c r="CN39" s="1176"/>
      <c r="CO39" s="1176"/>
      <c r="CP39" s="1176"/>
      <c r="CQ39" s="1176"/>
      <c r="CR39" s="1176"/>
      <c r="CS39" s="1176"/>
      <c r="CT39" s="1176"/>
      <c r="CU39" s="1176"/>
      <c r="CV39" s="1176"/>
      <c r="CW39" s="1176"/>
      <c r="CX39" s="1176"/>
      <c r="CY39" s="1176"/>
      <c r="CZ39" s="1176"/>
      <c r="DA39" s="1176"/>
      <c r="DB39" s="1176"/>
      <c r="DC39" s="1176"/>
      <c r="DD39" s="1176"/>
      <c r="DE39" s="1176"/>
      <c r="DF39" s="1176"/>
      <c r="DG39" s="1176"/>
      <c r="DH39" s="1176"/>
      <c r="DI39" s="1176"/>
      <c r="DJ39" s="1176"/>
      <c r="DK39" s="1176"/>
      <c r="DL39" s="1176"/>
      <c r="DM39" s="1176"/>
      <c r="DN39" s="1176"/>
      <c r="DO39" s="1176"/>
      <c r="DP39" s="1176"/>
      <c r="DQ39" s="1176"/>
      <c r="DR39" s="1176"/>
      <c r="DS39" s="1176"/>
      <c r="DT39" s="1176"/>
      <c r="DU39" s="1176"/>
      <c r="DV39" s="1176"/>
      <c r="DW39" s="1176"/>
      <c r="DX39" s="1176"/>
      <c r="DY39" s="1176"/>
      <c r="DZ39" s="1176"/>
      <c r="EA39" s="1176"/>
      <c r="EB39" s="1176"/>
      <c r="EC39" s="1176"/>
      <c r="ED39" s="1176"/>
      <c r="EE39" s="1176"/>
      <c r="EF39" s="1176"/>
      <c r="EG39" s="1176"/>
      <c r="EH39" s="1176"/>
      <c r="EI39" s="1176"/>
      <c r="EJ39" s="1176"/>
      <c r="EK39" s="1176"/>
      <c r="EL39" s="1176"/>
      <c r="EM39" s="1176"/>
      <c r="EN39" s="1176"/>
      <c r="EO39" s="1176"/>
      <c r="EP39" s="1176"/>
      <c r="EQ39" s="1176"/>
      <c r="ER39" s="1176"/>
      <c r="ES39" s="1"/>
      <c r="ET39" s="1"/>
      <c r="EU39" s="1"/>
      <c r="EV39" s="1"/>
      <c r="EW39" s="1"/>
      <c r="EX39" s="1"/>
      <c r="EY39" s="1"/>
      <c r="EZ39" s="1"/>
      <c r="FA39" s="1"/>
      <c r="FB39" s="1"/>
      <c r="FC39" s="1"/>
      <c r="FD39" s="1"/>
      <c r="FE39" s="1"/>
      <c r="FF39" s="1"/>
      <c r="FG39" s="1"/>
      <c r="FH39" s="1"/>
      <c r="FI39" s="1"/>
      <c r="FJ39" s="1"/>
      <c r="FK39" s="1"/>
      <c r="FL39" s="1"/>
      <c r="FM39" s="1"/>
      <c r="FN39" s="1"/>
      <c r="FO39" s="1"/>
      <c r="FP39" s="1"/>
      <c r="FQ39" s="1"/>
      <c r="FR39" s="1"/>
      <c r="FS39" s="1"/>
      <c r="FT39" s="1"/>
      <c r="FU39" s="1"/>
      <c r="FV39" s="1"/>
      <c r="FW39" s="1"/>
      <c r="FX39" s="1"/>
      <c r="FY39" s="1"/>
      <c r="FZ39" s="1"/>
      <c r="GA39" s="1"/>
      <c r="GB39" s="1"/>
      <c r="GC39" s="1"/>
      <c r="GD39" s="1"/>
      <c r="GE39" s="1"/>
      <c r="GF39" s="1"/>
      <c r="GG39" s="1"/>
      <c r="GH39" s="1"/>
      <c r="GI39" s="1"/>
      <c r="GJ39" s="1"/>
      <c r="GK39" s="1"/>
      <c r="GL39" s="1"/>
      <c r="GM39" s="1"/>
      <c r="GN39" s="1"/>
      <c r="GO39" s="1"/>
      <c r="GP39" s="1"/>
      <c r="GQ39" s="1"/>
      <c r="GR39" s="1"/>
      <c r="GS39" s="1"/>
      <c r="GT39" s="1"/>
      <c r="GU39" s="1"/>
      <c r="GV39" s="1"/>
      <c r="GW39" s="1"/>
      <c r="GX39" s="1"/>
      <c r="GY39" s="1"/>
      <c r="GZ39" s="1"/>
      <c r="HA39" s="1"/>
      <c r="HB39" s="1"/>
      <c r="HC39" s="1"/>
      <c r="HD39" s="1"/>
      <c r="HE39" s="1"/>
      <c r="HF39" s="1"/>
      <c r="HG39" s="1"/>
      <c r="HH39" s="1"/>
      <c r="HI39" s="1"/>
      <c r="HJ39" s="1"/>
      <c r="HK39" s="1"/>
      <c r="HL39" s="1"/>
      <c r="HM39" s="1"/>
      <c r="HN39" s="1"/>
      <c r="HO39" s="1"/>
      <c r="HP39" s="1"/>
      <c r="HQ39" s="1"/>
      <c r="HR39" s="1"/>
      <c r="HS39" s="1"/>
      <c r="HT39" s="1"/>
      <c r="HU39" s="1"/>
      <c r="HV39" s="1"/>
      <c r="HW39" s="1"/>
      <c r="HX39" s="1"/>
      <c r="HY39" s="1"/>
      <c r="HZ39" s="1"/>
      <c r="IA39" s="1"/>
      <c r="IB39" s="1"/>
      <c r="IC39" s="1"/>
      <c r="ID39" s="1"/>
      <c r="IE39" s="1"/>
      <c r="IF39" s="1"/>
      <c r="IG39" s="1"/>
      <c r="IH39" s="1"/>
      <c r="II39" s="1"/>
      <c r="IJ39" s="1"/>
      <c r="IK39" s="1"/>
      <c r="IL39" s="1"/>
      <c r="IM39" s="1"/>
      <c r="IN39" s="1"/>
      <c r="IO39" s="1"/>
      <c r="IP39" s="1"/>
      <c r="IQ39" s="1"/>
      <c r="IR39" s="1"/>
      <c r="IS39" s="1"/>
      <c r="IT39" s="1"/>
      <c r="IU39" s="1"/>
      <c r="IV39" s="1"/>
      <c r="IW39" s="1"/>
      <c r="IX39" s="1"/>
      <c r="IY39" s="1"/>
      <c r="IZ39" s="1"/>
      <c r="JA39" s="1"/>
      <c r="JB39" s="1"/>
      <c r="JC39" s="1"/>
      <c r="JD39" s="1"/>
    </row>
    <row r="40" spans="2:264" s="1044" customFormat="1" x14ac:dyDescent="0.2">
      <c r="B40" s="1205" t="s">
        <v>1046</v>
      </c>
      <c r="C40" s="1206">
        <f ca="1">AVERAGE(AF67:AR67)</f>
        <v>0.13717370303413273</v>
      </c>
      <c r="D40" s="1207"/>
      <c r="E40" s="1194"/>
      <c r="F40" s="1146" t="s">
        <v>1012</v>
      </c>
      <c r="G40" s="1184">
        <f>G30</f>
        <v>0.03</v>
      </c>
      <c r="H40" s="1154"/>
      <c r="I40" s="1210"/>
      <c r="J40" s="1210"/>
      <c r="K40" s="1210"/>
      <c r="L40" s="1210"/>
      <c r="M40" s="1210"/>
      <c r="N40" s="1210"/>
      <c r="O40" s="1210"/>
      <c r="P40" s="1046"/>
      <c r="Q40" s="1044" t="s">
        <v>1047</v>
      </c>
      <c r="R40" s="1074"/>
      <c r="S40" s="1074"/>
      <c r="T40" s="1074"/>
      <c r="U40" s="1074"/>
      <c r="V40" s="1074"/>
      <c r="W40" s="1074"/>
      <c r="X40" s="1176"/>
      <c r="Y40" s="1176">
        <f t="shared" ref="Y40:CF40" si="104">+Y41-Y39</f>
        <v>17031</v>
      </c>
      <c r="Z40" s="1176">
        <f t="shared" si="104"/>
        <v>16460</v>
      </c>
      <c r="AA40" s="1176">
        <f t="shared" si="104"/>
        <v>18094</v>
      </c>
      <c r="AB40" s="1176">
        <f t="shared" si="104"/>
        <v>18351</v>
      </c>
      <c r="AC40" s="1176">
        <f t="shared" si="104"/>
        <v>18955</v>
      </c>
      <c r="AD40" s="1176">
        <f t="shared" si="104"/>
        <v>20836</v>
      </c>
      <c r="AE40" s="1203">
        <f t="shared" si="104"/>
        <v>21227</v>
      </c>
      <c r="AF40" s="1176">
        <f t="shared" si="104"/>
        <v>19382</v>
      </c>
      <c r="AG40" s="1176">
        <f t="shared" si="104"/>
        <v>19877</v>
      </c>
      <c r="AH40" s="1176">
        <f t="shared" si="104"/>
        <v>15810</v>
      </c>
      <c r="AI40" s="1176">
        <f t="shared" si="104"/>
        <v>14719</v>
      </c>
      <c r="AJ40" s="1176">
        <f t="shared" si="104"/>
        <v>15397</v>
      </c>
      <c r="AK40" s="1378">
        <f t="shared" si="104"/>
        <v>17809</v>
      </c>
      <c r="AL40" s="1176">
        <f t="shared" ca="1" si="104"/>
        <v>15597.664897009425</v>
      </c>
      <c r="AM40" s="1176">
        <f t="shared" ref="AM40" ca="1" si="105">+AM41-AM39</f>
        <v>16108.727601935272</v>
      </c>
      <c r="AN40" s="1176">
        <f t="shared" ref="AN40" ca="1" si="106">+AN41-AN39</f>
        <v>16477.984586893057</v>
      </c>
      <c r="AO40" s="1176">
        <f t="shared" ca="1" si="104"/>
        <v>17323.190779681376</v>
      </c>
      <c r="AP40" s="1176">
        <f t="shared" ca="1" si="104"/>
        <v>18150.441171123501</v>
      </c>
      <c r="AQ40" s="1176">
        <f t="shared" ca="1" si="104"/>
        <v>18933.872500379075</v>
      </c>
      <c r="AR40" s="1176">
        <f t="shared" ca="1" si="104"/>
        <v>19734.94247326671</v>
      </c>
      <c r="AS40" s="1176">
        <f t="shared" ca="1" si="104"/>
        <v>20474.549062076359</v>
      </c>
      <c r="AT40" s="1176">
        <f t="shared" ca="1" si="104"/>
        <v>21318.722814741908</v>
      </c>
      <c r="AU40" s="1176">
        <f t="shared" ca="1" si="104"/>
        <v>22313.700435420615</v>
      </c>
      <c r="AV40" s="1176">
        <f t="shared" ca="1" si="104"/>
        <v>23394.248696056049</v>
      </c>
      <c r="AW40" s="1176">
        <f t="shared" ca="1" si="104"/>
        <v>24198.813211208937</v>
      </c>
      <c r="AX40" s="1176">
        <f ca="1">+AX41-AX39</f>
        <v>24950.450062139469</v>
      </c>
      <c r="AY40" s="1176">
        <f ca="1">+AY41-AY39</f>
        <v>25705.378726766197</v>
      </c>
      <c r="AZ40" s="1176">
        <f ca="1">+AZ41-AZ39</f>
        <v>26478.143141877503</v>
      </c>
      <c r="BA40" s="1176">
        <f t="shared" ca="1" si="104"/>
        <v>27418.731170714469</v>
      </c>
      <c r="BB40" s="1176">
        <f t="shared" ca="1" si="104"/>
        <v>28257.017700480515</v>
      </c>
      <c r="BC40" s="1176">
        <f t="shared" ca="1" si="104"/>
        <v>29086.445581172884</v>
      </c>
      <c r="BD40" s="1176">
        <f t="shared" ca="1" si="104"/>
        <v>29931.458156323002</v>
      </c>
      <c r="BE40" s="1176">
        <f t="shared" ca="1" si="104"/>
        <v>30798.816388794221</v>
      </c>
      <c r="BF40" s="1176">
        <f t="shared" ca="1" si="104"/>
        <v>31690.775133452058</v>
      </c>
      <c r="BG40" s="1176">
        <f t="shared" ca="1" si="104"/>
        <v>32608.456161164271</v>
      </c>
      <c r="BH40" s="1176">
        <f t="shared" ca="1" si="104"/>
        <v>33552.709286137891</v>
      </c>
      <c r="BI40" s="1176">
        <f t="shared" ca="1" si="104"/>
        <v>34524.331875358912</v>
      </c>
      <c r="BJ40" s="1176">
        <f t="shared" ca="1" si="104"/>
        <v>35524.124989061296</v>
      </c>
      <c r="BK40" s="1176">
        <f t="shared" ca="1" si="104"/>
        <v>36552.908064560936</v>
      </c>
      <c r="BL40" s="1176">
        <f t="shared" ca="1" si="104"/>
        <v>37611.523123804654</v>
      </c>
      <c r="BM40" s="1176">
        <f t="shared" ca="1" si="104"/>
        <v>38700.836352993734</v>
      </c>
      <c r="BN40" s="1176">
        <f t="shared" ca="1" si="104"/>
        <v>39821.739036606392</v>
      </c>
      <c r="BO40" s="1176">
        <f t="shared" ca="1" si="104"/>
        <v>40975.148345267808</v>
      </c>
      <c r="BP40" s="1176">
        <f t="shared" ca="1" si="104"/>
        <v>42162.008103250468</v>
      </c>
      <c r="BQ40" s="1176">
        <f t="shared" ca="1" si="104"/>
        <v>43383.289567538799</v>
      </c>
      <c r="BR40" s="1176">
        <f t="shared" ca="1" si="104"/>
        <v>44639.992226904142</v>
      </c>
      <c r="BS40" s="1176">
        <f t="shared" ca="1" si="104"/>
        <v>45933.144623589935</v>
      </c>
      <c r="BT40" s="1176">
        <f t="shared" ca="1" si="104"/>
        <v>47263.805198764632</v>
      </c>
      <c r="BU40" s="1176">
        <f t="shared" ca="1" si="104"/>
        <v>48633.06316255912</v>
      </c>
      <c r="BV40" s="1176">
        <f t="shared" ca="1" si="104"/>
        <v>50042.039389435377</v>
      </c>
      <c r="BW40" s="1176">
        <f t="shared" ca="1" si="104"/>
        <v>51491.887339632434</v>
      </c>
      <c r="BX40" s="1176">
        <f t="shared" ca="1" si="104"/>
        <v>52983.794007451623</v>
      </c>
      <c r="BY40" s="1176">
        <f t="shared" ca="1" si="104"/>
        <v>54518.980897163769</v>
      </c>
      <c r="BZ40" s="1176">
        <f t="shared" ca="1" si="104"/>
        <v>56098.705027344404</v>
      </c>
      <c r="CA40" s="1176">
        <f t="shared" ca="1" si="104"/>
        <v>57724.25996446528</v>
      </c>
      <c r="CB40" s="1176">
        <f t="shared" ca="1" si="104"/>
        <v>59396.976886595163</v>
      </c>
      <c r="CC40" s="1176">
        <f t="shared" ca="1" si="104"/>
        <v>61118.225678088202</v>
      </c>
      <c r="CD40" s="1176">
        <f t="shared" ca="1" si="104"/>
        <v>62889.416056163231</v>
      </c>
      <c r="CE40" s="1176">
        <f t="shared" ca="1" si="104"/>
        <v>64711.998730303487</v>
      </c>
      <c r="CF40" s="1176">
        <f t="shared" ca="1" si="104"/>
        <v>66587.466595434293</v>
      </c>
      <c r="CG40" s="1176">
        <f ca="1">+CG41-CG39</f>
        <v>68517.355959863693</v>
      </c>
      <c r="CH40" s="1176">
        <f ca="1">+CH41-CH39</f>
        <v>70503.247808998567</v>
      </c>
      <c r="CI40" s="1176">
        <f ca="1">+CI41-CI39</f>
        <v>72546.769105881685</v>
      </c>
      <c r="CJ40" s="1176">
        <f ca="1">+CJ41-CJ39</f>
        <v>74706.811488459876</v>
      </c>
      <c r="CK40" s="1176"/>
      <c r="CL40" s="1176"/>
      <c r="CM40" s="1176"/>
      <c r="CN40" s="1176"/>
      <c r="CO40" s="1176"/>
      <c r="CP40" s="1176"/>
      <c r="CQ40" s="1176"/>
      <c r="CR40" s="1176"/>
      <c r="CS40" s="1176"/>
      <c r="CT40" s="1176"/>
      <c r="CU40" s="1176"/>
      <c r="CV40" s="1176"/>
      <c r="CW40" s="1176"/>
      <c r="CX40" s="1176"/>
      <c r="CY40" s="1176"/>
      <c r="CZ40" s="1176"/>
      <c r="DA40" s="1176"/>
      <c r="DB40" s="1176"/>
      <c r="DC40" s="1176"/>
      <c r="DD40" s="1176"/>
      <c r="DE40" s="1176"/>
      <c r="DF40" s="1176"/>
      <c r="DG40" s="1176"/>
      <c r="DH40" s="1176"/>
      <c r="DI40" s="1176"/>
      <c r="DJ40" s="1176"/>
      <c r="DK40" s="1176"/>
      <c r="DL40" s="1176"/>
      <c r="DM40" s="1176"/>
      <c r="DN40" s="1176"/>
      <c r="DO40" s="1176"/>
      <c r="DP40" s="1176"/>
      <c r="DQ40" s="1176"/>
      <c r="DR40" s="1176"/>
      <c r="DS40" s="1176"/>
      <c r="DT40" s="1176"/>
      <c r="DU40" s="1176"/>
      <c r="DV40" s="1176"/>
      <c r="DW40" s="1176"/>
      <c r="DX40" s="1176"/>
      <c r="DY40" s="1176"/>
      <c r="DZ40" s="1176"/>
      <c r="EA40" s="1176"/>
      <c r="EB40" s="1176"/>
      <c r="EC40" s="1176"/>
      <c r="ED40" s="1176"/>
      <c r="EE40" s="1176"/>
      <c r="EF40" s="1176"/>
      <c r="EG40" s="1176"/>
      <c r="EH40" s="1176"/>
      <c r="EI40" s="1176"/>
      <c r="EJ40" s="1176"/>
      <c r="EK40" s="1176"/>
      <c r="EL40" s="1176"/>
      <c r="EM40" s="1176"/>
      <c r="EN40" s="1176"/>
      <c r="EO40" s="1176"/>
      <c r="EP40" s="1176"/>
      <c r="EQ40" s="1176"/>
      <c r="ER40" s="1176"/>
      <c r="ES40" s="1"/>
      <c r="ET40" s="1"/>
      <c r="EU40" s="1"/>
      <c r="EV40" s="1"/>
      <c r="EW40" s="1"/>
      <c r="EX40" s="1"/>
      <c r="EY40" s="1"/>
      <c r="EZ40" s="1"/>
      <c r="FA40" s="1"/>
      <c r="FB40" s="1"/>
      <c r="FC40" s="1"/>
      <c r="FD40" s="1"/>
      <c r="FE40" s="1"/>
      <c r="FF40" s="1"/>
      <c r="FG40" s="1"/>
      <c r="FH40" s="1"/>
      <c r="FI40" s="1"/>
      <c r="FJ40" s="1"/>
      <c r="FK40" s="1"/>
      <c r="FL40" s="1"/>
      <c r="FM40" s="1"/>
      <c r="FN40" s="1"/>
      <c r="FO40" s="1"/>
      <c r="FP40" s="1"/>
      <c r="FQ40" s="1"/>
      <c r="FR40" s="1"/>
      <c r="FS40" s="1"/>
      <c r="FT40" s="1"/>
      <c r="FU40" s="1"/>
      <c r="FV40" s="1"/>
      <c r="FW40" s="1"/>
      <c r="FX40" s="1"/>
      <c r="FY40" s="1"/>
      <c r="FZ40" s="1"/>
      <c r="GA40" s="1"/>
      <c r="GB40" s="1"/>
      <c r="GC40" s="1"/>
      <c r="GD40" s="1"/>
      <c r="GE40" s="1"/>
      <c r="GF40" s="1"/>
      <c r="GG40" s="1"/>
      <c r="GH40" s="1"/>
      <c r="GI40" s="1"/>
      <c r="GJ40" s="1"/>
      <c r="GK40" s="1"/>
      <c r="GL40" s="1"/>
      <c r="GM40" s="1"/>
      <c r="GN40" s="1"/>
      <c r="GO40" s="1"/>
      <c r="GP40" s="1"/>
      <c r="GQ40" s="1"/>
      <c r="GR40" s="1"/>
      <c r="GS40" s="1"/>
      <c r="GT40" s="1"/>
      <c r="GU40" s="1"/>
      <c r="GV40" s="1"/>
      <c r="GW40" s="1"/>
      <c r="GX40" s="1"/>
      <c r="GY40" s="1"/>
      <c r="GZ40" s="1"/>
      <c r="HA40" s="1"/>
      <c r="HB40" s="1"/>
      <c r="HC40" s="1"/>
      <c r="HD40" s="1"/>
      <c r="HE40" s="1"/>
      <c r="HF40" s="1"/>
      <c r="HG40" s="1"/>
      <c r="HH40" s="1"/>
      <c r="HI40" s="1"/>
      <c r="HJ40" s="1"/>
      <c r="HK40" s="1"/>
      <c r="HL40" s="1"/>
      <c r="HM40" s="1"/>
      <c r="HN40" s="1"/>
      <c r="HO40" s="1"/>
      <c r="HP40" s="1"/>
      <c r="HQ40" s="1"/>
      <c r="HR40" s="1"/>
      <c r="HS40" s="1"/>
      <c r="HT40" s="1"/>
      <c r="HU40" s="1"/>
      <c r="HV40" s="1"/>
      <c r="HW40" s="1"/>
      <c r="HX40" s="1"/>
      <c r="HY40" s="1"/>
      <c r="HZ40" s="1"/>
      <c r="IA40" s="1"/>
      <c r="IB40" s="1"/>
      <c r="IC40" s="1"/>
      <c r="ID40" s="1"/>
      <c r="IE40" s="1"/>
      <c r="IF40" s="1"/>
      <c r="IG40" s="1"/>
      <c r="IH40" s="1"/>
      <c r="II40" s="1"/>
      <c r="IJ40" s="1"/>
      <c r="IK40" s="1"/>
      <c r="IL40" s="1"/>
      <c r="IM40" s="1"/>
      <c r="IN40" s="1"/>
      <c r="IO40" s="1"/>
      <c r="IP40" s="1"/>
      <c r="IQ40" s="1"/>
      <c r="IR40" s="1"/>
      <c r="IS40" s="1"/>
      <c r="IT40" s="1"/>
      <c r="IU40" s="1"/>
      <c r="IV40" s="1"/>
      <c r="IW40" s="1"/>
      <c r="IX40" s="1"/>
      <c r="IY40" s="1"/>
      <c r="IZ40" s="1"/>
      <c r="JA40" s="1"/>
      <c r="JB40" s="1"/>
      <c r="JC40" s="1"/>
      <c r="JD40" s="1"/>
    </row>
    <row r="41" spans="2:264" s="1044" customFormat="1" ht="13.5" thickBot="1" x14ac:dyDescent="0.25">
      <c r="B41" s="1205" t="s">
        <v>1048</v>
      </c>
      <c r="C41" s="1206">
        <f ca="1">((AR56/AF56)^(1/5))-1</f>
        <v>0.14896009636691732</v>
      </c>
      <c r="D41" s="1207"/>
      <c r="E41" s="1194"/>
      <c r="F41" s="1146" t="s">
        <v>1014</v>
      </c>
      <c r="G41" s="1155">
        <f>R139</f>
        <v>9.2638697616936856</v>
      </c>
      <c r="H41" s="1154"/>
      <c r="I41" s="1210"/>
      <c r="J41" s="1210"/>
      <c r="K41" s="1210"/>
      <c r="L41" s="1210"/>
      <c r="M41" s="1210"/>
      <c r="N41" s="1210"/>
      <c r="O41" s="1210"/>
      <c r="P41" s="1212"/>
      <c r="Q41" s="1047" t="s">
        <v>662</v>
      </c>
      <c r="X41" s="1097"/>
      <c r="Y41" s="1097">
        <f>MODEL!BJ1181</f>
        <v>44061</v>
      </c>
      <c r="Z41" s="1097">
        <f>MODEL!BN1181</f>
        <v>47872</v>
      </c>
      <c r="AA41" s="1097">
        <f>MODEL!BR1181</f>
        <v>51492</v>
      </c>
      <c r="AB41" s="1097">
        <f>MODEL!BV1181</f>
        <v>60014</v>
      </c>
      <c r="AC41" s="1097">
        <f>MODEL!BZ1181</f>
        <v>63114</v>
      </c>
      <c r="AD41" s="1097">
        <f>MODEL!CD1181</f>
        <v>67306</v>
      </c>
      <c r="AE41" s="1098">
        <f>MODEL!CH1181</f>
        <v>69594</v>
      </c>
      <c r="AF41" s="1099">
        <f>MODEL!CL1181</f>
        <v>71933</v>
      </c>
      <c r="AG41" s="1099">
        <f>MODEL!CP1181</f>
        <v>78713</v>
      </c>
      <c r="AH41" s="1099">
        <f>MODEL!CT1181</f>
        <v>72833</v>
      </c>
      <c r="AI41" s="1099">
        <f>MODEL!CX1181</f>
        <v>71628</v>
      </c>
      <c r="AJ41" s="1099">
        <f>MODEL!DB1181</f>
        <v>73088</v>
      </c>
      <c r="AK41" s="1367">
        <f>MODEL!DF1181</f>
        <v>78776</v>
      </c>
      <c r="AL41" s="1099">
        <f>MODEL!DJ1181</f>
        <v>78924.016849578707</v>
      </c>
      <c r="AM41" s="1099">
        <f ca="1">MODEL!$DN1181</f>
        <v>81696.111297174299</v>
      </c>
      <c r="AN41" s="1099">
        <f ca="1">MODEL!$DR1181</f>
        <v>84425.659927121276</v>
      </c>
      <c r="AO41" s="1097">
        <f t="shared" ref="AO41:CE41" ca="1" si="107">AO87</f>
        <v>88756.110063444547</v>
      </c>
      <c r="AP41" s="1097">
        <f t="shared" ca="1" si="107"/>
        <v>92994.562882366532</v>
      </c>
      <c r="AQ41" s="1097">
        <f t="shared" ca="1" si="107"/>
        <v>97008.506859022164</v>
      </c>
      <c r="AR41" s="1097">
        <f t="shared" ca="1" si="107"/>
        <v>101112.82318194404</v>
      </c>
      <c r="AS41" s="1097">
        <f t="shared" ca="1" si="107"/>
        <v>104902.22922352811</v>
      </c>
      <c r="AT41" s="1097">
        <f t="shared" ca="1" si="107"/>
        <v>109227.38960865392</v>
      </c>
      <c r="AU41" s="1097">
        <f t="shared" ca="1" si="107"/>
        <v>114325.20007179356</v>
      </c>
      <c r="AV41" s="1097">
        <f t="shared" ca="1" si="107"/>
        <v>119861.43537449022</v>
      </c>
      <c r="AW41" s="1097">
        <f ca="1">AW87</f>
        <v>123983.6561344099</v>
      </c>
      <c r="AX41" s="1097">
        <f ca="1">AX87</f>
        <v>127834.69973933166</v>
      </c>
      <c r="AY41" s="1097">
        <f ca="1">AY87</f>
        <v>131702.60909274302</v>
      </c>
      <c r="AZ41" s="1097">
        <f ca="1">AZ87</f>
        <v>135661.90067782329</v>
      </c>
      <c r="BA41" s="1097">
        <f t="shared" ca="1" si="107"/>
        <v>140481.04373717992</v>
      </c>
      <c r="BB41" s="1097">
        <f t="shared" ca="1" si="107"/>
        <v>144776.04068357882</v>
      </c>
      <c r="BC41" s="1097">
        <f t="shared" ca="1" si="107"/>
        <v>149025.64996195538</v>
      </c>
      <c r="BD41" s="1097">
        <f t="shared" ca="1" si="107"/>
        <v>153355.10809001501</v>
      </c>
      <c r="BE41" s="1097">
        <f t="shared" ca="1" si="107"/>
        <v>157799.05515061916</v>
      </c>
      <c r="BF41" s="1097">
        <f t="shared" ca="1" si="107"/>
        <v>162369.04398926653</v>
      </c>
      <c r="BG41" s="1097">
        <f t="shared" ca="1" si="107"/>
        <v>167070.82204705337</v>
      </c>
      <c r="BH41" s="1097">
        <f t="shared" ca="1" si="107"/>
        <v>171908.74338347415</v>
      </c>
      <c r="BI41" s="1097">
        <f t="shared" ca="1" si="107"/>
        <v>176886.89334244019</v>
      </c>
      <c r="BJ41" s="1097">
        <f t="shared" ca="1" si="107"/>
        <v>182009.37619037629</v>
      </c>
      <c r="BK41" s="1097">
        <f t="shared" ca="1" si="107"/>
        <v>187280.3903494741</v>
      </c>
      <c r="BL41" s="1097">
        <f t="shared" ca="1" si="107"/>
        <v>192704.24995524966</v>
      </c>
      <c r="BM41" s="1097">
        <f t="shared" ca="1" si="107"/>
        <v>198285.39294981115</v>
      </c>
      <c r="BN41" s="1097">
        <f t="shared" ca="1" si="107"/>
        <v>204028.38586736456</v>
      </c>
      <c r="BO41" s="1097">
        <f t="shared" ca="1" si="107"/>
        <v>209937.9278708981</v>
      </c>
      <c r="BP41" s="1097">
        <f t="shared" ca="1" si="107"/>
        <v>216018.85468450445</v>
      </c>
      <c r="BQ41" s="1097">
        <f t="shared" ca="1" si="107"/>
        <v>222276.14258495052</v>
      </c>
      <c r="BR41" s="1097">
        <f t="shared" ca="1" si="107"/>
        <v>228714.91249577329</v>
      </c>
      <c r="BS41" s="1097">
        <f t="shared" ca="1" si="107"/>
        <v>235340.4341972183</v>
      </c>
      <c r="BT41" s="1097">
        <f t="shared" ca="1" si="107"/>
        <v>242158.13065795449</v>
      </c>
      <c r="BU41" s="1097">
        <f t="shared" ca="1" si="107"/>
        <v>249173.58249274787</v>
      </c>
      <c r="BV41" s="1097">
        <f t="shared" ca="1" si="107"/>
        <v>256392.53254992125</v>
      </c>
      <c r="BW41" s="1097">
        <f t="shared" ca="1" si="107"/>
        <v>263820.89063242212</v>
      </c>
      <c r="BX41" s="1097">
        <f t="shared" ca="1" si="107"/>
        <v>271464.73835640243</v>
      </c>
      <c r="BY41" s="1097">
        <f t="shared" ca="1" si="107"/>
        <v>279330.33415132185</v>
      </c>
      <c r="BZ41" s="1097">
        <f t="shared" ca="1" si="107"/>
        <v>287424.11840570113</v>
      </c>
      <c r="CA41" s="1097">
        <f t="shared" ca="1" si="107"/>
        <v>295752.7187627728</v>
      </c>
      <c r="CB41" s="1097">
        <f t="shared" ca="1" si="107"/>
        <v>304322.95557039842</v>
      </c>
      <c r="CC41" s="1097">
        <f t="shared" ca="1" si="107"/>
        <v>313141.84748975059</v>
      </c>
      <c r="CD41" s="1097">
        <f t="shared" ca="1" si="107"/>
        <v>322216.61726739036</v>
      </c>
      <c r="CE41" s="1097">
        <f t="shared" ca="1" si="107"/>
        <v>331554.69767550169</v>
      </c>
      <c r="CF41" s="1097">
        <f ca="1">CF87</f>
        <v>341163.73762518866</v>
      </c>
      <c r="CG41" s="1097">
        <f ca="1">CG87</f>
        <v>351051.60845788021</v>
      </c>
      <c r="CH41" s="1097">
        <f ca="1">CH87</f>
        <v>361226.41042003687</v>
      </c>
      <c r="CI41" s="1097">
        <f ca="1">CI87</f>
        <v>371696.47932650457</v>
      </c>
      <c r="CJ41" s="1097">
        <f ca="1">CJ87</f>
        <v>382763.54900714807</v>
      </c>
      <c r="CK41" s="1176"/>
      <c r="CL41" s="1176"/>
      <c r="CM41" s="1176"/>
      <c r="CN41" s="1176"/>
      <c r="CO41" s="1176"/>
      <c r="CP41" s="1176"/>
      <c r="CQ41" s="1176"/>
      <c r="CR41" s="1176"/>
      <c r="CS41" s="1176"/>
      <c r="CT41" s="1176"/>
      <c r="CU41" s="1176"/>
      <c r="CV41" s="1176"/>
      <c r="CW41" s="1176"/>
      <c r="CX41" s="1176"/>
      <c r="CY41" s="1176"/>
      <c r="CZ41" s="1176"/>
      <c r="DA41" s="1176"/>
      <c r="DB41" s="1176"/>
      <c r="DC41" s="1176"/>
      <c r="DD41" s="1176"/>
      <c r="DE41" s="1176"/>
      <c r="DF41" s="1176"/>
      <c r="DG41" s="1176"/>
      <c r="DH41" s="1176"/>
      <c r="DI41" s="1176"/>
      <c r="DJ41" s="1176"/>
      <c r="DK41" s="1176"/>
      <c r="DL41" s="1176"/>
      <c r="DM41" s="1176"/>
      <c r="DN41" s="1176"/>
      <c r="DO41" s="1176"/>
      <c r="DP41" s="1176"/>
      <c r="DQ41" s="1176"/>
      <c r="DR41" s="1176"/>
      <c r="DS41" s="1176"/>
      <c r="DT41" s="1176"/>
      <c r="DU41" s="1176"/>
      <c r="DV41" s="1176"/>
      <c r="DW41" s="1176"/>
      <c r="DX41" s="1176"/>
      <c r="DY41" s="1176"/>
      <c r="DZ41" s="1176"/>
      <c r="EA41" s="1176"/>
      <c r="EB41" s="1176"/>
      <c r="EC41" s="1176"/>
      <c r="ED41" s="1176"/>
      <c r="EE41" s="1176"/>
      <c r="EF41" s="1176"/>
      <c r="EG41" s="1176"/>
      <c r="EH41" s="1176"/>
      <c r="EI41" s="1176"/>
      <c r="EJ41" s="1176"/>
      <c r="EK41" s="1176"/>
      <c r="EL41" s="1176"/>
      <c r="EM41" s="1176"/>
      <c r="EN41" s="1176"/>
      <c r="EO41" s="1176"/>
      <c r="EP41" s="1176"/>
      <c r="EQ41" s="1176"/>
      <c r="ER41" s="1176"/>
      <c r="ES41" s="1"/>
      <c r="ET41" s="1"/>
      <c r="EU41" s="1"/>
      <c r="EV41" s="1"/>
      <c r="EW41" s="1"/>
      <c r="EX41" s="1"/>
      <c r="EY41" s="1"/>
      <c r="EZ41" s="1"/>
      <c r="FA41" s="1"/>
      <c r="FB41" s="1"/>
      <c r="FC41" s="1"/>
      <c r="FD41" s="1"/>
      <c r="FE41" s="1"/>
      <c r="FF41" s="1"/>
      <c r="FG41" s="1"/>
      <c r="FH41" s="1"/>
      <c r="FI41" s="1"/>
      <c r="FJ41" s="1"/>
      <c r="FK41" s="1"/>
      <c r="FL41" s="1"/>
      <c r="FM41" s="1"/>
      <c r="FN41" s="1"/>
      <c r="FO41" s="1"/>
      <c r="FP41" s="1"/>
      <c r="FQ41" s="1"/>
      <c r="FR41" s="1"/>
      <c r="FS41" s="1"/>
      <c r="FT41" s="1"/>
      <c r="FU41" s="1"/>
      <c r="FV41" s="1"/>
      <c r="FW41" s="1"/>
      <c r="FX41" s="1"/>
      <c r="FY41" s="1"/>
      <c r="FZ41" s="1"/>
      <c r="GA41" s="1"/>
      <c r="GB41" s="1"/>
      <c r="GC41" s="1"/>
      <c r="GD41" s="1"/>
      <c r="GE41" s="1"/>
      <c r="GF41" s="1"/>
      <c r="GG41" s="1"/>
      <c r="GH41" s="1"/>
      <c r="GI41" s="1"/>
      <c r="GJ41" s="1"/>
      <c r="GK41" s="1"/>
      <c r="GL41" s="1"/>
      <c r="GM41" s="1"/>
      <c r="GN41" s="1"/>
      <c r="GO41" s="1"/>
      <c r="GP41" s="1"/>
      <c r="GQ41" s="1"/>
      <c r="GR41" s="1"/>
      <c r="GS41" s="1"/>
      <c r="GT41" s="1"/>
      <c r="GU41" s="1"/>
      <c r="GV41" s="1"/>
      <c r="GW41" s="1"/>
      <c r="GX41" s="1"/>
      <c r="GY41" s="1"/>
      <c r="GZ41" s="1"/>
      <c r="HA41" s="1"/>
      <c r="HB41" s="1"/>
      <c r="HC41" s="1"/>
      <c r="HD41" s="1"/>
      <c r="HE41" s="1"/>
      <c r="HF41" s="1"/>
      <c r="HG41" s="1"/>
      <c r="HH41" s="1"/>
      <c r="HI41" s="1"/>
      <c r="HJ41" s="1"/>
      <c r="HK41" s="1"/>
      <c r="HL41" s="1"/>
      <c r="HM41" s="1"/>
      <c r="HN41" s="1"/>
      <c r="HO41" s="1"/>
      <c r="HP41" s="1"/>
      <c r="HQ41" s="1"/>
      <c r="HR41" s="1"/>
      <c r="HS41" s="1"/>
      <c r="HT41" s="1"/>
      <c r="HU41" s="1"/>
      <c r="HV41" s="1"/>
      <c r="HW41" s="1"/>
      <c r="HX41" s="1"/>
      <c r="HY41" s="1"/>
      <c r="HZ41" s="1"/>
      <c r="IA41" s="1"/>
      <c r="IB41" s="1"/>
      <c r="IC41" s="1"/>
      <c r="ID41" s="1"/>
      <c r="IE41" s="1"/>
      <c r="IF41" s="1"/>
      <c r="IG41" s="1"/>
      <c r="IH41" s="1"/>
      <c r="II41" s="1"/>
      <c r="IJ41" s="1"/>
      <c r="IK41" s="1"/>
      <c r="IL41" s="1"/>
      <c r="IM41" s="1"/>
      <c r="IN41" s="1"/>
      <c r="IO41" s="1"/>
      <c r="IP41" s="1"/>
      <c r="IQ41" s="1"/>
      <c r="IR41" s="1"/>
      <c r="IS41" s="1"/>
      <c r="IT41" s="1"/>
      <c r="IU41" s="1"/>
      <c r="IV41" s="1"/>
      <c r="IW41" s="1"/>
      <c r="IX41" s="1"/>
      <c r="IY41" s="1"/>
      <c r="IZ41" s="1"/>
      <c r="JA41" s="1"/>
      <c r="JB41" s="1"/>
      <c r="JC41" s="1"/>
      <c r="JD41" s="1"/>
    </row>
    <row r="42" spans="2:264" s="1044" customFormat="1" ht="13.5" thickBot="1" x14ac:dyDescent="0.25">
      <c r="B42" s="1191" t="s">
        <v>1049</v>
      </c>
      <c r="C42" s="1180">
        <f>((AN56/AF56)^(1/5))-1</f>
        <v>0.11153044158589398</v>
      </c>
      <c r="D42" s="1213"/>
      <c r="E42" s="1194"/>
      <c r="F42" s="1146" t="s">
        <v>1015</v>
      </c>
      <c r="G42" s="1082">
        <f ca="1">R140</f>
        <v>105872.2426234998</v>
      </c>
      <c r="H42" s="1147">
        <f ca="1">+G42/$C$8</f>
        <v>63.265386351462709</v>
      </c>
      <c r="I42" s="1214"/>
      <c r="J42" s="1214"/>
      <c r="K42" s="1214"/>
      <c r="L42" s="1214"/>
      <c r="M42" s="1214"/>
      <c r="N42" s="1214"/>
      <c r="O42" s="1214"/>
      <c r="P42" s="1212"/>
      <c r="Q42" s="1047" t="s">
        <v>1050</v>
      </c>
      <c r="X42" s="1124"/>
      <c r="Y42" s="1124">
        <f t="shared" ref="Y42:AH42" si="108">Y39/Y41</f>
        <v>0.61346769251719202</v>
      </c>
      <c r="Z42" s="1124">
        <f t="shared" si="108"/>
        <v>0.65616644385026734</v>
      </c>
      <c r="AA42" s="1124">
        <f t="shared" si="108"/>
        <v>0.64860560863823502</v>
      </c>
      <c r="AB42" s="1124">
        <f t="shared" si="108"/>
        <v>0.69422134835205118</v>
      </c>
      <c r="AC42" s="1124">
        <f t="shared" si="108"/>
        <v>0.69967043762081316</v>
      </c>
      <c r="AD42" s="1124">
        <f t="shared" si="108"/>
        <v>0.69042878792381068</v>
      </c>
      <c r="AE42" s="1185">
        <f t="shared" si="108"/>
        <v>0.69498807368451299</v>
      </c>
      <c r="AF42" s="1124">
        <f t="shared" si="108"/>
        <v>0.7305548218481086</v>
      </c>
      <c r="AG42" s="1124">
        <f t="shared" si="108"/>
        <v>0.74747500412892409</v>
      </c>
      <c r="AH42" s="1124">
        <f t="shared" si="108"/>
        <v>0.78292806832067885</v>
      </c>
      <c r="AI42" s="1124">
        <f>AI39/AI41</f>
        <v>0.79450773440553968</v>
      </c>
      <c r="AJ42" s="1124">
        <f>AJ39/AJ41</f>
        <v>0.789336142732049</v>
      </c>
      <c r="AK42" s="1374">
        <f>AK39/AK41</f>
        <v>0.77392860769777594</v>
      </c>
      <c r="AL42" s="1124">
        <f ca="1">AL39/AL41</f>
        <v>0.80237112200286242</v>
      </c>
      <c r="AM42" s="1124">
        <f t="shared" ref="AM42:AN42" ca="1" si="109">AM39/AM41</f>
        <v>0.80282136632747614</v>
      </c>
      <c r="AN42" s="1124">
        <f t="shared" ca="1" si="109"/>
        <v>0.80482255511988487</v>
      </c>
      <c r="AO42" s="1131">
        <f ca="1">AN42</f>
        <v>0.80482255511988487</v>
      </c>
      <c r="AP42" s="1149">
        <f t="shared" ref="AP42:CE42" ca="1" si="110">AO42</f>
        <v>0.80482255511988487</v>
      </c>
      <c r="AQ42" s="1149">
        <f t="shared" ca="1" si="110"/>
        <v>0.80482255511988487</v>
      </c>
      <c r="AR42" s="1149">
        <f t="shared" ca="1" si="110"/>
        <v>0.80482255511988487</v>
      </c>
      <c r="AS42" s="1149">
        <f t="shared" ca="1" si="110"/>
        <v>0.80482255511988487</v>
      </c>
      <c r="AT42" s="1149">
        <f t="shared" ca="1" si="110"/>
        <v>0.80482255511988487</v>
      </c>
      <c r="AU42" s="1149">
        <f t="shared" ca="1" si="110"/>
        <v>0.80482255511988487</v>
      </c>
      <c r="AV42" s="1150">
        <f t="shared" ca="1" si="110"/>
        <v>0.80482255511988487</v>
      </c>
      <c r="AW42" s="1150">
        <f t="shared" ca="1" si="110"/>
        <v>0.80482255511988487</v>
      </c>
      <c r="AX42" s="1150">
        <f t="shared" ca="1" si="110"/>
        <v>0.80482255511988487</v>
      </c>
      <c r="AY42" s="1150">
        <f t="shared" ca="1" si="110"/>
        <v>0.80482255511988487</v>
      </c>
      <c r="AZ42" s="1150">
        <f t="shared" ca="1" si="110"/>
        <v>0.80482255511988487</v>
      </c>
      <c r="BA42" s="1151">
        <f t="shared" ca="1" si="110"/>
        <v>0.80482255511988487</v>
      </c>
      <c r="BB42" s="1151">
        <f t="shared" ca="1" si="110"/>
        <v>0.80482255511988487</v>
      </c>
      <c r="BC42" s="1151">
        <f t="shared" ca="1" si="110"/>
        <v>0.80482255511988487</v>
      </c>
      <c r="BD42" s="1151">
        <f t="shared" ca="1" si="110"/>
        <v>0.80482255511988487</v>
      </c>
      <c r="BE42" s="1151">
        <f t="shared" ca="1" si="110"/>
        <v>0.80482255511988487</v>
      </c>
      <c r="BF42" s="1151">
        <f t="shared" ca="1" si="110"/>
        <v>0.80482255511988487</v>
      </c>
      <c r="BG42" s="1151">
        <f t="shared" ca="1" si="110"/>
        <v>0.80482255511988487</v>
      </c>
      <c r="BH42" s="1151">
        <f t="shared" ca="1" si="110"/>
        <v>0.80482255511988487</v>
      </c>
      <c r="BI42" s="1151">
        <f t="shared" ca="1" si="110"/>
        <v>0.80482255511988487</v>
      </c>
      <c r="BJ42" s="1151">
        <f t="shared" ca="1" si="110"/>
        <v>0.80482255511988487</v>
      </c>
      <c r="BK42" s="1151">
        <f t="shared" ca="1" si="110"/>
        <v>0.80482255511988487</v>
      </c>
      <c r="BL42" s="1151">
        <f t="shared" ca="1" si="110"/>
        <v>0.80482255511988487</v>
      </c>
      <c r="BM42" s="1151">
        <f t="shared" ca="1" si="110"/>
        <v>0.80482255511988487</v>
      </c>
      <c r="BN42" s="1151">
        <f t="shared" ca="1" si="110"/>
        <v>0.80482255511988487</v>
      </c>
      <c r="BO42" s="1151">
        <f t="shared" ca="1" si="110"/>
        <v>0.80482255511988487</v>
      </c>
      <c r="BP42" s="1151">
        <f t="shared" ca="1" si="110"/>
        <v>0.80482255511988487</v>
      </c>
      <c r="BQ42" s="1151">
        <f t="shared" ca="1" si="110"/>
        <v>0.80482255511988487</v>
      </c>
      <c r="BR42" s="1151">
        <f t="shared" ca="1" si="110"/>
        <v>0.80482255511988487</v>
      </c>
      <c r="BS42" s="1151">
        <f t="shared" ca="1" si="110"/>
        <v>0.80482255511988487</v>
      </c>
      <c r="BT42" s="1151">
        <f t="shared" ca="1" si="110"/>
        <v>0.80482255511988487</v>
      </c>
      <c r="BU42" s="1151">
        <f t="shared" ca="1" si="110"/>
        <v>0.80482255511988487</v>
      </c>
      <c r="BV42" s="1151">
        <f t="shared" ca="1" si="110"/>
        <v>0.80482255511988487</v>
      </c>
      <c r="BW42" s="1151">
        <f t="shared" ca="1" si="110"/>
        <v>0.80482255511988487</v>
      </c>
      <c r="BX42" s="1151">
        <f t="shared" ca="1" si="110"/>
        <v>0.80482255511988487</v>
      </c>
      <c r="BY42" s="1151">
        <f t="shared" ca="1" si="110"/>
        <v>0.80482255511988487</v>
      </c>
      <c r="BZ42" s="1151">
        <f t="shared" ca="1" si="110"/>
        <v>0.80482255511988487</v>
      </c>
      <c r="CA42" s="1151">
        <f t="shared" ca="1" si="110"/>
        <v>0.80482255511988487</v>
      </c>
      <c r="CB42" s="1151">
        <f t="shared" ca="1" si="110"/>
        <v>0.80482255511988487</v>
      </c>
      <c r="CC42" s="1151">
        <f t="shared" ca="1" si="110"/>
        <v>0.80482255511988487</v>
      </c>
      <c r="CD42" s="1151">
        <f t="shared" ca="1" si="110"/>
        <v>0.80482255511988487</v>
      </c>
      <c r="CE42" s="1151">
        <f t="shared" ca="1" si="110"/>
        <v>0.80482255511988487</v>
      </c>
      <c r="CF42" s="1151">
        <f ca="1">CE42</f>
        <v>0.80482255511988487</v>
      </c>
      <c r="CG42" s="1151">
        <f ca="1">CF42</f>
        <v>0.80482255511988487</v>
      </c>
      <c r="CH42" s="1151">
        <f ca="1">CG42</f>
        <v>0.80482255511988487</v>
      </c>
      <c r="CI42" s="1151">
        <f ca="1">CH42</f>
        <v>0.80482255511988487</v>
      </c>
      <c r="CJ42" s="1151">
        <f ca="1">CI42</f>
        <v>0.80482255511988487</v>
      </c>
      <c r="CK42" s="1135"/>
      <c r="CL42" s="1135"/>
      <c r="CM42" s="1135"/>
      <c r="CN42" s="1135"/>
      <c r="CO42" s="1135"/>
      <c r="CP42" s="1135"/>
      <c r="CQ42" s="1135"/>
      <c r="CR42" s="1135"/>
      <c r="CS42" s="1135"/>
      <c r="CT42" s="1135"/>
      <c r="CU42" s="1135"/>
      <c r="CV42" s="1135"/>
      <c r="CW42" s="1135"/>
      <c r="CX42" s="1135"/>
      <c r="CY42" s="1135"/>
      <c r="CZ42" s="1135"/>
      <c r="DA42" s="1135"/>
      <c r="DB42" s="1135"/>
      <c r="DC42" s="1135"/>
      <c r="DD42" s="1135"/>
      <c r="DE42" s="1135"/>
      <c r="DF42" s="1135"/>
      <c r="DG42" s="1135"/>
      <c r="DH42" s="1135"/>
      <c r="DI42" s="1135"/>
      <c r="DJ42" s="1135"/>
      <c r="DK42" s="1135"/>
      <c r="DL42" s="1135"/>
      <c r="DM42" s="1135"/>
      <c r="DN42" s="1135"/>
      <c r="DO42" s="1135"/>
      <c r="DP42" s="1135"/>
      <c r="DQ42" s="1135"/>
      <c r="DR42" s="1135"/>
      <c r="DS42" s="1135"/>
      <c r="DT42" s="1135"/>
      <c r="DU42" s="1135"/>
      <c r="DV42" s="1135"/>
      <c r="DW42" s="1135"/>
      <c r="DX42" s="1135"/>
      <c r="DY42" s="1135"/>
      <c r="DZ42" s="1135"/>
      <c r="EA42" s="1135"/>
      <c r="EB42" s="1135"/>
      <c r="EC42" s="1135"/>
      <c r="ED42" s="1135"/>
      <c r="EE42" s="1135"/>
      <c r="EF42" s="1135"/>
      <c r="EG42" s="1135"/>
      <c r="EH42" s="1135"/>
      <c r="EI42" s="1135"/>
      <c r="EJ42" s="1135"/>
      <c r="EK42" s="1135"/>
      <c r="EL42" s="1135"/>
      <c r="EM42" s="1135"/>
      <c r="EN42" s="1135"/>
      <c r="EO42" s="1135"/>
      <c r="EP42" s="1135"/>
      <c r="EQ42" s="1135"/>
      <c r="ER42" s="1135"/>
      <c r="ES42" s="1"/>
      <c r="ET42" s="1"/>
      <c r="EU42" s="1"/>
      <c r="EV42" s="1"/>
      <c r="EW42" s="1"/>
      <c r="EX42" s="1"/>
      <c r="EY42" s="1"/>
      <c r="EZ42" s="1"/>
      <c r="FA42" s="1"/>
      <c r="FB42" s="1"/>
      <c r="FC42" s="1"/>
      <c r="FD42" s="1"/>
      <c r="FE42" s="1"/>
      <c r="FF42" s="1"/>
      <c r="FG42" s="1"/>
      <c r="FH42" s="1"/>
      <c r="FI42" s="1"/>
      <c r="FJ42" s="1"/>
      <c r="FK42" s="1"/>
      <c r="FL42" s="1"/>
      <c r="FM42" s="1"/>
      <c r="FN42" s="1"/>
      <c r="FO42" s="1"/>
      <c r="FP42" s="1"/>
      <c r="FQ42" s="1"/>
      <c r="FR42" s="1"/>
      <c r="FS42" s="1"/>
      <c r="FT42" s="1"/>
      <c r="FU42" s="1"/>
      <c r="FV42" s="1"/>
      <c r="FW42" s="1"/>
      <c r="FX42" s="1"/>
      <c r="FY42" s="1"/>
      <c r="FZ42" s="1"/>
      <c r="GA42" s="1"/>
      <c r="GB42" s="1"/>
      <c r="GC42" s="1"/>
      <c r="GD42" s="1"/>
      <c r="GE42" s="1"/>
      <c r="GF42" s="1"/>
      <c r="GG42" s="1"/>
      <c r="GH42" s="1"/>
      <c r="GI42" s="1"/>
      <c r="GJ42" s="1"/>
      <c r="GK42" s="1"/>
      <c r="GL42" s="1"/>
      <c r="GM42" s="1"/>
      <c r="GN42" s="1"/>
      <c r="GO42" s="1"/>
      <c r="GP42" s="1"/>
      <c r="GQ42" s="1"/>
      <c r="GR42" s="1"/>
      <c r="GS42" s="1"/>
      <c r="GT42" s="1"/>
      <c r="GU42" s="1"/>
      <c r="GV42" s="1"/>
      <c r="GW42" s="1"/>
      <c r="GX42" s="1"/>
      <c r="GY42" s="1"/>
      <c r="GZ42" s="1"/>
      <c r="HA42" s="1"/>
      <c r="HB42" s="1"/>
      <c r="HC42" s="1"/>
      <c r="HD42" s="1"/>
      <c r="HE42" s="1"/>
      <c r="HF42" s="1"/>
      <c r="HG42" s="1"/>
      <c r="HH42" s="1"/>
      <c r="HI42" s="1"/>
      <c r="HJ42" s="1"/>
      <c r="HK42" s="1"/>
      <c r="HL42" s="1"/>
      <c r="HM42" s="1"/>
      <c r="HN42" s="1"/>
      <c r="HO42" s="1"/>
      <c r="HP42" s="1"/>
      <c r="HQ42" s="1"/>
      <c r="HR42" s="1"/>
      <c r="HS42" s="1"/>
      <c r="HT42" s="1"/>
      <c r="HU42" s="1"/>
      <c r="HV42" s="1"/>
      <c r="HW42" s="1"/>
      <c r="HX42" s="1"/>
      <c r="HY42" s="1"/>
      <c r="HZ42" s="1"/>
      <c r="IA42" s="1"/>
      <c r="IB42" s="1"/>
      <c r="IC42" s="1"/>
      <c r="ID42" s="1"/>
      <c r="IE42" s="1"/>
      <c r="IF42" s="1"/>
      <c r="IG42" s="1"/>
      <c r="IH42" s="1"/>
      <c r="II42" s="1"/>
      <c r="IJ42" s="1"/>
      <c r="IK42" s="1"/>
      <c r="IL42" s="1"/>
      <c r="IM42" s="1"/>
      <c r="IN42" s="1"/>
      <c r="IO42" s="1"/>
      <c r="IP42" s="1"/>
      <c r="IQ42" s="1"/>
      <c r="IR42" s="1"/>
      <c r="IS42" s="1"/>
      <c r="IT42" s="1"/>
      <c r="IU42" s="1"/>
      <c r="IV42" s="1"/>
      <c r="IW42" s="1"/>
      <c r="IX42" s="1"/>
      <c r="IY42" s="1"/>
      <c r="IZ42" s="1"/>
      <c r="JA42" s="1"/>
      <c r="JB42" s="1"/>
      <c r="JC42" s="1"/>
      <c r="JD42" s="1"/>
    </row>
    <row r="43" spans="2:264" s="1044" customFormat="1" x14ac:dyDescent="0.2">
      <c r="B43" s="1067"/>
      <c r="C43" s="1100"/>
      <c r="D43" s="1215"/>
      <c r="E43" s="1194"/>
      <c r="F43" s="1164" t="s">
        <v>995</v>
      </c>
      <c r="G43" s="1103">
        <f ca="1">+G42+G39</f>
        <v>178047.54593749731</v>
      </c>
      <c r="H43" s="1123">
        <f ca="1">+G43/$C$8</f>
        <v>106.39471218837974</v>
      </c>
      <c r="I43" s="1216"/>
      <c r="J43" s="1216"/>
      <c r="K43" s="1216"/>
      <c r="L43" s="1216"/>
      <c r="M43" s="1216"/>
      <c r="N43" s="1216"/>
      <c r="O43" s="1216"/>
      <c r="P43" s="1212"/>
      <c r="Q43" s="1047"/>
      <c r="X43" s="1086"/>
      <c r="Y43" s="1086"/>
      <c r="Z43" s="1086"/>
      <c r="AA43" s="1086"/>
      <c r="AB43" s="1086"/>
      <c r="AC43" s="1086"/>
      <c r="AD43" s="1086"/>
      <c r="AE43" s="1087"/>
      <c r="AF43" s="1086"/>
      <c r="AG43" s="1086"/>
      <c r="AH43" s="1086"/>
      <c r="AI43" s="1086"/>
      <c r="AJ43" s="1086"/>
      <c r="AK43" s="1366"/>
      <c r="AL43" s="1086"/>
      <c r="AM43" s="1086"/>
      <c r="AN43" s="1086"/>
      <c r="AO43" s="1086"/>
      <c r="AP43" s="1086"/>
      <c r="AQ43" s="1086"/>
      <c r="AR43" s="1086"/>
      <c r="AS43" s="1086"/>
      <c r="AT43" s="1086"/>
      <c r="AU43" s="1086"/>
      <c r="AV43" s="1086"/>
      <c r="AW43" s="1086"/>
      <c r="AX43" s="1086"/>
      <c r="AY43" s="1086"/>
      <c r="AZ43" s="1086"/>
      <c r="BA43" s="1086"/>
      <c r="BB43" s="1086"/>
      <c r="BC43" s="1086"/>
      <c r="BD43" s="1086"/>
      <c r="BE43" s="1086"/>
      <c r="BF43" s="1086"/>
      <c r="BG43" s="1086"/>
      <c r="BH43" s="1086"/>
      <c r="BI43" s="1086"/>
      <c r="BJ43" s="1086"/>
      <c r="BK43" s="1086"/>
      <c r="BL43" s="1086"/>
      <c r="BM43" s="1086"/>
      <c r="BN43" s="1086"/>
      <c r="BO43" s="1086"/>
      <c r="BP43" s="1086"/>
      <c r="BQ43" s="1086"/>
      <c r="BR43" s="1086"/>
      <c r="BS43" s="1086"/>
      <c r="BT43" s="1086"/>
      <c r="BU43" s="1086"/>
      <c r="BV43" s="1086"/>
      <c r="BW43" s="1086"/>
      <c r="BX43" s="1086"/>
      <c r="BY43" s="1086"/>
      <c r="BZ43" s="1086"/>
      <c r="CA43" s="1086"/>
      <c r="CB43" s="1086"/>
      <c r="CC43" s="1086"/>
      <c r="CD43" s="1086"/>
      <c r="CE43" s="1086"/>
      <c r="CF43" s="1086"/>
      <c r="CG43" s="1086"/>
      <c r="CH43" s="1086"/>
      <c r="CI43" s="1086"/>
      <c r="CJ43" s="1086"/>
      <c r="CK43" s="1217"/>
      <c r="CL43" s="1217"/>
      <c r="CM43" s="1217"/>
      <c r="CN43" s="1217"/>
      <c r="CO43" s="1217"/>
      <c r="CP43" s="1217"/>
      <c r="CQ43" s="1217"/>
      <c r="CR43" s="1217"/>
      <c r="CS43" s="1217"/>
      <c r="CT43" s="1217"/>
      <c r="CU43" s="1217"/>
      <c r="CV43" s="1217"/>
      <c r="CW43" s="1217"/>
      <c r="CX43" s="1217"/>
      <c r="CY43" s="1217"/>
      <c r="CZ43" s="1217"/>
      <c r="DA43" s="1217"/>
      <c r="DB43" s="1217"/>
      <c r="DC43" s="1217"/>
      <c r="DD43" s="1217"/>
      <c r="DE43" s="1217"/>
      <c r="DF43" s="1217"/>
      <c r="DG43" s="1217"/>
      <c r="DH43" s="1217"/>
      <c r="DI43" s="1217"/>
      <c r="DJ43" s="1217"/>
      <c r="DK43" s="1217"/>
      <c r="DL43" s="1217"/>
      <c r="DM43" s="1217"/>
      <c r="DN43" s="1217"/>
      <c r="DO43" s="1217"/>
      <c r="DP43" s="1217"/>
      <c r="DQ43" s="1217"/>
      <c r="DR43" s="1217"/>
      <c r="DS43" s="1217"/>
      <c r="DT43" s="1217"/>
      <c r="DU43" s="1217"/>
      <c r="DV43" s="1217"/>
      <c r="DW43" s="1217"/>
      <c r="DX43" s="1217"/>
      <c r="DY43" s="1217"/>
      <c r="DZ43" s="1217"/>
      <c r="EA43" s="1217"/>
      <c r="EB43" s="1217"/>
      <c r="EC43" s="1217"/>
      <c r="ED43" s="1217"/>
      <c r="EE43" s="1217"/>
      <c r="EF43" s="1217"/>
      <c r="EG43" s="1217"/>
      <c r="EH43" s="1217"/>
      <c r="EI43" s="1217"/>
      <c r="EJ43" s="1217"/>
      <c r="EK43" s="1217"/>
      <c r="EL43" s="1217"/>
      <c r="EM43" s="1217"/>
      <c r="EN43" s="1217"/>
      <c r="EO43" s="1217"/>
      <c r="EP43" s="1217"/>
      <c r="EQ43" s="1217"/>
      <c r="ER43" s="1217"/>
      <c r="ES43" s="1"/>
      <c r="ET43" s="1"/>
      <c r="EU43" s="1"/>
      <c r="EV43" s="1"/>
      <c r="EW43" s="1"/>
      <c r="EX43" s="1"/>
      <c r="EY43" s="1"/>
      <c r="EZ43" s="1"/>
      <c r="FA43" s="1"/>
      <c r="FB43" s="1"/>
      <c r="FC43" s="1"/>
      <c r="FD43" s="1"/>
      <c r="FE43" s="1"/>
      <c r="FF43" s="1"/>
      <c r="FG43" s="1"/>
      <c r="FH43" s="1"/>
      <c r="FI43" s="1"/>
      <c r="FJ43" s="1"/>
      <c r="FK43" s="1"/>
      <c r="FL43" s="1"/>
      <c r="FM43" s="1"/>
      <c r="FN43" s="1"/>
      <c r="FO43" s="1"/>
      <c r="FP43" s="1"/>
      <c r="FQ43" s="1"/>
      <c r="FR43" s="1"/>
      <c r="FS43" s="1"/>
      <c r="FT43" s="1"/>
      <c r="FU43" s="1"/>
      <c r="FV43" s="1"/>
      <c r="FW43" s="1"/>
      <c r="FX43" s="1"/>
      <c r="FY43" s="1"/>
      <c r="FZ43" s="1"/>
      <c r="GA43" s="1"/>
      <c r="GB43" s="1"/>
      <c r="GC43" s="1"/>
      <c r="GD43" s="1"/>
      <c r="GE43" s="1"/>
      <c r="GF43" s="1"/>
      <c r="GG43" s="1"/>
      <c r="GH43" s="1"/>
      <c r="GI43" s="1"/>
      <c r="GJ43" s="1"/>
      <c r="GK43" s="1"/>
      <c r="GL43" s="1"/>
      <c r="GM43" s="1"/>
      <c r="GN43" s="1"/>
      <c r="GO43" s="1"/>
      <c r="GP43" s="1"/>
      <c r="GQ43" s="1"/>
      <c r="GR43" s="1"/>
      <c r="GS43" s="1"/>
      <c r="GT43" s="1"/>
      <c r="GU43" s="1"/>
      <c r="GV43" s="1"/>
      <c r="GW43" s="1"/>
      <c r="GX43" s="1"/>
      <c r="GY43" s="1"/>
      <c r="GZ43" s="1"/>
      <c r="HA43" s="1"/>
      <c r="HB43" s="1"/>
      <c r="HC43" s="1"/>
      <c r="HD43" s="1"/>
      <c r="HE43" s="1"/>
      <c r="HF43" s="1"/>
      <c r="HG43" s="1"/>
      <c r="HH43" s="1"/>
      <c r="HI43" s="1"/>
      <c r="HJ43" s="1"/>
      <c r="HK43" s="1"/>
      <c r="HL43" s="1"/>
      <c r="HM43" s="1"/>
      <c r="HN43" s="1"/>
      <c r="HO43" s="1"/>
      <c r="HP43" s="1"/>
      <c r="HQ43" s="1"/>
      <c r="HR43" s="1"/>
      <c r="HS43" s="1"/>
      <c r="HT43" s="1"/>
      <c r="HU43" s="1"/>
      <c r="HV43" s="1"/>
      <c r="HW43" s="1"/>
      <c r="HX43" s="1"/>
      <c r="HY43" s="1"/>
      <c r="HZ43" s="1"/>
      <c r="IA43" s="1"/>
      <c r="IB43" s="1"/>
      <c r="IC43" s="1"/>
      <c r="ID43" s="1"/>
      <c r="IE43" s="1"/>
      <c r="IF43" s="1"/>
      <c r="IG43" s="1"/>
      <c r="IH43" s="1"/>
      <c r="II43" s="1"/>
      <c r="IJ43" s="1"/>
      <c r="IK43" s="1"/>
      <c r="IL43" s="1"/>
      <c r="IM43" s="1"/>
      <c r="IN43" s="1"/>
      <c r="IO43" s="1"/>
      <c r="IP43" s="1"/>
      <c r="IQ43" s="1"/>
      <c r="IR43" s="1"/>
      <c r="IS43" s="1"/>
      <c r="IT43" s="1"/>
      <c r="IU43" s="1"/>
      <c r="IV43" s="1"/>
      <c r="IW43" s="1"/>
      <c r="IX43" s="1"/>
      <c r="IY43" s="1"/>
      <c r="IZ43" s="1"/>
      <c r="JA43" s="1"/>
      <c r="JB43" s="1"/>
      <c r="JC43" s="1"/>
      <c r="JD43" s="1"/>
    </row>
    <row r="44" spans="2:264" s="1044" customFormat="1" x14ac:dyDescent="0.2">
      <c r="B44" s="1067" t="s">
        <v>1052</v>
      </c>
      <c r="C44" s="1100"/>
      <c r="D44" s="1213"/>
      <c r="E44" s="1194"/>
      <c r="F44" s="1177" t="s">
        <v>1036</v>
      </c>
      <c r="G44" s="1082">
        <f ca="1">R149</f>
        <v>21652.590994199254</v>
      </c>
      <c r="H44" s="1147">
        <f ca="1">+G44/$C$8</f>
        <v>12.938797751075112</v>
      </c>
      <c r="I44" s="1218"/>
      <c r="J44" s="1218"/>
      <c r="K44" s="1216"/>
      <c r="L44" s="1216"/>
      <c r="M44" s="1216"/>
      <c r="N44" s="1216"/>
      <c r="O44" s="1216"/>
      <c r="P44" s="1212"/>
      <c r="Q44" s="1044" t="s">
        <v>426</v>
      </c>
      <c r="X44" s="1086"/>
      <c r="Y44" s="1086">
        <f>MODEL!BJ1407</f>
        <v>728140</v>
      </c>
      <c r="Z44" s="1086">
        <f>MODEL!BN1407</f>
        <v>780644</v>
      </c>
      <c r="AA44" s="1086">
        <f>MODEL!BR1407</f>
        <v>843510</v>
      </c>
      <c r="AB44" s="1086">
        <f>MODEL!BV1407</f>
        <v>916359.5</v>
      </c>
      <c r="AC44" s="1086">
        <f>MODEL!BZ1407</f>
        <v>972333</v>
      </c>
      <c r="AD44" s="1086">
        <f>MODEL!CD1407</f>
        <v>976287</v>
      </c>
      <c r="AE44" s="1087">
        <f>MODEL!CH1407</f>
        <v>975546</v>
      </c>
      <c r="AF44" s="1088">
        <f>MODEL!CL1407</f>
        <v>999777</v>
      </c>
      <c r="AG44" s="1088">
        <f>MODEL!CP1407</f>
        <v>1040329</v>
      </c>
      <c r="AH44" s="1088">
        <f>MODEL!CT1407</f>
        <v>1148779</v>
      </c>
      <c r="AI44" s="1088">
        <f>MODEL!CX1407</f>
        <v>1233702</v>
      </c>
      <c r="AJ44" s="1088">
        <f>MODEL!DB1407</f>
        <v>1266740</v>
      </c>
      <c r="AK44" s="1365">
        <f>MODEL!DF1407</f>
        <v>1291976</v>
      </c>
      <c r="AL44" s="1088">
        <f ca="1">MODEL!DJ1407</f>
        <v>1400033.1986700478</v>
      </c>
      <c r="AM44" s="1088">
        <f ca="1">MODEL!$DN1407</f>
        <v>1493949.6602247811</v>
      </c>
      <c r="AN44" s="1088">
        <f ca="1">MODEL!$DR1407</f>
        <v>1576208.9063047427</v>
      </c>
      <c r="AO44" s="1086">
        <f t="shared" ref="AO44:CJ44" ca="1" si="111">AVERAGE(AN15:AO15)</f>
        <v>1655449.335517982</v>
      </c>
      <c r="AP44" s="1086">
        <f t="shared" ca="1" si="111"/>
        <v>1721433.5276552611</v>
      </c>
      <c r="AQ44" s="1086">
        <f t="shared" ca="1" si="111"/>
        <v>1790067.6481764112</v>
      </c>
      <c r="AR44" s="1086">
        <f ca="1">AVERAGE(AQ15:AR15)</f>
        <v>1861458.9072781787</v>
      </c>
      <c r="AS44" s="1086">
        <f ca="1">AVERAGE(AR15:AS15)</f>
        <v>1935718.8839769918</v>
      </c>
      <c r="AT44" s="1086">
        <f t="shared" ref="AT44:AU44" ca="1" si="112">AVERAGE(AS15:AT15)</f>
        <v>2012963.7053841199</v>
      </c>
      <c r="AU44" s="1086">
        <f t="shared" ca="1" si="112"/>
        <v>2093314.2333869825</v>
      </c>
      <c r="AV44" s="1086">
        <f ca="1">AVERAGE(AU15:AV15)</f>
        <v>2166295.5536533827</v>
      </c>
      <c r="AW44" s="1086">
        <f t="shared" ca="1" si="111"/>
        <v>2231284.420262984</v>
      </c>
      <c r="AX44" s="1086">
        <f t="shared" ca="1" si="111"/>
        <v>2298222.9528708737</v>
      </c>
      <c r="AY44" s="1086">
        <f t="shared" ca="1" si="111"/>
        <v>2367169.6414569998</v>
      </c>
      <c r="AZ44" s="1086">
        <f t="shared" ca="1" si="111"/>
        <v>2438184.7307007099</v>
      </c>
      <c r="BA44" s="1086">
        <f t="shared" ca="1" si="111"/>
        <v>2511330.2726217313</v>
      </c>
      <c r="BB44" s="1086">
        <f t="shared" ca="1" si="111"/>
        <v>2586670.1808003834</v>
      </c>
      <c r="BC44" s="1086">
        <f t="shared" ca="1" si="111"/>
        <v>2664270.286224395</v>
      </c>
      <c r="BD44" s="1086">
        <f t="shared" ca="1" si="111"/>
        <v>2744198.3948111273</v>
      </c>
      <c r="BE44" s="1086">
        <f t="shared" ca="1" si="111"/>
        <v>2826524.346655461</v>
      </c>
      <c r="BF44" s="1086">
        <f t="shared" ca="1" si="111"/>
        <v>2911320.0770551246</v>
      </c>
      <c r="BG44" s="1086">
        <f t="shared" ca="1" si="111"/>
        <v>2998659.6793667786</v>
      </c>
      <c r="BH44" s="1086">
        <f t="shared" ca="1" si="111"/>
        <v>3088619.4697477822</v>
      </c>
      <c r="BI44" s="1086">
        <f t="shared" ca="1" si="111"/>
        <v>3181278.0538402158</v>
      </c>
      <c r="BJ44" s="1086">
        <f t="shared" ca="1" si="111"/>
        <v>3276716.3954554223</v>
      </c>
      <c r="BK44" s="1086">
        <f t="shared" ca="1" si="111"/>
        <v>3375017.8873190852</v>
      </c>
      <c r="BL44" s="1086">
        <f t="shared" ca="1" si="111"/>
        <v>3476268.4239386576</v>
      </c>
      <c r="BM44" s="1086">
        <f t="shared" ca="1" si="111"/>
        <v>3580556.4766568174</v>
      </c>
      <c r="BN44" s="1086">
        <f t="shared" ca="1" si="111"/>
        <v>3687973.1709565222</v>
      </c>
      <c r="BO44" s="1086">
        <f t="shared" ca="1" si="111"/>
        <v>3798612.3660852183</v>
      </c>
      <c r="BP44" s="1086">
        <f t="shared" ca="1" si="111"/>
        <v>3912570.7370677749</v>
      </c>
      <c r="BQ44" s="1086">
        <f t="shared" ca="1" si="111"/>
        <v>4029947.8591798078</v>
      </c>
      <c r="BR44" s="1086">
        <f t="shared" ca="1" si="111"/>
        <v>4150846.2949552024</v>
      </c>
      <c r="BS44" s="1086">
        <f t="shared" ca="1" si="111"/>
        <v>4275371.6838038582</v>
      </c>
      <c r="BT44" s="1086">
        <f t="shared" ca="1" si="111"/>
        <v>4403632.8343179747</v>
      </c>
      <c r="BU44" s="1086">
        <f t="shared" ca="1" si="111"/>
        <v>4535741.8193475138</v>
      </c>
      <c r="BV44" s="1086">
        <f t="shared" ca="1" si="111"/>
        <v>4671814.0739279389</v>
      </c>
      <c r="BW44" s="1086">
        <f t="shared" ca="1" si="111"/>
        <v>4811968.4961457774</v>
      </c>
      <c r="BX44" s="1086">
        <f t="shared" ca="1" si="111"/>
        <v>4956327.5510301506</v>
      </c>
      <c r="BY44" s="1086">
        <f t="shared" ca="1" si="111"/>
        <v>5105017.3775610551</v>
      </c>
      <c r="BZ44" s="1086">
        <f t="shared" ca="1" si="111"/>
        <v>5258167.8988878876</v>
      </c>
      <c r="CA44" s="1086">
        <f t="shared" ca="1" si="111"/>
        <v>5415912.9358545244</v>
      </c>
      <c r="CB44" s="1086">
        <f t="shared" ca="1" si="111"/>
        <v>5578390.3239301611</v>
      </c>
      <c r="CC44" s="1086">
        <f t="shared" ca="1" si="111"/>
        <v>5745742.0336480644</v>
      </c>
      <c r="CD44" s="1086">
        <f t="shared" ca="1" si="111"/>
        <v>5918114.294657507</v>
      </c>
      <c r="CE44" s="1086">
        <f t="shared" ca="1" si="111"/>
        <v>6095657.7234972324</v>
      </c>
      <c r="CF44" s="1086">
        <f t="shared" ca="1" si="111"/>
        <v>6278527.4552021502</v>
      </c>
      <c r="CG44" s="1086">
        <f t="shared" ca="1" si="111"/>
        <v>6466883.2788582146</v>
      </c>
      <c r="CH44" s="1086">
        <f t="shared" ca="1" si="111"/>
        <v>6660889.7772239605</v>
      </c>
      <c r="CI44" s="1086">
        <f t="shared" ca="1" si="111"/>
        <v>6860716.47054068</v>
      </c>
      <c r="CJ44" s="1086">
        <f t="shared" ca="1" si="111"/>
        <v>7066537.9646569006</v>
      </c>
      <c r="CK44" s="1135"/>
      <c r="CL44" s="1135"/>
      <c r="CM44" s="1135"/>
      <c r="CN44" s="1135"/>
      <c r="CO44" s="1135"/>
      <c r="CP44" s="1135"/>
      <c r="CQ44" s="1135"/>
      <c r="CR44" s="1135"/>
      <c r="CS44" s="1135"/>
      <c r="CT44" s="1135"/>
      <c r="CU44" s="1135"/>
      <c r="CV44" s="1135"/>
      <c r="CW44" s="1135"/>
      <c r="CX44" s="1135"/>
      <c r="CY44" s="1135"/>
      <c r="CZ44" s="1135"/>
      <c r="DA44" s="1135"/>
      <c r="DB44" s="1135"/>
      <c r="DC44" s="1135"/>
      <c r="DD44" s="1135"/>
      <c r="DE44" s="1135"/>
      <c r="DF44" s="1135"/>
      <c r="DG44" s="1135"/>
      <c r="DH44" s="1135"/>
      <c r="DI44" s="1135"/>
      <c r="DJ44" s="1135"/>
      <c r="DK44" s="1135"/>
      <c r="DL44" s="1135"/>
      <c r="DM44" s="1135"/>
      <c r="DN44" s="1135"/>
      <c r="DO44" s="1135"/>
      <c r="DP44" s="1135"/>
      <c r="DQ44" s="1135"/>
      <c r="DR44" s="1135"/>
      <c r="DS44" s="1135"/>
      <c r="DT44" s="1135"/>
      <c r="DU44" s="1135"/>
      <c r="DV44" s="1135"/>
      <c r="DW44" s="1135"/>
      <c r="DX44" s="1135"/>
      <c r="DY44" s="1135"/>
      <c r="DZ44" s="1135"/>
      <c r="EA44" s="1135"/>
      <c r="EB44" s="1135"/>
      <c r="EC44" s="1135"/>
      <c r="ED44" s="1135"/>
      <c r="EE44" s="1135"/>
      <c r="EF44" s="1135"/>
      <c r="EG44" s="1135"/>
      <c r="EH44" s="1135"/>
      <c r="EI44" s="1135"/>
      <c r="EJ44" s="1135"/>
      <c r="EK44" s="1135"/>
      <c r="EL44" s="1135"/>
      <c r="EM44" s="1135"/>
      <c r="EN44" s="1135"/>
      <c r="EO44" s="1135"/>
      <c r="EP44" s="1135"/>
      <c r="EQ44" s="1135"/>
      <c r="ER44" s="1135"/>
      <c r="ES44" s="1"/>
      <c r="ET44" s="1"/>
      <c r="EU44" s="1"/>
      <c r="EV44" s="1"/>
      <c r="EW44" s="1"/>
      <c r="EX44" s="1"/>
      <c r="EY44" s="1"/>
      <c r="EZ44" s="1"/>
      <c r="FA44" s="1"/>
      <c r="FB44" s="1"/>
      <c r="FC44" s="1"/>
      <c r="FD44" s="1"/>
      <c r="FE44" s="1"/>
      <c r="FF44" s="1"/>
      <c r="FG44" s="1"/>
      <c r="FH44" s="1"/>
      <c r="FI44" s="1"/>
      <c r="FJ44" s="1"/>
      <c r="FK44" s="1"/>
      <c r="FL44" s="1"/>
      <c r="FM44" s="1"/>
      <c r="FN44" s="1"/>
      <c r="FO44" s="1"/>
      <c r="FP44" s="1"/>
      <c r="FQ44" s="1"/>
      <c r="FR44" s="1"/>
      <c r="FS44" s="1"/>
      <c r="FT44" s="1"/>
      <c r="FU44" s="1"/>
      <c r="FV44" s="1"/>
      <c r="FW44" s="1"/>
      <c r="FX44" s="1"/>
      <c r="FY44" s="1"/>
      <c r="FZ44" s="1"/>
      <c r="GA44" s="1"/>
      <c r="GB44" s="1"/>
      <c r="GC44" s="1"/>
      <c r="GD44" s="1"/>
      <c r="GE44" s="1"/>
      <c r="GF44" s="1"/>
      <c r="GG44" s="1"/>
      <c r="GH44" s="1"/>
      <c r="GI44" s="1"/>
      <c r="GJ44" s="1"/>
      <c r="GK44" s="1"/>
      <c r="GL44" s="1"/>
      <c r="GM44" s="1"/>
      <c r="GN44" s="1"/>
      <c r="GO44" s="1"/>
      <c r="GP44" s="1"/>
      <c r="GQ44" s="1"/>
      <c r="GR44" s="1"/>
      <c r="GS44" s="1"/>
      <c r="GT44" s="1"/>
      <c r="GU44" s="1"/>
      <c r="GV44" s="1"/>
      <c r="GW44" s="1"/>
      <c r="GX44" s="1"/>
      <c r="GY44" s="1"/>
      <c r="GZ44" s="1"/>
      <c r="HA44" s="1"/>
      <c r="HB44" s="1"/>
      <c r="HC44" s="1"/>
      <c r="HD44" s="1"/>
      <c r="HE44" s="1"/>
      <c r="HF44" s="1"/>
      <c r="HG44" s="1"/>
      <c r="HH44" s="1"/>
      <c r="HI44" s="1"/>
      <c r="HJ44" s="1"/>
      <c r="HK44" s="1"/>
      <c r="HL44" s="1"/>
      <c r="HM44" s="1"/>
      <c r="HN44" s="1"/>
      <c r="HO44" s="1"/>
      <c r="HP44" s="1"/>
      <c r="HQ44" s="1"/>
      <c r="HR44" s="1"/>
      <c r="HS44" s="1"/>
      <c r="HT44" s="1"/>
      <c r="HU44" s="1"/>
      <c r="HV44" s="1"/>
      <c r="HW44" s="1"/>
      <c r="HX44" s="1"/>
      <c r="HY44" s="1"/>
      <c r="HZ44" s="1"/>
      <c r="IA44" s="1"/>
      <c r="IB44" s="1"/>
      <c r="IC44" s="1"/>
      <c r="ID44" s="1"/>
      <c r="IE44" s="1"/>
      <c r="IF44" s="1"/>
      <c r="IG44" s="1"/>
      <c r="IH44" s="1"/>
      <c r="II44" s="1"/>
      <c r="IJ44" s="1"/>
      <c r="IK44" s="1"/>
      <c r="IL44" s="1"/>
      <c r="IM44" s="1"/>
      <c r="IN44" s="1"/>
      <c r="IO44" s="1"/>
      <c r="IP44" s="1"/>
      <c r="IQ44" s="1"/>
      <c r="IR44" s="1"/>
      <c r="IS44" s="1"/>
      <c r="IT44" s="1"/>
      <c r="IU44" s="1"/>
      <c r="IV44" s="1"/>
      <c r="IW44" s="1"/>
      <c r="IX44" s="1"/>
      <c r="IY44" s="1"/>
      <c r="IZ44" s="1"/>
      <c r="JA44" s="1"/>
      <c r="JB44" s="1"/>
      <c r="JC44" s="1"/>
      <c r="JD44" s="1"/>
    </row>
    <row r="45" spans="2:264" s="1044" customFormat="1" ht="13.5" thickBot="1" x14ac:dyDescent="0.25">
      <c r="B45" s="1079" t="s">
        <v>1037</v>
      </c>
      <c r="C45" s="1190">
        <v>5</v>
      </c>
      <c r="D45" s="1219"/>
      <c r="E45" s="1194"/>
      <c r="F45" s="1159" t="s">
        <v>1017</v>
      </c>
      <c r="G45" s="1160">
        <f ca="1">+G44+G43</f>
        <v>199700.13693169656</v>
      </c>
      <c r="H45" s="1161">
        <f ca="1">+G45/$C$8</f>
        <v>119.33350993945486</v>
      </c>
      <c r="I45" s="1090"/>
      <c r="J45" s="1090"/>
      <c r="K45" s="1090"/>
      <c r="L45" s="1090"/>
      <c r="M45" s="1090"/>
      <c r="N45" s="1090"/>
      <c r="O45" s="1090"/>
      <c r="P45" s="1046"/>
      <c r="Q45" s="1044" t="s">
        <v>907</v>
      </c>
      <c r="X45" s="1086"/>
      <c r="Y45" s="1086">
        <f>MODEL!BJ503</f>
        <v>41990</v>
      </c>
      <c r="Z45" s="1086">
        <f>MODEL!BN503</f>
        <v>45831</v>
      </c>
      <c r="AA45" s="1086">
        <f>MODEL!BR503</f>
        <v>49626</v>
      </c>
      <c r="AB45" s="1086">
        <f>MODEL!BV503</f>
        <v>56505.5</v>
      </c>
      <c r="AC45" s="1086">
        <f>MODEL!BZ503</f>
        <v>61426.5</v>
      </c>
      <c r="AD45" s="1086">
        <f>MODEL!CD503</f>
        <v>65318</v>
      </c>
      <c r="AE45" s="1087">
        <f>MODEL!CH503</f>
        <v>67989</v>
      </c>
      <c r="AF45" s="1088">
        <f>MODEL!CL503</f>
        <v>69402</v>
      </c>
      <c r="AG45" s="1088">
        <f>MODEL!CP503</f>
        <v>75187</v>
      </c>
      <c r="AH45" s="1088">
        <f>MODEL!CT503</f>
        <v>75391</v>
      </c>
      <c r="AI45" s="1088">
        <f>MODEL!CX503</f>
        <v>72208</v>
      </c>
      <c r="AJ45" s="1088">
        <f>MODEL!DB503</f>
        <v>72517</v>
      </c>
      <c r="AK45" s="1365">
        <f>MODEL!DF503</f>
        <v>75710</v>
      </c>
      <c r="AL45" s="1088">
        <f ca="1">MODEL!DJ503</f>
        <v>78048.831746920478</v>
      </c>
      <c r="AM45" s="1088">
        <f ca="1">MODEL!$DN503</f>
        <v>80265.001206463901</v>
      </c>
      <c r="AN45" s="1088">
        <f ca="1">MODEL!$DR503</f>
        <v>82974.347095373552</v>
      </c>
      <c r="AO45" s="1086">
        <f t="shared" ref="AO45:CJ45" ca="1" si="113">AVERAGE(AN41:AO41)</f>
        <v>86590.884995282919</v>
      </c>
      <c r="AP45" s="1086">
        <f t="shared" ca="1" si="113"/>
        <v>90875.336472905532</v>
      </c>
      <c r="AQ45" s="1086">
        <f t="shared" ca="1" si="113"/>
        <v>95001.534870694348</v>
      </c>
      <c r="AR45" s="1086">
        <f ca="1">AVERAGE(AQ41:AR41)</f>
        <v>99060.665020483109</v>
      </c>
      <c r="AS45" s="1086">
        <f ca="1">AVERAGE(AR41:AS41)</f>
        <v>103007.52620273607</v>
      </c>
      <c r="AT45" s="1086">
        <f t="shared" ref="AT45:AU45" ca="1" si="114">AVERAGE(AS41:AT41)</f>
        <v>107064.80941609101</v>
      </c>
      <c r="AU45" s="1086">
        <f t="shared" ca="1" si="114"/>
        <v>111776.29484022374</v>
      </c>
      <c r="AV45" s="1086">
        <f ca="1">AVERAGE(AU41:AV41)</f>
        <v>117093.3177231419</v>
      </c>
      <c r="AW45" s="1086">
        <f t="shared" ca="1" si="113"/>
        <v>121922.54575445005</v>
      </c>
      <c r="AX45" s="1086">
        <f t="shared" ca="1" si="113"/>
        <v>125909.17793687078</v>
      </c>
      <c r="AY45" s="1086">
        <f t="shared" ca="1" si="113"/>
        <v>129768.65441603735</v>
      </c>
      <c r="AZ45" s="1086">
        <f t="shared" ca="1" si="113"/>
        <v>133682.25488528315</v>
      </c>
      <c r="BA45" s="1086">
        <f t="shared" ca="1" si="113"/>
        <v>138071.47220750159</v>
      </c>
      <c r="BB45" s="1086">
        <f t="shared" ca="1" si="113"/>
        <v>142628.54221037938</v>
      </c>
      <c r="BC45" s="1086">
        <f t="shared" ca="1" si="113"/>
        <v>146900.8453227671</v>
      </c>
      <c r="BD45" s="1086">
        <f t="shared" ca="1" si="113"/>
        <v>151190.3790259852</v>
      </c>
      <c r="BE45" s="1086">
        <f t="shared" ca="1" si="113"/>
        <v>155577.08162031707</v>
      </c>
      <c r="BF45" s="1086">
        <f t="shared" ca="1" si="113"/>
        <v>160084.04956994284</v>
      </c>
      <c r="BG45" s="1086">
        <f t="shared" ca="1" si="113"/>
        <v>164719.93301815994</v>
      </c>
      <c r="BH45" s="1086">
        <f t="shared" ca="1" si="113"/>
        <v>169489.78271526378</v>
      </c>
      <c r="BI45" s="1086">
        <f t="shared" ca="1" si="113"/>
        <v>174397.81836295716</v>
      </c>
      <c r="BJ45" s="1086">
        <f t="shared" ca="1" si="113"/>
        <v>179448.13476640824</v>
      </c>
      <c r="BK45" s="1086">
        <f t="shared" ca="1" si="113"/>
        <v>184644.88326992519</v>
      </c>
      <c r="BL45" s="1086">
        <f t="shared" ca="1" si="113"/>
        <v>189992.32015236188</v>
      </c>
      <c r="BM45" s="1086">
        <f t="shared" ca="1" si="113"/>
        <v>195494.82145253039</v>
      </c>
      <c r="BN45" s="1086">
        <f t="shared" ca="1" si="113"/>
        <v>201156.88940858786</v>
      </c>
      <c r="BO45" s="1086">
        <f t="shared" ca="1" si="113"/>
        <v>206983.15686913132</v>
      </c>
      <c r="BP45" s="1086">
        <f t="shared" ca="1" si="113"/>
        <v>212978.39127770127</v>
      </c>
      <c r="BQ45" s="1086">
        <f t="shared" ca="1" si="113"/>
        <v>219147.4986347275</v>
      </c>
      <c r="BR45" s="1086">
        <f t="shared" ca="1" si="113"/>
        <v>225495.52754036192</v>
      </c>
      <c r="BS45" s="1086">
        <f t="shared" ca="1" si="113"/>
        <v>232027.67334649578</v>
      </c>
      <c r="BT45" s="1086">
        <f t="shared" ca="1" si="113"/>
        <v>238749.28242758638</v>
      </c>
      <c r="BU45" s="1086">
        <f t="shared" ca="1" si="113"/>
        <v>245665.85657535118</v>
      </c>
      <c r="BV45" s="1086">
        <f t="shared" ca="1" si="113"/>
        <v>252783.05752133456</v>
      </c>
      <c r="BW45" s="1086">
        <f t="shared" ca="1" si="113"/>
        <v>260106.71159117168</v>
      </c>
      <c r="BX45" s="1086">
        <f t="shared" ca="1" si="113"/>
        <v>267642.81449441228</v>
      </c>
      <c r="BY45" s="1086">
        <f t="shared" ca="1" si="113"/>
        <v>275397.53625386214</v>
      </c>
      <c r="BZ45" s="1086">
        <f t="shared" ca="1" si="113"/>
        <v>283377.22627851146</v>
      </c>
      <c r="CA45" s="1086">
        <f t="shared" ca="1" si="113"/>
        <v>291588.41858423699</v>
      </c>
      <c r="CB45" s="1086">
        <f t="shared" ca="1" si="113"/>
        <v>300037.83716658561</v>
      </c>
      <c r="CC45" s="1086">
        <f t="shared" ca="1" si="113"/>
        <v>308732.40153007454</v>
      </c>
      <c r="CD45" s="1086">
        <f t="shared" ca="1" si="113"/>
        <v>317679.23237857048</v>
      </c>
      <c r="CE45" s="1086">
        <f t="shared" ca="1" si="113"/>
        <v>326885.65747144603</v>
      </c>
      <c r="CF45" s="1086">
        <f t="shared" ca="1" si="113"/>
        <v>336359.21765034518</v>
      </c>
      <c r="CG45" s="1086">
        <f t="shared" ca="1" si="113"/>
        <v>346107.67304153444</v>
      </c>
      <c r="CH45" s="1086">
        <f t="shared" ca="1" si="113"/>
        <v>356139.00943895854</v>
      </c>
      <c r="CI45" s="1086">
        <f t="shared" ca="1" si="113"/>
        <v>366461.4448732707</v>
      </c>
      <c r="CJ45" s="1086">
        <f t="shared" ca="1" si="113"/>
        <v>377230.01416682632</v>
      </c>
      <c r="CK45" s="1083"/>
      <c r="CL45" s="1083"/>
      <c r="CM45" s="1083"/>
      <c r="CN45" s="1083"/>
      <c r="CO45" s="1083"/>
      <c r="CP45" s="1083"/>
      <c r="CQ45" s="1083"/>
      <c r="CR45" s="1083"/>
      <c r="CS45" s="1083"/>
      <c r="CT45" s="1083"/>
      <c r="CU45" s="1083"/>
      <c r="CV45" s="1083"/>
      <c r="CW45" s="1083"/>
      <c r="CX45" s="1083"/>
      <c r="CY45" s="1083"/>
      <c r="CZ45" s="1083"/>
      <c r="DA45" s="1083"/>
      <c r="DB45" s="1083"/>
      <c r="DC45" s="1083"/>
      <c r="DD45" s="1083"/>
      <c r="DE45" s="1083"/>
      <c r="DF45" s="1083"/>
      <c r="DG45" s="1083"/>
      <c r="DH45" s="1083"/>
      <c r="DI45" s="1083"/>
      <c r="DJ45" s="1083"/>
      <c r="DK45" s="1083"/>
      <c r="DL45" s="1083"/>
      <c r="DM45" s="1083"/>
      <c r="DN45" s="1083"/>
      <c r="DO45" s="1083"/>
      <c r="DP45" s="1083"/>
      <c r="DQ45" s="1083"/>
      <c r="DR45" s="1083"/>
      <c r="DS45" s="1083"/>
      <c r="DT45" s="1083"/>
      <c r="DU45" s="1083"/>
      <c r="DV45" s="1083"/>
      <c r="DW45" s="1083"/>
      <c r="DX45" s="1083"/>
      <c r="DY45" s="1083"/>
      <c r="DZ45" s="1083"/>
      <c r="EA45" s="1083"/>
      <c r="EB45" s="1083"/>
      <c r="EC45" s="1083"/>
      <c r="ED45" s="1083"/>
      <c r="EE45" s="1083"/>
      <c r="EF45" s="1083"/>
      <c r="EG45" s="1083"/>
      <c r="EH45" s="1083"/>
      <c r="EI45" s="1083"/>
      <c r="EJ45" s="1083"/>
      <c r="EK45" s="1083"/>
      <c r="EL45" s="1083"/>
      <c r="EM45" s="1083"/>
      <c r="EN45" s="1083"/>
      <c r="EO45" s="1083"/>
      <c r="EP45" s="1083"/>
      <c r="EQ45" s="1083"/>
      <c r="ER45" s="1083"/>
      <c r="ES45" s="1"/>
      <c r="ET45" s="1"/>
      <c r="EU45" s="1"/>
      <c r="EV45" s="1"/>
      <c r="EW45" s="1"/>
      <c r="EX45" s="1"/>
      <c r="EY45" s="1"/>
      <c r="EZ45" s="1"/>
      <c r="FA45" s="1"/>
      <c r="FB45" s="1"/>
      <c r="FC45" s="1"/>
      <c r="FD45" s="1"/>
      <c r="FE45" s="1"/>
      <c r="FF45" s="1"/>
      <c r="FG45" s="1"/>
      <c r="FH45" s="1"/>
      <c r="FI45" s="1"/>
      <c r="FJ45" s="1"/>
      <c r="FK45" s="1"/>
      <c r="FL45" s="1"/>
      <c r="FM45" s="1"/>
      <c r="FN45" s="1"/>
      <c r="FO45" s="1"/>
      <c r="FP45" s="1"/>
      <c r="FQ45" s="1"/>
      <c r="FR45" s="1"/>
      <c r="FS45" s="1"/>
      <c r="FT45" s="1"/>
      <c r="FU45" s="1"/>
      <c r="FV45" s="1"/>
      <c r="FW45" s="1"/>
      <c r="FX45" s="1"/>
      <c r="FY45" s="1"/>
      <c r="FZ45" s="1"/>
      <c r="GA45" s="1"/>
      <c r="GB45" s="1"/>
      <c r="GC45" s="1"/>
      <c r="GD45" s="1"/>
      <c r="GE45" s="1"/>
      <c r="GF45" s="1"/>
      <c r="GG45" s="1"/>
      <c r="GH45" s="1"/>
      <c r="GI45" s="1"/>
      <c r="GJ45" s="1"/>
      <c r="GK45" s="1"/>
      <c r="GL45" s="1"/>
      <c r="GM45" s="1"/>
      <c r="GN45" s="1"/>
      <c r="GO45" s="1"/>
      <c r="GP45" s="1"/>
      <c r="GQ45" s="1"/>
      <c r="GR45" s="1"/>
      <c r="GS45" s="1"/>
      <c r="GT45" s="1"/>
      <c r="GU45" s="1"/>
      <c r="GV45" s="1"/>
      <c r="GW45" s="1"/>
      <c r="GX45" s="1"/>
      <c r="GY45" s="1"/>
      <c r="GZ45" s="1"/>
      <c r="HA45" s="1"/>
      <c r="HB45" s="1"/>
      <c r="HC45" s="1"/>
      <c r="HD45" s="1"/>
      <c r="HE45" s="1"/>
      <c r="HF45" s="1"/>
      <c r="HG45" s="1"/>
      <c r="HH45" s="1"/>
      <c r="HI45" s="1"/>
      <c r="HJ45" s="1"/>
      <c r="HK45" s="1"/>
      <c r="HL45" s="1"/>
      <c r="HM45" s="1"/>
      <c r="HN45" s="1"/>
      <c r="HO45" s="1"/>
      <c r="HP45" s="1"/>
      <c r="HQ45" s="1"/>
      <c r="HR45" s="1"/>
      <c r="HS45" s="1"/>
      <c r="HT45" s="1"/>
      <c r="HU45" s="1"/>
      <c r="HV45" s="1"/>
      <c r="HW45" s="1"/>
      <c r="HX45" s="1"/>
      <c r="HY45" s="1"/>
      <c r="HZ45" s="1"/>
      <c r="IA45" s="1"/>
      <c r="IB45" s="1"/>
      <c r="IC45" s="1"/>
      <c r="ID45" s="1"/>
      <c r="IE45" s="1"/>
      <c r="IF45" s="1"/>
      <c r="IG45" s="1"/>
      <c r="IH45" s="1"/>
      <c r="II45" s="1"/>
      <c r="IJ45" s="1"/>
      <c r="IK45" s="1"/>
      <c r="IL45" s="1"/>
      <c r="IM45" s="1"/>
      <c r="IN45" s="1"/>
      <c r="IO45" s="1"/>
      <c r="IP45" s="1"/>
      <c r="IQ45" s="1"/>
      <c r="IR45" s="1"/>
      <c r="IS45" s="1"/>
      <c r="IT45" s="1"/>
      <c r="IU45" s="1"/>
      <c r="IV45" s="1"/>
      <c r="IW45" s="1"/>
      <c r="IX45" s="1"/>
      <c r="IY45" s="1"/>
      <c r="IZ45" s="1"/>
      <c r="JA45" s="1"/>
      <c r="JB45" s="1"/>
      <c r="JC45" s="1"/>
      <c r="JD45" s="1"/>
    </row>
    <row r="46" spans="2:264" s="1044" customFormat="1" x14ac:dyDescent="0.2">
      <c r="B46" s="1191" t="s">
        <v>1039</v>
      </c>
      <c r="C46" s="1192">
        <f ca="1">AVERAGE(AV38:AZ38)</f>
        <v>0.12104239389063989</v>
      </c>
      <c r="D46" s="1213"/>
      <c r="E46" s="1194"/>
      <c r="F46" s="1193" t="s">
        <v>1002</v>
      </c>
      <c r="G46" s="1165"/>
      <c r="H46" s="1123">
        <f ca="1">ROUND(H45*(1+$C$15/100)-$C$6,1)</f>
        <v>123.5</v>
      </c>
      <c r="I46" s="1220"/>
      <c r="J46" s="1220"/>
      <c r="K46" s="1220"/>
      <c r="L46" s="1220"/>
      <c r="M46" s="1220"/>
      <c r="N46" s="1220"/>
      <c r="O46" s="1220"/>
      <c r="P46" s="1046"/>
      <c r="AE46" s="1221"/>
      <c r="AK46" s="1361"/>
      <c r="CK46" s="1083"/>
      <c r="CL46" s="1083"/>
      <c r="CM46" s="1083"/>
      <c r="CN46" s="1083"/>
      <c r="CO46" s="1083"/>
      <c r="CP46" s="1083"/>
      <c r="CQ46" s="1083"/>
      <c r="CR46" s="1083"/>
      <c r="CS46" s="1083"/>
      <c r="CT46" s="1083"/>
      <c r="CU46" s="1083"/>
      <c r="CV46" s="1083"/>
      <c r="CW46" s="1083"/>
      <c r="CX46" s="1083"/>
      <c r="CY46" s="1083"/>
      <c r="CZ46" s="1083"/>
      <c r="DA46" s="1083"/>
      <c r="DB46" s="1083"/>
      <c r="DC46" s="1083"/>
      <c r="DD46" s="1083"/>
      <c r="DE46" s="1083"/>
      <c r="DF46" s="1083"/>
      <c r="DG46" s="1083"/>
      <c r="DH46" s="1083"/>
      <c r="DI46" s="1083"/>
      <c r="DJ46" s="1083"/>
      <c r="DK46" s="1083"/>
      <c r="DL46" s="1083"/>
      <c r="DM46" s="1083"/>
      <c r="DN46" s="1083"/>
      <c r="DO46" s="1083"/>
      <c r="DP46" s="1083"/>
      <c r="DQ46" s="1083"/>
      <c r="DR46" s="1083"/>
      <c r="DS46" s="1083"/>
      <c r="DT46" s="1083"/>
      <c r="DU46" s="1083"/>
      <c r="DV46" s="1083"/>
      <c r="DW46" s="1083"/>
      <c r="DX46" s="1083"/>
      <c r="DY46" s="1083"/>
      <c r="DZ46" s="1083"/>
      <c r="EA46" s="1083"/>
      <c r="EB46" s="1083"/>
      <c r="EC46" s="1083"/>
      <c r="ED46" s="1083"/>
      <c r="EE46" s="1083"/>
      <c r="EF46" s="1083"/>
      <c r="EG46" s="1083"/>
      <c r="EH46" s="1083"/>
      <c r="EI46" s="1083"/>
      <c r="EJ46" s="1083"/>
      <c r="EK46" s="1083"/>
      <c r="EL46" s="1083"/>
      <c r="EM46" s="1083"/>
      <c r="EN46" s="1083"/>
      <c r="EO46" s="1083"/>
      <c r="EP46" s="1083"/>
      <c r="EQ46" s="1083"/>
      <c r="ER46" s="1083"/>
      <c r="ES46" s="1"/>
      <c r="ET46" s="1"/>
      <c r="EU46" s="1"/>
      <c r="EV46" s="1"/>
      <c r="EW46" s="1"/>
      <c r="EX46" s="1"/>
      <c r="EY46" s="1"/>
      <c r="EZ46" s="1"/>
      <c r="FA46" s="1"/>
      <c r="FB46" s="1"/>
      <c r="FC46" s="1"/>
      <c r="FD46" s="1"/>
      <c r="FE46" s="1"/>
      <c r="FF46" s="1"/>
      <c r="FG46" s="1"/>
      <c r="FH46" s="1"/>
      <c r="FI46" s="1"/>
      <c r="FJ46" s="1"/>
      <c r="FK46" s="1"/>
      <c r="FL46" s="1"/>
      <c r="FM46" s="1"/>
      <c r="FN46" s="1"/>
      <c r="FO46" s="1"/>
      <c r="FP46" s="1"/>
      <c r="FQ46" s="1"/>
      <c r="FR46" s="1"/>
      <c r="FS46" s="1"/>
      <c r="FT46" s="1"/>
      <c r="FU46" s="1"/>
      <c r="FV46" s="1"/>
      <c r="FW46" s="1"/>
      <c r="FX46" s="1"/>
      <c r="FY46" s="1"/>
      <c r="FZ46" s="1"/>
      <c r="GA46" s="1"/>
      <c r="GB46" s="1"/>
      <c r="GC46" s="1"/>
      <c r="GD46" s="1"/>
      <c r="GE46" s="1"/>
      <c r="GF46" s="1"/>
      <c r="GG46" s="1"/>
      <c r="GH46" s="1"/>
      <c r="GI46" s="1"/>
      <c r="GJ46" s="1"/>
      <c r="GK46" s="1"/>
      <c r="GL46" s="1"/>
      <c r="GM46" s="1"/>
      <c r="GN46" s="1"/>
      <c r="GO46" s="1"/>
      <c r="GP46" s="1"/>
      <c r="GQ46" s="1"/>
      <c r="GR46" s="1"/>
      <c r="GS46" s="1"/>
      <c r="GT46" s="1"/>
      <c r="GU46" s="1"/>
      <c r="GV46" s="1"/>
      <c r="GW46" s="1"/>
      <c r="GX46" s="1"/>
      <c r="GY46" s="1"/>
      <c r="GZ46" s="1"/>
      <c r="HA46" s="1"/>
      <c r="HB46" s="1"/>
      <c r="HC46" s="1"/>
      <c r="HD46" s="1"/>
      <c r="HE46" s="1"/>
      <c r="HF46" s="1"/>
      <c r="HG46" s="1"/>
      <c r="HH46" s="1"/>
      <c r="HI46" s="1"/>
      <c r="HJ46" s="1"/>
      <c r="HK46" s="1"/>
      <c r="HL46" s="1"/>
      <c r="HM46" s="1"/>
      <c r="HN46" s="1"/>
      <c r="HO46" s="1"/>
      <c r="HP46" s="1"/>
      <c r="HQ46" s="1"/>
      <c r="HR46" s="1"/>
      <c r="HS46" s="1"/>
      <c r="HT46" s="1"/>
      <c r="HU46" s="1"/>
      <c r="HV46" s="1"/>
      <c r="HW46" s="1"/>
      <c r="HX46" s="1"/>
      <c r="HY46" s="1"/>
      <c r="HZ46" s="1"/>
      <c r="IA46" s="1"/>
      <c r="IB46" s="1"/>
      <c r="IC46" s="1"/>
      <c r="ID46" s="1"/>
      <c r="IE46" s="1"/>
      <c r="IF46" s="1"/>
      <c r="IG46" s="1"/>
      <c r="IH46" s="1"/>
      <c r="II46" s="1"/>
      <c r="IJ46" s="1"/>
      <c r="IK46" s="1"/>
      <c r="IL46" s="1"/>
      <c r="IM46" s="1"/>
      <c r="IN46" s="1"/>
      <c r="IO46" s="1"/>
      <c r="IP46" s="1"/>
      <c r="IQ46" s="1"/>
      <c r="IR46" s="1"/>
      <c r="IS46" s="1"/>
      <c r="IT46" s="1"/>
      <c r="IU46" s="1"/>
      <c r="IV46" s="1"/>
      <c r="IW46" s="1"/>
      <c r="IX46" s="1"/>
      <c r="IY46" s="1"/>
      <c r="IZ46" s="1"/>
      <c r="JA46" s="1"/>
      <c r="JB46" s="1"/>
      <c r="JC46" s="1"/>
      <c r="JD46" s="1"/>
    </row>
    <row r="47" spans="2:264" s="1044" customFormat="1" x14ac:dyDescent="0.2">
      <c r="B47" s="1191" t="s">
        <v>1040</v>
      </c>
      <c r="C47" s="1180">
        <f ca="1">AVERAGE(AV16:AZ16)</f>
        <v>3.0000000000000027E-2</v>
      </c>
      <c r="D47" s="1222"/>
      <c r="E47" s="1194"/>
      <c r="F47" s="1168" t="s">
        <v>1021</v>
      </c>
      <c r="G47" s="1169"/>
      <c r="H47" s="1170">
        <f ca="1">(H46+$C$6)/$C$7-1</f>
        <v>-0.23979712196272707</v>
      </c>
      <c r="I47" s="1223"/>
      <c r="J47" s="1223"/>
      <c r="K47" s="1223"/>
      <c r="L47" s="1223"/>
      <c r="M47" s="1223"/>
      <c r="N47" s="1223"/>
      <c r="O47" s="1223"/>
      <c r="P47" s="1046"/>
      <c r="Q47" s="1044" t="s">
        <v>457</v>
      </c>
      <c r="R47" s="1224"/>
      <c r="S47" s="1225"/>
      <c r="X47" s="1086"/>
      <c r="Y47" s="1086">
        <f t="shared" ref="Y47:AL47" si="115">+Y49-Y48</f>
        <v>18100</v>
      </c>
      <c r="Z47" s="1086">
        <f t="shared" si="115"/>
        <v>19414</v>
      </c>
      <c r="AA47" s="1086">
        <f t="shared" si="115"/>
        <v>20638</v>
      </c>
      <c r="AB47" s="1086">
        <f t="shared" si="115"/>
        <v>21795</v>
      </c>
      <c r="AC47" s="1086">
        <f t="shared" si="115"/>
        <v>23121</v>
      </c>
      <c r="AD47" s="1086">
        <f t="shared" si="115"/>
        <v>23557</v>
      </c>
      <c r="AE47" s="1087">
        <f t="shared" si="115"/>
        <v>23175</v>
      </c>
      <c r="AF47" s="1086">
        <f t="shared" si="115"/>
        <v>23447</v>
      </c>
      <c r="AG47" s="1086">
        <f t="shared" si="115"/>
        <v>23846</v>
      </c>
      <c r="AH47" s="1086">
        <f t="shared" si="115"/>
        <v>24481</v>
      </c>
      <c r="AI47" s="1086">
        <f t="shared" si="115"/>
        <v>27053</v>
      </c>
      <c r="AJ47" s="1086">
        <f t="shared" si="115"/>
        <v>27063</v>
      </c>
      <c r="AK47" s="1366">
        <f t="shared" si="115"/>
        <v>28343</v>
      </c>
      <c r="AL47" s="1086">
        <f t="shared" si="115"/>
        <v>30107.446412194531</v>
      </c>
      <c r="AM47" s="1086">
        <f t="shared" ref="AM47" si="116">+AM49-AM48</f>
        <v>31870.066648531141</v>
      </c>
      <c r="AN47" s="1086">
        <f t="shared" ref="AN47" si="117">+AN49-AN48</f>
        <v>33232.008562430288</v>
      </c>
      <c r="AO47" s="1176">
        <f t="shared" ref="AO47:AQ47" ca="1" si="118">+AO$44*AO60</f>
        <v>34764.436045877628</v>
      </c>
      <c r="AP47" s="1176">
        <f t="shared" ca="1" si="118"/>
        <v>35977.960727994963</v>
      </c>
      <c r="AQ47" s="1176">
        <f t="shared" ca="1" si="118"/>
        <v>37233.40708206936</v>
      </c>
      <c r="AR47" s="1176">
        <f ca="1">+AR$44*AR60</f>
        <v>38532.199380658305</v>
      </c>
      <c r="AS47" s="1176">
        <f ca="1">+AS$44*AS60</f>
        <v>39875.809009926037</v>
      </c>
      <c r="AT47" s="1176">
        <f t="shared" ref="AT47:AU47" ca="1" si="119">+AT$44*AT60</f>
        <v>41265.755960374467</v>
      </c>
      <c r="AU47" s="1176">
        <f t="shared" ca="1" si="119"/>
        <v>42703.610361094456</v>
      </c>
      <c r="CK47" s="1083"/>
      <c r="CL47" s="1083"/>
      <c r="CM47" s="1083"/>
      <c r="CN47" s="1083"/>
      <c r="CO47" s="1083"/>
      <c r="CP47" s="1083"/>
      <c r="CQ47" s="1083"/>
      <c r="CR47" s="1083"/>
      <c r="CS47" s="1083"/>
      <c r="CT47" s="1083"/>
      <c r="CU47" s="1083"/>
      <c r="CV47" s="1083"/>
      <c r="CW47" s="1083"/>
      <c r="CX47" s="1083"/>
      <c r="CY47" s="1083"/>
      <c r="CZ47" s="1083"/>
      <c r="DA47" s="1083"/>
      <c r="DB47" s="1083"/>
      <c r="DC47" s="1083"/>
      <c r="DD47" s="1083"/>
      <c r="DE47" s="1083"/>
      <c r="DF47" s="1083"/>
      <c r="DG47" s="1083"/>
      <c r="DH47" s="1083"/>
      <c r="DI47" s="1083"/>
      <c r="DJ47" s="1083"/>
      <c r="DK47" s="1083"/>
      <c r="DL47" s="1083"/>
      <c r="DM47" s="1083"/>
      <c r="DN47" s="1083"/>
      <c r="DO47" s="1083"/>
      <c r="DP47" s="1083"/>
      <c r="DQ47" s="1083"/>
      <c r="DR47" s="1083"/>
      <c r="DS47" s="1083"/>
      <c r="DT47" s="1083"/>
      <c r="DU47" s="1083"/>
      <c r="DV47" s="1083"/>
      <c r="DW47" s="1083"/>
      <c r="DX47" s="1083"/>
      <c r="DY47" s="1083"/>
      <c r="DZ47" s="1083"/>
      <c r="EA47" s="1083"/>
      <c r="EB47" s="1083"/>
      <c r="EC47" s="1083"/>
      <c r="ED47" s="1083"/>
      <c r="EE47" s="1083"/>
      <c r="EF47" s="1083"/>
      <c r="EG47" s="1083"/>
      <c r="EH47" s="1083"/>
      <c r="EI47" s="1083"/>
      <c r="EJ47" s="1083"/>
      <c r="EK47" s="1083"/>
      <c r="EL47" s="1083"/>
      <c r="EM47" s="1083"/>
      <c r="EN47" s="1083"/>
      <c r="EO47" s="1083"/>
      <c r="EP47" s="1083"/>
      <c r="EQ47" s="1083"/>
      <c r="ER47" s="1083"/>
      <c r="ES47" s="1"/>
      <c r="ET47" s="1"/>
      <c r="EU47" s="1"/>
      <c r="EV47" s="1"/>
      <c r="EW47" s="1"/>
      <c r="EX47" s="1"/>
      <c r="EY47" s="1"/>
      <c r="EZ47" s="1"/>
      <c r="FA47" s="1"/>
      <c r="FB47" s="1"/>
      <c r="FC47" s="1"/>
      <c r="FD47" s="1"/>
      <c r="FE47" s="1"/>
      <c r="FF47" s="1"/>
      <c r="FG47" s="1"/>
      <c r="FH47" s="1"/>
      <c r="FI47" s="1"/>
      <c r="FJ47" s="1"/>
      <c r="FK47" s="1"/>
      <c r="FL47" s="1"/>
      <c r="FM47" s="1"/>
      <c r="FN47" s="1"/>
      <c r="FO47" s="1"/>
      <c r="FP47" s="1"/>
      <c r="FQ47" s="1"/>
      <c r="FR47" s="1"/>
      <c r="FS47" s="1"/>
      <c r="FT47" s="1"/>
      <c r="FU47" s="1"/>
      <c r="FV47" s="1"/>
      <c r="FW47" s="1"/>
      <c r="FX47" s="1"/>
      <c r="FY47" s="1"/>
      <c r="FZ47" s="1"/>
      <c r="GA47" s="1"/>
      <c r="GB47" s="1"/>
      <c r="GC47" s="1"/>
      <c r="GD47" s="1"/>
      <c r="GE47" s="1"/>
      <c r="GF47" s="1"/>
      <c r="GG47" s="1"/>
      <c r="GH47" s="1"/>
      <c r="GI47" s="1"/>
      <c r="GJ47" s="1"/>
      <c r="GK47" s="1"/>
      <c r="GL47" s="1"/>
      <c r="GM47" s="1"/>
      <c r="GN47" s="1"/>
      <c r="GO47" s="1"/>
      <c r="GP47" s="1"/>
      <c r="GQ47" s="1"/>
      <c r="GR47" s="1"/>
      <c r="GS47" s="1"/>
      <c r="GT47" s="1"/>
      <c r="GU47" s="1"/>
      <c r="GV47" s="1"/>
      <c r="GW47" s="1"/>
      <c r="GX47" s="1"/>
      <c r="GY47" s="1"/>
      <c r="GZ47" s="1"/>
      <c r="HA47" s="1"/>
      <c r="HB47" s="1"/>
      <c r="HC47" s="1"/>
      <c r="HD47" s="1"/>
      <c r="HE47" s="1"/>
      <c r="HF47" s="1"/>
      <c r="HG47" s="1"/>
      <c r="HH47" s="1"/>
      <c r="HI47" s="1"/>
      <c r="HJ47" s="1"/>
      <c r="HK47" s="1"/>
      <c r="HL47" s="1"/>
      <c r="HM47" s="1"/>
      <c r="HN47" s="1"/>
      <c r="HO47" s="1"/>
      <c r="HP47" s="1"/>
      <c r="HQ47" s="1"/>
      <c r="HR47" s="1"/>
      <c r="HS47" s="1"/>
      <c r="HT47" s="1"/>
      <c r="HU47" s="1"/>
      <c r="HV47" s="1"/>
      <c r="HW47" s="1"/>
      <c r="HX47" s="1"/>
      <c r="HY47" s="1"/>
      <c r="HZ47" s="1"/>
      <c r="IA47" s="1"/>
      <c r="IB47" s="1"/>
      <c r="IC47" s="1"/>
      <c r="ID47" s="1"/>
      <c r="IE47" s="1"/>
      <c r="IF47" s="1"/>
      <c r="IG47" s="1"/>
      <c r="IH47" s="1"/>
      <c r="II47" s="1"/>
      <c r="IJ47" s="1"/>
      <c r="IK47" s="1"/>
      <c r="IL47" s="1"/>
      <c r="IM47" s="1"/>
      <c r="IN47" s="1"/>
      <c r="IO47" s="1"/>
      <c r="IP47" s="1"/>
      <c r="IQ47" s="1"/>
      <c r="IR47" s="1"/>
      <c r="IS47" s="1"/>
      <c r="IT47" s="1"/>
      <c r="IU47" s="1"/>
      <c r="IV47" s="1"/>
      <c r="IW47" s="1"/>
      <c r="IX47" s="1"/>
      <c r="IY47" s="1"/>
      <c r="IZ47" s="1"/>
      <c r="JA47" s="1"/>
      <c r="JB47" s="1"/>
      <c r="JC47" s="1"/>
      <c r="JD47" s="1"/>
    </row>
    <row r="48" spans="2:264" s="1044" customFormat="1" x14ac:dyDescent="0.2">
      <c r="B48" s="1191" t="s">
        <v>1045</v>
      </c>
      <c r="C48" s="1180">
        <f ca="1">AVERAGE(AV66:AZ66)</f>
        <v>7.9549659951360565E-3</v>
      </c>
      <c r="D48" s="1226"/>
      <c r="E48" s="1194"/>
      <c r="G48" s="1043"/>
      <c r="H48" s="1043"/>
      <c r="I48" s="1223"/>
      <c r="J48" s="1223"/>
      <c r="K48" s="1223"/>
      <c r="L48" s="1223"/>
      <c r="M48" s="1223"/>
      <c r="N48" s="1223"/>
      <c r="O48" s="1223"/>
      <c r="P48" s="1046"/>
      <c r="Q48" s="1044" t="s">
        <v>511</v>
      </c>
      <c r="R48" s="1227"/>
      <c r="S48" s="1225"/>
      <c r="X48" s="1176"/>
      <c r="Y48" s="1176">
        <f>MODEL!BJ671</f>
        <v>2721</v>
      </c>
      <c r="Z48" s="1176">
        <f>MODEL!BN671</f>
        <v>2987</v>
      </c>
      <c r="AA48" s="1176">
        <f>MODEL!BR671</f>
        <v>2940</v>
      </c>
      <c r="AB48" s="1176">
        <f>MODEL!BV671</f>
        <v>2952</v>
      </c>
      <c r="AC48" s="1176">
        <f>MODEL!BZ671</f>
        <v>2159</v>
      </c>
      <c r="AD48" s="1176">
        <f>MODEL!CD671</f>
        <v>1365</v>
      </c>
      <c r="AE48" s="1203">
        <f>MODEL!CH671</f>
        <v>404</v>
      </c>
      <c r="AF48" s="1204">
        <f>MODEL!CL671</f>
        <v>314</v>
      </c>
      <c r="AG48" s="1204">
        <f>MODEL!CP671</f>
        <v>310</v>
      </c>
      <c r="AH48" s="1204">
        <f>MODEL!CT671</f>
        <v>208</v>
      </c>
      <c r="AI48" s="1204">
        <f>MODEL!CX671</f>
        <v>82</v>
      </c>
      <c r="AJ48" s="1204">
        <f>MODEL!DB671</f>
        <v>111</v>
      </c>
      <c r="AK48" s="1377">
        <f>MODEL!DF671</f>
        <v>122</v>
      </c>
      <c r="AL48" s="1204">
        <f>MODEL!DJ671</f>
        <v>135.34</v>
      </c>
      <c r="AM48" s="1204">
        <f>MODEL!$DN671</f>
        <v>140.80773600000001</v>
      </c>
      <c r="AN48" s="1204">
        <f>MODEL!$DR671</f>
        <v>146.49636853440001</v>
      </c>
      <c r="AO48" s="1086">
        <f t="shared" ref="AO48:AQ48" si="120">+AN48*(1+AO71)</f>
        <v>153.82118696112002</v>
      </c>
      <c r="AP48" s="1086">
        <f t="shared" si="120"/>
        <v>161.51224630917602</v>
      </c>
      <c r="AQ48" s="1086">
        <f t="shared" si="120"/>
        <v>169.58785862463483</v>
      </c>
      <c r="AR48" s="1086">
        <f>+AQ48*(1+AR71)</f>
        <v>178.06725155586659</v>
      </c>
      <c r="AS48" s="1086">
        <f>+AR48*(1+AS71)</f>
        <v>186.97061413365992</v>
      </c>
      <c r="AT48" s="1086">
        <f t="shared" ref="AT48:AU48" si="121">+AS48*(1+AT71)</f>
        <v>196.31914484034291</v>
      </c>
      <c r="AU48" s="1086">
        <f t="shared" si="121"/>
        <v>206.13510208236008</v>
      </c>
      <c r="CK48" s="1083"/>
      <c r="CL48" s="1083"/>
      <c r="CM48" s="1083"/>
      <c r="CN48" s="1083"/>
      <c r="CO48" s="1083"/>
      <c r="CP48" s="1083"/>
      <c r="CQ48" s="1083"/>
      <c r="CR48" s="1083"/>
      <c r="CS48" s="1083"/>
      <c r="CT48" s="1083"/>
      <c r="CU48" s="1083"/>
      <c r="CV48" s="1083"/>
      <c r="CW48" s="1083"/>
      <c r="CX48" s="1083"/>
      <c r="CY48" s="1083"/>
      <c r="CZ48" s="1083"/>
      <c r="DA48" s="1083"/>
      <c r="DB48" s="1083"/>
      <c r="DC48" s="1083"/>
      <c r="DD48" s="1083"/>
      <c r="DE48" s="1083"/>
      <c r="DF48" s="1083"/>
      <c r="DG48" s="1083"/>
      <c r="DH48" s="1083"/>
      <c r="DI48" s="1083"/>
      <c r="DJ48" s="1083"/>
      <c r="DK48" s="1083"/>
      <c r="DL48" s="1083"/>
      <c r="DM48" s="1083"/>
      <c r="DN48" s="1083"/>
      <c r="DO48" s="1083"/>
      <c r="DP48" s="1083"/>
      <c r="DQ48" s="1083"/>
      <c r="DR48" s="1083"/>
      <c r="DS48" s="1083"/>
      <c r="DT48" s="1083"/>
      <c r="DU48" s="1083"/>
      <c r="DV48" s="1083"/>
      <c r="DW48" s="1083"/>
      <c r="DX48" s="1083"/>
      <c r="DY48" s="1083"/>
      <c r="DZ48" s="1083"/>
      <c r="EA48" s="1083"/>
      <c r="EB48" s="1083"/>
      <c r="EC48" s="1083"/>
      <c r="ED48" s="1083"/>
      <c r="EE48" s="1083"/>
      <c r="EF48" s="1083"/>
      <c r="EG48" s="1083"/>
      <c r="EH48" s="1083"/>
      <c r="EI48" s="1083"/>
      <c r="EJ48" s="1083"/>
      <c r="EK48" s="1083"/>
      <c r="EL48" s="1083"/>
      <c r="EM48" s="1083"/>
      <c r="EN48" s="1083"/>
      <c r="EO48" s="1083"/>
      <c r="EP48" s="1083"/>
      <c r="EQ48" s="1083"/>
      <c r="ER48" s="1083"/>
      <c r="ES48" s="1"/>
      <c r="ET48" s="1"/>
      <c r="EU48" s="1"/>
      <c r="EV48" s="1"/>
      <c r="EW48" s="1"/>
      <c r="EX48" s="1"/>
      <c r="EY48" s="1"/>
      <c r="EZ48" s="1"/>
      <c r="FA48" s="1"/>
      <c r="FB48" s="1"/>
      <c r="FC48" s="1"/>
      <c r="FD48" s="1"/>
      <c r="FE48" s="1"/>
      <c r="FF48" s="1"/>
      <c r="FG48" s="1"/>
      <c r="FH48" s="1"/>
      <c r="FI48" s="1"/>
      <c r="FJ48" s="1"/>
      <c r="FK48" s="1"/>
      <c r="FL48" s="1"/>
      <c r="FM48" s="1"/>
      <c r="FN48" s="1"/>
      <c r="FO48" s="1"/>
      <c r="FP48" s="1"/>
      <c r="FQ48" s="1"/>
      <c r="FR48" s="1"/>
      <c r="FS48" s="1"/>
      <c r="FT48" s="1"/>
      <c r="FU48" s="1"/>
      <c r="FV48" s="1"/>
      <c r="FW48" s="1"/>
      <c r="FX48" s="1"/>
      <c r="FY48" s="1"/>
      <c r="FZ48" s="1"/>
      <c r="GA48" s="1"/>
      <c r="GB48" s="1"/>
      <c r="GC48" s="1"/>
      <c r="GD48" s="1"/>
      <c r="GE48" s="1"/>
      <c r="GF48" s="1"/>
      <c r="GG48" s="1"/>
      <c r="GH48" s="1"/>
      <c r="GI48" s="1"/>
      <c r="GJ48" s="1"/>
      <c r="GK48" s="1"/>
      <c r="GL48" s="1"/>
      <c r="GM48" s="1"/>
      <c r="GN48" s="1"/>
      <c r="GO48" s="1"/>
      <c r="GP48" s="1"/>
      <c r="GQ48" s="1"/>
      <c r="GR48" s="1"/>
      <c r="GS48" s="1"/>
      <c r="GT48" s="1"/>
      <c r="GU48" s="1"/>
      <c r="GV48" s="1"/>
      <c r="GW48" s="1"/>
      <c r="GX48" s="1"/>
      <c r="GY48" s="1"/>
      <c r="GZ48" s="1"/>
      <c r="HA48" s="1"/>
      <c r="HB48" s="1"/>
      <c r="HC48" s="1"/>
      <c r="HD48" s="1"/>
      <c r="HE48" s="1"/>
      <c r="HF48" s="1"/>
      <c r="HG48" s="1"/>
      <c r="HH48" s="1"/>
      <c r="HI48" s="1"/>
      <c r="HJ48" s="1"/>
      <c r="HK48" s="1"/>
      <c r="HL48" s="1"/>
      <c r="HM48" s="1"/>
      <c r="HN48" s="1"/>
      <c r="HO48" s="1"/>
      <c r="HP48" s="1"/>
      <c r="HQ48" s="1"/>
      <c r="HR48" s="1"/>
      <c r="HS48" s="1"/>
      <c r="HT48" s="1"/>
      <c r="HU48" s="1"/>
      <c r="HV48" s="1"/>
      <c r="HW48" s="1"/>
      <c r="HX48" s="1"/>
      <c r="HY48" s="1"/>
      <c r="HZ48" s="1"/>
      <c r="IA48" s="1"/>
      <c r="IB48" s="1"/>
      <c r="IC48" s="1"/>
      <c r="ID48" s="1"/>
      <c r="IE48" s="1"/>
      <c r="IF48" s="1"/>
      <c r="IG48" s="1"/>
      <c r="IH48" s="1"/>
      <c r="II48" s="1"/>
      <c r="IJ48" s="1"/>
      <c r="IK48" s="1"/>
      <c r="IL48" s="1"/>
      <c r="IM48" s="1"/>
      <c r="IN48" s="1"/>
      <c r="IO48" s="1"/>
      <c r="IP48" s="1"/>
      <c r="IQ48" s="1"/>
      <c r="IR48" s="1"/>
      <c r="IS48" s="1"/>
      <c r="IT48" s="1"/>
      <c r="IU48" s="1"/>
      <c r="IV48" s="1"/>
      <c r="IW48" s="1"/>
      <c r="IX48" s="1"/>
      <c r="IY48" s="1"/>
      <c r="IZ48" s="1"/>
      <c r="JA48" s="1"/>
      <c r="JB48" s="1"/>
      <c r="JC48" s="1"/>
      <c r="JD48" s="1"/>
    </row>
    <row r="49" spans="2:264" s="1044" customFormat="1" x14ac:dyDescent="0.2">
      <c r="B49" s="1205" t="s">
        <v>1046</v>
      </c>
      <c r="C49" s="1206">
        <f ca="1">AVERAGE(AV67:AZ67)</f>
        <v>0.14562392952179087</v>
      </c>
      <c r="D49" s="1228"/>
      <c r="E49" s="1194"/>
      <c r="F49" s="1194"/>
      <c r="G49" s="1195"/>
      <c r="H49" s="1195"/>
      <c r="I49" s="1162"/>
      <c r="J49" s="1162"/>
      <c r="K49" s="1162"/>
      <c r="L49" s="1162"/>
      <c r="M49" s="1162"/>
      <c r="N49" s="1162"/>
      <c r="O49" s="1162"/>
      <c r="P49" s="1046"/>
      <c r="Q49" s="1044" t="s">
        <v>1054</v>
      </c>
      <c r="R49" s="1227"/>
      <c r="S49" s="1225"/>
      <c r="T49" s="1074"/>
      <c r="U49" s="1074"/>
      <c r="V49" s="1074"/>
      <c r="W49" s="1074"/>
      <c r="X49" s="1176"/>
      <c r="Y49" s="1176">
        <f>MODEL!BJ25</f>
        <v>20821</v>
      </c>
      <c r="Z49" s="1176">
        <f>MODEL!BN25</f>
        <v>22401</v>
      </c>
      <c r="AA49" s="1176">
        <f>MODEL!BR25</f>
        <v>23578</v>
      </c>
      <c r="AB49" s="1176">
        <f>MODEL!BV25</f>
        <v>24747</v>
      </c>
      <c r="AC49" s="1176">
        <f>MODEL!BZ25</f>
        <v>25280</v>
      </c>
      <c r="AD49" s="1176">
        <f>MODEL!CD25</f>
        <v>24922</v>
      </c>
      <c r="AE49" s="1203">
        <f>MODEL!CH25</f>
        <v>23579</v>
      </c>
      <c r="AF49" s="1204">
        <f>MODEL!CL25</f>
        <v>23761</v>
      </c>
      <c r="AG49" s="1204">
        <f>MODEL!CP25</f>
        <v>24156</v>
      </c>
      <c r="AH49" s="1204">
        <f>MODEL!CT25</f>
        <v>24689</v>
      </c>
      <c r="AI49" s="1204">
        <f>MODEL!CX25</f>
        <v>27135</v>
      </c>
      <c r="AJ49" s="1204">
        <f>MODEL!DB25</f>
        <v>27174</v>
      </c>
      <c r="AK49" s="1377">
        <f>MODEL!DF25</f>
        <v>28465</v>
      </c>
      <c r="AL49" s="1204">
        <f>MODEL!DJ25</f>
        <v>30242.786412194531</v>
      </c>
      <c r="AM49" s="1204">
        <f>MODEL!$DN25</f>
        <v>32010.87438453114</v>
      </c>
      <c r="AN49" s="1204">
        <f>MODEL!$DR25</f>
        <v>33378.504930964686</v>
      </c>
      <c r="AO49" s="1176">
        <f t="shared" ref="AO49:AQ49" ca="1" si="122">+AO48+AO47</f>
        <v>34918.257232838747</v>
      </c>
      <c r="AP49" s="1176">
        <f t="shared" ca="1" si="122"/>
        <v>36139.472974304139</v>
      </c>
      <c r="AQ49" s="1176">
        <f t="shared" ca="1" si="122"/>
        <v>37402.994940693992</v>
      </c>
      <c r="AR49" s="1176">
        <f ca="1">+AR48+AR47</f>
        <v>38710.266632214174</v>
      </c>
      <c r="AS49" s="1176">
        <f ca="1">+AS48+AS47</f>
        <v>40062.779624059694</v>
      </c>
      <c r="AT49" s="1176">
        <f t="shared" ref="AT49:AU49" ca="1" si="123">+AT48+AT47</f>
        <v>41462.075105214812</v>
      </c>
      <c r="AU49" s="1176">
        <f t="shared" ca="1" si="123"/>
        <v>42909.745463176812</v>
      </c>
      <c r="AV49" s="1176"/>
      <c r="AW49" s="1176"/>
      <c r="AX49" s="1176"/>
      <c r="AY49" s="1176"/>
      <c r="AZ49" s="1176"/>
      <c r="BA49" s="1176"/>
      <c r="BB49" s="1176"/>
      <c r="BC49" s="1176"/>
      <c r="BD49" s="1176"/>
      <c r="BE49" s="1176"/>
      <c r="BF49" s="1176"/>
      <c r="BG49" s="1176"/>
      <c r="BH49" s="1176"/>
      <c r="BI49" s="1176"/>
      <c r="BJ49" s="1176"/>
      <c r="BK49" s="1176"/>
      <c r="BL49" s="1176"/>
      <c r="BM49" s="1176"/>
      <c r="BN49" s="1176"/>
      <c r="BO49" s="1176"/>
      <c r="BP49" s="1176"/>
      <c r="BQ49" s="1176"/>
      <c r="BR49" s="1176"/>
      <c r="BS49" s="1176"/>
      <c r="BT49" s="1176"/>
      <c r="BU49" s="1176"/>
      <c r="BV49" s="1176"/>
      <c r="BW49" s="1176"/>
      <c r="BX49" s="1176"/>
      <c r="BY49" s="1176"/>
      <c r="BZ49" s="1176"/>
      <c r="CA49" s="1176"/>
      <c r="CB49" s="1176"/>
      <c r="CC49" s="1176"/>
      <c r="CD49" s="1176"/>
      <c r="CE49" s="1176"/>
      <c r="CF49" s="1176"/>
      <c r="CG49" s="1176"/>
      <c r="CH49" s="1176"/>
      <c r="CI49" s="1176"/>
      <c r="CJ49" s="1176"/>
      <c r="CK49" s="1083"/>
      <c r="CL49" s="1083"/>
      <c r="CM49" s="1083"/>
      <c r="CN49" s="1083"/>
      <c r="CO49" s="1083"/>
      <c r="CP49" s="1083"/>
      <c r="CQ49" s="1083"/>
      <c r="CR49" s="1083"/>
      <c r="CS49" s="1083"/>
      <c r="CT49" s="1083"/>
      <c r="CU49" s="1083"/>
      <c r="CV49" s="1083"/>
      <c r="CW49" s="1083"/>
      <c r="CX49" s="1083"/>
      <c r="CY49" s="1083"/>
      <c r="CZ49" s="1083"/>
      <c r="DA49" s="1083"/>
      <c r="DB49" s="1083"/>
      <c r="DC49" s="1083"/>
      <c r="DD49" s="1083"/>
      <c r="DE49" s="1083"/>
      <c r="DF49" s="1083"/>
      <c r="DG49" s="1083"/>
      <c r="DH49" s="1083"/>
      <c r="DI49" s="1083"/>
      <c r="DJ49" s="1083"/>
      <c r="DK49" s="1083"/>
      <c r="DL49" s="1083"/>
      <c r="DM49" s="1083"/>
      <c r="DN49" s="1083"/>
      <c r="DO49" s="1083"/>
      <c r="DP49" s="1083"/>
      <c r="DQ49" s="1083"/>
      <c r="DR49" s="1083"/>
      <c r="DS49" s="1083"/>
      <c r="DT49" s="1083"/>
      <c r="DU49" s="1083"/>
      <c r="DV49" s="1083"/>
      <c r="DW49" s="1083"/>
      <c r="DX49" s="1083"/>
      <c r="DY49" s="1083"/>
      <c r="DZ49" s="1083"/>
      <c r="EA49" s="1083"/>
      <c r="EB49" s="1083"/>
      <c r="EC49" s="1083"/>
      <c r="ED49" s="1083"/>
      <c r="EE49" s="1083"/>
      <c r="EF49" s="1083"/>
      <c r="EG49" s="1083"/>
      <c r="EH49" s="1083"/>
      <c r="EI49" s="1083"/>
      <c r="EJ49" s="1083"/>
      <c r="EK49" s="1083"/>
      <c r="EL49" s="1083"/>
      <c r="EM49" s="1083"/>
      <c r="EN49" s="1083"/>
      <c r="EO49" s="1083"/>
      <c r="EP49" s="1083"/>
      <c r="EQ49" s="1083"/>
      <c r="ER49" s="1083"/>
      <c r="ES49" s="1"/>
      <c r="ET49" s="1"/>
      <c r="EU49" s="1"/>
      <c r="EV49" s="1"/>
      <c r="EW49" s="1"/>
      <c r="EX49" s="1"/>
      <c r="EY49" s="1"/>
      <c r="EZ49" s="1"/>
      <c r="FA49" s="1"/>
      <c r="FB49" s="1"/>
      <c r="FC49" s="1"/>
      <c r="FD49" s="1"/>
      <c r="FE49" s="1"/>
      <c r="FF49" s="1"/>
      <c r="FG49" s="1"/>
      <c r="FH49" s="1"/>
      <c r="FI49" s="1"/>
      <c r="FJ49" s="1"/>
      <c r="FK49" s="1"/>
      <c r="FL49" s="1"/>
      <c r="FM49" s="1"/>
      <c r="FN49" s="1"/>
      <c r="FO49" s="1"/>
      <c r="FP49" s="1"/>
      <c r="FQ49" s="1"/>
      <c r="FR49" s="1"/>
      <c r="FS49" s="1"/>
      <c r="FT49" s="1"/>
      <c r="FU49" s="1"/>
      <c r="FV49" s="1"/>
      <c r="FW49" s="1"/>
      <c r="FX49" s="1"/>
      <c r="FY49" s="1"/>
      <c r="FZ49" s="1"/>
      <c r="GA49" s="1"/>
      <c r="GB49" s="1"/>
      <c r="GC49" s="1"/>
      <c r="GD49" s="1"/>
      <c r="GE49" s="1"/>
      <c r="GF49" s="1"/>
      <c r="GG49" s="1"/>
      <c r="GH49" s="1"/>
      <c r="GI49" s="1"/>
      <c r="GJ49" s="1"/>
      <c r="GK49" s="1"/>
      <c r="GL49" s="1"/>
      <c r="GM49" s="1"/>
      <c r="GN49" s="1"/>
      <c r="GO49" s="1"/>
      <c r="GP49" s="1"/>
      <c r="GQ49" s="1"/>
      <c r="GR49" s="1"/>
      <c r="GS49" s="1"/>
      <c r="GT49" s="1"/>
      <c r="GU49" s="1"/>
      <c r="GV49" s="1"/>
      <c r="GW49" s="1"/>
      <c r="GX49" s="1"/>
      <c r="GY49" s="1"/>
      <c r="GZ49" s="1"/>
      <c r="HA49" s="1"/>
      <c r="HB49" s="1"/>
      <c r="HC49" s="1"/>
      <c r="HD49" s="1"/>
      <c r="HE49" s="1"/>
      <c r="HF49" s="1"/>
      <c r="HG49" s="1"/>
      <c r="HH49" s="1"/>
      <c r="HI49" s="1"/>
      <c r="HJ49" s="1"/>
      <c r="HK49" s="1"/>
      <c r="HL49" s="1"/>
      <c r="HM49" s="1"/>
      <c r="HN49" s="1"/>
      <c r="HO49" s="1"/>
      <c r="HP49" s="1"/>
      <c r="HQ49" s="1"/>
      <c r="HR49" s="1"/>
      <c r="HS49" s="1"/>
      <c r="HT49" s="1"/>
      <c r="HU49" s="1"/>
      <c r="HV49" s="1"/>
      <c r="HW49" s="1"/>
      <c r="HX49" s="1"/>
      <c r="HY49" s="1"/>
      <c r="HZ49" s="1"/>
      <c r="IA49" s="1"/>
      <c r="IB49" s="1"/>
      <c r="IC49" s="1"/>
      <c r="ID49" s="1"/>
      <c r="IE49" s="1"/>
      <c r="IF49" s="1"/>
      <c r="IG49" s="1"/>
      <c r="IH49" s="1"/>
      <c r="II49" s="1"/>
      <c r="IJ49" s="1"/>
      <c r="IK49" s="1"/>
      <c r="IL49" s="1"/>
      <c r="IM49" s="1"/>
      <c r="IN49" s="1"/>
      <c r="IO49" s="1"/>
      <c r="IP49" s="1"/>
      <c r="IQ49" s="1"/>
      <c r="IR49" s="1"/>
      <c r="IS49" s="1"/>
      <c r="IT49" s="1"/>
      <c r="IU49" s="1"/>
      <c r="IV49" s="1"/>
      <c r="IW49" s="1"/>
      <c r="IX49" s="1"/>
      <c r="IY49" s="1"/>
      <c r="IZ49" s="1"/>
      <c r="JA49" s="1"/>
      <c r="JB49" s="1"/>
      <c r="JC49" s="1"/>
      <c r="JD49" s="1"/>
    </row>
    <row r="50" spans="2:264" s="1044" customFormat="1" x14ac:dyDescent="0.2">
      <c r="B50" s="1079"/>
      <c r="C50" s="1100"/>
      <c r="D50" s="1226"/>
      <c r="E50" s="1194"/>
      <c r="F50" s="1196"/>
      <c r="G50" s="1197"/>
      <c r="H50" s="1197"/>
      <c r="I50" s="1057"/>
      <c r="J50" s="1057"/>
      <c r="K50" s="1057"/>
      <c r="L50" s="1057"/>
      <c r="M50" s="1057"/>
      <c r="N50" s="1057"/>
      <c r="O50" s="1057"/>
      <c r="P50" s="1046"/>
      <c r="Q50" s="1044" t="s">
        <v>249</v>
      </c>
      <c r="R50" s="1227"/>
      <c r="S50" s="1225"/>
      <c r="T50" s="1074"/>
      <c r="U50" s="1074"/>
      <c r="V50" s="1074"/>
      <c r="W50" s="1074"/>
      <c r="X50" s="1176"/>
      <c r="Y50" s="1176">
        <f>MODEL!BJ30</f>
        <v>-9010</v>
      </c>
      <c r="Z50" s="1176">
        <f>MODEL!BN30</f>
        <v>-9499</v>
      </c>
      <c r="AA50" s="1176">
        <f>MODEL!BR30</f>
        <v>-9993</v>
      </c>
      <c r="AB50" s="1176">
        <f>MODEL!BV30</f>
        <v>-10434</v>
      </c>
      <c r="AC50" s="1176">
        <f>MODEL!BZ30</f>
        <v>-10622</v>
      </c>
      <c r="AD50" s="1176">
        <f>MODEL!CD30</f>
        <v>-10995</v>
      </c>
      <c r="AE50" s="1203">
        <f>MODEL!CH30</f>
        <v>-10824</v>
      </c>
      <c r="AF50" s="1204">
        <f>MODEL!CL30</f>
        <v>-10996</v>
      </c>
      <c r="AG50" s="1204">
        <f>MODEL!CP30</f>
        <v>-11359</v>
      </c>
      <c r="AH50" s="1204">
        <f>MODEL!CT30</f>
        <v>-11428</v>
      </c>
      <c r="AI50" s="1204">
        <f>MODEL!CX30</f>
        <v>-11858</v>
      </c>
      <c r="AJ50" s="1204">
        <f>MODEL!DB30</f>
        <v>-12218</v>
      </c>
      <c r="AK50" s="1377">
        <f>MODEL!DF30</f>
        <v>-12996</v>
      </c>
      <c r="AL50" s="1204">
        <f>MODEL!DJ30</f>
        <v>-13680.200601427299</v>
      </c>
      <c r="AM50" s="1204">
        <f>MODEL!$DN30</f>
        <v>-14073.546221929651</v>
      </c>
      <c r="AN50" s="1204">
        <f>MODEL!$DR30</f>
        <v>-14672.21688040701</v>
      </c>
      <c r="AO50" s="1176">
        <f t="shared" ref="AO50:AQ50" si="124">AN50*(1+AO73)</f>
        <v>-15112.38338681922</v>
      </c>
      <c r="AP50" s="1176">
        <f t="shared" si="124"/>
        <v>-15565.754888423797</v>
      </c>
      <c r="AQ50" s="1176">
        <f t="shared" si="124"/>
        <v>-16032.72753507651</v>
      </c>
      <c r="AR50" s="1176">
        <f>AQ50*(1+AR73)</f>
        <v>-16513.709361128807</v>
      </c>
      <c r="AS50" s="1176">
        <f>AR50*(1+AS73)</f>
        <v>-17009.120641962672</v>
      </c>
      <c r="AT50" s="1176">
        <f t="shared" ref="AT50:AU50" si="125">AS50*(1+AT73)</f>
        <v>-17519.394261221554</v>
      </c>
      <c r="AU50" s="1176">
        <f t="shared" si="125"/>
        <v>-18044.9760890582</v>
      </c>
      <c r="AV50" s="1176"/>
      <c r="AW50" s="1176"/>
      <c r="AX50" s="1176"/>
      <c r="AY50" s="1176"/>
      <c r="AZ50" s="1176"/>
      <c r="BA50" s="1176"/>
      <c r="BB50" s="1176"/>
      <c r="BC50" s="1176"/>
      <c r="BD50" s="1176"/>
      <c r="BE50" s="1176"/>
      <c r="BF50" s="1176"/>
      <c r="BG50" s="1176"/>
      <c r="BH50" s="1176"/>
      <c r="BI50" s="1176"/>
      <c r="BJ50" s="1176"/>
      <c r="BK50" s="1176"/>
      <c r="BL50" s="1176"/>
      <c r="BM50" s="1176"/>
      <c r="BN50" s="1176"/>
      <c r="BO50" s="1176"/>
      <c r="BP50" s="1176"/>
      <c r="BQ50" s="1176"/>
      <c r="BR50" s="1176"/>
      <c r="BS50" s="1176"/>
      <c r="BT50" s="1176"/>
      <c r="BU50" s="1176"/>
      <c r="BV50" s="1176"/>
      <c r="BW50" s="1176"/>
      <c r="BX50" s="1176"/>
      <c r="BY50" s="1176"/>
      <c r="BZ50" s="1176"/>
      <c r="CA50" s="1176"/>
      <c r="CB50" s="1176"/>
      <c r="CC50" s="1176"/>
      <c r="CD50" s="1176"/>
      <c r="CE50" s="1176"/>
      <c r="CF50" s="1176"/>
      <c r="CG50" s="1176"/>
      <c r="CH50" s="1176"/>
      <c r="CI50" s="1176"/>
      <c r="CJ50" s="1176"/>
      <c r="CK50" s="1083"/>
      <c r="CL50" s="1083"/>
      <c r="CM50" s="1083"/>
      <c r="CN50" s="1083"/>
      <c r="CO50" s="1083"/>
      <c r="CP50" s="1083"/>
      <c r="CQ50" s="1083"/>
      <c r="CR50" s="1083"/>
      <c r="CS50" s="1083"/>
      <c r="CT50" s="1083"/>
      <c r="CU50" s="1083"/>
      <c r="CV50" s="1083"/>
      <c r="CW50" s="1083"/>
      <c r="CX50" s="1083"/>
      <c r="CY50" s="1083"/>
      <c r="CZ50" s="1083"/>
      <c r="DA50" s="1083"/>
      <c r="DB50" s="1083"/>
      <c r="DC50" s="1083"/>
      <c r="DD50" s="1083"/>
      <c r="DE50" s="1083"/>
      <c r="DF50" s="1083"/>
      <c r="DG50" s="1083"/>
      <c r="DH50" s="1083"/>
      <c r="DI50" s="1083"/>
      <c r="DJ50" s="1083"/>
      <c r="DK50" s="1083"/>
      <c r="DL50" s="1083"/>
      <c r="DM50" s="1083"/>
      <c r="DN50" s="1083"/>
      <c r="DO50" s="1083"/>
      <c r="DP50" s="1083"/>
      <c r="DQ50" s="1083"/>
      <c r="DR50" s="1083"/>
      <c r="DS50" s="1083"/>
      <c r="DT50" s="1083"/>
      <c r="DU50" s="1083"/>
      <c r="DV50" s="1083"/>
      <c r="DW50" s="1083"/>
      <c r="DX50" s="1083"/>
      <c r="DY50" s="1083"/>
      <c r="DZ50" s="1083"/>
      <c r="EA50" s="1083"/>
      <c r="EB50" s="1083"/>
      <c r="EC50" s="1083"/>
      <c r="ED50" s="1083"/>
      <c r="EE50" s="1083"/>
      <c r="EF50" s="1083"/>
      <c r="EG50" s="1083"/>
      <c r="EH50" s="1083"/>
      <c r="EI50" s="1083"/>
      <c r="EJ50" s="1083"/>
      <c r="EK50" s="1083"/>
      <c r="EL50" s="1083"/>
      <c r="EM50" s="1083"/>
      <c r="EN50" s="1083"/>
      <c r="EO50" s="1083"/>
      <c r="EP50" s="1083"/>
      <c r="EQ50" s="1083"/>
      <c r="ER50" s="1083"/>
      <c r="ES50" s="1"/>
      <c r="ET50" s="1"/>
      <c r="EU50" s="1"/>
      <c r="EV50" s="1"/>
      <c r="EW50" s="1"/>
      <c r="EX50" s="1"/>
      <c r="EY50" s="1"/>
      <c r="EZ50" s="1"/>
      <c r="FA50" s="1"/>
      <c r="FB50" s="1"/>
      <c r="FC50" s="1"/>
      <c r="FD50" s="1"/>
      <c r="FE50" s="1"/>
      <c r="FF50" s="1"/>
      <c r="FG50" s="1"/>
      <c r="FH50" s="1"/>
      <c r="FI50" s="1"/>
      <c r="FJ50" s="1"/>
      <c r="FK50" s="1"/>
      <c r="FL50" s="1"/>
      <c r="FM50" s="1"/>
      <c r="FN50" s="1"/>
      <c r="FO50" s="1"/>
      <c r="FP50" s="1"/>
      <c r="FQ50" s="1"/>
      <c r="FR50" s="1"/>
      <c r="FS50" s="1"/>
      <c r="FT50" s="1"/>
      <c r="FU50" s="1"/>
      <c r="FV50" s="1"/>
      <c r="FW50" s="1"/>
      <c r="FX50" s="1"/>
      <c r="FY50" s="1"/>
      <c r="FZ50" s="1"/>
      <c r="GA50" s="1"/>
      <c r="GB50" s="1"/>
      <c r="GC50" s="1"/>
      <c r="GD50" s="1"/>
      <c r="GE50" s="1"/>
      <c r="GF50" s="1"/>
      <c r="GG50" s="1"/>
      <c r="GH50" s="1"/>
      <c r="GI50" s="1"/>
      <c r="GJ50" s="1"/>
      <c r="GK50" s="1"/>
      <c r="GL50" s="1"/>
      <c r="GM50" s="1"/>
      <c r="GN50" s="1"/>
      <c r="GO50" s="1"/>
      <c r="GP50" s="1"/>
      <c r="GQ50" s="1"/>
      <c r="GR50" s="1"/>
      <c r="GS50" s="1"/>
      <c r="GT50" s="1"/>
      <c r="GU50" s="1"/>
      <c r="GV50" s="1"/>
      <c r="GW50" s="1"/>
      <c r="GX50" s="1"/>
      <c r="GY50" s="1"/>
      <c r="GZ50" s="1"/>
      <c r="HA50" s="1"/>
      <c r="HB50" s="1"/>
      <c r="HC50" s="1"/>
      <c r="HD50" s="1"/>
      <c r="HE50" s="1"/>
      <c r="HF50" s="1"/>
      <c r="HG50" s="1"/>
      <c r="HH50" s="1"/>
      <c r="HI50" s="1"/>
      <c r="HJ50" s="1"/>
      <c r="HK50" s="1"/>
      <c r="HL50" s="1"/>
      <c r="HM50" s="1"/>
      <c r="HN50" s="1"/>
      <c r="HO50" s="1"/>
      <c r="HP50" s="1"/>
      <c r="HQ50" s="1"/>
      <c r="HR50" s="1"/>
      <c r="HS50" s="1"/>
      <c r="HT50" s="1"/>
      <c r="HU50" s="1"/>
      <c r="HV50" s="1"/>
      <c r="HW50" s="1"/>
      <c r="HX50" s="1"/>
      <c r="HY50" s="1"/>
      <c r="HZ50" s="1"/>
      <c r="IA50" s="1"/>
      <c r="IB50" s="1"/>
      <c r="IC50" s="1"/>
      <c r="ID50" s="1"/>
      <c r="IE50" s="1"/>
      <c r="IF50" s="1"/>
      <c r="IG50" s="1"/>
      <c r="IH50" s="1"/>
      <c r="II50" s="1"/>
      <c r="IJ50" s="1"/>
      <c r="IK50" s="1"/>
      <c r="IL50" s="1"/>
      <c r="IM50" s="1"/>
      <c r="IN50" s="1"/>
      <c r="IO50" s="1"/>
      <c r="IP50" s="1"/>
      <c r="IQ50" s="1"/>
      <c r="IR50" s="1"/>
      <c r="IS50" s="1"/>
      <c r="IT50" s="1"/>
      <c r="IU50" s="1"/>
      <c r="IV50" s="1"/>
      <c r="IW50" s="1"/>
      <c r="IX50" s="1"/>
      <c r="IY50" s="1"/>
      <c r="IZ50" s="1"/>
      <c r="JA50" s="1"/>
      <c r="JB50" s="1"/>
      <c r="JC50" s="1"/>
      <c r="JD50" s="1"/>
    </row>
    <row r="51" spans="2:264" s="1044" customFormat="1" x14ac:dyDescent="0.2">
      <c r="B51" s="1067" t="s">
        <v>1055</v>
      </c>
      <c r="C51" s="1100"/>
      <c r="D51" s="1228"/>
      <c r="E51" s="1194"/>
      <c r="F51" s="1200"/>
      <c r="G51" s="1201"/>
      <c r="H51" s="1202"/>
      <c r="I51" s="1171"/>
      <c r="J51" s="1171"/>
      <c r="K51" s="1171"/>
      <c r="L51" s="1171"/>
      <c r="M51" s="1171"/>
      <c r="N51" s="1171"/>
      <c r="O51" s="1171"/>
      <c r="P51" s="1046"/>
      <c r="Q51" s="1044" t="s">
        <v>254</v>
      </c>
      <c r="R51" s="1227"/>
      <c r="S51" s="1225"/>
      <c r="T51" s="1074"/>
      <c r="U51" s="1074"/>
      <c r="V51" s="1074"/>
      <c r="W51" s="1074"/>
      <c r="X51" s="1176"/>
      <c r="Y51" s="1176">
        <f>MODEL!BJ31</f>
        <v>11811</v>
      </c>
      <c r="Z51" s="1176">
        <f>MODEL!BN31</f>
        <v>12902</v>
      </c>
      <c r="AA51" s="1176">
        <f>MODEL!BR31</f>
        <v>13585</v>
      </c>
      <c r="AB51" s="1176">
        <f>MODEL!BV31</f>
        <v>14313</v>
      </c>
      <c r="AC51" s="1176">
        <f>MODEL!BZ31</f>
        <v>14658</v>
      </c>
      <c r="AD51" s="1176">
        <f>MODEL!CD31</f>
        <v>13927</v>
      </c>
      <c r="AE51" s="1203">
        <f>MODEL!CH31</f>
        <v>12755</v>
      </c>
      <c r="AF51" s="1204">
        <f>MODEL!CL31</f>
        <v>12765</v>
      </c>
      <c r="AG51" s="1204">
        <f>MODEL!CP31</f>
        <v>12797</v>
      </c>
      <c r="AH51" s="1204">
        <f>MODEL!CT31</f>
        <v>13261</v>
      </c>
      <c r="AI51" s="1204">
        <f>MODEL!CX31</f>
        <v>15277</v>
      </c>
      <c r="AJ51" s="1204">
        <f>MODEL!DB31</f>
        <v>14956</v>
      </c>
      <c r="AK51" s="1377">
        <f>MODEL!DF31</f>
        <v>15469</v>
      </c>
      <c r="AL51" s="1204">
        <f>MODEL!DJ31</f>
        <v>16562.585810767232</v>
      </c>
      <c r="AM51" s="1204">
        <f>MODEL!$DN31</f>
        <v>17937.328162601487</v>
      </c>
      <c r="AN51" s="1204">
        <f>MODEL!$DR31</f>
        <v>18706.288050557676</v>
      </c>
      <c r="AO51" s="1176">
        <f t="shared" ref="AO51" ca="1" si="126">SUM(AO49:AO50)</f>
        <v>19805.873846019527</v>
      </c>
      <c r="AP51" s="1176">
        <f t="shared" ref="AP51:AQ51" ca="1" si="127">SUM(AP49:AP50)</f>
        <v>20573.71808588034</v>
      </c>
      <c r="AQ51" s="1176">
        <f t="shared" ca="1" si="127"/>
        <v>21370.26740561748</v>
      </c>
      <c r="AR51" s="1176">
        <f ca="1">SUM(AR49:AR50)</f>
        <v>22196.557271085367</v>
      </c>
      <c r="AS51" s="1176">
        <f ca="1">SUM(AS49:AS50)</f>
        <v>23053.658982097022</v>
      </c>
      <c r="AT51" s="1176">
        <f t="shared" ref="AT51:AU51" ca="1" si="128">SUM(AT49:AT50)</f>
        <v>23942.680843993257</v>
      </c>
      <c r="AU51" s="1176">
        <f t="shared" ca="1" si="128"/>
        <v>24864.769374118612</v>
      </c>
      <c r="AV51" s="1176"/>
      <c r="AW51" s="1176"/>
      <c r="AX51" s="1176"/>
      <c r="AY51" s="1176"/>
      <c r="AZ51" s="1176"/>
      <c r="BA51" s="1176"/>
      <c r="BB51" s="1176"/>
      <c r="BC51" s="1176"/>
      <c r="BD51" s="1176"/>
      <c r="BE51" s="1176"/>
      <c r="BF51" s="1176"/>
      <c r="BG51" s="1176"/>
      <c r="BH51" s="1176"/>
      <c r="BI51" s="1176"/>
      <c r="BJ51" s="1176"/>
      <c r="BK51" s="1176"/>
      <c r="BL51" s="1176"/>
      <c r="BM51" s="1176"/>
      <c r="BN51" s="1176"/>
      <c r="BO51" s="1176"/>
      <c r="BP51" s="1176"/>
      <c r="BQ51" s="1176"/>
      <c r="BR51" s="1176"/>
      <c r="BS51" s="1176"/>
      <c r="BT51" s="1176"/>
      <c r="BU51" s="1176"/>
      <c r="BV51" s="1176"/>
      <c r="BW51" s="1176"/>
      <c r="BX51" s="1176"/>
      <c r="BY51" s="1176"/>
      <c r="BZ51" s="1176"/>
      <c r="CA51" s="1176"/>
      <c r="CB51" s="1176"/>
      <c r="CC51" s="1176"/>
      <c r="CD51" s="1176"/>
      <c r="CE51" s="1176"/>
      <c r="CF51" s="1176"/>
      <c r="CG51" s="1176"/>
      <c r="CH51" s="1176"/>
      <c r="CI51" s="1176"/>
      <c r="CJ51" s="1176"/>
      <c r="CK51" s="1229"/>
      <c r="CL51" s="1229"/>
      <c r="CM51" s="1229"/>
      <c r="CN51" s="1229"/>
      <c r="CO51" s="1229"/>
      <c r="CP51" s="1229"/>
      <c r="CQ51" s="1229"/>
      <c r="CR51" s="1229"/>
      <c r="CS51" s="1229"/>
      <c r="CT51" s="1229"/>
      <c r="CU51" s="1229"/>
      <c r="CV51" s="1229"/>
      <c r="CW51" s="1229"/>
      <c r="CX51" s="1229"/>
      <c r="CY51" s="1229"/>
      <c r="CZ51" s="1229"/>
      <c r="DA51" s="1229"/>
      <c r="DB51" s="1229"/>
      <c r="DC51" s="1229"/>
      <c r="DD51" s="1229"/>
      <c r="DE51" s="1229"/>
      <c r="DF51" s="1229"/>
      <c r="DG51" s="1229"/>
      <c r="DH51" s="1229"/>
      <c r="DI51" s="1229"/>
      <c r="DJ51" s="1229"/>
      <c r="DK51" s="1229"/>
      <c r="DL51" s="1229"/>
      <c r="DM51" s="1229"/>
      <c r="DN51" s="1229"/>
      <c r="DO51" s="1229"/>
      <c r="DP51" s="1229"/>
      <c r="DQ51" s="1229"/>
      <c r="DR51" s="1229"/>
      <c r="DS51" s="1229"/>
      <c r="DT51" s="1229"/>
      <c r="DU51" s="1229"/>
      <c r="DV51" s="1229"/>
      <c r="DW51" s="1229"/>
      <c r="DX51" s="1229"/>
      <c r="DY51" s="1229"/>
      <c r="DZ51" s="1229"/>
      <c r="EA51" s="1229"/>
      <c r="EB51" s="1229"/>
      <c r="EC51" s="1229"/>
      <c r="ED51" s="1229"/>
      <c r="EE51" s="1229"/>
      <c r="EF51" s="1229"/>
      <c r="EG51" s="1229"/>
      <c r="EH51" s="1229"/>
      <c r="EI51" s="1229"/>
      <c r="EJ51" s="1229"/>
      <c r="EK51" s="1229"/>
      <c r="EL51" s="1229"/>
      <c r="EM51" s="1229"/>
      <c r="EN51" s="1229"/>
      <c r="EO51" s="1229"/>
      <c r="EP51" s="1229"/>
      <c r="EQ51" s="1229"/>
      <c r="ER51" s="1229"/>
      <c r="ES51" s="1"/>
      <c r="ET51" s="1"/>
      <c r="EU51" s="1"/>
      <c r="EV51" s="1"/>
      <c r="EW51" s="1"/>
      <c r="EX51" s="1"/>
      <c r="EY51" s="1"/>
      <c r="EZ51" s="1"/>
      <c r="FA51" s="1"/>
      <c r="FB51" s="1"/>
      <c r="FC51" s="1"/>
      <c r="FD51" s="1"/>
      <c r="FE51" s="1"/>
      <c r="FF51" s="1"/>
      <c r="FG51" s="1"/>
      <c r="FH51" s="1"/>
      <c r="FI51" s="1"/>
      <c r="FJ51" s="1"/>
      <c r="FK51" s="1"/>
      <c r="FL51" s="1"/>
      <c r="FM51" s="1"/>
      <c r="FN51" s="1"/>
      <c r="FO51" s="1"/>
      <c r="FP51" s="1"/>
      <c r="FQ51" s="1"/>
      <c r="FR51" s="1"/>
      <c r="FS51" s="1"/>
      <c r="FT51" s="1"/>
      <c r="FU51" s="1"/>
      <c r="FV51" s="1"/>
      <c r="FW51" s="1"/>
      <c r="FX51" s="1"/>
      <c r="FY51" s="1"/>
      <c r="FZ51" s="1"/>
      <c r="GA51" s="1"/>
      <c r="GB51" s="1"/>
      <c r="GC51" s="1"/>
      <c r="GD51" s="1"/>
      <c r="GE51" s="1"/>
      <c r="GF51" s="1"/>
      <c r="GG51" s="1"/>
      <c r="GH51" s="1"/>
      <c r="GI51" s="1"/>
      <c r="GJ51" s="1"/>
      <c r="GK51" s="1"/>
      <c r="GL51" s="1"/>
      <c r="GM51" s="1"/>
      <c r="GN51" s="1"/>
      <c r="GO51" s="1"/>
      <c r="GP51" s="1"/>
      <c r="GQ51" s="1"/>
      <c r="GR51" s="1"/>
      <c r="GS51" s="1"/>
      <c r="GT51" s="1"/>
      <c r="GU51" s="1"/>
      <c r="GV51" s="1"/>
      <c r="GW51" s="1"/>
      <c r="GX51" s="1"/>
      <c r="GY51" s="1"/>
      <c r="GZ51" s="1"/>
      <c r="HA51" s="1"/>
      <c r="HB51" s="1"/>
      <c r="HC51" s="1"/>
      <c r="HD51" s="1"/>
      <c r="HE51" s="1"/>
      <c r="HF51" s="1"/>
      <c r="HG51" s="1"/>
      <c r="HH51" s="1"/>
      <c r="HI51" s="1"/>
      <c r="HJ51" s="1"/>
      <c r="HK51" s="1"/>
      <c r="HL51" s="1"/>
      <c r="HM51" s="1"/>
      <c r="HN51" s="1"/>
      <c r="HO51" s="1"/>
      <c r="HP51" s="1"/>
      <c r="HQ51" s="1"/>
      <c r="HR51" s="1"/>
      <c r="HS51" s="1"/>
      <c r="HT51" s="1"/>
      <c r="HU51" s="1"/>
      <c r="HV51" s="1"/>
      <c r="HW51" s="1"/>
      <c r="HX51" s="1"/>
      <c r="HY51" s="1"/>
      <c r="HZ51" s="1"/>
      <c r="IA51" s="1"/>
      <c r="IB51" s="1"/>
      <c r="IC51" s="1"/>
      <c r="ID51" s="1"/>
      <c r="IE51" s="1"/>
      <c r="IF51" s="1"/>
      <c r="IG51" s="1"/>
      <c r="IH51" s="1"/>
      <c r="II51" s="1"/>
      <c r="IJ51" s="1"/>
      <c r="IK51" s="1"/>
      <c r="IL51" s="1"/>
      <c r="IM51" s="1"/>
      <c r="IN51" s="1"/>
      <c r="IO51" s="1"/>
      <c r="IP51" s="1"/>
      <c r="IQ51" s="1"/>
      <c r="IR51" s="1"/>
      <c r="IS51" s="1"/>
      <c r="IT51" s="1"/>
      <c r="IU51" s="1"/>
      <c r="IV51" s="1"/>
      <c r="IW51" s="1"/>
      <c r="IX51" s="1"/>
      <c r="IY51" s="1"/>
      <c r="IZ51" s="1"/>
      <c r="JA51" s="1"/>
      <c r="JB51" s="1"/>
      <c r="JC51" s="1"/>
      <c r="JD51" s="1"/>
    </row>
    <row r="52" spans="2:264" s="1044" customFormat="1" x14ac:dyDescent="0.2">
      <c r="B52" s="1079" t="s">
        <v>1037</v>
      </c>
      <c r="C52" s="1190">
        <v>35</v>
      </c>
      <c r="E52" s="1194"/>
      <c r="G52" s="1208"/>
      <c r="H52" s="1209"/>
      <c r="P52" s="1230"/>
      <c r="Q52" s="1044" t="s">
        <v>600</v>
      </c>
      <c r="R52" s="1227"/>
      <c r="S52" s="1225"/>
      <c r="T52" s="1156"/>
      <c r="U52" s="1156"/>
      <c r="V52" s="1156"/>
      <c r="W52" s="1156"/>
      <c r="X52" s="1176"/>
      <c r="Y52" s="1176">
        <f>MODEL!BJ32</f>
        <v>-1082</v>
      </c>
      <c r="Z52" s="1176">
        <f>MODEL!BN32</f>
        <v>-953</v>
      </c>
      <c r="AA52" s="1176">
        <f>MODEL!BR32</f>
        <v>-988</v>
      </c>
      <c r="AB52" s="1176">
        <f>MODEL!BV32</f>
        <v>-1256</v>
      </c>
      <c r="AC52" s="1176">
        <f>MODEL!BZ32</f>
        <v>-1095</v>
      </c>
      <c r="AD52" s="1176">
        <f>MODEL!CD32</f>
        <v>-1079</v>
      </c>
      <c r="AE52" s="1203">
        <f>MODEL!CH32</f>
        <v>-1201</v>
      </c>
      <c r="AF52" s="1204">
        <f>MODEL!CL32</f>
        <v>-2518</v>
      </c>
      <c r="AG52" s="1204">
        <f>MODEL!CP32</f>
        <v>-554</v>
      </c>
      <c r="AH52" s="1204">
        <f>MODEL!CT32</f>
        <v>357</v>
      </c>
      <c r="AI52" s="1204">
        <f>MODEL!CX32</f>
        <v>-1108</v>
      </c>
      <c r="AJ52" s="1204">
        <f>MODEL!DB32</f>
        <v>-802</v>
      </c>
      <c r="AK52" s="1377">
        <f>MODEL!DF32</f>
        <v>-726</v>
      </c>
      <c r="AL52" s="1204">
        <f>MODEL!DJ32</f>
        <v>-749.65637850734686</v>
      </c>
      <c r="AM52" s="1204">
        <f>MODEL!$DN32</f>
        <v>-1078.3164689442144</v>
      </c>
      <c r="AN52" s="1204">
        <f>MODEL!$DR32</f>
        <v>-1193.8497694501655</v>
      </c>
      <c r="AO52" s="1176">
        <f t="shared" ref="AO52:AU52" si="129">-AO76*AO8</f>
        <v>-1340.8837334030113</v>
      </c>
      <c r="AP52" s="1176">
        <f t="shared" si="129"/>
        <v>-1401.2235014061466</v>
      </c>
      <c r="AQ52" s="1176">
        <f t="shared" si="129"/>
        <v>-1464.2785589694231</v>
      </c>
      <c r="AR52" s="1176">
        <f t="shared" si="129"/>
        <v>-1530.1710941230472</v>
      </c>
      <c r="AS52" s="1176">
        <f t="shared" si="129"/>
        <v>-3654.9229562481923</v>
      </c>
      <c r="AT52" s="1176">
        <f t="shared" si="129"/>
        <v>-3819.3944892793606</v>
      </c>
      <c r="AU52" s="1176">
        <f t="shared" si="129"/>
        <v>-1746.1794180674076</v>
      </c>
      <c r="AV52" s="1176"/>
      <c r="AW52" s="1176"/>
      <c r="AX52" s="1176"/>
      <c r="AY52" s="1176"/>
      <c r="AZ52" s="1176"/>
      <c r="BA52" s="1176"/>
      <c r="BB52" s="1176"/>
      <c r="BC52" s="1176"/>
      <c r="BD52" s="1176"/>
      <c r="BE52" s="1176"/>
      <c r="BF52" s="1176"/>
      <c r="BG52" s="1176"/>
      <c r="BH52" s="1176"/>
      <c r="BI52" s="1176"/>
      <c r="BJ52" s="1176"/>
      <c r="BK52" s="1176"/>
      <c r="BL52" s="1176"/>
      <c r="BM52" s="1176"/>
      <c r="BN52" s="1176"/>
      <c r="BO52" s="1176"/>
      <c r="BP52" s="1176"/>
      <c r="BQ52" s="1176"/>
      <c r="BR52" s="1176"/>
      <c r="BS52" s="1176"/>
      <c r="BT52" s="1176"/>
      <c r="BU52" s="1176"/>
      <c r="BV52" s="1176"/>
      <c r="BW52" s="1176"/>
      <c r="BX52" s="1176"/>
      <c r="BY52" s="1176"/>
      <c r="BZ52" s="1176"/>
      <c r="CA52" s="1176"/>
      <c r="CB52" s="1176"/>
      <c r="CC52" s="1176"/>
      <c r="CD52" s="1176"/>
      <c r="CE52" s="1176"/>
      <c r="CF52" s="1176"/>
      <c r="CG52" s="1176"/>
      <c r="CH52" s="1176"/>
      <c r="CI52" s="1176"/>
      <c r="CJ52" s="1176"/>
      <c r="CK52" s="1229"/>
      <c r="CL52" s="1229"/>
      <c r="CM52" s="1229"/>
      <c r="CN52" s="1229"/>
      <c r="CO52" s="1229"/>
      <c r="CP52" s="1229"/>
      <c r="CQ52" s="1229"/>
      <c r="CR52" s="1229"/>
      <c r="CS52" s="1229"/>
      <c r="CT52" s="1229"/>
      <c r="CU52" s="1229"/>
      <c r="CV52" s="1229"/>
      <c r="CW52" s="1229"/>
      <c r="CX52" s="1229"/>
      <c r="CY52" s="1229"/>
      <c r="CZ52" s="1229"/>
      <c r="DA52" s="1229"/>
      <c r="DB52" s="1229"/>
      <c r="DC52" s="1229"/>
      <c r="DD52" s="1229"/>
      <c r="DE52" s="1229"/>
      <c r="DF52" s="1229"/>
      <c r="DG52" s="1229"/>
      <c r="DH52" s="1229"/>
      <c r="DI52" s="1229"/>
      <c r="DJ52" s="1229"/>
      <c r="DK52" s="1229"/>
      <c r="DL52" s="1229"/>
      <c r="DM52" s="1229"/>
      <c r="DN52" s="1229"/>
      <c r="DO52" s="1229"/>
      <c r="DP52" s="1229"/>
      <c r="DQ52" s="1229"/>
      <c r="DR52" s="1229"/>
      <c r="DS52" s="1229"/>
      <c r="DT52" s="1229"/>
      <c r="DU52" s="1229"/>
      <c r="DV52" s="1229"/>
      <c r="DW52" s="1229"/>
      <c r="DX52" s="1229"/>
      <c r="DY52" s="1229"/>
      <c r="DZ52" s="1229"/>
      <c r="EA52" s="1229"/>
      <c r="EB52" s="1229"/>
      <c r="EC52" s="1229"/>
      <c r="ED52" s="1229"/>
      <c r="EE52" s="1229"/>
      <c r="EF52" s="1229"/>
      <c r="EG52" s="1229"/>
      <c r="EH52" s="1229"/>
      <c r="EI52" s="1229"/>
      <c r="EJ52" s="1229"/>
      <c r="EK52" s="1229"/>
      <c r="EL52" s="1229"/>
      <c r="EM52" s="1229"/>
      <c r="EN52" s="1229"/>
      <c r="EO52" s="1229"/>
      <c r="EP52" s="1229"/>
      <c r="EQ52" s="1229"/>
      <c r="ER52" s="1229"/>
      <c r="ES52" s="1"/>
      <c r="ET52" s="1"/>
      <c r="EU52" s="1"/>
      <c r="EV52" s="1"/>
      <c r="EW52" s="1"/>
      <c r="EX52" s="1"/>
      <c r="EY52" s="1"/>
      <c r="EZ52" s="1"/>
      <c r="FA52" s="1"/>
      <c r="FB52" s="1"/>
      <c r="FC52" s="1"/>
      <c r="FD52" s="1"/>
      <c r="FE52" s="1"/>
      <c r="FF52" s="1"/>
      <c r="FG52" s="1"/>
      <c r="FH52" s="1"/>
      <c r="FI52" s="1"/>
      <c r="FJ52" s="1"/>
      <c r="FK52" s="1"/>
      <c r="FL52" s="1"/>
      <c r="FM52" s="1"/>
      <c r="FN52" s="1"/>
      <c r="FO52" s="1"/>
      <c r="FP52" s="1"/>
      <c r="FQ52" s="1"/>
      <c r="FR52" s="1"/>
      <c r="FS52" s="1"/>
      <c r="FT52" s="1"/>
      <c r="FU52" s="1"/>
      <c r="FV52" s="1"/>
      <c r="FW52" s="1"/>
      <c r="FX52" s="1"/>
      <c r="FY52" s="1"/>
      <c r="FZ52" s="1"/>
      <c r="GA52" s="1"/>
      <c r="GB52" s="1"/>
      <c r="GC52" s="1"/>
      <c r="GD52" s="1"/>
      <c r="GE52" s="1"/>
      <c r="GF52" s="1"/>
      <c r="GG52" s="1"/>
      <c r="GH52" s="1"/>
      <c r="GI52" s="1"/>
      <c r="GJ52" s="1"/>
      <c r="GK52" s="1"/>
      <c r="GL52" s="1"/>
      <c r="GM52" s="1"/>
      <c r="GN52" s="1"/>
      <c r="GO52" s="1"/>
      <c r="GP52" s="1"/>
      <c r="GQ52" s="1"/>
      <c r="GR52" s="1"/>
      <c r="GS52" s="1"/>
      <c r="GT52" s="1"/>
      <c r="GU52" s="1"/>
      <c r="GV52" s="1"/>
      <c r="GW52" s="1"/>
      <c r="GX52" s="1"/>
      <c r="GY52" s="1"/>
      <c r="GZ52" s="1"/>
      <c r="HA52" s="1"/>
      <c r="HB52" s="1"/>
      <c r="HC52" s="1"/>
      <c r="HD52" s="1"/>
      <c r="HE52" s="1"/>
      <c r="HF52" s="1"/>
      <c r="HG52" s="1"/>
      <c r="HH52" s="1"/>
      <c r="HI52" s="1"/>
      <c r="HJ52" s="1"/>
      <c r="HK52" s="1"/>
      <c r="HL52" s="1"/>
      <c r="HM52" s="1"/>
      <c r="HN52" s="1"/>
      <c r="HO52" s="1"/>
      <c r="HP52" s="1"/>
      <c r="HQ52" s="1"/>
      <c r="HR52" s="1"/>
      <c r="HS52" s="1"/>
      <c r="HT52" s="1"/>
      <c r="HU52" s="1"/>
      <c r="HV52" s="1"/>
      <c r="HW52" s="1"/>
      <c r="HX52" s="1"/>
      <c r="HY52" s="1"/>
      <c r="HZ52" s="1"/>
      <c r="IA52" s="1"/>
      <c r="IB52" s="1"/>
      <c r="IC52" s="1"/>
      <c r="ID52" s="1"/>
      <c r="IE52" s="1"/>
      <c r="IF52" s="1"/>
      <c r="IG52" s="1"/>
      <c r="IH52" s="1"/>
      <c r="II52" s="1"/>
      <c r="IJ52" s="1"/>
      <c r="IK52" s="1"/>
      <c r="IL52" s="1"/>
      <c r="IM52" s="1"/>
      <c r="IN52" s="1"/>
      <c r="IO52" s="1"/>
      <c r="IP52" s="1"/>
      <c r="IQ52" s="1"/>
      <c r="IR52" s="1"/>
      <c r="IS52" s="1"/>
      <c r="IT52" s="1"/>
      <c r="IU52" s="1"/>
      <c r="IV52" s="1"/>
      <c r="IW52" s="1"/>
      <c r="IX52" s="1"/>
      <c r="IY52" s="1"/>
      <c r="IZ52" s="1"/>
      <c r="JA52" s="1"/>
      <c r="JB52" s="1"/>
      <c r="JC52" s="1"/>
      <c r="JD52" s="1"/>
    </row>
    <row r="53" spans="2:264" s="1044" customFormat="1" x14ac:dyDescent="0.2">
      <c r="B53" s="1191" t="s">
        <v>1039</v>
      </c>
      <c r="C53" s="1192">
        <f ca="1">AVERAGE(BA38:CI38)</f>
        <v>0.12004582262002089</v>
      </c>
      <c r="E53" s="1194"/>
      <c r="F53" s="1047"/>
      <c r="G53" s="1211"/>
      <c r="H53" s="1043"/>
      <c r="I53" s="1143"/>
      <c r="J53" s="1143"/>
      <c r="K53" s="1143"/>
      <c r="L53" s="1143"/>
      <c r="M53" s="1143"/>
      <c r="N53" s="1143"/>
      <c r="O53" s="1143"/>
      <c r="P53" s="1230"/>
      <c r="Q53" s="1044" t="s">
        <v>620</v>
      </c>
      <c r="R53" s="1227"/>
      <c r="S53" s="1225"/>
      <c r="T53" s="1074"/>
      <c r="U53" s="1074"/>
      <c r="V53" s="1074"/>
      <c r="W53" s="1074"/>
      <c r="X53" s="1176"/>
      <c r="Y53" s="1176">
        <f>MODEL!BJ33</f>
        <v>10729</v>
      </c>
      <c r="Z53" s="1176">
        <f>MODEL!BN33</f>
        <v>11949</v>
      </c>
      <c r="AA53" s="1176">
        <f>MODEL!BR33</f>
        <v>12597</v>
      </c>
      <c r="AB53" s="1176">
        <f>MODEL!BV33</f>
        <v>13057</v>
      </c>
      <c r="AC53" s="1176">
        <f>MODEL!BZ33</f>
        <v>13563</v>
      </c>
      <c r="AD53" s="1176">
        <f>MODEL!CD33</f>
        <v>12848</v>
      </c>
      <c r="AE53" s="1203">
        <f>MODEL!CH33</f>
        <v>11554</v>
      </c>
      <c r="AF53" s="1204">
        <f>MODEL!CL33</f>
        <v>10247</v>
      </c>
      <c r="AG53" s="1204">
        <f>MODEL!CP33</f>
        <v>12243</v>
      </c>
      <c r="AH53" s="1204">
        <f>MODEL!CT33</f>
        <v>13618</v>
      </c>
      <c r="AI53" s="1204">
        <f>MODEL!CX33</f>
        <v>14169</v>
      </c>
      <c r="AJ53" s="1204">
        <f>MODEL!DB33</f>
        <v>14154</v>
      </c>
      <c r="AK53" s="1377">
        <f>MODEL!DF33</f>
        <v>14743</v>
      </c>
      <c r="AL53" s="1204">
        <f>MODEL!DJ33</f>
        <v>15812.929432259885</v>
      </c>
      <c r="AM53" s="1204">
        <f>MODEL!$DN33</f>
        <v>16859.011693657274</v>
      </c>
      <c r="AN53" s="1204">
        <f>MODEL!$DR33</f>
        <v>17512.438281107512</v>
      </c>
      <c r="AO53" s="1176">
        <f t="shared" ref="AO53:AQ53" ca="1" si="130">SUM(AO51:AO52)</f>
        <v>18464.990112616517</v>
      </c>
      <c r="AP53" s="1176">
        <f t="shared" ca="1" si="130"/>
        <v>19172.494584474192</v>
      </c>
      <c r="AQ53" s="1176">
        <f t="shared" ca="1" si="130"/>
        <v>19905.988846648055</v>
      </c>
      <c r="AR53" s="1176">
        <f ca="1">SUM(AR51:AR52)</f>
        <v>20666.386176962318</v>
      </c>
      <c r="AS53" s="1176">
        <f ca="1">SUM(AS51:AS52)</f>
        <v>19398.73602584883</v>
      </c>
      <c r="AT53" s="1176">
        <f t="shared" ref="AT53:AU53" ca="1" si="131">SUM(AT51:AT52)</f>
        <v>20123.286354713899</v>
      </c>
      <c r="AU53" s="1176">
        <f t="shared" ca="1" si="131"/>
        <v>23118.589956051204</v>
      </c>
      <c r="AV53" s="1176"/>
      <c r="AW53" s="1176"/>
      <c r="AX53" s="1176"/>
      <c r="AY53" s="1176"/>
      <c r="AZ53" s="1176"/>
      <c r="BA53" s="1176"/>
      <c r="BB53" s="1176"/>
      <c r="BC53" s="1176"/>
      <c r="BD53" s="1176"/>
      <c r="BE53" s="1176"/>
      <c r="BF53" s="1176"/>
      <c r="BG53" s="1176"/>
      <c r="BH53" s="1176"/>
      <c r="BI53" s="1176"/>
      <c r="BJ53" s="1176"/>
      <c r="BK53" s="1176"/>
      <c r="BL53" s="1176"/>
      <c r="BM53" s="1176"/>
      <c r="BN53" s="1176"/>
      <c r="BO53" s="1176"/>
      <c r="BP53" s="1176"/>
      <c r="BQ53" s="1176"/>
      <c r="BR53" s="1176"/>
      <c r="BS53" s="1176"/>
      <c r="BT53" s="1176"/>
      <c r="BU53" s="1176"/>
      <c r="BV53" s="1176"/>
      <c r="BW53" s="1176"/>
      <c r="BX53" s="1176"/>
      <c r="BY53" s="1176"/>
      <c r="BZ53" s="1176"/>
      <c r="CA53" s="1176"/>
      <c r="CB53" s="1176"/>
      <c r="CC53" s="1176"/>
      <c r="CD53" s="1176"/>
      <c r="CE53" s="1176"/>
      <c r="CF53" s="1176"/>
      <c r="CG53" s="1176"/>
      <c r="CH53" s="1176"/>
      <c r="CI53" s="1176"/>
      <c r="CJ53" s="1176"/>
      <c r="CK53" s="1083"/>
      <c r="CL53" s="1083"/>
      <c r="CM53" s="1083"/>
      <c r="CN53" s="1083"/>
      <c r="CO53" s="1083"/>
      <c r="CP53" s="1083"/>
      <c r="CQ53" s="1083"/>
      <c r="CR53" s="1083"/>
      <c r="CS53" s="1083"/>
      <c r="CT53" s="1083"/>
      <c r="CU53" s="1083"/>
      <c r="CV53" s="1083"/>
      <c r="CW53" s="1083"/>
      <c r="CX53" s="1083"/>
      <c r="CY53" s="1083"/>
      <c r="CZ53" s="1083"/>
      <c r="DA53" s="1083"/>
      <c r="DB53" s="1083"/>
      <c r="DC53" s="1083"/>
      <c r="DD53" s="1083"/>
      <c r="DE53" s="1083"/>
      <c r="DF53" s="1083"/>
      <c r="DG53" s="1083"/>
      <c r="DH53" s="1083"/>
      <c r="DI53" s="1083"/>
      <c r="DJ53" s="1083"/>
      <c r="DK53" s="1083"/>
      <c r="DL53" s="1083"/>
      <c r="DM53" s="1083"/>
      <c r="DN53" s="1083"/>
      <c r="DO53" s="1083"/>
      <c r="DP53" s="1083"/>
      <c r="DQ53" s="1083"/>
      <c r="DR53" s="1083"/>
      <c r="DS53" s="1083"/>
      <c r="DT53" s="1083"/>
      <c r="DU53" s="1083"/>
      <c r="DV53" s="1083"/>
      <c r="DW53" s="1083"/>
      <c r="DX53" s="1083"/>
      <c r="DY53" s="1083"/>
      <c r="DZ53" s="1083"/>
      <c r="EA53" s="1083"/>
      <c r="EB53" s="1083"/>
      <c r="EC53" s="1083"/>
      <c r="ED53" s="1083"/>
      <c r="EE53" s="1083"/>
      <c r="EF53" s="1083"/>
      <c r="EG53" s="1083"/>
      <c r="EH53" s="1083"/>
      <c r="EI53" s="1083"/>
      <c r="EJ53" s="1083"/>
      <c r="EK53" s="1083"/>
      <c r="EL53" s="1083"/>
      <c r="EM53" s="1083"/>
      <c r="EN53" s="1083"/>
      <c r="EO53" s="1083"/>
      <c r="EP53" s="1083"/>
      <c r="EQ53" s="1083"/>
      <c r="ER53" s="1083"/>
      <c r="ES53" s="1"/>
      <c r="ET53" s="1"/>
      <c r="EU53" s="1"/>
      <c r="EV53" s="1"/>
      <c r="EW53" s="1"/>
      <c r="EX53" s="1"/>
      <c r="EY53" s="1"/>
      <c r="EZ53" s="1"/>
      <c r="FA53" s="1"/>
      <c r="FB53" s="1"/>
      <c r="FC53" s="1"/>
      <c r="FD53" s="1"/>
      <c r="FE53" s="1"/>
      <c r="FF53" s="1"/>
      <c r="FG53" s="1"/>
      <c r="FH53" s="1"/>
      <c r="FI53" s="1"/>
      <c r="FJ53" s="1"/>
      <c r="FK53" s="1"/>
      <c r="FL53" s="1"/>
      <c r="FM53" s="1"/>
      <c r="FN53" s="1"/>
      <c r="FO53" s="1"/>
      <c r="FP53" s="1"/>
      <c r="FQ53" s="1"/>
      <c r="FR53" s="1"/>
      <c r="FS53" s="1"/>
      <c r="FT53" s="1"/>
      <c r="FU53" s="1"/>
      <c r="FV53" s="1"/>
      <c r="FW53" s="1"/>
      <c r="FX53" s="1"/>
      <c r="FY53" s="1"/>
      <c r="FZ53" s="1"/>
      <c r="GA53" s="1"/>
      <c r="GB53" s="1"/>
      <c r="GC53" s="1"/>
      <c r="GD53" s="1"/>
      <c r="GE53" s="1"/>
      <c r="GF53" s="1"/>
      <c r="GG53" s="1"/>
      <c r="GH53" s="1"/>
      <c r="GI53" s="1"/>
      <c r="GJ53" s="1"/>
      <c r="GK53" s="1"/>
      <c r="GL53" s="1"/>
      <c r="GM53" s="1"/>
      <c r="GN53" s="1"/>
      <c r="GO53" s="1"/>
      <c r="GP53" s="1"/>
      <c r="GQ53" s="1"/>
      <c r="GR53" s="1"/>
      <c r="GS53" s="1"/>
      <c r="GT53" s="1"/>
      <c r="GU53" s="1"/>
      <c r="GV53" s="1"/>
      <c r="GW53" s="1"/>
      <c r="GX53" s="1"/>
      <c r="GY53" s="1"/>
      <c r="GZ53" s="1"/>
      <c r="HA53" s="1"/>
      <c r="HB53" s="1"/>
      <c r="HC53" s="1"/>
      <c r="HD53" s="1"/>
      <c r="HE53" s="1"/>
      <c r="HF53" s="1"/>
      <c r="HG53" s="1"/>
      <c r="HH53" s="1"/>
      <c r="HI53" s="1"/>
      <c r="HJ53" s="1"/>
      <c r="HK53" s="1"/>
      <c r="HL53" s="1"/>
      <c r="HM53" s="1"/>
      <c r="HN53" s="1"/>
      <c r="HO53" s="1"/>
      <c r="HP53" s="1"/>
      <c r="HQ53" s="1"/>
      <c r="HR53" s="1"/>
      <c r="HS53" s="1"/>
      <c r="HT53" s="1"/>
      <c r="HU53" s="1"/>
      <c r="HV53" s="1"/>
      <c r="HW53" s="1"/>
      <c r="HX53" s="1"/>
      <c r="HY53" s="1"/>
      <c r="HZ53" s="1"/>
      <c r="IA53" s="1"/>
      <c r="IB53" s="1"/>
      <c r="IC53" s="1"/>
      <c r="ID53" s="1"/>
      <c r="IE53" s="1"/>
      <c r="IF53" s="1"/>
      <c r="IG53" s="1"/>
      <c r="IH53" s="1"/>
      <c r="II53" s="1"/>
      <c r="IJ53" s="1"/>
      <c r="IK53" s="1"/>
      <c r="IL53" s="1"/>
      <c r="IM53" s="1"/>
      <c r="IN53" s="1"/>
      <c r="IO53" s="1"/>
      <c r="IP53" s="1"/>
      <c r="IQ53" s="1"/>
      <c r="IR53" s="1"/>
      <c r="IS53" s="1"/>
      <c r="IT53" s="1"/>
      <c r="IU53" s="1"/>
      <c r="IV53" s="1"/>
      <c r="IW53" s="1"/>
      <c r="IX53" s="1"/>
      <c r="IY53" s="1"/>
      <c r="IZ53" s="1"/>
      <c r="JA53" s="1"/>
      <c r="JB53" s="1"/>
      <c r="JC53" s="1"/>
      <c r="JD53" s="1"/>
    </row>
    <row r="54" spans="2:264" s="1044" customFormat="1" x14ac:dyDescent="0.2">
      <c r="B54" s="1191" t="s">
        <v>1040</v>
      </c>
      <c r="C54" s="1180">
        <f ca="1">AVERAGE(BA16:CI16)</f>
        <v>3.0000000000000013E-2</v>
      </c>
      <c r="E54" s="1194"/>
      <c r="G54" s="1043"/>
      <c r="H54" s="1043"/>
      <c r="I54" s="1090"/>
      <c r="J54" s="1090"/>
      <c r="K54" s="1090"/>
      <c r="L54" s="1090"/>
      <c r="M54" s="1090"/>
      <c r="N54" s="1090"/>
      <c r="O54" s="1090"/>
      <c r="P54" s="1230"/>
      <c r="Q54" s="1044" t="s">
        <v>619</v>
      </c>
      <c r="R54" s="1227"/>
      <c r="S54" s="1225"/>
      <c r="T54" s="1074"/>
      <c r="U54" s="1074"/>
      <c r="V54" s="1074"/>
      <c r="W54" s="1074"/>
      <c r="X54" s="1176"/>
      <c r="Y54" s="1176">
        <f>MODEL!BJ34</f>
        <v>-2953</v>
      </c>
      <c r="Z54" s="1176">
        <f>MODEL!BN34</f>
        <v>-3250</v>
      </c>
      <c r="AA54" s="1176">
        <f>MODEL!BR34</f>
        <v>-3439</v>
      </c>
      <c r="AB54" s="1176">
        <f>MODEL!BV34</f>
        <v>-3592</v>
      </c>
      <c r="AC54" s="1176">
        <f>MODEL!BZ34</f>
        <v>-3847</v>
      </c>
      <c r="AD54" s="1176">
        <f>MODEL!CD34</f>
        <v>-3920</v>
      </c>
      <c r="AE54" s="1203">
        <f>MODEL!CH34</f>
        <v>-3321</v>
      </c>
      <c r="AF54" s="1204">
        <f>MODEL!CL34</f>
        <v>-3022</v>
      </c>
      <c r="AG54" s="1204">
        <f>MODEL!CP34</f>
        <v>-3590</v>
      </c>
      <c r="AH54" s="1204">
        <f>MODEL!CT34</f>
        <v>-4023</v>
      </c>
      <c r="AI54" s="1204">
        <f>MODEL!CX34</f>
        <v>-4097</v>
      </c>
      <c r="AJ54" s="1204">
        <f>MODEL!DB34</f>
        <v>-4318</v>
      </c>
      <c r="AK54" s="1377">
        <f>MODEL!DF34</f>
        <v>-4491</v>
      </c>
      <c r="AL54" s="1204">
        <f>MODEL!DJ34</f>
        <v>-4743.2760413811857</v>
      </c>
      <c r="AM54" s="1204">
        <f>MODEL!$DN34</f>
        <v>-5057.7035080971818</v>
      </c>
      <c r="AN54" s="1204">
        <f>MODEL!$DR34</f>
        <v>-5253.7314843322529</v>
      </c>
      <c r="AO54" s="1176">
        <f t="shared" ref="AO54:AQ54" ca="1" si="132">-AO53*AO77</f>
        <v>-5539.4970337849545</v>
      </c>
      <c r="AP54" s="1176">
        <f t="shared" ca="1" si="132"/>
        <v>-5751.7483753422575</v>
      </c>
      <c r="AQ54" s="1176">
        <f t="shared" ca="1" si="132"/>
        <v>-5971.7966539944164</v>
      </c>
      <c r="AR54" s="1176">
        <f ca="1">-AR53*AR77</f>
        <v>-6199.9158530886953</v>
      </c>
      <c r="AS54" s="1176">
        <f ca="1">-AS53*AS77</f>
        <v>-5819.6208077546489</v>
      </c>
      <c r="AT54" s="1176">
        <f t="shared" ref="AT54:AU54" ca="1" si="133">-AT53*AT77</f>
        <v>-6036.9859064141692</v>
      </c>
      <c r="AU54" s="1176">
        <f t="shared" ca="1" si="133"/>
        <v>-6935.5769868153611</v>
      </c>
      <c r="AV54" s="1176"/>
      <c r="AW54" s="1176"/>
      <c r="AX54" s="1176"/>
      <c r="AY54" s="1176"/>
      <c r="AZ54" s="1176"/>
      <c r="BA54" s="1176"/>
      <c r="BB54" s="1176"/>
      <c r="BC54" s="1176"/>
      <c r="BD54" s="1176"/>
      <c r="BE54" s="1176"/>
      <c r="BF54" s="1176"/>
      <c r="BG54" s="1176"/>
      <c r="BH54" s="1176"/>
      <c r="BI54" s="1176"/>
      <c r="BJ54" s="1176"/>
      <c r="BK54" s="1176"/>
      <c r="BL54" s="1176"/>
      <c r="BM54" s="1176"/>
      <c r="BN54" s="1176"/>
      <c r="BO54" s="1176"/>
      <c r="BP54" s="1176"/>
      <c r="BQ54" s="1176"/>
      <c r="BR54" s="1176"/>
      <c r="BS54" s="1176"/>
      <c r="BT54" s="1176"/>
      <c r="BU54" s="1176"/>
      <c r="BV54" s="1176"/>
      <c r="BW54" s="1176"/>
      <c r="BX54" s="1176"/>
      <c r="BY54" s="1176"/>
      <c r="BZ54" s="1176"/>
      <c r="CA54" s="1176"/>
      <c r="CB54" s="1176"/>
      <c r="CC54" s="1176"/>
      <c r="CD54" s="1176"/>
      <c r="CE54" s="1176"/>
      <c r="CF54" s="1176"/>
      <c r="CG54" s="1176"/>
      <c r="CH54" s="1176"/>
      <c r="CI54" s="1176"/>
      <c r="CJ54" s="1176"/>
      <c r="CK54" s="1083"/>
      <c r="CL54" s="1083"/>
      <c r="CM54" s="1083"/>
      <c r="CN54" s="1083"/>
      <c r="CO54" s="1083"/>
      <c r="CP54" s="1083"/>
      <c r="CQ54" s="1083"/>
      <c r="CR54" s="1083"/>
      <c r="CS54" s="1083"/>
      <c r="CT54" s="1083"/>
      <c r="CU54" s="1083"/>
      <c r="CV54" s="1083"/>
      <c r="CW54" s="1083"/>
      <c r="CX54" s="1083"/>
      <c r="CY54" s="1083"/>
      <c r="CZ54" s="1083"/>
      <c r="DA54" s="1083"/>
      <c r="DB54" s="1083"/>
      <c r="DC54" s="1083"/>
      <c r="DD54" s="1083"/>
      <c r="DE54" s="1083"/>
      <c r="DF54" s="1083"/>
      <c r="DG54" s="1083"/>
      <c r="DH54" s="1083"/>
      <c r="DI54" s="1083"/>
      <c r="DJ54" s="1083"/>
      <c r="DK54" s="1083"/>
      <c r="DL54" s="1083"/>
      <c r="DM54" s="1083"/>
      <c r="DN54" s="1083"/>
      <c r="DO54" s="1083"/>
      <c r="DP54" s="1083"/>
      <c r="DQ54" s="1083"/>
      <c r="DR54" s="1083"/>
      <c r="DS54" s="1083"/>
      <c r="DT54" s="1083"/>
      <c r="DU54" s="1083"/>
      <c r="DV54" s="1083"/>
      <c r="DW54" s="1083"/>
      <c r="DX54" s="1083"/>
      <c r="DY54" s="1083"/>
      <c r="DZ54" s="1083"/>
      <c r="EA54" s="1083"/>
      <c r="EB54" s="1083"/>
      <c r="EC54" s="1083"/>
      <c r="ED54" s="1083"/>
      <c r="EE54" s="1083"/>
      <c r="EF54" s="1083"/>
      <c r="EG54" s="1083"/>
      <c r="EH54" s="1083"/>
      <c r="EI54" s="1083"/>
      <c r="EJ54" s="1083"/>
      <c r="EK54" s="1083"/>
      <c r="EL54" s="1083"/>
      <c r="EM54" s="1083"/>
      <c r="EN54" s="1083"/>
      <c r="EO54" s="1083"/>
      <c r="EP54" s="1083"/>
      <c r="EQ54" s="1083"/>
      <c r="ER54" s="1083"/>
      <c r="ES54" s="1"/>
      <c r="ET54" s="1"/>
      <c r="EU54" s="1"/>
      <c r="EV54" s="1"/>
      <c r="EW54" s="1"/>
      <c r="EX54" s="1"/>
      <c r="EY54" s="1"/>
      <c r="EZ54" s="1"/>
      <c r="FA54" s="1"/>
      <c r="FB54" s="1"/>
      <c r="FC54" s="1"/>
      <c r="FD54" s="1"/>
      <c r="FE54" s="1"/>
      <c r="FF54" s="1"/>
      <c r="FG54" s="1"/>
      <c r="FH54" s="1"/>
      <c r="FI54" s="1"/>
      <c r="FJ54" s="1"/>
      <c r="FK54" s="1"/>
      <c r="FL54" s="1"/>
      <c r="FM54" s="1"/>
      <c r="FN54" s="1"/>
      <c r="FO54" s="1"/>
      <c r="FP54" s="1"/>
      <c r="FQ54" s="1"/>
      <c r="FR54" s="1"/>
      <c r="FS54" s="1"/>
      <c r="FT54" s="1"/>
      <c r="FU54" s="1"/>
      <c r="FV54" s="1"/>
      <c r="FW54" s="1"/>
      <c r="FX54" s="1"/>
      <c r="FY54" s="1"/>
      <c r="FZ54" s="1"/>
      <c r="GA54" s="1"/>
      <c r="GB54" s="1"/>
      <c r="GC54" s="1"/>
      <c r="GD54" s="1"/>
      <c r="GE54" s="1"/>
      <c r="GF54" s="1"/>
      <c r="GG54" s="1"/>
      <c r="GH54" s="1"/>
      <c r="GI54" s="1"/>
      <c r="GJ54" s="1"/>
      <c r="GK54" s="1"/>
      <c r="GL54" s="1"/>
      <c r="GM54" s="1"/>
      <c r="GN54" s="1"/>
      <c r="GO54" s="1"/>
      <c r="GP54" s="1"/>
      <c r="GQ54" s="1"/>
      <c r="GR54" s="1"/>
      <c r="GS54" s="1"/>
      <c r="GT54" s="1"/>
      <c r="GU54" s="1"/>
      <c r="GV54" s="1"/>
      <c r="GW54" s="1"/>
      <c r="GX54" s="1"/>
      <c r="GY54" s="1"/>
      <c r="GZ54" s="1"/>
      <c r="HA54" s="1"/>
      <c r="HB54" s="1"/>
      <c r="HC54" s="1"/>
      <c r="HD54" s="1"/>
      <c r="HE54" s="1"/>
      <c r="HF54" s="1"/>
      <c r="HG54" s="1"/>
      <c r="HH54" s="1"/>
      <c r="HI54" s="1"/>
      <c r="HJ54" s="1"/>
      <c r="HK54" s="1"/>
      <c r="HL54" s="1"/>
      <c r="HM54" s="1"/>
      <c r="HN54" s="1"/>
      <c r="HO54" s="1"/>
      <c r="HP54" s="1"/>
      <c r="HQ54" s="1"/>
      <c r="HR54" s="1"/>
      <c r="HS54" s="1"/>
      <c r="HT54" s="1"/>
      <c r="HU54" s="1"/>
      <c r="HV54" s="1"/>
      <c r="HW54" s="1"/>
      <c r="HX54" s="1"/>
      <c r="HY54" s="1"/>
      <c r="HZ54" s="1"/>
      <c r="IA54" s="1"/>
      <c r="IB54" s="1"/>
      <c r="IC54" s="1"/>
      <c r="ID54" s="1"/>
      <c r="IE54" s="1"/>
      <c r="IF54" s="1"/>
      <c r="IG54" s="1"/>
      <c r="IH54" s="1"/>
      <c r="II54" s="1"/>
      <c r="IJ54" s="1"/>
      <c r="IK54" s="1"/>
      <c r="IL54" s="1"/>
      <c r="IM54" s="1"/>
      <c r="IN54" s="1"/>
      <c r="IO54" s="1"/>
      <c r="IP54" s="1"/>
      <c r="IQ54" s="1"/>
      <c r="IR54" s="1"/>
      <c r="IS54" s="1"/>
      <c r="IT54" s="1"/>
      <c r="IU54" s="1"/>
      <c r="IV54" s="1"/>
      <c r="IW54" s="1"/>
      <c r="IX54" s="1"/>
      <c r="IY54" s="1"/>
      <c r="IZ54" s="1"/>
      <c r="JA54" s="1"/>
      <c r="JB54" s="1"/>
      <c r="JC54" s="1"/>
      <c r="JD54" s="1"/>
    </row>
    <row r="55" spans="2:264" s="1044" customFormat="1" x14ac:dyDescent="0.2">
      <c r="B55" s="1191" t="s">
        <v>1045</v>
      </c>
      <c r="C55" s="1180">
        <f ca="1">AVERAGE(BA66:CI66)</f>
        <v>6.0655290788429852E-3</v>
      </c>
      <c r="E55" s="1194"/>
      <c r="F55" s="1140" t="s">
        <v>1051</v>
      </c>
      <c r="G55" s="1141" t="s">
        <v>22</v>
      </c>
      <c r="H55" s="1142" t="s">
        <v>980</v>
      </c>
      <c r="P55" s="1212"/>
      <c r="Q55" s="1044" t="s">
        <v>1058</v>
      </c>
      <c r="R55" s="1227"/>
      <c r="S55" s="1225"/>
      <c r="T55" s="1074"/>
      <c r="U55" s="1074"/>
      <c r="V55" s="1074"/>
      <c r="W55" s="1074"/>
      <c r="X55" s="1176"/>
      <c r="Y55" s="1176">
        <f>MODEL!BJ35</f>
        <v>-16</v>
      </c>
      <c r="Z55" s="1176">
        <f>MODEL!BN35</f>
        <v>-19</v>
      </c>
      <c r="AA55" s="1176">
        <f>MODEL!BR35</f>
        <v>-21</v>
      </c>
      <c r="AB55" s="1176">
        <f>MODEL!BV35</f>
        <v>-20</v>
      </c>
      <c r="AC55" s="1176">
        <f>MODEL!BZ35</f>
        <v>-20</v>
      </c>
      <c r="AD55" s="1176">
        <f>MODEL!CD35</f>
        <v>-13</v>
      </c>
      <c r="AE55" s="1203">
        <f>MODEL!CH35</f>
        <v>-12</v>
      </c>
      <c r="AF55" s="1204">
        <f>MODEL!CL35</f>
        <v>0</v>
      </c>
      <c r="AG55" s="1204">
        <f>MODEL!CP35</f>
        <v>0</v>
      </c>
      <c r="AH55" s="1204">
        <f>MODEL!CT35</f>
        <v>0</v>
      </c>
      <c r="AI55" s="1204">
        <f>MODEL!CX35</f>
        <v>0</v>
      </c>
      <c r="AJ55" s="1204">
        <f>MODEL!DB35</f>
        <v>0</v>
      </c>
      <c r="AK55" s="1377">
        <f>MODEL!DF35</f>
        <v>0</v>
      </c>
      <c r="AL55" s="1204">
        <f>MODEL!DJ35</f>
        <v>0</v>
      </c>
      <c r="AM55" s="1204">
        <f>MODEL!$DN35</f>
        <v>0</v>
      </c>
      <c r="AN55" s="1204">
        <f>MODEL!$DR35</f>
        <v>0</v>
      </c>
      <c r="AO55" s="1236">
        <f t="shared" ref="AO55:AQ55" si="134">+AN55</f>
        <v>0</v>
      </c>
      <c r="AP55" s="1236">
        <f t="shared" si="134"/>
        <v>0</v>
      </c>
      <c r="AQ55" s="1236">
        <f t="shared" si="134"/>
        <v>0</v>
      </c>
      <c r="AR55" s="1236">
        <f>+AQ55</f>
        <v>0</v>
      </c>
      <c r="AS55" s="1236">
        <f>+AR55</f>
        <v>0</v>
      </c>
      <c r="AT55" s="1236">
        <f t="shared" ref="AT55:AU55" si="135">+AS55</f>
        <v>0</v>
      </c>
      <c r="AU55" s="1236">
        <f t="shared" si="135"/>
        <v>0</v>
      </c>
      <c r="AV55" s="1176"/>
      <c r="AW55" s="1176"/>
      <c r="AX55" s="1176"/>
      <c r="AY55" s="1176"/>
      <c r="AZ55" s="1176"/>
      <c r="BA55" s="1176"/>
      <c r="BB55" s="1176"/>
      <c r="BC55" s="1176"/>
      <c r="BD55" s="1176"/>
      <c r="BE55" s="1176"/>
      <c r="BF55" s="1176"/>
      <c r="BG55" s="1176"/>
      <c r="BH55" s="1176"/>
      <c r="BI55" s="1176"/>
      <c r="BJ55" s="1176"/>
      <c r="BK55" s="1176"/>
      <c r="BL55" s="1176"/>
      <c r="BM55" s="1176"/>
      <c r="BN55" s="1176"/>
      <c r="BO55" s="1176"/>
      <c r="BP55" s="1176"/>
      <c r="BQ55" s="1176"/>
      <c r="BR55" s="1176"/>
      <c r="BS55" s="1176"/>
      <c r="BT55" s="1176"/>
      <c r="BU55" s="1176"/>
      <c r="BV55" s="1176"/>
      <c r="BW55" s="1176"/>
      <c r="BX55" s="1176"/>
      <c r="BY55" s="1176"/>
      <c r="BZ55" s="1176"/>
      <c r="CA55" s="1176"/>
      <c r="CB55" s="1176"/>
      <c r="CC55" s="1176"/>
      <c r="CD55" s="1176"/>
      <c r="CE55" s="1176"/>
      <c r="CF55" s="1176"/>
      <c r="CG55" s="1176"/>
      <c r="CH55" s="1176"/>
      <c r="CI55" s="1176"/>
      <c r="CJ55" s="1176"/>
      <c r="CK55" s="1083"/>
      <c r="CL55" s="1083"/>
      <c r="CM55" s="1083"/>
      <c r="CN55" s="1083"/>
      <c r="CO55" s="1083"/>
      <c r="CP55" s="1083"/>
      <c r="CQ55" s="1083"/>
      <c r="CR55" s="1083"/>
      <c r="CS55" s="1083"/>
      <c r="CT55" s="1083"/>
      <c r="CU55" s="1083"/>
      <c r="CV55" s="1083"/>
      <c r="CW55" s="1083"/>
      <c r="CX55" s="1083"/>
      <c r="CY55" s="1083"/>
      <c r="CZ55" s="1083"/>
      <c r="DA55" s="1083"/>
      <c r="DB55" s="1083"/>
      <c r="DC55" s="1083"/>
      <c r="DD55" s="1083"/>
      <c r="DE55" s="1083"/>
      <c r="DF55" s="1083"/>
      <c r="DG55" s="1083"/>
      <c r="DH55" s="1083"/>
      <c r="DI55" s="1083"/>
      <c r="DJ55" s="1083"/>
      <c r="DK55" s="1083"/>
      <c r="DL55" s="1083"/>
      <c r="DM55" s="1083"/>
      <c r="DN55" s="1083"/>
      <c r="DO55" s="1083"/>
      <c r="DP55" s="1083"/>
      <c r="DQ55" s="1083"/>
      <c r="DR55" s="1083"/>
      <c r="DS55" s="1083"/>
      <c r="DT55" s="1083"/>
      <c r="DU55" s="1083"/>
      <c r="DV55" s="1083"/>
      <c r="DW55" s="1083"/>
      <c r="DX55" s="1083"/>
      <c r="DY55" s="1083"/>
      <c r="DZ55" s="1083"/>
      <c r="EA55" s="1083"/>
      <c r="EB55" s="1083"/>
      <c r="EC55" s="1083"/>
      <c r="ED55" s="1083"/>
      <c r="EE55" s="1083"/>
      <c r="EF55" s="1083"/>
      <c r="EG55" s="1083"/>
      <c r="EH55" s="1083"/>
      <c r="EI55" s="1083"/>
      <c r="EJ55" s="1083"/>
      <c r="EK55" s="1083"/>
      <c r="EL55" s="1083"/>
      <c r="EM55" s="1083"/>
      <c r="EN55" s="1083"/>
      <c r="EO55" s="1083"/>
      <c r="EP55" s="1083"/>
      <c r="EQ55" s="1083"/>
      <c r="ER55" s="1083"/>
      <c r="ES55" s="1"/>
      <c r="ET55" s="1"/>
      <c r="EU55" s="1"/>
      <c r="EV55" s="1"/>
      <c r="EW55" s="1"/>
      <c r="EX55" s="1"/>
      <c r="EY55" s="1"/>
      <c r="EZ55" s="1"/>
      <c r="FA55" s="1"/>
      <c r="FB55" s="1"/>
      <c r="FC55" s="1"/>
      <c r="FD55" s="1"/>
      <c r="FE55" s="1"/>
      <c r="FF55" s="1"/>
      <c r="FG55" s="1"/>
      <c r="FH55" s="1"/>
      <c r="FI55" s="1"/>
      <c r="FJ55" s="1"/>
      <c r="FK55" s="1"/>
      <c r="FL55" s="1"/>
      <c r="FM55" s="1"/>
      <c r="FN55" s="1"/>
      <c r="FO55" s="1"/>
      <c r="FP55" s="1"/>
      <c r="FQ55" s="1"/>
      <c r="FR55" s="1"/>
      <c r="FS55" s="1"/>
      <c r="FT55" s="1"/>
      <c r="FU55" s="1"/>
      <c r="FV55" s="1"/>
      <c r="FW55" s="1"/>
      <c r="FX55" s="1"/>
      <c r="FY55" s="1"/>
      <c r="FZ55" s="1"/>
      <c r="GA55" s="1"/>
      <c r="GB55" s="1"/>
      <c r="GC55" s="1"/>
      <c r="GD55" s="1"/>
      <c r="GE55" s="1"/>
      <c r="GF55" s="1"/>
      <c r="GG55" s="1"/>
      <c r="GH55" s="1"/>
      <c r="GI55" s="1"/>
      <c r="GJ55" s="1"/>
      <c r="GK55" s="1"/>
      <c r="GL55" s="1"/>
      <c r="GM55" s="1"/>
      <c r="GN55" s="1"/>
      <c r="GO55" s="1"/>
      <c r="GP55" s="1"/>
      <c r="GQ55" s="1"/>
      <c r="GR55" s="1"/>
      <c r="GS55" s="1"/>
      <c r="GT55" s="1"/>
      <c r="GU55" s="1"/>
      <c r="GV55" s="1"/>
      <c r="GW55" s="1"/>
      <c r="GX55" s="1"/>
      <c r="GY55" s="1"/>
      <c r="GZ55" s="1"/>
      <c r="HA55" s="1"/>
      <c r="HB55" s="1"/>
      <c r="HC55" s="1"/>
      <c r="HD55" s="1"/>
      <c r="HE55" s="1"/>
      <c r="HF55" s="1"/>
      <c r="HG55" s="1"/>
      <c r="HH55" s="1"/>
      <c r="HI55" s="1"/>
      <c r="HJ55" s="1"/>
      <c r="HK55" s="1"/>
      <c r="HL55" s="1"/>
      <c r="HM55" s="1"/>
      <c r="HN55" s="1"/>
      <c r="HO55" s="1"/>
      <c r="HP55" s="1"/>
      <c r="HQ55" s="1"/>
      <c r="HR55" s="1"/>
      <c r="HS55" s="1"/>
      <c r="HT55" s="1"/>
      <c r="HU55" s="1"/>
      <c r="HV55" s="1"/>
      <c r="HW55" s="1"/>
      <c r="HX55" s="1"/>
      <c r="HY55" s="1"/>
      <c r="HZ55" s="1"/>
      <c r="IA55" s="1"/>
      <c r="IB55" s="1"/>
      <c r="IC55" s="1"/>
      <c r="ID55" s="1"/>
      <c r="IE55" s="1"/>
      <c r="IF55" s="1"/>
      <c r="IG55" s="1"/>
      <c r="IH55" s="1"/>
      <c r="II55" s="1"/>
      <c r="IJ55" s="1"/>
      <c r="IK55" s="1"/>
      <c r="IL55" s="1"/>
      <c r="IM55" s="1"/>
      <c r="IN55" s="1"/>
      <c r="IO55" s="1"/>
      <c r="IP55" s="1"/>
      <c r="IQ55" s="1"/>
      <c r="IR55" s="1"/>
      <c r="IS55" s="1"/>
      <c r="IT55" s="1"/>
      <c r="IU55" s="1"/>
      <c r="IV55" s="1"/>
      <c r="IW55" s="1"/>
      <c r="IX55" s="1"/>
      <c r="IY55" s="1"/>
      <c r="IZ55" s="1"/>
      <c r="JA55" s="1"/>
      <c r="JB55" s="1"/>
      <c r="JC55" s="1"/>
      <c r="JD55" s="1"/>
    </row>
    <row r="56" spans="2:264" s="1044" customFormat="1" x14ac:dyDescent="0.2">
      <c r="B56" s="1205" t="s">
        <v>1046</v>
      </c>
      <c r="C56" s="1206">
        <f ca="1">AVERAGE(BA67:CI67)</f>
        <v>0.11147347399247749</v>
      </c>
      <c r="D56" s="1199"/>
      <c r="E56" s="1194"/>
      <c r="F56" s="1146" t="s">
        <v>979</v>
      </c>
      <c r="G56" s="1082">
        <f ca="1">G12</f>
        <v>169710.87628701321</v>
      </c>
      <c r="H56" s="1147">
        <f ca="1">H12</f>
        <v>101.41302281208121</v>
      </c>
      <c r="P56" s="1212"/>
      <c r="Q56" s="1047" t="s">
        <v>931</v>
      </c>
      <c r="R56" s="1239"/>
      <c r="S56" s="1225"/>
      <c r="T56" s="1074"/>
      <c r="U56" s="1074"/>
      <c r="V56" s="1074"/>
      <c r="W56" s="1074"/>
      <c r="X56" s="1135"/>
      <c r="Y56" s="1135">
        <f>MODEL!BJ36</f>
        <v>7760</v>
      </c>
      <c r="Z56" s="1135">
        <f>MODEL!BN36</f>
        <v>8680</v>
      </c>
      <c r="AA56" s="1135">
        <f>MODEL!BR36</f>
        <v>9137</v>
      </c>
      <c r="AB56" s="1135">
        <f>MODEL!BV36</f>
        <v>9445</v>
      </c>
      <c r="AC56" s="1135">
        <f>MODEL!BZ36</f>
        <v>9696</v>
      </c>
      <c r="AD56" s="1135">
        <f>MODEL!CD36</f>
        <v>8915</v>
      </c>
      <c r="AE56" s="1136">
        <f>MODEL!CH36</f>
        <v>8221</v>
      </c>
      <c r="AF56" s="1137">
        <f>MODEL!CL36</f>
        <v>7225</v>
      </c>
      <c r="AG56" s="1137">
        <f>MODEL!CP36</f>
        <v>8653</v>
      </c>
      <c r="AH56" s="1137">
        <f>MODEL!CT36</f>
        <v>9595</v>
      </c>
      <c r="AI56" s="1137">
        <f>MODEL!CX36</f>
        <v>10072</v>
      </c>
      <c r="AJ56" s="1137">
        <f>MODEL!DB36</f>
        <v>9836</v>
      </c>
      <c r="AK56" s="1370">
        <f>MODEL!DF36</f>
        <v>10252</v>
      </c>
      <c r="AL56" s="1137">
        <f>MODEL!DJ36</f>
        <v>11069.653390878699</v>
      </c>
      <c r="AM56" s="1137">
        <f>MODEL!$DN36</f>
        <v>11801.308185560092</v>
      </c>
      <c r="AN56" s="1137">
        <f>MODEL!$DR36</f>
        <v>12258.706796775259</v>
      </c>
      <c r="AO56" s="1135">
        <f t="shared" ref="AO56:AQ56" ca="1" si="136">SUM(AO53:AO55)</f>
        <v>12925.493078831561</v>
      </c>
      <c r="AP56" s="1135">
        <f t="shared" ca="1" si="136"/>
        <v>13420.746209131936</v>
      </c>
      <c r="AQ56" s="1135">
        <f t="shared" ca="1" si="136"/>
        <v>13934.192192653638</v>
      </c>
      <c r="AR56" s="1135">
        <f ca="1">SUM(AR53:AR55)</f>
        <v>14466.470323873622</v>
      </c>
      <c r="AS56" s="1135">
        <f ca="1">SUM(AS53:AS55)</f>
        <v>13579.115218094181</v>
      </c>
      <c r="AT56" s="1135">
        <f t="shared" ref="AT56:AU56" ca="1" si="137">SUM(AT53:AT55)</f>
        <v>14086.300448299729</v>
      </c>
      <c r="AU56" s="1135">
        <f t="shared" ca="1" si="137"/>
        <v>16183.012969235842</v>
      </c>
      <c r="AV56" s="1135">
        <f ca="1">+AV68*AV80</f>
        <v>16938.299103375579</v>
      </c>
      <c r="AW56" s="1135">
        <f ca="1">+AW68*AW80</f>
        <v>17758.541791819203</v>
      </c>
      <c r="AX56" s="1135">
        <f ca="1">+AX68*AX80</f>
        <v>18369.285601213949</v>
      </c>
      <c r="AY56" s="1135">
        <f ca="1">+AY68*AY80</f>
        <v>18939.852093984951</v>
      </c>
      <c r="AZ56" s="1135">
        <f ca="1">+AZ68*AZ80</f>
        <v>19512.917397974652</v>
      </c>
      <c r="BA56" s="1135">
        <f t="shared" ref="BA56:CE56" ca="1" si="138">+BA68*BA80</f>
        <v>19835.334088568117</v>
      </c>
      <c r="BB56" s="1135">
        <f t="shared" ca="1" si="138"/>
        <v>20266.375873358054</v>
      </c>
      <c r="BC56" s="1135">
        <f t="shared" ca="1" si="138"/>
        <v>20604.053316448404</v>
      </c>
      <c r="BD56" s="1135">
        <f t="shared" ca="1" si="138"/>
        <v>20918.631586226154</v>
      </c>
      <c r="BE56" s="1135">
        <f t="shared" ca="1" si="138"/>
        <v>21227.711327787136</v>
      </c>
      <c r="BF56" s="1135">
        <f t="shared" ca="1" si="138"/>
        <v>21535.553538063778</v>
      </c>
      <c r="BG56" s="1135">
        <f t="shared" ca="1" si="138"/>
        <v>21843.043521812382</v>
      </c>
      <c r="BH56" s="1135">
        <f t="shared" ca="1" si="138"/>
        <v>22150.20691280597</v>
      </c>
      <c r="BI56" s="1135">
        <f t="shared" ca="1" si="138"/>
        <v>22456.842553889219</v>
      </c>
      <c r="BJ56" s="1135">
        <f t="shared" ca="1" si="138"/>
        <v>22762.68079190969</v>
      </c>
      <c r="BK56" s="1135">
        <f t="shared" ca="1" si="138"/>
        <v>23067.422548746563</v>
      </c>
      <c r="BL56" s="1135">
        <f t="shared" ca="1" si="138"/>
        <v>23370.748525431518</v>
      </c>
      <c r="BM56" s="1135">
        <f t="shared" ca="1" si="138"/>
        <v>23672.320933544735</v>
      </c>
      <c r="BN56" s="1135">
        <f t="shared" ca="1" si="138"/>
        <v>23971.783346953958</v>
      </c>
      <c r="BO56" s="1135">
        <f t="shared" ca="1" si="138"/>
        <v>24268.760065537084</v>
      </c>
      <c r="BP56" s="1135">
        <f t="shared" ca="1" si="138"/>
        <v>24562.855335376586</v>
      </c>
      <c r="BQ56" s="1135">
        <f t="shared" ca="1" si="138"/>
        <v>24853.652509780524</v>
      </c>
      <c r="BR56" s="1135">
        <f t="shared" ca="1" si="138"/>
        <v>25140.713171058032</v>
      </c>
      <c r="BS56" s="1135">
        <f t="shared" ca="1" si="138"/>
        <v>25423.576217052381</v>
      </c>
      <c r="BT56" s="1135">
        <f t="shared" ca="1" si="138"/>
        <v>25701.756912488319</v>
      </c>
      <c r="BU56" s="1135">
        <f t="shared" ca="1" si="138"/>
        <v>25974.74590419103</v>
      </c>
      <c r="BV56" s="1135">
        <f t="shared" ca="1" si="138"/>
        <v>26242.00819895717</v>
      </c>
      <c r="BW56" s="1135">
        <f t="shared" ca="1" si="138"/>
        <v>26502.982102756527</v>
      </c>
      <c r="BX56" s="1135">
        <f t="shared" ca="1" si="138"/>
        <v>26757.078119882746</v>
      </c>
      <c r="BY56" s="1135">
        <f t="shared" ca="1" si="138"/>
        <v>27003.677810620145</v>
      </c>
      <c r="BZ56" s="1135">
        <f t="shared" ca="1" si="138"/>
        <v>27242.132605943254</v>
      </c>
      <c r="CA56" s="1135">
        <f t="shared" ca="1" si="138"/>
        <v>27471.762577714388</v>
      </c>
      <c r="CB56" s="1135">
        <f t="shared" ca="1" si="138"/>
        <v>27691.855162791355</v>
      </c>
      <c r="CC56" s="1135">
        <f t="shared" ca="1" si="138"/>
        <v>27901.663839402576</v>
      </c>
      <c r="CD56" s="1135">
        <f t="shared" ca="1" si="138"/>
        <v>28100.406754090327</v>
      </c>
      <c r="CE56" s="1135">
        <f t="shared" ca="1" si="138"/>
        <v>28287.26529746439</v>
      </c>
      <c r="CF56" s="1135">
        <f ca="1">+CF68*CF80</f>
        <v>28461.382626947474</v>
      </c>
      <c r="CG56" s="1135">
        <f ca="1">+CG68*CG80</f>
        <v>28621.862134631705</v>
      </c>
      <c r="CH56" s="1135">
        <f ca="1">+CH68*CH80</f>
        <v>28767.765858300434</v>
      </c>
      <c r="CI56" s="1135">
        <f ca="1">+CI68*CI80</f>
        <v>28898.112833602965</v>
      </c>
      <c r="CJ56" s="1135">
        <f ca="1">+CJ68*CJ80</f>
        <v>29735.718346120368</v>
      </c>
      <c r="CK56" s="1083"/>
      <c r="CL56" s="1083"/>
      <c r="CM56" s="1083"/>
      <c r="CN56" s="1083"/>
      <c r="CO56" s="1083"/>
      <c r="CP56" s="1083"/>
      <c r="CQ56" s="1083"/>
      <c r="CR56" s="1083"/>
      <c r="CS56" s="1083"/>
      <c r="CT56" s="1083"/>
      <c r="CU56" s="1083"/>
      <c r="CV56" s="1083"/>
      <c r="CW56" s="1083"/>
      <c r="CX56" s="1083"/>
      <c r="CY56" s="1083"/>
      <c r="CZ56" s="1083"/>
      <c r="DA56" s="1083"/>
      <c r="DB56" s="1083"/>
      <c r="DC56" s="1083"/>
      <c r="DD56" s="1083"/>
      <c r="DE56" s="1083"/>
      <c r="DF56" s="1083"/>
      <c r="DG56" s="1083"/>
      <c r="DH56" s="1083"/>
      <c r="DI56" s="1083"/>
      <c r="DJ56" s="1083"/>
      <c r="DK56" s="1083"/>
      <c r="DL56" s="1083"/>
      <c r="DM56" s="1083"/>
      <c r="DN56" s="1083"/>
      <c r="DO56" s="1083"/>
      <c r="DP56" s="1083"/>
      <c r="DQ56" s="1083"/>
      <c r="DR56" s="1083"/>
      <c r="DS56" s="1083"/>
      <c r="DT56" s="1083"/>
      <c r="DU56" s="1083"/>
      <c r="DV56" s="1083"/>
      <c r="DW56" s="1083"/>
      <c r="DX56" s="1083"/>
      <c r="DY56" s="1083"/>
      <c r="DZ56" s="1083"/>
      <c r="EA56" s="1083"/>
      <c r="EB56" s="1083"/>
      <c r="EC56" s="1083"/>
      <c r="ED56" s="1083"/>
      <c r="EE56" s="1083"/>
      <c r="EF56" s="1083"/>
      <c r="EG56" s="1083"/>
      <c r="EH56" s="1083"/>
      <c r="EI56" s="1083"/>
      <c r="EJ56" s="1083"/>
      <c r="EK56" s="1083"/>
      <c r="EL56" s="1083"/>
      <c r="EM56" s="1083"/>
      <c r="EN56" s="1083"/>
      <c r="EO56" s="1083"/>
      <c r="EP56" s="1083"/>
      <c r="EQ56" s="1083"/>
      <c r="ER56" s="1083"/>
      <c r="ES56" s="1"/>
      <c r="ET56" s="1"/>
      <c r="EU56" s="1"/>
      <c r="EV56" s="1"/>
      <c r="EW56" s="1"/>
      <c r="EX56" s="1"/>
      <c r="EY56" s="1"/>
      <c r="EZ56" s="1"/>
      <c r="FA56" s="1"/>
      <c r="FB56" s="1"/>
      <c r="FC56" s="1"/>
      <c r="FD56" s="1"/>
      <c r="FE56" s="1"/>
      <c r="FF56" s="1"/>
      <c r="FG56" s="1"/>
      <c r="FH56" s="1"/>
      <c r="FI56" s="1"/>
      <c r="FJ56" s="1"/>
      <c r="FK56" s="1"/>
      <c r="FL56" s="1"/>
      <c r="FM56" s="1"/>
      <c r="FN56" s="1"/>
      <c r="FO56" s="1"/>
      <c r="FP56" s="1"/>
      <c r="FQ56" s="1"/>
      <c r="FR56" s="1"/>
      <c r="FS56" s="1"/>
      <c r="FT56" s="1"/>
      <c r="FU56" s="1"/>
      <c r="FV56" s="1"/>
      <c r="FW56" s="1"/>
      <c r="FX56" s="1"/>
      <c r="FY56" s="1"/>
      <c r="FZ56" s="1"/>
      <c r="GA56" s="1"/>
      <c r="GB56" s="1"/>
      <c r="GC56" s="1"/>
      <c r="GD56" s="1"/>
      <c r="GE56" s="1"/>
      <c r="GF56" s="1"/>
      <c r="GG56" s="1"/>
      <c r="GH56" s="1"/>
      <c r="GI56" s="1"/>
      <c r="GJ56" s="1"/>
      <c r="GK56" s="1"/>
      <c r="GL56" s="1"/>
      <c r="GM56" s="1"/>
      <c r="GN56" s="1"/>
      <c r="GO56" s="1"/>
      <c r="GP56" s="1"/>
      <c r="GQ56" s="1"/>
      <c r="GR56" s="1"/>
      <c r="GS56" s="1"/>
      <c r="GT56" s="1"/>
      <c r="GU56" s="1"/>
      <c r="GV56" s="1"/>
      <c r="GW56" s="1"/>
      <c r="GX56" s="1"/>
      <c r="GY56" s="1"/>
      <c r="GZ56" s="1"/>
      <c r="HA56" s="1"/>
      <c r="HB56" s="1"/>
      <c r="HC56" s="1"/>
      <c r="HD56" s="1"/>
      <c r="HE56" s="1"/>
      <c r="HF56" s="1"/>
      <c r="HG56" s="1"/>
      <c r="HH56" s="1"/>
      <c r="HI56" s="1"/>
      <c r="HJ56" s="1"/>
      <c r="HK56" s="1"/>
      <c r="HL56" s="1"/>
      <c r="HM56" s="1"/>
      <c r="HN56" s="1"/>
      <c r="HO56" s="1"/>
      <c r="HP56" s="1"/>
      <c r="HQ56" s="1"/>
      <c r="HR56" s="1"/>
      <c r="HS56" s="1"/>
      <c r="HT56" s="1"/>
      <c r="HU56" s="1"/>
      <c r="HV56" s="1"/>
      <c r="HW56" s="1"/>
      <c r="HX56" s="1"/>
      <c r="HY56" s="1"/>
      <c r="HZ56" s="1"/>
      <c r="IA56" s="1"/>
      <c r="IB56" s="1"/>
      <c r="IC56" s="1"/>
      <c r="ID56" s="1"/>
      <c r="IE56" s="1"/>
      <c r="IF56" s="1"/>
      <c r="IG56" s="1"/>
      <c r="IH56" s="1"/>
      <c r="II56" s="1"/>
      <c r="IJ56" s="1"/>
      <c r="IK56" s="1"/>
      <c r="IL56" s="1"/>
      <c r="IM56" s="1"/>
      <c r="IN56" s="1"/>
      <c r="IO56" s="1"/>
      <c r="IP56" s="1"/>
      <c r="IQ56" s="1"/>
      <c r="IR56" s="1"/>
      <c r="IS56" s="1"/>
      <c r="IT56" s="1"/>
      <c r="IU56" s="1"/>
      <c r="IV56" s="1"/>
      <c r="IW56" s="1"/>
      <c r="IX56" s="1"/>
      <c r="IY56" s="1"/>
      <c r="IZ56" s="1"/>
      <c r="JA56" s="1"/>
      <c r="JB56" s="1"/>
      <c r="JC56" s="1"/>
      <c r="JD56" s="1"/>
    </row>
    <row r="57" spans="2:264" s="1044" customFormat="1" ht="13.5" thickBot="1" x14ac:dyDescent="0.25">
      <c r="B57" s="1240"/>
      <c r="C57" s="1241"/>
      <c r="D57" s="1207"/>
      <c r="E57" s="1194"/>
      <c r="F57" s="1146" t="s">
        <v>1008</v>
      </c>
      <c r="G57" s="1082">
        <f ca="1">G33</f>
        <v>165385.50239420723</v>
      </c>
      <c r="H57" s="1147">
        <f ca="1">H33</f>
        <v>98.828337311311799</v>
      </c>
      <c r="I57" s="1090"/>
      <c r="J57" s="1090"/>
      <c r="K57" s="1090"/>
      <c r="L57" s="1090"/>
      <c r="M57" s="1090"/>
      <c r="N57" s="1090"/>
      <c r="O57" s="1090"/>
      <c r="P57" s="1212"/>
      <c r="Q57" s="1044" t="s">
        <v>58</v>
      </c>
      <c r="R57" s="1227"/>
      <c r="S57" s="1225"/>
      <c r="T57" s="1156"/>
      <c r="U57" s="1156"/>
      <c r="V57" s="1156"/>
      <c r="W57" s="1156"/>
      <c r="X57" s="1176"/>
      <c r="Y57" s="1176">
        <f t="shared" ref="Y57:AL57" si="139">Y58-Y56</f>
        <v>-142</v>
      </c>
      <c r="Z57" s="1176">
        <f t="shared" si="139"/>
        <v>-49</v>
      </c>
      <c r="AA57" s="1176">
        <f t="shared" si="139"/>
        <v>-74</v>
      </c>
      <c r="AB57" s="1176">
        <f t="shared" si="139"/>
        <v>-222</v>
      </c>
      <c r="AC57" s="1176">
        <f t="shared" si="139"/>
        <v>232</v>
      </c>
      <c r="AD57" s="1176">
        <f t="shared" si="139"/>
        <v>414</v>
      </c>
      <c r="AE57" s="1203">
        <f t="shared" si="139"/>
        <v>350</v>
      </c>
      <c r="AF57" s="1176">
        <f t="shared" si="139"/>
        <v>2367</v>
      </c>
      <c r="AG57" s="1176">
        <f t="shared" si="139"/>
        <v>1528</v>
      </c>
      <c r="AH57" s="1176">
        <f t="shared" si="139"/>
        <v>1176</v>
      </c>
      <c r="AI57" s="1176">
        <f t="shared" si="139"/>
        <v>-74</v>
      </c>
      <c r="AJ57" s="1176">
        <f t="shared" si="139"/>
        <v>-442</v>
      </c>
      <c r="AK57" s="1378">
        <f t="shared" si="139"/>
        <v>-136</v>
      </c>
      <c r="AL57" s="1176">
        <f t="shared" si="139"/>
        <v>-78</v>
      </c>
      <c r="AM57" s="1176">
        <f t="shared" ref="AM57" si="140">AM58-AM56</f>
        <v>0</v>
      </c>
      <c r="AN57" s="1176">
        <f t="shared" ref="AN57" si="141">AN58-AN56</f>
        <v>0</v>
      </c>
      <c r="AO57" s="1242">
        <v>0</v>
      </c>
      <c r="AP57" s="1242">
        <v>0</v>
      </c>
      <c r="AQ57" s="1242">
        <v>0</v>
      </c>
      <c r="AR57" s="1242">
        <v>0</v>
      </c>
      <c r="AS57" s="1242">
        <v>0</v>
      </c>
      <c r="AT57" s="1242">
        <v>0</v>
      </c>
      <c r="AU57" s="1242">
        <v>0</v>
      </c>
      <c r="AV57" s="1243">
        <f>AU57</f>
        <v>0</v>
      </c>
      <c r="AW57" s="1243">
        <f>AV57</f>
        <v>0</v>
      </c>
      <c r="AX57" s="1243">
        <f>AW57</f>
        <v>0</v>
      </c>
      <c r="AY57" s="1243">
        <f>AX57</f>
        <v>0</v>
      </c>
      <c r="AZ57" s="1243">
        <f>AY57</f>
        <v>0</v>
      </c>
      <c r="BA57" s="1244">
        <f t="shared" ref="BA57:CE57" si="142">AZ57</f>
        <v>0</v>
      </c>
      <c r="BB57" s="1244">
        <f t="shared" si="142"/>
        <v>0</v>
      </c>
      <c r="BC57" s="1244">
        <f t="shared" si="142"/>
        <v>0</v>
      </c>
      <c r="BD57" s="1244">
        <f t="shared" si="142"/>
        <v>0</v>
      </c>
      <c r="BE57" s="1244">
        <f t="shared" si="142"/>
        <v>0</v>
      </c>
      <c r="BF57" s="1244">
        <f t="shared" si="142"/>
        <v>0</v>
      </c>
      <c r="BG57" s="1244">
        <f t="shared" si="142"/>
        <v>0</v>
      </c>
      <c r="BH57" s="1244">
        <f t="shared" si="142"/>
        <v>0</v>
      </c>
      <c r="BI57" s="1244">
        <f t="shared" si="142"/>
        <v>0</v>
      </c>
      <c r="BJ57" s="1244">
        <f t="shared" si="142"/>
        <v>0</v>
      </c>
      <c r="BK57" s="1244">
        <f t="shared" si="142"/>
        <v>0</v>
      </c>
      <c r="BL57" s="1244">
        <f t="shared" si="142"/>
        <v>0</v>
      </c>
      <c r="BM57" s="1244">
        <f t="shared" si="142"/>
        <v>0</v>
      </c>
      <c r="BN57" s="1244">
        <f t="shared" si="142"/>
        <v>0</v>
      </c>
      <c r="BO57" s="1244">
        <f t="shared" si="142"/>
        <v>0</v>
      </c>
      <c r="BP57" s="1244">
        <f t="shared" si="142"/>
        <v>0</v>
      </c>
      <c r="BQ57" s="1244">
        <f t="shared" si="142"/>
        <v>0</v>
      </c>
      <c r="BR57" s="1244">
        <f t="shared" si="142"/>
        <v>0</v>
      </c>
      <c r="BS57" s="1244">
        <f t="shared" si="142"/>
        <v>0</v>
      </c>
      <c r="BT57" s="1244">
        <f t="shared" si="142"/>
        <v>0</v>
      </c>
      <c r="BU57" s="1244">
        <f t="shared" si="142"/>
        <v>0</v>
      </c>
      <c r="BV57" s="1244">
        <f t="shared" si="142"/>
        <v>0</v>
      </c>
      <c r="BW57" s="1244">
        <f t="shared" si="142"/>
        <v>0</v>
      </c>
      <c r="BX57" s="1244">
        <f t="shared" si="142"/>
        <v>0</v>
      </c>
      <c r="BY57" s="1244">
        <f t="shared" si="142"/>
        <v>0</v>
      </c>
      <c r="BZ57" s="1244">
        <f t="shared" si="142"/>
        <v>0</v>
      </c>
      <c r="CA57" s="1244">
        <f t="shared" si="142"/>
        <v>0</v>
      </c>
      <c r="CB57" s="1244">
        <f t="shared" si="142"/>
        <v>0</v>
      </c>
      <c r="CC57" s="1244">
        <f t="shared" si="142"/>
        <v>0</v>
      </c>
      <c r="CD57" s="1244">
        <f t="shared" si="142"/>
        <v>0</v>
      </c>
      <c r="CE57" s="1244">
        <f t="shared" si="142"/>
        <v>0</v>
      </c>
      <c r="CF57" s="1244">
        <f>CE57</f>
        <v>0</v>
      </c>
      <c r="CG57" s="1244">
        <f>CF57</f>
        <v>0</v>
      </c>
      <c r="CH57" s="1244">
        <f>CG57</f>
        <v>0</v>
      </c>
      <c r="CI57" s="1244">
        <f>CH57</f>
        <v>0</v>
      </c>
      <c r="CJ57" s="1244">
        <f>CI57</f>
        <v>0</v>
      </c>
      <c r="CK57" s="1083"/>
      <c r="CL57" s="1083"/>
      <c r="CM57" s="1083"/>
      <c r="CN57" s="1083"/>
      <c r="CO57" s="1083"/>
      <c r="CP57" s="1083"/>
      <c r="CQ57" s="1083"/>
      <c r="CR57" s="1083"/>
      <c r="CS57" s="1083"/>
      <c r="CT57" s="1083"/>
      <c r="CU57" s="1083"/>
      <c r="CV57" s="1083"/>
      <c r="CW57" s="1083"/>
      <c r="CX57" s="1083"/>
      <c r="CY57" s="1083"/>
      <c r="CZ57" s="1083"/>
      <c r="DA57" s="1083"/>
      <c r="DB57" s="1083"/>
      <c r="DC57" s="1083"/>
      <c r="DD57" s="1083"/>
      <c r="DE57" s="1083"/>
      <c r="DF57" s="1083"/>
      <c r="DG57" s="1083"/>
      <c r="DH57" s="1083"/>
      <c r="DI57" s="1083"/>
      <c r="DJ57" s="1083"/>
      <c r="DK57" s="1083"/>
      <c r="DL57" s="1083"/>
      <c r="DM57" s="1083"/>
      <c r="DN57" s="1083"/>
      <c r="DO57" s="1083"/>
      <c r="DP57" s="1083"/>
      <c r="DQ57" s="1083"/>
      <c r="DR57" s="1083"/>
      <c r="DS57" s="1083"/>
      <c r="DT57" s="1083"/>
      <c r="DU57" s="1083"/>
      <c r="DV57" s="1083"/>
      <c r="DW57" s="1083"/>
      <c r="DX57" s="1083"/>
      <c r="DY57" s="1083"/>
      <c r="DZ57" s="1083"/>
      <c r="EA57" s="1083"/>
      <c r="EB57" s="1083"/>
      <c r="EC57" s="1083"/>
      <c r="ED57" s="1083"/>
      <c r="EE57" s="1083"/>
      <c r="EF57" s="1083"/>
      <c r="EG57" s="1083"/>
      <c r="EH57" s="1083"/>
      <c r="EI57" s="1083"/>
      <c r="EJ57" s="1083"/>
      <c r="EK57" s="1083"/>
      <c r="EL57" s="1083"/>
      <c r="EM57" s="1083"/>
      <c r="EN57" s="1083"/>
      <c r="EO57" s="1083"/>
      <c r="EP57" s="1083"/>
      <c r="EQ57" s="1083"/>
      <c r="ER57" s="1083"/>
      <c r="ES57" s="1"/>
      <c r="ET57" s="1"/>
      <c r="EU57" s="1"/>
      <c r="EV57" s="1"/>
      <c r="EW57" s="1"/>
      <c r="EX57" s="1"/>
      <c r="EY57" s="1"/>
      <c r="EZ57" s="1"/>
      <c r="FA57" s="1"/>
      <c r="FB57" s="1"/>
      <c r="FC57" s="1"/>
      <c r="FD57" s="1"/>
      <c r="FE57" s="1"/>
      <c r="FF57" s="1"/>
      <c r="FG57" s="1"/>
      <c r="FH57" s="1"/>
      <c r="FI57" s="1"/>
      <c r="FJ57" s="1"/>
      <c r="FK57" s="1"/>
      <c r="FL57" s="1"/>
      <c r="FM57" s="1"/>
      <c r="FN57" s="1"/>
      <c r="FO57" s="1"/>
      <c r="FP57" s="1"/>
      <c r="FQ57" s="1"/>
      <c r="FR57" s="1"/>
      <c r="FS57" s="1"/>
      <c r="FT57" s="1"/>
      <c r="FU57" s="1"/>
      <c r="FV57" s="1"/>
      <c r="FW57" s="1"/>
      <c r="FX57" s="1"/>
      <c r="FY57" s="1"/>
      <c r="FZ57" s="1"/>
      <c r="GA57" s="1"/>
      <c r="GB57" s="1"/>
      <c r="GC57" s="1"/>
      <c r="GD57" s="1"/>
      <c r="GE57" s="1"/>
      <c r="GF57" s="1"/>
      <c r="GG57" s="1"/>
      <c r="GH57" s="1"/>
      <c r="GI57" s="1"/>
      <c r="GJ57" s="1"/>
      <c r="GK57" s="1"/>
      <c r="GL57" s="1"/>
      <c r="GM57" s="1"/>
      <c r="GN57" s="1"/>
      <c r="GO57" s="1"/>
      <c r="GP57" s="1"/>
      <c r="GQ57" s="1"/>
      <c r="GR57" s="1"/>
      <c r="GS57" s="1"/>
      <c r="GT57" s="1"/>
      <c r="GU57" s="1"/>
      <c r="GV57" s="1"/>
      <c r="GW57" s="1"/>
      <c r="GX57" s="1"/>
      <c r="GY57" s="1"/>
      <c r="GZ57" s="1"/>
      <c r="HA57" s="1"/>
      <c r="HB57" s="1"/>
      <c r="HC57" s="1"/>
      <c r="HD57" s="1"/>
      <c r="HE57" s="1"/>
      <c r="HF57" s="1"/>
      <c r="HG57" s="1"/>
      <c r="HH57" s="1"/>
      <c r="HI57" s="1"/>
      <c r="HJ57" s="1"/>
      <c r="HK57" s="1"/>
      <c r="HL57" s="1"/>
      <c r="HM57" s="1"/>
      <c r="HN57" s="1"/>
      <c r="HO57" s="1"/>
      <c r="HP57" s="1"/>
      <c r="HQ57" s="1"/>
      <c r="HR57" s="1"/>
      <c r="HS57" s="1"/>
      <c r="HT57" s="1"/>
      <c r="HU57" s="1"/>
      <c r="HV57" s="1"/>
      <c r="HW57" s="1"/>
      <c r="HX57" s="1"/>
      <c r="HY57" s="1"/>
      <c r="HZ57" s="1"/>
      <c r="IA57" s="1"/>
      <c r="IB57" s="1"/>
      <c r="IC57" s="1"/>
      <c r="ID57" s="1"/>
      <c r="IE57" s="1"/>
      <c r="IF57" s="1"/>
      <c r="IG57" s="1"/>
      <c r="IH57" s="1"/>
      <c r="II57" s="1"/>
      <c r="IJ57" s="1"/>
      <c r="IK57" s="1"/>
      <c r="IL57" s="1"/>
      <c r="IM57" s="1"/>
      <c r="IN57" s="1"/>
      <c r="IO57" s="1"/>
      <c r="IP57" s="1"/>
      <c r="IQ57" s="1"/>
      <c r="IR57" s="1"/>
      <c r="IS57" s="1"/>
      <c r="IT57" s="1"/>
      <c r="IU57" s="1"/>
      <c r="IV57" s="1"/>
      <c r="IW57" s="1"/>
      <c r="IX57" s="1"/>
      <c r="IY57" s="1"/>
      <c r="IZ57" s="1"/>
      <c r="JA57" s="1"/>
      <c r="JB57" s="1"/>
      <c r="JC57" s="1"/>
      <c r="JD57" s="1"/>
    </row>
    <row r="58" spans="2:264" s="1044" customFormat="1" x14ac:dyDescent="0.2">
      <c r="C58" s="1208"/>
      <c r="D58" s="1213"/>
      <c r="E58" s="1194"/>
      <c r="F58" s="1146" t="s">
        <v>1024</v>
      </c>
      <c r="G58" s="1082">
        <f ca="1">G45</f>
        <v>199700.13693169656</v>
      </c>
      <c r="H58" s="1147">
        <f ca="1">H45</f>
        <v>119.33350993945486</v>
      </c>
      <c r="I58" s="1090"/>
      <c r="J58" s="1090"/>
      <c r="K58" s="1090"/>
      <c r="L58" s="1090"/>
      <c r="M58" s="1090"/>
      <c r="N58" s="1090"/>
      <c r="O58" s="1090"/>
      <c r="P58" s="1212"/>
      <c r="Q58" s="1047" t="s">
        <v>60</v>
      </c>
      <c r="R58" s="1239"/>
      <c r="S58" s="1225"/>
      <c r="T58" s="1074"/>
      <c r="U58" s="1074"/>
      <c r="V58" s="1074"/>
      <c r="W58" s="1074"/>
      <c r="X58" s="1135"/>
      <c r="Y58" s="1135">
        <f>MODEL!BJ40</f>
        <v>7618</v>
      </c>
      <c r="Z58" s="1135">
        <f>MODEL!BN40</f>
        <v>8631</v>
      </c>
      <c r="AA58" s="1135">
        <f>MODEL!BR40</f>
        <v>9063</v>
      </c>
      <c r="AB58" s="1135">
        <f>MODEL!BV40</f>
        <v>9223</v>
      </c>
      <c r="AC58" s="1135">
        <f>MODEL!BZ40</f>
        <v>9928</v>
      </c>
      <c r="AD58" s="1135">
        <f>MODEL!CD40</f>
        <v>9329</v>
      </c>
      <c r="AE58" s="1136">
        <f>MODEL!CH40</f>
        <v>8571</v>
      </c>
      <c r="AF58" s="1137">
        <f>MODEL!CL40</f>
        <v>9592</v>
      </c>
      <c r="AG58" s="1137">
        <f>MODEL!CP40</f>
        <v>10181</v>
      </c>
      <c r="AH58" s="1137">
        <f>MODEL!CT40</f>
        <v>10771</v>
      </c>
      <c r="AI58" s="1137">
        <f>MODEL!CX40</f>
        <v>9998</v>
      </c>
      <c r="AJ58" s="1137">
        <f>MODEL!DB40</f>
        <v>9394</v>
      </c>
      <c r="AK58" s="1370">
        <f>MODEL!DF40</f>
        <v>10116</v>
      </c>
      <c r="AL58" s="1137">
        <f>MODEL!DJ40</f>
        <v>10991.653390878699</v>
      </c>
      <c r="AM58" s="1137">
        <f>MODEL!$DN40</f>
        <v>11801.308185560092</v>
      </c>
      <c r="AN58" s="1137">
        <f>MODEL!$DR40</f>
        <v>12258.706796775259</v>
      </c>
      <c r="AO58" s="1135">
        <f t="shared" ref="AO58:CF58" ca="1" si="143">SUM(AO56:AO57)</f>
        <v>12925.493078831561</v>
      </c>
      <c r="AP58" s="1135">
        <f t="shared" ca="1" si="143"/>
        <v>13420.746209131936</v>
      </c>
      <c r="AQ58" s="1135">
        <f t="shared" ca="1" si="143"/>
        <v>13934.192192653638</v>
      </c>
      <c r="AR58" s="1135">
        <f t="shared" ca="1" si="143"/>
        <v>14466.470323873622</v>
      </c>
      <c r="AS58" s="1135">
        <f t="shared" ca="1" si="143"/>
        <v>13579.115218094181</v>
      </c>
      <c r="AT58" s="1135">
        <f t="shared" ca="1" si="143"/>
        <v>14086.300448299729</v>
      </c>
      <c r="AU58" s="1135">
        <f t="shared" ca="1" si="143"/>
        <v>16183.012969235842</v>
      </c>
      <c r="AV58" s="1135">
        <f t="shared" ca="1" si="143"/>
        <v>16938.299103375579</v>
      </c>
      <c r="AW58" s="1135">
        <f t="shared" ca="1" si="143"/>
        <v>17758.541791819203</v>
      </c>
      <c r="AX58" s="1135">
        <f ca="1">SUM(AX56:AX57)</f>
        <v>18369.285601213949</v>
      </c>
      <c r="AY58" s="1135">
        <f ca="1">SUM(AY56:AY57)</f>
        <v>18939.852093984951</v>
      </c>
      <c r="AZ58" s="1135">
        <f ca="1">SUM(AZ56:AZ57)</f>
        <v>19512.917397974652</v>
      </c>
      <c r="BA58" s="1135">
        <f t="shared" ca="1" si="143"/>
        <v>19835.334088568117</v>
      </c>
      <c r="BB58" s="1135">
        <f t="shared" ca="1" si="143"/>
        <v>20266.375873358054</v>
      </c>
      <c r="BC58" s="1135">
        <f t="shared" ca="1" si="143"/>
        <v>20604.053316448404</v>
      </c>
      <c r="BD58" s="1135">
        <f t="shared" ca="1" si="143"/>
        <v>20918.631586226154</v>
      </c>
      <c r="BE58" s="1135">
        <f t="shared" ca="1" si="143"/>
        <v>21227.711327787136</v>
      </c>
      <c r="BF58" s="1135">
        <f t="shared" ca="1" si="143"/>
        <v>21535.553538063778</v>
      </c>
      <c r="BG58" s="1135">
        <f t="shared" ca="1" si="143"/>
        <v>21843.043521812382</v>
      </c>
      <c r="BH58" s="1135">
        <f t="shared" ca="1" si="143"/>
        <v>22150.20691280597</v>
      </c>
      <c r="BI58" s="1135">
        <f t="shared" ca="1" si="143"/>
        <v>22456.842553889219</v>
      </c>
      <c r="BJ58" s="1135">
        <f t="shared" ca="1" si="143"/>
        <v>22762.68079190969</v>
      </c>
      <c r="BK58" s="1135">
        <f t="shared" ca="1" si="143"/>
        <v>23067.422548746563</v>
      </c>
      <c r="BL58" s="1135">
        <f t="shared" ca="1" si="143"/>
        <v>23370.748525431518</v>
      </c>
      <c r="BM58" s="1135">
        <f t="shared" ca="1" si="143"/>
        <v>23672.320933544735</v>
      </c>
      <c r="BN58" s="1135">
        <f t="shared" ca="1" si="143"/>
        <v>23971.783346953958</v>
      </c>
      <c r="BO58" s="1135">
        <f t="shared" ca="1" si="143"/>
        <v>24268.760065537084</v>
      </c>
      <c r="BP58" s="1135">
        <f t="shared" ca="1" si="143"/>
        <v>24562.855335376586</v>
      </c>
      <c r="BQ58" s="1135">
        <f t="shared" ca="1" si="143"/>
        <v>24853.652509780524</v>
      </c>
      <c r="BR58" s="1135">
        <f t="shared" ca="1" si="143"/>
        <v>25140.713171058032</v>
      </c>
      <c r="BS58" s="1135">
        <f t="shared" ca="1" si="143"/>
        <v>25423.576217052381</v>
      </c>
      <c r="BT58" s="1135">
        <f t="shared" ca="1" si="143"/>
        <v>25701.756912488319</v>
      </c>
      <c r="BU58" s="1135">
        <f t="shared" ca="1" si="143"/>
        <v>25974.74590419103</v>
      </c>
      <c r="BV58" s="1135">
        <f t="shared" ca="1" si="143"/>
        <v>26242.00819895717</v>
      </c>
      <c r="BW58" s="1135">
        <f t="shared" ca="1" si="143"/>
        <v>26502.982102756527</v>
      </c>
      <c r="BX58" s="1135">
        <f t="shared" ca="1" si="143"/>
        <v>26757.078119882746</v>
      </c>
      <c r="BY58" s="1135">
        <f t="shared" ca="1" si="143"/>
        <v>27003.677810620145</v>
      </c>
      <c r="BZ58" s="1135">
        <f t="shared" ca="1" si="143"/>
        <v>27242.132605943254</v>
      </c>
      <c r="CA58" s="1135">
        <f t="shared" ca="1" si="143"/>
        <v>27471.762577714388</v>
      </c>
      <c r="CB58" s="1135">
        <f t="shared" ca="1" si="143"/>
        <v>27691.855162791355</v>
      </c>
      <c r="CC58" s="1135">
        <f t="shared" ca="1" si="143"/>
        <v>27901.663839402576</v>
      </c>
      <c r="CD58" s="1135">
        <f t="shared" ca="1" si="143"/>
        <v>28100.406754090327</v>
      </c>
      <c r="CE58" s="1135">
        <f t="shared" ca="1" si="143"/>
        <v>28287.26529746439</v>
      </c>
      <c r="CF58" s="1135">
        <f t="shared" ca="1" si="143"/>
        <v>28461.382626947474</v>
      </c>
      <c r="CG58" s="1135">
        <f ca="1">SUM(CG56:CG57)</f>
        <v>28621.862134631705</v>
      </c>
      <c r="CH58" s="1135">
        <f ca="1">SUM(CH56:CH57)</f>
        <v>28767.765858300434</v>
      </c>
      <c r="CI58" s="1135">
        <f ca="1">SUM(CI56:CI57)</f>
        <v>28898.112833602965</v>
      </c>
      <c r="CJ58" s="1135">
        <f ca="1">SUM(CJ56:CJ57)</f>
        <v>29735.718346120368</v>
      </c>
      <c r="CK58" s="1083"/>
      <c r="CL58" s="1083"/>
      <c r="CM58" s="1083"/>
      <c r="CN58" s="1083"/>
      <c r="CO58" s="1083"/>
      <c r="CP58" s="1083"/>
      <c r="CQ58" s="1083"/>
      <c r="CR58" s="1083"/>
      <c r="CS58" s="1083"/>
      <c r="CT58" s="1083"/>
      <c r="CU58" s="1083"/>
      <c r="CV58" s="1083"/>
      <c r="CW58" s="1083"/>
      <c r="CX58" s="1083"/>
      <c r="CY58" s="1083"/>
      <c r="CZ58" s="1083"/>
      <c r="DA58" s="1083"/>
      <c r="DB58" s="1083"/>
      <c r="DC58" s="1083"/>
      <c r="DD58" s="1083"/>
      <c r="DE58" s="1083"/>
      <c r="DF58" s="1083"/>
      <c r="DG58" s="1083"/>
      <c r="DH58" s="1083"/>
      <c r="DI58" s="1083"/>
      <c r="DJ58" s="1083"/>
      <c r="DK58" s="1083"/>
      <c r="DL58" s="1083"/>
      <c r="DM58" s="1083"/>
      <c r="DN58" s="1083"/>
      <c r="DO58" s="1083"/>
      <c r="DP58" s="1083"/>
      <c r="DQ58" s="1083"/>
      <c r="DR58" s="1083"/>
      <c r="DS58" s="1083"/>
      <c r="DT58" s="1083"/>
      <c r="DU58" s="1083"/>
      <c r="DV58" s="1083"/>
      <c r="DW58" s="1083"/>
      <c r="DX58" s="1083"/>
      <c r="DY58" s="1083"/>
      <c r="DZ58" s="1083"/>
      <c r="EA58" s="1083"/>
      <c r="EB58" s="1083"/>
      <c r="EC58" s="1083"/>
      <c r="ED58" s="1083"/>
      <c r="EE58" s="1083"/>
      <c r="EF58" s="1083"/>
      <c r="EG58" s="1083"/>
      <c r="EH58" s="1083"/>
      <c r="EI58" s="1083"/>
      <c r="EJ58" s="1083"/>
      <c r="EK58" s="1083"/>
      <c r="EL58" s="1083"/>
      <c r="EM58" s="1083"/>
      <c r="EN58" s="1083"/>
      <c r="EO58" s="1083"/>
      <c r="EP58" s="1083"/>
      <c r="EQ58" s="1083"/>
      <c r="ER58" s="1083"/>
      <c r="ES58" s="1"/>
      <c r="ET58" s="1"/>
      <c r="EU58" s="1"/>
      <c r="EV58" s="1"/>
      <c r="EW58" s="1"/>
      <c r="EX58" s="1"/>
      <c r="EY58" s="1"/>
      <c r="EZ58" s="1"/>
      <c r="FA58" s="1"/>
      <c r="FB58" s="1"/>
      <c r="FC58" s="1"/>
      <c r="FD58" s="1"/>
      <c r="FE58" s="1"/>
      <c r="FF58" s="1"/>
      <c r="FG58" s="1"/>
      <c r="FH58" s="1"/>
      <c r="FI58" s="1"/>
      <c r="FJ58" s="1"/>
      <c r="FK58" s="1"/>
      <c r="FL58" s="1"/>
      <c r="FM58" s="1"/>
      <c r="FN58" s="1"/>
      <c r="FO58" s="1"/>
      <c r="FP58" s="1"/>
      <c r="FQ58" s="1"/>
      <c r="FR58" s="1"/>
      <c r="FS58" s="1"/>
      <c r="FT58" s="1"/>
      <c r="FU58" s="1"/>
      <c r="FV58" s="1"/>
      <c r="FW58" s="1"/>
      <c r="FX58" s="1"/>
      <c r="FY58" s="1"/>
      <c r="FZ58" s="1"/>
      <c r="GA58" s="1"/>
      <c r="GB58" s="1"/>
      <c r="GC58" s="1"/>
      <c r="GD58" s="1"/>
      <c r="GE58" s="1"/>
      <c r="GF58" s="1"/>
      <c r="GG58" s="1"/>
      <c r="GH58" s="1"/>
      <c r="GI58" s="1"/>
      <c r="GJ58" s="1"/>
      <c r="GK58" s="1"/>
      <c r="GL58" s="1"/>
      <c r="GM58" s="1"/>
      <c r="GN58" s="1"/>
      <c r="GO58" s="1"/>
      <c r="GP58" s="1"/>
      <c r="GQ58" s="1"/>
      <c r="GR58" s="1"/>
      <c r="GS58" s="1"/>
      <c r="GT58" s="1"/>
      <c r="GU58" s="1"/>
      <c r="GV58" s="1"/>
      <c r="GW58" s="1"/>
      <c r="GX58" s="1"/>
      <c r="GY58" s="1"/>
      <c r="GZ58" s="1"/>
      <c r="HA58" s="1"/>
      <c r="HB58" s="1"/>
      <c r="HC58" s="1"/>
      <c r="HD58" s="1"/>
      <c r="HE58" s="1"/>
      <c r="HF58" s="1"/>
      <c r="HG58" s="1"/>
      <c r="HH58" s="1"/>
      <c r="HI58" s="1"/>
      <c r="HJ58" s="1"/>
      <c r="HK58" s="1"/>
      <c r="HL58" s="1"/>
      <c r="HM58" s="1"/>
      <c r="HN58" s="1"/>
      <c r="HO58" s="1"/>
      <c r="HP58" s="1"/>
      <c r="HQ58" s="1"/>
      <c r="HR58" s="1"/>
      <c r="HS58" s="1"/>
      <c r="HT58" s="1"/>
      <c r="HU58" s="1"/>
      <c r="HV58" s="1"/>
      <c r="HW58" s="1"/>
      <c r="HX58" s="1"/>
      <c r="HY58" s="1"/>
      <c r="HZ58" s="1"/>
      <c r="IA58" s="1"/>
      <c r="IB58" s="1"/>
      <c r="IC58" s="1"/>
      <c r="ID58" s="1"/>
      <c r="IE58" s="1"/>
      <c r="IF58" s="1"/>
      <c r="IG58" s="1"/>
      <c r="IH58" s="1"/>
      <c r="II58" s="1"/>
      <c r="IJ58" s="1"/>
      <c r="IK58" s="1"/>
      <c r="IL58" s="1"/>
      <c r="IM58" s="1"/>
      <c r="IN58" s="1"/>
      <c r="IO58" s="1"/>
      <c r="IP58" s="1"/>
      <c r="IQ58" s="1"/>
      <c r="IR58" s="1"/>
      <c r="IS58" s="1"/>
      <c r="IT58" s="1"/>
      <c r="IU58" s="1"/>
      <c r="IV58" s="1"/>
      <c r="IW58" s="1"/>
      <c r="IX58" s="1"/>
      <c r="IY58" s="1"/>
      <c r="IZ58" s="1"/>
      <c r="JA58" s="1"/>
      <c r="JB58" s="1"/>
      <c r="JC58" s="1"/>
      <c r="JD58" s="1"/>
    </row>
    <row r="59" spans="2:264" s="1044" customFormat="1" ht="13.5" thickBot="1" x14ac:dyDescent="0.25">
      <c r="B59" s="1245" t="s">
        <v>1060</v>
      </c>
      <c r="C59" s="1246"/>
      <c r="D59" s="1215"/>
      <c r="E59" s="1194"/>
      <c r="F59" s="1159" t="s">
        <v>1053</v>
      </c>
      <c r="G59" s="1160">
        <f ca="1">AVERAGE(G56:G58)</f>
        <v>178265.50520430566</v>
      </c>
      <c r="H59" s="1161">
        <f ca="1">AVERAGE(H56:H58)</f>
        <v>106.52495668761595</v>
      </c>
      <c r="I59" s="1090"/>
      <c r="J59" s="1090"/>
      <c r="K59" s="1090"/>
      <c r="L59" s="1090"/>
      <c r="M59" s="1090"/>
      <c r="N59" s="1090"/>
      <c r="O59" s="1090"/>
      <c r="P59" s="1212"/>
      <c r="Q59" s="1047"/>
      <c r="R59" s="1074"/>
      <c r="S59" s="1074"/>
      <c r="T59" s="1074"/>
      <c r="U59" s="1074"/>
      <c r="V59" s="1074"/>
      <c r="W59" s="1074"/>
      <c r="X59" s="1074"/>
      <c r="Y59" s="1074"/>
      <c r="Z59" s="1074"/>
      <c r="AA59" s="1074"/>
      <c r="AB59" s="1074"/>
      <c r="AC59" s="1074"/>
      <c r="AD59" s="1074"/>
      <c r="AE59" s="1247"/>
      <c r="AF59" s="1248"/>
      <c r="AG59" s="1248"/>
      <c r="AH59" s="1248"/>
      <c r="AI59" s="1248"/>
      <c r="AJ59" s="1248"/>
      <c r="AK59" s="1379"/>
      <c r="AL59" s="1248"/>
      <c r="AM59" s="1248"/>
      <c r="AN59" s="1248"/>
      <c r="AO59" s="1074"/>
      <c r="AP59" s="1074"/>
      <c r="AQ59" s="1074"/>
      <c r="AR59" s="1074"/>
      <c r="AS59" s="1074"/>
      <c r="AT59" s="1074"/>
      <c r="AU59" s="1074"/>
      <c r="AV59" s="1083"/>
      <c r="AW59" s="1083"/>
      <c r="AX59" s="1083"/>
      <c r="AY59" s="1083"/>
      <c r="AZ59" s="1083"/>
      <c r="BA59" s="1083"/>
      <c r="BB59" s="1083"/>
      <c r="BC59" s="1083"/>
      <c r="BD59" s="1083"/>
      <c r="BE59" s="1083"/>
      <c r="BF59" s="1083"/>
      <c r="BG59" s="1083"/>
      <c r="BH59" s="1083"/>
      <c r="BI59" s="1083"/>
      <c r="BJ59" s="1083"/>
      <c r="BK59" s="1083"/>
      <c r="BL59" s="1083"/>
      <c r="BM59" s="1083"/>
      <c r="BN59" s="1083"/>
      <c r="BO59" s="1083"/>
      <c r="BP59" s="1083"/>
      <c r="BQ59" s="1083"/>
      <c r="BR59" s="1083"/>
      <c r="BS59" s="1083"/>
      <c r="BT59" s="1083"/>
      <c r="BU59" s="1083"/>
      <c r="BV59" s="1083"/>
      <c r="BW59" s="1083"/>
      <c r="BX59" s="1083"/>
      <c r="BY59" s="1083"/>
      <c r="BZ59" s="1083"/>
      <c r="CA59" s="1083"/>
      <c r="CB59" s="1083"/>
      <c r="CC59" s="1083"/>
      <c r="CD59" s="1083"/>
      <c r="CE59" s="1083"/>
      <c r="CF59" s="1083"/>
      <c r="CG59" s="1083"/>
      <c r="CH59" s="1083"/>
      <c r="CI59" s="1083"/>
      <c r="CJ59" s="1083"/>
      <c r="CK59" s="1083"/>
      <c r="CL59" s="1083"/>
      <c r="CM59" s="1083"/>
      <c r="CN59" s="1083"/>
      <c r="CO59" s="1083"/>
      <c r="CP59" s="1083"/>
      <c r="CQ59" s="1083"/>
      <c r="CR59" s="1083"/>
      <c r="CS59" s="1083"/>
      <c r="CT59" s="1083"/>
      <c r="CU59" s="1083"/>
      <c r="CV59" s="1083"/>
      <c r="CW59" s="1083"/>
      <c r="CX59" s="1083"/>
      <c r="CY59" s="1083"/>
      <c r="CZ59" s="1083"/>
      <c r="DA59" s="1083"/>
      <c r="DB59" s="1083"/>
      <c r="DC59" s="1083"/>
      <c r="DD59" s="1083"/>
      <c r="DE59" s="1083"/>
      <c r="DF59" s="1083"/>
      <c r="DG59" s="1083"/>
      <c r="DH59" s="1083"/>
      <c r="DI59" s="1083"/>
      <c r="DJ59" s="1083"/>
      <c r="DK59" s="1083"/>
      <c r="DL59" s="1083"/>
      <c r="DM59" s="1083"/>
      <c r="DN59" s="1083"/>
      <c r="DO59" s="1083"/>
      <c r="DP59" s="1083"/>
      <c r="DQ59" s="1083"/>
      <c r="DR59" s="1083"/>
      <c r="DS59" s="1083"/>
      <c r="DT59" s="1083"/>
      <c r="DU59" s="1083"/>
      <c r="DV59" s="1083"/>
      <c r="DW59" s="1083"/>
      <c r="DX59" s="1083"/>
      <c r="DY59" s="1083"/>
      <c r="DZ59" s="1083"/>
      <c r="EA59" s="1083"/>
      <c r="EB59" s="1083"/>
      <c r="EC59" s="1083"/>
      <c r="ED59" s="1083"/>
      <c r="EE59" s="1083"/>
      <c r="EF59" s="1083"/>
      <c r="EG59" s="1083"/>
      <c r="EH59" s="1083"/>
      <c r="EI59" s="1083"/>
      <c r="EJ59" s="1083"/>
      <c r="EK59" s="1083"/>
      <c r="EL59" s="1083"/>
      <c r="EM59" s="1083"/>
      <c r="EN59" s="1083"/>
      <c r="EO59" s="1083"/>
      <c r="EP59" s="1083"/>
      <c r="EQ59" s="1083"/>
      <c r="ER59" s="1083"/>
      <c r="ES59" s="1"/>
      <c r="ET59" s="1"/>
      <c r="EU59" s="1"/>
      <c r="EV59" s="1"/>
      <c r="EW59" s="1"/>
      <c r="EX59" s="1"/>
      <c r="EY59" s="1"/>
      <c r="EZ59" s="1"/>
      <c r="FA59" s="1"/>
      <c r="FB59" s="1"/>
      <c r="FC59" s="1"/>
      <c r="FD59" s="1"/>
      <c r="FE59" s="1"/>
      <c r="FF59" s="1"/>
      <c r="FG59" s="1"/>
      <c r="FH59" s="1"/>
      <c r="FI59" s="1"/>
      <c r="FJ59" s="1"/>
      <c r="FK59" s="1"/>
      <c r="FL59" s="1"/>
      <c r="FM59" s="1"/>
      <c r="FN59" s="1"/>
      <c r="FO59" s="1"/>
      <c r="FP59" s="1"/>
      <c r="FQ59" s="1"/>
      <c r="FR59" s="1"/>
      <c r="FS59" s="1"/>
      <c r="FT59" s="1"/>
      <c r="FU59" s="1"/>
      <c r="FV59" s="1"/>
      <c r="FW59" s="1"/>
      <c r="FX59" s="1"/>
      <c r="FY59" s="1"/>
      <c r="FZ59" s="1"/>
      <c r="GA59" s="1"/>
      <c r="GB59" s="1"/>
      <c r="GC59" s="1"/>
      <c r="GD59" s="1"/>
      <c r="GE59" s="1"/>
      <c r="GF59" s="1"/>
      <c r="GG59" s="1"/>
      <c r="GH59" s="1"/>
      <c r="GI59" s="1"/>
      <c r="GJ59" s="1"/>
      <c r="GK59" s="1"/>
      <c r="GL59" s="1"/>
      <c r="GM59" s="1"/>
      <c r="GN59" s="1"/>
      <c r="GO59" s="1"/>
      <c r="GP59" s="1"/>
      <c r="GQ59" s="1"/>
      <c r="GR59" s="1"/>
      <c r="GS59" s="1"/>
      <c r="GT59" s="1"/>
      <c r="GU59" s="1"/>
      <c r="GV59" s="1"/>
      <c r="GW59" s="1"/>
      <c r="GX59" s="1"/>
      <c r="GY59" s="1"/>
      <c r="GZ59" s="1"/>
      <c r="HA59" s="1"/>
      <c r="HB59" s="1"/>
      <c r="HC59" s="1"/>
      <c r="HD59" s="1"/>
      <c r="HE59" s="1"/>
      <c r="HF59" s="1"/>
      <c r="HG59" s="1"/>
      <c r="HH59" s="1"/>
      <c r="HI59" s="1"/>
      <c r="HJ59" s="1"/>
      <c r="HK59" s="1"/>
      <c r="HL59" s="1"/>
      <c r="HM59" s="1"/>
      <c r="HN59" s="1"/>
      <c r="HO59" s="1"/>
      <c r="HP59" s="1"/>
      <c r="HQ59" s="1"/>
      <c r="HR59" s="1"/>
      <c r="HS59" s="1"/>
      <c r="HT59" s="1"/>
      <c r="HU59" s="1"/>
      <c r="HV59" s="1"/>
      <c r="HW59" s="1"/>
      <c r="HX59" s="1"/>
      <c r="HY59" s="1"/>
      <c r="HZ59" s="1"/>
      <c r="IA59" s="1"/>
      <c r="IB59" s="1"/>
      <c r="IC59" s="1"/>
      <c r="ID59" s="1"/>
      <c r="IE59" s="1"/>
      <c r="IF59" s="1"/>
      <c r="IG59" s="1"/>
      <c r="IH59" s="1"/>
      <c r="II59" s="1"/>
      <c r="IJ59" s="1"/>
      <c r="IK59" s="1"/>
      <c r="IL59" s="1"/>
      <c r="IM59" s="1"/>
      <c r="IN59" s="1"/>
      <c r="IO59" s="1"/>
      <c r="IP59" s="1"/>
      <c r="IQ59" s="1"/>
      <c r="IR59" s="1"/>
      <c r="IS59" s="1"/>
      <c r="IT59" s="1"/>
      <c r="IU59" s="1"/>
      <c r="IV59" s="1"/>
      <c r="IW59" s="1"/>
      <c r="IX59" s="1"/>
      <c r="IY59" s="1"/>
      <c r="IZ59" s="1"/>
      <c r="JA59" s="1"/>
      <c r="JB59" s="1"/>
      <c r="JC59" s="1"/>
      <c r="JD59" s="1"/>
    </row>
    <row r="60" spans="2:264" s="1044" customFormat="1" ht="13.5" thickBot="1" x14ac:dyDescent="0.25">
      <c r="B60" s="1249"/>
      <c r="C60" s="1250" t="str">
        <f>D25</f>
        <v>FY26E</v>
      </c>
      <c r="D60" s="1215"/>
      <c r="E60" s="1194"/>
      <c r="F60" s="1164" t="s">
        <v>1002</v>
      </c>
      <c r="G60" s="1165"/>
      <c r="H60" s="1123">
        <f ca="1">ROUND(H59*(1+$C$15/100)-$C$6,1)</f>
        <v>109.6</v>
      </c>
      <c r="I60" s="1253"/>
      <c r="J60" s="1253"/>
      <c r="K60" s="1162"/>
      <c r="L60" s="1489">
        <f t="shared" ref="L60" si="144">AVERAGE(AI60,AJ60,AK60)</f>
        <v>2.1743437842420252E-2</v>
      </c>
      <c r="M60" s="1489">
        <f t="shared" ref="M60" ca="1" si="145">AVERAGE(AL60,AM60,AN60)</f>
        <v>2.1307024033586849E-2</v>
      </c>
      <c r="N60" s="1489">
        <f t="shared" ref="N60" ca="1" si="146">AVERAGE(AL60:AU60)</f>
        <v>2.0882107210076058E-2</v>
      </c>
      <c r="O60" s="1492">
        <f t="shared" ref="O60" si="147">AO60</f>
        <v>2.1000000000000001E-2</v>
      </c>
      <c r="P60" s="1212"/>
      <c r="Q60" s="1044" t="s">
        <v>1062</v>
      </c>
      <c r="R60" s="1074" t="s">
        <v>1010</v>
      </c>
      <c r="S60" s="1145">
        <f ca="1">AVERAGE(AL60:AU60)</f>
        <v>2.0882107210076058E-2</v>
      </c>
      <c r="T60" s="1156"/>
      <c r="U60" s="1156"/>
      <c r="V60" s="1156"/>
      <c r="W60" s="1156"/>
      <c r="X60" s="1254"/>
      <c r="Y60" s="1254">
        <f t="shared" ref="Y60:AO65" si="148">Y47/Y$44</f>
        <v>2.4857857005520918E-2</v>
      </c>
      <c r="Z60" s="1254">
        <f t="shared" si="148"/>
        <v>2.4869210549238834E-2</v>
      </c>
      <c r="AA60" s="1254">
        <f t="shared" si="148"/>
        <v>2.4466811300399523E-2</v>
      </c>
      <c r="AB60" s="1254">
        <f t="shared" si="148"/>
        <v>2.3784333550315132E-2</v>
      </c>
      <c r="AC60" s="1254">
        <f t="shared" si="148"/>
        <v>2.3778890565269307E-2</v>
      </c>
      <c r="AD60" s="1254">
        <f t="shared" si="148"/>
        <v>2.4129175129854234E-2</v>
      </c>
      <c r="AE60" s="1255">
        <f t="shared" si="148"/>
        <v>2.3755927449858848E-2</v>
      </c>
      <c r="AF60" s="1254">
        <f t="shared" si="148"/>
        <v>2.3452229847255937E-2</v>
      </c>
      <c r="AG60" s="1254">
        <f t="shared" si="148"/>
        <v>2.2921594995429329E-2</v>
      </c>
      <c r="AH60" s="1254">
        <f t="shared" si="148"/>
        <v>2.1310452227974223E-2</v>
      </c>
      <c r="AI60" s="1254">
        <f t="shared" si="148"/>
        <v>2.1928310078122595E-2</v>
      </c>
      <c r="AJ60" s="1254">
        <f t="shared" si="148"/>
        <v>2.1364289435874765E-2</v>
      </c>
      <c r="AK60" s="1380">
        <f t="shared" si="148"/>
        <v>2.1937714013263405E-2</v>
      </c>
      <c r="AL60" s="1254">
        <f ca="1">AL47/AL$44</f>
        <v>2.1504808915099226E-2</v>
      </c>
      <c r="AM60" s="1254">
        <f t="shared" ref="AM60" ca="1" si="149">AM47/AM$44</f>
        <v>2.1332758055405923E-2</v>
      </c>
      <c r="AN60" s="1254">
        <f t="shared" ref="AN60" ca="1" si="150">AN47/AN$44</f>
        <v>2.1083505130255396E-2</v>
      </c>
      <c r="AO60" s="1256">
        <v>2.1000000000000001E-2</v>
      </c>
      <c r="AP60" s="1257">
        <f t="shared" ref="AP60:AU60" si="151">+AO60-0.01%</f>
        <v>2.0900000000000002E-2</v>
      </c>
      <c r="AQ60" s="1257">
        <f t="shared" si="151"/>
        <v>2.0800000000000003E-2</v>
      </c>
      <c r="AR60" s="1257">
        <f t="shared" si="151"/>
        <v>2.0700000000000003E-2</v>
      </c>
      <c r="AS60" s="1257">
        <f t="shared" si="151"/>
        <v>2.0600000000000004E-2</v>
      </c>
      <c r="AT60" s="1257">
        <f t="shared" si="151"/>
        <v>2.0500000000000004E-2</v>
      </c>
      <c r="AU60" s="1257">
        <f t="shared" si="151"/>
        <v>2.0400000000000005E-2</v>
      </c>
      <c r="AV60" s="1083"/>
      <c r="AW60" s="1083"/>
      <c r="AX60" s="1083"/>
      <c r="AY60" s="1083"/>
      <c r="AZ60" s="1083"/>
      <c r="BA60" s="1083"/>
      <c r="BB60" s="1083"/>
      <c r="BC60" s="1083"/>
      <c r="BD60" s="1083"/>
      <c r="BE60" s="1083"/>
      <c r="BF60" s="1083"/>
      <c r="BG60" s="1083"/>
      <c r="BH60" s="1083"/>
      <c r="BI60" s="1083"/>
      <c r="BJ60" s="1083"/>
      <c r="BK60" s="1083"/>
      <c r="BL60" s="1083"/>
      <c r="BM60" s="1083"/>
      <c r="BN60" s="1083"/>
      <c r="BO60" s="1083"/>
      <c r="BP60" s="1083"/>
      <c r="BQ60" s="1083"/>
      <c r="BR60" s="1083"/>
      <c r="BS60" s="1083"/>
      <c r="BT60" s="1083"/>
      <c r="BU60" s="1083"/>
      <c r="BV60" s="1083"/>
      <c r="BW60" s="1083"/>
      <c r="BX60" s="1083"/>
      <c r="BY60" s="1083"/>
      <c r="BZ60" s="1083"/>
      <c r="CA60" s="1083"/>
      <c r="CB60" s="1083"/>
      <c r="CC60" s="1083"/>
      <c r="CD60" s="1083"/>
      <c r="CE60" s="1083"/>
      <c r="CF60" s="1083"/>
      <c r="CG60" s="1083"/>
      <c r="CH60" s="1083"/>
      <c r="CI60" s="1083"/>
      <c r="CJ60" s="1083"/>
      <c r="CK60" s="1083"/>
      <c r="CL60" s="1083"/>
      <c r="CM60" s="1083"/>
      <c r="CN60" s="1083"/>
      <c r="CO60" s="1083"/>
      <c r="CP60" s="1083"/>
      <c r="CQ60" s="1083"/>
      <c r="CR60" s="1083"/>
      <c r="CS60" s="1083"/>
      <c r="CT60" s="1083"/>
      <c r="CU60" s="1083"/>
      <c r="CV60" s="1083"/>
      <c r="CW60" s="1083"/>
      <c r="CX60" s="1083"/>
      <c r="CY60" s="1083"/>
      <c r="CZ60" s="1083"/>
      <c r="DA60" s="1083"/>
      <c r="DB60" s="1083"/>
      <c r="DC60" s="1083"/>
      <c r="DD60" s="1083"/>
      <c r="DE60" s="1083"/>
      <c r="DF60" s="1083"/>
      <c r="DG60" s="1083"/>
      <c r="DH60" s="1083"/>
      <c r="DI60" s="1083"/>
      <c r="DJ60" s="1083"/>
      <c r="DK60" s="1083"/>
      <c r="DL60" s="1083"/>
      <c r="DM60" s="1083"/>
      <c r="DN60" s="1083"/>
      <c r="DO60" s="1083"/>
      <c r="DP60" s="1083"/>
      <c r="DQ60" s="1083"/>
      <c r="DR60" s="1083"/>
      <c r="DS60" s="1083"/>
      <c r="DT60" s="1083"/>
      <c r="DU60" s="1083"/>
      <c r="DV60" s="1083"/>
      <c r="DW60" s="1083"/>
      <c r="DX60" s="1083"/>
      <c r="DY60" s="1083"/>
      <c r="DZ60" s="1083"/>
      <c r="EA60" s="1083"/>
      <c r="EB60" s="1083"/>
      <c r="EC60" s="1083"/>
      <c r="ED60" s="1083"/>
      <c r="EE60" s="1083"/>
      <c r="EF60" s="1083"/>
      <c r="EG60" s="1083"/>
      <c r="EH60" s="1083"/>
      <c r="EI60" s="1083"/>
      <c r="EJ60" s="1083"/>
      <c r="EK60" s="1083"/>
      <c r="EL60" s="1083"/>
      <c r="EM60" s="1083"/>
      <c r="EN60" s="1083"/>
      <c r="EO60" s="1083"/>
      <c r="EP60" s="1083"/>
      <c r="EQ60" s="1083"/>
      <c r="ER60" s="1083"/>
      <c r="ES60" s="1"/>
      <c r="ET60" s="1"/>
      <c r="EU60" s="1"/>
      <c r="EV60" s="1"/>
      <c r="EW60" s="1"/>
      <c r="EX60" s="1"/>
      <c r="EY60" s="1"/>
      <c r="EZ60" s="1"/>
      <c r="FA60" s="1"/>
      <c r="FB60" s="1"/>
      <c r="FC60" s="1"/>
      <c r="FD60" s="1"/>
      <c r="FE60" s="1"/>
      <c r="FF60" s="1"/>
      <c r="FG60" s="1"/>
      <c r="FH60" s="1"/>
      <c r="FI60" s="1"/>
      <c r="FJ60" s="1"/>
      <c r="FK60" s="1"/>
      <c r="FL60" s="1"/>
      <c r="FM60" s="1"/>
      <c r="FN60" s="1"/>
      <c r="FO60" s="1"/>
      <c r="FP60" s="1"/>
      <c r="FQ60" s="1"/>
      <c r="FR60" s="1"/>
      <c r="FS60" s="1"/>
      <c r="FT60" s="1"/>
      <c r="FU60" s="1"/>
      <c r="FV60" s="1"/>
      <c r="FW60" s="1"/>
      <c r="FX60" s="1"/>
      <c r="FY60" s="1"/>
      <c r="FZ60" s="1"/>
      <c r="GA60" s="1"/>
      <c r="GB60" s="1"/>
      <c r="GC60" s="1"/>
      <c r="GD60" s="1"/>
      <c r="GE60" s="1"/>
      <c r="GF60" s="1"/>
      <c r="GG60" s="1"/>
      <c r="GH60" s="1"/>
      <c r="GI60" s="1"/>
      <c r="GJ60" s="1"/>
      <c r="GK60" s="1"/>
      <c r="GL60" s="1"/>
      <c r="GM60" s="1"/>
      <c r="GN60" s="1"/>
      <c r="GO60" s="1"/>
      <c r="GP60" s="1"/>
      <c r="GQ60" s="1"/>
      <c r="GR60" s="1"/>
      <c r="GS60" s="1"/>
      <c r="GT60" s="1"/>
      <c r="GU60" s="1"/>
      <c r="GV60" s="1"/>
      <c r="GW60" s="1"/>
      <c r="GX60" s="1"/>
      <c r="GY60" s="1"/>
      <c r="GZ60" s="1"/>
      <c r="HA60" s="1"/>
      <c r="HB60" s="1"/>
      <c r="HC60" s="1"/>
      <c r="HD60" s="1"/>
      <c r="HE60" s="1"/>
      <c r="HF60" s="1"/>
      <c r="HG60" s="1"/>
      <c r="HH60" s="1"/>
      <c r="HI60" s="1"/>
      <c r="HJ60" s="1"/>
      <c r="HK60" s="1"/>
      <c r="HL60" s="1"/>
      <c r="HM60" s="1"/>
      <c r="HN60" s="1"/>
      <c r="HO60" s="1"/>
      <c r="HP60" s="1"/>
      <c r="HQ60" s="1"/>
      <c r="HR60" s="1"/>
      <c r="HS60" s="1"/>
      <c r="HT60" s="1"/>
      <c r="HU60" s="1"/>
      <c r="HV60" s="1"/>
      <c r="HW60" s="1"/>
      <c r="HX60" s="1"/>
      <c r="HY60" s="1"/>
      <c r="HZ60" s="1"/>
      <c r="IA60" s="1"/>
      <c r="IB60" s="1"/>
      <c r="IC60" s="1"/>
      <c r="ID60" s="1"/>
      <c r="IE60" s="1"/>
      <c r="IF60" s="1"/>
      <c r="IG60" s="1"/>
      <c r="IH60" s="1"/>
      <c r="II60" s="1"/>
      <c r="IJ60" s="1"/>
      <c r="IK60" s="1"/>
      <c r="IL60" s="1"/>
      <c r="IM60" s="1"/>
      <c r="IN60" s="1"/>
      <c r="IO60" s="1"/>
      <c r="IP60" s="1"/>
      <c r="IQ60" s="1"/>
      <c r="IR60" s="1"/>
      <c r="IS60" s="1"/>
      <c r="IT60" s="1"/>
      <c r="IU60" s="1"/>
      <c r="IV60" s="1"/>
      <c r="IW60" s="1"/>
      <c r="IX60" s="1"/>
      <c r="IY60" s="1"/>
      <c r="IZ60" s="1"/>
      <c r="JA60" s="1"/>
      <c r="JB60" s="1"/>
      <c r="JC60" s="1"/>
      <c r="JD60" s="1"/>
    </row>
    <row r="61" spans="2:264" s="1044" customFormat="1" x14ac:dyDescent="0.2">
      <c r="B61" s="1258" t="s">
        <v>754</v>
      </c>
      <c r="C61" s="1259">
        <f>SUMIF(MODEL!$7:$7,$C$60,MODEL!$1141:$1141)</f>
        <v>662.03273653094163</v>
      </c>
      <c r="D61" s="1215"/>
      <c r="E61" s="1194"/>
      <c r="F61" s="1168" t="s">
        <v>1021</v>
      </c>
      <c r="G61" s="1169"/>
      <c r="H61" s="1170">
        <f ca="1">(H60+$C$6)/$C$7-1</f>
        <v>-0.3217740033026657</v>
      </c>
      <c r="I61" s="1261"/>
      <c r="J61" s="1261"/>
      <c r="K61" s="1261"/>
      <c r="L61" s="1261"/>
      <c r="M61" s="1261"/>
      <c r="N61" s="1261"/>
      <c r="O61" s="1261"/>
      <c r="P61" s="1212"/>
      <c r="Q61" s="1044" t="s">
        <v>1064</v>
      </c>
      <c r="R61" s="1156"/>
      <c r="S61" s="1156"/>
      <c r="T61" s="1156"/>
      <c r="U61" s="1156"/>
      <c r="V61" s="1156"/>
      <c r="W61" s="1156"/>
      <c r="X61" s="1254"/>
      <c r="Y61" s="1254">
        <f t="shared" si="148"/>
        <v>3.7369187244211278E-3</v>
      </c>
      <c r="Z61" s="1254">
        <f t="shared" si="148"/>
        <v>3.8263280061077778E-3</v>
      </c>
      <c r="AA61" s="1254">
        <f t="shared" si="148"/>
        <v>3.4854358573105241E-3</v>
      </c>
      <c r="AB61" s="1254">
        <f t="shared" si="148"/>
        <v>3.2214431126648441E-3</v>
      </c>
      <c r="AC61" s="1254">
        <f t="shared" si="148"/>
        <v>2.2204327118384342E-3</v>
      </c>
      <c r="AD61" s="1254">
        <f t="shared" si="148"/>
        <v>1.3981544361442895E-3</v>
      </c>
      <c r="AE61" s="1255">
        <f t="shared" si="148"/>
        <v>4.1412706320358036E-4</v>
      </c>
      <c r="AF61" s="1254">
        <f t="shared" si="148"/>
        <v>3.1407003761838888E-4</v>
      </c>
      <c r="AG61" s="1254">
        <f t="shared" si="148"/>
        <v>2.9798265740933879E-4</v>
      </c>
      <c r="AH61" s="1254">
        <f t="shared" si="148"/>
        <v>1.8106180562144677E-4</v>
      </c>
      <c r="AI61" s="1254">
        <f t="shared" si="148"/>
        <v>6.6466618356783079E-5</v>
      </c>
      <c r="AJ61" s="1254">
        <f t="shared" si="148"/>
        <v>8.7626505833872772E-5</v>
      </c>
      <c r="AK61" s="1380">
        <f t="shared" si="148"/>
        <v>9.4428998681090053E-5</v>
      </c>
      <c r="AL61" s="1254">
        <f t="shared" ca="1" si="148"/>
        <v>9.6669136223744787E-5</v>
      </c>
      <c r="AM61" s="1254">
        <f t="shared" ref="AM61" ca="1" si="152">AM48/AM$44</f>
        <v>9.4251995063082607E-5</v>
      </c>
      <c r="AN61" s="1254">
        <f t="shared" ref="AN61" ca="1" si="153">AN48/AN$44</f>
        <v>9.294222862745107E-5</v>
      </c>
      <c r="AO61" s="1254">
        <f t="shared" ca="1" si="148"/>
        <v>9.291808795404187E-5</v>
      </c>
      <c r="AP61" s="1254">
        <f t="shared" ref="AP61:AU65" ca="1" si="154">AP48/AP$44</f>
        <v>9.3824271291595811E-5</v>
      </c>
      <c r="AQ61" s="1254">
        <f t="shared" ca="1" si="154"/>
        <v>9.473824008684724E-5</v>
      </c>
      <c r="AR61" s="1254">
        <f t="shared" ca="1" si="154"/>
        <v>9.566004968448976E-5</v>
      </c>
      <c r="AS61" s="1254">
        <f t="shared" ca="1" si="154"/>
        <v>9.6589755713661929E-5</v>
      </c>
      <c r="AT61" s="1254">
        <f t="shared" ca="1" si="154"/>
        <v>9.7527414088611548E-5</v>
      </c>
      <c r="AU61" s="1254">
        <f t="shared" ca="1" si="154"/>
        <v>9.8473081009358771E-5</v>
      </c>
      <c r="AV61" s="1083"/>
      <c r="AW61" s="1083"/>
      <c r="AX61" s="1083"/>
      <c r="AY61" s="1083"/>
      <c r="AZ61" s="1083"/>
      <c r="BA61" s="1083"/>
      <c r="BB61" s="1083"/>
      <c r="BC61" s="1083"/>
      <c r="BD61" s="1083"/>
      <c r="BE61" s="1083"/>
      <c r="BF61" s="1083"/>
      <c r="BG61" s="1083"/>
      <c r="BH61" s="1083"/>
      <c r="BI61" s="1083"/>
      <c r="BJ61" s="1083"/>
      <c r="BK61" s="1083"/>
      <c r="BL61" s="1083"/>
      <c r="BM61" s="1083"/>
      <c r="BN61" s="1083"/>
      <c r="BO61" s="1083"/>
      <c r="BP61" s="1083"/>
      <c r="BQ61" s="1083"/>
      <c r="BR61" s="1083"/>
      <c r="BS61" s="1083"/>
      <c r="BT61" s="1083"/>
      <c r="BU61" s="1083"/>
      <c r="BV61" s="1083"/>
      <c r="BW61" s="1083"/>
      <c r="BX61" s="1083"/>
      <c r="BY61" s="1083"/>
      <c r="BZ61" s="1083"/>
      <c r="CA61" s="1083"/>
      <c r="CB61" s="1083"/>
      <c r="CC61" s="1083"/>
      <c r="CD61" s="1083"/>
      <c r="CE61" s="1083"/>
      <c r="CF61" s="1083"/>
      <c r="CG61" s="1083"/>
      <c r="CH61" s="1083"/>
      <c r="CI61" s="1083"/>
      <c r="CJ61" s="1083"/>
      <c r="CK61" s="1083"/>
      <c r="CL61" s="1083"/>
      <c r="CM61" s="1083"/>
      <c r="CN61" s="1083"/>
      <c r="CO61" s="1083"/>
      <c r="CP61" s="1083"/>
      <c r="CQ61" s="1083"/>
      <c r="CR61" s="1083"/>
      <c r="CS61" s="1083"/>
      <c r="CT61" s="1083"/>
      <c r="CU61" s="1083"/>
      <c r="CV61" s="1083"/>
      <c r="CW61" s="1083"/>
      <c r="CX61" s="1083"/>
      <c r="CY61" s="1083"/>
      <c r="CZ61" s="1083"/>
      <c r="DA61" s="1083"/>
      <c r="DB61" s="1083"/>
      <c r="DC61" s="1083"/>
      <c r="DD61" s="1083"/>
      <c r="DE61" s="1083"/>
      <c r="DF61" s="1083"/>
      <c r="DG61" s="1083"/>
      <c r="DH61" s="1083"/>
      <c r="DI61" s="1083"/>
      <c r="DJ61" s="1083"/>
      <c r="DK61" s="1083"/>
      <c r="DL61" s="1083"/>
      <c r="DM61" s="1083"/>
      <c r="DN61" s="1083"/>
      <c r="DO61" s="1083"/>
      <c r="DP61" s="1083"/>
      <c r="DQ61" s="1083"/>
      <c r="DR61" s="1083"/>
      <c r="DS61" s="1083"/>
      <c r="DT61" s="1083"/>
      <c r="DU61" s="1083"/>
      <c r="DV61" s="1083"/>
      <c r="DW61" s="1083"/>
      <c r="DX61" s="1083"/>
      <c r="DY61" s="1083"/>
      <c r="DZ61" s="1083"/>
      <c r="EA61" s="1083"/>
      <c r="EB61" s="1083"/>
      <c r="EC61" s="1083"/>
      <c r="ED61" s="1083"/>
      <c r="EE61" s="1083"/>
      <c r="EF61" s="1083"/>
      <c r="EG61" s="1083"/>
      <c r="EH61" s="1083"/>
      <c r="EI61" s="1083"/>
      <c r="EJ61" s="1083"/>
      <c r="EK61" s="1083"/>
      <c r="EL61" s="1083"/>
      <c r="EM61" s="1083"/>
      <c r="EN61" s="1083"/>
      <c r="EO61" s="1083"/>
      <c r="EP61" s="1083"/>
      <c r="EQ61" s="1083"/>
      <c r="ER61" s="1083"/>
      <c r="ES61" s="1"/>
      <c r="ET61" s="1"/>
      <c r="EU61" s="1"/>
      <c r="EV61" s="1"/>
      <c r="EW61" s="1"/>
      <c r="EX61" s="1"/>
      <c r="EY61" s="1"/>
      <c r="EZ61" s="1"/>
      <c r="FA61" s="1"/>
      <c r="FB61" s="1"/>
      <c r="FC61" s="1"/>
      <c r="FD61" s="1"/>
      <c r="FE61" s="1"/>
      <c r="FF61" s="1"/>
      <c r="FG61" s="1"/>
      <c r="FH61" s="1"/>
      <c r="FI61" s="1"/>
      <c r="FJ61" s="1"/>
      <c r="FK61" s="1"/>
      <c r="FL61" s="1"/>
      <c r="FM61" s="1"/>
      <c r="FN61" s="1"/>
      <c r="FO61" s="1"/>
      <c r="FP61" s="1"/>
      <c r="FQ61" s="1"/>
      <c r="FR61" s="1"/>
      <c r="FS61" s="1"/>
      <c r="FT61" s="1"/>
      <c r="FU61" s="1"/>
      <c r="FV61" s="1"/>
      <c r="FW61" s="1"/>
      <c r="FX61" s="1"/>
      <c r="FY61" s="1"/>
      <c r="FZ61" s="1"/>
      <c r="GA61" s="1"/>
      <c r="GB61" s="1"/>
      <c r="GC61" s="1"/>
      <c r="GD61" s="1"/>
      <c r="GE61" s="1"/>
      <c r="GF61" s="1"/>
      <c r="GG61" s="1"/>
      <c r="GH61" s="1"/>
      <c r="GI61" s="1"/>
      <c r="GJ61" s="1"/>
      <c r="GK61" s="1"/>
      <c r="GL61" s="1"/>
      <c r="GM61" s="1"/>
      <c r="GN61" s="1"/>
      <c r="GO61" s="1"/>
      <c r="GP61" s="1"/>
      <c r="GQ61" s="1"/>
      <c r="GR61" s="1"/>
      <c r="GS61" s="1"/>
      <c r="GT61" s="1"/>
      <c r="GU61" s="1"/>
      <c r="GV61" s="1"/>
      <c r="GW61" s="1"/>
      <c r="GX61" s="1"/>
      <c r="GY61" s="1"/>
      <c r="GZ61" s="1"/>
      <c r="HA61" s="1"/>
      <c r="HB61" s="1"/>
      <c r="HC61" s="1"/>
      <c r="HD61" s="1"/>
      <c r="HE61" s="1"/>
      <c r="HF61" s="1"/>
      <c r="HG61" s="1"/>
      <c r="HH61" s="1"/>
      <c r="HI61" s="1"/>
      <c r="HJ61" s="1"/>
      <c r="HK61" s="1"/>
      <c r="HL61" s="1"/>
      <c r="HM61" s="1"/>
      <c r="HN61" s="1"/>
      <c r="HO61" s="1"/>
      <c r="HP61" s="1"/>
      <c r="HQ61" s="1"/>
      <c r="HR61" s="1"/>
      <c r="HS61" s="1"/>
      <c r="HT61" s="1"/>
      <c r="HU61" s="1"/>
      <c r="HV61" s="1"/>
      <c r="HW61" s="1"/>
      <c r="HX61" s="1"/>
      <c r="HY61" s="1"/>
      <c r="HZ61" s="1"/>
      <c r="IA61" s="1"/>
      <c r="IB61" s="1"/>
      <c r="IC61" s="1"/>
      <c r="ID61" s="1"/>
      <c r="IE61" s="1"/>
      <c r="IF61" s="1"/>
      <c r="IG61" s="1"/>
      <c r="IH61" s="1"/>
      <c r="II61" s="1"/>
      <c r="IJ61" s="1"/>
      <c r="IK61" s="1"/>
      <c r="IL61" s="1"/>
      <c r="IM61" s="1"/>
      <c r="IN61" s="1"/>
      <c r="IO61" s="1"/>
      <c r="IP61" s="1"/>
      <c r="IQ61" s="1"/>
      <c r="IR61" s="1"/>
      <c r="IS61" s="1"/>
      <c r="IT61" s="1"/>
      <c r="IU61" s="1"/>
      <c r="IV61" s="1"/>
      <c r="IW61" s="1"/>
      <c r="IX61" s="1"/>
      <c r="IY61" s="1"/>
      <c r="IZ61" s="1"/>
      <c r="JA61" s="1"/>
      <c r="JB61" s="1"/>
      <c r="JC61" s="1"/>
      <c r="JD61" s="1"/>
    </row>
    <row r="62" spans="2:264" s="1264" customFormat="1" x14ac:dyDescent="0.2">
      <c r="B62" s="1258" t="s">
        <v>1065</v>
      </c>
      <c r="C62" s="1259">
        <f>SUMIF(MODEL!$7:$7,$C$60,MODEL!$1012:$1012)</f>
        <v>47.162110621898258</v>
      </c>
      <c r="D62" s="1262"/>
      <c r="E62" s="1263"/>
      <c r="F62" s="1044"/>
      <c r="G62" s="1043"/>
      <c r="H62" s="1043"/>
      <c r="I62" s="1261"/>
      <c r="J62" s="1261"/>
      <c r="K62" s="1261"/>
      <c r="L62" s="1489">
        <f t="shared" ref="L62" si="155">AVERAGE(AI62,AJ62,AK62)</f>
        <v>2.1826278550044168E-2</v>
      </c>
      <c r="M62" s="1489">
        <f t="shared" ref="M62" ca="1" si="156">AVERAGE(AL62,AM62,AN62)</f>
        <v>2.1401645153558274E-2</v>
      </c>
      <c r="N62" s="1489">
        <f t="shared" ref="N62" ca="1" si="157">AVERAGE(AL62:AU62)</f>
        <v>2.0977466636050345E-2</v>
      </c>
      <c r="O62" s="1492">
        <f t="shared" ref="O62" ca="1" si="158">AO62</f>
        <v>2.1092918087954046E-2</v>
      </c>
      <c r="P62" s="1263"/>
      <c r="Q62" s="1044" t="s">
        <v>1067</v>
      </c>
      <c r="R62" s="1156"/>
      <c r="S62" s="1156"/>
      <c r="T62" s="1156"/>
      <c r="U62" s="1156"/>
      <c r="V62" s="1156"/>
      <c r="W62" s="1156"/>
      <c r="X62" s="1254"/>
      <c r="Y62" s="1254">
        <f t="shared" si="148"/>
        <v>2.8594775729942044E-2</v>
      </c>
      <c r="Z62" s="1254">
        <f t="shared" si="148"/>
        <v>2.8695538555346612E-2</v>
      </c>
      <c r="AA62" s="1254">
        <f t="shared" si="148"/>
        <v>2.7952247157710046E-2</v>
      </c>
      <c r="AB62" s="1254">
        <f t="shared" si="148"/>
        <v>2.7005776662979975E-2</v>
      </c>
      <c r="AC62" s="1254">
        <f t="shared" si="148"/>
        <v>2.5999323277107741E-2</v>
      </c>
      <c r="AD62" s="1254">
        <f t="shared" si="148"/>
        <v>2.5527329565998524E-2</v>
      </c>
      <c r="AE62" s="1255">
        <f t="shared" si="148"/>
        <v>2.4170054513062429E-2</v>
      </c>
      <c r="AF62" s="1254">
        <f t="shared" si="148"/>
        <v>2.3766299884874328E-2</v>
      </c>
      <c r="AG62" s="1254">
        <f t="shared" si="148"/>
        <v>2.321957765283867E-2</v>
      </c>
      <c r="AH62" s="1254">
        <f t="shared" si="148"/>
        <v>2.1491514033595671E-2</v>
      </c>
      <c r="AI62" s="1254">
        <f t="shared" si="148"/>
        <v>2.1994776696479378E-2</v>
      </c>
      <c r="AJ62" s="1254">
        <f t="shared" si="148"/>
        <v>2.1451915941708637E-2</v>
      </c>
      <c r="AK62" s="1380">
        <f t="shared" si="148"/>
        <v>2.2032143011944495E-2</v>
      </c>
      <c r="AL62" s="1254">
        <f t="shared" ca="1" si="148"/>
        <v>2.1601478051322971E-2</v>
      </c>
      <c r="AM62" s="1254">
        <f t="shared" ref="AM62" ca="1" si="159">AM49/AM$44</f>
        <v>2.1427010050469004E-2</v>
      </c>
      <c r="AN62" s="1254">
        <f t="shared" ref="AN62" ca="1" si="160">AN49/AN$44</f>
        <v>2.1176447358882845E-2</v>
      </c>
      <c r="AO62" s="1254">
        <f t="shared" ca="1" si="148"/>
        <v>2.1092918087954046E-2</v>
      </c>
      <c r="AP62" s="1254">
        <f t="shared" ca="1" si="154"/>
        <v>2.0993824271291598E-2</v>
      </c>
      <c r="AQ62" s="1254">
        <f t="shared" ca="1" si="154"/>
        <v>2.0894738240086849E-2</v>
      </c>
      <c r="AR62" s="1254">
        <f t="shared" ca="1" si="154"/>
        <v>2.0795660049684493E-2</v>
      </c>
      <c r="AS62" s="1254">
        <f t="shared" ca="1" si="154"/>
        <v>2.0696589755713663E-2</v>
      </c>
      <c r="AT62" s="1254">
        <f t="shared" ca="1" si="154"/>
        <v>2.0597527414088618E-2</v>
      </c>
      <c r="AU62" s="1254">
        <f t="shared" ca="1" si="154"/>
        <v>2.0498473081009362E-2</v>
      </c>
      <c r="AV62" s="1083"/>
      <c r="AW62" s="1083"/>
      <c r="AX62" s="1083"/>
      <c r="AY62" s="1083"/>
      <c r="AZ62" s="1083"/>
      <c r="BA62" s="1083"/>
      <c r="BB62" s="1083"/>
      <c r="BC62" s="1083"/>
      <c r="BD62" s="1083"/>
      <c r="BE62" s="1083"/>
      <c r="BF62" s="1083"/>
      <c r="BG62" s="1083"/>
      <c r="BH62" s="1083"/>
      <c r="BI62" s="1083"/>
      <c r="BJ62" s="1083"/>
      <c r="BK62" s="1083"/>
      <c r="BL62" s="1083"/>
      <c r="BM62" s="1083"/>
      <c r="BN62" s="1083"/>
      <c r="BO62" s="1083"/>
      <c r="BP62" s="1083"/>
      <c r="BQ62" s="1083"/>
      <c r="BR62" s="1083"/>
      <c r="BS62" s="1083"/>
      <c r="BT62" s="1083"/>
      <c r="BU62" s="1083"/>
      <c r="BV62" s="1083"/>
      <c r="BW62" s="1083"/>
      <c r="BX62" s="1083"/>
      <c r="BY62" s="1083"/>
      <c r="BZ62" s="1083"/>
      <c r="CA62" s="1083"/>
      <c r="CB62" s="1083"/>
      <c r="CC62" s="1083"/>
      <c r="CD62" s="1083"/>
      <c r="CE62" s="1083"/>
      <c r="CF62" s="1083"/>
      <c r="CG62" s="1083"/>
      <c r="CH62" s="1083"/>
      <c r="CI62" s="1083"/>
      <c r="CJ62" s="1083"/>
      <c r="CK62" s="1086"/>
      <c r="CL62" s="1086"/>
      <c r="CM62" s="1086"/>
      <c r="CN62" s="1086"/>
      <c r="CO62" s="1086"/>
      <c r="CP62" s="1086"/>
      <c r="CQ62" s="1086"/>
      <c r="CR62" s="1086"/>
      <c r="CS62" s="1086"/>
      <c r="CT62" s="1086"/>
      <c r="CU62" s="1086"/>
      <c r="CV62" s="1086"/>
      <c r="CW62" s="1086"/>
      <c r="CX62" s="1086"/>
      <c r="CY62" s="1086"/>
      <c r="CZ62" s="1086"/>
      <c r="DA62" s="1086"/>
      <c r="DB62" s="1086"/>
      <c r="DC62" s="1086"/>
      <c r="DD62" s="1086"/>
      <c r="DE62" s="1086"/>
      <c r="DF62" s="1086"/>
      <c r="DG62" s="1086"/>
      <c r="DH62" s="1086"/>
      <c r="DI62" s="1086"/>
      <c r="DJ62" s="1086"/>
      <c r="DK62" s="1086"/>
      <c r="DL62" s="1086"/>
      <c r="DM62" s="1086"/>
      <c r="DN62" s="1086"/>
      <c r="DO62" s="1086"/>
      <c r="DP62" s="1086"/>
      <c r="DQ62" s="1086"/>
      <c r="DR62" s="1086"/>
      <c r="DS62" s="1086"/>
      <c r="DT62" s="1086"/>
      <c r="DU62" s="1086"/>
      <c r="DV62" s="1086"/>
      <c r="DW62" s="1086"/>
      <c r="DX62" s="1086"/>
      <c r="DY62" s="1086"/>
      <c r="DZ62" s="1086"/>
      <c r="EA62" s="1086"/>
      <c r="EB62" s="1086"/>
      <c r="EC62" s="1086"/>
      <c r="ED62" s="1086"/>
      <c r="EE62" s="1086"/>
      <c r="EF62" s="1086"/>
      <c r="EG62" s="1086"/>
      <c r="EH62" s="1086"/>
      <c r="EI62" s="1086"/>
      <c r="EJ62" s="1086"/>
      <c r="EK62" s="1086"/>
      <c r="EL62" s="1086"/>
      <c r="EM62" s="1086"/>
      <c r="EN62" s="1086"/>
      <c r="EO62" s="1086"/>
      <c r="EP62" s="1086"/>
      <c r="EQ62" s="1086"/>
      <c r="ER62" s="1086"/>
      <c r="ES62" s="1"/>
      <c r="ET62" s="1"/>
      <c r="EU62" s="1"/>
      <c r="EV62" s="1"/>
      <c r="EW62" s="1"/>
      <c r="EX62" s="1"/>
      <c r="EY62" s="1"/>
      <c r="EZ62" s="1"/>
      <c r="FA62" s="1"/>
      <c r="FB62" s="1"/>
      <c r="FC62" s="1"/>
      <c r="FD62" s="1"/>
      <c r="FE62" s="1"/>
      <c r="FF62" s="1"/>
      <c r="FG62" s="1"/>
      <c r="FH62" s="1"/>
      <c r="FI62" s="1"/>
      <c r="FJ62" s="1"/>
      <c r="FK62" s="1"/>
      <c r="FL62" s="1"/>
      <c r="FM62" s="1"/>
      <c r="FN62" s="1"/>
      <c r="FO62" s="1"/>
      <c r="FP62" s="1"/>
      <c r="FQ62" s="1"/>
      <c r="FR62" s="1"/>
      <c r="FS62" s="1"/>
      <c r="FT62" s="1"/>
      <c r="FU62" s="1"/>
      <c r="FV62" s="1"/>
      <c r="FW62" s="1"/>
      <c r="FX62" s="1"/>
      <c r="FY62" s="1"/>
      <c r="FZ62" s="1"/>
      <c r="GA62" s="1"/>
      <c r="GB62" s="1"/>
      <c r="GC62" s="1"/>
      <c r="GD62" s="1"/>
      <c r="GE62" s="1"/>
      <c r="GF62" s="1"/>
      <c r="GG62" s="1"/>
      <c r="GH62" s="1"/>
      <c r="GI62" s="1"/>
      <c r="GJ62" s="1"/>
      <c r="GK62" s="1"/>
      <c r="GL62" s="1"/>
      <c r="GM62" s="1"/>
      <c r="GN62" s="1"/>
      <c r="GO62" s="1"/>
      <c r="GP62" s="1"/>
      <c r="GQ62" s="1"/>
      <c r="GR62" s="1"/>
      <c r="GS62" s="1"/>
      <c r="GT62" s="1"/>
      <c r="GU62" s="1"/>
      <c r="GV62" s="1"/>
      <c r="GW62" s="1"/>
      <c r="GX62" s="1"/>
      <c r="GY62" s="1"/>
      <c r="GZ62" s="1"/>
      <c r="HA62" s="1"/>
      <c r="HB62" s="1"/>
      <c r="HC62" s="1"/>
      <c r="HD62" s="1"/>
      <c r="HE62" s="1"/>
      <c r="HF62" s="1"/>
      <c r="HG62" s="1"/>
      <c r="HH62" s="1"/>
      <c r="HI62" s="1"/>
      <c r="HJ62" s="1"/>
      <c r="HK62" s="1"/>
      <c r="HL62" s="1"/>
      <c r="HM62" s="1"/>
      <c r="HN62" s="1"/>
      <c r="HO62" s="1"/>
      <c r="HP62" s="1"/>
      <c r="HQ62" s="1"/>
      <c r="HR62" s="1"/>
      <c r="HS62" s="1"/>
      <c r="HT62" s="1"/>
      <c r="HU62" s="1"/>
      <c r="HV62" s="1"/>
      <c r="HW62" s="1"/>
      <c r="HX62" s="1"/>
      <c r="HY62" s="1"/>
      <c r="HZ62" s="1"/>
      <c r="IA62" s="1"/>
      <c r="IB62" s="1"/>
      <c r="IC62" s="1"/>
      <c r="ID62" s="1"/>
      <c r="IE62" s="1"/>
      <c r="IF62" s="1"/>
      <c r="IG62" s="1"/>
      <c r="IH62" s="1"/>
      <c r="II62" s="1"/>
      <c r="IJ62" s="1"/>
      <c r="IK62" s="1"/>
      <c r="IL62" s="1"/>
      <c r="IM62" s="1"/>
      <c r="IN62" s="1"/>
      <c r="IO62" s="1"/>
      <c r="IP62" s="1"/>
      <c r="IQ62" s="1"/>
      <c r="IR62" s="1"/>
      <c r="IS62" s="1"/>
      <c r="IT62" s="1"/>
      <c r="IU62" s="1"/>
      <c r="IV62" s="1"/>
      <c r="IW62" s="1"/>
      <c r="IX62" s="1"/>
      <c r="IY62" s="1"/>
      <c r="IZ62" s="1"/>
      <c r="JA62" s="1"/>
      <c r="JB62" s="1"/>
      <c r="JC62" s="1"/>
      <c r="JD62" s="1"/>
    </row>
    <row r="63" spans="2:264" s="1044" customFormat="1" x14ac:dyDescent="0.2">
      <c r="B63" s="1265" t="s">
        <v>44</v>
      </c>
      <c r="C63" s="1266">
        <f ca="1">SUMIF(MODEL!$7:$7,$C$60,MODEL!$1403:$1403)</f>
        <v>0.14182984092283313</v>
      </c>
      <c r="D63" s="1215"/>
      <c r="E63" s="1194"/>
      <c r="G63" s="1043"/>
      <c r="H63" s="1043"/>
      <c r="I63" s="1090"/>
      <c r="J63" s="1090"/>
      <c r="K63" s="1090"/>
      <c r="L63" s="1090"/>
      <c r="M63" s="1090"/>
      <c r="N63" s="1090"/>
      <c r="O63" s="1090"/>
      <c r="P63" s="1212"/>
      <c r="Q63" s="1044" t="s">
        <v>1069</v>
      </c>
      <c r="R63" s="1156"/>
      <c r="S63" s="1156"/>
      <c r="T63" s="1156"/>
      <c r="U63" s="1156"/>
      <c r="V63" s="1156"/>
      <c r="W63" s="1156"/>
      <c r="X63" s="1254"/>
      <c r="Y63" s="1254">
        <f t="shared" si="148"/>
        <v>-1.2373994012140522E-2</v>
      </c>
      <c r="Z63" s="1254">
        <f t="shared" si="148"/>
        <v>-1.2168158597260724E-2</v>
      </c>
      <c r="AA63" s="1254">
        <f t="shared" si="148"/>
        <v>-1.1846925347654445E-2</v>
      </c>
      <c r="AB63" s="1254">
        <f t="shared" si="148"/>
        <v>-1.1386360920577569E-2</v>
      </c>
      <c r="AC63" s="1254">
        <f t="shared" si="148"/>
        <v>-1.09242409750569E-2</v>
      </c>
      <c r="AD63" s="1254">
        <f t="shared" si="148"/>
        <v>-1.1262057161469937E-2</v>
      </c>
      <c r="AE63" s="1255">
        <f t="shared" si="148"/>
        <v>-1.1095325079493946E-2</v>
      </c>
      <c r="AF63" s="1254">
        <f t="shared" si="148"/>
        <v>-1.0998452654942053E-2</v>
      </c>
      <c r="AG63" s="1254">
        <f t="shared" si="148"/>
        <v>-1.0918661308105416E-2</v>
      </c>
      <c r="AH63" s="1254">
        <f t="shared" si="148"/>
        <v>-9.9479534357783343E-3</v>
      </c>
      <c r="AI63" s="1254">
        <f t="shared" si="148"/>
        <v>-9.6117214692040698E-3</v>
      </c>
      <c r="AJ63" s="1254">
        <f t="shared" si="148"/>
        <v>-9.6452310655698887E-3</v>
      </c>
      <c r="AK63" s="1380">
        <f t="shared" si="148"/>
        <v>-1.0059010384093823E-2</v>
      </c>
      <c r="AL63" s="1254">
        <f t="shared" ca="1" si="148"/>
        <v>-9.7713401470927372E-3</v>
      </c>
      <c r="AM63" s="1254">
        <f t="shared" ref="AM63" ca="1" si="161">AM50/AM$44</f>
        <v>-9.4203617408448233E-3</v>
      </c>
      <c r="AN63" s="1254">
        <f t="shared" ref="AN63" ca="1" si="162">AN50/AN$44</f>
        <v>-9.3085483921065328E-3</v>
      </c>
      <c r="AO63" s="1254">
        <f t="shared" ca="1" si="148"/>
        <v>-9.128870973324368E-3</v>
      </c>
      <c r="AP63" s="1254">
        <f t="shared" ca="1" si="154"/>
        <v>-9.0423212040174911E-3</v>
      </c>
      <c r="AQ63" s="1254">
        <f t="shared" ca="1" si="154"/>
        <v>-8.9564925389325201E-3</v>
      </c>
      <c r="AR63" s="1254">
        <f t="shared" ca="1" si="154"/>
        <v>-8.8713800216385745E-3</v>
      </c>
      <c r="AS63" s="1254">
        <f t="shared" ca="1" si="154"/>
        <v>-8.7869787202865587E-3</v>
      </c>
      <c r="AT63" s="1254">
        <f t="shared" ca="1" si="154"/>
        <v>-8.7032837275515858E-3</v>
      </c>
      <c r="AU63" s="1254">
        <f t="shared" ca="1" si="154"/>
        <v>-8.6202901605753803E-3</v>
      </c>
      <c r="AV63" s="1083"/>
      <c r="AW63" s="1083"/>
      <c r="AX63" s="1083"/>
      <c r="AY63" s="1083"/>
      <c r="AZ63" s="1083"/>
      <c r="BA63" s="1083"/>
      <c r="BB63" s="1083"/>
      <c r="BC63" s="1083"/>
      <c r="BD63" s="1083"/>
      <c r="BE63" s="1083"/>
      <c r="BF63" s="1083"/>
      <c r="BG63" s="1083"/>
      <c r="BH63" s="1083"/>
      <c r="BI63" s="1083"/>
      <c r="BJ63" s="1083"/>
      <c r="BK63" s="1083"/>
      <c r="BL63" s="1083"/>
      <c r="BM63" s="1083"/>
      <c r="BN63" s="1083"/>
      <c r="BO63" s="1083"/>
      <c r="BP63" s="1083"/>
      <c r="BQ63" s="1083"/>
      <c r="BR63" s="1083"/>
      <c r="BS63" s="1083"/>
      <c r="BT63" s="1083"/>
      <c r="BU63" s="1083"/>
      <c r="BV63" s="1083"/>
      <c r="BW63" s="1083"/>
      <c r="BX63" s="1083"/>
      <c r="BY63" s="1083"/>
      <c r="BZ63" s="1083"/>
      <c r="CA63" s="1083"/>
      <c r="CB63" s="1083"/>
      <c r="CC63" s="1083"/>
      <c r="CD63" s="1083"/>
      <c r="CE63" s="1083"/>
      <c r="CF63" s="1083"/>
      <c r="CG63" s="1083"/>
      <c r="CH63" s="1083"/>
      <c r="CI63" s="1083"/>
      <c r="CJ63" s="1083"/>
      <c r="CK63" s="1086"/>
      <c r="CL63" s="1086"/>
      <c r="CM63" s="1086"/>
      <c r="CN63" s="1086"/>
      <c r="CO63" s="1086"/>
      <c r="CP63" s="1086"/>
      <c r="CQ63" s="1086"/>
      <c r="CR63" s="1086"/>
      <c r="CS63" s="1086"/>
      <c r="CT63" s="1086"/>
      <c r="CU63" s="1086"/>
      <c r="CV63" s="1086"/>
      <c r="CW63" s="1086"/>
      <c r="CX63" s="1086"/>
      <c r="CY63" s="1086"/>
      <c r="CZ63" s="1086"/>
      <c r="DA63" s="1086"/>
      <c r="DB63" s="1086"/>
      <c r="DC63" s="1086"/>
      <c r="DD63" s="1086"/>
      <c r="DE63" s="1086"/>
      <c r="DF63" s="1086"/>
      <c r="DG63" s="1086"/>
      <c r="DH63" s="1086"/>
      <c r="DI63" s="1086"/>
      <c r="DJ63" s="1086"/>
      <c r="DK63" s="1086"/>
      <c r="DL63" s="1086"/>
      <c r="DM63" s="1086"/>
      <c r="DN63" s="1086"/>
      <c r="DO63" s="1086"/>
      <c r="DP63" s="1086"/>
      <c r="DQ63" s="1086"/>
      <c r="DR63" s="1086"/>
      <c r="DS63" s="1086"/>
      <c r="DT63" s="1086"/>
      <c r="DU63" s="1086"/>
      <c r="DV63" s="1086"/>
      <c r="DW63" s="1086"/>
      <c r="DX63" s="1086"/>
      <c r="DY63" s="1086"/>
      <c r="DZ63" s="1086"/>
      <c r="EA63" s="1086"/>
      <c r="EB63" s="1086"/>
      <c r="EC63" s="1086"/>
      <c r="ED63" s="1086"/>
      <c r="EE63" s="1086"/>
      <c r="EF63" s="1086"/>
      <c r="EG63" s="1086"/>
      <c r="EH63" s="1086"/>
      <c r="EI63" s="1086"/>
      <c r="EJ63" s="1086"/>
      <c r="EK63" s="1086"/>
      <c r="EL63" s="1086"/>
      <c r="EM63" s="1086"/>
      <c r="EN63" s="1086"/>
      <c r="EO63" s="1086"/>
      <c r="EP63" s="1086"/>
      <c r="EQ63" s="1086"/>
      <c r="ER63" s="1086"/>
      <c r="ES63" s="1"/>
      <c r="ET63" s="1"/>
      <c r="EU63" s="1"/>
      <c r="EV63" s="1"/>
      <c r="EW63" s="1"/>
      <c r="EX63" s="1"/>
      <c r="EY63" s="1"/>
      <c r="EZ63" s="1"/>
      <c r="FA63" s="1"/>
      <c r="FB63" s="1"/>
      <c r="FC63" s="1"/>
      <c r="FD63" s="1"/>
      <c r="FE63" s="1"/>
      <c r="FF63" s="1"/>
      <c r="FG63" s="1"/>
      <c r="FH63" s="1"/>
      <c r="FI63" s="1"/>
      <c r="FJ63" s="1"/>
      <c r="FK63" s="1"/>
      <c r="FL63" s="1"/>
      <c r="FM63" s="1"/>
      <c r="FN63" s="1"/>
      <c r="FO63" s="1"/>
      <c r="FP63" s="1"/>
      <c r="FQ63" s="1"/>
      <c r="FR63" s="1"/>
      <c r="FS63" s="1"/>
      <c r="FT63" s="1"/>
      <c r="FU63" s="1"/>
      <c r="FV63" s="1"/>
      <c r="FW63" s="1"/>
      <c r="FX63" s="1"/>
      <c r="FY63" s="1"/>
      <c r="FZ63" s="1"/>
      <c r="GA63" s="1"/>
      <c r="GB63" s="1"/>
      <c r="GC63" s="1"/>
      <c r="GD63" s="1"/>
      <c r="GE63" s="1"/>
      <c r="GF63" s="1"/>
      <c r="GG63" s="1"/>
      <c r="GH63" s="1"/>
      <c r="GI63" s="1"/>
      <c r="GJ63" s="1"/>
      <c r="GK63" s="1"/>
      <c r="GL63" s="1"/>
      <c r="GM63" s="1"/>
      <c r="GN63" s="1"/>
      <c r="GO63" s="1"/>
      <c r="GP63" s="1"/>
      <c r="GQ63" s="1"/>
      <c r="GR63" s="1"/>
      <c r="GS63" s="1"/>
      <c r="GT63" s="1"/>
      <c r="GU63" s="1"/>
      <c r="GV63" s="1"/>
      <c r="GW63" s="1"/>
      <c r="GX63" s="1"/>
      <c r="GY63" s="1"/>
      <c r="GZ63" s="1"/>
      <c r="HA63" s="1"/>
      <c r="HB63" s="1"/>
      <c r="HC63" s="1"/>
      <c r="HD63" s="1"/>
      <c r="HE63" s="1"/>
      <c r="HF63" s="1"/>
      <c r="HG63" s="1"/>
      <c r="HH63" s="1"/>
      <c r="HI63" s="1"/>
      <c r="HJ63" s="1"/>
      <c r="HK63" s="1"/>
      <c r="HL63" s="1"/>
      <c r="HM63" s="1"/>
      <c r="HN63" s="1"/>
      <c r="HO63" s="1"/>
      <c r="HP63" s="1"/>
      <c r="HQ63" s="1"/>
      <c r="HR63" s="1"/>
      <c r="HS63" s="1"/>
      <c r="HT63" s="1"/>
      <c r="HU63" s="1"/>
      <c r="HV63" s="1"/>
      <c r="HW63" s="1"/>
      <c r="HX63" s="1"/>
      <c r="HY63" s="1"/>
      <c r="HZ63" s="1"/>
      <c r="IA63" s="1"/>
      <c r="IB63" s="1"/>
      <c r="IC63" s="1"/>
      <c r="ID63" s="1"/>
      <c r="IE63" s="1"/>
      <c r="IF63" s="1"/>
      <c r="IG63" s="1"/>
      <c r="IH63" s="1"/>
      <c r="II63" s="1"/>
      <c r="IJ63" s="1"/>
      <c r="IK63" s="1"/>
      <c r="IL63" s="1"/>
      <c r="IM63" s="1"/>
      <c r="IN63" s="1"/>
      <c r="IO63" s="1"/>
      <c r="IP63" s="1"/>
      <c r="IQ63" s="1"/>
      <c r="IR63" s="1"/>
      <c r="IS63" s="1"/>
      <c r="IT63" s="1"/>
      <c r="IU63" s="1"/>
      <c r="IV63" s="1"/>
      <c r="IW63" s="1"/>
      <c r="IX63" s="1"/>
      <c r="IY63" s="1"/>
      <c r="IZ63" s="1"/>
      <c r="JA63" s="1"/>
      <c r="JB63" s="1"/>
      <c r="JC63" s="1"/>
      <c r="JD63" s="1"/>
    </row>
    <row r="64" spans="2:264" s="1044" customFormat="1" x14ac:dyDescent="0.2">
      <c r="B64" s="350"/>
      <c r="C64" s="1155"/>
      <c r="D64" s="1215"/>
      <c r="E64" s="1194"/>
      <c r="G64" s="1043"/>
      <c r="H64" s="1043"/>
      <c r="I64" s="1090"/>
      <c r="J64" s="1090"/>
      <c r="K64" s="1090"/>
      <c r="L64" s="1090"/>
      <c r="M64" s="1090"/>
      <c r="N64" s="1090"/>
      <c r="O64" s="1090"/>
      <c r="P64" s="1212"/>
      <c r="Q64" s="1047" t="s">
        <v>1071</v>
      </c>
      <c r="R64" s="1074"/>
      <c r="S64" s="1074"/>
      <c r="T64" s="1074"/>
      <c r="U64" s="1074"/>
      <c r="V64" s="1074"/>
      <c r="W64" s="1074"/>
      <c r="X64" s="1173"/>
      <c r="Y64" s="1173">
        <f t="shared" si="148"/>
        <v>1.6220781717801523E-2</v>
      </c>
      <c r="Z64" s="1173">
        <f t="shared" si="148"/>
        <v>1.6527379958085887E-2</v>
      </c>
      <c r="AA64" s="1173">
        <f t="shared" si="148"/>
        <v>1.6105321810055601E-2</v>
      </c>
      <c r="AB64" s="1173">
        <f t="shared" si="148"/>
        <v>1.5619415742402408E-2</v>
      </c>
      <c r="AC64" s="1173">
        <f t="shared" si="148"/>
        <v>1.5075082302050841E-2</v>
      </c>
      <c r="AD64" s="1173">
        <f t="shared" si="148"/>
        <v>1.4265272404528587E-2</v>
      </c>
      <c r="AE64" s="1198">
        <f t="shared" si="148"/>
        <v>1.3074729433568483E-2</v>
      </c>
      <c r="AF64" s="1173">
        <f t="shared" si="148"/>
        <v>1.2767847229932275E-2</v>
      </c>
      <c r="AG64" s="1173">
        <f t="shared" si="148"/>
        <v>1.2300916344733253E-2</v>
      </c>
      <c r="AH64" s="1173">
        <f t="shared" si="148"/>
        <v>1.1543560597817335E-2</v>
      </c>
      <c r="AI64" s="1173">
        <f t="shared" si="148"/>
        <v>1.2383055227275307E-2</v>
      </c>
      <c r="AJ64" s="1173">
        <f t="shared" si="148"/>
        <v>1.180668487613875E-2</v>
      </c>
      <c r="AK64" s="1376">
        <f t="shared" si="148"/>
        <v>1.1973132627850672E-2</v>
      </c>
      <c r="AL64" s="1173">
        <f t="shared" ca="1" si="148"/>
        <v>1.1830137904230235E-2</v>
      </c>
      <c r="AM64" s="1173">
        <f t="shared" ref="AM64" ca="1" si="163">AM51/AM$44</f>
        <v>1.200664830962418E-2</v>
      </c>
      <c r="AN64" s="1173">
        <f t="shared" ref="AN64" ca="1" si="164">AN51/AN$44</f>
        <v>1.1867898966776312E-2</v>
      </c>
      <c r="AO64" s="1173">
        <f t="shared" ca="1" si="148"/>
        <v>1.1964047114629676E-2</v>
      </c>
      <c r="AP64" s="1173">
        <f t="shared" ca="1" si="154"/>
        <v>1.1951503067274107E-2</v>
      </c>
      <c r="AQ64" s="1173">
        <f t="shared" ca="1" si="154"/>
        <v>1.1938245701154329E-2</v>
      </c>
      <c r="AR64" s="1173">
        <f t="shared" ca="1" si="154"/>
        <v>1.1924280028045919E-2</v>
      </c>
      <c r="AS64" s="1173">
        <f t="shared" ca="1" si="154"/>
        <v>1.1909611035427106E-2</v>
      </c>
      <c r="AT64" s="1173">
        <f t="shared" ca="1" si="154"/>
        <v>1.1894243686537031E-2</v>
      </c>
      <c r="AU64" s="1173">
        <f t="shared" ca="1" si="154"/>
        <v>1.1878182920433984E-2</v>
      </c>
      <c r="AV64" s="1083"/>
      <c r="AW64" s="1083"/>
      <c r="AX64" s="1083"/>
      <c r="AY64" s="1083"/>
      <c r="AZ64" s="1083"/>
      <c r="BA64" s="1083"/>
      <c r="BB64" s="1083"/>
      <c r="BC64" s="1083"/>
      <c r="BD64" s="1083"/>
      <c r="BE64" s="1083"/>
      <c r="BF64" s="1083"/>
      <c r="BG64" s="1083"/>
      <c r="BH64" s="1083"/>
      <c r="BI64" s="1083"/>
      <c r="BJ64" s="1083"/>
      <c r="BK64" s="1083"/>
      <c r="BL64" s="1083"/>
      <c r="BM64" s="1083"/>
      <c r="BN64" s="1083"/>
      <c r="BO64" s="1083"/>
      <c r="BP64" s="1083"/>
      <c r="BQ64" s="1083"/>
      <c r="BR64" s="1083"/>
      <c r="BS64" s="1083"/>
      <c r="BT64" s="1083"/>
      <c r="BU64" s="1083"/>
      <c r="BV64" s="1083"/>
      <c r="BW64" s="1083"/>
      <c r="BX64" s="1083"/>
      <c r="BY64" s="1083"/>
      <c r="BZ64" s="1083"/>
      <c r="CA64" s="1083"/>
      <c r="CB64" s="1083"/>
      <c r="CC64" s="1083"/>
      <c r="CD64" s="1083"/>
      <c r="CE64" s="1083"/>
      <c r="CF64" s="1083"/>
      <c r="CG64" s="1083"/>
      <c r="CH64" s="1083"/>
      <c r="CI64" s="1083"/>
      <c r="CJ64" s="1083"/>
      <c r="CK64" s="1086"/>
      <c r="CL64" s="1086"/>
      <c r="CM64" s="1086"/>
      <c r="CN64" s="1086"/>
      <c r="CO64" s="1086"/>
      <c r="CP64" s="1086"/>
      <c r="CQ64" s="1086"/>
      <c r="CR64" s="1086"/>
      <c r="CS64" s="1086"/>
      <c r="CT64" s="1086"/>
      <c r="CU64" s="1086"/>
      <c r="CV64" s="1086"/>
      <c r="CW64" s="1086"/>
      <c r="CX64" s="1086"/>
      <c r="CY64" s="1086"/>
      <c r="CZ64" s="1086"/>
      <c r="DA64" s="1086"/>
      <c r="DB64" s="1086"/>
      <c r="DC64" s="1086"/>
      <c r="DD64" s="1086"/>
      <c r="DE64" s="1086"/>
      <c r="DF64" s="1086"/>
      <c r="DG64" s="1086"/>
      <c r="DH64" s="1086"/>
      <c r="DI64" s="1086"/>
      <c r="DJ64" s="1086"/>
      <c r="DK64" s="1086"/>
      <c r="DL64" s="1086"/>
      <c r="DM64" s="1086"/>
      <c r="DN64" s="1086"/>
      <c r="DO64" s="1086"/>
      <c r="DP64" s="1086"/>
      <c r="DQ64" s="1086"/>
      <c r="DR64" s="1086"/>
      <c r="DS64" s="1086"/>
      <c r="DT64" s="1086"/>
      <c r="DU64" s="1086"/>
      <c r="DV64" s="1086"/>
      <c r="DW64" s="1086"/>
      <c r="DX64" s="1086"/>
      <c r="DY64" s="1086"/>
      <c r="DZ64" s="1086"/>
      <c r="EA64" s="1086"/>
      <c r="EB64" s="1086"/>
      <c r="EC64" s="1086"/>
      <c r="ED64" s="1086"/>
      <c r="EE64" s="1086"/>
      <c r="EF64" s="1086"/>
      <c r="EG64" s="1086"/>
      <c r="EH64" s="1086"/>
      <c r="EI64" s="1086"/>
      <c r="EJ64" s="1086"/>
      <c r="EK64" s="1086"/>
      <c r="EL64" s="1086"/>
      <c r="EM64" s="1086"/>
      <c r="EN64" s="1086"/>
      <c r="EO64" s="1086"/>
      <c r="EP64" s="1086"/>
      <c r="EQ64" s="1086"/>
      <c r="ER64" s="1086"/>
      <c r="ES64" s="1"/>
      <c r="ET64" s="1"/>
      <c r="EU64" s="1"/>
      <c r="EV64" s="1"/>
      <c r="EW64" s="1"/>
      <c r="EX64" s="1"/>
      <c r="EY64" s="1"/>
      <c r="EZ64" s="1"/>
      <c r="FA64" s="1"/>
      <c r="FB64" s="1"/>
      <c r="FC64" s="1"/>
      <c r="FD64" s="1"/>
      <c r="FE64" s="1"/>
      <c r="FF64" s="1"/>
      <c r="FG64" s="1"/>
      <c r="FH64" s="1"/>
      <c r="FI64" s="1"/>
      <c r="FJ64" s="1"/>
      <c r="FK64" s="1"/>
      <c r="FL64" s="1"/>
      <c r="FM64" s="1"/>
      <c r="FN64" s="1"/>
      <c r="FO64" s="1"/>
      <c r="FP64" s="1"/>
      <c r="FQ64" s="1"/>
      <c r="FR64" s="1"/>
      <c r="FS64" s="1"/>
      <c r="FT64" s="1"/>
      <c r="FU64" s="1"/>
      <c r="FV64" s="1"/>
      <c r="FW64" s="1"/>
      <c r="FX64" s="1"/>
      <c r="FY64" s="1"/>
      <c r="FZ64" s="1"/>
      <c r="GA64" s="1"/>
      <c r="GB64" s="1"/>
      <c r="GC64" s="1"/>
      <c r="GD64" s="1"/>
      <c r="GE64" s="1"/>
      <c r="GF64" s="1"/>
      <c r="GG64" s="1"/>
      <c r="GH64" s="1"/>
      <c r="GI64" s="1"/>
      <c r="GJ64" s="1"/>
      <c r="GK64" s="1"/>
      <c r="GL64" s="1"/>
      <c r="GM64" s="1"/>
      <c r="GN64" s="1"/>
      <c r="GO64" s="1"/>
      <c r="GP64" s="1"/>
      <c r="GQ64" s="1"/>
      <c r="GR64" s="1"/>
      <c r="GS64" s="1"/>
      <c r="GT64" s="1"/>
      <c r="GU64" s="1"/>
      <c r="GV64" s="1"/>
      <c r="GW64" s="1"/>
      <c r="GX64" s="1"/>
      <c r="GY64" s="1"/>
      <c r="GZ64" s="1"/>
      <c r="HA64" s="1"/>
      <c r="HB64" s="1"/>
      <c r="HC64" s="1"/>
      <c r="HD64" s="1"/>
      <c r="HE64" s="1"/>
      <c r="HF64" s="1"/>
      <c r="HG64" s="1"/>
      <c r="HH64" s="1"/>
      <c r="HI64" s="1"/>
      <c r="HJ64" s="1"/>
      <c r="HK64" s="1"/>
      <c r="HL64" s="1"/>
      <c r="HM64" s="1"/>
      <c r="HN64" s="1"/>
      <c r="HO64" s="1"/>
      <c r="HP64" s="1"/>
      <c r="HQ64" s="1"/>
      <c r="HR64" s="1"/>
      <c r="HS64" s="1"/>
      <c r="HT64" s="1"/>
      <c r="HU64" s="1"/>
      <c r="HV64" s="1"/>
      <c r="HW64" s="1"/>
      <c r="HX64" s="1"/>
      <c r="HY64" s="1"/>
      <c r="HZ64" s="1"/>
      <c r="IA64" s="1"/>
      <c r="IB64" s="1"/>
      <c r="IC64" s="1"/>
      <c r="ID64" s="1"/>
      <c r="IE64" s="1"/>
      <c r="IF64" s="1"/>
      <c r="IG64" s="1"/>
      <c r="IH64" s="1"/>
      <c r="II64" s="1"/>
      <c r="IJ64" s="1"/>
      <c r="IK64" s="1"/>
      <c r="IL64" s="1"/>
      <c r="IM64" s="1"/>
      <c r="IN64" s="1"/>
      <c r="IO64" s="1"/>
      <c r="IP64" s="1"/>
      <c r="IQ64" s="1"/>
      <c r="IR64" s="1"/>
      <c r="IS64" s="1"/>
      <c r="IT64" s="1"/>
      <c r="IU64" s="1"/>
      <c r="IV64" s="1"/>
      <c r="IW64" s="1"/>
      <c r="IX64" s="1"/>
      <c r="IY64" s="1"/>
      <c r="IZ64" s="1"/>
      <c r="JA64" s="1"/>
      <c r="JB64" s="1"/>
      <c r="JC64" s="1"/>
      <c r="JD64" s="1"/>
    </row>
    <row r="65" spans="2:264" s="1044" customFormat="1" x14ac:dyDescent="0.2">
      <c r="B65" s="350"/>
      <c r="C65" s="1213"/>
      <c r="D65" s="1215"/>
      <c r="E65" s="1194"/>
      <c r="F65" s="1231" t="s">
        <v>44</v>
      </c>
      <c r="G65" s="1232"/>
      <c r="H65" s="1233"/>
      <c r="I65" s="1090"/>
      <c r="J65" s="1090"/>
      <c r="K65" s="1090"/>
      <c r="L65" s="1090"/>
      <c r="M65" s="1090"/>
      <c r="N65" s="1090"/>
      <c r="O65" s="1090"/>
      <c r="P65" s="1212"/>
      <c r="Q65" s="1044" t="s">
        <v>1073</v>
      </c>
      <c r="R65" s="1156"/>
      <c r="S65" s="1156"/>
      <c r="T65" s="1156"/>
      <c r="U65" s="1156"/>
      <c r="V65" s="1156"/>
      <c r="W65" s="1156"/>
      <c r="X65" s="1254"/>
      <c r="Y65" s="1254">
        <f t="shared" si="148"/>
        <v>-1.4859779712692615E-3</v>
      </c>
      <c r="Z65" s="1254">
        <f t="shared" si="148"/>
        <v>-1.2207869400136298E-3</v>
      </c>
      <c r="AA65" s="1254">
        <f t="shared" si="148"/>
        <v>-1.1712961316404074E-3</v>
      </c>
      <c r="AB65" s="1254">
        <f t="shared" si="148"/>
        <v>-1.3706411075565866E-3</v>
      </c>
      <c r="AC65" s="1254">
        <f t="shared" si="148"/>
        <v>-1.1261573966943423E-3</v>
      </c>
      <c r="AD65" s="1254">
        <f t="shared" si="148"/>
        <v>-1.1052077923807242E-3</v>
      </c>
      <c r="AE65" s="1255">
        <f t="shared" si="148"/>
        <v>-1.2311054527413367E-3</v>
      </c>
      <c r="AF65" s="1254">
        <f t="shared" si="148"/>
        <v>-2.5185616392455518E-3</v>
      </c>
      <c r="AG65" s="1254">
        <f t="shared" si="148"/>
        <v>-5.3252384582185063E-4</v>
      </c>
      <c r="AH65" s="1254">
        <f t="shared" si="148"/>
        <v>3.1076473368681009E-4</v>
      </c>
      <c r="AI65" s="1254">
        <f t="shared" si="148"/>
        <v>-8.9810991633311769E-4</v>
      </c>
      <c r="AJ65" s="1254">
        <f t="shared" si="148"/>
        <v>-6.3312124034924295E-4</v>
      </c>
      <c r="AK65" s="1380">
        <f t="shared" si="148"/>
        <v>-5.6192994297107684E-4</v>
      </c>
      <c r="AL65" s="1254">
        <f t="shared" ca="1" si="148"/>
        <v>-5.3545614433963271E-4</v>
      </c>
      <c r="AM65" s="1254">
        <f t="shared" ref="AM65" ca="1" si="165">AM52/AM$44</f>
        <v>-7.2178902519511262E-4</v>
      </c>
      <c r="AN65" s="1254">
        <f t="shared" ref="AN65" ca="1" si="166">AN52/AN$44</f>
        <v>-7.5741848981745812E-4</v>
      </c>
      <c r="AO65" s="1254">
        <f t="shared" ca="1" si="148"/>
        <v>-8.0998174008354976E-4</v>
      </c>
      <c r="AP65" s="1254">
        <f t="shared" ca="1" si="154"/>
        <v>-8.1398641242612032E-4</v>
      </c>
      <c r="AQ65" s="1254">
        <f t="shared" ca="1" si="154"/>
        <v>-8.1800180035716645E-4</v>
      </c>
      <c r="AR65" s="1254">
        <f t="shared" ca="1" si="154"/>
        <v>-8.2202786649771399E-4</v>
      </c>
      <c r="AS65" s="1254">
        <f t="shared" ca="1" si="154"/>
        <v>-1.8881475954499369E-3</v>
      </c>
      <c r="AT65" s="1254">
        <f t="shared" ca="1" si="154"/>
        <v>-1.8973985865038396E-3</v>
      </c>
      <c r="AU65" s="1254">
        <f t="shared" ca="1" si="154"/>
        <v>-8.3416975350236321E-4</v>
      </c>
      <c r="AV65" s="1083"/>
      <c r="AW65" s="1083"/>
      <c r="AX65" s="1083"/>
      <c r="AY65" s="1083"/>
      <c r="AZ65" s="1083"/>
      <c r="BA65" s="1083"/>
      <c r="BB65" s="1083"/>
      <c r="BC65" s="1083"/>
      <c r="BD65" s="1083"/>
      <c r="BE65" s="1083"/>
      <c r="BF65" s="1083"/>
      <c r="BG65" s="1083"/>
      <c r="BH65" s="1083"/>
      <c r="BI65" s="1083"/>
      <c r="BJ65" s="1083"/>
      <c r="BK65" s="1083"/>
      <c r="BL65" s="1083"/>
      <c r="BM65" s="1083"/>
      <c r="BN65" s="1083"/>
      <c r="BO65" s="1083"/>
      <c r="BP65" s="1083"/>
      <c r="BQ65" s="1083"/>
      <c r="BR65" s="1083"/>
      <c r="BS65" s="1083"/>
      <c r="BT65" s="1083"/>
      <c r="BU65" s="1083"/>
      <c r="BV65" s="1083"/>
      <c r="BW65" s="1083"/>
      <c r="BX65" s="1083"/>
      <c r="BY65" s="1083"/>
      <c r="BZ65" s="1083"/>
      <c r="CA65" s="1083"/>
      <c r="CB65" s="1083"/>
      <c r="CC65" s="1083"/>
      <c r="CD65" s="1083"/>
      <c r="CE65" s="1083"/>
      <c r="CF65" s="1083"/>
      <c r="CG65" s="1083"/>
      <c r="CH65" s="1083"/>
      <c r="CI65" s="1083"/>
      <c r="CJ65" s="1083"/>
      <c r="CK65" s="1086"/>
      <c r="CL65" s="1086"/>
      <c r="CM65" s="1086"/>
      <c r="CN65" s="1086"/>
      <c r="CO65" s="1086"/>
      <c r="CP65" s="1086"/>
      <c r="CQ65" s="1086"/>
      <c r="CR65" s="1086"/>
      <c r="CS65" s="1086"/>
      <c r="CT65" s="1086"/>
      <c r="CU65" s="1086"/>
      <c r="CV65" s="1086"/>
      <c r="CW65" s="1086"/>
      <c r="CX65" s="1086"/>
      <c r="CY65" s="1086"/>
      <c r="CZ65" s="1086"/>
      <c r="DA65" s="1086"/>
      <c r="DB65" s="1086"/>
      <c r="DC65" s="1086"/>
      <c r="DD65" s="1086"/>
      <c r="DE65" s="1086"/>
      <c r="DF65" s="1086"/>
      <c r="DG65" s="1086"/>
      <c r="DH65" s="1086"/>
      <c r="DI65" s="1086"/>
      <c r="DJ65" s="1086"/>
      <c r="DK65" s="1086"/>
      <c r="DL65" s="1086"/>
      <c r="DM65" s="1086"/>
      <c r="DN65" s="1086"/>
      <c r="DO65" s="1086"/>
      <c r="DP65" s="1086"/>
      <c r="DQ65" s="1086"/>
      <c r="DR65" s="1086"/>
      <c r="DS65" s="1086"/>
      <c r="DT65" s="1086"/>
      <c r="DU65" s="1086"/>
      <c r="DV65" s="1086"/>
      <c r="DW65" s="1086"/>
      <c r="DX65" s="1086"/>
      <c r="DY65" s="1086"/>
      <c r="DZ65" s="1086"/>
      <c r="EA65" s="1086"/>
      <c r="EB65" s="1086"/>
      <c r="EC65" s="1086"/>
      <c r="ED65" s="1086"/>
      <c r="EE65" s="1086"/>
      <c r="EF65" s="1086"/>
      <c r="EG65" s="1086"/>
      <c r="EH65" s="1086"/>
      <c r="EI65" s="1086"/>
      <c r="EJ65" s="1086"/>
      <c r="EK65" s="1086"/>
      <c r="EL65" s="1086"/>
      <c r="EM65" s="1086"/>
      <c r="EN65" s="1086"/>
      <c r="EO65" s="1086"/>
      <c r="EP65" s="1086"/>
      <c r="EQ65" s="1086"/>
      <c r="ER65" s="1086"/>
      <c r="ES65" s="1"/>
      <c r="ET65" s="1"/>
      <c r="EU65" s="1"/>
      <c r="EV65" s="1"/>
      <c r="EW65" s="1"/>
      <c r="EX65" s="1"/>
      <c r="EY65" s="1"/>
      <c r="EZ65" s="1"/>
      <c r="FA65" s="1"/>
      <c r="FB65" s="1"/>
      <c r="FC65" s="1"/>
      <c r="FD65" s="1"/>
      <c r="FE65" s="1"/>
      <c r="FF65" s="1"/>
      <c r="FG65" s="1"/>
      <c r="FH65" s="1"/>
      <c r="FI65" s="1"/>
      <c r="FJ65" s="1"/>
      <c r="FK65" s="1"/>
      <c r="FL65" s="1"/>
      <c r="FM65" s="1"/>
      <c r="FN65" s="1"/>
      <c r="FO65" s="1"/>
      <c r="FP65" s="1"/>
      <c r="FQ65" s="1"/>
      <c r="FR65" s="1"/>
      <c r="FS65" s="1"/>
      <c r="FT65" s="1"/>
      <c r="FU65" s="1"/>
      <c r="FV65" s="1"/>
      <c r="FW65" s="1"/>
      <c r="FX65" s="1"/>
      <c r="FY65" s="1"/>
      <c r="FZ65" s="1"/>
      <c r="GA65" s="1"/>
      <c r="GB65" s="1"/>
      <c r="GC65" s="1"/>
      <c r="GD65" s="1"/>
      <c r="GE65" s="1"/>
      <c r="GF65" s="1"/>
      <c r="GG65" s="1"/>
      <c r="GH65" s="1"/>
      <c r="GI65" s="1"/>
      <c r="GJ65" s="1"/>
      <c r="GK65" s="1"/>
      <c r="GL65" s="1"/>
      <c r="GM65" s="1"/>
      <c r="GN65" s="1"/>
      <c r="GO65" s="1"/>
      <c r="GP65" s="1"/>
      <c r="GQ65" s="1"/>
      <c r="GR65" s="1"/>
      <c r="GS65" s="1"/>
      <c r="GT65" s="1"/>
      <c r="GU65" s="1"/>
      <c r="GV65" s="1"/>
      <c r="GW65" s="1"/>
      <c r="GX65" s="1"/>
      <c r="GY65" s="1"/>
      <c r="GZ65" s="1"/>
      <c r="HA65" s="1"/>
      <c r="HB65" s="1"/>
      <c r="HC65" s="1"/>
      <c r="HD65" s="1"/>
      <c r="HE65" s="1"/>
      <c r="HF65" s="1"/>
      <c r="HG65" s="1"/>
      <c r="HH65" s="1"/>
      <c r="HI65" s="1"/>
      <c r="HJ65" s="1"/>
      <c r="HK65" s="1"/>
      <c r="HL65" s="1"/>
      <c r="HM65" s="1"/>
      <c r="HN65" s="1"/>
      <c r="HO65" s="1"/>
      <c r="HP65" s="1"/>
      <c r="HQ65" s="1"/>
      <c r="HR65" s="1"/>
      <c r="HS65" s="1"/>
      <c r="HT65" s="1"/>
      <c r="HU65" s="1"/>
      <c r="HV65" s="1"/>
      <c r="HW65" s="1"/>
      <c r="HX65" s="1"/>
      <c r="HY65" s="1"/>
      <c r="HZ65" s="1"/>
      <c r="IA65" s="1"/>
      <c r="IB65" s="1"/>
      <c r="IC65" s="1"/>
      <c r="ID65" s="1"/>
      <c r="IE65" s="1"/>
      <c r="IF65" s="1"/>
      <c r="IG65" s="1"/>
      <c r="IH65" s="1"/>
      <c r="II65" s="1"/>
      <c r="IJ65" s="1"/>
      <c r="IK65" s="1"/>
      <c r="IL65" s="1"/>
      <c r="IM65" s="1"/>
      <c r="IN65" s="1"/>
      <c r="IO65" s="1"/>
      <c r="IP65" s="1"/>
      <c r="IQ65" s="1"/>
      <c r="IR65" s="1"/>
      <c r="IS65" s="1"/>
      <c r="IT65" s="1"/>
      <c r="IU65" s="1"/>
      <c r="IV65" s="1"/>
      <c r="IW65" s="1"/>
      <c r="IX65" s="1"/>
      <c r="IY65" s="1"/>
      <c r="IZ65" s="1"/>
      <c r="JA65" s="1"/>
      <c r="JB65" s="1"/>
      <c r="JC65" s="1"/>
      <c r="JD65" s="1"/>
    </row>
    <row r="66" spans="2:264" s="1044" customFormat="1" x14ac:dyDescent="0.2">
      <c r="B66" s="350"/>
      <c r="C66" s="1213"/>
      <c r="D66" s="1215"/>
      <c r="E66" s="1194"/>
      <c r="F66" s="1146" t="s">
        <v>1056</v>
      </c>
      <c r="G66" s="1234"/>
      <c r="H66" s="1235">
        <f>AVERAGE(AH67,AF67,AG67)</f>
        <v>0.11548661534036742</v>
      </c>
      <c r="I66" s="1090"/>
      <c r="J66" s="1090"/>
      <c r="K66" s="1090"/>
      <c r="L66" s="1489">
        <f t="shared" ref="L66:L68" si="167">AVERAGE(AI66,AJ66,AK66)</f>
        <v>7.9546638788872276E-3</v>
      </c>
      <c r="M66" s="1489">
        <f t="shared" ref="M66:M68" ca="1" si="168">AVERAGE(AL66,AM66,AN66)</f>
        <v>7.8611485392514179E-3</v>
      </c>
      <c r="N66" s="1489">
        <f t="shared" ref="N66:N68" ca="1" si="169">AVERAGE(AL66:AU66)</f>
        <v>7.6486925476831284E-3</v>
      </c>
      <c r="O66" s="1492">
        <f t="shared" ref="O66:O68" ca="1" si="170">AO66</f>
        <v>7.8078457621822885E-3</v>
      </c>
      <c r="P66" s="1212"/>
      <c r="Q66" s="1047" t="s">
        <v>1074</v>
      </c>
      <c r="R66" s="1074"/>
      <c r="S66" s="1074"/>
      <c r="T66" s="1074"/>
      <c r="U66" s="1074"/>
      <c r="V66" s="1074"/>
      <c r="W66" s="1074"/>
      <c r="X66" s="1173"/>
      <c r="Y66" s="1173">
        <f t="shared" ref="Y66:CE66" si="171">Y56/Y$44</f>
        <v>1.0657291180267531E-2</v>
      </c>
      <c r="Z66" s="1173">
        <f t="shared" si="171"/>
        <v>1.1119024805160867E-2</v>
      </c>
      <c r="AA66" s="1173">
        <f t="shared" si="171"/>
        <v>1.0832118172872876E-2</v>
      </c>
      <c r="AB66" s="1173">
        <f t="shared" si="171"/>
        <v>1.0307090175853472E-2</v>
      </c>
      <c r="AC66" s="1173">
        <f t="shared" si="171"/>
        <v>9.9718923455236023E-3</v>
      </c>
      <c r="AD66" s="1173">
        <f t="shared" si="171"/>
        <v>9.1315361159167337E-3</v>
      </c>
      <c r="AE66" s="1198">
        <f t="shared" si="171"/>
        <v>8.4270757093976092E-3</v>
      </c>
      <c r="AF66" s="1173">
        <f t="shared" si="171"/>
        <v>7.2266115343721654E-3</v>
      </c>
      <c r="AG66" s="1173">
        <f t="shared" si="171"/>
        <v>8.3175610792355116E-3</v>
      </c>
      <c r="AH66" s="1173">
        <f t="shared" si="171"/>
        <v>8.3523462737393351E-3</v>
      </c>
      <c r="AI66" s="1173">
        <f>AI56/AI$44</f>
        <v>8.1640460986526723E-3</v>
      </c>
      <c r="AJ66" s="1173">
        <f>AJ56/AJ$44</f>
        <v>7.7648136160538075E-3</v>
      </c>
      <c r="AK66" s="1376">
        <f>AK56/AK$44</f>
        <v>7.9351319219552064E-3</v>
      </c>
      <c r="AL66" s="1173">
        <f ca="1">AL56/AL$44</f>
        <v>7.9067077847827048E-3</v>
      </c>
      <c r="AM66" s="1173">
        <f t="shared" ref="AM66" ca="1" si="172">AM56/AM$44</f>
        <v>7.8994014991003482E-3</v>
      </c>
      <c r="AN66" s="1173">
        <f t="shared" ref="AN66" ca="1" si="173">AN56/AN$44</f>
        <v>7.7773363338711991E-3</v>
      </c>
      <c r="AO66" s="1173">
        <f t="shared" ref="AO66:AU66" ca="1" si="174">AO56/AO$44</f>
        <v>7.8078457621822885E-3</v>
      </c>
      <c r="AP66" s="1173">
        <f t="shared" ca="1" si="174"/>
        <v>7.796261658393591E-3</v>
      </c>
      <c r="AQ66" s="1173">
        <f t="shared" ca="1" si="174"/>
        <v>7.7841707305580125E-3</v>
      </c>
      <c r="AR66" s="1173">
        <f t="shared" ca="1" si="174"/>
        <v>7.7715765130837427E-3</v>
      </c>
      <c r="AS66" s="1173">
        <f t="shared" ca="1" si="174"/>
        <v>7.015024407984018E-3</v>
      </c>
      <c r="AT66" s="1173">
        <f t="shared" ca="1" si="174"/>
        <v>6.9977915700232349E-3</v>
      </c>
      <c r="AU66" s="1173">
        <f t="shared" ca="1" si="174"/>
        <v>7.7308092168521334E-3</v>
      </c>
      <c r="AV66" s="1173">
        <f t="shared" ca="1" si="171"/>
        <v>7.8190157731754199E-3</v>
      </c>
      <c r="AW66" s="1173">
        <f ca="1">AW56/AW$44</f>
        <v>7.9588875494976761E-3</v>
      </c>
      <c r="AX66" s="1173">
        <f ca="1">AX56/AX$44</f>
        <v>7.9928214006685337E-3</v>
      </c>
      <c r="AY66" s="1173">
        <f ca="1">AY56/AY$44</f>
        <v>8.0010539854369778E-3</v>
      </c>
      <c r="AZ66" s="1173">
        <f ca="1">AZ56/AZ$44</f>
        <v>8.0030512669016819E-3</v>
      </c>
      <c r="BA66" s="1173">
        <f t="shared" ca="1" si="171"/>
        <v>7.898337508535188E-3</v>
      </c>
      <c r="BB66" s="1173">
        <f t="shared" ca="1" si="171"/>
        <v>7.8349284821024635E-3</v>
      </c>
      <c r="BC66" s="1173">
        <f t="shared" ca="1" si="171"/>
        <v>7.7334696194232347E-3</v>
      </c>
      <c r="BD66" s="1173">
        <f t="shared" ca="1" si="171"/>
        <v>7.6228568698896507E-3</v>
      </c>
      <c r="BE66" s="1173">
        <f t="shared" ca="1" si="171"/>
        <v>7.5101816663653478E-3</v>
      </c>
      <c r="BF66" s="1173">
        <f t="shared" ca="1" si="171"/>
        <v>7.3971782449450034E-3</v>
      </c>
      <c r="BG66" s="1173">
        <f t="shared" ca="1" si="171"/>
        <v>7.2842689259172404E-3</v>
      </c>
      <c r="BH66" s="1173">
        <f t="shared" ca="1" si="171"/>
        <v>7.1715558131266862E-3</v>
      </c>
      <c r="BI66" s="1173">
        <f t="shared" ca="1" si="171"/>
        <v>7.0590631104316369E-3</v>
      </c>
      <c r="BJ66" s="1173">
        <f t="shared" ca="1" si="171"/>
        <v>6.9467961351430798E-3</v>
      </c>
      <c r="BK66" s="1173">
        <f t="shared" ca="1" si="171"/>
        <v>6.8347556424567454E-3</v>
      </c>
      <c r="BL66" s="1173">
        <f t="shared" ca="1" si="171"/>
        <v>6.7229412908661849E-3</v>
      </c>
      <c r="BM66" s="1173">
        <f t="shared" ca="1" si="171"/>
        <v>6.6113524777153335E-3</v>
      </c>
      <c r="BN66" s="1173">
        <f t="shared" ca="1" si="171"/>
        <v>6.4999885399753534E-3</v>
      </c>
      <c r="BO66" s="1173">
        <f t="shared" ca="1" si="171"/>
        <v>6.3888488023188406E-3</v>
      </c>
      <c r="BP66" s="1173">
        <f t="shared" ca="1" si="171"/>
        <v>6.2779325885836627E-3</v>
      </c>
      <c r="BQ66" s="1173">
        <f t="shared" ca="1" si="171"/>
        <v>6.1672392244893322E-3</v>
      </c>
      <c r="BR66" s="1173">
        <f t="shared" ca="1" si="171"/>
        <v>6.0567680382704612E-3</v>
      </c>
      <c r="BS66" s="1173">
        <f t="shared" ca="1" si="171"/>
        <v>5.9465183608159817E-3</v>
      </c>
      <c r="BT66" s="1173">
        <f t="shared" ca="1" si="171"/>
        <v>5.8364895256915652E-3</v>
      </c>
      <c r="BU66" s="1173">
        <f t="shared" ca="1" si="171"/>
        <v>5.7266808691345686E-3</v>
      </c>
      <c r="BV66" s="1173">
        <f t="shared" ca="1" si="171"/>
        <v>5.6170917300425822E-3</v>
      </c>
      <c r="BW66" s="1173">
        <f t="shared" ca="1" si="171"/>
        <v>5.5077214499605542E-3</v>
      </c>
      <c r="BX66" s="1173">
        <f t="shared" ca="1" si="171"/>
        <v>5.3985693730676469E-3</v>
      </c>
      <c r="BY66" s="1173">
        <f t="shared" ca="1" si="171"/>
        <v>5.2896348461640838E-3</v>
      </c>
      <c r="BZ66" s="1173">
        <f t="shared" ca="1" si="171"/>
        <v>5.1809172186580458E-3</v>
      </c>
      <c r="CA66" s="1173">
        <f t="shared" ca="1" si="171"/>
        <v>5.0724158425526616E-3</v>
      </c>
      <c r="CB66" s="1173">
        <f t="shared" ca="1" si="171"/>
        <v>4.964130072433068E-3</v>
      </c>
      <c r="CC66" s="1173">
        <f t="shared" ca="1" si="171"/>
        <v>4.8560592654535448E-3</v>
      </c>
      <c r="CD66" s="1173">
        <f t="shared" ca="1" si="171"/>
        <v>4.748202781324715E-3</v>
      </c>
      <c r="CE66" s="1173">
        <f t="shared" ca="1" si="171"/>
        <v>4.6405599823008551E-3</v>
      </c>
      <c r="CF66" s="1173">
        <f ca="1">CF56/CF$44</f>
        <v>4.5331302331672449E-3</v>
      </c>
      <c r="CG66" s="1173">
        <f ca="1">CG56/CG$44</f>
        <v>4.425912901227614E-3</v>
      </c>
      <c r="CH66" s="1173">
        <f ca="1">CH56/CH$44</f>
        <v>4.3189073562916536E-3</v>
      </c>
      <c r="CI66" s="1173">
        <f ca="1">CI56/CI$44</f>
        <v>4.2121129706626046E-3</v>
      </c>
      <c r="CJ66" s="1173">
        <f ca="1">CJ56/CJ$44</f>
        <v>4.2079613093204569E-3</v>
      </c>
      <c r="CK66" s="1086"/>
      <c r="CL66" s="1086"/>
      <c r="CM66" s="1086"/>
      <c r="CN66" s="1086"/>
      <c r="CO66" s="1086"/>
      <c r="CP66" s="1086"/>
      <c r="CQ66" s="1086"/>
      <c r="CR66" s="1086"/>
      <c r="CS66" s="1086"/>
      <c r="CT66" s="1086"/>
      <c r="CU66" s="1086"/>
      <c r="CV66" s="1086"/>
      <c r="CW66" s="1086"/>
      <c r="CX66" s="1086"/>
      <c r="CY66" s="1086"/>
      <c r="CZ66" s="1086"/>
      <c r="DA66" s="1086"/>
      <c r="DB66" s="1086"/>
      <c r="DC66" s="1086"/>
      <c r="DD66" s="1086"/>
      <c r="DE66" s="1086"/>
      <c r="DF66" s="1086"/>
      <c r="DG66" s="1086"/>
      <c r="DH66" s="1086"/>
      <c r="DI66" s="1086"/>
      <c r="DJ66" s="1086"/>
      <c r="DK66" s="1086"/>
      <c r="DL66" s="1086"/>
      <c r="DM66" s="1086"/>
      <c r="DN66" s="1086"/>
      <c r="DO66" s="1086"/>
      <c r="DP66" s="1086"/>
      <c r="DQ66" s="1086"/>
      <c r="DR66" s="1086"/>
      <c r="DS66" s="1086"/>
      <c r="DT66" s="1086"/>
      <c r="DU66" s="1086"/>
      <c r="DV66" s="1086"/>
      <c r="DW66" s="1086"/>
      <c r="DX66" s="1086"/>
      <c r="DY66" s="1086"/>
      <c r="DZ66" s="1086"/>
      <c r="EA66" s="1086"/>
      <c r="EB66" s="1086"/>
      <c r="EC66" s="1086"/>
      <c r="ED66" s="1086"/>
      <c r="EE66" s="1086"/>
      <c r="EF66" s="1086"/>
      <c r="EG66" s="1086"/>
      <c r="EH66" s="1086"/>
      <c r="EI66" s="1086"/>
      <c r="EJ66" s="1086"/>
      <c r="EK66" s="1086"/>
      <c r="EL66" s="1086"/>
      <c r="EM66" s="1086"/>
      <c r="EN66" s="1086"/>
      <c r="EO66" s="1086"/>
      <c r="EP66" s="1086"/>
      <c r="EQ66" s="1086"/>
      <c r="ER66" s="1086"/>
      <c r="ES66" s="1"/>
      <c r="ET66" s="1"/>
      <c r="EU66" s="1"/>
      <c r="EV66" s="1"/>
      <c r="EW66" s="1"/>
      <c r="EX66" s="1"/>
      <c r="EY66" s="1"/>
      <c r="EZ66" s="1"/>
      <c r="FA66" s="1"/>
      <c r="FB66" s="1"/>
      <c r="FC66" s="1"/>
      <c r="FD66" s="1"/>
      <c r="FE66" s="1"/>
      <c r="FF66" s="1"/>
      <c r="FG66" s="1"/>
      <c r="FH66" s="1"/>
      <c r="FI66" s="1"/>
      <c r="FJ66" s="1"/>
      <c r="FK66" s="1"/>
      <c r="FL66" s="1"/>
      <c r="FM66" s="1"/>
      <c r="FN66" s="1"/>
      <c r="FO66" s="1"/>
      <c r="FP66" s="1"/>
      <c r="FQ66" s="1"/>
      <c r="FR66" s="1"/>
      <c r="FS66" s="1"/>
      <c r="FT66" s="1"/>
      <c r="FU66" s="1"/>
      <c r="FV66" s="1"/>
      <c r="FW66" s="1"/>
      <c r="FX66" s="1"/>
      <c r="FY66" s="1"/>
      <c r="FZ66" s="1"/>
      <c r="GA66" s="1"/>
      <c r="GB66" s="1"/>
      <c r="GC66" s="1"/>
      <c r="GD66" s="1"/>
      <c r="GE66" s="1"/>
      <c r="GF66" s="1"/>
      <c r="GG66" s="1"/>
      <c r="GH66" s="1"/>
      <c r="GI66" s="1"/>
      <c r="GJ66" s="1"/>
      <c r="GK66" s="1"/>
      <c r="GL66" s="1"/>
      <c r="GM66" s="1"/>
      <c r="GN66" s="1"/>
      <c r="GO66" s="1"/>
      <c r="GP66" s="1"/>
      <c r="GQ66" s="1"/>
      <c r="GR66" s="1"/>
      <c r="GS66" s="1"/>
      <c r="GT66" s="1"/>
      <c r="GU66" s="1"/>
      <c r="GV66" s="1"/>
      <c r="GW66" s="1"/>
      <c r="GX66" s="1"/>
      <c r="GY66" s="1"/>
      <c r="GZ66" s="1"/>
      <c r="HA66" s="1"/>
      <c r="HB66" s="1"/>
      <c r="HC66" s="1"/>
      <c r="HD66" s="1"/>
      <c r="HE66" s="1"/>
      <c r="HF66" s="1"/>
      <c r="HG66" s="1"/>
      <c r="HH66" s="1"/>
      <c r="HI66" s="1"/>
      <c r="HJ66" s="1"/>
      <c r="HK66" s="1"/>
      <c r="HL66" s="1"/>
      <c r="HM66" s="1"/>
      <c r="HN66" s="1"/>
      <c r="HO66" s="1"/>
      <c r="HP66" s="1"/>
      <c r="HQ66" s="1"/>
      <c r="HR66" s="1"/>
      <c r="HS66" s="1"/>
      <c r="HT66" s="1"/>
      <c r="HU66" s="1"/>
      <c r="HV66" s="1"/>
      <c r="HW66" s="1"/>
      <c r="HX66" s="1"/>
      <c r="HY66" s="1"/>
      <c r="HZ66" s="1"/>
      <c r="IA66" s="1"/>
      <c r="IB66" s="1"/>
      <c r="IC66" s="1"/>
      <c r="ID66" s="1"/>
      <c r="IE66" s="1"/>
      <c r="IF66" s="1"/>
      <c r="IG66" s="1"/>
      <c r="IH66" s="1"/>
      <c r="II66" s="1"/>
      <c r="IJ66" s="1"/>
      <c r="IK66" s="1"/>
      <c r="IL66" s="1"/>
      <c r="IM66" s="1"/>
      <c r="IN66" s="1"/>
      <c r="IO66" s="1"/>
      <c r="IP66" s="1"/>
      <c r="IQ66" s="1"/>
      <c r="IR66" s="1"/>
      <c r="IS66" s="1"/>
      <c r="IT66" s="1"/>
      <c r="IU66" s="1"/>
      <c r="IV66" s="1"/>
      <c r="IW66" s="1"/>
      <c r="IX66" s="1"/>
      <c r="IY66" s="1"/>
      <c r="IZ66" s="1"/>
      <c r="JA66" s="1"/>
      <c r="JB66" s="1"/>
      <c r="JC66" s="1"/>
      <c r="JD66" s="1"/>
    </row>
    <row r="67" spans="2:264" s="1044" customFormat="1" x14ac:dyDescent="0.2">
      <c r="B67" s="350"/>
      <c r="C67" s="1213"/>
      <c r="D67" s="1215"/>
      <c r="E67" s="1194"/>
      <c r="F67" s="1177" t="s">
        <v>1057</v>
      </c>
      <c r="G67" s="1043"/>
      <c r="H67" s="1235">
        <f ca="1">AVERAGE(AF67:AO67)</f>
        <v>0.13428652841179847</v>
      </c>
      <c r="I67" s="1090"/>
      <c r="J67" s="1090"/>
      <c r="K67" s="1090"/>
      <c r="L67" s="1489">
        <f t="shared" si="167"/>
        <v>0.13684484295392349</v>
      </c>
      <c r="M67" s="1489">
        <f t="shared" ca="1" si="168"/>
        <v>0.14553336049511195</v>
      </c>
      <c r="N67" s="1489">
        <f t="shared" ca="1" si="169"/>
        <v>0.14344385465274051</v>
      </c>
      <c r="O67" s="1492">
        <f t="shared" ca="1" si="170"/>
        <v>0.14927082774977626</v>
      </c>
      <c r="P67" s="1212"/>
      <c r="Q67" s="1047" t="s">
        <v>1076</v>
      </c>
      <c r="R67" s="1074" t="s">
        <v>1077</v>
      </c>
      <c r="S67" s="1145">
        <f ca="1">AVERAGE(AN67,AL67,AM67)</f>
        <v>0.14553336049511195</v>
      </c>
      <c r="T67" s="1074"/>
      <c r="U67" s="1074"/>
      <c r="V67" s="1074"/>
      <c r="W67" s="1074"/>
      <c r="X67" s="1229"/>
      <c r="Y67" s="1229">
        <f t="shared" ref="Y67:CE67" si="175">+Y56/Y45</f>
        <v>0.18480590616813528</v>
      </c>
      <c r="Z67" s="1229">
        <f t="shared" si="175"/>
        <v>0.1893914599288691</v>
      </c>
      <c r="AA67" s="1229">
        <f t="shared" si="175"/>
        <v>0.18411719663079837</v>
      </c>
      <c r="AB67" s="1229">
        <f t="shared" si="175"/>
        <v>0.16715187017193017</v>
      </c>
      <c r="AC67" s="1229">
        <f t="shared" si="175"/>
        <v>0.15784718321896901</v>
      </c>
      <c r="AD67" s="1229">
        <f t="shared" si="175"/>
        <v>0.13648611408800024</v>
      </c>
      <c r="AE67" s="1276">
        <f t="shared" si="175"/>
        <v>0.12091661886481636</v>
      </c>
      <c r="AF67" s="1229">
        <f t="shared" si="175"/>
        <v>0.10410362813751765</v>
      </c>
      <c r="AG67" s="1229">
        <f t="shared" si="175"/>
        <v>0.11508638461436152</v>
      </c>
      <c r="AH67" s="1229">
        <f t="shared" si="175"/>
        <v>0.12726983326922311</v>
      </c>
      <c r="AI67" s="1229">
        <f>+AI56/AI45</f>
        <v>0.13948592953689343</v>
      </c>
      <c r="AJ67" s="1229">
        <f>+AJ56/AJ45</f>
        <v>0.13563716094157233</v>
      </c>
      <c r="AK67" s="1381">
        <f>+AK56/AK45</f>
        <v>0.13541143838330472</v>
      </c>
      <c r="AL67" s="1229">
        <f ca="1">+AL56/AL45</f>
        <v>0.14182984092283313</v>
      </c>
      <c r="AM67" s="1229">
        <f t="shared" ref="AM67" ca="1" si="176">+AM56/AM45</f>
        <v>0.14702931549460574</v>
      </c>
      <c r="AN67" s="1229">
        <f t="shared" ref="AN67" ca="1" si="177">+AN56/AN45</f>
        <v>0.14774092506789699</v>
      </c>
      <c r="AO67" s="1229">
        <f t="shared" ref="AO67:AU67" ca="1" si="178">+AO56/AO45</f>
        <v>0.14927082774977626</v>
      </c>
      <c r="AP67" s="1229">
        <f t="shared" ca="1" si="178"/>
        <v>0.14768304283674735</v>
      </c>
      <c r="AQ67" s="1229">
        <f t="shared" ca="1" si="178"/>
        <v>0.1466733375583808</v>
      </c>
      <c r="AR67" s="1229">
        <f t="shared" ca="1" si="178"/>
        <v>0.14603647493061289</v>
      </c>
      <c r="AS67" s="1229">
        <f t="shared" ca="1" si="178"/>
        <v>0.13182643753009082</v>
      </c>
      <c r="AT67" s="1229">
        <f t="shared" ca="1" si="178"/>
        <v>0.13156797761209732</v>
      </c>
      <c r="AU67" s="1229">
        <f t="shared" ca="1" si="178"/>
        <v>0.14478036682436385</v>
      </c>
      <c r="AV67" s="1229">
        <f t="shared" ca="1" si="175"/>
        <v>0.14465641108081742</v>
      </c>
      <c r="AW67" s="1229">
        <f ca="1">+AW56/AW45</f>
        <v>0.14565428963060373</v>
      </c>
      <c r="AX67" s="1229">
        <f ca="1">+AX56/AX45</f>
        <v>0.14589314220146898</v>
      </c>
      <c r="AY67" s="1229">
        <f ca="1">+AY56/AY45</f>
        <v>0.14595090146549508</v>
      </c>
      <c r="AZ67" s="1229">
        <f ca="1">+AZ56/AZ45</f>
        <v>0.14596490323056927</v>
      </c>
      <c r="BA67" s="1229">
        <f t="shared" ca="1" si="175"/>
        <v>0.14365990143683308</v>
      </c>
      <c r="BB67" s="1229">
        <f t="shared" ca="1" si="175"/>
        <v>0.14209200738702654</v>
      </c>
      <c r="BC67" s="1229">
        <f t="shared" ca="1" si="175"/>
        <v>0.1402582352142199</v>
      </c>
      <c r="BD67" s="1229">
        <f t="shared" ca="1" si="175"/>
        <v>0.13835954192978678</v>
      </c>
      <c r="BE67" s="1229">
        <f t="shared" ca="1" si="175"/>
        <v>0.13644497702812658</v>
      </c>
      <c r="BF67" s="1229">
        <f t="shared" ca="1" si="175"/>
        <v>0.13452654150065468</v>
      </c>
      <c r="BG67" s="1229">
        <f t="shared" ca="1" si="175"/>
        <v>0.13260716612484444</v>
      </c>
      <c r="BH67" s="1229">
        <f t="shared" ca="1" si="175"/>
        <v>0.13068756451247243</v>
      </c>
      <c r="BI67" s="1229">
        <f t="shared" ca="1" si="175"/>
        <v>0.12876790985511061</v>
      </c>
      <c r="BJ67" s="1229">
        <f t="shared" ca="1" si="175"/>
        <v>0.12684824404299547</v>
      </c>
      <c r="BK67" s="1229">
        <f t="shared" ca="1" si="175"/>
        <v>0.12492857717061778</v>
      </c>
      <c r="BL67" s="1229">
        <f t="shared" ca="1" si="175"/>
        <v>0.1230089116585852</v>
      </c>
      <c r="BM67" s="1229">
        <f t="shared" ca="1" si="175"/>
        <v>0.12108924808165722</v>
      </c>
      <c r="BN67" s="1229">
        <f t="shared" ca="1" si="175"/>
        <v>0.11916958657211443</v>
      </c>
      <c r="BO67" s="1229">
        <f t="shared" ca="1" si="175"/>
        <v>0.1172499271565436</v>
      </c>
      <c r="BP67" s="1229">
        <f t="shared" ca="1" si="175"/>
        <v>0.11533026983638553</v>
      </c>
      <c r="BQ67" s="1229">
        <f t="shared" ca="1" si="175"/>
        <v>0.11341061460713409</v>
      </c>
      <c r="BR67" s="1229">
        <f t="shared" ca="1" si="175"/>
        <v>0.11149096146289661</v>
      </c>
      <c r="BS67" s="1229">
        <f t="shared" ca="1" si="175"/>
        <v>0.10957131039747309</v>
      </c>
      <c r="BT67" s="1229">
        <f t="shared" ca="1" si="175"/>
        <v>0.10765166140461079</v>
      </c>
      <c r="BU67" s="1229">
        <f t="shared" ca="1" si="175"/>
        <v>0.10573201447806402</v>
      </c>
      <c r="BV67" s="1229">
        <f t="shared" ca="1" si="175"/>
        <v>0.10381236961160809</v>
      </c>
      <c r="BW67" s="1229">
        <f t="shared" ca="1" si="175"/>
        <v>0.10189272679904222</v>
      </c>
      <c r="BX67" s="1229">
        <f t="shared" ca="1" si="175"/>
        <v>9.9973086034190417E-2</v>
      </c>
      <c r="BY67" s="1229">
        <f t="shared" ca="1" si="175"/>
        <v>9.8053447310901459E-2</v>
      </c>
      <c r="BZ67" s="1229">
        <f t="shared" ca="1" si="175"/>
        <v>9.6133810623048752E-2</v>
      </c>
      <c r="CA67" s="1229">
        <f t="shared" ca="1" si="175"/>
        <v>9.4214175964530189E-2</v>
      </c>
      <c r="CB67" s="1229">
        <f t="shared" ca="1" si="175"/>
        <v>9.2294543329268203E-2</v>
      </c>
      <c r="CC67" s="1229">
        <f t="shared" ca="1" si="175"/>
        <v>9.0374912711209524E-2</v>
      </c>
      <c r="CD67" s="1229">
        <f t="shared" ca="1" si="175"/>
        <v>8.8455284104324974E-2</v>
      </c>
      <c r="CE67" s="1229">
        <f t="shared" ca="1" si="175"/>
        <v>8.6535657502609539E-2</v>
      </c>
      <c r="CF67" s="1229">
        <f ca="1">+CF56/CF45</f>
        <v>8.4616032900082072E-2</v>
      </c>
      <c r="CG67" s="1229">
        <f ca="1">+CG56/CG45</f>
        <v>8.269641029078531E-2</v>
      </c>
      <c r="CH67" s="1229">
        <f ca="1">+CH56/CH45</f>
        <v>8.0776789668785681E-2</v>
      </c>
      <c r="CI67" s="1229">
        <f ca="1">+CI56/CI45</f>
        <v>7.8857171028173176E-2</v>
      </c>
      <c r="CJ67" s="1229">
        <f ca="1">+CJ56/CJ45</f>
        <v>7.882649107811987E-2</v>
      </c>
      <c r="CK67" s="1086"/>
      <c r="CL67" s="1086"/>
      <c r="CM67" s="1086"/>
      <c r="CN67" s="1086"/>
      <c r="CO67" s="1086"/>
      <c r="CP67" s="1086"/>
      <c r="CQ67" s="1086"/>
      <c r="CR67" s="1086"/>
      <c r="CS67" s="1086"/>
      <c r="CT67" s="1086"/>
      <c r="CU67" s="1086"/>
      <c r="CV67" s="1086"/>
      <c r="CW67" s="1086"/>
      <c r="CX67" s="1086"/>
      <c r="CY67" s="1086"/>
      <c r="CZ67" s="1086"/>
      <c r="DA67" s="1086"/>
      <c r="DB67" s="1086"/>
      <c r="DC67" s="1086"/>
      <c r="DD67" s="1086"/>
      <c r="DE67" s="1086"/>
      <c r="DF67" s="1086"/>
      <c r="DG67" s="1086"/>
      <c r="DH67" s="1086"/>
      <c r="DI67" s="1086"/>
      <c r="DJ67" s="1086"/>
      <c r="DK67" s="1086"/>
      <c r="DL67" s="1086"/>
      <c r="DM67" s="1086"/>
      <c r="DN67" s="1086"/>
      <c r="DO67" s="1086"/>
      <c r="DP67" s="1086"/>
      <c r="DQ67" s="1086"/>
      <c r="DR67" s="1086"/>
      <c r="DS67" s="1086"/>
      <c r="DT67" s="1086"/>
      <c r="DU67" s="1086"/>
      <c r="DV67" s="1086"/>
      <c r="DW67" s="1086"/>
      <c r="DX67" s="1086"/>
      <c r="DY67" s="1086"/>
      <c r="DZ67" s="1086"/>
      <c r="EA67" s="1086"/>
      <c r="EB67" s="1086"/>
      <c r="EC67" s="1086"/>
      <c r="ED67" s="1086"/>
      <c r="EE67" s="1086"/>
      <c r="EF67" s="1086"/>
      <c r="EG67" s="1086"/>
      <c r="EH67" s="1086"/>
      <c r="EI67" s="1086"/>
      <c r="EJ67" s="1086"/>
      <c r="EK67" s="1086"/>
      <c r="EL67" s="1086"/>
      <c r="EM67" s="1086"/>
      <c r="EN67" s="1086"/>
      <c r="EO67" s="1086"/>
      <c r="EP67" s="1086"/>
      <c r="EQ67" s="1086"/>
      <c r="ER67" s="1086"/>
      <c r="ES67" s="1"/>
      <c r="ET67" s="1"/>
      <c r="EU67" s="1"/>
      <c r="EV67" s="1"/>
      <c r="EW67" s="1"/>
      <c r="EX67" s="1"/>
      <c r="EY67" s="1"/>
      <c r="EZ67" s="1"/>
      <c r="FA67" s="1"/>
      <c r="FB67" s="1"/>
      <c r="FC67" s="1"/>
      <c r="FD67" s="1"/>
      <c r="FE67" s="1"/>
      <c r="FF67" s="1"/>
      <c r="FG67" s="1"/>
      <c r="FH67" s="1"/>
      <c r="FI67" s="1"/>
      <c r="FJ67" s="1"/>
      <c r="FK67" s="1"/>
      <c r="FL67" s="1"/>
      <c r="FM67" s="1"/>
      <c r="FN67" s="1"/>
      <c r="FO67" s="1"/>
      <c r="FP67" s="1"/>
      <c r="FQ67" s="1"/>
      <c r="FR67" s="1"/>
      <c r="FS67" s="1"/>
      <c r="FT67" s="1"/>
      <c r="FU67" s="1"/>
      <c r="FV67" s="1"/>
      <c r="FW67" s="1"/>
      <c r="FX67" s="1"/>
      <c r="FY67" s="1"/>
      <c r="FZ67" s="1"/>
      <c r="GA67" s="1"/>
      <c r="GB67" s="1"/>
      <c r="GC67" s="1"/>
      <c r="GD67" s="1"/>
      <c r="GE67" s="1"/>
      <c r="GF67" s="1"/>
      <c r="GG67" s="1"/>
      <c r="GH67" s="1"/>
      <c r="GI67" s="1"/>
      <c r="GJ67" s="1"/>
      <c r="GK67" s="1"/>
      <c r="GL67" s="1"/>
      <c r="GM67" s="1"/>
      <c r="GN67" s="1"/>
      <c r="GO67" s="1"/>
      <c r="GP67" s="1"/>
      <c r="GQ67" s="1"/>
      <c r="GR67" s="1"/>
      <c r="GS67" s="1"/>
      <c r="GT67" s="1"/>
      <c r="GU67" s="1"/>
      <c r="GV67" s="1"/>
      <c r="GW67" s="1"/>
      <c r="GX67" s="1"/>
      <c r="GY67" s="1"/>
      <c r="GZ67" s="1"/>
      <c r="HA67" s="1"/>
      <c r="HB67" s="1"/>
      <c r="HC67" s="1"/>
      <c r="HD67" s="1"/>
      <c r="HE67" s="1"/>
      <c r="HF67" s="1"/>
      <c r="HG67" s="1"/>
      <c r="HH67" s="1"/>
      <c r="HI67" s="1"/>
      <c r="HJ67" s="1"/>
      <c r="HK67" s="1"/>
      <c r="HL67" s="1"/>
      <c r="HM67" s="1"/>
      <c r="HN67" s="1"/>
      <c r="HO67" s="1"/>
      <c r="HP67" s="1"/>
      <c r="HQ67" s="1"/>
      <c r="HR67" s="1"/>
      <c r="HS67" s="1"/>
      <c r="HT67" s="1"/>
      <c r="HU67" s="1"/>
      <c r="HV67" s="1"/>
      <c r="HW67" s="1"/>
      <c r="HX67" s="1"/>
      <c r="HY67" s="1"/>
      <c r="HZ67" s="1"/>
      <c r="IA67" s="1"/>
      <c r="IB67" s="1"/>
      <c r="IC67" s="1"/>
      <c r="ID67" s="1"/>
      <c r="IE67" s="1"/>
      <c r="IF67" s="1"/>
      <c r="IG67" s="1"/>
      <c r="IH67" s="1"/>
      <c r="II67" s="1"/>
      <c r="IJ67" s="1"/>
      <c r="IK67" s="1"/>
      <c r="IL67" s="1"/>
      <c r="IM67" s="1"/>
      <c r="IN67" s="1"/>
      <c r="IO67" s="1"/>
      <c r="IP67" s="1"/>
      <c r="IQ67" s="1"/>
      <c r="IR67" s="1"/>
      <c r="IS67" s="1"/>
      <c r="IT67" s="1"/>
      <c r="IU67" s="1"/>
      <c r="IV67" s="1"/>
      <c r="IW67" s="1"/>
      <c r="IX67" s="1"/>
      <c r="IY67" s="1"/>
      <c r="IZ67" s="1"/>
      <c r="JA67" s="1"/>
      <c r="JB67" s="1"/>
      <c r="JC67" s="1"/>
      <c r="JD67" s="1"/>
    </row>
    <row r="68" spans="2:264" s="1044" customFormat="1" x14ac:dyDescent="0.2">
      <c r="B68" s="350"/>
      <c r="C68" s="1213"/>
      <c r="D68" s="1215"/>
      <c r="E68" s="1194"/>
      <c r="F68" s="1168" t="s">
        <v>1059</v>
      </c>
      <c r="G68" s="1237"/>
      <c r="H68" s="1238">
        <f ca="1">AVERAGE(AK67:AU67)</f>
        <v>0.14271363499188272</v>
      </c>
      <c r="I68" s="1090"/>
      <c r="J68" s="1090"/>
      <c r="K68" s="1090"/>
      <c r="L68" s="1489">
        <f t="shared" si="167"/>
        <v>0.13862627591718449</v>
      </c>
      <c r="M68" s="1489">
        <f t="shared" ca="1" si="168"/>
        <v>0.14670020374525031</v>
      </c>
      <c r="N68" s="1489">
        <f t="shared" ca="1" si="169"/>
        <v>0.14601094310603921</v>
      </c>
      <c r="O68" s="1492">
        <f t="shared" ca="1" si="170"/>
        <v>0.15309910624316386</v>
      </c>
      <c r="P68" s="1212"/>
      <c r="Q68" s="1047" t="s">
        <v>1078</v>
      </c>
      <c r="R68" s="1074" t="s">
        <v>1010</v>
      </c>
      <c r="S68" s="1145">
        <f ca="1">AVERAGE(AL67:AU67)</f>
        <v>0.14344385465274051</v>
      </c>
      <c r="T68" s="1074"/>
      <c r="U68" s="1074"/>
      <c r="V68" s="1074"/>
      <c r="W68" s="1074"/>
      <c r="X68" s="1229"/>
      <c r="Y68" s="1229">
        <f>+Y56/Y80</f>
        <v>0.19350655827639518</v>
      </c>
      <c r="Z68" s="1229">
        <f>+Z56/Z80</f>
        <v>0.19699961417126258</v>
      </c>
      <c r="AA68" s="1229">
        <f>+AA56/AA80</f>
        <v>0.19086313502673796</v>
      </c>
      <c r="AB68" s="1229">
        <f>+AB56/AB80</f>
        <v>0.18342655169735103</v>
      </c>
      <c r="AC68" s="1229">
        <f t="shared" ref="AC68:AH68" si="179">+AC56/AC80</f>
        <v>0.16171319923946761</v>
      </c>
      <c r="AD68" s="1229">
        <f t="shared" si="179"/>
        <v>0.14125233704091009</v>
      </c>
      <c r="AE68" s="1276">
        <f t="shared" si="179"/>
        <v>0.12214364246872493</v>
      </c>
      <c r="AF68" s="1229">
        <f t="shared" si="179"/>
        <v>0.10381642095582952</v>
      </c>
      <c r="AG68" s="1229">
        <f t="shared" si="179"/>
        <v>0.12029249440451531</v>
      </c>
      <c r="AH68" s="1229">
        <f t="shared" si="179"/>
        <v>0.12194501988993811</v>
      </c>
      <c r="AI68" s="1229">
        <f>+AI56/AI80</f>
        <v>0.13828896242088065</v>
      </c>
      <c r="AJ68" s="1229">
        <f>+AJ56/AJ80</f>
        <v>0.13732060088233652</v>
      </c>
      <c r="AK68" s="1381">
        <f>+AK56/AK80</f>
        <v>0.14026926444833626</v>
      </c>
      <c r="AL68" s="1229">
        <f>+AL56/AL80</f>
        <v>0.14052063307198512</v>
      </c>
      <c r="AM68" s="1229">
        <f t="shared" ref="AM68" si="180">+AM56/AM80</f>
        <v>0.1495274652334562</v>
      </c>
      <c r="AN68" s="1229">
        <f t="shared" ref="AN68" ca="1" si="181">+AN56/AN80</f>
        <v>0.15005251293030961</v>
      </c>
      <c r="AO68" s="1229">
        <f t="shared" ref="AO68:AU68" ca="1" si="182">+AO56/AO80</f>
        <v>0.15309910624316386</v>
      </c>
      <c r="AP68" s="1229">
        <f t="shared" ca="1" si="182"/>
        <v>0.15120926547522792</v>
      </c>
      <c r="AQ68" s="1229">
        <f t="shared" ca="1" si="182"/>
        <v>0.14983878369620054</v>
      </c>
      <c r="AR68" s="1229">
        <f t="shared" ca="1" si="182"/>
        <v>0.14912579104940821</v>
      </c>
      <c r="AS68" s="1229">
        <f t="shared" ca="1" si="182"/>
        <v>0.13429666772986551</v>
      </c>
      <c r="AT68" s="1229">
        <f t="shared" ca="1" si="182"/>
        <v>0.13428027747898774</v>
      </c>
      <c r="AU68" s="1229">
        <f t="shared" ca="1" si="182"/>
        <v>0.14815892815178738</v>
      </c>
      <c r="AV68" s="1277">
        <f ca="1">AU68</f>
        <v>0.14815892815178738</v>
      </c>
      <c r="AW68" s="1277">
        <f ca="1">AV68</f>
        <v>0.14815892815178738</v>
      </c>
      <c r="AX68" s="1277">
        <f ca="1">AW68</f>
        <v>0.14815892815178738</v>
      </c>
      <c r="AY68" s="1277">
        <f ca="1">AX68</f>
        <v>0.14815892815178738</v>
      </c>
      <c r="AZ68" s="1277">
        <f ca="1">AY68</f>
        <v>0.14815892815178738</v>
      </c>
      <c r="BA68" s="1278">
        <f t="shared" ref="BA68:CJ68" ca="1" si="183">IF(AZ68&lt;=$C$15/100,$C$15/100,AZ68-($AV68-$C$15/100)/$C$52)</f>
        <v>0.14621153020459346</v>
      </c>
      <c r="BB68" s="1278">
        <f t="shared" ca="1" si="183"/>
        <v>0.14426413225739954</v>
      </c>
      <c r="BC68" s="1278">
        <f t="shared" ca="1" si="183"/>
        <v>0.14231673431020561</v>
      </c>
      <c r="BD68" s="1278">
        <f t="shared" ca="1" si="183"/>
        <v>0.14036933636301169</v>
      </c>
      <c r="BE68" s="1278">
        <f t="shared" ca="1" si="183"/>
        <v>0.13842193841581776</v>
      </c>
      <c r="BF68" s="1278">
        <f t="shared" ca="1" si="183"/>
        <v>0.13647454046862384</v>
      </c>
      <c r="BG68" s="1278">
        <f t="shared" ca="1" si="183"/>
        <v>0.13452714252142992</v>
      </c>
      <c r="BH68" s="1278">
        <f t="shared" ca="1" si="183"/>
        <v>0.13257974457423599</v>
      </c>
      <c r="BI68" s="1278">
        <f t="shared" ca="1" si="183"/>
        <v>0.13063234662704207</v>
      </c>
      <c r="BJ68" s="1278">
        <f t="shared" ca="1" si="183"/>
        <v>0.12868494867984814</v>
      </c>
      <c r="BK68" s="1278">
        <f t="shared" ca="1" si="183"/>
        <v>0.12673755073265422</v>
      </c>
      <c r="BL68" s="1278">
        <f t="shared" ca="1" si="183"/>
        <v>0.1247901527854603</v>
      </c>
      <c r="BM68" s="1278">
        <f t="shared" ca="1" si="183"/>
        <v>0.12284275483826637</v>
      </c>
      <c r="BN68" s="1278">
        <f t="shared" ca="1" si="183"/>
        <v>0.12089535689107245</v>
      </c>
      <c r="BO68" s="1278">
        <f t="shared" ca="1" si="183"/>
        <v>0.11894795894387852</v>
      </c>
      <c r="BP68" s="1278">
        <f t="shared" ca="1" si="183"/>
        <v>0.1170005609966846</v>
      </c>
      <c r="BQ68" s="1278">
        <f t="shared" ca="1" si="183"/>
        <v>0.11505316304949068</v>
      </c>
      <c r="BR68" s="1278">
        <f t="shared" ca="1" si="183"/>
        <v>0.11310576510229675</v>
      </c>
      <c r="BS68" s="1278">
        <f t="shared" ca="1" si="183"/>
        <v>0.11115836715510283</v>
      </c>
      <c r="BT68" s="1278">
        <f t="shared" ca="1" si="183"/>
        <v>0.1092109692079089</v>
      </c>
      <c r="BU68" s="1278">
        <f t="shared" ca="1" si="183"/>
        <v>0.10726357126071498</v>
      </c>
      <c r="BV68" s="1278">
        <f t="shared" ca="1" si="183"/>
        <v>0.10531617331352106</v>
      </c>
      <c r="BW68" s="1278">
        <f t="shared" ca="1" si="183"/>
        <v>0.10336877536632713</v>
      </c>
      <c r="BX68" s="1278">
        <f t="shared" ca="1" si="183"/>
        <v>0.10142137741913321</v>
      </c>
      <c r="BY68" s="1278">
        <f t="shared" ca="1" si="183"/>
        <v>9.9473979471939283E-2</v>
      </c>
      <c r="BZ68" s="1278">
        <f t="shared" ca="1" si="183"/>
        <v>9.7526581524745359E-2</v>
      </c>
      <c r="CA68" s="1278">
        <f t="shared" ca="1" si="183"/>
        <v>9.5579183577551435E-2</v>
      </c>
      <c r="CB68" s="1278">
        <f t="shared" ca="1" si="183"/>
        <v>9.3631785630357511E-2</v>
      </c>
      <c r="CC68" s="1278">
        <f t="shared" ca="1" si="183"/>
        <v>9.1684387683163587E-2</v>
      </c>
      <c r="CD68" s="1278">
        <f t="shared" ca="1" si="183"/>
        <v>8.9736989735969663E-2</v>
      </c>
      <c r="CE68" s="1278">
        <f t="shared" ca="1" si="183"/>
        <v>8.7789591788775739E-2</v>
      </c>
      <c r="CF68" s="1278">
        <f t="shared" ca="1" si="183"/>
        <v>8.5842193841581815E-2</v>
      </c>
      <c r="CG68" s="1278">
        <f t="shared" ca="1" si="183"/>
        <v>8.3894795894387891E-2</v>
      </c>
      <c r="CH68" s="1278">
        <f t="shared" ca="1" si="183"/>
        <v>8.1947397947193967E-2</v>
      </c>
      <c r="CI68" s="1278">
        <f t="shared" ca="1" si="183"/>
        <v>8.0000000000000043E-2</v>
      </c>
      <c r="CJ68" s="1278">
        <f t="shared" ca="1" si="183"/>
        <v>0.08</v>
      </c>
      <c r="CK68" s="1086"/>
      <c r="CL68" s="1086"/>
      <c r="CM68" s="1086"/>
      <c r="CN68" s="1086"/>
      <c r="CO68" s="1086"/>
      <c r="CP68" s="1086"/>
      <c r="CQ68" s="1086"/>
      <c r="CR68" s="1086"/>
      <c r="CS68" s="1086"/>
      <c r="CT68" s="1086"/>
      <c r="CU68" s="1086"/>
      <c r="CV68" s="1086"/>
      <c r="CW68" s="1086"/>
      <c r="CX68" s="1086"/>
      <c r="CY68" s="1086"/>
      <c r="CZ68" s="1086"/>
      <c r="DA68" s="1086"/>
      <c r="DB68" s="1086"/>
      <c r="DC68" s="1086"/>
      <c r="DD68" s="1086"/>
      <c r="DE68" s="1086"/>
      <c r="DF68" s="1086"/>
      <c r="DG68" s="1086"/>
      <c r="DH68" s="1086"/>
      <c r="DI68" s="1086"/>
      <c r="DJ68" s="1086"/>
      <c r="DK68" s="1086"/>
      <c r="DL68" s="1086"/>
      <c r="DM68" s="1086"/>
      <c r="DN68" s="1086"/>
      <c r="DO68" s="1086"/>
      <c r="DP68" s="1086"/>
      <c r="DQ68" s="1086"/>
      <c r="DR68" s="1086"/>
      <c r="DS68" s="1086"/>
      <c r="DT68" s="1086"/>
      <c r="DU68" s="1086"/>
      <c r="DV68" s="1086"/>
      <c r="DW68" s="1086"/>
      <c r="DX68" s="1086"/>
      <c r="DY68" s="1086"/>
      <c r="DZ68" s="1086"/>
      <c r="EA68" s="1086"/>
      <c r="EB68" s="1086"/>
      <c r="EC68" s="1086"/>
      <c r="ED68" s="1086"/>
      <c r="EE68" s="1086"/>
      <c r="EF68" s="1086"/>
      <c r="EG68" s="1086"/>
      <c r="EH68" s="1086"/>
      <c r="EI68" s="1086"/>
      <c r="EJ68" s="1086"/>
      <c r="EK68" s="1086"/>
      <c r="EL68" s="1086"/>
      <c r="EM68" s="1086"/>
      <c r="EN68" s="1086"/>
      <c r="EO68" s="1086"/>
      <c r="EP68" s="1086"/>
      <c r="EQ68" s="1086"/>
      <c r="ER68" s="1086"/>
      <c r="ES68" s="1"/>
      <c r="ET68" s="1"/>
      <c r="EU68" s="1"/>
      <c r="EV68" s="1"/>
      <c r="EW68" s="1"/>
      <c r="EX68" s="1"/>
      <c r="EY68" s="1"/>
      <c r="EZ68" s="1"/>
      <c r="FA68" s="1"/>
      <c r="FB68" s="1"/>
      <c r="FC68" s="1"/>
      <c r="FD68" s="1"/>
      <c r="FE68" s="1"/>
      <c r="FF68" s="1"/>
      <c r="FG68" s="1"/>
      <c r="FH68" s="1"/>
      <c r="FI68" s="1"/>
      <c r="FJ68" s="1"/>
      <c r="FK68" s="1"/>
      <c r="FL68" s="1"/>
      <c r="FM68" s="1"/>
      <c r="FN68" s="1"/>
      <c r="FO68" s="1"/>
      <c r="FP68" s="1"/>
      <c r="FQ68" s="1"/>
      <c r="FR68" s="1"/>
      <c r="FS68" s="1"/>
      <c r="FT68" s="1"/>
      <c r="FU68" s="1"/>
      <c r="FV68" s="1"/>
      <c r="FW68" s="1"/>
      <c r="FX68" s="1"/>
      <c r="FY68" s="1"/>
      <c r="FZ68" s="1"/>
      <c r="GA68" s="1"/>
      <c r="GB68" s="1"/>
      <c r="GC68" s="1"/>
      <c r="GD68" s="1"/>
      <c r="GE68" s="1"/>
      <c r="GF68" s="1"/>
      <c r="GG68" s="1"/>
      <c r="GH68" s="1"/>
      <c r="GI68" s="1"/>
      <c r="GJ68" s="1"/>
      <c r="GK68" s="1"/>
      <c r="GL68" s="1"/>
      <c r="GM68" s="1"/>
      <c r="GN68" s="1"/>
      <c r="GO68" s="1"/>
      <c r="GP68" s="1"/>
      <c r="GQ68" s="1"/>
      <c r="GR68" s="1"/>
      <c r="GS68" s="1"/>
      <c r="GT68" s="1"/>
      <c r="GU68" s="1"/>
      <c r="GV68" s="1"/>
      <c r="GW68" s="1"/>
      <c r="GX68" s="1"/>
      <c r="GY68" s="1"/>
      <c r="GZ68" s="1"/>
      <c r="HA68" s="1"/>
      <c r="HB68" s="1"/>
      <c r="HC68" s="1"/>
      <c r="HD68" s="1"/>
      <c r="HE68" s="1"/>
      <c r="HF68" s="1"/>
      <c r="HG68" s="1"/>
      <c r="HH68" s="1"/>
      <c r="HI68" s="1"/>
      <c r="HJ68" s="1"/>
      <c r="HK68" s="1"/>
      <c r="HL68" s="1"/>
      <c r="HM68" s="1"/>
      <c r="HN68" s="1"/>
      <c r="HO68" s="1"/>
      <c r="HP68" s="1"/>
      <c r="HQ68" s="1"/>
      <c r="HR68" s="1"/>
      <c r="HS68" s="1"/>
      <c r="HT68" s="1"/>
      <c r="HU68" s="1"/>
      <c r="HV68" s="1"/>
      <c r="HW68" s="1"/>
      <c r="HX68" s="1"/>
      <c r="HY68" s="1"/>
      <c r="HZ68" s="1"/>
      <c r="IA68" s="1"/>
      <c r="IB68" s="1"/>
      <c r="IC68" s="1"/>
      <c r="ID68" s="1"/>
      <c r="IE68" s="1"/>
      <c r="IF68" s="1"/>
      <c r="IG68" s="1"/>
      <c r="IH68" s="1"/>
      <c r="II68" s="1"/>
      <c r="IJ68" s="1"/>
      <c r="IK68" s="1"/>
      <c r="IL68" s="1"/>
      <c r="IM68" s="1"/>
      <c r="IN68" s="1"/>
      <c r="IO68" s="1"/>
      <c r="IP68" s="1"/>
      <c r="IQ68" s="1"/>
      <c r="IR68" s="1"/>
      <c r="IS68" s="1"/>
      <c r="IT68" s="1"/>
      <c r="IU68" s="1"/>
      <c r="IV68" s="1"/>
      <c r="IW68" s="1"/>
      <c r="IX68" s="1"/>
      <c r="IY68" s="1"/>
      <c r="IZ68" s="1"/>
      <c r="JA68" s="1"/>
      <c r="JB68" s="1"/>
      <c r="JC68" s="1"/>
      <c r="JD68" s="1"/>
    </row>
    <row r="69" spans="2:264" s="1044" customFormat="1" x14ac:dyDescent="0.2">
      <c r="B69" s="350"/>
      <c r="C69" s="1213"/>
      <c r="D69" s="1215"/>
      <c r="E69" s="1194"/>
      <c r="F69" s="1200"/>
      <c r="G69" s="1234"/>
      <c r="H69" s="1234"/>
      <c r="I69" s="1090"/>
      <c r="J69" s="1090"/>
      <c r="K69" s="1090"/>
      <c r="L69" s="1090"/>
      <c r="M69" s="1090"/>
      <c r="N69" s="1090"/>
      <c r="O69" s="1090"/>
      <c r="P69" s="1212"/>
      <c r="Q69" s="1047"/>
      <c r="R69" s="1074"/>
      <c r="S69" s="1074"/>
      <c r="T69" s="1074"/>
      <c r="U69" s="1074"/>
      <c r="V69" s="1074"/>
      <c r="W69" s="1074"/>
      <c r="X69" s="1074"/>
      <c r="Y69" s="1074"/>
      <c r="Z69" s="1074"/>
      <c r="AA69" s="1074"/>
      <c r="AB69" s="1074"/>
      <c r="AC69" s="1074"/>
      <c r="AD69" s="1074"/>
      <c r="AE69" s="1279"/>
      <c r="AF69" s="1074"/>
      <c r="AG69" s="1074"/>
      <c r="AH69" s="1074"/>
      <c r="AI69" s="1074"/>
      <c r="AJ69" s="1074"/>
      <c r="AK69" s="1364"/>
      <c r="AL69" s="1074"/>
      <c r="AM69" s="1074"/>
      <c r="AN69" s="1074"/>
      <c r="AO69" s="1074"/>
      <c r="AP69" s="1074"/>
      <c r="AQ69" s="1074"/>
      <c r="AR69" s="1074"/>
      <c r="AS69" s="1074"/>
      <c r="AT69" s="1074"/>
      <c r="AU69" s="1074"/>
      <c r="AV69" s="1083"/>
      <c r="AW69" s="1083"/>
      <c r="AX69" s="1083"/>
      <c r="AY69" s="1083"/>
      <c r="AZ69" s="1083"/>
      <c r="BA69" s="1083"/>
      <c r="BB69" s="1083"/>
      <c r="BC69" s="1083"/>
      <c r="BD69" s="1083"/>
      <c r="BE69" s="1083"/>
      <c r="BF69" s="1083"/>
      <c r="BG69" s="1083"/>
      <c r="BH69" s="1083"/>
      <c r="BI69" s="1083"/>
      <c r="BJ69" s="1083"/>
      <c r="BK69" s="1083"/>
      <c r="BL69" s="1083"/>
      <c r="BM69" s="1083"/>
      <c r="BN69" s="1083"/>
      <c r="BO69" s="1083"/>
      <c r="BP69" s="1083"/>
      <c r="BQ69" s="1083"/>
      <c r="BR69" s="1083"/>
      <c r="BS69" s="1083"/>
      <c r="BT69" s="1083"/>
      <c r="BU69" s="1083"/>
      <c r="BV69" s="1083"/>
      <c r="BW69" s="1083"/>
      <c r="BX69" s="1083"/>
      <c r="BY69" s="1083"/>
      <c r="BZ69" s="1083"/>
      <c r="CA69" s="1083"/>
      <c r="CB69" s="1083"/>
      <c r="CC69" s="1083"/>
      <c r="CD69" s="1083"/>
      <c r="CE69" s="1083"/>
      <c r="CF69" s="1083"/>
      <c r="CG69" s="1083"/>
      <c r="CH69" s="1083"/>
      <c r="CI69" s="1083"/>
      <c r="CJ69" s="1083"/>
      <c r="CK69" s="1097"/>
      <c r="CL69" s="1097"/>
      <c r="CM69" s="1097"/>
      <c r="CN69" s="1097"/>
      <c r="CO69" s="1097"/>
      <c r="CP69" s="1097"/>
      <c r="CQ69" s="1097"/>
      <c r="CR69" s="1097"/>
      <c r="CS69" s="1097"/>
      <c r="CT69" s="1097"/>
      <c r="CU69" s="1097"/>
      <c r="CV69" s="1097"/>
      <c r="CW69" s="1097"/>
      <c r="CX69" s="1097"/>
      <c r="CY69" s="1097"/>
      <c r="CZ69" s="1097"/>
      <c r="DA69" s="1097"/>
      <c r="DB69" s="1097"/>
      <c r="DC69" s="1097"/>
      <c r="DD69" s="1097"/>
      <c r="DE69" s="1097"/>
      <c r="DF69" s="1097"/>
      <c r="DG69" s="1097"/>
      <c r="DH69" s="1097"/>
      <c r="DI69" s="1097"/>
      <c r="DJ69" s="1097"/>
      <c r="DK69" s="1097"/>
      <c r="DL69" s="1097"/>
      <c r="DM69" s="1097"/>
      <c r="DN69" s="1097"/>
      <c r="DO69" s="1097"/>
      <c r="DP69" s="1097"/>
      <c r="DQ69" s="1097"/>
      <c r="DR69" s="1097"/>
      <c r="DS69" s="1097"/>
      <c r="DT69" s="1097"/>
      <c r="DU69" s="1097"/>
      <c r="DV69" s="1097"/>
      <c r="DW69" s="1097"/>
      <c r="DX69" s="1097"/>
      <c r="DY69" s="1097"/>
      <c r="DZ69" s="1097"/>
      <c r="EA69" s="1097"/>
      <c r="EB69" s="1097"/>
      <c r="EC69" s="1097"/>
      <c r="ED69" s="1097"/>
      <c r="EE69" s="1097"/>
      <c r="EF69" s="1097"/>
      <c r="EG69" s="1097"/>
      <c r="EH69" s="1097"/>
      <c r="EI69" s="1097"/>
      <c r="EJ69" s="1097"/>
      <c r="EK69" s="1097"/>
      <c r="EL69" s="1097"/>
      <c r="EM69" s="1097"/>
      <c r="EN69" s="1097"/>
      <c r="EO69" s="1097"/>
      <c r="EP69" s="1097"/>
      <c r="EQ69" s="1097"/>
      <c r="ER69" s="1097"/>
      <c r="ES69" s="1"/>
      <c r="ET69" s="1"/>
      <c r="EU69" s="1"/>
      <c r="EV69" s="1"/>
      <c r="EW69" s="1"/>
      <c r="EX69" s="1"/>
      <c r="EY69" s="1"/>
      <c r="EZ69" s="1"/>
      <c r="FA69" s="1"/>
      <c r="FB69" s="1"/>
      <c r="FC69" s="1"/>
      <c r="FD69" s="1"/>
      <c r="FE69" s="1"/>
      <c r="FF69" s="1"/>
      <c r="FG69" s="1"/>
      <c r="FH69" s="1"/>
      <c r="FI69" s="1"/>
      <c r="FJ69" s="1"/>
      <c r="FK69" s="1"/>
      <c r="FL69" s="1"/>
      <c r="FM69" s="1"/>
      <c r="FN69" s="1"/>
      <c r="FO69" s="1"/>
      <c r="FP69" s="1"/>
      <c r="FQ69" s="1"/>
      <c r="FR69" s="1"/>
      <c r="FS69" s="1"/>
      <c r="FT69" s="1"/>
      <c r="FU69" s="1"/>
      <c r="FV69" s="1"/>
      <c r="FW69" s="1"/>
      <c r="FX69" s="1"/>
      <c r="FY69" s="1"/>
      <c r="FZ69" s="1"/>
      <c r="GA69" s="1"/>
      <c r="GB69" s="1"/>
      <c r="GC69" s="1"/>
      <c r="GD69" s="1"/>
      <c r="GE69" s="1"/>
      <c r="GF69" s="1"/>
      <c r="GG69" s="1"/>
      <c r="GH69" s="1"/>
      <c r="GI69" s="1"/>
      <c r="GJ69" s="1"/>
      <c r="GK69" s="1"/>
      <c r="GL69" s="1"/>
      <c r="GM69" s="1"/>
      <c r="GN69" s="1"/>
      <c r="GO69" s="1"/>
      <c r="GP69" s="1"/>
      <c r="GQ69" s="1"/>
      <c r="GR69" s="1"/>
      <c r="GS69" s="1"/>
      <c r="GT69" s="1"/>
      <c r="GU69" s="1"/>
      <c r="GV69" s="1"/>
      <c r="GW69" s="1"/>
      <c r="GX69" s="1"/>
      <c r="GY69" s="1"/>
      <c r="GZ69" s="1"/>
      <c r="HA69" s="1"/>
      <c r="HB69" s="1"/>
      <c r="HC69" s="1"/>
      <c r="HD69" s="1"/>
      <c r="HE69" s="1"/>
      <c r="HF69" s="1"/>
      <c r="HG69" s="1"/>
      <c r="HH69" s="1"/>
      <c r="HI69" s="1"/>
      <c r="HJ69" s="1"/>
      <c r="HK69" s="1"/>
      <c r="HL69" s="1"/>
      <c r="HM69" s="1"/>
      <c r="HN69" s="1"/>
      <c r="HO69" s="1"/>
      <c r="HP69" s="1"/>
      <c r="HQ69" s="1"/>
      <c r="HR69" s="1"/>
      <c r="HS69" s="1"/>
      <c r="HT69" s="1"/>
      <c r="HU69" s="1"/>
      <c r="HV69" s="1"/>
      <c r="HW69" s="1"/>
      <c r="HX69" s="1"/>
      <c r="HY69" s="1"/>
      <c r="HZ69" s="1"/>
      <c r="IA69" s="1"/>
      <c r="IB69" s="1"/>
      <c r="IC69" s="1"/>
      <c r="ID69" s="1"/>
      <c r="IE69" s="1"/>
      <c r="IF69" s="1"/>
      <c r="IG69" s="1"/>
      <c r="IH69" s="1"/>
      <c r="II69" s="1"/>
      <c r="IJ69" s="1"/>
      <c r="IK69" s="1"/>
      <c r="IL69" s="1"/>
      <c r="IM69" s="1"/>
      <c r="IN69" s="1"/>
      <c r="IO69" s="1"/>
      <c r="IP69" s="1"/>
      <c r="IQ69" s="1"/>
      <c r="IR69" s="1"/>
      <c r="IS69" s="1"/>
      <c r="IT69" s="1"/>
      <c r="IU69" s="1"/>
      <c r="IV69" s="1"/>
      <c r="IW69" s="1"/>
      <c r="IX69" s="1"/>
      <c r="IY69" s="1"/>
      <c r="IZ69" s="1"/>
      <c r="JA69" s="1"/>
      <c r="JB69" s="1"/>
      <c r="JC69" s="1"/>
      <c r="JD69" s="1"/>
    </row>
    <row r="70" spans="2:264" s="1044" customFormat="1" x14ac:dyDescent="0.2">
      <c r="B70" s="350"/>
      <c r="C70" s="1213"/>
      <c r="D70" s="1215"/>
      <c r="E70" s="1194"/>
      <c r="F70" s="1200"/>
      <c r="G70" s="1234"/>
      <c r="H70" s="1234"/>
      <c r="I70" s="1090"/>
      <c r="J70" s="1090"/>
      <c r="K70" s="1090"/>
      <c r="L70" s="1488">
        <f t="shared" ref="L70" si="184">AVERAGE(AI70,AJ70,AK70)</f>
        <v>5.0909253389273136E-2</v>
      </c>
      <c r="M70" s="1488">
        <f t="shared" ref="M70" si="185">AVERAGE(AL70,AM70,AN70)</f>
        <v>5.4510623997989484E-2</v>
      </c>
      <c r="N70" s="1488">
        <f t="shared" ref="N70" ca="1" si="186">AVERAGE(AL70:AU70)</f>
        <v>4.1889971072037582E-2</v>
      </c>
      <c r="O70" s="1493">
        <f t="shared" ref="O70" ca="1" si="187">AO70</f>
        <v>4.611299616658715E-2</v>
      </c>
      <c r="P70" s="1212"/>
      <c r="Q70" s="1044" t="s">
        <v>1080</v>
      </c>
      <c r="R70" s="1074"/>
      <c r="S70" s="1074"/>
      <c r="T70" s="1074"/>
      <c r="U70" s="1074"/>
      <c r="V70" s="1074"/>
      <c r="W70" s="1074"/>
      <c r="X70" s="1074"/>
      <c r="Y70" s="1280"/>
      <c r="Z70" s="1280">
        <f t="shared" ref="Z70:AQ73" si="188">+Z47/Y47-1</f>
        <v>7.259668508287298E-2</v>
      </c>
      <c r="AA70" s="1280">
        <f t="shared" si="188"/>
        <v>6.3047285464097991E-2</v>
      </c>
      <c r="AB70" s="1280">
        <f t="shared" si="188"/>
        <v>5.6061633879251893E-2</v>
      </c>
      <c r="AC70" s="1280">
        <f t="shared" si="188"/>
        <v>6.0839642119752346E-2</v>
      </c>
      <c r="AD70" s="1280">
        <f t="shared" si="188"/>
        <v>1.8857315860040691E-2</v>
      </c>
      <c r="AE70" s="1281">
        <f t="shared" si="188"/>
        <v>-1.6215986755529155E-2</v>
      </c>
      <c r="AF70" s="1280">
        <f t="shared" si="188"/>
        <v>1.1736785329018229E-2</v>
      </c>
      <c r="AG70" s="1280">
        <f t="shared" si="188"/>
        <v>1.7017102401160056E-2</v>
      </c>
      <c r="AH70" s="1280">
        <f t="shared" si="188"/>
        <v>2.6629204059380962E-2</v>
      </c>
      <c r="AI70" s="1280">
        <f t="shared" si="188"/>
        <v>0.10506106776683954</v>
      </c>
      <c r="AJ70" s="1280">
        <f t="shared" si="188"/>
        <v>3.6964477137479967E-4</v>
      </c>
      <c r="AK70" s="1382">
        <f t="shared" si="188"/>
        <v>4.7297047629605071E-2</v>
      </c>
      <c r="AL70" s="1280">
        <f t="shared" si="188"/>
        <v>6.2253339879142278E-2</v>
      </c>
      <c r="AM70" s="1280">
        <f t="shared" ref="AM70:AN73" si="189">+AM47/AL47-1</f>
        <v>5.854432860910741E-2</v>
      </c>
      <c r="AN70" s="1280">
        <f t="shared" si="189"/>
        <v>4.2734203505718771E-2</v>
      </c>
      <c r="AO70" s="1280">
        <f t="shared" ca="1" si="188"/>
        <v>4.611299616658715E-2</v>
      </c>
      <c r="AP70" s="1280">
        <f t="shared" ca="1" si="188"/>
        <v>3.4907072288354657E-2</v>
      </c>
      <c r="AQ70" s="1280">
        <f t="shared" ca="1" si="188"/>
        <v>3.4894872546167299E-2</v>
      </c>
      <c r="AR70" s="1280">
        <f ca="1">+AR47/AQ47-1</f>
        <v>3.4882445641521986E-2</v>
      </c>
      <c r="AS70" s="1280">
        <f ca="1">+AS47/AR47-1</f>
        <v>3.486978814768027E-2</v>
      </c>
      <c r="AT70" s="1280">
        <f t="shared" ref="AT70:AU70" ca="1" si="190">+AT47/AS47-1</f>
        <v>3.4856896573620233E-2</v>
      </c>
      <c r="AU70" s="1280">
        <f t="shared" ca="1" si="190"/>
        <v>3.4843767362475742E-2</v>
      </c>
      <c r="AV70" s="1083"/>
      <c r="AW70" s="1083"/>
      <c r="AX70" s="1083"/>
      <c r="AY70" s="1083"/>
      <c r="AZ70" s="1083"/>
      <c r="BA70" s="1083"/>
      <c r="BB70" s="1083"/>
      <c r="BC70" s="1083"/>
      <c r="BD70" s="1083"/>
      <c r="BE70" s="1083"/>
      <c r="BF70" s="1083"/>
      <c r="BG70" s="1083"/>
      <c r="BH70" s="1083"/>
      <c r="BI70" s="1083"/>
      <c r="BJ70" s="1083"/>
      <c r="BK70" s="1083"/>
      <c r="BL70" s="1083"/>
      <c r="BM70" s="1083"/>
      <c r="BN70" s="1083"/>
      <c r="BO70" s="1083"/>
      <c r="BP70" s="1083"/>
      <c r="BQ70" s="1083"/>
      <c r="BR70" s="1083"/>
      <c r="BS70" s="1083"/>
      <c r="BT70" s="1083"/>
      <c r="BU70" s="1083"/>
      <c r="BV70" s="1083"/>
      <c r="BW70" s="1083"/>
      <c r="BX70" s="1083"/>
      <c r="BY70" s="1083"/>
      <c r="BZ70" s="1083"/>
      <c r="CA70" s="1083"/>
      <c r="CB70" s="1083"/>
      <c r="CC70" s="1083"/>
      <c r="CD70" s="1083"/>
      <c r="CE70" s="1083"/>
      <c r="CF70" s="1083"/>
      <c r="CG70" s="1083"/>
      <c r="CH70" s="1083"/>
      <c r="CI70" s="1083"/>
      <c r="CJ70" s="1083"/>
      <c r="CK70" s="1282"/>
      <c r="CL70" s="1282"/>
      <c r="CM70" s="1282"/>
      <c r="CN70" s="1282"/>
      <c r="CO70" s="1282"/>
      <c r="CP70" s="1282"/>
      <c r="CQ70" s="1282"/>
      <c r="CR70" s="1282"/>
      <c r="CS70" s="1282"/>
      <c r="CT70" s="1282"/>
      <c r="CU70" s="1282"/>
      <c r="CV70" s="1282"/>
      <c r="CW70" s="1282"/>
      <c r="CX70" s="1282"/>
      <c r="CY70" s="1282"/>
      <c r="CZ70" s="1282"/>
      <c r="DA70" s="1282"/>
      <c r="DB70" s="1282"/>
      <c r="DC70" s="1282"/>
      <c r="DD70" s="1282"/>
      <c r="DE70" s="1282"/>
      <c r="DF70" s="1282"/>
      <c r="DG70" s="1282"/>
      <c r="DH70" s="1282"/>
      <c r="DI70" s="1282"/>
      <c r="DJ70" s="1282"/>
      <c r="DK70" s="1282"/>
      <c r="DL70" s="1282"/>
      <c r="DM70" s="1282"/>
      <c r="DN70" s="1282"/>
      <c r="DO70" s="1282"/>
      <c r="DP70" s="1282"/>
      <c r="DQ70" s="1282"/>
      <c r="DR70" s="1282"/>
      <c r="DS70" s="1282"/>
      <c r="DT70" s="1282"/>
      <c r="DU70" s="1282"/>
      <c r="DV70" s="1282"/>
      <c r="DW70" s="1282"/>
      <c r="DX70" s="1282"/>
      <c r="DY70" s="1282"/>
      <c r="DZ70" s="1282"/>
      <c r="EA70" s="1282"/>
      <c r="EB70" s="1282"/>
      <c r="EC70" s="1282"/>
      <c r="ED70" s="1282"/>
      <c r="EE70" s="1282"/>
      <c r="EF70" s="1282"/>
      <c r="EG70" s="1282"/>
      <c r="EH70" s="1282"/>
      <c r="EI70" s="1282"/>
      <c r="EJ70" s="1282"/>
      <c r="EK70" s="1282"/>
      <c r="EL70" s="1282"/>
      <c r="EM70" s="1282"/>
      <c r="EN70" s="1282"/>
      <c r="EO70" s="1282"/>
      <c r="EP70" s="1282"/>
      <c r="EQ70" s="1282"/>
      <c r="ER70" s="1282"/>
      <c r="ES70" s="1"/>
      <c r="ET70" s="1"/>
      <c r="EU70" s="1"/>
      <c r="EV70" s="1"/>
      <c r="EW70" s="1"/>
      <c r="EX70" s="1"/>
      <c r="EY70" s="1"/>
      <c r="EZ70" s="1"/>
      <c r="FA70" s="1"/>
      <c r="FB70" s="1"/>
      <c r="FC70" s="1"/>
      <c r="FD70" s="1"/>
      <c r="FE70" s="1"/>
      <c r="FF70" s="1"/>
      <c r="FG70" s="1"/>
      <c r="FH70" s="1"/>
      <c r="FI70" s="1"/>
      <c r="FJ70" s="1"/>
      <c r="FK70" s="1"/>
      <c r="FL70" s="1"/>
      <c r="FM70" s="1"/>
      <c r="FN70" s="1"/>
      <c r="FO70" s="1"/>
      <c r="FP70" s="1"/>
      <c r="FQ70" s="1"/>
      <c r="FR70" s="1"/>
      <c r="FS70" s="1"/>
      <c r="FT70" s="1"/>
      <c r="FU70" s="1"/>
      <c r="FV70" s="1"/>
      <c r="FW70" s="1"/>
      <c r="FX70" s="1"/>
      <c r="FY70" s="1"/>
      <c r="FZ70" s="1"/>
      <c r="GA70" s="1"/>
      <c r="GB70" s="1"/>
      <c r="GC70" s="1"/>
      <c r="GD70" s="1"/>
      <c r="GE70" s="1"/>
      <c r="GF70" s="1"/>
      <c r="GG70" s="1"/>
      <c r="GH70" s="1"/>
      <c r="GI70" s="1"/>
      <c r="GJ70" s="1"/>
      <c r="GK70" s="1"/>
      <c r="GL70" s="1"/>
      <c r="GM70" s="1"/>
      <c r="GN70" s="1"/>
      <c r="GO70" s="1"/>
      <c r="GP70" s="1"/>
      <c r="GQ70" s="1"/>
      <c r="GR70" s="1"/>
      <c r="GS70" s="1"/>
      <c r="GT70" s="1"/>
      <c r="GU70" s="1"/>
      <c r="GV70" s="1"/>
      <c r="GW70" s="1"/>
      <c r="GX70" s="1"/>
      <c r="GY70" s="1"/>
      <c r="GZ70" s="1"/>
      <c r="HA70" s="1"/>
      <c r="HB70" s="1"/>
      <c r="HC70" s="1"/>
      <c r="HD70" s="1"/>
      <c r="HE70" s="1"/>
      <c r="HF70" s="1"/>
      <c r="HG70" s="1"/>
      <c r="HH70" s="1"/>
      <c r="HI70" s="1"/>
      <c r="HJ70" s="1"/>
      <c r="HK70" s="1"/>
      <c r="HL70" s="1"/>
      <c r="HM70" s="1"/>
      <c r="HN70" s="1"/>
      <c r="HO70" s="1"/>
      <c r="HP70" s="1"/>
      <c r="HQ70" s="1"/>
      <c r="HR70" s="1"/>
      <c r="HS70" s="1"/>
      <c r="HT70" s="1"/>
      <c r="HU70" s="1"/>
      <c r="HV70" s="1"/>
      <c r="HW70" s="1"/>
      <c r="HX70" s="1"/>
      <c r="HY70" s="1"/>
      <c r="HZ70" s="1"/>
      <c r="IA70" s="1"/>
      <c r="IB70" s="1"/>
      <c r="IC70" s="1"/>
      <c r="ID70" s="1"/>
      <c r="IE70" s="1"/>
      <c r="IF70" s="1"/>
      <c r="IG70" s="1"/>
      <c r="IH70" s="1"/>
      <c r="II70" s="1"/>
      <c r="IJ70" s="1"/>
      <c r="IK70" s="1"/>
      <c r="IL70" s="1"/>
      <c r="IM70" s="1"/>
      <c r="IN70" s="1"/>
      <c r="IO70" s="1"/>
      <c r="IP70" s="1"/>
      <c r="IQ70" s="1"/>
      <c r="IR70" s="1"/>
      <c r="IS70" s="1"/>
      <c r="IT70" s="1"/>
      <c r="IU70" s="1"/>
      <c r="IV70" s="1"/>
      <c r="IW70" s="1"/>
      <c r="IX70" s="1"/>
      <c r="IY70" s="1"/>
      <c r="IZ70" s="1"/>
      <c r="JA70" s="1"/>
      <c r="JB70" s="1"/>
      <c r="JC70" s="1"/>
      <c r="JD70" s="1"/>
    </row>
    <row r="71" spans="2:264" s="1044" customFormat="1" ht="13.5" thickBot="1" x14ac:dyDescent="0.25">
      <c r="B71" s="350"/>
      <c r="C71" s="1213"/>
      <c r="D71" s="1215"/>
      <c r="E71" s="1194"/>
      <c r="F71" s="1200"/>
      <c r="G71" s="1234"/>
      <c r="H71" s="1234"/>
      <c r="I71" s="1090"/>
      <c r="J71" s="1090"/>
      <c r="K71" s="1090"/>
      <c r="L71" s="1090"/>
      <c r="M71" s="1090"/>
      <c r="N71" s="1090"/>
      <c r="O71" s="1090"/>
      <c r="P71" s="1212"/>
      <c r="Q71" s="1044" t="s">
        <v>1081</v>
      </c>
      <c r="R71" s="1074"/>
      <c r="S71" s="1074"/>
      <c r="T71" s="1074"/>
      <c r="U71" s="1074"/>
      <c r="V71" s="1074"/>
      <c r="W71" s="1074"/>
      <c r="X71" s="1074"/>
      <c r="Y71" s="1280"/>
      <c r="Z71" s="1280">
        <f t="shared" si="188"/>
        <v>9.7758177140757185E-2</v>
      </c>
      <c r="AA71" s="1280">
        <f t="shared" si="188"/>
        <v>-1.5734851021091401E-2</v>
      </c>
      <c r="AB71" s="1280">
        <f t="shared" si="188"/>
        <v>4.0816326530612734E-3</v>
      </c>
      <c r="AC71" s="1280">
        <f t="shared" si="188"/>
        <v>-0.26863143631436315</v>
      </c>
      <c r="AD71" s="1280">
        <f t="shared" si="188"/>
        <v>-0.36776285317276514</v>
      </c>
      <c r="AE71" s="1281">
        <f t="shared" si="188"/>
        <v>-0.70402930402930397</v>
      </c>
      <c r="AF71" s="1280">
        <f t="shared" si="188"/>
        <v>-0.22277227722772275</v>
      </c>
      <c r="AG71" s="1280">
        <f t="shared" si="188"/>
        <v>-1.2738853503184711E-2</v>
      </c>
      <c r="AH71" s="1280">
        <f t="shared" si="188"/>
        <v>-0.32903225806451608</v>
      </c>
      <c r="AI71" s="1280">
        <f t="shared" si="188"/>
        <v>-0.60576923076923084</v>
      </c>
      <c r="AJ71" s="1280">
        <f t="shared" si="188"/>
        <v>0.35365853658536595</v>
      </c>
      <c r="AK71" s="1382">
        <f t="shared" si="188"/>
        <v>9.9099099099099197E-2</v>
      </c>
      <c r="AL71" s="1280">
        <f t="shared" si="188"/>
        <v>0.10934426229508198</v>
      </c>
      <c r="AM71" s="1280">
        <f t="shared" si="189"/>
        <v>4.0399999999999991E-2</v>
      </c>
      <c r="AN71" s="1280">
        <f t="shared" si="189"/>
        <v>4.0399999999999991E-2</v>
      </c>
      <c r="AO71" s="1283">
        <v>0.05</v>
      </c>
      <c r="AP71" s="1283">
        <v>0.05</v>
      </c>
      <c r="AQ71" s="1283">
        <v>0.05</v>
      </c>
      <c r="AR71" s="1283">
        <v>0.05</v>
      </c>
      <c r="AS71" s="1283">
        <v>0.05</v>
      </c>
      <c r="AT71" s="1283">
        <v>0.05</v>
      </c>
      <c r="AU71" s="1283">
        <v>0.05</v>
      </c>
      <c r="AV71" s="1083"/>
      <c r="AW71" s="1083"/>
      <c r="AX71" s="1083"/>
      <c r="AY71" s="1083"/>
      <c r="AZ71" s="1083"/>
      <c r="BA71" s="1083"/>
      <c r="BB71" s="1083"/>
      <c r="BC71" s="1083"/>
      <c r="BD71" s="1083"/>
      <c r="BE71" s="1083"/>
      <c r="BF71" s="1083"/>
      <c r="BG71" s="1083"/>
      <c r="BH71" s="1083"/>
      <c r="BI71" s="1083"/>
      <c r="BJ71" s="1083"/>
      <c r="BK71" s="1083"/>
      <c r="BL71" s="1083"/>
      <c r="BM71" s="1083"/>
      <c r="BN71" s="1083"/>
      <c r="BO71" s="1083"/>
      <c r="BP71" s="1083"/>
      <c r="BQ71" s="1083"/>
      <c r="BR71" s="1083"/>
      <c r="BS71" s="1083"/>
      <c r="BT71" s="1083"/>
      <c r="BU71" s="1083"/>
      <c r="BV71" s="1083"/>
      <c r="BW71" s="1083"/>
      <c r="BX71" s="1083"/>
      <c r="BY71" s="1083"/>
      <c r="BZ71" s="1083"/>
      <c r="CA71" s="1083"/>
      <c r="CB71" s="1083"/>
      <c r="CC71" s="1083"/>
      <c r="CD71" s="1083"/>
      <c r="CE71" s="1083"/>
      <c r="CF71" s="1083"/>
      <c r="CG71" s="1083"/>
      <c r="CH71" s="1083"/>
      <c r="CI71" s="1083"/>
      <c r="CJ71" s="1083"/>
      <c r="CK71" s="1074"/>
      <c r="CL71" s="1074"/>
      <c r="CM71" s="1074"/>
      <c r="CN71" s="1074"/>
      <c r="CO71" s="1074"/>
      <c r="CP71" s="1074"/>
      <c r="CQ71" s="1074"/>
      <c r="CR71" s="1074"/>
      <c r="CS71" s="1074"/>
      <c r="CT71" s="1074"/>
      <c r="CU71" s="1074"/>
      <c r="CV71" s="1074"/>
      <c r="CW71" s="1074"/>
      <c r="CX71" s="1074"/>
      <c r="CY71" s="1074"/>
      <c r="CZ71" s="1074"/>
      <c r="DA71" s="1074"/>
      <c r="DB71" s="1074"/>
      <c r="DC71" s="1074"/>
      <c r="DD71" s="1074"/>
      <c r="DE71" s="1074"/>
      <c r="DF71" s="1074"/>
      <c r="DG71" s="1074"/>
      <c r="DH71" s="1074"/>
      <c r="DI71" s="1074"/>
      <c r="DJ71" s="1074"/>
      <c r="DK71" s="1074"/>
      <c r="DL71" s="1074"/>
      <c r="DM71" s="1074"/>
      <c r="DN71" s="1074"/>
      <c r="DO71" s="1074"/>
      <c r="DP71" s="1074"/>
      <c r="DQ71" s="1074"/>
      <c r="DR71" s="1074"/>
      <c r="DS71" s="1074"/>
      <c r="DT71" s="1074"/>
      <c r="DU71" s="1074"/>
      <c r="DV71" s="1074"/>
      <c r="DW71" s="1074"/>
      <c r="DX71" s="1074"/>
      <c r="DY71" s="1074"/>
      <c r="DZ71" s="1074"/>
      <c r="EA71" s="1074"/>
      <c r="EB71" s="1074"/>
      <c r="EC71" s="1074"/>
      <c r="ED71" s="1074"/>
      <c r="EE71" s="1074"/>
      <c r="EF71" s="1074"/>
      <c r="EG71" s="1074"/>
      <c r="EH71" s="1074"/>
      <c r="EI71" s="1074"/>
      <c r="EJ71" s="1074"/>
      <c r="EK71" s="1074"/>
      <c r="EL71" s="1074"/>
      <c r="EM71" s="1074"/>
      <c r="EN71" s="1074"/>
      <c r="EO71" s="1074"/>
      <c r="EP71" s="1074"/>
      <c r="EQ71" s="1074"/>
      <c r="ER71" s="1074"/>
      <c r="ES71" s="1"/>
      <c r="ET71" s="1"/>
      <c r="EU71" s="1"/>
      <c r="EV71" s="1"/>
      <c r="EW71" s="1"/>
      <c r="EX71" s="1"/>
      <c r="EY71" s="1"/>
      <c r="EZ71" s="1"/>
      <c r="FA71" s="1"/>
      <c r="FB71" s="1"/>
      <c r="FC71" s="1"/>
      <c r="FD71" s="1"/>
      <c r="FE71" s="1"/>
      <c r="FF71" s="1"/>
      <c r="FG71" s="1"/>
      <c r="FH71" s="1"/>
      <c r="FI71" s="1"/>
      <c r="FJ71" s="1"/>
      <c r="FK71" s="1"/>
      <c r="FL71" s="1"/>
      <c r="FM71" s="1"/>
      <c r="FN71" s="1"/>
      <c r="FO71" s="1"/>
      <c r="FP71" s="1"/>
      <c r="FQ71" s="1"/>
      <c r="FR71" s="1"/>
      <c r="FS71" s="1"/>
      <c r="FT71" s="1"/>
      <c r="FU71" s="1"/>
      <c r="FV71" s="1"/>
      <c r="FW71" s="1"/>
      <c r="FX71" s="1"/>
      <c r="FY71" s="1"/>
      <c r="FZ71" s="1"/>
      <c r="GA71" s="1"/>
      <c r="GB71" s="1"/>
      <c r="GC71" s="1"/>
      <c r="GD71" s="1"/>
      <c r="GE71" s="1"/>
      <c r="GF71" s="1"/>
      <c r="GG71" s="1"/>
      <c r="GH71" s="1"/>
      <c r="GI71" s="1"/>
      <c r="GJ71" s="1"/>
      <c r="GK71" s="1"/>
      <c r="GL71" s="1"/>
      <c r="GM71" s="1"/>
      <c r="GN71" s="1"/>
      <c r="GO71" s="1"/>
      <c r="GP71" s="1"/>
      <c r="GQ71" s="1"/>
      <c r="GR71" s="1"/>
      <c r="GS71" s="1"/>
      <c r="GT71" s="1"/>
      <c r="GU71" s="1"/>
      <c r="GV71" s="1"/>
      <c r="GW71" s="1"/>
      <c r="GX71" s="1"/>
      <c r="GY71" s="1"/>
      <c r="GZ71" s="1"/>
      <c r="HA71" s="1"/>
      <c r="HB71" s="1"/>
      <c r="HC71" s="1"/>
      <c r="HD71" s="1"/>
      <c r="HE71" s="1"/>
      <c r="HF71" s="1"/>
      <c r="HG71" s="1"/>
      <c r="HH71" s="1"/>
      <c r="HI71" s="1"/>
      <c r="HJ71" s="1"/>
      <c r="HK71" s="1"/>
      <c r="HL71" s="1"/>
      <c r="HM71" s="1"/>
      <c r="HN71" s="1"/>
      <c r="HO71" s="1"/>
      <c r="HP71" s="1"/>
      <c r="HQ71" s="1"/>
      <c r="HR71" s="1"/>
      <c r="HS71" s="1"/>
      <c r="HT71" s="1"/>
      <c r="HU71" s="1"/>
      <c r="HV71" s="1"/>
      <c r="HW71" s="1"/>
      <c r="HX71" s="1"/>
      <c r="HY71" s="1"/>
      <c r="HZ71" s="1"/>
      <c r="IA71" s="1"/>
      <c r="IB71" s="1"/>
      <c r="IC71" s="1"/>
      <c r="ID71" s="1"/>
      <c r="IE71" s="1"/>
      <c r="IF71" s="1"/>
      <c r="IG71" s="1"/>
      <c r="IH71" s="1"/>
      <c r="II71" s="1"/>
      <c r="IJ71" s="1"/>
      <c r="IK71" s="1"/>
      <c r="IL71" s="1"/>
      <c r="IM71" s="1"/>
      <c r="IN71" s="1"/>
      <c r="IO71" s="1"/>
      <c r="IP71" s="1"/>
      <c r="IQ71" s="1"/>
      <c r="IR71" s="1"/>
      <c r="IS71" s="1"/>
      <c r="IT71" s="1"/>
      <c r="IU71" s="1"/>
      <c r="IV71" s="1"/>
      <c r="IW71" s="1"/>
      <c r="IX71" s="1"/>
      <c r="IY71" s="1"/>
      <c r="IZ71" s="1"/>
      <c r="JA71" s="1"/>
      <c r="JB71" s="1"/>
      <c r="JC71" s="1"/>
      <c r="JD71" s="1"/>
    </row>
    <row r="72" spans="2:264" s="1044" customFormat="1" ht="13.5" thickBot="1" x14ac:dyDescent="0.25">
      <c r="B72" s="350"/>
      <c r="C72" s="1213"/>
      <c r="D72" s="1215"/>
      <c r="E72" s="1194"/>
      <c r="F72" s="1251" t="s">
        <v>1061</v>
      </c>
      <c r="H72" s="1252">
        <v>2.1700000000000001E-2</v>
      </c>
      <c r="I72" s="1090"/>
      <c r="J72" s="1090"/>
      <c r="K72" s="1090"/>
      <c r="L72" s="1488">
        <f t="shared" ref="L72" si="191">AVERAGE(AI72,AJ72,AK72)</f>
        <v>4.9339455848689408E-2</v>
      </c>
      <c r="M72" s="1488">
        <f t="shared" ref="M72" si="192">AVERAGE(AL72,AM72,AN72)</f>
        <v>5.4547412163414265E-2</v>
      </c>
      <c r="N72" s="1488">
        <f t="shared" ref="N72" ca="1" si="193">AVERAGE(AL72:AU72)</f>
        <v>4.1944170739346885E-2</v>
      </c>
      <c r="O72" s="1493">
        <f t="shared" ref="O72" ca="1" si="194">AO72</f>
        <v>4.6130056006362885E-2</v>
      </c>
      <c r="P72" s="1212"/>
      <c r="Q72" s="1044" t="s">
        <v>1082</v>
      </c>
      <c r="R72" s="1156"/>
      <c r="S72" s="1156"/>
      <c r="T72" s="1156"/>
      <c r="U72" s="1156"/>
      <c r="V72" s="1156"/>
      <c r="W72" s="1156"/>
      <c r="X72" s="1156"/>
      <c r="Y72" s="1280"/>
      <c r="Z72" s="1280">
        <f t="shared" si="188"/>
        <v>7.5884923874933952E-2</v>
      </c>
      <c r="AA72" s="1280">
        <f t="shared" si="188"/>
        <v>5.2542297218874268E-2</v>
      </c>
      <c r="AB72" s="1280">
        <f t="shared" si="188"/>
        <v>4.9580117058274586E-2</v>
      </c>
      <c r="AC72" s="1280">
        <f t="shared" si="188"/>
        <v>2.1537964197680504E-2</v>
      </c>
      <c r="AD72" s="1280">
        <f t="shared" si="188"/>
        <v>-1.4161392405063311E-2</v>
      </c>
      <c r="AE72" s="1281">
        <f t="shared" si="188"/>
        <v>-5.3888130968622105E-2</v>
      </c>
      <c r="AF72" s="1280">
        <f t="shared" si="188"/>
        <v>7.7187327706857989E-3</v>
      </c>
      <c r="AG72" s="1280">
        <f t="shared" si="188"/>
        <v>1.6623879466352465E-2</v>
      </c>
      <c r="AH72" s="1280">
        <f t="shared" si="188"/>
        <v>2.2064911409173771E-2</v>
      </c>
      <c r="AI72" s="1280">
        <f t="shared" si="188"/>
        <v>9.9072461420065538E-2</v>
      </c>
      <c r="AJ72" s="1280">
        <f t="shared" si="188"/>
        <v>1.4372581536761242E-3</v>
      </c>
      <c r="AK72" s="1382">
        <f t="shared" si="188"/>
        <v>4.7508647972326568E-2</v>
      </c>
      <c r="AL72" s="1280">
        <f t="shared" si="188"/>
        <v>6.2455169934815702E-2</v>
      </c>
      <c r="AM72" s="1280">
        <f t="shared" si="189"/>
        <v>5.846313062025521E-2</v>
      </c>
      <c r="AN72" s="1280">
        <f t="shared" si="189"/>
        <v>4.2723935935171875E-2</v>
      </c>
      <c r="AO72" s="1280">
        <f t="shared" ca="1" si="188"/>
        <v>4.6130056006362885E-2</v>
      </c>
      <c r="AP72" s="1280">
        <f t="shared" ca="1" si="188"/>
        <v>3.4973559342386107E-2</v>
      </c>
      <c r="AQ72" s="1280">
        <f t="shared" ca="1" si="188"/>
        <v>3.4962379426181522E-2</v>
      </c>
      <c r="AR72" s="1280">
        <f ca="1">+AR49/AQ49-1</f>
        <v>3.4950989716010294E-2</v>
      </c>
      <c r="AS72" s="1280">
        <f ca="1">+AS49/AR49-1</f>
        <v>3.4939387131990962E-2</v>
      </c>
      <c r="AT72" s="1280">
        <f t="shared" ref="AT72:AU72" ca="1" si="195">+AT49/AS49-1</f>
        <v>3.4927568538324127E-2</v>
      </c>
      <c r="AU72" s="1280">
        <f t="shared" ca="1" si="195"/>
        <v>3.491553074197018E-2</v>
      </c>
      <c r="AV72" s="1083"/>
      <c r="AW72" s="1083"/>
      <c r="AX72" s="1083"/>
      <c r="AY72" s="1083"/>
      <c r="AZ72" s="1083"/>
      <c r="BA72" s="1083"/>
      <c r="BB72" s="1083"/>
      <c r="BC72" s="1083"/>
      <c r="BD72" s="1083"/>
      <c r="BE72" s="1083"/>
      <c r="BF72" s="1083"/>
      <c r="BG72" s="1083"/>
      <c r="BH72" s="1083"/>
      <c r="BI72" s="1083"/>
      <c r="BJ72" s="1083"/>
      <c r="BK72" s="1083"/>
      <c r="BL72" s="1083"/>
      <c r="BM72" s="1083"/>
      <c r="BN72" s="1083"/>
      <c r="BO72" s="1083"/>
      <c r="BP72" s="1083"/>
      <c r="BQ72" s="1083"/>
      <c r="BR72" s="1083"/>
      <c r="BS72" s="1083"/>
      <c r="BT72" s="1083"/>
      <c r="BU72" s="1083"/>
      <c r="BV72" s="1083"/>
      <c r="BW72" s="1083"/>
      <c r="BX72" s="1083"/>
      <c r="BY72" s="1083"/>
      <c r="BZ72" s="1083"/>
      <c r="CA72" s="1083"/>
      <c r="CB72" s="1083"/>
      <c r="CC72" s="1083"/>
      <c r="CD72" s="1083"/>
      <c r="CE72" s="1083"/>
      <c r="CF72" s="1083"/>
      <c r="CG72" s="1083"/>
      <c r="CH72" s="1083"/>
      <c r="CI72" s="1083"/>
      <c r="CJ72" s="1083"/>
      <c r="CK72" s="1284"/>
      <c r="CL72" s="1284"/>
      <c r="CM72" s="1284"/>
      <c r="CN72" s="1284"/>
      <c r="CO72" s="1284"/>
      <c r="CP72" s="1284"/>
      <c r="CQ72" s="1284"/>
      <c r="CR72" s="1284"/>
      <c r="CS72" s="1284"/>
      <c r="CT72" s="1284"/>
      <c r="CU72" s="1284"/>
      <c r="CV72" s="1284"/>
      <c r="CW72" s="1284"/>
      <c r="CX72" s="1284"/>
      <c r="CY72" s="1284"/>
      <c r="CZ72" s="1284"/>
      <c r="DA72" s="1284"/>
      <c r="DB72" s="1284"/>
      <c r="DC72" s="1284"/>
      <c r="DD72" s="1284"/>
      <c r="DE72" s="1284"/>
      <c r="DF72" s="1284"/>
      <c r="DG72" s="1284"/>
      <c r="DH72" s="1284"/>
      <c r="DI72" s="1284"/>
      <c r="DJ72" s="1284"/>
      <c r="DK72" s="1284"/>
      <c r="DL72" s="1284"/>
      <c r="DM72" s="1284"/>
      <c r="DN72" s="1284"/>
      <c r="DO72" s="1284"/>
      <c r="DP72" s="1284"/>
      <c r="DQ72" s="1284"/>
      <c r="DR72" s="1284"/>
      <c r="DS72" s="1284"/>
      <c r="DT72" s="1284"/>
      <c r="DU72" s="1284"/>
      <c r="DV72" s="1284"/>
      <c r="DW72" s="1284"/>
      <c r="DX72" s="1284"/>
      <c r="DY72" s="1284"/>
      <c r="DZ72" s="1284"/>
      <c r="EA72" s="1284"/>
      <c r="EB72" s="1284"/>
      <c r="EC72" s="1284"/>
      <c r="ED72" s="1284"/>
      <c r="EE72" s="1284"/>
      <c r="EF72" s="1284"/>
      <c r="EG72" s="1284"/>
      <c r="EH72" s="1284"/>
      <c r="EI72" s="1284"/>
      <c r="EJ72" s="1284"/>
      <c r="EK72" s="1284"/>
      <c r="EL72" s="1284"/>
      <c r="EM72" s="1284"/>
      <c r="EN72" s="1284"/>
      <c r="EO72" s="1284"/>
      <c r="EP72" s="1284"/>
      <c r="EQ72" s="1284"/>
      <c r="ER72" s="1284"/>
      <c r="ES72" s="1"/>
      <c r="ET72" s="1"/>
      <c r="EU72" s="1"/>
      <c r="EV72" s="1"/>
      <c r="EW72" s="1"/>
      <c r="EX72" s="1"/>
      <c r="EY72" s="1"/>
      <c r="EZ72" s="1"/>
      <c r="FA72" s="1"/>
      <c r="FB72" s="1"/>
      <c r="FC72" s="1"/>
      <c r="FD72" s="1"/>
      <c r="FE72" s="1"/>
      <c r="FF72" s="1"/>
      <c r="FG72" s="1"/>
      <c r="FH72" s="1"/>
      <c r="FI72" s="1"/>
      <c r="FJ72" s="1"/>
      <c r="FK72" s="1"/>
      <c r="FL72" s="1"/>
      <c r="FM72" s="1"/>
      <c r="FN72" s="1"/>
      <c r="FO72" s="1"/>
      <c r="FP72" s="1"/>
      <c r="FQ72" s="1"/>
      <c r="FR72" s="1"/>
      <c r="FS72" s="1"/>
      <c r="FT72" s="1"/>
      <c r="FU72" s="1"/>
      <c r="FV72" s="1"/>
      <c r="FW72" s="1"/>
      <c r="FX72" s="1"/>
      <c r="FY72" s="1"/>
      <c r="FZ72" s="1"/>
      <c r="GA72" s="1"/>
      <c r="GB72" s="1"/>
      <c r="GC72" s="1"/>
      <c r="GD72" s="1"/>
      <c r="GE72" s="1"/>
      <c r="GF72" s="1"/>
      <c r="GG72" s="1"/>
      <c r="GH72" s="1"/>
      <c r="GI72" s="1"/>
      <c r="GJ72" s="1"/>
      <c r="GK72" s="1"/>
      <c r="GL72" s="1"/>
      <c r="GM72" s="1"/>
      <c r="GN72" s="1"/>
      <c r="GO72" s="1"/>
      <c r="GP72" s="1"/>
      <c r="GQ72" s="1"/>
      <c r="GR72" s="1"/>
      <c r="GS72" s="1"/>
      <c r="GT72" s="1"/>
      <c r="GU72" s="1"/>
      <c r="GV72" s="1"/>
      <c r="GW72" s="1"/>
      <c r="GX72" s="1"/>
      <c r="GY72" s="1"/>
      <c r="GZ72" s="1"/>
      <c r="HA72" s="1"/>
      <c r="HB72" s="1"/>
      <c r="HC72" s="1"/>
      <c r="HD72" s="1"/>
      <c r="HE72" s="1"/>
      <c r="HF72" s="1"/>
      <c r="HG72" s="1"/>
      <c r="HH72" s="1"/>
      <c r="HI72" s="1"/>
      <c r="HJ72" s="1"/>
      <c r="HK72" s="1"/>
      <c r="HL72" s="1"/>
      <c r="HM72" s="1"/>
      <c r="HN72" s="1"/>
      <c r="HO72" s="1"/>
      <c r="HP72" s="1"/>
      <c r="HQ72" s="1"/>
      <c r="HR72" s="1"/>
      <c r="HS72" s="1"/>
      <c r="HT72" s="1"/>
      <c r="HU72" s="1"/>
      <c r="HV72" s="1"/>
      <c r="HW72" s="1"/>
      <c r="HX72" s="1"/>
      <c r="HY72" s="1"/>
      <c r="HZ72" s="1"/>
      <c r="IA72" s="1"/>
      <c r="IB72" s="1"/>
      <c r="IC72" s="1"/>
      <c r="ID72" s="1"/>
      <c r="IE72" s="1"/>
      <c r="IF72" s="1"/>
      <c r="IG72" s="1"/>
      <c r="IH72" s="1"/>
      <c r="II72" s="1"/>
      <c r="IJ72" s="1"/>
      <c r="IK72" s="1"/>
      <c r="IL72" s="1"/>
      <c r="IM72" s="1"/>
      <c r="IN72" s="1"/>
      <c r="IO72" s="1"/>
      <c r="IP72" s="1"/>
      <c r="IQ72" s="1"/>
      <c r="IR72" s="1"/>
      <c r="IS72" s="1"/>
      <c r="IT72" s="1"/>
      <c r="IU72" s="1"/>
      <c r="IV72" s="1"/>
      <c r="IW72" s="1"/>
      <c r="IX72" s="1"/>
      <c r="IY72" s="1"/>
      <c r="IZ72" s="1"/>
      <c r="JA72" s="1"/>
      <c r="JB72" s="1"/>
      <c r="JC72" s="1"/>
      <c r="JD72" s="1"/>
    </row>
    <row r="73" spans="2:264" s="1044" customFormat="1" ht="13.5" thickBot="1" x14ac:dyDescent="0.25">
      <c r="B73" s="350"/>
      <c r="C73" s="1213"/>
      <c r="D73" s="1215"/>
      <c r="E73" s="1194"/>
      <c r="F73" s="1044" t="s">
        <v>1063</v>
      </c>
      <c r="H73" s="1260">
        <v>0.04</v>
      </c>
      <c r="I73" s="1090"/>
      <c r="J73" s="1090"/>
      <c r="K73" s="1090"/>
      <c r="L73" s="1488">
        <f t="shared" ref="L73" si="196">AVERAGE(AI73,AJ73,AK73)</f>
        <v>4.3887558429411833E-2</v>
      </c>
      <c r="M73" s="1488">
        <f t="shared" ref="M73" si="197">AVERAGE(AL73,AM73,AN73)</f>
        <v>4.1312882980090469E-2</v>
      </c>
      <c r="N73" s="1488">
        <f t="shared" ref="N73" si="198">AVERAGE(AL73:AU73)</f>
        <v>3.3393864894027146E-2</v>
      </c>
      <c r="O73" s="1493">
        <f t="shared" ref="O73" si="199">AO73</f>
        <v>0.03</v>
      </c>
      <c r="P73" s="1212"/>
      <c r="Q73" s="1044" t="s">
        <v>1083</v>
      </c>
      <c r="R73" s="1156"/>
      <c r="S73" s="1156"/>
      <c r="T73" s="1156"/>
      <c r="U73" s="1156"/>
      <c r="V73" s="1156"/>
      <c r="W73" s="1156"/>
      <c r="X73" s="1156"/>
      <c r="Y73" s="1280"/>
      <c r="Z73" s="1280">
        <f t="shared" si="188"/>
        <v>5.4273029966703579E-2</v>
      </c>
      <c r="AA73" s="1280">
        <f t="shared" si="188"/>
        <v>5.2005474260448548E-2</v>
      </c>
      <c r="AB73" s="1280">
        <f t="shared" si="188"/>
        <v>4.413089162413697E-2</v>
      </c>
      <c r="AC73" s="1280">
        <f t="shared" si="188"/>
        <v>1.8018018018018056E-2</v>
      </c>
      <c r="AD73" s="1280">
        <f t="shared" si="188"/>
        <v>3.5115797401619187E-2</v>
      </c>
      <c r="AE73" s="1281">
        <f t="shared" si="188"/>
        <v>-1.5552523874488355E-2</v>
      </c>
      <c r="AF73" s="1280">
        <f t="shared" si="188"/>
        <v>1.5890613451589042E-2</v>
      </c>
      <c r="AG73" s="1280">
        <f t="shared" si="188"/>
        <v>3.3012004365223779E-2</v>
      </c>
      <c r="AH73" s="1280">
        <f t="shared" si="188"/>
        <v>6.0744783871820029E-3</v>
      </c>
      <c r="AI73" s="1280">
        <f t="shared" si="188"/>
        <v>3.762688134406722E-2</v>
      </c>
      <c r="AJ73" s="1280">
        <f t="shared" si="188"/>
        <v>3.0359251138471821E-2</v>
      </c>
      <c r="AK73" s="1382">
        <f t="shared" si="188"/>
        <v>6.3676542805696457E-2</v>
      </c>
      <c r="AL73" s="1280">
        <f t="shared" si="188"/>
        <v>5.2647014575815554E-2</v>
      </c>
      <c r="AM73" s="1280">
        <f t="shared" si="189"/>
        <v>2.875291320372253E-2</v>
      </c>
      <c r="AN73" s="1280">
        <f t="shared" si="189"/>
        <v>4.2538721160733317E-2</v>
      </c>
      <c r="AO73" s="1285">
        <v>0.03</v>
      </c>
      <c r="AP73" s="1511">
        <f>AO73</f>
        <v>0.03</v>
      </c>
      <c r="AQ73" s="1511">
        <f t="shared" ref="AQ73:AU73" si="200">AP73</f>
        <v>0.03</v>
      </c>
      <c r="AR73" s="1511">
        <f t="shared" si="200"/>
        <v>0.03</v>
      </c>
      <c r="AS73" s="1511">
        <f t="shared" si="200"/>
        <v>0.03</v>
      </c>
      <c r="AT73" s="1511">
        <f t="shared" si="200"/>
        <v>0.03</v>
      </c>
      <c r="AU73" s="1511">
        <f t="shared" si="200"/>
        <v>0.03</v>
      </c>
      <c r="AV73" s="1083"/>
      <c r="AW73" s="1083"/>
      <c r="AX73" s="1083"/>
      <c r="AY73" s="1083"/>
      <c r="AZ73" s="1083"/>
      <c r="BA73" s="1083"/>
      <c r="BB73" s="1083"/>
      <c r="BC73" s="1083"/>
      <c r="BD73" s="1083"/>
      <c r="BE73" s="1083"/>
      <c r="BF73" s="1083"/>
      <c r="BG73" s="1083"/>
      <c r="BH73" s="1083"/>
      <c r="BI73" s="1083"/>
      <c r="BJ73" s="1083"/>
      <c r="BK73" s="1083"/>
      <c r="BL73" s="1083"/>
      <c r="BM73" s="1083"/>
      <c r="BN73" s="1083"/>
      <c r="BO73" s="1083"/>
      <c r="BP73" s="1083"/>
      <c r="BQ73" s="1083"/>
      <c r="BR73" s="1083"/>
      <c r="BS73" s="1083"/>
      <c r="BT73" s="1083"/>
      <c r="BU73" s="1083"/>
      <c r="BV73" s="1083"/>
      <c r="BW73" s="1083"/>
      <c r="BX73" s="1083"/>
      <c r="BY73" s="1083"/>
      <c r="BZ73" s="1083"/>
      <c r="CA73" s="1083"/>
      <c r="CB73" s="1083"/>
      <c r="CC73" s="1083"/>
      <c r="CD73" s="1083"/>
      <c r="CE73" s="1083"/>
      <c r="CF73" s="1083"/>
      <c r="CG73" s="1083"/>
      <c r="CH73" s="1083"/>
      <c r="CI73" s="1083"/>
      <c r="CJ73" s="1083"/>
      <c r="CK73" s="1284"/>
      <c r="CL73" s="1284"/>
      <c r="CM73" s="1284"/>
      <c r="CN73" s="1284"/>
      <c r="CO73" s="1284"/>
      <c r="CP73" s="1284"/>
      <c r="CQ73" s="1284"/>
      <c r="CR73" s="1284"/>
      <c r="CS73" s="1284"/>
      <c r="CT73" s="1284"/>
      <c r="CU73" s="1284"/>
      <c r="CV73" s="1284"/>
      <c r="CW73" s="1284"/>
      <c r="CX73" s="1284"/>
      <c r="CY73" s="1284"/>
      <c r="CZ73" s="1284"/>
      <c r="DA73" s="1284"/>
      <c r="DB73" s="1284"/>
      <c r="DC73" s="1284"/>
      <c r="DD73" s="1284"/>
      <c r="DE73" s="1284"/>
      <c r="DF73" s="1284"/>
      <c r="DG73" s="1284"/>
      <c r="DH73" s="1284"/>
      <c r="DI73" s="1284"/>
      <c r="DJ73" s="1284"/>
      <c r="DK73" s="1284"/>
      <c r="DL73" s="1284"/>
      <c r="DM73" s="1284"/>
      <c r="DN73" s="1284"/>
      <c r="DO73" s="1284"/>
      <c r="DP73" s="1284"/>
      <c r="DQ73" s="1284"/>
      <c r="DR73" s="1284"/>
      <c r="DS73" s="1284"/>
      <c r="DT73" s="1284"/>
      <c r="DU73" s="1284"/>
      <c r="DV73" s="1284"/>
      <c r="DW73" s="1284"/>
      <c r="DX73" s="1284"/>
      <c r="DY73" s="1284"/>
      <c r="DZ73" s="1284"/>
      <c r="EA73" s="1284"/>
      <c r="EB73" s="1284"/>
      <c r="EC73" s="1284"/>
      <c r="ED73" s="1284"/>
      <c r="EE73" s="1284"/>
      <c r="EF73" s="1284"/>
      <c r="EG73" s="1284"/>
      <c r="EH73" s="1284"/>
      <c r="EI73" s="1284"/>
      <c r="EJ73" s="1284"/>
      <c r="EK73" s="1284"/>
      <c r="EL73" s="1284"/>
      <c r="EM73" s="1284"/>
      <c r="EN73" s="1284"/>
      <c r="EO73" s="1284"/>
      <c r="EP73" s="1284"/>
      <c r="EQ73" s="1284"/>
      <c r="ER73" s="1284"/>
      <c r="ES73" s="1"/>
      <c r="ET73" s="1"/>
      <c r="EU73" s="1"/>
      <c r="EV73" s="1"/>
      <c r="EW73" s="1"/>
      <c r="EX73" s="1"/>
      <c r="EY73" s="1"/>
      <c r="EZ73" s="1"/>
      <c r="FA73" s="1"/>
      <c r="FB73" s="1"/>
      <c r="FC73" s="1"/>
      <c r="FD73" s="1"/>
      <c r="FE73" s="1"/>
      <c r="FF73" s="1"/>
      <c r="FG73" s="1"/>
      <c r="FH73" s="1"/>
      <c r="FI73" s="1"/>
      <c r="FJ73" s="1"/>
      <c r="FK73" s="1"/>
      <c r="FL73" s="1"/>
      <c r="FM73" s="1"/>
      <c r="FN73" s="1"/>
      <c r="FO73" s="1"/>
      <c r="FP73" s="1"/>
      <c r="FQ73" s="1"/>
      <c r="FR73" s="1"/>
      <c r="FS73" s="1"/>
      <c r="FT73" s="1"/>
      <c r="FU73" s="1"/>
      <c r="FV73" s="1"/>
      <c r="FW73" s="1"/>
      <c r="FX73" s="1"/>
      <c r="FY73" s="1"/>
      <c r="FZ73" s="1"/>
      <c r="GA73" s="1"/>
      <c r="GB73" s="1"/>
      <c r="GC73" s="1"/>
      <c r="GD73" s="1"/>
      <c r="GE73" s="1"/>
      <c r="GF73" s="1"/>
      <c r="GG73" s="1"/>
      <c r="GH73" s="1"/>
      <c r="GI73" s="1"/>
      <c r="GJ73" s="1"/>
      <c r="GK73" s="1"/>
      <c r="GL73" s="1"/>
      <c r="GM73" s="1"/>
      <c r="GN73" s="1"/>
      <c r="GO73" s="1"/>
      <c r="GP73" s="1"/>
      <c r="GQ73" s="1"/>
      <c r="GR73" s="1"/>
      <c r="GS73" s="1"/>
      <c r="GT73" s="1"/>
      <c r="GU73" s="1"/>
      <c r="GV73" s="1"/>
      <c r="GW73" s="1"/>
      <c r="GX73" s="1"/>
      <c r="GY73" s="1"/>
      <c r="GZ73" s="1"/>
      <c r="HA73" s="1"/>
      <c r="HB73" s="1"/>
      <c r="HC73" s="1"/>
      <c r="HD73" s="1"/>
      <c r="HE73" s="1"/>
      <c r="HF73" s="1"/>
      <c r="HG73" s="1"/>
      <c r="HH73" s="1"/>
      <c r="HI73" s="1"/>
      <c r="HJ73" s="1"/>
      <c r="HK73" s="1"/>
      <c r="HL73" s="1"/>
      <c r="HM73" s="1"/>
      <c r="HN73" s="1"/>
      <c r="HO73" s="1"/>
      <c r="HP73" s="1"/>
      <c r="HQ73" s="1"/>
      <c r="HR73" s="1"/>
      <c r="HS73" s="1"/>
      <c r="HT73" s="1"/>
      <c r="HU73" s="1"/>
      <c r="HV73" s="1"/>
      <c r="HW73" s="1"/>
      <c r="HX73" s="1"/>
      <c r="HY73" s="1"/>
      <c r="HZ73" s="1"/>
      <c r="IA73" s="1"/>
      <c r="IB73" s="1"/>
      <c r="IC73" s="1"/>
      <c r="ID73" s="1"/>
      <c r="IE73" s="1"/>
      <c r="IF73" s="1"/>
      <c r="IG73" s="1"/>
      <c r="IH73" s="1"/>
      <c r="II73" s="1"/>
      <c r="IJ73" s="1"/>
      <c r="IK73" s="1"/>
      <c r="IL73" s="1"/>
      <c r="IM73" s="1"/>
      <c r="IN73" s="1"/>
      <c r="IO73" s="1"/>
      <c r="IP73" s="1"/>
      <c r="IQ73" s="1"/>
      <c r="IR73" s="1"/>
      <c r="IS73" s="1"/>
      <c r="IT73" s="1"/>
      <c r="IU73" s="1"/>
      <c r="IV73" s="1"/>
      <c r="IW73" s="1"/>
      <c r="IX73" s="1"/>
      <c r="IY73" s="1"/>
      <c r="IZ73" s="1"/>
      <c r="JA73" s="1"/>
      <c r="JB73" s="1"/>
      <c r="JC73" s="1"/>
      <c r="JD73" s="1"/>
    </row>
    <row r="74" spans="2:264" s="1044" customFormat="1" ht="13.5" thickBot="1" x14ac:dyDescent="0.25">
      <c r="B74" s="350"/>
      <c r="C74" s="1213"/>
      <c r="D74" s="1215"/>
      <c r="E74" s="1194"/>
      <c r="F74" s="1044" t="s">
        <v>1066</v>
      </c>
      <c r="G74" s="1264"/>
      <c r="H74" s="1260">
        <v>4.4999999999999998E-2</v>
      </c>
      <c r="I74" s="1090"/>
      <c r="J74" s="1090"/>
      <c r="K74" s="1090"/>
      <c r="L74" s="1090"/>
      <c r="M74" s="1090"/>
      <c r="N74" s="1090"/>
      <c r="O74" s="1090"/>
      <c r="P74" s="1212"/>
      <c r="Q74" s="1046" t="s">
        <v>566</v>
      </c>
      <c r="R74" s="1074" t="s">
        <v>1010</v>
      </c>
      <c r="S74" s="1286">
        <f ca="1">AVERAGE(AL74:AU74)</f>
        <v>0.43179532723458192</v>
      </c>
      <c r="T74" s="1287"/>
      <c r="U74" s="1287"/>
      <c r="V74" s="1287"/>
      <c r="W74" s="1287"/>
      <c r="X74" s="1129"/>
      <c r="Y74" s="1129">
        <f>-Y50/Y49</f>
        <v>0.43273617981845253</v>
      </c>
      <c r="Z74" s="1129">
        <f>-Z50/Z49</f>
        <v>0.42404356948350519</v>
      </c>
      <c r="AA74" s="1129">
        <f>-AA50/AA49</f>
        <v>0.423827296632454</v>
      </c>
      <c r="AB74" s="1129">
        <f>-AB50/AB49</f>
        <v>0.42162686386228632</v>
      </c>
      <c r="AC74" s="1129">
        <f t="shared" ref="AC74:AH74" si="201">-AC50/AC49</f>
        <v>0.42017405063291141</v>
      </c>
      <c r="AD74" s="1129">
        <f t="shared" si="201"/>
        <v>0.44117647058823528</v>
      </c>
      <c r="AE74" s="1130">
        <f t="shared" si="201"/>
        <v>0.45905254675770812</v>
      </c>
      <c r="AF74" s="1129">
        <f t="shared" si="201"/>
        <v>0.46277513572661083</v>
      </c>
      <c r="AG74" s="1129">
        <f t="shared" si="201"/>
        <v>0.47023513826792518</v>
      </c>
      <c r="AH74" s="1129">
        <f t="shared" si="201"/>
        <v>0.46287820486856496</v>
      </c>
      <c r="AI74" s="1129">
        <f>-AI50/AI49</f>
        <v>0.43700018426386583</v>
      </c>
      <c r="AJ74" s="1129">
        <f>-AJ50/AJ49</f>
        <v>0.44962096121292411</v>
      </c>
      <c r="AK74" s="1369">
        <f>-AK50/AK49</f>
        <v>0.45656068856490428</v>
      </c>
      <c r="AL74" s="1129">
        <f>-AL50/AL49</f>
        <v>0.45234590539948238</v>
      </c>
      <c r="AM74" s="1129">
        <f t="shared" ref="AM74" si="202">-AM50/AM49</f>
        <v>0.4396489159549643</v>
      </c>
      <c r="AN74" s="1129">
        <f t="shared" ref="AN74" si="203">-AN50/AN49</f>
        <v>0.43957082292190497</v>
      </c>
      <c r="AO74" s="1129">
        <f t="shared" ref="AO74:AU74" ca="1" si="204">-AO50/AO49</f>
        <v>0.43279317424258029</v>
      </c>
      <c r="AP74" s="1129">
        <f t="shared" ca="1" si="204"/>
        <v>0.43071338919334401</v>
      </c>
      <c r="AQ74" s="1129">
        <f t="shared" ca="1" si="204"/>
        <v>0.42864822885167153</v>
      </c>
      <c r="AR74" s="1129">
        <f t="shared" ca="1" si="204"/>
        <v>0.42659766511105135</v>
      </c>
      <c r="AS74" s="1129">
        <f t="shared" ca="1" si="204"/>
        <v>0.42456167049746713</v>
      </c>
      <c r="AT74" s="1129">
        <f t="shared" ca="1" si="204"/>
        <v>0.4225402181816531</v>
      </c>
      <c r="AU74" s="1129">
        <f t="shared" ca="1" si="204"/>
        <v>0.42053328199169993</v>
      </c>
      <c r="AV74" s="1083"/>
      <c r="AW74" s="1083"/>
      <c r="AX74" s="1083"/>
      <c r="AY74" s="1083"/>
      <c r="AZ74" s="1083"/>
      <c r="BA74" s="1083"/>
      <c r="BB74" s="1083"/>
      <c r="BC74" s="1083"/>
      <c r="BD74" s="1083"/>
      <c r="BE74" s="1083"/>
      <c r="BF74" s="1083"/>
      <c r="BG74" s="1083"/>
      <c r="BH74" s="1083"/>
      <c r="BI74" s="1083"/>
      <c r="BJ74" s="1083"/>
      <c r="BK74" s="1083"/>
      <c r="BL74" s="1083"/>
      <c r="BM74" s="1083"/>
      <c r="BN74" s="1083"/>
      <c r="BO74" s="1083"/>
      <c r="BP74" s="1083"/>
      <c r="BQ74" s="1083"/>
      <c r="BR74" s="1083"/>
      <c r="BS74" s="1083"/>
      <c r="BT74" s="1083"/>
      <c r="BU74" s="1083"/>
      <c r="BV74" s="1083"/>
      <c r="BW74" s="1083"/>
      <c r="BX74" s="1083"/>
      <c r="BY74" s="1083"/>
      <c r="BZ74" s="1083"/>
      <c r="CA74" s="1083"/>
      <c r="CB74" s="1083"/>
      <c r="CC74" s="1083"/>
      <c r="CD74" s="1083"/>
      <c r="CE74" s="1083"/>
      <c r="CF74" s="1083"/>
      <c r="CG74" s="1083"/>
      <c r="CH74" s="1083"/>
      <c r="CI74" s="1083"/>
      <c r="CJ74" s="1083"/>
      <c r="CK74" s="1288"/>
      <c r="CL74" s="1288"/>
      <c r="CM74" s="1288"/>
      <c r="CN74" s="1288"/>
      <c r="CO74" s="1288"/>
      <c r="CP74" s="1288"/>
      <c r="CQ74" s="1288"/>
      <c r="CR74" s="1288"/>
      <c r="CS74" s="1288"/>
      <c r="CT74" s="1288"/>
      <c r="CU74" s="1288"/>
      <c r="CV74" s="1288"/>
      <c r="CW74" s="1288"/>
      <c r="CX74" s="1288"/>
      <c r="CY74" s="1288"/>
      <c r="CZ74" s="1288"/>
      <c r="DA74" s="1288"/>
      <c r="DB74" s="1288"/>
      <c r="DC74" s="1288"/>
      <c r="DD74" s="1288"/>
      <c r="DE74" s="1288"/>
      <c r="DF74" s="1288"/>
      <c r="DG74" s="1288"/>
      <c r="DH74" s="1288"/>
      <c r="DI74" s="1288"/>
      <c r="DJ74" s="1288"/>
      <c r="DK74" s="1288"/>
      <c r="DL74" s="1288"/>
      <c r="DM74" s="1288"/>
      <c r="DN74" s="1288"/>
      <c r="DO74" s="1288"/>
      <c r="DP74" s="1288"/>
      <c r="DQ74" s="1288"/>
      <c r="DR74" s="1288"/>
      <c r="DS74" s="1288"/>
      <c r="DT74" s="1288"/>
      <c r="DU74" s="1288"/>
      <c r="DV74" s="1288"/>
      <c r="DW74" s="1288"/>
      <c r="DX74" s="1288"/>
      <c r="DY74" s="1288"/>
      <c r="DZ74" s="1288"/>
      <c r="EA74" s="1288"/>
      <c r="EB74" s="1288"/>
      <c r="EC74" s="1288"/>
      <c r="ED74" s="1288"/>
      <c r="EE74" s="1288"/>
      <c r="EF74" s="1288"/>
      <c r="EG74" s="1288"/>
      <c r="EH74" s="1288"/>
      <c r="EI74" s="1288"/>
      <c r="EJ74" s="1288"/>
      <c r="EK74" s="1288"/>
      <c r="EL74" s="1288"/>
      <c r="EM74" s="1288"/>
      <c r="EN74" s="1288"/>
      <c r="EO74" s="1288"/>
      <c r="EP74" s="1288"/>
      <c r="EQ74" s="1288"/>
      <c r="ER74" s="1288"/>
      <c r="ES74" s="1"/>
      <c r="ET74" s="1"/>
      <c r="EU74" s="1"/>
      <c r="EV74" s="1"/>
      <c r="EW74" s="1"/>
      <c r="EX74" s="1"/>
      <c r="EY74" s="1"/>
      <c r="EZ74" s="1"/>
      <c r="FA74" s="1"/>
      <c r="FB74" s="1"/>
      <c r="FC74" s="1"/>
      <c r="FD74" s="1"/>
      <c r="FE74" s="1"/>
      <c r="FF74" s="1"/>
      <c r="FG74" s="1"/>
      <c r="FH74" s="1"/>
      <c r="FI74" s="1"/>
      <c r="FJ74" s="1"/>
      <c r="FK74" s="1"/>
      <c r="FL74" s="1"/>
      <c r="FM74" s="1"/>
      <c r="FN74" s="1"/>
      <c r="FO74" s="1"/>
      <c r="FP74" s="1"/>
      <c r="FQ74" s="1"/>
      <c r="FR74" s="1"/>
      <c r="FS74" s="1"/>
      <c r="FT74" s="1"/>
      <c r="FU74" s="1"/>
      <c r="FV74" s="1"/>
      <c r="FW74" s="1"/>
      <c r="FX74" s="1"/>
      <c r="FY74" s="1"/>
      <c r="FZ74" s="1"/>
      <c r="GA74" s="1"/>
      <c r="GB74" s="1"/>
      <c r="GC74" s="1"/>
      <c r="GD74" s="1"/>
      <c r="GE74" s="1"/>
      <c r="GF74" s="1"/>
      <c r="GG74" s="1"/>
      <c r="GH74" s="1"/>
      <c r="GI74" s="1"/>
      <c r="GJ74" s="1"/>
      <c r="GK74" s="1"/>
      <c r="GL74" s="1"/>
      <c r="GM74" s="1"/>
      <c r="GN74" s="1"/>
      <c r="GO74" s="1"/>
      <c r="GP74" s="1"/>
      <c r="GQ74" s="1"/>
      <c r="GR74" s="1"/>
      <c r="GS74" s="1"/>
      <c r="GT74" s="1"/>
      <c r="GU74" s="1"/>
      <c r="GV74" s="1"/>
      <c r="GW74" s="1"/>
      <c r="GX74" s="1"/>
      <c r="GY74" s="1"/>
      <c r="GZ74" s="1"/>
      <c r="HA74" s="1"/>
      <c r="HB74" s="1"/>
      <c r="HC74" s="1"/>
      <c r="HD74" s="1"/>
      <c r="HE74" s="1"/>
      <c r="HF74" s="1"/>
      <c r="HG74" s="1"/>
      <c r="HH74" s="1"/>
      <c r="HI74" s="1"/>
      <c r="HJ74" s="1"/>
      <c r="HK74" s="1"/>
      <c r="HL74" s="1"/>
      <c r="HM74" s="1"/>
      <c r="HN74" s="1"/>
      <c r="HO74" s="1"/>
      <c r="HP74" s="1"/>
      <c r="HQ74" s="1"/>
      <c r="HR74" s="1"/>
      <c r="HS74" s="1"/>
      <c r="HT74" s="1"/>
      <c r="HU74" s="1"/>
      <c r="HV74" s="1"/>
      <c r="HW74" s="1"/>
      <c r="HX74" s="1"/>
      <c r="HY74" s="1"/>
      <c r="HZ74" s="1"/>
      <c r="IA74" s="1"/>
      <c r="IB74" s="1"/>
      <c r="IC74" s="1"/>
      <c r="ID74" s="1"/>
      <c r="IE74" s="1"/>
      <c r="IF74" s="1"/>
      <c r="IG74" s="1"/>
      <c r="IH74" s="1"/>
      <c r="II74" s="1"/>
      <c r="IJ74" s="1"/>
      <c r="IK74" s="1"/>
      <c r="IL74" s="1"/>
      <c r="IM74" s="1"/>
      <c r="IN74" s="1"/>
      <c r="IO74" s="1"/>
      <c r="IP74" s="1"/>
      <c r="IQ74" s="1"/>
      <c r="IR74" s="1"/>
      <c r="IS74" s="1"/>
      <c r="IT74" s="1"/>
      <c r="IU74" s="1"/>
      <c r="IV74" s="1"/>
      <c r="IW74" s="1"/>
      <c r="IX74" s="1"/>
      <c r="IY74" s="1"/>
      <c r="IZ74" s="1"/>
      <c r="JA74" s="1"/>
      <c r="JB74" s="1"/>
      <c r="JC74" s="1"/>
      <c r="JD74" s="1"/>
    </row>
    <row r="75" spans="2:264" s="1044" customFormat="1" x14ac:dyDescent="0.2">
      <c r="B75" s="350"/>
      <c r="C75" s="1213"/>
      <c r="D75" s="1215"/>
      <c r="E75" s="1194"/>
      <c r="F75" s="1044" t="s">
        <v>1068</v>
      </c>
      <c r="H75" s="1267">
        <f>AVERAGE(AN12:AU12)</f>
        <v>4.247769798144202E-2</v>
      </c>
      <c r="I75" s="1090"/>
      <c r="J75" s="1090"/>
      <c r="K75" s="1492">
        <f>AVERAGE(MODEL!BV871,MODEL!BZ871,MODEL!CD871,MODEL!CH871,MODEL!CL871,MODEL!CP871,MODEL!CT871,MODEL!CX871,MODEL!DB871,MODEL!DF871)</f>
        <v>1.254304434516892E-3</v>
      </c>
      <c r="L75" s="1489">
        <f t="shared" ref="L75:L76" si="205">AVERAGE(AI75,AJ75,AK75)</f>
        <v>9.1538451798085254E-4</v>
      </c>
      <c r="M75" s="1489">
        <f t="shared" ref="M75:M76" si="206">AVERAGE(AL75,AM75,AN75)</f>
        <v>8.713832540326623E-4</v>
      </c>
      <c r="N75" s="1489">
        <f t="shared" ref="N75:N76" si="207">AVERAGE(AL75:AU75)</f>
        <v>1.2924941386942333E-3</v>
      </c>
      <c r="O75" s="1492">
        <f t="shared" ref="O75:O76" si="208">AO75</f>
        <v>1.0651033753083892E-3</v>
      </c>
      <c r="P75" s="1212"/>
      <c r="Q75" s="1044" t="s">
        <v>1084</v>
      </c>
      <c r="R75" s="1074" t="s">
        <v>1010</v>
      </c>
      <c r="S75" s="1286">
        <f>AVERAGE(AL75:AU75)</f>
        <v>1.2924941386942333E-3</v>
      </c>
      <c r="T75" s="1156"/>
      <c r="U75" s="1156"/>
      <c r="V75" s="1156"/>
      <c r="W75" s="1156"/>
      <c r="X75" s="1254"/>
      <c r="Y75" s="1254">
        <f t="shared" ref="Y75:AU75" si="209">-Y52/Y9</f>
        <v>1.9021801234483256E-3</v>
      </c>
      <c r="Z75" s="1254">
        <f t="shared" si="209"/>
        <v>1.5671068707687704E-3</v>
      </c>
      <c r="AA75" s="1254">
        <f t="shared" si="209"/>
        <v>1.5290046612976111E-3</v>
      </c>
      <c r="AB75" s="1254">
        <f t="shared" si="209"/>
        <v>1.7898621977113704E-3</v>
      </c>
      <c r="AC75" s="1254">
        <f t="shared" si="209"/>
        <v>1.4857490210338643E-3</v>
      </c>
      <c r="AD75" s="1254">
        <f t="shared" si="209"/>
        <v>1.441726972453528E-3</v>
      </c>
      <c r="AE75" s="1255">
        <f t="shared" si="209"/>
        <v>1.5781596372203891E-3</v>
      </c>
      <c r="AF75" s="1254">
        <f t="shared" si="209"/>
        <v>3.2277582078378891E-3</v>
      </c>
      <c r="AG75" s="1254">
        <f t="shared" si="209"/>
        <v>6.7704145106847898E-4</v>
      </c>
      <c r="AH75" s="1254">
        <f t="shared" si="209"/>
        <v>-4.0340669609915893E-4</v>
      </c>
      <c r="AI75" s="1254">
        <f>-AI52/AI9</f>
        <v>1.1872475893409168E-3</v>
      </c>
      <c r="AJ75" s="1254">
        <f>-AJ52/AJ9</f>
        <v>8.4425673826356816E-4</v>
      </c>
      <c r="AK75" s="1380">
        <f>-AK52/AK9</f>
        <v>7.1464922633807234E-4</v>
      </c>
      <c r="AL75" s="1254">
        <f>-AL52/AL9</f>
        <v>6.9056896062600433E-4</v>
      </c>
      <c r="AM75" s="1254">
        <f t="shared" ref="AM75" si="210">-AM52/AM9</f>
        <v>9.3590031201751744E-4</v>
      </c>
      <c r="AN75" s="1254">
        <f t="shared" ref="AN75" si="211">-AN52/AN9</f>
        <v>9.8768048945446513E-4</v>
      </c>
      <c r="AO75" s="1254">
        <f t="shared" ref="AO75" si="212">-AO52/AO9</f>
        <v>1.0651033753083892E-3</v>
      </c>
      <c r="AP75" s="1254">
        <f t="shared" si="209"/>
        <v>1.0686605564181135E-3</v>
      </c>
      <c r="AQ75" s="1254">
        <f t="shared" si="209"/>
        <v>1.0722243861411419E-3</v>
      </c>
      <c r="AR75" s="1254">
        <f t="shared" si="209"/>
        <v>1.0757948420304058E-3</v>
      </c>
      <c r="AS75" s="1254">
        <f t="shared" si="209"/>
        <v>2.4671357746344751E-3</v>
      </c>
      <c r="AT75" s="1254">
        <f t="shared" si="209"/>
        <v>2.4753269516301435E-3</v>
      </c>
      <c r="AU75" s="1254">
        <f t="shared" si="209"/>
        <v>1.0865457386816779E-3</v>
      </c>
      <c r="AV75" s="1083"/>
      <c r="AW75" s="1083"/>
      <c r="AX75" s="1083"/>
      <c r="AY75" s="1083"/>
      <c r="AZ75" s="1083"/>
      <c r="BA75" s="1083"/>
      <c r="BB75" s="1083"/>
      <c r="BC75" s="1083"/>
      <c r="BD75" s="1083"/>
      <c r="BE75" s="1083"/>
      <c r="BF75" s="1083"/>
      <c r="BG75" s="1083"/>
      <c r="BH75" s="1083"/>
      <c r="BI75" s="1083"/>
      <c r="BJ75" s="1083"/>
      <c r="BK75" s="1083"/>
      <c r="BL75" s="1083"/>
      <c r="BM75" s="1083"/>
      <c r="BN75" s="1083"/>
      <c r="BO75" s="1083"/>
      <c r="BP75" s="1083"/>
      <c r="BQ75" s="1083"/>
      <c r="BR75" s="1083"/>
      <c r="BS75" s="1083"/>
      <c r="BT75" s="1083"/>
      <c r="BU75" s="1083"/>
      <c r="BV75" s="1083"/>
      <c r="BW75" s="1083"/>
      <c r="BX75" s="1083"/>
      <c r="BY75" s="1083"/>
      <c r="BZ75" s="1083"/>
      <c r="CA75" s="1083"/>
      <c r="CB75" s="1083"/>
      <c r="CC75" s="1083"/>
      <c r="CD75" s="1083"/>
      <c r="CE75" s="1083"/>
      <c r="CF75" s="1083"/>
      <c r="CG75" s="1083"/>
      <c r="CH75" s="1083"/>
      <c r="CI75" s="1083"/>
      <c r="CJ75" s="1083"/>
      <c r="CK75" s="1129"/>
      <c r="CL75" s="1129"/>
      <c r="CM75" s="1129"/>
      <c r="CN75" s="1129"/>
      <c r="CO75" s="1129"/>
      <c r="CP75" s="1129"/>
      <c r="CQ75" s="1129"/>
      <c r="CR75" s="1129"/>
      <c r="CS75" s="1129"/>
      <c r="CT75" s="1129"/>
      <c r="CU75" s="1129"/>
      <c r="CV75" s="1129"/>
      <c r="CW75" s="1129"/>
      <c r="CX75" s="1129"/>
      <c r="CY75" s="1129"/>
      <c r="CZ75" s="1129"/>
      <c r="DA75" s="1129"/>
      <c r="DB75" s="1129"/>
      <c r="DC75" s="1129"/>
      <c r="DD75" s="1129"/>
      <c r="DE75" s="1129"/>
      <c r="DF75" s="1129"/>
      <c r="DG75" s="1129"/>
      <c r="DH75" s="1129"/>
      <c r="DI75" s="1129"/>
      <c r="DJ75" s="1129"/>
      <c r="DK75" s="1129"/>
      <c r="DL75" s="1129"/>
      <c r="DM75" s="1129"/>
      <c r="DN75" s="1129"/>
      <c r="DO75" s="1129"/>
      <c r="DP75" s="1129"/>
      <c r="DQ75" s="1129"/>
      <c r="DR75" s="1129"/>
      <c r="DS75" s="1129"/>
      <c r="DT75" s="1129"/>
      <c r="DU75" s="1129"/>
      <c r="DV75" s="1129"/>
      <c r="DW75" s="1129"/>
      <c r="DX75" s="1129"/>
      <c r="DY75" s="1129"/>
      <c r="DZ75" s="1129"/>
      <c r="EA75" s="1129"/>
      <c r="EB75" s="1129"/>
      <c r="EC75" s="1129"/>
      <c r="ED75" s="1129"/>
      <c r="EE75" s="1129"/>
      <c r="EF75" s="1129"/>
      <c r="EG75" s="1129"/>
      <c r="EH75" s="1129"/>
      <c r="EI75" s="1129"/>
      <c r="EJ75" s="1129"/>
      <c r="EK75" s="1129"/>
      <c r="EL75" s="1129"/>
      <c r="EM75" s="1129"/>
      <c r="EN75" s="1129"/>
      <c r="EO75" s="1129"/>
      <c r="EP75" s="1129"/>
      <c r="EQ75" s="1129"/>
      <c r="ER75" s="1129"/>
      <c r="ES75" s="1"/>
      <c r="ET75" s="1"/>
      <c r="EU75" s="1"/>
      <c r="EV75" s="1"/>
      <c r="EW75" s="1"/>
      <c r="EX75" s="1"/>
      <c r="EY75" s="1"/>
      <c r="EZ75" s="1"/>
      <c r="FA75" s="1"/>
      <c r="FB75" s="1"/>
      <c r="FC75" s="1"/>
      <c r="FD75" s="1"/>
      <c r="FE75" s="1"/>
      <c r="FF75" s="1"/>
      <c r="FG75" s="1"/>
      <c r="FH75" s="1"/>
      <c r="FI75" s="1"/>
      <c r="FJ75" s="1"/>
      <c r="FK75" s="1"/>
      <c r="FL75" s="1"/>
      <c r="FM75" s="1"/>
      <c r="FN75" s="1"/>
      <c r="FO75" s="1"/>
      <c r="FP75" s="1"/>
      <c r="FQ75" s="1"/>
      <c r="FR75" s="1"/>
      <c r="FS75" s="1"/>
      <c r="FT75" s="1"/>
      <c r="FU75" s="1"/>
      <c r="FV75" s="1"/>
      <c r="FW75" s="1"/>
      <c r="FX75" s="1"/>
      <c r="FY75" s="1"/>
      <c r="FZ75" s="1"/>
      <c r="GA75" s="1"/>
      <c r="GB75" s="1"/>
      <c r="GC75" s="1"/>
      <c r="GD75" s="1"/>
      <c r="GE75" s="1"/>
      <c r="GF75" s="1"/>
      <c r="GG75" s="1"/>
      <c r="GH75" s="1"/>
      <c r="GI75" s="1"/>
      <c r="GJ75" s="1"/>
      <c r="GK75" s="1"/>
      <c r="GL75" s="1"/>
      <c r="GM75" s="1"/>
      <c r="GN75" s="1"/>
      <c r="GO75" s="1"/>
      <c r="GP75" s="1"/>
      <c r="GQ75" s="1"/>
      <c r="GR75" s="1"/>
      <c r="GS75" s="1"/>
      <c r="GT75" s="1"/>
      <c r="GU75" s="1"/>
      <c r="GV75" s="1"/>
      <c r="GW75" s="1"/>
      <c r="GX75" s="1"/>
      <c r="GY75" s="1"/>
      <c r="GZ75" s="1"/>
      <c r="HA75" s="1"/>
      <c r="HB75" s="1"/>
      <c r="HC75" s="1"/>
      <c r="HD75" s="1"/>
      <c r="HE75" s="1"/>
      <c r="HF75" s="1"/>
      <c r="HG75" s="1"/>
      <c r="HH75" s="1"/>
      <c r="HI75" s="1"/>
      <c r="HJ75" s="1"/>
      <c r="HK75" s="1"/>
      <c r="HL75" s="1"/>
      <c r="HM75" s="1"/>
      <c r="HN75" s="1"/>
      <c r="HO75" s="1"/>
      <c r="HP75" s="1"/>
      <c r="HQ75" s="1"/>
      <c r="HR75" s="1"/>
      <c r="HS75" s="1"/>
      <c r="HT75" s="1"/>
      <c r="HU75" s="1"/>
      <c r="HV75" s="1"/>
      <c r="HW75" s="1"/>
      <c r="HX75" s="1"/>
      <c r="HY75" s="1"/>
      <c r="HZ75" s="1"/>
      <c r="IA75" s="1"/>
      <c r="IB75" s="1"/>
      <c r="IC75" s="1"/>
      <c r="ID75" s="1"/>
      <c r="IE75" s="1"/>
      <c r="IF75" s="1"/>
      <c r="IG75" s="1"/>
      <c r="IH75" s="1"/>
      <c r="II75" s="1"/>
      <c r="IJ75" s="1"/>
      <c r="IK75" s="1"/>
      <c r="IL75" s="1"/>
      <c r="IM75" s="1"/>
      <c r="IN75" s="1"/>
      <c r="IO75" s="1"/>
      <c r="IP75" s="1"/>
      <c r="IQ75" s="1"/>
      <c r="IR75" s="1"/>
      <c r="IS75" s="1"/>
      <c r="IT75" s="1"/>
      <c r="IU75" s="1"/>
      <c r="IV75" s="1"/>
      <c r="IW75" s="1"/>
      <c r="IX75" s="1"/>
      <c r="IY75" s="1"/>
      <c r="IZ75" s="1"/>
      <c r="JA75" s="1"/>
      <c r="JB75" s="1"/>
      <c r="JC75" s="1"/>
      <c r="JD75" s="1"/>
    </row>
    <row r="76" spans="2:264" s="1044" customFormat="1" x14ac:dyDescent="0.2">
      <c r="B76" s="350"/>
      <c r="C76" s="1213"/>
      <c r="D76" s="1215"/>
      <c r="E76" s="1194"/>
      <c r="F76" s="1268" t="s">
        <v>1070</v>
      </c>
      <c r="G76" s="1269"/>
      <c r="H76" s="1270">
        <f ca="1">S68</f>
        <v>0.14344385465274051</v>
      </c>
      <c r="I76" s="1090"/>
      <c r="J76" s="1090"/>
      <c r="K76" s="1492">
        <f>AVERAGE(MODEL!BV879,MODEL!BZ879,MODEL!CD879,MODEL!CH879,MODEL!CL879,MODEL!CP879,MODEL!CT879,MODEL!CX879,MODEL!DB879,MODEL!DF879)</f>
        <v>3.9581180252644451E-3</v>
      </c>
      <c r="L76" s="1489">
        <f t="shared" si="205"/>
        <v>3.0370593371660238E-3</v>
      </c>
      <c r="M76" s="1489">
        <f t="shared" si="206"/>
        <v>2.8739954240874824E-3</v>
      </c>
      <c r="N76" s="1489">
        <f t="shared" si="207"/>
        <v>4.2121986272262452E-3</v>
      </c>
      <c r="O76" s="1492">
        <f t="shared" si="208"/>
        <v>3.5000000000000001E-3</v>
      </c>
      <c r="P76" s="1212"/>
      <c r="Q76" s="1044" t="s">
        <v>1085</v>
      </c>
      <c r="R76" s="1074" t="s">
        <v>1010</v>
      </c>
      <c r="S76" s="1286">
        <f>AVERAGE(AL76:AU76)</f>
        <v>4.2121986272262452E-3</v>
      </c>
      <c r="T76" s="1156"/>
      <c r="U76" s="1156"/>
      <c r="V76" s="1156"/>
      <c r="W76" s="1156"/>
      <c r="X76" s="1254"/>
      <c r="Y76" s="1254">
        <f t="shared" ref="Y76:AH76" si="213">-Y52/Y8</f>
        <v>5.5209433567539714E-3</v>
      </c>
      <c r="Z76" s="1254">
        <f t="shared" si="213"/>
        <v>4.5720152368524574E-3</v>
      </c>
      <c r="AA76" s="1254">
        <f t="shared" si="213"/>
        <v>4.4241249143609426E-3</v>
      </c>
      <c r="AB76" s="1254">
        <f t="shared" si="213"/>
        <v>5.1128407203569221E-3</v>
      </c>
      <c r="AC76" s="1254">
        <f t="shared" si="213"/>
        <v>4.3600310577554795E-3</v>
      </c>
      <c r="AD76" s="1254">
        <f t="shared" si="213"/>
        <v>4.3729710670616798E-3</v>
      </c>
      <c r="AE76" s="1255">
        <f t="shared" si="213"/>
        <v>5.0447135518395777E-3</v>
      </c>
      <c r="AF76" s="1254">
        <f t="shared" si="213"/>
        <v>1.0614261385671168E-2</v>
      </c>
      <c r="AG76" s="1254">
        <f t="shared" si="213"/>
        <v>2.3227537629449497E-3</v>
      </c>
      <c r="AH76" s="1254">
        <f t="shared" si="213"/>
        <v>-1.357569304483401E-3</v>
      </c>
      <c r="AI76" s="1254">
        <f>-AI52/AI8</f>
        <v>3.9425974885511665E-3</v>
      </c>
      <c r="AJ76" s="1254">
        <f>-AJ52/AJ8</f>
        <v>2.8115983691327164E-3</v>
      </c>
      <c r="AK76" s="1380">
        <f>-AK52/AK8</f>
        <v>2.356982153814188E-3</v>
      </c>
      <c r="AL76" s="1254">
        <f>-AL52/AL8</f>
        <v>2.2770303512269605E-3</v>
      </c>
      <c r="AM76" s="1254">
        <f t="shared" ref="AM76" si="214">-AM52/AM8</f>
        <v>3.0885173328200253E-3</v>
      </c>
      <c r="AN76" s="1254">
        <f t="shared" ref="AN76" si="215">-AN52/AN8</f>
        <v>3.256438588215462E-3</v>
      </c>
      <c r="AO76" s="1289">
        <v>3.5000000000000001E-3</v>
      </c>
      <c r="AP76" s="1289">
        <f>AO76</f>
        <v>3.5000000000000001E-3</v>
      </c>
      <c r="AQ76" s="1289">
        <f t="shared" ref="AQ76:AR76" si="216">AP76</f>
        <v>3.5000000000000001E-3</v>
      </c>
      <c r="AR76" s="1289">
        <f t="shared" si="216"/>
        <v>3.5000000000000001E-3</v>
      </c>
      <c r="AS76" s="1290">
        <v>8.0000000000000002E-3</v>
      </c>
      <c r="AT76" s="1290">
        <v>8.0000000000000002E-3</v>
      </c>
      <c r="AU76" s="1289">
        <f>AR76</f>
        <v>3.5000000000000001E-3</v>
      </c>
      <c r="AV76" s="1083"/>
      <c r="AW76" s="1083"/>
      <c r="AX76" s="1083"/>
      <c r="AY76" s="1083"/>
      <c r="AZ76" s="1083"/>
      <c r="BA76" s="1083"/>
      <c r="BB76" s="1083"/>
      <c r="BC76" s="1083"/>
      <c r="BD76" s="1083"/>
      <c r="BE76" s="1083"/>
      <c r="BF76" s="1083"/>
      <c r="BG76" s="1083"/>
      <c r="BH76" s="1083"/>
      <c r="BI76" s="1083"/>
      <c r="BJ76" s="1083"/>
      <c r="BK76" s="1083"/>
      <c r="BL76" s="1083"/>
      <c r="BM76" s="1083"/>
      <c r="BN76" s="1083"/>
      <c r="BO76" s="1083"/>
      <c r="BP76" s="1083"/>
      <c r="BQ76" s="1083"/>
      <c r="BR76" s="1083"/>
      <c r="BS76" s="1083"/>
      <c r="BT76" s="1083"/>
      <c r="BU76" s="1083"/>
      <c r="BV76" s="1083"/>
      <c r="BW76" s="1083"/>
      <c r="BX76" s="1083"/>
      <c r="BY76" s="1083"/>
      <c r="BZ76" s="1083"/>
      <c r="CA76" s="1083"/>
      <c r="CB76" s="1083"/>
      <c r="CC76" s="1083"/>
      <c r="CD76" s="1083"/>
      <c r="CE76" s="1083"/>
      <c r="CF76" s="1083"/>
      <c r="CG76" s="1083"/>
      <c r="CH76" s="1083"/>
      <c r="CI76" s="1083"/>
      <c r="CJ76" s="1083"/>
      <c r="CK76" s="1288"/>
      <c r="CL76" s="1288"/>
      <c r="CM76" s="1288"/>
      <c r="CN76" s="1288"/>
      <c r="CO76" s="1288"/>
      <c r="CP76" s="1288"/>
      <c r="CQ76" s="1288"/>
      <c r="CR76" s="1288"/>
      <c r="CS76" s="1288"/>
      <c r="CT76" s="1288"/>
      <c r="CU76" s="1288"/>
      <c r="CV76" s="1288"/>
      <c r="CW76" s="1288"/>
      <c r="CX76" s="1288"/>
      <c r="CY76" s="1288"/>
      <c r="CZ76" s="1288"/>
      <c r="DA76" s="1288"/>
      <c r="DB76" s="1288"/>
      <c r="DC76" s="1288"/>
      <c r="DD76" s="1288"/>
      <c r="DE76" s="1288"/>
      <c r="DF76" s="1288"/>
      <c r="DG76" s="1288"/>
      <c r="DH76" s="1288"/>
      <c r="DI76" s="1288"/>
      <c r="DJ76" s="1288"/>
      <c r="DK76" s="1288"/>
      <c r="DL76" s="1288"/>
      <c r="DM76" s="1288"/>
      <c r="DN76" s="1288"/>
      <c r="DO76" s="1288"/>
      <c r="DP76" s="1288"/>
      <c r="DQ76" s="1288"/>
      <c r="DR76" s="1288"/>
      <c r="DS76" s="1288"/>
      <c r="DT76" s="1288"/>
      <c r="DU76" s="1288"/>
      <c r="DV76" s="1288"/>
      <c r="DW76" s="1288"/>
      <c r="DX76" s="1288"/>
      <c r="DY76" s="1288"/>
      <c r="DZ76" s="1288"/>
      <c r="EA76" s="1288"/>
      <c r="EB76" s="1288"/>
      <c r="EC76" s="1288"/>
      <c r="ED76" s="1288"/>
      <c r="EE76" s="1288"/>
      <c r="EF76" s="1288"/>
      <c r="EG76" s="1288"/>
      <c r="EH76" s="1288"/>
      <c r="EI76" s="1288"/>
      <c r="EJ76" s="1288"/>
      <c r="EK76" s="1288"/>
      <c r="EL76" s="1288"/>
      <c r="EM76" s="1288"/>
      <c r="EN76" s="1288"/>
      <c r="EO76" s="1288"/>
      <c r="EP76" s="1288"/>
      <c r="EQ76" s="1288"/>
      <c r="ER76" s="1288"/>
      <c r="ES76" s="1"/>
      <c r="ET76" s="1"/>
      <c r="EU76" s="1"/>
      <c r="EV76" s="1"/>
      <c r="EW76" s="1"/>
      <c r="EX76" s="1"/>
      <c r="EY76" s="1"/>
      <c r="EZ76" s="1"/>
      <c r="FA76" s="1"/>
      <c r="FB76" s="1"/>
      <c r="FC76" s="1"/>
      <c r="FD76" s="1"/>
      <c r="FE76" s="1"/>
      <c r="FF76" s="1"/>
      <c r="FG76" s="1"/>
      <c r="FH76" s="1"/>
      <c r="FI76" s="1"/>
      <c r="FJ76" s="1"/>
      <c r="FK76" s="1"/>
      <c r="FL76" s="1"/>
      <c r="FM76" s="1"/>
      <c r="FN76" s="1"/>
      <c r="FO76" s="1"/>
      <c r="FP76" s="1"/>
      <c r="FQ76" s="1"/>
      <c r="FR76" s="1"/>
      <c r="FS76" s="1"/>
      <c r="FT76" s="1"/>
      <c r="FU76" s="1"/>
      <c r="FV76" s="1"/>
      <c r="FW76" s="1"/>
      <c r="FX76" s="1"/>
      <c r="FY76" s="1"/>
      <c r="FZ76" s="1"/>
      <c r="GA76" s="1"/>
      <c r="GB76" s="1"/>
      <c r="GC76" s="1"/>
      <c r="GD76" s="1"/>
      <c r="GE76" s="1"/>
      <c r="GF76" s="1"/>
      <c r="GG76" s="1"/>
      <c r="GH76" s="1"/>
      <c r="GI76" s="1"/>
      <c r="GJ76" s="1"/>
      <c r="GK76" s="1"/>
      <c r="GL76" s="1"/>
      <c r="GM76" s="1"/>
      <c r="GN76" s="1"/>
      <c r="GO76" s="1"/>
      <c r="GP76" s="1"/>
      <c r="GQ76" s="1"/>
      <c r="GR76" s="1"/>
      <c r="GS76" s="1"/>
      <c r="GT76" s="1"/>
      <c r="GU76" s="1"/>
      <c r="GV76" s="1"/>
      <c r="GW76" s="1"/>
      <c r="GX76" s="1"/>
      <c r="GY76" s="1"/>
      <c r="GZ76" s="1"/>
      <c r="HA76" s="1"/>
      <c r="HB76" s="1"/>
      <c r="HC76" s="1"/>
      <c r="HD76" s="1"/>
      <c r="HE76" s="1"/>
      <c r="HF76" s="1"/>
      <c r="HG76" s="1"/>
      <c r="HH76" s="1"/>
      <c r="HI76" s="1"/>
      <c r="HJ76" s="1"/>
      <c r="HK76" s="1"/>
      <c r="HL76" s="1"/>
      <c r="HM76" s="1"/>
      <c r="HN76" s="1"/>
      <c r="HO76" s="1"/>
      <c r="HP76" s="1"/>
      <c r="HQ76" s="1"/>
      <c r="HR76" s="1"/>
      <c r="HS76" s="1"/>
      <c r="HT76" s="1"/>
      <c r="HU76" s="1"/>
      <c r="HV76" s="1"/>
      <c r="HW76" s="1"/>
      <c r="HX76" s="1"/>
      <c r="HY76" s="1"/>
      <c r="HZ76" s="1"/>
      <c r="IA76" s="1"/>
      <c r="IB76" s="1"/>
      <c r="IC76" s="1"/>
      <c r="ID76" s="1"/>
      <c r="IE76" s="1"/>
      <c r="IF76" s="1"/>
      <c r="IG76" s="1"/>
      <c r="IH76" s="1"/>
      <c r="II76" s="1"/>
      <c r="IJ76" s="1"/>
      <c r="IK76" s="1"/>
      <c r="IL76" s="1"/>
      <c r="IM76" s="1"/>
      <c r="IN76" s="1"/>
      <c r="IO76" s="1"/>
      <c r="IP76" s="1"/>
      <c r="IQ76" s="1"/>
      <c r="IR76" s="1"/>
      <c r="IS76" s="1"/>
      <c r="IT76" s="1"/>
      <c r="IU76" s="1"/>
      <c r="IV76" s="1"/>
      <c r="IW76" s="1"/>
      <c r="IX76" s="1"/>
      <c r="IY76" s="1"/>
      <c r="IZ76" s="1"/>
      <c r="JA76" s="1"/>
      <c r="JB76" s="1"/>
      <c r="JC76" s="1"/>
      <c r="JD76" s="1"/>
    </row>
    <row r="77" spans="2:264" s="1044" customFormat="1" x14ac:dyDescent="0.2">
      <c r="B77" s="350"/>
      <c r="C77" s="1213"/>
      <c r="D77" s="1215"/>
      <c r="E77" s="1194"/>
      <c r="F77" s="1271" t="s">
        <v>1072</v>
      </c>
      <c r="G77" s="1272"/>
      <c r="H77" s="1272">
        <f ca="1">H13</f>
        <v>104.1</v>
      </c>
      <c r="I77" s="1090"/>
      <c r="J77" s="1090"/>
      <c r="K77" s="1090"/>
      <c r="L77" s="1090"/>
      <c r="M77" s="1090"/>
      <c r="N77" s="1090"/>
      <c r="O77" s="1090"/>
      <c r="P77" s="1212"/>
      <c r="Q77" s="1046" t="s">
        <v>558</v>
      </c>
      <c r="R77" s="1287"/>
      <c r="S77" s="1287"/>
      <c r="T77" s="1287"/>
      <c r="U77" s="1287"/>
      <c r="V77" s="1287"/>
      <c r="W77" s="1287"/>
      <c r="X77" s="1129"/>
      <c r="Y77" s="1129">
        <f t="shared" ref="Y77:AL77" si="217">-Y54/Y53</f>
        <v>0.27523534346164602</v>
      </c>
      <c r="Z77" s="1129">
        <f t="shared" si="217"/>
        <v>0.27198928780651099</v>
      </c>
      <c r="AA77" s="1129">
        <f t="shared" si="217"/>
        <v>0.27300150829562592</v>
      </c>
      <c r="AB77" s="1129">
        <f t="shared" si="217"/>
        <v>0.27510147813433405</v>
      </c>
      <c r="AC77" s="1129">
        <f t="shared" si="217"/>
        <v>0.28363931283639315</v>
      </c>
      <c r="AD77" s="1129">
        <f t="shared" si="217"/>
        <v>0.30510585305105853</v>
      </c>
      <c r="AE77" s="1130">
        <f t="shared" si="217"/>
        <v>0.28743292366280077</v>
      </c>
      <c r="AF77" s="1129">
        <f t="shared" si="217"/>
        <v>0.29491558504928272</v>
      </c>
      <c r="AG77" s="1129">
        <f t="shared" si="217"/>
        <v>0.29322878379482153</v>
      </c>
      <c r="AH77" s="1129">
        <f t="shared" si="217"/>
        <v>0.29541782934351596</v>
      </c>
      <c r="AI77" s="1129">
        <f t="shared" si="217"/>
        <v>0.28915237490295714</v>
      </c>
      <c r="AJ77" s="1129">
        <f t="shared" si="217"/>
        <v>0.30507277094814189</v>
      </c>
      <c r="AK77" s="1369">
        <f t="shared" si="217"/>
        <v>0.30461914128739065</v>
      </c>
      <c r="AL77" s="1129">
        <f t="shared" si="217"/>
        <v>0.29996188003624741</v>
      </c>
      <c r="AM77" s="1129">
        <f t="shared" ref="AM77" si="218">-AM54/AM53</f>
        <v>0.3</v>
      </c>
      <c r="AN77" s="1129">
        <f t="shared" ref="AN77" si="219">-AN54/AN53</f>
        <v>0.29999999999999993</v>
      </c>
      <c r="AO77" s="1291">
        <v>0.3</v>
      </c>
      <c r="AP77" s="1291">
        <v>0.3</v>
      </c>
      <c r="AQ77" s="1291">
        <v>0.3</v>
      </c>
      <c r="AR77" s="1291">
        <v>0.3</v>
      </c>
      <c r="AS77" s="1291">
        <v>0.3</v>
      </c>
      <c r="AT77" s="1291">
        <v>0.3</v>
      </c>
      <c r="AU77" s="1291">
        <v>0.3</v>
      </c>
      <c r="AV77" s="1083"/>
      <c r="AW77" s="1083"/>
      <c r="AX77" s="1083"/>
      <c r="AY77" s="1083"/>
      <c r="AZ77" s="1083"/>
      <c r="BA77" s="1083"/>
      <c r="BB77" s="1083"/>
      <c r="BC77" s="1083"/>
      <c r="BD77" s="1083"/>
      <c r="BE77" s="1083"/>
      <c r="BF77" s="1083"/>
      <c r="BG77" s="1083"/>
      <c r="BH77" s="1083"/>
      <c r="BI77" s="1083"/>
      <c r="BJ77" s="1083"/>
      <c r="BK77" s="1083"/>
      <c r="BL77" s="1083"/>
      <c r="BM77" s="1083"/>
      <c r="BN77" s="1083"/>
      <c r="BO77" s="1083"/>
      <c r="BP77" s="1083"/>
      <c r="BQ77" s="1083"/>
      <c r="BR77" s="1083"/>
      <c r="BS77" s="1083"/>
      <c r="BT77" s="1083"/>
      <c r="BU77" s="1083"/>
      <c r="BV77" s="1083"/>
      <c r="BW77" s="1083"/>
      <c r="BX77" s="1083"/>
      <c r="BY77" s="1083"/>
      <c r="BZ77" s="1083"/>
      <c r="CA77" s="1083"/>
      <c r="CB77" s="1083"/>
      <c r="CC77" s="1083"/>
      <c r="CD77" s="1083"/>
      <c r="CE77" s="1083"/>
      <c r="CF77" s="1083"/>
      <c r="CG77" s="1083"/>
      <c r="CH77" s="1083"/>
      <c r="CI77" s="1083"/>
      <c r="CJ77" s="1083"/>
      <c r="CK77" s="1074"/>
      <c r="CL77" s="1074"/>
      <c r="CM77" s="1074"/>
      <c r="CN77" s="1074"/>
      <c r="CO77" s="1074"/>
      <c r="CP77" s="1074"/>
      <c r="CQ77" s="1074"/>
      <c r="CR77" s="1074"/>
      <c r="CS77" s="1074"/>
      <c r="CT77" s="1074"/>
      <c r="CU77" s="1074"/>
      <c r="CV77" s="1074"/>
      <c r="CW77" s="1074"/>
      <c r="CX77" s="1074"/>
      <c r="CY77" s="1074"/>
      <c r="CZ77" s="1074"/>
      <c r="DA77" s="1074"/>
      <c r="DB77" s="1074"/>
      <c r="DC77" s="1074"/>
      <c r="DD77" s="1074"/>
      <c r="DE77" s="1074"/>
      <c r="DF77" s="1074"/>
      <c r="DG77" s="1074"/>
      <c r="DH77" s="1074"/>
      <c r="DI77" s="1074"/>
      <c r="DJ77" s="1074"/>
      <c r="DK77" s="1074"/>
      <c r="DL77" s="1074"/>
      <c r="DM77" s="1074"/>
      <c r="DN77" s="1074"/>
      <c r="DO77" s="1074"/>
      <c r="DP77" s="1074"/>
      <c r="DQ77" s="1074"/>
      <c r="DR77" s="1074"/>
      <c r="DS77" s="1074"/>
      <c r="DT77" s="1074"/>
      <c r="DU77" s="1074"/>
      <c r="DV77" s="1074"/>
      <c r="DW77" s="1074"/>
      <c r="DX77" s="1074"/>
      <c r="DY77" s="1074"/>
      <c r="DZ77" s="1074"/>
      <c r="EA77" s="1074"/>
      <c r="EB77" s="1074"/>
      <c r="EC77" s="1074"/>
      <c r="ED77" s="1074"/>
      <c r="EE77" s="1074"/>
      <c r="EF77" s="1074"/>
      <c r="EG77" s="1074"/>
      <c r="EH77" s="1074"/>
      <c r="EI77" s="1074"/>
      <c r="EJ77" s="1074"/>
      <c r="EK77" s="1074"/>
      <c r="EL77" s="1074"/>
      <c r="EM77" s="1074"/>
      <c r="EN77" s="1074"/>
      <c r="EO77" s="1074"/>
      <c r="EP77" s="1074"/>
      <c r="EQ77" s="1074"/>
      <c r="ER77" s="1074"/>
      <c r="ES77" s="1"/>
      <c r="ET77" s="1"/>
      <c r="EU77" s="1"/>
      <c r="EV77" s="1"/>
      <c r="EW77" s="1"/>
      <c r="EX77" s="1"/>
      <c r="EY77" s="1"/>
      <c r="EZ77" s="1"/>
      <c r="FA77" s="1"/>
      <c r="FB77" s="1"/>
      <c r="FC77" s="1"/>
      <c r="FD77" s="1"/>
      <c r="FE77" s="1"/>
      <c r="FF77" s="1"/>
      <c r="FG77" s="1"/>
      <c r="FH77" s="1"/>
      <c r="FI77" s="1"/>
      <c r="FJ77" s="1"/>
      <c r="FK77" s="1"/>
      <c r="FL77" s="1"/>
      <c r="FM77" s="1"/>
      <c r="FN77" s="1"/>
      <c r="FO77" s="1"/>
      <c r="FP77" s="1"/>
      <c r="FQ77" s="1"/>
      <c r="FR77" s="1"/>
      <c r="FS77" s="1"/>
      <c r="FT77" s="1"/>
      <c r="FU77" s="1"/>
      <c r="FV77" s="1"/>
      <c r="FW77" s="1"/>
      <c r="FX77" s="1"/>
      <c r="FY77" s="1"/>
      <c r="FZ77" s="1"/>
      <c r="GA77" s="1"/>
      <c r="GB77" s="1"/>
      <c r="GC77" s="1"/>
      <c r="GD77" s="1"/>
      <c r="GE77" s="1"/>
      <c r="GF77" s="1"/>
      <c r="GG77" s="1"/>
      <c r="GH77" s="1"/>
      <c r="GI77" s="1"/>
      <c r="GJ77" s="1"/>
      <c r="GK77" s="1"/>
      <c r="GL77" s="1"/>
      <c r="GM77" s="1"/>
      <c r="GN77" s="1"/>
      <c r="GO77" s="1"/>
      <c r="GP77" s="1"/>
      <c r="GQ77" s="1"/>
      <c r="GR77" s="1"/>
      <c r="GS77" s="1"/>
      <c r="GT77" s="1"/>
      <c r="GU77" s="1"/>
      <c r="GV77" s="1"/>
      <c r="GW77" s="1"/>
      <c r="GX77" s="1"/>
      <c r="GY77" s="1"/>
      <c r="GZ77" s="1"/>
      <c r="HA77" s="1"/>
      <c r="HB77" s="1"/>
      <c r="HC77" s="1"/>
      <c r="HD77" s="1"/>
      <c r="HE77" s="1"/>
      <c r="HF77" s="1"/>
      <c r="HG77" s="1"/>
      <c r="HH77" s="1"/>
      <c r="HI77" s="1"/>
      <c r="HJ77" s="1"/>
      <c r="HK77" s="1"/>
      <c r="HL77" s="1"/>
      <c r="HM77" s="1"/>
      <c r="HN77" s="1"/>
      <c r="HO77" s="1"/>
      <c r="HP77" s="1"/>
      <c r="HQ77" s="1"/>
      <c r="HR77" s="1"/>
      <c r="HS77" s="1"/>
      <c r="HT77" s="1"/>
      <c r="HU77" s="1"/>
      <c r="HV77" s="1"/>
      <c r="HW77" s="1"/>
      <c r="HX77" s="1"/>
      <c r="HY77" s="1"/>
      <c r="HZ77" s="1"/>
      <c r="IA77" s="1"/>
      <c r="IB77" s="1"/>
      <c r="IC77" s="1"/>
      <c r="ID77" s="1"/>
      <c r="IE77" s="1"/>
      <c r="IF77" s="1"/>
      <c r="IG77" s="1"/>
      <c r="IH77" s="1"/>
      <c r="II77" s="1"/>
      <c r="IJ77" s="1"/>
      <c r="IK77" s="1"/>
      <c r="IL77" s="1"/>
      <c r="IM77" s="1"/>
      <c r="IN77" s="1"/>
      <c r="IO77" s="1"/>
      <c r="IP77" s="1"/>
      <c r="IQ77" s="1"/>
      <c r="IR77" s="1"/>
      <c r="IS77" s="1"/>
      <c r="IT77" s="1"/>
      <c r="IU77" s="1"/>
      <c r="IV77" s="1"/>
      <c r="IW77" s="1"/>
      <c r="IX77" s="1"/>
      <c r="IY77" s="1"/>
      <c r="IZ77" s="1"/>
      <c r="JA77" s="1"/>
      <c r="JB77" s="1"/>
      <c r="JC77" s="1"/>
      <c r="JD77" s="1"/>
    </row>
    <row r="78" spans="2:264" s="1044" customFormat="1" x14ac:dyDescent="0.2">
      <c r="B78" s="1292"/>
      <c r="C78" s="1293"/>
      <c r="D78" s="1215"/>
      <c r="E78" s="1194"/>
      <c r="F78" s="1271" t="s">
        <v>2</v>
      </c>
      <c r="G78" s="1272"/>
      <c r="H78" s="1272">
        <f>H2</f>
        <v>169.56</v>
      </c>
      <c r="I78" s="1090"/>
      <c r="J78" s="1090"/>
      <c r="K78" s="1090"/>
      <c r="L78" s="1090"/>
      <c r="M78" s="1090"/>
      <c r="N78" s="1090"/>
      <c r="O78" s="1090"/>
      <c r="P78" s="1212"/>
      <c r="R78" s="1074"/>
      <c r="S78" s="1074"/>
      <c r="T78" s="1074"/>
      <c r="U78" s="1074"/>
      <c r="V78" s="1074"/>
      <c r="W78" s="1074"/>
      <c r="X78" s="1074"/>
      <c r="Y78" s="1074"/>
      <c r="Z78" s="1074"/>
      <c r="AA78" s="1074"/>
      <c r="AB78" s="1074"/>
      <c r="AC78" s="1074"/>
      <c r="AD78" s="1074"/>
      <c r="AE78" s="1279"/>
      <c r="AF78" s="1074"/>
      <c r="AG78" s="1074"/>
      <c r="AH78" s="1074"/>
      <c r="AI78" s="1074"/>
      <c r="AJ78" s="1074"/>
      <c r="AK78" s="1364"/>
      <c r="AL78" s="1074"/>
      <c r="AM78" s="1074"/>
      <c r="AN78" s="1074"/>
      <c r="AO78" s="1074"/>
      <c r="AP78" s="1074"/>
      <c r="AQ78" s="1074"/>
      <c r="AR78" s="1074"/>
      <c r="AS78" s="1074"/>
      <c r="AT78" s="1074"/>
      <c r="AU78" s="1074"/>
      <c r="AV78" s="1083"/>
      <c r="AW78" s="1083"/>
      <c r="AX78" s="1083"/>
      <c r="AY78" s="1083"/>
      <c r="AZ78" s="1083"/>
      <c r="BA78" s="1083"/>
      <c r="BB78" s="1083"/>
      <c r="BC78" s="1083"/>
      <c r="BD78" s="1083"/>
      <c r="BE78" s="1083"/>
      <c r="BF78" s="1083"/>
      <c r="BG78" s="1083"/>
      <c r="BH78" s="1083"/>
      <c r="BI78" s="1083"/>
      <c r="BJ78" s="1083"/>
      <c r="BK78" s="1083"/>
      <c r="BL78" s="1083"/>
      <c r="BM78" s="1083"/>
      <c r="BN78" s="1083"/>
      <c r="BO78" s="1083"/>
      <c r="BP78" s="1083"/>
      <c r="BQ78" s="1083"/>
      <c r="BR78" s="1083"/>
      <c r="BS78" s="1083"/>
      <c r="BT78" s="1083"/>
      <c r="BU78" s="1083"/>
      <c r="BV78" s="1083"/>
      <c r="BW78" s="1083"/>
      <c r="BX78" s="1083"/>
      <c r="BY78" s="1083"/>
      <c r="BZ78" s="1083"/>
      <c r="CA78" s="1083"/>
      <c r="CB78" s="1083"/>
      <c r="CC78" s="1083"/>
      <c r="CD78" s="1083"/>
      <c r="CE78" s="1083"/>
      <c r="CF78" s="1083"/>
      <c r="CG78" s="1083"/>
      <c r="CH78" s="1083"/>
      <c r="CI78" s="1083"/>
      <c r="CJ78" s="1083"/>
      <c r="CK78" s="1254"/>
      <c r="CL78" s="1254"/>
      <c r="CM78" s="1254"/>
      <c r="CN78" s="1254"/>
      <c r="CO78" s="1254"/>
      <c r="CP78" s="1254"/>
      <c r="CQ78" s="1254"/>
      <c r="CR78" s="1254"/>
      <c r="CS78" s="1254"/>
      <c r="CT78" s="1254"/>
      <c r="CU78" s="1254"/>
      <c r="CV78" s="1254"/>
      <c r="CW78" s="1254"/>
      <c r="CX78" s="1254"/>
      <c r="CY78" s="1254"/>
      <c r="CZ78" s="1254"/>
      <c r="DA78" s="1254"/>
      <c r="DB78" s="1254"/>
      <c r="DC78" s="1254"/>
      <c r="DD78" s="1254"/>
      <c r="DE78" s="1254"/>
      <c r="DF78" s="1254"/>
      <c r="DG78" s="1254"/>
      <c r="DH78" s="1254"/>
      <c r="DI78" s="1254"/>
      <c r="DJ78" s="1254"/>
      <c r="DK78" s="1254"/>
      <c r="DL78" s="1254"/>
      <c r="DM78" s="1254"/>
      <c r="DN78" s="1254"/>
      <c r="DO78" s="1254"/>
      <c r="DP78" s="1254"/>
      <c r="DQ78" s="1254"/>
      <c r="DR78" s="1254"/>
      <c r="DS78" s="1254"/>
      <c r="DT78" s="1254"/>
      <c r="DU78" s="1254"/>
      <c r="DV78" s="1254"/>
      <c r="DW78" s="1254"/>
      <c r="DX78" s="1254"/>
      <c r="DY78" s="1254"/>
      <c r="DZ78" s="1254"/>
      <c r="EA78" s="1254"/>
      <c r="EB78" s="1254"/>
      <c r="EC78" s="1254"/>
      <c r="ED78" s="1254"/>
      <c r="EE78" s="1254"/>
      <c r="EF78" s="1254"/>
      <c r="EG78" s="1254"/>
      <c r="EH78" s="1254"/>
      <c r="EI78" s="1254"/>
      <c r="EJ78" s="1254"/>
      <c r="EK78" s="1254"/>
      <c r="EL78" s="1254"/>
      <c r="EM78" s="1254"/>
      <c r="EN78" s="1254"/>
      <c r="EO78" s="1254"/>
      <c r="EP78" s="1254"/>
      <c r="EQ78" s="1254"/>
      <c r="ER78" s="1254"/>
      <c r="ES78" s="1"/>
      <c r="ET78" s="1"/>
      <c r="EU78" s="1"/>
      <c r="EV78" s="1"/>
      <c r="EW78" s="1"/>
      <c r="EX78" s="1"/>
      <c r="EY78" s="1"/>
      <c r="EZ78" s="1"/>
      <c r="FA78" s="1"/>
      <c r="FB78" s="1"/>
      <c r="FC78" s="1"/>
      <c r="FD78" s="1"/>
      <c r="FE78" s="1"/>
      <c r="FF78" s="1"/>
      <c r="FG78" s="1"/>
      <c r="FH78" s="1"/>
      <c r="FI78" s="1"/>
      <c r="FJ78" s="1"/>
      <c r="FK78" s="1"/>
      <c r="FL78" s="1"/>
      <c r="FM78" s="1"/>
      <c r="FN78" s="1"/>
      <c r="FO78" s="1"/>
      <c r="FP78" s="1"/>
      <c r="FQ78" s="1"/>
      <c r="FR78" s="1"/>
      <c r="FS78" s="1"/>
      <c r="FT78" s="1"/>
      <c r="FU78" s="1"/>
      <c r="FV78" s="1"/>
      <c r="FW78" s="1"/>
      <c r="FX78" s="1"/>
      <c r="FY78" s="1"/>
      <c r="FZ78" s="1"/>
      <c r="GA78" s="1"/>
      <c r="GB78" s="1"/>
      <c r="GC78" s="1"/>
      <c r="GD78" s="1"/>
      <c r="GE78" s="1"/>
      <c r="GF78" s="1"/>
      <c r="GG78" s="1"/>
      <c r="GH78" s="1"/>
      <c r="GI78" s="1"/>
      <c r="GJ78" s="1"/>
      <c r="GK78" s="1"/>
      <c r="GL78" s="1"/>
      <c r="GM78" s="1"/>
      <c r="GN78" s="1"/>
      <c r="GO78" s="1"/>
      <c r="GP78" s="1"/>
      <c r="GQ78" s="1"/>
      <c r="GR78" s="1"/>
      <c r="GS78" s="1"/>
      <c r="GT78" s="1"/>
      <c r="GU78" s="1"/>
      <c r="GV78" s="1"/>
      <c r="GW78" s="1"/>
      <c r="GX78" s="1"/>
      <c r="GY78" s="1"/>
      <c r="GZ78" s="1"/>
      <c r="HA78" s="1"/>
      <c r="HB78" s="1"/>
      <c r="HC78" s="1"/>
      <c r="HD78" s="1"/>
      <c r="HE78" s="1"/>
      <c r="HF78" s="1"/>
      <c r="HG78" s="1"/>
      <c r="HH78" s="1"/>
      <c r="HI78" s="1"/>
      <c r="HJ78" s="1"/>
      <c r="HK78" s="1"/>
      <c r="HL78" s="1"/>
      <c r="HM78" s="1"/>
      <c r="HN78" s="1"/>
      <c r="HO78" s="1"/>
      <c r="HP78" s="1"/>
      <c r="HQ78" s="1"/>
      <c r="HR78" s="1"/>
      <c r="HS78" s="1"/>
      <c r="HT78" s="1"/>
      <c r="HU78" s="1"/>
      <c r="HV78" s="1"/>
      <c r="HW78" s="1"/>
      <c r="HX78" s="1"/>
      <c r="HY78" s="1"/>
      <c r="HZ78" s="1"/>
      <c r="IA78" s="1"/>
      <c r="IB78" s="1"/>
      <c r="IC78" s="1"/>
      <c r="ID78" s="1"/>
      <c r="IE78" s="1"/>
      <c r="IF78" s="1"/>
      <c r="IG78" s="1"/>
      <c r="IH78" s="1"/>
      <c r="II78" s="1"/>
      <c r="IJ78" s="1"/>
      <c r="IK78" s="1"/>
      <c r="IL78" s="1"/>
      <c r="IM78" s="1"/>
      <c r="IN78" s="1"/>
      <c r="IO78" s="1"/>
      <c r="IP78" s="1"/>
      <c r="IQ78" s="1"/>
      <c r="IR78" s="1"/>
      <c r="IS78" s="1"/>
      <c r="IT78" s="1"/>
      <c r="IU78" s="1"/>
      <c r="IV78" s="1"/>
      <c r="IW78" s="1"/>
      <c r="IX78" s="1"/>
      <c r="IY78" s="1"/>
      <c r="IZ78" s="1"/>
      <c r="JA78" s="1"/>
      <c r="JB78" s="1"/>
      <c r="JC78" s="1"/>
      <c r="JD78" s="1"/>
    </row>
    <row r="79" spans="2:264" s="1044" customFormat="1" x14ac:dyDescent="0.2">
      <c r="B79" s="350"/>
      <c r="C79" s="1213"/>
      <c r="D79" s="1215"/>
      <c r="E79" s="1194"/>
      <c r="F79" s="1273" t="s">
        <v>1075</v>
      </c>
      <c r="G79" s="1274"/>
      <c r="H79" s="1275">
        <f ca="1">+H77/H78-1</f>
        <v>-0.38605803255484783</v>
      </c>
      <c r="I79" s="1294"/>
      <c r="J79" s="1294"/>
      <c r="K79" s="1162"/>
      <c r="L79" s="1162"/>
      <c r="M79" s="1162"/>
      <c r="N79" s="1162"/>
      <c r="O79" s="1162"/>
      <c r="P79" s="1212"/>
      <c r="Q79" s="1047"/>
      <c r="R79" s="1074"/>
      <c r="S79" s="1074"/>
      <c r="T79" s="1074"/>
      <c r="U79" s="1074"/>
      <c r="V79" s="1074"/>
      <c r="W79" s="1074"/>
      <c r="X79" s="1074"/>
      <c r="Y79" s="1074"/>
      <c r="Z79" s="1074"/>
      <c r="AA79" s="1074"/>
      <c r="AB79" s="1074"/>
      <c r="AC79" s="1074"/>
      <c r="AD79" s="1074"/>
      <c r="AE79" s="1247"/>
      <c r="AF79" s="1248"/>
      <c r="AG79" s="1248"/>
      <c r="AH79" s="1248"/>
      <c r="AI79" s="1248"/>
      <c r="AJ79" s="1248"/>
      <c r="AK79" s="1379"/>
      <c r="AL79" s="1248"/>
      <c r="AM79" s="1248"/>
      <c r="AN79" s="1248"/>
      <c r="AO79" s="1074"/>
      <c r="AP79" s="1074"/>
      <c r="AQ79" s="1074"/>
      <c r="AR79" s="1074"/>
      <c r="AS79" s="1074"/>
      <c r="AT79" s="1074"/>
      <c r="AU79" s="1074"/>
      <c r="AV79" s="1083"/>
      <c r="AW79" s="1083"/>
      <c r="AX79" s="1083"/>
      <c r="AY79" s="1083"/>
      <c r="AZ79" s="1083"/>
      <c r="BA79" s="1083"/>
      <c r="BB79" s="1083"/>
      <c r="BC79" s="1083"/>
      <c r="BD79" s="1083"/>
      <c r="BE79" s="1083"/>
      <c r="BF79" s="1083"/>
      <c r="BG79" s="1083"/>
      <c r="BH79" s="1083"/>
      <c r="BI79" s="1083"/>
      <c r="BJ79" s="1083"/>
      <c r="BK79" s="1083"/>
      <c r="BL79" s="1083"/>
      <c r="BM79" s="1083"/>
      <c r="BN79" s="1083"/>
      <c r="BO79" s="1083"/>
      <c r="BP79" s="1083"/>
      <c r="BQ79" s="1083"/>
      <c r="BR79" s="1083"/>
      <c r="BS79" s="1083"/>
      <c r="BT79" s="1083"/>
      <c r="BU79" s="1083"/>
      <c r="BV79" s="1083"/>
      <c r="BW79" s="1083"/>
      <c r="BX79" s="1083"/>
      <c r="BY79" s="1083"/>
      <c r="BZ79" s="1083"/>
      <c r="CA79" s="1083"/>
      <c r="CB79" s="1083"/>
      <c r="CC79" s="1083"/>
      <c r="CD79" s="1083"/>
      <c r="CE79" s="1083"/>
      <c r="CF79" s="1083"/>
      <c r="CG79" s="1083"/>
      <c r="CH79" s="1083"/>
      <c r="CI79" s="1083"/>
      <c r="CJ79" s="1083"/>
      <c r="CK79" s="1254"/>
      <c r="CL79" s="1254"/>
      <c r="CM79" s="1254"/>
      <c r="CN79" s="1254"/>
      <c r="CO79" s="1254"/>
      <c r="CP79" s="1254"/>
      <c r="CQ79" s="1254"/>
      <c r="CR79" s="1254"/>
      <c r="CS79" s="1254"/>
      <c r="CT79" s="1254"/>
      <c r="CU79" s="1254"/>
      <c r="CV79" s="1254"/>
      <c r="CW79" s="1254"/>
      <c r="CX79" s="1254"/>
      <c r="CY79" s="1254"/>
      <c r="CZ79" s="1254"/>
      <c r="DA79" s="1254"/>
      <c r="DB79" s="1254"/>
      <c r="DC79" s="1254"/>
      <c r="DD79" s="1254"/>
      <c r="DE79" s="1254"/>
      <c r="DF79" s="1254"/>
      <c r="DG79" s="1254"/>
      <c r="DH79" s="1254"/>
      <c r="DI79" s="1254"/>
      <c r="DJ79" s="1254"/>
      <c r="DK79" s="1254"/>
      <c r="DL79" s="1254"/>
      <c r="DM79" s="1254"/>
      <c r="DN79" s="1254"/>
      <c r="DO79" s="1254"/>
      <c r="DP79" s="1254"/>
      <c r="DQ79" s="1254"/>
      <c r="DR79" s="1254"/>
      <c r="DS79" s="1254"/>
      <c r="DT79" s="1254"/>
      <c r="DU79" s="1254"/>
      <c r="DV79" s="1254"/>
      <c r="DW79" s="1254"/>
      <c r="DX79" s="1254"/>
      <c r="DY79" s="1254"/>
      <c r="DZ79" s="1254"/>
      <c r="EA79" s="1254"/>
      <c r="EB79" s="1254"/>
      <c r="EC79" s="1254"/>
      <c r="ED79" s="1254"/>
      <c r="EE79" s="1254"/>
      <c r="EF79" s="1254"/>
      <c r="EG79" s="1254"/>
      <c r="EH79" s="1254"/>
      <c r="EI79" s="1254"/>
      <c r="EJ79" s="1254"/>
      <c r="EK79" s="1254"/>
      <c r="EL79" s="1254"/>
      <c r="EM79" s="1254"/>
      <c r="EN79" s="1254"/>
      <c r="EO79" s="1254"/>
      <c r="EP79" s="1254"/>
      <c r="EQ79" s="1254"/>
      <c r="ER79" s="1254"/>
      <c r="ES79" s="1"/>
      <c r="ET79" s="1"/>
      <c r="EU79" s="1"/>
      <c r="EV79" s="1"/>
      <c r="EW79" s="1"/>
      <c r="EX79" s="1"/>
      <c r="EY79" s="1"/>
      <c r="EZ79" s="1"/>
      <c r="FA79" s="1"/>
      <c r="FB79" s="1"/>
      <c r="FC79" s="1"/>
      <c r="FD79" s="1"/>
      <c r="FE79" s="1"/>
      <c r="FF79" s="1"/>
      <c r="FG79" s="1"/>
      <c r="FH79" s="1"/>
      <c r="FI79" s="1"/>
      <c r="FJ79" s="1"/>
      <c r="FK79" s="1"/>
      <c r="FL79" s="1"/>
      <c r="FM79" s="1"/>
      <c r="FN79" s="1"/>
      <c r="FO79" s="1"/>
      <c r="FP79" s="1"/>
      <c r="FQ79" s="1"/>
      <c r="FR79" s="1"/>
      <c r="FS79" s="1"/>
      <c r="FT79" s="1"/>
      <c r="FU79" s="1"/>
      <c r="FV79" s="1"/>
      <c r="FW79" s="1"/>
      <c r="FX79" s="1"/>
      <c r="FY79" s="1"/>
      <c r="FZ79" s="1"/>
      <c r="GA79" s="1"/>
      <c r="GB79" s="1"/>
      <c r="GC79" s="1"/>
      <c r="GD79" s="1"/>
      <c r="GE79" s="1"/>
      <c r="GF79" s="1"/>
      <c r="GG79" s="1"/>
      <c r="GH79" s="1"/>
      <c r="GI79" s="1"/>
      <c r="GJ79" s="1"/>
      <c r="GK79" s="1"/>
      <c r="GL79" s="1"/>
      <c r="GM79" s="1"/>
      <c r="GN79" s="1"/>
      <c r="GO79" s="1"/>
      <c r="GP79" s="1"/>
      <c r="GQ79" s="1"/>
      <c r="GR79" s="1"/>
      <c r="GS79" s="1"/>
      <c r="GT79" s="1"/>
      <c r="GU79" s="1"/>
      <c r="GV79" s="1"/>
      <c r="GW79" s="1"/>
      <c r="GX79" s="1"/>
      <c r="GY79" s="1"/>
      <c r="GZ79" s="1"/>
      <c r="HA79" s="1"/>
      <c r="HB79" s="1"/>
      <c r="HC79" s="1"/>
      <c r="HD79" s="1"/>
      <c r="HE79" s="1"/>
      <c r="HF79" s="1"/>
      <c r="HG79" s="1"/>
      <c r="HH79" s="1"/>
      <c r="HI79" s="1"/>
      <c r="HJ79" s="1"/>
      <c r="HK79" s="1"/>
      <c r="HL79" s="1"/>
      <c r="HM79" s="1"/>
      <c r="HN79" s="1"/>
      <c r="HO79" s="1"/>
      <c r="HP79" s="1"/>
      <c r="HQ79" s="1"/>
      <c r="HR79" s="1"/>
      <c r="HS79" s="1"/>
      <c r="HT79" s="1"/>
      <c r="HU79" s="1"/>
      <c r="HV79" s="1"/>
      <c r="HW79" s="1"/>
      <c r="HX79" s="1"/>
      <c r="HY79" s="1"/>
      <c r="HZ79" s="1"/>
      <c r="IA79" s="1"/>
      <c r="IB79" s="1"/>
      <c r="IC79" s="1"/>
      <c r="ID79" s="1"/>
      <c r="IE79" s="1"/>
      <c r="IF79" s="1"/>
      <c r="IG79" s="1"/>
      <c r="IH79" s="1"/>
      <c r="II79" s="1"/>
      <c r="IJ79" s="1"/>
      <c r="IK79" s="1"/>
      <c r="IL79" s="1"/>
      <c r="IM79" s="1"/>
      <c r="IN79" s="1"/>
      <c r="IO79" s="1"/>
      <c r="IP79" s="1"/>
      <c r="IQ79" s="1"/>
      <c r="IR79" s="1"/>
      <c r="IS79" s="1"/>
      <c r="IT79" s="1"/>
      <c r="IU79" s="1"/>
      <c r="IV79" s="1"/>
      <c r="IW79" s="1"/>
      <c r="IX79" s="1"/>
      <c r="IY79" s="1"/>
      <c r="IZ79" s="1"/>
      <c r="JA79" s="1"/>
      <c r="JB79" s="1"/>
      <c r="JC79" s="1"/>
      <c r="JD79" s="1"/>
    </row>
    <row r="80" spans="2:264" s="1044" customFormat="1" x14ac:dyDescent="0.2">
      <c r="B80" s="350"/>
      <c r="C80" s="1219"/>
      <c r="D80" s="1215"/>
      <c r="E80" s="1194"/>
      <c r="F80" s="1200"/>
      <c r="G80" s="1234"/>
      <c r="H80" s="1234"/>
      <c r="I80" s="1090"/>
      <c r="J80" s="1090"/>
      <c r="K80" s="1090"/>
      <c r="L80" s="1090"/>
      <c r="M80" s="1090"/>
      <c r="N80" s="1090"/>
      <c r="O80" s="1090"/>
      <c r="P80" s="1212"/>
      <c r="Q80" s="1044" t="s">
        <v>1086</v>
      </c>
      <c r="R80" s="1074"/>
      <c r="S80" s="1074"/>
      <c r="T80" s="1074"/>
      <c r="U80" s="1074"/>
      <c r="V80" s="1074"/>
      <c r="W80" s="1074"/>
      <c r="X80" s="1074"/>
      <c r="Y80" s="1086">
        <f>MODEL!BJ950+MODEL!BJ960+MODEL!BJ973</f>
        <v>40102</v>
      </c>
      <c r="Z80" s="1086">
        <f>MODEL!BN950+MODEL!BN960+MODEL!BN973</f>
        <v>44061</v>
      </c>
      <c r="AA80" s="1086">
        <f>MODEL!BR950+MODEL!BR960+MODEL!BR973</f>
        <v>47872</v>
      </c>
      <c r="AB80" s="1086">
        <f>MODEL!BV950+MODEL!BV960+MODEL!BV973</f>
        <v>51492</v>
      </c>
      <c r="AC80" s="1086">
        <f>MODEL!BZ950+MODEL!BZ960+MODEL!BZ973</f>
        <v>59958</v>
      </c>
      <c r="AD80" s="1086">
        <f>MODEL!CD950+MODEL!CD960+MODEL!CD973</f>
        <v>63114</v>
      </c>
      <c r="AE80" s="1087">
        <f>MODEL!CH950+MODEL!CH960+MODEL!CH973</f>
        <v>67306</v>
      </c>
      <c r="AF80" s="1088">
        <f>MODEL!CL950+MODEL!CL960+MODEL!CL973</f>
        <v>69594</v>
      </c>
      <c r="AG80" s="1088">
        <f>MODEL!CP950+MODEL!CP960+MODEL!CP973</f>
        <v>71933</v>
      </c>
      <c r="AH80" s="1088">
        <f>MODEL!CT950+MODEL!CT960+MODEL!CT973</f>
        <v>78683</v>
      </c>
      <c r="AI80" s="1088">
        <f>MODEL!CX950+MODEL!CX960+MODEL!CX973</f>
        <v>72833</v>
      </c>
      <c r="AJ80" s="1088">
        <f>MODEL!DB950+MODEL!DB960+MODEL!DB973</f>
        <v>71628</v>
      </c>
      <c r="AK80" s="1365">
        <f>MODEL!DF950+MODEL!DF960+MODEL!DF973</f>
        <v>73088</v>
      </c>
      <c r="AL80" s="1088">
        <f>MODEL!DJ950+MODEL!DJ960+MODEL!DJ973</f>
        <v>78776</v>
      </c>
      <c r="AM80" s="1088">
        <f>MODEL!$DN950+MODEL!$DN960+MODEL!$DN973</f>
        <v>78924.016849578707</v>
      </c>
      <c r="AN80" s="1088">
        <f ca="1">MODEL!$DR950+MODEL!$DR960+MODEL!$DR973</f>
        <v>81696.111297174299</v>
      </c>
      <c r="AO80" s="1086">
        <f t="shared" ref="AO80:CJ80" ca="1" si="220">AN87</f>
        <v>84425.659927121276</v>
      </c>
      <c r="AP80" s="1086">
        <f t="shared" ca="1" si="220"/>
        <v>88756.110063444547</v>
      </c>
      <c r="AQ80" s="1086">
        <f t="shared" ca="1" si="220"/>
        <v>92994.562882366532</v>
      </c>
      <c r="AR80" s="1086">
        <f ca="1">AQ87</f>
        <v>97008.506859022164</v>
      </c>
      <c r="AS80" s="1086">
        <f ca="1">AR87</f>
        <v>101112.82318194404</v>
      </c>
      <c r="AT80" s="1086">
        <f t="shared" ref="AT80:AU80" ca="1" si="221">AS87</f>
        <v>104902.22922352811</v>
      </c>
      <c r="AU80" s="1086">
        <f t="shared" ca="1" si="221"/>
        <v>109227.38960865392</v>
      </c>
      <c r="AV80" s="1086">
        <f ca="1">AU87</f>
        <v>114325.20007179356</v>
      </c>
      <c r="AW80" s="1086">
        <f t="shared" ca="1" si="220"/>
        <v>119861.43537449022</v>
      </c>
      <c r="AX80" s="1086">
        <f t="shared" ca="1" si="220"/>
        <v>123983.6561344099</v>
      </c>
      <c r="AY80" s="1086">
        <f t="shared" ca="1" si="220"/>
        <v>127834.69973933166</v>
      </c>
      <c r="AZ80" s="1086">
        <f t="shared" ca="1" si="220"/>
        <v>131702.60909274302</v>
      </c>
      <c r="BA80" s="1086">
        <f t="shared" ca="1" si="220"/>
        <v>135661.90067782329</v>
      </c>
      <c r="BB80" s="1086">
        <f t="shared" ca="1" si="220"/>
        <v>140481.04373717992</v>
      </c>
      <c r="BC80" s="1086">
        <f t="shared" ca="1" si="220"/>
        <v>144776.04068357882</v>
      </c>
      <c r="BD80" s="1086">
        <f t="shared" ca="1" si="220"/>
        <v>149025.64996195538</v>
      </c>
      <c r="BE80" s="1086">
        <f t="shared" ca="1" si="220"/>
        <v>153355.10809001501</v>
      </c>
      <c r="BF80" s="1086">
        <f t="shared" ca="1" si="220"/>
        <v>157799.05515061916</v>
      </c>
      <c r="BG80" s="1086">
        <f t="shared" ca="1" si="220"/>
        <v>162369.04398926653</v>
      </c>
      <c r="BH80" s="1086">
        <f t="shared" ca="1" si="220"/>
        <v>167070.82204705337</v>
      </c>
      <c r="BI80" s="1086">
        <f t="shared" ca="1" si="220"/>
        <v>171908.74338347415</v>
      </c>
      <c r="BJ80" s="1086">
        <f t="shared" ca="1" si="220"/>
        <v>176886.89334244019</v>
      </c>
      <c r="BK80" s="1086">
        <f t="shared" ca="1" si="220"/>
        <v>182009.37619037629</v>
      </c>
      <c r="BL80" s="1086">
        <f t="shared" ca="1" si="220"/>
        <v>187280.3903494741</v>
      </c>
      <c r="BM80" s="1086">
        <f t="shared" ca="1" si="220"/>
        <v>192704.24995524966</v>
      </c>
      <c r="BN80" s="1086">
        <f t="shared" ca="1" si="220"/>
        <v>198285.39294981115</v>
      </c>
      <c r="BO80" s="1086">
        <f t="shared" ca="1" si="220"/>
        <v>204028.38586736456</v>
      </c>
      <c r="BP80" s="1086">
        <f t="shared" ca="1" si="220"/>
        <v>209937.9278708981</v>
      </c>
      <c r="BQ80" s="1086">
        <f t="shared" ca="1" si="220"/>
        <v>216018.85468450445</v>
      </c>
      <c r="BR80" s="1086">
        <f t="shared" ca="1" si="220"/>
        <v>222276.14258495052</v>
      </c>
      <c r="BS80" s="1086">
        <f t="shared" ca="1" si="220"/>
        <v>228714.91249577329</v>
      </c>
      <c r="BT80" s="1086">
        <f t="shared" ca="1" si="220"/>
        <v>235340.4341972183</v>
      </c>
      <c r="BU80" s="1086">
        <f t="shared" ca="1" si="220"/>
        <v>242158.13065795449</v>
      </c>
      <c r="BV80" s="1086">
        <f t="shared" ca="1" si="220"/>
        <v>249173.58249274787</v>
      </c>
      <c r="BW80" s="1086">
        <f t="shared" ca="1" si="220"/>
        <v>256392.53254992125</v>
      </c>
      <c r="BX80" s="1086">
        <f t="shared" ca="1" si="220"/>
        <v>263820.89063242212</v>
      </c>
      <c r="BY80" s="1086">
        <f t="shared" ca="1" si="220"/>
        <v>271464.73835640243</v>
      </c>
      <c r="BZ80" s="1086">
        <f t="shared" ca="1" si="220"/>
        <v>279330.33415132185</v>
      </c>
      <c r="CA80" s="1086">
        <f t="shared" ca="1" si="220"/>
        <v>287424.11840570113</v>
      </c>
      <c r="CB80" s="1086">
        <f t="shared" ca="1" si="220"/>
        <v>295752.7187627728</v>
      </c>
      <c r="CC80" s="1086">
        <f t="shared" ca="1" si="220"/>
        <v>304322.95557039842</v>
      </c>
      <c r="CD80" s="1086">
        <f t="shared" ca="1" si="220"/>
        <v>313141.84748975059</v>
      </c>
      <c r="CE80" s="1086">
        <f t="shared" ca="1" si="220"/>
        <v>322216.61726739036</v>
      </c>
      <c r="CF80" s="1086">
        <f t="shared" ca="1" si="220"/>
        <v>331554.69767550169</v>
      </c>
      <c r="CG80" s="1086">
        <f t="shared" ca="1" si="220"/>
        <v>341163.73762518866</v>
      </c>
      <c r="CH80" s="1086">
        <f t="shared" ca="1" si="220"/>
        <v>351051.60845788021</v>
      </c>
      <c r="CI80" s="1086">
        <f t="shared" ca="1" si="220"/>
        <v>361226.41042003687</v>
      </c>
      <c r="CJ80" s="1086">
        <f t="shared" ca="1" si="220"/>
        <v>371696.47932650457</v>
      </c>
      <c r="CK80" s="1295"/>
      <c r="CL80" s="1295"/>
      <c r="CM80" s="1295"/>
      <c r="CN80" s="1295"/>
      <c r="CO80" s="1295"/>
      <c r="CP80" s="1295"/>
      <c r="CQ80" s="1295"/>
      <c r="CR80" s="1295"/>
      <c r="CS80" s="1295"/>
      <c r="CT80" s="1295"/>
      <c r="CU80" s="1295"/>
      <c r="CV80" s="1295"/>
      <c r="CW80" s="1295"/>
      <c r="CX80" s="1295"/>
      <c r="CY80" s="1295"/>
      <c r="CZ80" s="1295"/>
      <c r="DA80" s="1295"/>
      <c r="DB80" s="1295"/>
      <c r="DC80" s="1295"/>
      <c r="DD80" s="1295"/>
      <c r="DE80" s="1295"/>
      <c r="DF80" s="1295"/>
      <c r="DG80" s="1295"/>
      <c r="DH80" s="1295"/>
      <c r="DI80" s="1295"/>
      <c r="DJ80" s="1295"/>
      <c r="DK80" s="1295"/>
      <c r="DL80" s="1295"/>
      <c r="DM80" s="1295"/>
      <c r="DN80" s="1295"/>
      <c r="DO80" s="1295"/>
      <c r="DP80" s="1295"/>
      <c r="DQ80" s="1295"/>
      <c r="DR80" s="1295"/>
      <c r="DS80" s="1295"/>
      <c r="DT80" s="1295"/>
      <c r="DU80" s="1295"/>
      <c r="DV80" s="1295"/>
      <c r="DW80" s="1295"/>
      <c r="DX80" s="1295"/>
      <c r="DY80" s="1295"/>
      <c r="DZ80" s="1295"/>
      <c r="EA80" s="1295"/>
      <c r="EB80" s="1295"/>
      <c r="EC80" s="1295"/>
      <c r="ED80" s="1295"/>
      <c r="EE80" s="1295"/>
      <c r="EF80" s="1295"/>
      <c r="EG80" s="1295"/>
      <c r="EH80" s="1295"/>
      <c r="EI80" s="1295"/>
      <c r="EJ80" s="1295"/>
      <c r="EK80" s="1295"/>
      <c r="EL80" s="1295"/>
      <c r="EM80" s="1295"/>
      <c r="EN80" s="1295"/>
      <c r="EO80" s="1295"/>
      <c r="EP80" s="1295"/>
      <c r="EQ80" s="1295"/>
      <c r="ER80" s="1295"/>
      <c r="ES80" s="1"/>
      <c r="ET80" s="1"/>
      <c r="EU80" s="1"/>
      <c r="EV80" s="1"/>
      <c r="EW80" s="1"/>
      <c r="EX80" s="1"/>
      <c r="EY80" s="1"/>
      <c r="EZ80" s="1"/>
      <c r="FA80" s="1"/>
      <c r="FB80" s="1"/>
      <c r="FC80" s="1"/>
      <c r="FD80" s="1"/>
      <c r="FE80" s="1"/>
      <c r="FF80" s="1"/>
      <c r="FG80" s="1"/>
      <c r="FH80" s="1"/>
      <c r="FI80" s="1"/>
      <c r="FJ80" s="1"/>
      <c r="FK80" s="1"/>
      <c r="FL80" s="1"/>
      <c r="FM80" s="1"/>
      <c r="FN80" s="1"/>
      <c r="FO80" s="1"/>
      <c r="FP80" s="1"/>
      <c r="FQ80" s="1"/>
      <c r="FR80" s="1"/>
      <c r="FS80" s="1"/>
      <c r="FT80" s="1"/>
      <c r="FU80" s="1"/>
      <c r="FV80" s="1"/>
      <c r="FW80" s="1"/>
      <c r="FX80" s="1"/>
      <c r="FY80" s="1"/>
      <c r="FZ80" s="1"/>
      <c r="GA80" s="1"/>
      <c r="GB80" s="1"/>
      <c r="GC80" s="1"/>
      <c r="GD80" s="1"/>
      <c r="GE80" s="1"/>
      <c r="GF80" s="1"/>
      <c r="GG80" s="1"/>
      <c r="GH80" s="1"/>
      <c r="GI80" s="1"/>
      <c r="GJ80" s="1"/>
      <c r="GK80" s="1"/>
      <c r="GL80" s="1"/>
      <c r="GM80" s="1"/>
      <c r="GN80" s="1"/>
      <c r="GO80" s="1"/>
      <c r="GP80" s="1"/>
      <c r="GQ80" s="1"/>
      <c r="GR80" s="1"/>
      <c r="GS80" s="1"/>
      <c r="GT80" s="1"/>
      <c r="GU80" s="1"/>
      <c r="GV80" s="1"/>
      <c r="GW80" s="1"/>
      <c r="GX80" s="1"/>
      <c r="GY80" s="1"/>
      <c r="GZ80" s="1"/>
      <c r="HA80" s="1"/>
      <c r="HB80" s="1"/>
      <c r="HC80" s="1"/>
      <c r="HD80" s="1"/>
      <c r="HE80" s="1"/>
      <c r="HF80" s="1"/>
      <c r="HG80" s="1"/>
      <c r="HH80" s="1"/>
      <c r="HI80" s="1"/>
      <c r="HJ80" s="1"/>
      <c r="HK80" s="1"/>
      <c r="HL80" s="1"/>
      <c r="HM80" s="1"/>
      <c r="HN80" s="1"/>
      <c r="HO80" s="1"/>
      <c r="HP80" s="1"/>
      <c r="HQ80" s="1"/>
      <c r="HR80" s="1"/>
      <c r="HS80" s="1"/>
      <c r="HT80" s="1"/>
      <c r="HU80" s="1"/>
      <c r="HV80" s="1"/>
      <c r="HW80" s="1"/>
      <c r="HX80" s="1"/>
      <c r="HY80" s="1"/>
      <c r="HZ80" s="1"/>
      <c r="IA80" s="1"/>
      <c r="IB80" s="1"/>
      <c r="IC80" s="1"/>
      <c r="ID80" s="1"/>
      <c r="IE80" s="1"/>
      <c r="IF80" s="1"/>
      <c r="IG80" s="1"/>
      <c r="IH80" s="1"/>
      <c r="II80" s="1"/>
      <c r="IJ80" s="1"/>
      <c r="IK80" s="1"/>
      <c r="IL80" s="1"/>
      <c r="IM80" s="1"/>
      <c r="IN80" s="1"/>
      <c r="IO80" s="1"/>
      <c r="IP80" s="1"/>
      <c r="IQ80" s="1"/>
      <c r="IR80" s="1"/>
      <c r="IS80" s="1"/>
      <c r="IT80" s="1"/>
      <c r="IU80" s="1"/>
      <c r="IV80" s="1"/>
      <c r="IW80" s="1"/>
      <c r="IX80" s="1"/>
      <c r="IY80" s="1"/>
      <c r="IZ80" s="1"/>
      <c r="JA80" s="1"/>
      <c r="JB80" s="1"/>
      <c r="JC80" s="1"/>
      <c r="JD80" s="1"/>
    </row>
    <row r="81" spans="2:264" s="1299" customFormat="1" ht="13.5" thickBot="1" x14ac:dyDescent="0.25">
      <c r="B81" s="350"/>
      <c r="C81" s="1213"/>
      <c r="D81" s="1296"/>
      <c r="E81" s="1297"/>
      <c r="F81" s="1271" t="s">
        <v>1079</v>
      </c>
      <c r="G81" s="1234"/>
      <c r="H81" s="1234"/>
      <c r="I81" s="1162"/>
      <c r="J81" s="1162"/>
      <c r="K81" s="1162"/>
      <c r="L81" s="1162"/>
      <c r="M81" s="1162"/>
      <c r="N81" s="1162"/>
      <c r="O81" s="1162"/>
      <c r="P81" s="1297"/>
      <c r="Q81" s="1044" t="s">
        <v>1087</v>
      </c>
      <c r="R81" s="1074"/>
      <c r="S81" s="1074"/>
      <c r="T81" s="1074"/>
      <c r="U81" s="1074"/>
      <c r="V81" s="1074"/>
      <c r="W81" s="1074"/>
      <c r="X81" s="1074"/>
      <c r="Y81" s="1086">
        <f>MODEL!BJ40+MODEL!BJ43</f>
        <v>7578</v>
      </c>
      <c r="Z81" s="1086">
        <f>MODEL!BN40+MODEL!BN43</f>
        <v>8586</v>
      </c>
      <c r="AA81" s="1086">
        <f>MODEL!BR40+MODEL!BR43</f>
        <v>9011</v>
      </c>
      <c r="AB81" s="1086">
        <f>MODEL!BV40+MODEL!BV43</f>
        <v>9173</v>
      </c>
      <c r="AC81" s="1086">
        <f>MODEL!BZ40+MODEL!BZ43</f>
        <v>9928</v>
      </c>
      <c r="AD81" s="1086">
        <f>MODEL!CD40+MODEL!CD43</f>
        <v>9329</v>
      </c>
      <c r="AE81" s="1087">
        <f>MODEL!CH40+MODEL!CH43</f>
        <v>8571</v>
      </c>
      <c r="AF81" s="1088">
        <f>MODEL!CL40+MODEL!CL43</f>
        <v>9592</v>
      </c>
      <c r="AG81" s="1088">
        <f>MODEL!CP40+MODEL!CP43</f>
        <v>10181</v>
      </c>
      <c r="AH81" s="1088">
        <f>MODEL!CT40+MODEL!CT43</f>
        <v>10771</v>
      </c>
      <c r="AI81" s="1088">
        <f>MODEL!CX40+MODEL!CX43</f>
        <v>9998</v>
      </c>
      <c r="AJ81" s="1088">
        <f>MODEL!DB40+MODEL!DB43</f>
        <v>9394</v>
      </c>
      <c r="AK81" s="1365">
        <f>MODEL!DF40+MODEL!DF43</f>
        <v>10116</v>
      </c>
      <c r="AL81" s="1088">
        <f>MODEL!DJ40+MODEL!DJ43</f>
        <v>10991.653390878699</v>
      </c>
      <c r="AM81" s="1088">
        <f>MODEL!$DN40+MODEL!$DN43</f>
        <v>11801.308185560092</v>
      </c>
      <c r="AN81" s="1088">
        <f>MODEL!$DR40+MODEL!$DR43</f>
        <v>12258.706796775259</v>
      </c>
      <c r="AO81" s="1086">
        <f t="shared" ref="AO81:CE81" ca="1" si="222">AO58</f>
        <v>12925.493078831561</v>
      </c>
      <c r="AP81" s="1086">
        <f t="shared" ca="1" si="222"/>
        <v>13420.746209131936</v>
      </c>
      <c r="AQ81" s="1086">
        <f t="shared" ca="1" si="222"/>
        <v>13934.192192653638</v>
      </c>
      <c r="AR81" s="1086">
        <f t="shared" ca="1" si="222"/>
        <v>14466.470323873622</v>
      </c>
      <c r="AS81" s="1086">
        <f t="shared" ca="1" si="222"/>
        <v>13579.115218094181</v>
      </c>
      <c r="AT81" s="1086">
        <f t="shared" ca="1" si="222"/>
        <v>14086.300448299729</v>
      </c>
      <c r="AU81" s="1086">
        <f t="shared" ca="1" si="222"/>
        <v>16183.012969235842</v>
      </c>
      <c r="AV81" s="1086">
        <f t="shared" ca="1" si="222"/>
        <v>16938.299103375579</v>
      </c>
      <c r="AW81" s="1086">
        <f ca="1">AW58</f>
        <v>17758.541791819203</v>
      </c>
      <c r="AX81" s="1086">
        <f ca="1">AX58</f>
        <v>18369.285601213949</v>
      </c>
      <c r="AY81" s="1086">
        <f ca="1">AY58</f>
        <v>18939.852093984951</v>
      </c>
      <c r="AZ81" s="1086">
        <f ca="1">AZ58</f>
        <v>19512.917397974652</v>
      </c>
      <c r="BA81" s="1086">
        <f t="shared" ca="1" si="222"/>
        <v>19835.334088568117</v>
      </c>
      <c r="BB81" s="1086">
        <f t="shared" ca="1" si="222"/>
        <v>20266.375873358054</v>
      </c>
      <c r="BC81" s="1086">
        <f t="shared" ca="1" si="222"/>
        <v>20604.053316448404</v>
      </c>
      <c r="BD81" s="1086">
        <f t="shared" ca="1" si="222"/>
        <v>20918.631586226154</v>
      </c>
      <c r="BE81" s="1086">
        <f t="shared" ca="1" si="222"/>
        <v>21227.711327787136</v>
      </c>
      <c r="BF81" s="1086">
        <f t="shared" ca="1" si="222"/>
        <v>21535.553538063778</v>
      </c>
      <c r="BG81" s="1086">
        <f t="shared" ca="1" si="222"/>
        <v>21843.043521812382</v>
      </c>
      <c r="BH81" s="1086">
        <f t="shared" ca="1" si="222"/>
        <v>22150.20691280597</v>
      </c>
      <c r="BI81" s="1086">
        <f t="shared" ca="1" si="222"/>
        <v>22456.842553889219</v>
      </c>
      <c r="BJ81" s="1086">
        <f t="shared" ca="1" si="222"/>
        <v>22762.68079190969</v>
      </c>
      <c r="BK81" s="1086">
        <f t="shared" ca="1" si="222"/>
        <v>23067.422548746563</v>
      </c>
      <c r="BL81" s="1086">
        <f t="shared" ca="1" si="222"/>
        <v>23370.748525431518</v>
      </c>
      <c r="BM81" s="1086">
        <f t="shared" ca="1" si="222"/>
        <v>23672.320933544735</v>
      </c>
      <c r="BN81" s="1086">
        <f t="shared" ca="1" si="222"/>
        <v>23971.783346953958</v>
      </c>
      <c r="BO81" s="1086">
        <f t="shared" ca="1" si="222"/>
        <v>24268.760065537084</v>
      </c>
      <c r="BP81" s="1086">
        <f t="shared" ca="1" si="222"/>
        <v>24562.855335376586</v>
      </c>
      <c r="BQ81" s="1086">
        <f t="shared" ca="1" si="222"/>
        <v>24853.652509780524</v>
      </c>
      <c r="BR81" s="1086">
        <f t="shared" ca="1" si="222"/>
        <v>25140.713171058032</v>
      </c>
      <c r="BS81" s="1086">
        <f t="shared" ca="1" si="222"/>
        <v>25423.576217052381</v>
      </c>
      <c r="BT81" s="1086">
        <f t="shared" ca="1" si="222"/>
        <v>25701.756912488319</v>
      </c>
      <c r="BU81" s="1086">
        <f t="shared" ca="1" si="222"/>
        <v>25974.74590419103</v>
      </c>
      <c r="BV81" s="1086">
        <f t="shared" ca="1" si="222"/>
        <v>26242.00819895717</v>
      </c>
      <c r="BW81" s="1086">
        <f t="shared" ca="1" si="222"/>
        <v>26502.982102756527</v>
      </c>
      <c r="BX81" s="1086">
        <f t="shared" ca="1" si="222"/>
        <v>26757.078119882746</v>
      </c>
      <c r="BY81" s="1086">
        <f t="shared" ca="1" si="222"/>
        <v>27003.677810620145</v>
      </c>
      <c r="BZ81" s="1086">
        <f t="shared" ca="1" si="222"/>
        <v>27242.132605943254</v>
      </c>
      <c r="CA81" s="1086">
        <f t="shared" ca="1" si="222"/>
        <v>27471.762577714388</v>
      </c>
      <c r="CB81" s="1086">
        <f t="shared" ca="1" si="222"/>
        <v>27691.855162791355</v>
      </c>
      <c r="CC81" s="1086">
        <f t="shared" ca="1" si="222"/>
        <v>27901.663839402576</v>
      </c>
      <c r="CD81" s="1086">
        <f t="shared" ca="1" si="222"/>
        <v>28100.406754090327</v>
      </c>
      <c r="CE81" s="1086">
        <f t="shared" ca="1" si="222"/>
        <v>28287.26529746439</v>
      </c>
      <c r="CF81" s="1086">
        <f ca="1">CF58</f>
        <v>28461.382626947474</v>
      </c>
      <c r="CG81" s="1086">
        <f ca="1">CG58</f>
        <v>28621.862134631705</v>
      </c>
      <c r="CH81" s="1086">
        <f ca="1">CH58</f>
        <v>28767.765858300434</v>
      </c>
      <c r="CI81" s="1086">
        <f ca="1">CI58</f>
        <v>28898.112833602965</v>
      </c>
      <c r="CJ81" s="1086">
        <f ca="1">CJ58</f>
        <v>29735.718346120368</v>
      </c>
      <c r="CK81" s="1254"/>
      <c r="CL81" s="1254"/>
      <c r="CM81" s="1254"/>
      <c r="CN81" s="1254"/>
      <c r="CO81" s="1254"/>
      <c r="CP81" s="1254"/>
      <c r="CQ81" s="1254"/>
      <c r="CR81" s="1254"/>
      <c r="CS81" s="1254"/>
      <c r="CT81" s="1254"/>
      <c r="CU81" s="1254"/>
      <c r="CV81" s="1254"/>
      <c r="CW81" s="1254"/>
      <c r="CX81" s="1254"/>
      <c r="CY81" s="1254"/>
      <c r="CZ81" s="1254"/>
      <c r="DA81" s="1254"/>
      <c r="DB81" s="1254"/>
      <c r="DC81" s="1254"/>
      <c r="DD81" s="1254"/>
      <c r="DE81" s="1254"/>
      <c r="DF81" s="1254"/>
      <c r="DG81" s="1254"/>
      <c r="DH81" s="1254"/>
      <c r="DI81" s="1254"/>
      <c r="DJ81" s="1254"/>
      <c r="DK81" s="1254"/>
      <c r="DL81" s="1254"/>
      <c r="DM81" s="1254"/>
      <c r="DN81" s="1254"/>
      <c r="DO81" s="1254"/>
      <c r="DP81" s="1254"/>
      <c r="DQ81" s="1254"/>
      <c r="DR81" s="1254"/>
      <c r="DS81" s="1254"/>
      <c r="DT81" s="1254"/>
      <c r="DU81" s="1254"/>
      <c r="DV81" s="1254"/>
      <c r="DW81" s="1254"/>
      <c r="DX81" s="1254"/>
      <c r="DY81" s="1254"/>
      <c r="DZ81" s="1254"/>
      <c r="EA81" s="1254"/>
      <c r="EB81" s="1254"/>
      <c r="EC81" s="1254"/>
      <c r="ED81" s="1254"/>
      <c r="EE81" s="1254"/>
      <c r="EF81" s="1254"/>
      <c r="EG81" s="1254"/>
      <c r="EH81" s="1254"/>
      <c r="EI81" s="1254"/>
      <c r="EJ81" s="1254"/>
      <c r="EK81" s="1254"/>
      <c r="EL81" s="1254"/>
      <c r="EM81" s="1254"/>
      <c r="EN81" s="1254"/>
      <c r="EO81" s="1254"/>
      <c r="EP81" s="1254"/>
      <c r="EQ81" s="1254"/>
      <c r="ER81" s="1254"/>
      <c r="ES81" s="1"/>
      <c r="ET81" s="1"/>
      <c r="EU81" s="1"/>
      <c r="EV81" s="1"/>
      <c r="EW81" s="1"/>
      <c r="EX81" s="1"/>
      <c r="EY81" s="1"/>
      <c r="EZ81" s="1"/>
      <c r="FA81" s="1"/>
      <c r="FB81" s="1"/>
      <c r="FC81" s="1"/>
      <c r="FD81" s="1"/>
      <c r="FE81" s="1"/>
      <c r="FF81" s="1"/>
      <c r="FG81" s="1"/>
      <c r="FH81" s="1"/>
      <c r="FI81" s="1"/>
      <c r="FJ81" s="1"/>
      <c r="FK81" s="1"/>
      <c r="FL81" s="1"/>
      <c r="FM81" s="1"/>
      <c r="FN81" s="1"/>
      <c r="FO81" s="1"/>
      <c r="FP81" s="1"/>
      <c r="FQ81" s="1"/>
      <c r="FR81" s="1"/>
      <c r="FS81" s="1"/>
      <c r="FT81" s="1"/>
      <c r="FU81" s="1"/>
      <c r="FV81" s="1"/>
      <c r="FW81" s="1"/>
      <c r="FX81" s="1"/>
      <c r="FY81" s="1"/>
      <c r="FZ81" s="1"/>
      <c r="GA81" s="1"/>
      <c r="GB81" s="1"/>
      <c r="GC81" s="1"/>
      <c r="GD81" s="1"/>
      <c r="GE81" s="1"/>
      <c r="GF81" s="1"/>
      <c r="GG81" s="1"/>
      <c r="GH81" s="1"/>
      <c r="GI81" s="1"/>
      <c r="GJ81" s="1"/>
      <c r="GK81" s="1"/>
      <c r="GL81" s="1"/>
      <c r="GM81" s="1"/>
      <c r="GN81" s="1"/>
      <c r="GO81" s="1"/>
      <c r="GP81" s="1"/>
      <c r="GQ81" s="1"/>
      <c r="GR81" s="1"/>
      <c r="GS81" s="1"/>
      <c r="GT81" s="1"/>
      <c r="GU81" s="1"/>
      <c r="GV81" s="1"/>
      <c r="GW81" s="1"/>
      <c r="GX81" s="1"/>
      <c r="GY81" s="1"/>
      <c r="GZ81" s="1"/>
      <c r="HA81" s="1"/>
      <c r="HB81" s="1"/>
      <c r="HC81" s="1"/>
      <c r="HD81" s="1"/>
      <c r="HE81" s="1"/>
      <c r="HF81" s="1"/>
      <c r="HG81" s="1"/>
      <c r="HH81" s="1"/>
      <c r="HI81" s="1"/>
      <c r="HJ81" s="1"/>
      <c r="HK81" s="1"/>
      <c r="HL81" s="1"/>
      <c r="HM81" s="1"/>
      <c r="HN81" s="1"/>
      <c r="HO81" s="1"/>
      <c r="HP81" s="1"/>
      <c r="HQ81" s="1"/>
      <c r="HR81" s="1"/>
      <c r="HS81" s="1"/>
      <c r="HT81" s="1"/>
      <c r="HU81" s="1"/>
      <c r="HV81" s="1"/>
      <c r="HW81" s="1"/>
      <c r="HX81" s="1"/>
      <c r="HY81" s="1"/>
      <c r="HZ81" s="1"/>
      <c r="IA81" s="1"/>
      <c r="IB81" s="1"/>
      <c r="IC81" s="1"/>
      <c r="ID81" s="1"/>
      <c r="IE81" s="1"/>
      <c r="IF81" s="1"/>
      <c r="IG81" s="1"/>
      <c r="IH81" s="1"/>
      <c r="II81" s="1"/>
      <c r="IJ81" s="1"/>
      <c r="IK81" s="1"/>
      <c r="IL81" s="1"/>
      <c r="IM81" s="1"/>
      <c r="IN81" s="1"/>
      <c r="IO81" s="1"/>
      <c r="IP81" s="1"/>
      <c r="IQ81" s="1"/>
      <c r="IR81" s="1"/>
      <c r="IS81" s="1"/>
      <c r="IT81" s="1"/>
      <c r="IU81" s="1"/>
      <c r="IV81" s="1"/>
      <c r="IW81" s="1"/>
      <c r="IX81" s="1"/>
      <c r="IY81" s="1"/>
      <c r="IZ81" s="1"/>
      <c r="JA81" s="1"/>
      <c r="JB81" s="1"/>
      <c r="JC81" s="1"/>
      <c r="JD81" s="1"/>
    </row>
    <row r="82" spans="2:264" s="1044" customFormat="1" ht="13.5" thickBot="1" x14ac:dyDescent="0.25">
      <c r="B82" s="1220"/>
      <c r="C82" s="1222"/>
      <c r="D82" s="1219"/>
      <c r="E82" s="1194"/>
      <c r="F82" s="1251" t="s">
        <v>1061</v>
      </c>
      <c r="H82" s="1252">
        <v>2.1700000000000001E-2</v>
      </c>
      <c r="I82" s="1090"/>
      <c r="J82" s="1090"/>
      <c r="K82" s="1090"/>
      <c r="L82" s="1090"/>
      <c r="M82" s="1090"/>
      <c r="N82" s="1090"/>
      <c r="O82" s="1090"/>
      <c r="P82" s="1212"/>
      <c r="Q82" s="1044" t="s">
        <v>695</v>
      </c>
      <c r="R82" s="1074"/>
      <c r="S82" s="1074"/>
      <c r="T82" s="1074"/>
      <c r="U82" s="1074"/>
      <c r="V82" s="1074"/>
      <c r="W82" s="1074"/>
      <c r="X82" s="1074"/>
      <c r="Y82" s="1086">
        <f>MODEL!BJ967+MODEL!BJ968</f>
        <v>-5776</v>
      </c>
      <c r="Z82" s="1086">
        <f>MODEL!BN967+MODEL!BN968</f>
        <v>-6174</v>
      </c>
      <c r="AA82" s="1086">
        <f>MODEL!BR967+MODEL!BR968</f>
        <v>-6744</v>
      </c>
      <c r="AB82" s="1086">
        <f>MODEL!BV967+MODEL!BV968</f>
        <v>-6994</v>
      </c>
      <c r="AC82" s="1086">
        <f>MODEL!BZ967+MODEL!BZ968</f>
        <v>-7237</v>
      </c>
      <c r="AD82" s="1086">
        <f>MODEL!CD967+MODEL!CD968</f>
        <v>-7484</v>
      </c>
      <c r="AE82" s="1087">
        <f>MODEL!CH967+MODEL!CH968</f>
        <v>-7606</v>
      </c>
      <c r="AF82" s="1088">
        <f>MODEL!CL967+MODEL!CL968</f>
        <v>-7629</v>
      </c>
      <c r="AG82" s="1088">
        <f>MODEL!CP967+MODEL!CP968</f>
        <v>-4396</v>
      </c>
      <c r="AH82" s="1088">
        <f>MODEL!CT967+MODEL!CT968</f>
        <v>-6535</v>
      </c>
      <c r="AI82" s="1088">
        <f>MODEL!CX967+MODEL!CX968</f>
        <v>-7117</v>
      </c>
      <c r="AJ82" s="1088">
        <f>MODEL!DB967+MODEL!DB968</f>
        <v>-7623</v>
      </c>
      <c r="AK82" s="1365">
        <f>MODEL!DF967+MODEL!DF968</f>
        <v>-7949</v>
      </c>
      <c r="AL82" s="1088">
        <f>MODEL!DJ967+MODEL!DJ968</f>
        <v>-8283.6365413000003</v>
      </c>
      <c r="AM82" s="1088">
        <f>MODEL!$DN967+MODEL!$DN968</f>
        <v>-9029.2137379644846</v>
      </c>
      <c r="AN82" s="1088">
        <f>MODEL!$DR967+MODEL!$DR968</f>
        <v>-9529.1581668282779</v>
      </c>
      <c r="AO82" s="1086">
        <f t="shared" ref="AO82:AX83" ca="1" si="223">-AO81*AO92</f>
        <v>-10211.139532276933</v>
      </c>
      <c r="AP82" s="1086">
        <f t="shared" ca="1" si="223"/>
        <v>-10602.389505214229</v>
      </c>
      <c r="AQ82" s="1086">
        <f t="shared" ca="1" si="223"/>
        <v>-11008.011832196375</v>
      </c>
      <c r="AR82" s="1086">
        <f t="shared" ca="1" si="223"/>
        <v>-11428.511555860161</v>
      </c>
      <c r="AS82" s="1086">
        <f t="shared" ca="1" si="223"/>
        <v>-10727.501022294404</v>
      </c>
      <c r="AT82" s="1086">
        <f t="shared" ca="1" si="223"/>
        <v>-11128.177354156787</v>
      </c>
      <c r="AU82" s="1086">
        <f t="shared" ca="1" si="223"/>
        <v>-12784.580245696316</v>
      </c>
      <c r="AV82" s="1086">
        <f t="shared" ca="1" si="223"/>
        <v>-12703.724327531683</v>
      </c>
      <c r="AW82" s="1086">
        <f t="shared" ca="1" si="223"/>
        <v>-13318.906343864403</v>
      </c>
      <c r="AX82" s="1086">
        <f t="shared" ca="1" si="223"/>
        <v>-13776.964200910461</v>
      </c>
      <c r="AY82" s="1086">
        <f t="shared" ref="AY82:BH83" ca="1" si="224">-AY81*AY92</f>
        <v>-14204.889070488713</v>
      </c>
      <c r="AZ82" s="1086">
        <f t="shared" ca="1" si="224"/>
        <v>-14634.688048480988</v>
      </c>
      <c r="BA82" s="1086">
        <f t="shared" ca="1" si="224"/>
        <v>-13884.733861997682</v>
      </c>
      <c r="BB82" s="1086">
        <f t="shared" ca="1" si="224"/>
        <v>-14186.463111350637</v>
      </c>
      <c r="BC82" s="1086">
        <f t="shared" ca="1" si="224"/>
        <v>-14422.837321513882</v>
      </c>
      <c r="BD82" s="1086">
        <f t="shared" ca="1" si="224"/>
        <v>-14643.042110358307</v>
      </c>
      <c r="BE82" s="1086">
        <f t="shared" ca="1" si="224"/>
        <v>-14859.397929450994</v>
      </c>
      <c r="BF82" s="1086">
        <f t="shared" ca="1" si="224"/>
        <v>-15074.887476644642</v>
      </c>
      <c r="BG82" s="1086">
        <f t="shared" ca="1" si="224"/>
        <v>-15290.130465268667</v>
      </c>
      <c r="BH82" s="1086">
        <f t="shared" ca="1" si="224"/>
        <v>-15505.144838964177</v>
      </c>
      <c r="BI82" s="1086">
        <f t="shared" ref="BI82:BR83" ca="1" si="225">-BI81*BI92</f>
        <v>-15719.789787722451</v>
      </c>
      <c r="BJ82" s="1086">
        <f t="shared" ca="1" si="225"/>
        <v>-15933.876554336783</v>
      </c>
      <c r="BK82" s="1086">
        <f t="shared" ca="1" si="225"/>
        <v>-16147.195784122592</v>
      </c>
      <c r="BL82" s="1086">
        <f t="shared" ca="1" si="225"/>
        <v>-16359.523967802061</v>
      </c>
      <c r="BM82" s="1086">
        <f t="shared" ca="1" si="225"/>
        <v>-16570.624653481314</v>
      </c>
      <c r="BN82" s="1086">
        <f t="shared" ca="1" si="225"/>
        <v>-16780.24834286777</v>
      </c>
      <c r="BO82" s="1086">
        <f t="shared" ca="1" si="225"/>
        <v>-16988.132045875958</v>
      </c>
      <c r="BP82" s="1086">
        <f t="shared" ca="1" si="225"/>
        <v>-17193.998734763609</v>
      </c>
      <c r="BQ82" s="1086">
        <f t="shared" ca="1" si="225"/>
        <v>-17397.556756846367</v>
      </c>
      <c r="BR82" s="1086">
        <f t="shared" ca="1" si="225"/>
        <v>-17598.499219740621</v>
      </c>
      <c r="BS82" s="1086">
        <f t="shared" ref="BS82:CB83" ca="1" si="226">-BS81*BS92</f>
        <v>-17796.503351936666</v>
      </c>
      <c r="BT82" s="1086">
        <f t="shared" ca="1" si="226"/>
        <v>-17991.229838741823</v>
      </c>
      <c r="BU82" s="1086">
        <f t="shared" ca="1" si="226"/>
        <v>-18182.322132933721</v>
      </c>
      <c r="BV82" s="1086">
        <f t="shared" ca="1" si="226"/>
        <v>-18369.405739270016</v>
      </c>
      <c r="BW82" s="1086">
        <f t="shared" ca="1" si="226"/>
        <v>-18552.087471929568</v>
      </c>
      <c r="BX82" s="1086">
        <f t="shared" ca="1" si="226"/>
        <v>-18729.95468391792</v>
      </c>
      <c r="BY82" s="1086">
        <f t="shared" ca="1" si="226"/>
        <v>-18902.5744674341</v>
      </c>
      <c r="BZ82" s="1086">
        <f t="shared" ca="1" si="226"/>
        <v>-19069.492824160276</v>
      </c>
      <c r="CA82" s="1086">
        <f t="shared" ca="1" si="226"/>
        <v>-19230.233804400072</v>
      </c>
      <c r="CB82" s="1086">
        <f t="shared" ca="1" si="226"/>
        <v>-19384.298613953946</v>
      </c>
      <c r="CC82" s="1086">
        <f t="shared" ref="CC82:CJ83" ca="1" si="227">-CC81*CC92</f>
        <v>-19531.164687581801</v>
      </c>
      <c r="CD82" s="1086">
        <f t="shared" ca="1" si="227"/>
        <v>-19670.284727863229</v>
      </c>
      <c r="CE82" s="1086">
        <f t="shared" ca="1" si="227"/>
        <v>-19801.085708225073</v>
      </c>
      <c r="CF82" s="1086">
        <f t="shared" ca="1" si="227"/>
        <v>-19922.967838863231</v>
      </c>
      <c r="CG82" s="1086">
        <f t="shared" ca="1" si="227"/>
        <v>-20035.303494242191</v>
      </c>
      <c r="CH82" s="1086">
        <f t="shared" ca="1" si="227"/>
        <v>-20137.436100810304</v>
      </c>
      <c r="CI82" s="1086">
        <f t="shared" ca="1" si="227"/>
        <v>-20228.678983522073</v>
      </c>
      <c r="CJ82" s="1086">
        <f t="shared" ca="1" si="227"/>
        <v>-20815.002842284255</v>
      </c>
      <c r="CK82" s="1300"/>
      <c r="CL82" s="1300"/>
      <c r="CM82" s="1300"/>
      <c r="CN82" s="1300"/>
      <c r="CO82" s="1300"/>
      <c r="CP82" s="1300"/>
      <c r="CQ82" s="1300"/>
      <c r="CR82" s="1300"/>
      <c r="CS82" s="1300"/>
      <c r="CT82" s="1300"/>
      <c r="CU82" s="1300"/>
      <c r="CV82" s="1300"/>
      <c r="CW82" s="1300"/>
      <c r="CX82" s="1300"/>
      <c r="CY82" s="1300"/>
      <c r="CZ82" s="1300"/>
      <c r="DA82" s="1300"/>
      <c r="DB82" s="1300"/>
      <c r="DC82" s="1300"/>
      <c r="DD82" s="1300"/>
      <c r="DE82" s="1300"/>
      <c r="DF82" s="1300"/>
      <c r="DG82" s="1300"/>
      <c r="DH82" s="1300"/>
      <c r="DI82" s="1300"/>
      <c r="DJ82" s="1300"/>
      <c r="DK82" s="1300"/>
      <c r="DL82" s="1300"/>
      <c r="DM82" s="1300"/>
      <c r="DN82" s="1300"/>
      <c r="DO82" s="1300"/>
      <c r="DP82" s="1300"/>
      <c r="DQ82" s="1300"/>
      <c r="DR82" s="1300"/>
      <c r="DS82" s="1300"/>
      <c r="DT82" s="1300"/>
      <c r="DU82" s="1300"/>
      <c r="DV82" s="1300"/>
      <c r="DW82" s="1300"/>
      <c r="DX82" s="1300"/>
      <c r="DY82" s="1300"/>
      <c r="DZ82" s="1300"/>
      <c r="EA82" s="1300"/>
      <c r="EB82" s="1300"/>
      <c r="EC82" s="1300"/>
      <c r="ED82" s="1300"/>
      <c r="EE82" s="1300"/>
      <c r="EF82" s="1300"/>
      <c r="EG82" s="1300"/>
      <c r="EH82" s="1300"/>
      <c r="EI82" s="1300"/>
      <c r="EJ82" s="1300"/>
      <c r="EK82" s="1300"/>
      <c r="EL82" s="1300"/>
      <c r="EM82" s="1300"/>
      <c r="EN82" s="1300"/>
      <c r="EO82" s="1300"/>
      <c r="EP82" s="1300"/>
      <c r="EQ82" s="1300"/>
      <c r="ER82" s="1300"/>
      <c r="ES82" s="1"/>
      <c r="ET82" s="1"/>
      <c r="EU82" s="1"/>
      <c r="EV82" s="1"/>
      <c r="EW82" s="1"/>
      <c r="EX82" s="1"/>
      <c r="EY82" s="1"/>
      <c r="EZ82" s="1"/>
      <c r="FA82" s="1"/>
      <c r="FB82" s="1"/>
      <c r="FC82" s="1"/>
      <c r="FD82" s="1"/>
      <c r="FE82" s="1"/>
      <c r="FF82" s="1"/>
      <c r="FG82" s="1"/>
      <c r="FH82" s="1"/>
      <c r="FI82" s="1"/>
      <c r="FJ82" s="1"/>
      <c r="FK82" s="1"/>
      <c r="FL82" s="1"/>
      <c r="FM82" s="1"/>
      <c r="FN82" s="1"/>
      <c r="FO82" s="1"/>
      <c r="FP82" s="1"/>
      <c r="FQ82" s="1"/>
      <c r="FR82" s="1"/>
      <c r="FS82" s="1"/>
      <c r="FT82" s="1"/>
      <c r="FU82" s="1"/>
      <c r="FV82" s="1"/>
      <c r="FW82" s="1"/>
      <c r="FX82" s="1"/>
      <c r="FY82" s="1"/>
      <c r="FZ82" s="1"/>
      <c r="GA82" s="1"/>
      <c r="GB82" s="1"/>
      <c r="GC82" s="1"/>
      <c r="GD82" s="1"/>
      <c r="GE82" s="1"/>
      <c r="GF82" s="1"/>
      <c r="GG82" s="1"/>
      <c r="GH82" s="1"/>
      <c r="GI82" s="1"/>
      <c r="GJ82" s="1"/>
      <c r="GK82" s="1"/>
      <c r="GL82" s="1"/>
      <c r="GM82" s="1"/>
      <c r="GN82" s="1"/>
      <c r="GO82" s="1"/>
      <c r="GP82" s="1"/>
      <c r="GQ82" s="1"/>
      <c r="GR82" s="1"/>
      <c r="GS82" s="1"/>
      <c r="GT82" s="1"/>
      <c r="GU82" s="1"/>
      <c r="GV82" s="1"/>
      <c r="GW82" s="1"/>
      <c r="GX82" s="1"/>
      <c r="GY82" s="1"/>
      <c r="GZ82" s="1"/>
      <c r="HA82" s="1"/>
      <c r="HB82" s="1"/>
      <c r="HC82" s="1"/>
      <c r="HD82" s="1"/>
      <c r="HE82" s="1"/>
      <c r="HF82" s="1"/>
      <c r="HG82" s="1"/>
      <c r="HH82" s="1"/>
      <c r="HI82" s="1"/>
      <c r="HJ82" s="1"/>
      <c r="HK82" s="1"/>
      <c r="HL82" s="1"/>
      <c r="HM82" s="1"/>
      <c r="HN82" s="1"/>
      <c r="HO82" s="1"/>
      <c r="HP82" s="1"/>
      <c r="HQ82" s="1"/>
      <c r="HR82" s="1"/>
      <c r="HS82" s="1"/>
      <c r="HT82" s="1"/>
      <c r="HU82" s="1"/>
      <c r="HV82" s="1"/>
      <c r="HW82" s="1"/>
      <c r="HX82" s="1"/>
      <c r="HY82" s="1"/>
      <c r="HZ82" s="1"/>
      <c r="IA82" s="1"/>
      <c r="IB82" s="1"/>
      <c r="IC82" s="1"/>
      <c r="ID82" s="1"/>
      <c r="IE82" s="1"/>
      <c r="IF82" s="1"/>
      <c r="IG82" s="1"/>
      <c r="IH82" s="1"/>
      <c r="II82" s="1"/>
      <c r="IJ82" s="1"/>
      <c r="IK82" s="1"/>
      <c r="IL82" s="1"/>
      <c r="IM82" s="1"/>
      <c r="IN82" s="1"/>
      <c r="IO82" s="1"/>
      <c r="IP82" s="1"/>
      <c r="IQ82" s="1"/>
      <c r="IR82" s="1"/>
      <c r="IS82" s="1"/>
      <c r="IT82" s="1"/>
      <c r="IU82" s="1"/>
      <c r="IV82" s="1"/>
      <c r="IW82" s="1"/>
      <c r="IX82" s="1"/>
      <c r="IY82" s="1"/>
      <c r="IZ82" s="1"/>
      <c r="JA82" s="1"/>
      <c r="JB82" s="1"/>
      <c r="JC82" s="1"/>
      <c r="JD82" s="1"/>
    </row>
    <row r="83" spans="2:264" s="1044" customFormat="1" ht="13.5" thickBot="1" x14ac:dyDescent="0.25">
      <c r="B83" s="350"/>
      <c r="C83" s="1207"/>
      <c r="D83" s="1213"/>
      <c r="E83" s="1194"/>
      <c r="F83" s="1044" t="s">
        <v>1063</v>
      </c>
      <c r="H83" s="1260">
        <v>0.03</v>
      </c>
      <c r="I83" s="1171"/>
      <c r="J83" s="1171"/>
      <c r="K83" s="1171"/>
      <c r="L83" s="1171"/>
      <c r="M83" s="1171"/>
      <c r="N83" s="1171"/>
      <c r="O83" s="1171"/>
      <c r="P83" s="1212"/>
      <c r="Q83" s="1044" t="s">
        <v>1088</v>
      </c>
      <c r="R83" s="1074"/>
      <c r="S83" s="1074"/>
      <c r="T83" s="1074"/>
      <c r="U83" s="1074"/>
      <c r="V83" s="1074"/>
      <c r="W83" s="1074"/>
      <c r="X83" s="1074"/>
      <c r="Y83" s="1086">
        <f>MODEL!BJ952</f>
        <v>1524.62586764</v>
      </c>
      <c r="Z83" s="1086">
        <f>MODEL!BN952</f>
        <v>1429.1032632992001</v>
      </c>
      <c r="AA83" s="1086">
        <f>MODEL!BR952</f>
        <v>1276.9423794339559</v>
      </c>
      <c r="AB83" s="1086">
        <f>MODEL!BV952</f>
        <v>1209.1118514999998</v>
      </c>
      <c r="AC83" s="1086">
        <f>MODEL!BZ952</f>
        <v>1143.2504194000001</v>
      </c>
      <c r="AD83" s="1086">
        <f>MODEL!CD952</f>
        <v>2106.0963510900001</v>
      </c>
      <c r="AE83" s="1087">
        <f>MODEL!CH952</f>
        <v>1341.26370118</v>
      </c>
      <c r="AF83" s="1088">
        <f>MODEL!CL952</f>
        <v>1133.4527371600002</v>
      </c>
      <c r="AG83" s="1088">
        <f>MODEL!CP952</f>
        <v>679.44986109000001</v>
      </c>
      <c r="AH83" s="1088">
        <f>MODEL!CT952</f>
        <v>1071.4450826493751</v>
      </c>
      <c r="AI83" s="1088">
        <f>MODEL!CX952</f>
        <v>1192.4020378074001</v>
      </c>
      <c r="AJ83" s="1088">
        <f>MODEL!DB952</f>
        <v>1208</v>
      </c>
      <c r="AK83" s="1365">
        <f>MODEL!DF952</f>
        <v>1440</v>
      </c>
      <c r="AL83" s="1088">
        <f>MODEL!DJ952</f>
        <v>1232.895481195</v>
      </c>
      <c r="AM83" s="1088">
        <f>MODEL!$DN952</f>
        <v>1354.3820606946724</v>
      </c>
      <c r="AN83" s="1088">
        <f>MODEL!$DR952</f>
        <v>1429.3737250242416</v>
      </c>
      <c r="AO83" s="1086">
        <f t="shared" ca="1" si="223"/>
        <v>1531.6709298415399</v>
      </c>
      <c r="AP83" s="1086">
        <f t="shared" ca="1" si="223"/>
        <v>1590.3584257821342</v>
      </c>
      <c r="AQ83" s="1086">
        <f t="shared" ca="1" si="223"/>
        <v>1651.2017748294561</v>
      </c>
      <c r="AR83" s="1086">
        <f t="shared" ca="1" si="223"/>
        <v>1714.2767333790241</v>
      </c>
      <c r="AS83" s="1086">
        <f t="shared" ca="1" si="223"/>
        <v>1609.1251533441605</v>
      </c>
      <c r="AT83" s="1086">
        <f t="shared" ca="1" si="223"/>
        <v>1669.2266031235181</v>
      </c>
      <c r="AU83" s="1086">
        <f t="shared" ca="1" si="223"/>
        <v>1917.6870368544473</v>
      </c>
      <c r="AV83" s="1086">
        <f t="shared" ca="1" si="223"/>
        <v>1905.5586491297524</v>
      </c>
      <c r="AW83" s="1086">
        <f t="shared" ca="1" si="223"/>
        <v>1997.8359515796603</v>
      </c>
      <c r="AX83" s="1086">
        <f t="shared" ca="1" si="223"/>
        <v>2066.5446301365691</v>
      </c>
      <c r="AY83" s="1086">
        <f t="shared" ca="1" si="224"/>
        <v>2130.733360573307</v>
      </c>
      <c r="AZ83" s="1086">
        <f t="shared" ca="1" si="224"/>
        <v>2195.2032072721481</v>
      </c>
      <c r="BA83" s="1086">
        <f t="shared" ca="1" si="224"/>
        <v>2082.7100792996521</v>
      </c>
      <c r="BB83" s="1086">
        <f t="shared" ca="1" si="224"/>
        <v>2127.9694667025956</v>
      </c>
      <c r="BC83" s="1086">
        <f t="shared" ca="1" si="224"/>
        <v>2163.425598227082</v>
      </c>
      <c r="BD83" s="1086">
        <f t="shared" ca="1" si="224"/>
        <v>2196.4563165537461</v>
      </c>
      <c r="BE83" s="1086">
        <f t="shared" ca="1" si="224"/>
        <v>2228.9096894176491</v>
      </c>
      <c r="BF83" s="1086">
        <f t="shared" ca="1" si="224"/>
        <v>2261.2331214966962</v>
      </c>
      <c r="BG83" s="1086">
        <f t="shared" ca="1" si="224"/>
        <v>2293.5195697903</v>
      </c>
      <c r="BH83" s="1086">
        <f t="shared" ca="1" si="224"/>
        <v>2325.7717258446264</v>
      </c>
      <c r="BI83" s="1086">
        <f t="shared" ca="1" si="225"/>
        <v>2357.9684681583676</v>
      </c>
      <c r="BJ83" s="1086">
        <f t="shared" ca="1" si="225"/>
        <v>2390.0814831505172</v>
      </c>
      <c r="BK83" s="1086">
        <f t="shared" ca="1" si="225"/>
        <v>2422.0793676183889</v>
      </c>
      <c r="BL83" s="1086">
        <f t="shared" ca="1" si="225"/>
        <v>2453.9285951703091</v>
      </c>
      <c r="BM83" s="1086">
        <f t="shared" ca="1" si="225"/>
        <v>2485.5936980221973</v>
      </c>
      <c r="BN83" s="1086">
        <f t="shared" ca="1" si="225"/>
        <v>2517.0372514301653</v>
      </c>
      <c r="BO83" s="1086">
        <f t="shared" ca="1" si="225"/>
        <v>2548.2198068813937</v>
      </c>
      <c r="BP83" s="1086">
        <f t="shared" ca="1" si="225"/>
        <v>2579.0998102145413</v>
      </c>
      <c r="BQ83" s="1086">
        <f t="shared" ca="1" si="225"/>
        <v>2609.6335135269551</v>
      </c>
      <c r="BR83" s="1086">
        <f t="shared" ca="1" si="225"/>
        <v>2639.7748829610932</v>
      </c>
      <c r="BS83" s="1086">
        <f t="shared" ca="1" si="226"/>
        <v>2669.4755027904998</v>
      </c>
      <c r="BT83" s="1086">
        <f t="shared" ca="1" si="226"/>
        <v>2698.6844758112734</v>
      </c>
      <c r="BU83" s="1086">
        <f t="shared" ca="1" si="226"/>
        <v>2727.348319940058</v>
      </c>
      <c r="BV83" s="1086">
        <f t="shared" ca="1" si="226"/>
        <v>2755.4108608905021</v>
      </c>
      <c r="BW83" s="1086">
        <f t="shared" ca="1" si="226"/>
        <v>2782.8131207894353</v>
      </c>
      <c r="BX83" s="1086">
        <f t="shared" ca="1" si="226"/>
        <v>2809.4932025876878</v>
      </c>
      <c r="BY83" s="1086">
        <f t="shared" ca="1" si="226"/>
        <v>2835.386170115115</v>
      </c>
      <c r="BZ83" s="1086">
        <f t="shared" ca="1" si="226"/>
        <v>2860.4239236240414</v>
      </c>
      <c r="CA83" s="1086">
        <f t="shared" ca="1" si="226"/>
        <v>2884.5350706600107</v>
      </c>
      <c r="CB83" s="1086">
        <f t="shared" ca="1" si="226"/>
        <v>2907.6447920930918</v>
      </c>
      <c r="CC83" s="1086">
        <f t="shared" ca="1" si="227"/>
        <v>2929.6747031372702</v>
      </c>
      <c r="CD83" s="1086">
        <f t="shared" ca="1" si="227"/>
        <v>2950.5427091794841</v>
      </c>
      <c r="CE83" s="1086">
        <f t="shared" ca="1" si="227"/>
        <v>2970.162856233761</v>
      </c>
      <c r="CF83" s="1086">
        <f t="shared" ca="1" si="227"/>
        <v>2988.4451758294845</v>
      </c>
      <c r="CG83" s="1086">
        <f t="shared" ca="1" si="227"/>
        <v>3005.2955241363284</v>
      </c>
      <c r="CH83" s="1086">
        <f t="shared" ca="1" si="227"/>
        <v>3020.6154151215455</v>
      </c>
      <c r="CI83" s="1086">
        <f t="shared" ca="1" si="227"/>
        <v>3034.3018475283111</v>
      </c>
      <c r="CJ83" s="1086">
        <f t="shared" ca="1" si="227"/>
        <v>3122.2504263426381</v>
      </c>
      <c r="CK83" s="1074"/>
      <c r="CL83" s="1074"/>
      <c r="CM83" s="1074"/>
      <c r="CN83" s="1074"/>
      <c r="CO83" s="1074"/>
      <c r="CP83" s="1074"/>
      <c r="CQ83" s="1074"/>
      <c r="CR83" s="1074"/>
      <c r="CS83" s="1074"/>
      <c r="CT83" s="1074"/>
      <c r="CU83" s="1074"/>
      <c r="CV83" s="1074"/>
      <c r="CW83" s="1074"/>
      <c r="CX83" s="1074"/>
      <c r="CY83" s="1074"/>
      <c r="CZ83" s="1074"/>
      <c r="DA83" s="1074"/>
      <c r="DB83" s="1074"/>
      <c r="DC83" s="1074"/>
      <c r="DD83" s="1074"/>
      <c r="DE83" s="1074"/>
      <c r="DF83" s="1074"/>
      <c r="DG83" s="1074"/>
      <c r="DH83" s="1074"/>
      <c r="DI83" s="1074"/>
      <c r="DJ83" s="1074"/>
      <c r="DK83" s="1074"/>
      <c r="DL83" s="1074"/>
      <c r="DM83" s="1074"/>
      <c r="DN83" s="1074"/>
      <c r="DO83" s="1074"/>
      <c r="DP83" s="1074"/>
      <c r="DQ83" s="1074"/>
      <c r="DR83" s="1074"/>
      <c r="DS83" s="1074"/>
      <c r="DT83" s="1074"/>
      <c r="DU83" s="1074"/>
      <c r="DV83" s="1074"/>
      <c r="DW83" s="1074"/>
      <c r="DX83" s="1074"/>
      <c r="DY83" s="1074"/>
      <c r="DZ83" s="1074"/>
      <c r="EA83" s="1074"/>
      <c r="EB83" s="1074"/>
      <c r="EC83" s="1074"/>
      <c r="ED83" s="1074"/>
      <c r="EE83" s="1074"/>
      <c r="EF83" s="1074"/>
      <c r="EG83" s="1074"/>
      <c r="EH83" s="1074"/>
      <c r="EI83" s="1074"/>
      <c r="EJ83" s="1074"/>
      <c r="EK83" s="1074"/>
      <c r="EL83" s="1074"/>
      <c r="EM83" s="1074"/>
      <c r="EN83" s="1074"/>
      <c r="EO83" s="1074"/>
      <c r="EP83" s="1074"/>
      <c r="EQ83" s="1074"/>
      <c r="ER83" s="1074"/>
      <c r="ES83" s="1"/>
      <c r="ET83" s="1"/>
      <c r="EU83" s="1"/>
      <c r="EV83" s="1"/>
      <c r="EW83" s="1"/>
      <c r="EX83" s="1"/>
      <c r="EY83" s="1"/>
      <c r="EZ83" s="1"/>
      <c r="FA83" s="1"/>
      <c r="FB83" s="1"/>
      <c r="FC83" s="1"/>
      <c r="FD83" s="1"/>
      <c r="FE83" s="1"/>
      <c r="FF83" s="1"/>
      <c r="FG83" s="1"/>
      <c r="FH83" s="1"/>
      <c r="FI83" s="1"/>
      <c r="FJ83" s="1"/>
      <c r="FK83" s="1"/>
      <c r="FL83" s="1"/>
      <c r="FM83" s="1"/>
      <c r="FN83" s="1"/>
      <c r="FO83" s="1"/>
      <c r="FP83" s="1"/>
      <c r="FQ83" s="1"/>
      <c r="FR83" s="1"/>
      <c r="FS83" s="1"/>
      <c r="FT83" s="1"/>
      <c r="FU83" s="1"/>
      <c r="FV83" s="1"/>
      <c r="FW83" s="1"/>
      <c r="FX83" s="1"/>
      <c r="FY83" s="1"/>
      <c r="FZ83" s="1"/>
      <c r="GA83" s="1"/>
      <c r="GB83" s="1"/>
      <c r="GC83" s="1"/>
      <c r="GD83" s="1"/>
      <c r="GE83" s="1"/>
      <c r="GF83" s="1"/>
      <c r="GG83" s="1"/>
      <c r="GH83" s="1"/>
      <c r="GI83" s="1"/>
      <c r="GJ83" s="1"/>
      <c r="GK83" s="1"/>
      <c r="GL83" s="1"/>
      <c r="GM83" s="1"/>
      <c r="GN83" s="1"/>
      <c r="GO83" s="1"/>
      <c r="GP83" s="1"/>
      <c r="GQ83" s="1"/>
      <c r="GR83" s="1"/>
      <c r="GS83" s="1"/>
      <c r="GT83" s="1"/>
      <c r="GU83" s="1"/>
      <c r="GV83" s="1"/>
      <c r="GW83" s="1"/>
      <c r="GX83" s="1"/>
      <c r="GY83" s="1"/>
      <c r="GZ83" s="1"/>
      <c r="HA83" s="1"/>
      <c r="HB83" s="1"/>
      <c r="HC83" s="1"/>
      <c r="HD83" s="1"/>
      <c r="HE83" s="1"/>
      <c r="HF83" s="1"/>
      <c r="HG83" s="1"/>
      <c r="HH83" s="1"/>
      <c r="HI83" s="1"/>
      <c r="HJ83" s="1"/>
      <c r="HK83" s="1"/>
      <c r="HL83" s="1"/>
      <c r="HM83" s="1"/>
      <c r="HN83" s="1"/>
      <c r="HO83" s="1"/>
      <c r="HP83" s="1"/>
      <c r="HQ83" s="1"/>
      <c r="HR83" s="1"/>
      <c r="HS83" s="1"/>
      <c r="HT83" s="1"/>
      <c r="HU83" s="1"/>
      <c r="HV83" s="1"/>
      <c r="HW83" s="1"/>
      <c r="HX83" s="1"/>
      <c r="HY83" s="1"/>
      <c r="HZ83" s="1"/>
      <c r="IA83" s="1"/>
      <c r="IB83" s="1"/>
      <c r="IC83" s="1"/>
      <c r="ID83" s="1"/>
      <c r="IE83" s="1"/>
      <c r="IF83" s="1"/>
      <c r="IG83" s="1"/>
      <c r="IH83" s="1"/>
      <c r="II83" s="1"/>
      <c r="IJ83" s="1"/>
      <c r="IK83" s="1"/>
      <c r="IL83" s="1"/>
      <c r="IM83" s="1"/>
      <c r="IN83" s="1"/>
      <c r="IO83" s="1"/>
      <c r="IP83" s="1"/>
      <c r="IQ83" s="1"/>
      <c r="IR83" s="1"/>
      <c r="IS83" s="1"/>
      <c r="IT83" s="1"/>
      <c r="IU83" s="1"/>
      <c r="IV83" s="1"/>
      <c r="IW83" s="1"/>
      <c r="IX83" s="1"/>
      <c r="IY83" s="1"/>
      <c r="IZ83" s="1"/>
      <c r="JA83" s="1"/>
      <c r="JB83" s="1"/>
      <c r="JC83" s="1"/>
      <c r="JD83" s="1"/>
    </row>
    <row r="84" spans="2:264" s="1044" customFormat="1" ht="13.5" thickBot="1" x14ac:dyDescent="0.25">
      <c r="B84" s="350"/>
      <c r="C84" s="1213"/>
      <c r="D84" s="1222"/>
      <c r="F84" s="1044" t="s">
        <v>1066</v>
      </c>
      <c r="G84" s="1264"/>
      <c r="H84" s="1260">
        <v>4.4999999999999998E-2</v>
      </c>
      <c r="P84" s="1212"/>
      <c r="Q84" s="1044" t="s">
        <v>752</v>
      </c>
      <c r="R84" s="1074"/>
      <c r="S84" s="1074"/>
      <c r="T84" s="1074"/>
      <c r="U84" s="1074"/>
      <c r="V84" s="1074"/>
      <c r="W84" s="1074"/>
      <c r="X84" s="1074"/>
      <c r="Y84" s="1086">
        <f>MODEL!BJ951+MODEL!BJ955+MODEL!BJ956</f>
        <v>219</v>
      </c>
      <c r="Z84" s="1086">
        <f>MODEL!BN951+MODEL!BN955+MODEL!BN956</f>
        <v>6.040855228799046</v>
      </c>
      <c r="AA84" s="1086">
        <f>MODEL!BR951+MODEL!BR955+MODEL!BR956</f>
        <v>33.057620566043624</v>
      </c>
      <c r="AB84" s="1086">
        <f>MODEL!BV951+MODEL!BV955+MODEL!BV956</f>
        <v>5016.888148500002</v>
      </c>
      <c r="AC84" s="1086">
        <f>MODEL!BZ951+MODEL!BZ955+MODEL!BZ956</f>
        <v>-17.250419399999373</v>
      </c>
      <c r="AD84" s="1086">
        <f>MODEL!CD951+MODEL!CD955+MODEL!CD956</f>
        <v>192.90364890999626</v>
      </c>
      <c r="AE84" s="1087">
        <f>MODEL!CH951+MODEL!CH955+MODEL!CH956</f>
        <v>0.68000000000029104</v>
      </c>
      <c r="AF84" s="1088">
        <f>MODEL!CL951+MODEL!CL955+MODEL!CL956</f>
        <v>113.03349614999752</v>
      </c>
      <c r="AG84" s="1088">
        <f>MODEL!CP951+MODEL!CP955+MODEL!CP956</f>
        <v>24.68643740999687</v>
      </c>
      <c r="AH84" s="1088">
        <f>MODEL!CT951+MODEL!CT955+MODEL!CT956</f>
        <v>-16</v>
      </c>
      <c r="AI84" s="1088">
        <f>MODEL!CX951+MODEL!CX955+MODEL!CX956</f>
        <v>-21</v>
      </c>
      <c r="AJ84" s="1088">
        <f>MODEL!DB951+MODEL!DB955+MODEL!DB956</f>
        <v>4</v>
      </c>
      <c r="AK84" s="1365">
        <f>MODEL!DF951+MODEL!DF955+MODEL!DF956</f>
        <v>-57</v>
      </c>
      <c r="AL84" s="1088">
        <f>MODEL!DJ951+MODEL!DJ955+MODEL!DJ956</f>
        <v>20</v>
      </c>
      <c r="AM84" s="1088">
        <f ca="1">MODEL!$DN951+MODEL!$DN955+MODEL!$DN956</f>
        <v>0</v>
      </c>
      <c r="AN84" s="1088">
        <f ca="1">MODEL!$DR951+MODEL!$DR955+MODEL!$DR956</f>
        <v>0</v>
      </c>
      <c r="AO84" s="1086">
        <f t="shared" ref="AO84:CE84" ca="1" si="228">+AO80*AO94</f>
        <v>0</v>
      </c>
      <c r="AP84" s="1086">
        <f t="shared" ca="1" si="228"/>
        <v>0</v>
      </c>
      <c r="AQ84" s="1086">
        <f t="shared" ca="1" si="228"/>
        <v>0</v>
      </c>
      <c r="AR84" s="1086">
        <f t="shared" ca="1" si="228"/>
        <v>0</v>
      </c>
      <c r="AS84" s="1086">
        <f t="shared" ca="1" si="228"/>
        <v>0</v>
      </c>
      <c r="AT84" s="1086">
        <f t="shared" ca="1" si="228"/>
        <v>0</v>
      </c>
      <c r="AU84" s="1086">
        <f t="shared" ca="1" si="228"/>
        <v>0</v>
      </c>
      <c r="AV84" s="1086">
        <f t="shared" ca="1" si="228"/>
        <v>0</v>
      </c>
      <c r="AW84" s="1086">
        <f ca="1">+AW80*AW94</f>
        <v>0</v>
      </c>
      <c r="AX84" s="1086">
        <f ca="1">+AX80*AX94</f>
        <v>0</v>
      </c>
      <c r="AY84" s="1086">
        <f ca="1">+AY80*AY94</f>
        <v>0</v>
      </c>
      <c r="AZ84" s="1086">
        <f ca="1">+AZ80*AZ94</f>
        <v>0</v>
      </c>
      <c r="BA84" s="1086">
        <f t="shared" ca="1" si="228"/>
        <v>0</v>
      </c>
      <c r="BB84" s="1086">
        <f t="shared" ca="1" si="228"/>
        <v>0</v>
      </c>
      <c r="BC84" s="1086">
        <f t="shared" ca="1" si="228"/>
        <v>0</v>
      </c>
      <c r="BD84" s="1086">
        <f t="shared" ca="1" si="228"/>
        <v>0</v>
      </c>
      <c r="BE84" s="1086">
        <f t="shared" ca="1" si="228"/>
        <v>0</v>
      </c>
      <c r="BF84" s="1086">
        <f t="shared" ca="1" si="228"/>
        <v>0</v>
      </c>
      <c r="BG84" s="1086">
        <f t="shared" ca="1" si="228"/>
        <v>0</v>
      </c>
      <c r="BH84" s="1086">
        <f t="shared" ca="1" si="228"/>
        <v>0</v>
      </c>
      <c r="BI84" s="1086">
        <f t="shared" ca="1" si="228"/>
        <v>0</v>
      </c>
      <c r="BJ84" s="1086">
        <f t="shared" ca="1" si="228"/>
        <v>0</v>
      </c>
      <c r="BK84" s="1086">
        <f t="shared" ca="1" si="228"/>
        <v>0</v>
      </c>
      <c r="BL84" s="1086">
        <f t="shared" ca="1" si="228"/>
        <v>0</v>
      </c>
      <c r="BM84" s="1086">
        <f t="shared" ca="1" si="228"/>
        <v>0</v>
      </c>
      <c r="BN84" s="1086">
        <f t="shared" ca="1" si="228"/>
        <v>0</v>
      </c>
      <c r="BO84" s="1086">
        <f t="shared" ca="1" si="228"/>
        <v>0</v>
      </c>
      <c r="BP84" s="1086">
        <f t="shared" ca="1" si="228"/>
        <v>0</v>
      </c>
      <c r="BQ84" s="1086">
        <f t="shared" ca="1" si="228"/>
        <v>0</v>
      </c>
      <c r="BR84" s="1086">
        <f t="shared" ca="1" si="228"/>
        <v>0</v>
      </c>
      <c r="BS84" s="1086">
        <f t="shared" ca="1" si="228"/>
        <v>0</v>
      </c>
      <c r="BT84" s="1086">
        <f t="shared" ca="1" si="228"/>
        <v>0</v>
      </c>
      <c r="BU84" s="1086">
        <f t="shared" ca="1" si="228"/>
        <v>0</v>
      </c>
      <c r="BV84" s="1086">
        <f t="shared" ca="1" si="228"/>
        <v>0</v>
      </c>
      <c r="BW84" s="1086">
        <f t="shared" ca="1" si="228"/>
        <v>0</v>
      </c>
      <c r="BX84" s="1086">
        <f t="shared" ca="1" si="228"/>
        <v>0</v>
      </c>
      <c r="BY84" s="1086">
        <f t="shared" ca="1" si="228"/>
        <v>0</v>
      </c>
      <c r="BZ84" s="1086">
        <f t="shared" ca="1" si="228"/>
        <v>0</v>
      </c>
      <c r="CA84" s="1086">
        <f t="shared" ca="1" si="228"/>
        <v>0</v>
      </c>
      <c r="CB84" s="1086">
        <f t="shared" ca="1" si="228"/>
        <v>0</v>
      </c>
      <c r="CC84" s="1086">
        <f t="shared" ca="1" si="228"/>
        <v>0</v>
      </c>
      <c r="CD84" s="1086">
        <f t="shared" ca="1" si="228"/>
        <v>0</v>
      </c>
      <c r="CE84" s="1086">
        <f t="shared" ca="1" si="228"/>
        <v>0</v>
      </c>
      <c r="CF84" s="1086">
        <f ca="1">+CF80*CF94</f>
        <v>0</v>
      </c>
      <c r="CG84" s="1086">
        <f ca="1">+CG80*CG94</f>
        <v>0</v>
      </c>
      <c r="CH84" s="1086">
        <f ca="1">+CH80*CH94</f>
        <v>0</v>
      </c>
      <c r="CI84" s="1086">
        <f ca="1">+CI80*CI94</f>
        <v>0</v>
      </c>
      <c r="CJ84" s="1086">
        <f ca="1">+CJ80*CJ94</f>
        <v>0</v>
      </c>
      <c r="CK84" s="1074"/>
      <c r="CL84" s="1074"/>
      <c r="CM84" s="1074"/>
      <c r="CN84" s="1074"/>
      <c r="CO84" s="1074"/>
      <c r="CP84" s="1074"/>
      <c r="CQ84" s="1074"/>
      <c r="CR84" s="1074"/>
      <c r="CS84" s="1074"/>
      <c r="CT84" s="1074"/>
      <c r="CU84" s="1074"/>
      <c r="CV84" s="1074"/>
      <c r="CW84" s="1074"/>
      <c r="CX84" s="1074"/>
      <c r="CY84" s="1074"/>
      <c r="CZ84" s="1074"/>
      <c r="DA84" s="1074"/>
      <c r="DB84" s="1074"/>
      <c r="DC84" s="1074"/>
      <c r="DD84" s="1074"/>
      <c r="DE84" s="1074"/>
      <c r="DF84" s="1074"/>
      <c r="DG84" s="1074"/>
      <c r="DH84" s="1074"/>
      <c r="DI84" s="1074"/>
      <c r="DJ84" s="1074"/>
      <c r="DK84" s="1074"/>
      <c r="DL84" s="1074"/>
      <c r="DM84" s="1074"/>
      <c r="DN84" s="1074"/>
      <c r="DO84" s="1074"/>
      <c r="DP84" s="1074"/>
      <c r="DQ84" s="1074"/>
      <c r="DR84" s="1074"/>
      <c r="DS84" s="1074"/>
      <c r="DT84" s="1074"/>
      <c r="DU84" s="1074"/>
      <c r="DV84" s="1074"/>
      <c r="DW84" s="1074"/>
      <c r="DX84" s="1074"/>
      <c r="DY84" s="1074"/>
      <c r="DZ84" s="1074"/>
      <c r="EA84" s="1074"/>
      <c r="EB84" s="1074"/>
      <c r="EC84" s="1074"/>
      <c r="ED84" s="1074"/>
      <c r="EE84" s="1074"/>
      <c r="EF84" s="1074"/>
      <c r="EG84" s="1074"/>
      <c r="EH84" s="1074"/>
      <c r="EI84" s="1074"/>
      <c r="EJ84" s="1074"/>
      <c r="EK84" s="1074"/>
      <c r="EL84" s="1074"/>
      <c r="EM84" s="1074"/>
      <c r="EN84" s="1074"/>
      <c r="EO84" s="1074"/>
      <c r="EP84" s="1074"/>
      <c r="EQ84" s="1074"/>
      <c r="ER84" s="1074"/>
      <c r="ES84" s="1"/>
      <c r="ET84" s="1"/>
      <c r="EU84" s="1"/>
      <c r="EV84" s="1"/>
      <c r="EW84" s="1"/>
      <c r="EX84" s="1"/>
      <c r="EY84" s="1"/>
      <c r="EZ84" s="1"/>
      <c r="FA84" s="1"/>
      <c r="FB84" s="1"/>
      <c r="FC84" s="1"/>
      <c r="FD84" s="1"/>
      <c r="FE84" s="1"/>
      <c r="FF84" s="1"/>
      <c r="FG84" s="1"/>
      <c r="FH84" s="1"/>
      <c r="FI84" s="1"/>
      <c r="FJ84" s="1"/>
      <c r="FK84" s="1"/>
      <c r="FL84" s="1"/>
      <c r="FM84" s="1"/>
      <c r="FN84" s="1"/>
      <c r="FO84" s="1"/>
      <c r="FP84" s="1"/>
      <c r="FQ84" s="1"/>
      <c r="FR84" s="1"/>
      <c r="FS84" s="1"/>
      <c r="FT84" s="1"/>
      <c r="FU84" s="1"/>
      <c r="FV84" s="1"/>
      <c r="FW84" s="1"/>
      <c r="FX84" s="1"/>
      <c r="FY84" s="1"/>
      <c r="FZ84" s="1"/>
      <c r="GA84" s="1"/>
      <c r="GB84" s="1"/>
      <c r="GC84" s="1"/>
      <c r="GD84" s="1"/>
      <c r="GE84" s="1"/>
      <c r="GF84" s="1"/>
      <c r="GG84" s="1"/>
      <c r="GH84" s="1"/>
      <c r="GI84" s="1"/>
      <c r="GJ84" s="1"/>
      <c r="GK84" s="1"/>
      <c r="GL84" s="1"/>
      <c r="GM84" s="1"/>
      <c r="GN84" s="1"/>
      <c r="GO84" s="1"/>
      <c r="GP84" s="1"/>
      <c r="GQ84" s="1"/>
      <c r="GR84" s="1"/>
      <c r="GS84" s="1"/>
      <c r="GT84" s="1"/>
      <c r="GU84" s="1"/>
      <c r="GV84" s="1"/>
      <c r="GW84" s="1"/>
      <c r="GX84" s="1"/>
      <c r="GY84" s="1"/>
      <c r="GZ84" s="1"/>
      <c r="HA84" s="1"/>
      <c r="HB84" s="1"/>
      <c r="HC84" s="1"/>
      <c r="HD84" s="1"/>
      <c r="HE84" s="1"/>
      <c r="HF84" s="1"/>
      <c r="HG84" s="1"/>
      <c r="HH84" s="1"/>
      <c r="HI84" s="1"/>
      <c r="HJ84" s="1"/>
      <c r="HK84" s="1"/>
      <c r="HL84" s="1"/>
      <c r="HM84" s="1"/>
      <c r="HN84" s="1"/>
      <c r="HO84" s="1"/>
      <c r="HP84" s="1"/>
      <c r="HQ84" s="1"/>
      <c r="HR84" s="1"/>
      <c r="HS84" s="1"/>
      <c r="HT84" s="1"/>
      <c r="HU84" s="1"/>
      <c r="HV84" s="1"/>
      <c r="HW84" s="1"/>
      <c r="HX84" s="1"/>
      <c r="HY84" s="1"/>
      <c r="HZ84" s="1"/>
      <c r="IA84" s="1"/>
      <c r="IB84" s="1"/>
      <c r="IC84" s="1"/>
      <c r="ID84" s="1"/>
      <c r="IE84" s="1"/>
      <c r="IF84" s="1"/>
      <c r="IG84" s="1"/>
      <c r="IH84" s="1"/>
      <c r="II84" s="1"/>
      <c r="IJ84" s="1"/>
      <c r="IK84" s="1"/>
      <c r="IL84" s="1"/>
      <c r="IM84" s="1"/>
      <c r="IN84" s="1"/>
      <c r="IO84" s="1"/>
      <c r="IP84" s="1"/>
      <c r="IQ84" s="1"/>
      <c r="IR84" s="1"/>
      <c r="IS84" s="1"/>
      <c r="IT84" s="1"/>
      <c r="IU84" s="1"/>
      <c r="IV84" s="1"/>
      <c r="IW84" s="1"/>
      <c r="IX84" s="1"/>
      <c r="IY84" s="1"/>
      <c r="IZ84" s="1"/>
      <c r="JA84" s="1"/>
      <c r="JB84" s="1"/>
      <c r="JC84" s="1"/>
      <c r="JD84" s="1"/>
    </row>
    <row r="85" spans="2:264" s="1044" customFormat="1" x14ac:dyDescent="0.2">
      <c r="B85" s="350"/>
      <c r="C85" s="1215"/>
      <c r="D85" s="1207"/>
      <c r="F85" s="1200"/>
      <c r="G85" s="1234"/>
      <c r="H85" s="1234"/>
      <c r="I85" s="1143"/>
      <c r="J85" s="1143"/>
      <c r="K85" s="1143"/>
      <c r="L85" s="1143"/>
      <c r="M85" s="1143"/>
      <c r="N85" s="1143"/>
      <c r="O85" s="1143"/>
      <c r="P85" s="1046"/>
      <c r="Q85" s="1044" t="s">
        <v>1089</v>
      </c>
      <c r="R85" s="1074"/>
      <c r="S85" s="1074"/>
      <c r="T85" s="1074"/>
      <c r="U85" s="1074"/>
      <c r="V85" s="1074"/>
      <c r="W85" s="1074"/>
      <c r="X85" s="1074"/>
      <c r="Y85" s="1086">
        <f>MODEL!BJ953+MODEL!BJ954</f>
        <v>-595.62586764000002</v>
      </c>
      <c r="Z85" s="1086">
        <f>MODEL!BN953+MODEL!BN954</f>
        <v>-722.14411852800004</v>
      </c>
      <c r="AA85" s="1086">
        <f>MODEL!BR953+MODEL!BR954</f>
        <v>-727</v>
      </c>
      <c r="AB85" s="1086">
        <f>MODEL!BV953+MODEL!BV954</f>
        <v>0</v>
      </c>
      <c r="AC85" s="1086">
        <f>MODEL!BZ953+MODEL!BZ954</f>
        <v>0</v>
      </c>
      <c r="AD85" s="1086">
        <f>MODEL!CD953+MODEL!CD954</f>
        <v>0</v>
      </c>
      <c r="AE85" s="1087">
        <f>MODEL!CH953+MODEL!CH954</f>
        <v>-591.94370117999995</v>
      </c>
      <c r="AF85" s="1088">
        <f>MODEL!CL953+MODEL!CL954</f>
        <v>-1135.48623331</v>
      </c>
      <c r="AG85" s="1088">
        <f>MODEL!CP953+MODEL!CP954</f>
        <v>-415.13629849999995</v>
      </c>
      <c r="AH85" s="1088">
        <f>MODEL!CT953+MODEL!CT954</f>
        <v>-3008.4450826493749</v>
      </c>
      <c r="AI85" s="1088">
        <f>MODEL!CX953+MODEL!CX954</f>
        <v>-3725.4020378074001</v>
      </c>
      <c r="AJ85" s="1088">
        <f>MODEL!DB953+MODEL!DB954</f>
        <v>-1490</v>
      </c>
      <c r="AK85" s="1365">
        <f>MODEL!DF953+MODEL!DF954</f>
        <v>-1458</v>
      </c>
      <c r="AL85" s="1088">
        <f>MODEL!DJ953+MODEL!DJ954</f>
        <v>-1232.895481195</v>
      </c>
      <c r="AM85" s="1088">
        <f>MODEL!$DN953+MODEL!$DN954</f>
        <v>-1354.3820606946724</v>
      </c>
      <c r="AN85" s="1088">
        <f>MODEL!$DR953+MODEL!$DR954</f>
        <v>-1429.3737250242416</v>
      </c>
      <c r="AO85" s="1086">
        <f t="shared" ref="AO85:CJ85" ca="1" si="229">-AN102</f>
        <v>0</v>
      </c>
      <c r="AP85" s="1086">
        <f t="shared" ca="1" si="229"/>
        <v>-259.01842084129032</v>
      </c>
      <c r="AQ85" s="1086">
        <f t="shared" ca="1" si="229"/>
        <v>-656.43272151344627</v>
      </c>
      <c r="AR85" s="1086">
        <f ca="1">-AQ102</f>
        <v>-744.92768532962839</v>
      </c>
      <c r="AS85" s="1086">
        <f ca="1">-AR102</f>
        <v>-772.44613074182007</v>
      </c>
      <c r="AT85" s="1086">
        <f t="shared" ref="AT85:AU85" ca="1" si="230">-AS102</f>
        <v>-407.09154136419841</v>
      </c>
      <c r="AU85" s="1086">
        <f t="shared" ca="1" si="230"/>
        <v>-327.53668686298926</v>
      </c>
      <c r="AV85" s="1086">
        <f ca="1">-AU102</f>
        <v>-718.22332234877149</v>
      </c>
      <c r="AW85" s="1086">
        <f t="shared" ca="1" si="229"/>
        <v>-2435.1120749892707</v>
      </c>
      <c r="AX85" s="1086">
        <f t="shared" ca="1" si="229"/>
        <v>-2931.8060816527068</v>
      </c>
      <c r="AY85" s="1086">
        <f t="shared" ca="1" si="229"/>
        <v>-3125.6217303974704</v>
      </c>
      <c r="AZ85" s="1086">
        <f t="shared" ca="1" si="229"/>
        <v>-3245.8435807782671</v>
      </c>
      <c r="BA85" s="1086">
        <f t="shared" ca="1" si="229"/>
        <v>-3349.8291471912785</v>
      </c>
      <c r="BB85" s="1086">
        <f t="shared" ca="1" si="229"/>
        <v>-4053.3663260483127</v>
      </c>
      <c r="BC85" s="1086">
        <f t="shared" ca="1" si="229"/>
        <v>-4239.8083554686291</v>
      </c>
      <c r="BD85" s="1086">
        <f t="shared" ca="1" si="229"/>
        <v>-4291.6133143239431</v>
      </c>
      <c r="BE85" s="1086">
        <f t="shared" ca="1" si="229"/>
        <v>-4306.6311352396851</v>
      </c>
      <c r="BF85" s="1086">
        <f t="shared" ca="1" si="229"/>
        <v>-4309.70939941904</v>
      </c>
      <c r="BG85" s="1086">
        <f t="shared" ca="1" si="229"/>
        <v>-4307.0236125364227</v>
      </c>
      <c r="BH85" s="1086">
        <f t="shared" ca="1" si="229"/>
        <v>-4299.9832853126691</v>
      </c>
      <c r="BI85" s="1086">
        <f t="shared" ca="1" si="229"/>
        <v>-4288.7800187425719</v>
      </c>
      <c r="BJ85" s="1086">
        <f t="shared" ca="1" si="229"/>
        <v>-4273.2897661297711</v>
      </c>
      <c r="BK85" s="1086">
        <f t="shared" ca="1" si="229"/>
        <v>-4253.3013493349363</v>
      </c>
      <c r="BL85" s="1086">
        <f t="shared" ca="1" si="229"/>
        <v>-4228.5739373736933</v>
      </c>
      <c r="BM85" s="1086">
        <f t="shared" ca="1" si="229"/>
        <v>-4198.8512334793586</v>
      </c>
      <c r="BN85" s="1086">
        <f t="shared" ca="1" si="229"/>
        <v>-4163.8647309127491</v>
      </c>
      <c r="BO85" s="1086">
        <f t="shared" ca="1" si="229"/>
        <v>-4123.3342088763729</v>
      </c>
      <c r="BP85" s="1086">
        <f t="shared" ca="1" si="229"/>
        <v>-4076.9675250920327</v>
      </c>
      <c r="BQ85" s="1086">
        <f t="shared" ca="1" si="229"/>
        <v>-4024.4602206995501</v>
      </c>
      <c r="BR85" s="1086">
        <f t="shared" ca="1" si="229"/>
        <v>-3965.4950660406957</v>
      </c>
      <c r="BS85" s="1086">
        <f t="shared" ca="1" si="229"/>
        <v>-3899.741578956965</v>
      </c>
      <c r="BT85" s="1086">
        <f t="shared" ca="1" si="229"/>
        <v>-3826.855523018814</v>
      </c>
      <c r="BU85" s="1086">
        <f t="shared" ca="1" si="229"/>
        <v>-3746.4783870619767</v>
      </c>
      <c r="BV85" s="1086">
        <f t="shared" ca="1" si="229"/>
        <v>-3658.2368458970382</v>
      </c>
      <c r="BW85" s="1086">
        <f t="shared" ca="1" si="229"/>
        <v>-3561.74220166541</v>
      </c>
      <c r="BX85" s="1086">
        <f t="shared" ca="1" si="229"/>
        <v>-3456.58980520461</v>
      </c>
      <c r="BY85" s="1086">
        <f t="shared" ca="1" si="229"/>
        <v>-3342.3584567382013</v>
      </c>
      <c r="BZ85" s="1086">
        <f t="shared" ca="1" si="229"/>
        <v>-3218.6097851790955</v>
      </c>
      <c r="CA85" s="1086">
        <f t="shared" ca="1" si="229"/>
        <v>-3084.8876053083486</v>
      </c>
      <c r="CB85" s="1086">
        <f t="shared" ca="1" si="229"/>
        <v>-2940.7172520676791</v>
      </c>
      <c r="CC85" s="1086">
        <f t="shared" ca="1" si="229"/>
        <v>-2785.6048911762268</v>
      </c>
      <c r="CD85" s="1086">
        <f t="shared" ca="1" si="229"/>
        <v>-2619.0368052565345</v>
      </c>
      <c r="CE85" s="1086">
        <f t="shared" ca="1" si="229"/>
        <v>-2440.4786546291189</v>
      </c>
      <c r="CF85" s="1086">
        <f t="shared" ca="1" si="229"/>
        <v>-2249.3747119022305</v>
      </c>
      <c r="CG85" s="1086">
        <f t="shared" ca="1" si="229"/>
        <v>-2045.147069459508</v>
      </c>
      <c r="CH85" s="1086">
        <f t="shared" ca="1" si="229"/>
        <v>-1827.1948189128682</v>
      </c>
      <c r="CI85" s="1086">
        <f t="shared" ca="1" si="229"/>
        <v>-1594.8932015615158</v>
      </c>
      <c r="CJ85" s="1086">
        <f t="shared" ca="1" si="229"/>
        <v>-1347.5927288617647</v>
      </c>
      <c r="CK85" s="1176"/>
      <c r="CL85" s="1176"/>
      <c r="CM85" s="1176"/>
      <c r="CN85" s="1176"/>
      <c r="CO85" s="1176"/>
      <c r="CP85" s="1176"/>
      <c r="CQ85" s="1176"/>
      <c r="CR85" s="1176"/>
      <c r="CS85" s="1176"/>
      <c r="CT85" s="1176"/>
      <c r="CU85" s="1176"/>
      <c r="CV85" s="1176"/>
      <c r="CW85" s="1176"/>
      <c r="CX85" s="1176"/>
      <c r="CY85" s="1176"/>
      <c r="CZ85" s="1176"/>
      <c r="DA85" s="1176"/>
      <c r="DB85" s="1176"/>
      <c r="DC85" s="1176"/>
      <c r="DD85" s="1176"/>
      <c r="DE85" s="1176"/>
      <c r="DF85" s="1176"/>
      <c r="DG85" s="1176"/>
      <c r="DH85" s="1176"/>
      <c r="DI85" s="1176"/>
      <c r="DJ85" s="1176"/>
      <c r="DK85" s="1176"/>
      <c r="DL85" s="1176"/>
      <c r="DM85" s="1176"/>
      <c r="DN85" s="1176"/>
      <c r="DO85" s="1176"/>
      <c r="DP85" s="1176"/>
      <c r="DQ85" s="1176"/>
      <c r="DR85" s="1176"/>
      <c r="DS85" s="1176"/>
      <c r="DT85" s="1176"/>
      <c r="DU85" s="1176"/>
      <c r="DV85" s="1176"/>
      <c r="DW85" s="1176"/>
      <c r="DX85" s="1176"/>
      <c r="DY85" s="1176"/>
      <c r="DZ85" s="1176"/>
      <c r="EA85" s="1176"/>
      <c r="EB85" s="1176"/>
      <c r="EC85" s="1176"/>
      <c r="ED85" s="1176"/>
      <c r="EE85" s="1176"/>
      <c r="EF85" s="1176"/>
      <c r="EG85" s="1176"/>
      <c r="EH85" s="1176"/>
      <c r="EI85" s="1176"/>
      <c r="EJ85" s="1176"/>
      <c r="EK85" s="1176"/>
      <c r="EL85" s="1176"/>
      <c r="EM85" s="1176"/>
      <c r="EN85" s="1176"/>
      <c r="EO85" s="1176"/>
      <c r="EP85" s="1176"/>
      <c r="EQ85" s="1176"/>
      <c r="ER85" s="1176"/>
      <c r="ES85" s="1"/>
      <c r="ET85" s="1"/>
      <c r="EU85" s="1"/>
      <c r="EV85" s="1"/>
      <c r="EW85" s="1"/>
      <c r="EX85" s="1"/>
      <c r="EY85" s="1"/>
      <c r="EZ85" s="1"/>
      <c r="FA85" s="1"/>
      <c r="FB85" s="1"/>
      <c r="FC85" s="1"/>
      <c r="FD85" s="1"/>
      <c r="FE85" s="1"/>
      <c r="FF85" s="1"/>
      <c r="FG85" s="1"/>
      <c r="FH85" s="1"/>
      <c r="FI85" s="1"/>
      <c r="FJ85" s="1"/>
      <c r="FK85" s="1"/>
      <c r="FL85" s="1"/>
      <c r="FM85" s="1"/>
      <c r="FN85" s="1"/>
      <c r="FO85" s="1"/>
      <c r="FP85" s="1"/>
      <c r="FQ85" s="1"/>
      <c r="FR85" s="1"/>
      <c r="FS85" s="1"/>
      <c r="FT85" s="1"/>
      <c r="FU85" s="1"/>
      <c r="FV85" s="1"/>
      <c r="FW85" s="1"/>
      <c r="FX85" s="1"/>
      <c r="FY85" s="1"/>
      <c r="FZ85" s="1"/>
      <c r="GA85" s="1"/>
      <c r="GB85" s="1"/>
      <c r="GC85" s="1"/>
      <c r="GD85" s="1"/>
      <c r="GE85" s="1"/>
      <c r="GF85" s="1"/>
      <c r="GG85" s="1"/>
      <c r="GH85" s="1"/>
      <c r="GI85" s="1"/>
      <c r="GJ85" s="1"/>
      <c r="GK85" s="1"/>
      <c r="GL85" s="1"/>
      <c r="GM85" s="1"/>
      <c r="GN85" s="1"/>
      <c r="GO85" s="1"/>
      <c r="GP85" s="1"/>
      <c r="GQ85" s="1"/>
      <c r="GR85" s="1"/>
      <c r="GS85" s="1"/>
      <c r="GT85" s="1"/>
      <c r="GU85" s="1"/>
      <c r="GV85" s="1"/>
      <c r="GW85" s="1"/>
      <c r="GX85" s="1"/>
      <c r="GY85" s="1"/>
      <c r="GZ85" s="1"/>
      <c r="HA85" s="1"/>
      <c r="HB85" s="1"/>
      <c r="HC85" s="1"/>
      <c r="HD85" s="1"/>
      <c r="HE85" s="1"/>
      <c r="HF85" s="1"/>
      <c r="HG85" s="1"/>
      <c r="HH85" s="1"/>
      <c r="HI85" s="1"/>
      <c r="HJ85" s="1"/>
      <c r="HK85" s="1"/>
      <c r="HL85" s="1"/>
      <c r="HM85" s="1"/>
      <c r="HN85" s="1"/>
      <c r="HO85" s="1"/>
      <c r="HP85" s="1"/>
      <c r="HQ85" s="1"/>
      <c r="HR85" s="1"/>
      <c r="HS85" s="1"/>
      <c r="HT85" s="1"/>
      <c r="HU85" s="1"/>
      <c r="HV85" s="1"/>
      <c r="HW85" s="1"/>
      <c r="HX85" s="1"/>
      <c r="HY85" s="1"/>
      <c r="HZ85" s="1"/>
      <c r="IA85" s="1"/>
      <c r="IB85" s="1"/>
      <c r="IC85" s="1"/>
      <c r="ID85" s="1"/>
      <c r="IE85" s="1"/>
      <c r="IF85" s="1"/>
      <c r="IG85" s="1"/>
      <c r="IH85" s="1"/>
      <c r="II85" s="1"/>
      <c r="IJ85" s="1"/>
      <c r="IK85" s="1"/>
      <c r="IL85" s="1"/>
      <c r="IM85" s="1"/>
      <c r="IN85" s="1"/>
      <c r="IO85" s="1"/>
      <c r="IP85" s="1"/>
      <c r="IQ85" s="1"/>
      <c r="IR85" s="1"/>
      <c r="IS85" s="1"/>
      <c r="IT85" s="1"/>
      <c r="IU85" s="1"/>
      <c r="IV85" s="1"/>
      <c r="IW85" s="1"/>
      <c r="IX85" s="1"/>
      <c r="IY85" s="1"/>
      <c r="IZ85" s="1"/>
      <c r="JA85" s="1"/>
      <c r="JB85" s="1"/>
      <c r="JC85" s="1"/>
      <c r="JD85" s="1"/>
    </row>
    <row r="86" spans="2:264" s="1044" customFormat="1" x14ac:dyDescent="0.2">
      <c r="B86" s="350"/>
      <c r="C86" s="1213"/>
      <c r="D86" s="1213"/>
      <c r="F86" s="1200"/>
      <c r="G86" s="1234"/>
      <c r="H86" s="1234"/>
      <c r="P86" s="1046"/>
      <c r="Q86" s="1044" t="s">
        <v>1090</v>
      </c>
      <c r="R86" s="1074"/>
      <c r="S86" s="1074"/>
      <c r="T86" s="1074"/>
      <c r="U86" s="1074"/>
      <c r="V86" s="1074"/>
      <c r="W86" s="1074"/>
      <c r="X86" s="1074"/>
      <c r="Y86" s="1086">
        <f>SUM(MODEL!BJ961:BJ963,MODEL!BJ969,MODEL!BJ976)-MODEL!BJ43</f>
        <v>1009</v>
      </c>
      <c r="Z86" s="1086">
        <f>SUM(MODEL!BN961:BN963,MODEL!BN969,MODEL!BN976)-MODEL!BN43</f>
        <v>686</v>
      </c>
      <c r="AA86" s="1086">
        <f>SUM(MODEL!BR961:BR963,MODEL!BR969,MODEL!BR976)-MODEL!BR43</f>
        <v>770</v>
      </c>
      <c r="AB86" s="1086">
        <f>SUM(MODEL!BV961:BV963,MODEL!BV969,MODEL!BV976)-MODEL!BV43</f>
        <v>117</v>
      </c>
      <c r="AC86" s="1086">
        <f>SUM(MODEL!BZ961:BZ963,MODEL!BZ969,MODEL!BZ976)-MODEL!BZ43</f>
        <v>-717</v>
      </c>
      <c r="AD86" s="1086">
        <f>SUM(MODEL!CD961:CD963,MODEL!CD969,MODEL!CD976)-MODEL!CD43</f>
        <v>48</v>
      </c>
      <c r="AE86" s="1087">
        <f>SUM(MODEL!CH961:CH963,MODEL!CH969,MODEL!CH976)-MODEL!CH43</f>
        <v>573</v>
      </c>
      <c r="AF86" s="1088">
        <f>SUM(MODEL!CL961:CL963,MODEL!CL969,MODEL!CL976)-MODEL!CL43</f>
        <v>265</v>
      </c>
      <c r="AG86" s="1088">
        <f>SUM(MODEL!CP961:CP963,MODEL!CP969,MODEL!CP976)-MODEL!CP43</f>
        <v>676</v>
      </c>
      <c r="AH86" s="1088">
        <f>SUM(MODEL!CT961:CT963,MODEL!CT969,MODEL!CT976)-MODEL!CT43</f>
        <v>-8133</v>
      </c>
      <c r="AI86" s="1088">
        <f>SUM(MODEL!CX961:CX963,MODEL!CX969,MODEL!CX976)-MODEL!CX43</f>
        <v>-1532</v>
      </c>
      <c r="AJ86" s="1088">
        <f>SUM(MODEL!DB961:DB963,MODEL!DB969,MODEL!DB976)-MODEL!DB43</f>
        <v>-39</v>
      </c>
      <c r="AK86" s="1365">
        <f>SUM(MODEL!DF961:DF963,MODEL!DF969,MODEL!DF976)-MODEL!DF43</f>
        <v>3590</v>
      </c>
      <c r="AL86" s="1088">
        <f>SUM(MODEL!DG961:DJ963,MODEL!DJ969,MODEL!DJ976)-MODEL!DJ43</f>
        <v>-2580</v>
      </c>
      <c r="AM86" s="1088">
        <f>SUM(MODEL!DH961:$DN963,MODEL!$DN969,MODEL!$DN976)-MODEL!$DN43</f>
        <v>0</v>
      </c>
      <c r="AN86" s="1088">
        <f>SUM(MODEL!DI961:$DR963,MODEL!$DR969,MODEL!$DR976)-MODEL!$DR43</f>
        <v>0</v>
      </c>
      <c r="AO86" s="1086">
        <f t="shared" ref="AO86:CE86" ca="1" si="231">+AO80*AO96</f>
        <v>84.425659927121274</v>
      </c>
      <c r="AP86" s="1086">
        <f t="shared" ca="1" si="231"/>
        <v>88.756110063444552</v>
      </c>
      <c r="AQ86" s="1086">
        <f t="shared" ca="1" si="231"/>
        <v>92.994562882366537</v>
      </c>
      <c r="AR86" s="1086">
        <f t="shared" ca="1" si="231"/>
        <v>97.008506859022162</v>
      </c>
      <c r="AS86" s="1086">
        <f t="shared" ca="1" si="231"/>
        <v>101.11282318194404</v>
      </c>
      <c r="AT86" s="1086">
        <f t="shared" ca="1" si="231"/>
        <v>104.90222922352811</v>
      </c>
      <c r="AU86" s="1086">
        <f t="shared" ca="1" si="231"/>
        <v>109.22738960865392</v>
      </c>
      <c r="AV86" s="1086">
        <f t="shared" ca="1" si="231"/>
        <v>114.32520007179356</v>
      </c>
      <c r="AW86" s="1086">
        <f ca="1">+AW80*AW96</f>
        <v>119.86143537449023</v>
      </c>
      <c r="AX86" s="1086">
        <f ca="1">+AX80*AX96</f>
        <v>123.98365613440991</v>
      </c>
      <c r="AY86" s="1086">
        <f ca="1">+AY80*AY96</f>
        <v>127.83469973933165</v>
      </c>
      <c r="AZ86" s="1086">
        <f ca="1">+AZ80*AZ96</f>
        <v>131.70260909274302</v>
      </c>
      <c r="BA86" s="1086">
        <f t="shared" ca="1" si="231"/>
        <v>135.6619006778233</v>
      </c>
      <c r="BB86" s="1086">
        <f t="shared" ca="1" si="231"/>
        <v>140.48104373717993</v>
      </c>
      <c r="BC86" s="1086">
        <f t="shared" ca="1" si="231"/>
        <v>144.77604068357883</v>
      </c>
      <c r="BD86" s="1086">
        <f t="shared" ca="1" si="231"/>
        <v>149.02564996195539</v>
      </c>
      <c r="BE86" s="1086">
        <f t="shared" ca="1" si="231"/>
        <v>153.35510809001502</v>
      </c>
      <c r="BF86" s="1086">
        <f t="shared" ca="1" si="231"/>
        <v>157.79905515061915</v>
      </c>
      <c r="BG86" s="1086">
        <f t="shared" ca="1" si="231"/>
        <v>162.36904398926654</v>
      </c>
      <c r="BH86" s="1086">
        <f t="shared" ca="1" si="231"/>
        <v>167.07082204705338</v>
      </c>
      <c r="BI86" s="1086">
        <f t="shared" ca="1" si="231"/>
        <v>171.90874338347416</v>
      </c>
      <c r="BJ86" s="1086">
        <f t="shared" ca="1" si="231"/>
        <v>176.8868933424402</v>
      </c>
      <c r="BK86" s="1086">
        <f t="shared" ca="1" si="231"/>
        <v>182.00937619037629</v>
      </c>
      <c r="BL86" s="1086">
        <f t="shared" ca="1" si="231"/>
        <v>187.28039034947409</v>
      </c>
      <c r="BM86" s="1086">
        <f t="shared" ca="1" si="231"/>
        <v>192.70424995524965</v>
      </c>
      <c r="BN86" s="1086">
        <f t="shared" ca="1" si="231"/>
        <v>198.28539294981115</v>
      </c>
      <c r="BO86" s="1086">
        <f t="shared" ca="1" si="231"/>
        <v>204.02838586736456</v>
      </c>
      <c r="BP86" s="1086">
        <f t="shared" ca="1" si="231"/>
        <v>209.93792787089811</v>
      </c>
      <c r="BQ86" s="1086">
        <f t="shared" ca="1" si="231"/>
        <v>216.01885468450445</v>
      </c>
      <c r="BR86" s="1086">
        <f t="shared" ca="1" si="231"/>
        <v>222.27614258495052</v>
      </c>
      <c r="BS86" s="1086">
        <f t="shared" ca="1" si="231"/>
        <v>228.71491249577329</v>
      </c>
      <c r="BT86" s="1086">
        <f t="shared" ca="1" si="231"/>
        <v>235.34043419721831</v>
      </c>
      <c r="BU86" s="1086">
        <f t="shared" ca="1" si="231"/>
        <v>242.1581306579545</v>
      </c>
      <c r="BV86" s="1086">
        <f t="shared" ca="1" si="231"/>
        <v>249.17358249274787</v>
      </c>
      <c r="BW86" s="1086">
        <f t="shared" ca="1" si="231"/>
        <v>256.39253254992127</v>
      </c>
      <c r="BX86" s="1086">
        <f t="shared" ca="1" si="231"/>
        <v>263.82089063242211</v>
      </c>
      <c r="BY86" s="1086">
        <f t="shared" ca="1" si="231"/>
        <v>271.46473835640245</v>
      </c>
      <c r="BZ86" s="1086">
        <f t="shared" ca="1" si="231"/>
        <v>279.33033415132184</v>
      </c>
      <c r="CA86" s="1086">
        <f t="shared" ca="1" si="231"/>
        <v>287.42411840570111</v>
      </c>
      <c r="CB86" s="1086">
        <f t="shared" ca="1" si="231"/>
        <v>295.75271876277282</v>
      </c>
      <c r="CC86" s="1086">
        <f t="shared" ca="1" si="231"/>
        <v>304.32295557039845</v>
      </c>
      <c r="CD86" s="1086">
        <f t="shared" ca="1" si="231"/>
        <v>313.1418474897506</v>
      </c>
      <c r="CE86" s="1086">
        <f t="shared" ca="1" si="231"/>
        <v>322.21661726739035</v>
      </c>
      <c r="CF86" s="1086">
        <f ca="1">+CF80*CF96</f>
        <v>331.5546976755017</v>
      </c>
      <c r="CG86" s="1086">
        <f ca="1">+CG80*CG96</f>
        <v>341.16373762518867</v>
      </c>
      <c r="CH86" s="1086">
        <f ca="1">+CH80*CH96</f>
        <v>351.05160845788021</v>
      </c>
      <c r="CI86" s="1086">
        <f ca="1">+CI80*CI96</f>
        <v>361.22641042003687</v>
      </c>
      <c r="CJ86" s="1086">
        <f ca="1">+CJ80*CJ96</f>
        <v>371.69647932650457</v>
      </c>
      <c r="CK86" s="1301"/>
      <c r="CL86" s="1301"/>
      <c r="CM86" s="1301"/>
      <c r="CN86" s="1301"/>
      <c r="CO86" s="1301"/>
      <c r="CP86" s="1301"/>
      <c r="CQ86" s="1301"/>
      <c r="CR86" s="1301"/>
      <c r="CS86" s="1301"/>
      <c r="CT86" s="1301"/>
      <c r="CU86" s="1301"/>
      <c r="CV86" s="1301"/>
      <c r="CW86" s="1301"/>
      <c r="CX86" s="1301"/>
      <c r="CY86" s="1301"/>
      <c r="CZ86" s="1301"/>
      <c r="DA86" s="1301"/>
      <c r="DB86" s="1301"/>
      <c r="DC86" s="1301"/>
      <c r="DD86" s="1301"/>
      <c r="DE86" s="1301"/>
      <c r="DF86" s="1301"/>
      <c r="DG86" s="1301"/>
      <c r="DH86" s="1301"/>
      <c r="DI86" s="1301"/>
      <c r="DJ86" s="1301"/>
      <c r="DK86" s="1301"/>
      <c r="DL86" s="1301"/>
      <c r="DM86" s="1301"/>
      <c r="DN86" s="1301"/>
      <c r="DO86" s="1301"/>
      <c r="DP86" s="1301"/>
      <c r="DQ86" s="1301"/>
      <c r="DR86" s="1301"/>
      <c r="DS86" s="1301"/>
      <c r="DT86" s="1301"/>
      <c r="DU86" s="1301"/>
      <c r="DV86" s="1301"/>
      <c r="DW86" s="1301"/>
      <c r="DX86" s="1301"/>
      <c r="DY86" s="1301"/>
      <c r="DZ86" s="1301"/>
      <c r="EA86" s="1301"/>
      <c r="EB86" s="1301"/>
      <c r="EC86" s="1301"/>
      <c r="ED86" s="1301"/>
      <c r="EE86" s="1301"/>
      <c r="EF86" s="1301"/>
      <c r="EG86" s="1301"/>
      <c r="EH86" s="1301"/>
      <c r="EI86" s="1301"/>
      <c r="EJ86" s="1301"/>
      <c r="EK86" s="1301"/>
      <c r="EL86" s="1301"/>
      <c r="EM86" s="1301"/>
      <c r="EN86" s="1301"/>
      <c r="EO86" s="1301"/>
      <c r="EP86" s="1301"/>
      <c r="EQ86" s="1301"/>
      <c r="ER86" s="1301"/>
      <c r="ES86" s="1"/>
      <c r="ET86" s="1"/>
      <c r="EU86" s="1"/>
      <c r="EV86" s="1"/>
      <c r="EW86" s="1"/>
      <c r="EX86" s="1"/>
      <c r="EY86" s="1"/>
      <c r="EZ86" s="1"/>
      <c r="FA86" s="1"/>
      <c r="FB86" s="1"/>
      <c r="FC86" s="1"/>
      <c r="FD86" s="1"/>
      <c r="FE86" s="1"/>
      <c r="FF86" s="1"/>
      <c r="FG86" s="1"/>
      <c r="FH86" s="1"/>
      <c r="FI86" s="1"/>
      <c r="FJ86" s="1"/>
      <c r="FK86" s="1"/>
      <c r="FL86" s="1"/>
      <c r="FM86" s="1"/>
      <c r="FN86" s="1"/>
      <c r="FO86" s="1"/>
      <c r="FP86" s="1"/>
      <c r="FQ86" s="1"/>
      <c r="FR86" s="1"/>
      <c r="FS86" s="1"/>
      <c r="FT86" s="1"/>
      <c r="FU86" s="1"/>
      <c r="FV86" s="1"/>
      <c r="FW86" s="1"/>
      <c r="FX86" s="1"/>
      <c r="FY86" s="1"/>
      <c r="FZ86" s="1"/>
      <c r="GA86" s="1"/>
      <c r="GB86" s="1"/>
      <c r="GC86" s="1"/>
      <c r="GD86" s="1"/>
      <c r="GE86" s="1"/>
      <c r="GF86" s="1"/>
      <c r="GG86" s="1"/>
      <c r="GH86" s="1"/>
      <c r="GI86" s="1"/>
      <c r="GJ86" s="1"/>
      <c r="GK86" s="1"/>
      <c r="GL86" s="1"/>
      <c r="GM86" s="1"/>
      <c r="GN86" s="1"/>
      <c r="GO86" s="1"/>
      <c r="GP86" s="1"/>
      <c r="GQ86" s="1"/>
      <c r="GR86" s="1"/>
      <c r="GS86" s="1"/>
      <c r="GT86" s="1"/>
      <c r="GU86" s="1"/>
      <c r="GV86" s="1"/>
      <c r="GW86" s="1"/>
      <c r="GX86" s="1"/>
      <c r="GY86" s="1"/>
      <c r="GZ86" s="1"/>
      <c r="HA86" s="1"/>
      <c r="HB86" s="1"/>
      <c r="HC86" s="1"/>
      <c r="HD86" s="1"/>
      <c r="HE86" s="1"/>
      <c r="HF86" s="1"/>
      <c r="HG86" s="1"/>
      <c r="HH86" s="1"/>
      <c r="HI86" s="1"/>
      <c r="HJ86" s="1"/>
      <c r="HK86" s="1"/>
      <c r="HL86" s="1"/>
      <c r="HM86" s="1"/>
      <c r="HN86" s="1"/>
      <c r="HO86" s="1"/>
      <c r="HP86" s="1"/>
      <c r="HQ86" s="1"/>
      <c r="HR86" s="1"/>
      <c r="HS86" s="1"/>
      <c r="HT86" s="1"/>
      <c r="HU86" s="1"/>
      <c r="HV86" s="1"/>
      <c r="HW86" s="1"/>
      <c r="HX86" s="1"/>
      <c r="HY86" s="1"/>
      <c r="HZ86" s="1"/>
      <c r="IA86" s="1"/>
      <c r="IB86" s="1"/>
      <c r="IC86" s="1"/>
      <c r="ID86" s="1"/>
      <c r="IE86" s="1"/>
      <c r="IF86" s="1"/>
      <c r="IG86" s="1"/>
      <c r="IH86" s="1"/>
      <c r="II86" s="1"/>
      <c r="IJ86" s="1"/>
      <c r="IK86" s="1"/>
      <c r="IL86" s="1"/>
      <c r="IM86" s="1"/>
      <c r="IN86" s="1"/>
      <c r="IO86" s="1"/>
      <c r="IP86" s="1"/>
      <c r="IQ86" s="1"/>
      <c r="IR86" s="1"/>
      <c r="IS86" s="1"/>
      <c r="IT86" s="1"/>
      <c r="IU86" s="1"/>
      <c r="IV86" s="1"/>
      <c r="IW86" s="1"/>
      <c r="IX86" s="1"/>
      <c r="IY86" s="1"/>
      <c r="IZ86" s="1"/>
      <c r="JA86" s="1"/>
      <c r="JB86" s="1"/>
      <c r="JC86" s="1"/>
      <c r="JD86" s="1"/>
    </row>
    <row r="87" spans="2:264" s="1044" customFormat="1" x14ac:dyDescent="0.2">
      <c r="B87" s="350"/>
      <c r="C87" s="1213"/>
      <c r="D87" s="1215"/>
      <c r="F87" s="1200"/>
      <c r="G87" s="1234"/>
      <c r="H87" s="1234"/>
      <c r="I87" s="1090"/>
      <c r="J87" s="1090"/>
      <c r="K87" s="1090"/>
      <c r="L87" s="1090"/>
      <c r="M87" s="1090"/>
      <c r="N87" s="1090"/>
      <c r="O87" s="1090"/>
      <c r="P87" s="1046"/>
      <c r="Q87" s="1047" t="s">
        <v>1091</v>
      </c>
      <c r="R87" s="1074"/>
      <c r="S87" s="1074"/>
      <c r="T87" s="1074"/>
      <c r="U87" s="1074"/>
      <c r="V87" s="1074"/>
      <c r="W87" s="1074"/>
      <c r="X87" s="1074"/>
      <c r="Y87" s="1097">
        <f t="shared" ref="Y87:AG87" si="232">SUM(Y80:Y86)</f>
        <v>44061</v>
      </c>
      <c r="Z87" s="1097">
        <f t="shared" si="232"/>
        <v>47872</v>
      </c>
      <c r="AA87" s="1097">
        <f t="shared" si="232"/>
        <v>51492</v>
      </c>
      <c r="AB87" s="1097">
        <f t="shared" si="232"/>
        <v>60014</v>
      </c>
      <c r="AC87" s="1097">
        <f t="shared" si="232"/>
        <v>63058</v>
      </c>
      <c r="AD87" s="1097">
        <f t="shared" si="232"/>
        <v>67306</v>
      </c>
      <c r="AE87" s="1098">
        <f t="shared" si="232"/>
        <v>69593.999999999985</v>
      </c>
      <c r="AF87" s="1097">
        <f t="shared" si="232"/>
        <v>71932.999999999985</v>
      </c>
      <c r="AG87" s="1097">
        <f t="shared" si="232"/>
        <v>78683</v>
      </c>
      <c r="AH87" s="1097">
        <f t="shared" ref="AH87:CF87" si="233">SUM(AH80:AH86)</f>
        <v>72833</v>
      </c>
      <c r="AI87" s="1097">
        <f t="shared" si="233"/>
        <v>71628</v>
      </c>
      <c r="AJ87" s="1097">
        <f t="shared" si="233"/>
        <v>73082</v>
      </c>
      <c r="AK87" s="1372">
        <f t="shared" si="233"/>
        <v>78770</v>
      </c>
      <c r="AL87" s="1097">
        <f t="shared" si="233"/>
        <v>78924.016849578693</v>
      </c>
      <c r="AM87" s="1097">
        <f t="shared" ref="AM87" ca="1" si="234">SUM(AM80:AM86)</f>
        <v>81696.111297174313</v>
      </c>
      <c r="AN87" s="1097">
        <f t="shared" ref="AN87" ca="1" si="235">SUM(AN80:AN86)</f>
        <v>84425.659927121276</v>
      </c>
      <c r="AO87" s="1097">
        <f t="shared" ca="1" si="233"/>
        <v>88756.110063444547</v>
      </c>
      <c r="AP87" s="1097">
        <f t="shared" ca="1" si="233"/>
        <v>92994.562882366532</v>
      </c>
      <c r="AQ87" s="1097">
        <f t="shared" ca="1" si="233"/>
        <v>97008.506859022164</v>
      </c>
      <c r="AR87" s="1097">
        <f t="shared" ca="1" si="233"/>
        <v>101112.82318194404</v>
      </c>
      <c r="AS87" s="1097">
        <f t="shared" ca="1" si="233"/>
        <v>104902.22922352811</v>
      </c>
      <c r="AT87" s="1097">
        <f t="shared" ca="1" si="233"/>
        <v>109227.38960865392</v>
      </c>
      <c r="AU87" s="1097">
        <f t="shared" ca="1" si="233"/>
        <v>114325.20007179356</v>
      </c>
      <c r="AV87" s="1097">
        <f t="shared" ca="1" si="233"/>
        <v>119861.43537449022</v>
      </c>
      <c r="AW87" s="1097">
        <f t="shared" ca="1" si="233"/>
        <v>123983.6561344099</v>
      </c>
      <c r="AX87" s="1097">
        <f ca="1">SUM(AX80:AX86)</f>
        <v>127834.69973933166</v>
      </c>
      <c r="AY87" s="1097">
        <f ca="1">SUM(AY80:AY86)</f>
        <v>131702.60909274302</v>
      </c>
      <c r="AZ87" s="1097">
        <f ca="1">SUM(AZ80:AZ86)</f>
        <v>135661.90067782329</v>
      </c>
      <c r="BA87" s="1097">
        <f t="shared" ca="1" si="233"/>
        <v>140481.04373717992</v>
      </c>
      <c r="BB87" s="1097">
        <f t="shared" ca="1" si="233"/>
        <v>144776.04068357882</v>
      </c>
      <c r="BC87" s="1097">
        <f t="shared" ca="1" si="233"/>
        <v>149025.64996195538</v>
      </c>
      <c r="BD87" s="1097">
        <f t="shared" ca="1" si="233"/>
        <v>153355.10809001501</v>
      </c>
      <c r="BE87" s="1097">
        <f t="shared" ca="1" si="233"/>
        <v>157799.05515061916</v>
      </c>
      <c r="BF87" s="1097">
        <f t="shared" ca="1" si="233"/>
        <v>162369.04398926653</v>
      </c>
      <c r="BG87" s="1097">
        <f t="shared" ca="1" si="233"/>
        <v>167070.82204705337</v>
      </c>
      <c r="BH87" s="1097">
        <f t="shared" ca="1" si="233"/>
        <v>171908.74338347415</v>
      </c>
      <c r="BI87" s="1097">
        <f t="shared" ca="1" si="233"/>
        <v>176886.89334244019</v>
      </c>
      <c r="BJ87" s="1097">
        <f t="shared" ca="1" si="233"/>
        <v>182009.37619037629</v>
      </c>
      <c r="BK87" s="1097">
        <f t="shared" ca="1" si="233"/>
        <v>187280.3903494741</v>
      </c>
      <c r="BL87" s="1097">
        <f t="shared" ca="1" si="233"/>
        <v>192704.24995524966</v>
      </c>
      <c r="BM87" s="1097">
        <f t="shared" ca="1" si="233"/>
        <v>198285.39294981115</v>
      </c>
      <c r="BN87" s="1097">
        <f t="shared" ca="1" si="233"/>
        <v>204028.38586736456</v>
      </c>
      <c r="BO87" s="1097">
        <f t="shared" ca="1" si="233"/>
        <v>209937.9278708981</v>
      </c>
      <c r="BP87" s="1097">
        <f t="shared" ca="1" si="233"/>
        <v>216018.85468450445</v>
      </c>
      <c r="BQ87" s="1097">
        <f t="shared" ca="1" si="233"/>
        <v>222276.14258495052</v>
      </c>
      <c r="BR87" s="1097">
        <f t="shared" ca="1" si="233"/>
        <v>228714.91249577329</v>
      </c>
      <c r="BS87" s="1097">
        <f t="shared" ca="1" si="233"/>
        <v>235340.4341972183</v>
      </c>
      <c r="BT87" s="1097">
        <f t="shared" ca="1" si="233"/>
        <v>242158.13065795449</v>
      </c>
      <c r="BU87" s="1097">
        <f t="shared" ca="1" si="233"/>
        <v>249173.58249274787</v>
      </c>
      <c r="BV87" s="1097">
        <f t="shared" ca="1" si="233"/>
        <v>256392.53254992125</v>
      </c>
      <c r="BW87" s="1097">
        <f t="shared" ca="1" si="233"/>
        <v>263820.89063242212</v>
      </c>
      <c r="BX87" s="1097">
        <f t="shared" ca="1" si="233"/>
        <v>271464.73835640243</v>
      </c>
      <c r="BY87" s="1097">
        <f t="shared" ca="1" si="233"/>
        <v>279330.33415132185</v>
      </c>
      <c r="BZ87" s="1097">
        <f t="shared" ca="1" si="233"/>
        <v>287424.11840570113</v>
      </c>
      <c r="CA87" s="1097">
        <f t="shared" ca="1" si="233"/>
        <v>295752.7187627728</v>
      </c>
      <c r="CB87" s="1097">
        <f t="shared" ca="1" si="233"/>
        <v>304322.95557039842</v>
      </c>
      <c r="CC87" s="1097">
        <f t="shared" ca="1" si="233"/>
        <v>313141.84748975059</v>
      </c>
      <c r="CD87" s="1097">
        <f t="shared" ca="1" si="233"/>
        <v>322216.61726739036</v>
      </c>
      <c r="CE87" s="1097">
        <f t="shared" ca="1" si="233"/>
        <v>331554.69767550169</v>
      </c>
      <c r="CF87" s="1097">
        <f t="shared" ca="1" si="233"/>
        <v>341163.73762518866</v>
      </c>
      <c r="CG87" s="1097">
        <f ca="1">SUM(CG80:CG86)</f>
        <v>351051.60845788021</v>
      </c>
      <c r="CH87" s="1097">
        <f ca="1">SUM(CH80:CH86)</f>
        <v>361226.41042003687</v>
      </c>
      <c r="CI87" s="1097">
        <f ca="1">SUM(CI80:CI86)</f>
        <v>371696.47932650457</v>
      </c>
      <c r="CJ87" s="1097">
        <f ca="1">SUM(CJ80:CJ86)</f>
        <v>382763.54900714807</v>
      </c>
      <c r="CK87" s="1302"/>
      <c r="CL87" s="1302"/>
      <c r="CM87" s="1302"/>
      <c r="CN87" s="1302"/>
      <c r="CO87" s="1302"/>
      <c r="CP87" s="1302"/>
      <c r="CQ87" s="1302"/>
      <c r="CR87" s="1302"/>
      <c r="CS87" s="1302"/>
      <c r="CT87" s="1302"/>
      <c r="CU87" s="1302"/>
      <c r="CV87" s="1302"/>
      <c r="CW87" s="1302"/>
      <c r="CX87" s="1302"/>
      <c r="CY87" s="1302"/>
      <c r="CZ87" s="1302"/>
      <c r="DA87" s="1302"/>
      <c r="DB87" s="1302"/>
      <c r="DC87" s="1302"/>
      <c r="DD87" s="1302"/>
      <c r="DE87" s="1302"/>
      <c r="DF87" s="1302"/>
      <c r="DG87" s="1302"/>
      <c r="DH87" s="1302"/>
      <c r="DI87" s="1302"/>
      <c r="DJ87" s="1302"/>
      <c r="DK87" s="1302"/>
      <c r="DL87" s="1302"/>
      <c r="DM87" s="1302"/>
      <c r="DN87" s="1302"/>
      <c r="DO87" s="1302"/>
      <c r="DP87" s="1302"/>
      <c r="DQ87" s="1302"/>
      <c r="DR87" s="1302"/>
      <c r="DS87" s="1302"/>
      <c r="DT87" s="1302"/>
      <c r="DU87" s="1302"/>
      <c r="DV87" s="1302"/>
      <c r="DW87" s="1302"/>
      <c r="DX87" s="1302"/>
      <c r="DY87" s="1302"/>
      <c r="DZ87" s="1302"/>
      <c r="EA87" s="1302"/>
      <c r="EB87" s="1302"/>
      <c r="EC87" s="1302"/>
      <c r="ED87" s="1302"/>
      <c r="EE87" s="1302"/>
      <c r="EF87" s="1302"/>
      <c r="EG87" s="1302"/>
      <c r="EH87" s="1302"/>
      <c r="EI87" s="1302"/>
      <c r="EJ87" s="1302"/>
      <c r="EK87" s="1302"/>
      <c r="EL87" s="1302"/>
      <c r="EM87" s="1302"/>
      <c r="EN87" s="1302"/>
      <c r="EO87" s="1302"/>
      <c r="EP87" s="1302"/>
      <c r="EQ87" s="1302"/>
      <c r="ER87" s="1302"/>
      <c r="ES87" s="1"/>
      <c r="ET87" s="1"/>
      <c r="EU87" s="1"/>
      <c r="EV87" s="1"/>
      <c r="EW87" s="1"/>
      <c r="EX87" s="1"/>
      <c r="EY87" s="1"/>
      <c r="EZ87" s="1"/>
      <c r="FA87" s="1"/>
      <c r="FB87" s="1"/>
      <c r="FC87" s="1"/>
      <c r="FD87" s="1"/>
      <c r="FE87" s="1"/>
      <c r="FF87" s="1"/>
      <c r="FG87" s="1"/>
      <c r="FH87" s="1"/>
      <c r="FI87" s="1"/>
      <c r="FJ87" s="1"/>
      <c r="FK87" s="1"/>
      <c r="FL87" s="1"/>
      <c r="FM87" s="1"/>
      <c r="FN87" s="1"/>
      <c r="FO87" s="1"/>
      <c r="FP87" s="1"/>
      <c r="FQ87" s="1"/>
      <c r="FR87" s="1"/>
      <c r="FS87" s="1"/>
      <c r="FT87" s="1"/>
      <c r="FU87" s="1"/>
      <c r="FV87" s="1"/>
      <c r="FW87" s="1"/>
      <c r="FX87" s="1"/>
      <c r="FY87" s="1"/>
      <c r="FZ87" s="1"/>
      <c r="GA87" s="1"/>
      <c r="GB87" s="1"/>
      <c r="GC87" s="1"/>
      <c r="GD87" s="1"/>
      <c r="GE87" s="1"/>
      <c r="GF87" s="1"/>
      <c r="GG87" s="1"/>
      <c r="GH87" s="1"/>
      <c r="GI87" s="1"/>
      <c r="GJ87" s="1"/>
      <c r="GK87" s="1"/>
      <c r="GL87" s="1"/>
      <c r="GM87" s="1"/>
      <c r="GN87" s="1"/>
      <c r="GO87" s="1"/>
      <c r="GP87" s="1"/>
      <c r="GQ87" s="1"/>
      <c r="GR87" s="1"/>
      <c r="GS87" s="1"/>
      <c r="GT87" s="1"/>
      <c r="GU87" s="1"/>
      <c r="GV87" s="1"/>
      <c r="GW87" s="1"/>
      <c r="GX87" s="1"/>
      <c r="GY87" s="1"/>
      <c r="GZ87" s="1"/>
      <c r="HA87" s="1"/>
      <c r="HB87" s="1"/>
      <c r="HC87" s="1"/>
      <c r="HD87" s="1"/>
      <c r="HE87" s="1"/>
      <c r="HF87" s="1"/>
      <c r="HG87" s="1"/>
      <c r="HH87" s="1"/>
      <c r="HI87" s="1"/>
      <c r="HJ87" s="1"/>
      <c r="HK87" s="1"/>
      <c r="HL87" s="1"/>
      <c r="HM87" s="1"/>
      <c r="HN87" s="1"/>
      <c r="HO87" s="1"/>
      <c r="HP87" s="1"/>
      <c r="HQ87" s="1"/>
      <c r="HR87" s="1"/>
      <c r="HS87" s="1"/>
      <c r="HT87" s="1"/>
      <c r="HU87" s="1"/>
      <c r="HV87" s="1"/>
      <c r="HW87" s="1"/>
      <c r="HX87" s="1"/>
      <c r="HY87" s="1"/>
      <c r="HZ87" s="1"/>
      <c r="IA87" s="1"/>
      <c r="IB87" s="1"/>
      <c r="IC87" s="1"/>
      <c r="ID87" s="1"/>
      <c r="IE87" s="1"/>
      <c r="IF87" s="1"/>
      <c r="IG87" s="1"/>
      <c r="IH87" s="1"/>
      <c r="II87" s="1"/>
      <c r="IJ87" s="1"/>
      <c r="IK87" s="1"/>
      <c r="IL87" s="1"/>
      <c r="IM87" s="1"/>
      <c r="IN87" s="1"/>
      <c r="IO87" s="1"/>
      <c r="IP87" s="1"/>
      <c r="IQ87" s="1"/>
      <c r="IR87" s="1"/>
      <c r="IS87" s="1"/>
      <c r="IT87" s="1"/>
      <c r="IU87" s="1"/>
      <c r="IV87" s="1"/>
      <c r="IW87" s="1"/>
      <c r="IX87" s="1"/>
      <c r="IY87" s="1"/>
      <c r="IZ87" s="1"/>
      <c r="JA87" s="1"/>
      <c r="JB87" s="1"/>
      <c r="JC87" s="1"/>
      <c r="JD87" s="1"/>
    </row>
    <row r="88" spans="2:264" s="1044" customFormat="1" x14ac:dyDescent="0.2">
      <c r="B88" s="350"/>
      <c r="C88" s="1213"/>
      <c r="D88" s="1213"/>
      <c r="F88" s="1200"/>
      <c r="G88" s="1234"/>
      <c r="H88" s="1234"/>
      <c r="P88" s="1046"/>
      <c r="Q88" s="1047"/>
      <c r="R88" s="1074"/>
      <c r="S88" s="1074"/>
      <c r="T88" s="1074"/>
      <c r="U88" s="1074"/>
      <c r="V88" s="1074"/>
      <c r="W88" s="1074"/>
      <c r="X88" s="1074"/>
      <c r="Y88" s="1282">
        <f t="shared" ref="Y88:CJ88" si="236">Y41</f>
        <v>44061</v>
      </c>
      <c r="Z88" s="1282">
        <f t="shared" si="236"/>
        <v>47872</v>
      </c>
      <c r="AA88" s="1282">
        <f t="shared" si="236"/>
        <v>51492</v>
      </c>
      <c r="AB88" s="1282">
        <f t="shared" si="236"/>
        <v>60014</v>
      </c>
      <c r="AC88" s="1282">
        <f t="shared" si="236"/>
        <v>63114</v>
      </c>
      <c r="AD88" s="1282">
        <f t="shared" si="236"/>
        <v>67306</v>
      </c>
      <c r="AE88" s="1303">
        <f t="shared" si="236"/>
        <v>69594</v>
      </c>
      <c r="AF88" s="1282">
        <f t="shared" si="236"/>
        <v>71933</v>
      </c>
      <c r="AG88" s="1282">
        <f t="shared" si="236"/>
        <v>78713</v>
      </c>
      <c r="AH88" s="1282">
        <f t="shared" si="236"/>
        <v>72833</v>
      </c>
      <c r="AI88" s="1282">
        <f>AI41</f>
        <v>71628</v>
      </c>
      <c r="AJ88" s="1282">
        <f>AJ41</f>
        <v>73088</v>
      </c>
      <c r="AK88" s="1383">
        <f>AK41</f>
        <v>78776</v>
      </c>
      <c r="AL88" s="1282">
        <f>AL41</f>
        <v>78924.016849578707</v>
      </c>
      <c r="AM88" s="1282">
        <f t="shared" ref="AM88" ca="1" si="237">AM41</f>
        <v>81696.111297174299</v>
      </c>
      <c r="AN88" s="1282">
        <f t="shared" ref="AN88" ca="1" si="238">AN41</f>
        <v>84425.659927121276</v>
      </c>
      <c r="AO88" s="1282">
        <f t="shared" ref="AO88" ca="1" si="239">AO41</f>
        <v>88756.110063444547</v>
      </c>
      <c r="AP88" s="1282">
        <f t="shared" ca="1" si="236"/>
        <v>92994.562882366532</v>
      </c>
      <c r="AQ88" s="1282">
        <f t="shared" ca="1" si="236"/>
        <v>97008.506859022164</v>
      </c>
      <c r="AR88" s="1282">
        <f t="shared" ca="1" si="236"/>
        <v>101112.82318194404</v>
      </c>
      <c r="AS88" s="1282">
        <f t="shared" ca="1" si="236"/>
        <v>104902.22922352811</v>
      </c>
      <c r="AT88" s="1282">
        <f t="shared" ca="1" si="236"/>
        <v>109227.38960865392</v>
      </c>
      <c r="AU88" s="1282">
        <f t="shared" ca="1" si="236"/>
        <v>114325.20007179356</v>
      </c>
      <c r="AV88" s="1282">
        <f t="shared" ca="1" si="236"/>
        <v>119861.43537449022</v>
      </c>
      <c r="AW88" s="1282">
        <f t="shared" ca="1" si="236"/>
        <v>123983.6561344099</v>
      </c>
      <c r="AX88" s="1282">
        <f t="shared" ca="1" si="236"/>
        <v>127834.69973933166</v>
      </c>
      <c r="AY88" s="1282">
        <f t="shared" ca="1" si="236"/>
        <v>131702.60909274302</v>
      </c>
      <c r="AZ88" s="1282">
        <f t="shared" ca="1" si="236"/>
        <v>135661.90067782329</v>
      </c>
      <c r="BA88" s="1282">
        <f t="shared" ca="1" si="236"/>
        <v>140481.04373717992</v>
      </c>
      <c r="BB88" s="1282">
        <f t="shared" ca="1" si="236"/>
        <v>144776.04068357882</v>
      </c>
      <c r="BC88" s="1282">
        <f t="shared" ca="1" si="236"/>
        <v>149025.64996195538</v>
      </c>
      <c r="BD88" s="1282">
        <f t="shared" ca="1" si="236"/>
        <v>153355.10809001501</v>
      </c>
      <c r="BE88" s="1282">
        <f t="shared" ca="1" si="236"/>
        <v>157799.05515061916</v>
      </c>
      <c r="BF88" s="1282">
        <f t="shared" ca="1" si="236"/>
        <v>162369.04398926653</v>
      </c>
      <c r="BG88" s="1282">
        <f t="shared" ca="1" si="236"/>
        <v>167070.82204705337</v>
      </c>
      <c r="BH88" s="1282">
        <f t="shared" ca="1" si="236"/>
        <v>171908.74338347415</v>
      </c>
      <c r="BI88" s="1282">
        <f t="shared" ca="1" si="236"/>
        <v>176886.89334244019</v>
      </c>
      <c r="BJ88" s="1282">
        <f t="shared" ca="1" si="236"/>
        <v>182009.37619037629</v>
      </c>
      <c r="BK88" s="1282">
        <f t="shared" ca="1" si="236"/>
        <v>187280.3903494741</v>
      </c>
      <c r="BL88" s="1282">
        <f t="shared" ca="1" si="236"/>
        <v>192704.24995524966</v>
      </c>
      <c r="BM88" s="1282">
        <f t="shared" ca="1" si="236"/>
        <v>198285.39294981115</v>
      </c>
      <c r="BN88" s="1282">
        <f t="shared" ca="1" si="236"/>
        <v>204028.38586736456</v>
      </c>
      <c r="BO88" s="1282">
        <f t="shared" ca="1" si="236"/>
        <v>209937.9278708981</v>
      </c>
      <c r="BP88" s="1282">
        <f t="shared" ca="1" si="236"/>
        <v>216018.85468450445</v>
      </c>
      <c r="BQ88" s="1282">
        <f t="shared" ca="1" si="236"/>
        <v>222276.14258495052</v>
      </c>
      <c r="BR88" s="1282">
        <f t="shared" ca="1" si="236"/>
        <v>228714.91249577329</v>
      </c>
      <c r="BS88" s="1282">
        <f t="shared" ca="1" si="236"/>
        <v>235340.4341972183</v>
      </c>
      <c r="BT88" s="1282">
        <f t="shared" ca="1" si="236"/>
        <v>242158.13065795449</v>
      </c>
      <c r="BU88" s="1282">
        <f t="shared" ca="1" si="236"/>
        <v>249173.58249274787</v>
      </c>
      <c r="BV88" s="1282">
        <f t="shared" ca="1" si="236"/>
        <v>256392.53254992125</v>
      </c>
      <c r="BW88" s="1282">
        <f t="shared" ca="1" si="236"/>
        <v>263820.89063242212</v>
      </c>
      <c r="BX88" s="1282">
        <f t="shared" ca="1" si="236"/>
        <v>271464.73835640243</v>
      </c>
      <c r="BY88" s="1282">
        <f t="shared" ca="1" si="236"/>
        <v>279330.33415132185</v>
      </c>
      <c r="BZ88" s="1282">
        <f t="shared" ca="1" si="236"/>
        <v>287424.11840570113</v>
      </c>
      <c r="CA88" s="1282">
        <f t="shared" ca="1" si="236"/>
        <v>295752.7187627728</v>
      </c>
      <c r="CB88" s="1282">
        <f t="shared" ca="1" si="236"/>
        <v>304322.95557039842</v>
      </c>
      <c r="CC88" s="1282">
        <f t="shared" ca="1" si="236"/>
        <v>313141.84748975059</v>
      </c>
      <c r="CD88" s="1282">
        <f t="shared" ca="1" si="236"/>
        <v>322216.61726739036</v>
      </c>
      <c r="CE88" s="1282">
        <f t="shared" ca="1" si="236"/>
        <v>331554.69767550169</v>
      </c>
      <c r="CF88" s="1282">
        <f t="shared" ca="1" si="236"/>
        <v>341163.73762518866</v>
      </c>
      <c r="CG88" s="1282">
        <f t="shared" ca="1" si="236"/>
        <v>351051.60845788021</v>
      </c>
      <c r="CH88" s="1282">
        <f t="shared" ca="1" si="236"/>
        <v>361226.41042003687</v>
      </c>
      <c r="CI88" s="1282">
        <f t="shared" ca="1" si="236"/>
        <v>371696.47932650457</v>
      </c>
      <c r="CJ88" s="1282">
        <f t="shared" ca="1" si="236"/>
        <v>382763.54900714807</v>
      </c>
      <c r="CK88" s="1135"/>
      <c r="CL88" s="1135"/>
      <c r="CM88" s="1135"/>
      <c r="CN88" s="1135"/>
      <c r="CO88" s="1135"/>
      <c r="CP88" s="1135"/>
      <c r="CQ88" s="1135"/>
      <c r="CR88" s="1135"/>
      <c r="CS88" s="1135"/>
      <c r="CT88" s="1135"/>
      <c r="CU88" s="1135"/>
      <c r="CV88" s="1135"/>
      <c r="CW88" s="1135"/>
      <c r="CX88" s="1135"/>
      <c r="CY88" s="1135"/>
      <c r="CZ88" s="1135"/>
      <c r="DA88" s="1135"/>
      <c r="DB88" s="1135"/>
      <c r="DC88" s="1135"/>
      <c r="DD88" s="1135"/>
      <c r="DE88" s="1135"/>
      <c r="DF88" s="1135"/>
      <c r="DG88" s="1135"/>
      <c r="DH88" s="1135"/>
      <c r="DI88" s="1135"/>
      <c r="DJ88" s="1135"/>
      <c r="DK88" s="1135"/>
      <c r="DL88" s="1135"/>
      <c r="DM88" s="1135"/>
      <c r="DN88" s="1135"/>
      <c r="DO88" s="1135"/>
      <c r="DP88" s="1135"/>
      <c r="DQ88" s="1135"/>
      <c r="DR88" s="1135"/>
      <c r="DS88" s="1135"/>
      <c r="DT88" s="1135"/>
      <c r="DU88" s="1135"/>
      <c r="DV88" s="1135"/>
      <c r="DW88" s="1135"/>
      <c r="DX88" s="1135"/>
      <c r="DY88" s="1135"/>
      <c r="DZ88" s="1135"/>
      <c r="EA88" s="1135"/>
      <c r="EB88" s="1135"/>
      <c r="EC88" s="1135"/>
      <c r="ED88" s="1135"/>
      <c r="EE88" s="1135"/>
      <c r="EF88" s="1135"/>
      <c r="EG88" s="1135"/>
      <c r="EH88" s="1135"/>
      <c r="EI88" s="1135"/>
      <c r="EJ88" s="1135"/>
      <c r="EK88" s="1135"/>
      <c r="EL88" s="1135"/>
      <c r="EM88" s="1135"/>
      <c r="EN88" s="1135"/>
      <c r="EO88" s="1135"/>
      <c r="EP88" s="1135"/>
      <c r="EQ88" s="1135"/>
      <c r="ER88" s="1135"/>
      <c r="ES88" s="1"/>
      <c r="ET88" s="1"/>
      <c r="EU88" s="1"/>
      <c r="EV88" s="1"/>
      <c r="EW88" s="1"/>
      <c r="EX88" s="1"/>
      <c r="EY88" s="1"/>
      <c r="EZ88" s="1"/>
      <c r="FA88" s="1"/>
      <c r="FB88" s="1"/>
      <c r="FC88" s="1"/>
      <c r="FD88" s="1"/>
      <c r="FE88" s="1"/>
      <c r="FF88" s="1"/>
      <c r="FG88" s="1"/>
      <c r="FH88" s="1"/>
      <c r="FI88" s="1"/>
      <c r="FJ88" s="1"/>
      <c r="FK88" s="1"/>
      <c r="FL88" s="1"/>
      <c r="FM88" s="1"/>
      <c r="FN88" s="1"/>
      <c r="FO88" s="1"/>
      <c r="FP88" s="1"/>
      <c r="FQ88" s="1"/>
      <c r="FR88" s="1"/>
      <c r="FS88" s="1"/>
      <c r="FT88" s="1"/>
      <c r="FU88" s="1"/>
      <c r="FV88" s="1"/>
      <c r="FW88" s="1"/>
      <c r="FX88" s="1"/>
      <c r="FY88" s="1"/>
      <c r="FZ88" s="1"/>
      <c r="GA88" s="1"/>
      <c r="GB88" s="1"/>
      <c r="GC88" s="1"/>
      <c r="GD88" s="1"/>
      <c r="GE88" s="1"/>
      <c r="GF88" s="1"/>
      <c r="GG88" s="1"/>
      <c r="GH88" s="1"/>
      <c r="GI88" s="1"/>
      <c r="GJ88" s="1"/>
      <c r="GK88" s="1"/>
      <c r="GL88" s="1"/>
      <c r="GM88" s="1"/>
      <c r="GN88" s="1"/>
      <c r="GO88" s="1"/>
      <c r="GP88" s="1"/>
      <c r="GQ88" s="1"/>
      <c r="GR88" s="1"/>
      <c r="GS88" s="1"/>
      <c r="GT88" s="1"/>
      <c r="GU88" s="1"/>
      <c r="GV88" s="1"/>
      <c r="GW88" s="1"/>
      <c r="GX88" s="1"/>
      <c r="GY88" s="1"/>
      <c r="GZ88" s="1"/>
      <c r="HA88" s="1"/>
      <c r="HB88" s="1"/>
      <c r="HC88" s="1"/>
      <c r="HD88" s="1"/>
      <c r="HE88" s="1"/>
      <c r="HF88" s="1"/>
      <c r="HG88" s="1"/>
      <c r="HH88" s="1"/>
      <c r="HI88" s="1"/>
      <c r="HJ88" s="1"/>
      <c r="HK88" s="1"/>
      <c r="HL88" s="1"/>
      <c r="HM88" s="1"/>
      <c r="HN88" s="1"/>
      <c r="HO88" s="1"/>
      <c r="HP88" s="1"/>
      <c r="HQ88" s="1"/>
      <c r="HR88" s="1"/>
      <c r="HS88" s="1"/>
      <c r="HT88" s="1"/>
      <c r="HU88" s="1"/>
      <c r="HV88" s="1"/>
      <c r="HW88" s="1"/>
      <c r="HX88" s="1"/>
      <c r="HY88" s="1"/>
      <c r="HZ88" s="1"/>
      <c r="IA88" s="1"/>
      <c r="IB88" s="1"/>
      <c r="IC88" s="1"/>
      <c r="ID88" s="1"/>
      <c r="IE88" s="1"/>
      <c r="IF88" s="1"/>
      <c r="IG88" s="1"/>
      <c r="IH88" s="1"/>
      <c r="II88" s="1"/>
      <c r="IJ88" s="1"/>
      <c r="IK88" s="1"/>
      <c r="IL88" s="1"/>
      <c r="IM88" s="1"/>
      <c r="IN88" s="1"/>
      <c r="IO88" s="1"/>
      <c r="IP88" s="1"/>
      <c r="IQ88" s="1"/>
      <c r="IR88" s="1"/>
      <c r="IS88" s="1"/>
      <c r="IT88" s="1"/>
      <c r="IU88" s="1"/>
      <c r="IV88" s="1"/>
      <c r="IW88" s="1"/>
      <c r="IX88" s="1"/>
      <c r="IY88" s="1"/>
      <c r="IZ88" s="1"/>
      <c r="JA88" s="1"/>
      <c r="JB88" s="1"/>
      <c r="JC88" s="1"/>
      <c r="JD88" s="1"/>
    </row>
    <row r="89" spans="2:264" s="1044" customFormat="1" x14ac:dyDescent="0.2">
      <c r="B89" s="350"/>
      <c r="C89" s="1213"/>
      <c r="D89" s="1213"/>
      <c r="F89" s="1200"/>
      <c r="G89" s="1234"/>
      <c r="H89" s="1234"/>
      <c r="P89" s="1046"/>
      <c r="Q89" s="1494" t="s">
        <v>350</v>
      </c>
      <c r="R89" s="1074"/>
      <c r="S89" s="1074"/>
      <c r="T89" s="1074"/>
      <c r="U89" s="1074"/>
      <c r="V89" s="1074"/>
      <c r="W89" s="1074"/>
      <c r="X89" s="1074"/>
      <c r="Y89" s="1282"/>
      <c r="Z89" s="1282"/>
      <c r="AA89" s="1282"/>
      <c r="AB89" s="1282"/>
      <c r="AC89" s="1282"/>
      <c r="AD89" s="1496">
        <f>INDEX(MODEL!1009:1009,MATCH(AD$5,MODEL!7:7,0))</f>
        <v>9090</v>
      </c>
      <c r="AE89" s="1496">
        <f>INDEX(MODEL!1009:1009,MATCH(AE$5,MODEL!7:7,0))</f>
        <v>7965</v>
      </c>
      <c r="AF89" s="1496">
        <f>INDEX(MODEL!1009:1009,MATCH(AF$5,MODEL!7:7,0))</f>
        <v>6891</v>
      </c>
      <c r="AG89" s="1496">
        <f>INDEX(MODEL!1009:1009,MATCH(AG$5,MODEL!7:7,0))</f>
        <v>6942</v>
      </c>
      <c r="AH89" s="1496">
        <f>INDEX(MODEL!1009:1009,MATCH(AH$5,MODEL!7:7,0))</f>
        <v>6899</v>
      </c>
      <c r="AI89" s="1496">
        <f>INDEX(MODEL!1009:1009,MATCH(AI$5,MODEL!7:7,0))</f>
        <v>7393</v>
      </c>
      <c r="AJ89" s="1496">
        <f>INDEX(MODEL!1009:1009,MATCH(AJ$5,MODEL!7:7,0))</f>
        <v>7600</v>
      </c>
      <c r="AK89" s="1496">
        <f>INDEX(MODEL!1009:1009,MATCH(AK$5,MODEL!7:7,0))</f>
        <v>8082</v>
      </c>
      <c r="AL89" s="1496">
        <f>INDEX(MODEL!1009:1009,MATCH(AL$5,MODEL!7:7,0))</f>
        <v>8498.554894737299</v>
      </c>
      <c r="AM89" s="1496">
        <f>INDEX(MODEL!1009:1009,MATCH(AM$5,MODEL!7:7,0))</f>
        <v>8838.0358728931587</v>
      </c>
      <c r="AN89" s="1496">
        <f>INDEX(MODEL!1009:1009,MATCH(AN$5,MODEL!7:7,0))</f>
        <v>9036.8393534051011</v>
      </c>
      <c r="AO89" s="1242">
        <f>AN89</f>
        <v>9036.8393534051011</v>
      </c>
      <c r="AP89" s="1242">
        <f t="shared" ref="AP89:CJ89" si="240">AO89</f>
        <v>9036.8393534051011</v>
      </c>
      <c r="AQ89" s="1242">
        <f t="shared" si="240"/>
        <v>9036.8393534051011</v>
      </c>
      <c r="AR89" s="1242">
        <f t="shared" si="240"/>
        <v>9036.8393534051011</v>
      </c>
      <c r="AS89" s="1242">
        <f t="shared" si="240"/>
        <v>9036.8393534051011</v>
      </c>
      <c r="AT89" s="1242">
        <f t="shared" si="240"/>
        <v>9036.8393534051011</v>
      </c>
      <c r="AU89" s="1242">
        <f t="shared" si="240"/>
        <v>9036.8393534051011</v>
      </c>
      <c r="AV89" s="1243">
        <f t="shared" si="240"/>
        <v>9036.8393534051011</v>
      </c>
      <c r="AW89" s="1243">
        <f t="shared" si="240"/>
        <v>9036.8393534051011</v>
      </c>
      <c r="AX89" s="1243">
        <f t="shared" si="240"/>
        <v>9036.8393534051011</v>
      </c>
      <c r="AY89" s="1243">
        <f t="shared" si="240"/>
        <v>9036.8393534051011</v>
      </c>
      <c r="AZ89" s="1243">
        <f t="shared" si="240"/>
        <v>9036.8393534051011</v>
      </c>
      <c r="BA89" s="1244">
        <f t="shared" si="240"/>
        <v>9036.8393534051011</v>
      </c>
      <c r="BB89" s="1244">
        <f t="shared" si="240"/>
        <v>9036.8393534051011</v>
      </c>
      <c r="BC89" s="1244">
        <f t="shared" si="240"/>
        <v>9036.8393534051011</v>
      </c>
      <c r="BD89" s="1244">
        <f t="shared" si="240"/>
        <v>9036.8393534051011</v>
      </c>
      <c r="BE89" s="1244">
        <f t="shared" si="240"/>
        <v>9036.8393534051011</v>
      </c>
      <c r="BF89" s="1244">
        <f t="shared" si="240"/>
        <v>9036.8393534051011</v>
      </c>
      <c r="BG89" s="1244">
        <f t="shared" si="240"/>
        <v>9036.8393534051011</v>
      </c>
      <c r="BH89" s="1244">
        <f t="shared" si="240"/>
        <v>9036.8393534051011</v>
      </c>
      <c r="BI89" s="1244">
        <f t="shared" si="240"/>
        <v>9036.8393534051011</v>
      </c>
      <c r="BJ89" s="1244">
        <f t="shared" si="240"/>
        <v>9036.8393534051011</v>
      </c>
      <c r="BK89" s="1244">
        <f t="shared" si="240"/>
        <v>9036.8393534051011</v>
      </c>
      <c r="BL89" s="1244">
        <f t="shared" si="240"/>
        <v>9036.8393534051011</v>
      </c>
      <c r="BM89" s="1244">
        <f t="shared" si="240"/>
        <v>9036.8393534051011</v>
      </c>
      <c r="BN89" s="1244">
        <f t="shared" si="240"/>
        <v>9036.8393534051011</v>
      </c>
      <c r="BO89" s="1244">
        <f t="shared" si="240"/>
        <v>9036.8393534051011</v>
      </c>
      <c r="BP89" s="1244">
        <f t="shared" si="240"/>
        <v>9036.8393534051011</v>
      </c>
      <c r="BQ89" s="1244">
        <f t="shared" si="240"/>
        <v>9036.8393534051011</v>
      </c>
      <c r="BR89" s="1244">
        <f t="shared" si="240"/>
        <v>9036.8393534051011</v>
      </c>
      <c r="BS89" s="1244">
        <f t="shared" si="240"/>
        <v>9036.8393534051011</v>
      </c>
      <c r="BT89" s="1244">
        <f t="shared" si="240"/>
        <v>9036.8393534051011</v>
      </c>
      <c r="BU89" s="1244">
        <f t="shared" si="240"/>
        <v>9036.8393534051011</v>
      </c>
      <c r="BV89" s="1244">
        <f t="shared" si="240"/>
        <v>9036.8393534051011</v>
      </c>
      <c r="BW89" s="1244">
        <f t="shared" si="240"/>
        <v>9036.8393534051011</v>
      </c>
      <c r="BX89" s="1244">
        <f t="shared" si="240"/>
        <v>9036.8393534051011</v>
      </c>
      <c r="BY89" s="1244">
        <f t="shared" si="240"/>
        <v>9036.8393534051011</v>
      </c>
      <c r="BZ89" s="1244">
        <f t="shared" si="240"/>
        <v>9036.8393534051011</v>
      </c>
      <c r="CA89" s="1244">
        <f t="shared" si="240"/>
        <v>9036.8393534051011</v>
      </c>
      <c r="CB89" s="1244">
        <f t="shared" si="240"/>
        <v>9036.8393534051011</v>
      </c>
      <c r="CC89" s="1244">
        <f t="shared" si="240"/>
        <v>9036.8393534051011</v>
      </c>
      <c r="CD89" s="1244">
        <f t="shared" si="240"/>
        <v>9036.8393534051011</v>
      </c>
      <c r="CE89" s="1244">
        <f t="shared" si="240"/>
        <v>9036.8393534051011</v>
      </c>
      <c r="CF89" s="1244">
        <f t="shared" si="240"/>
        <v>9036.8393534051011</v>
      </c>
      <c r="CG89" s="1244">
        <f t="shared" si="240"/>
        <v>9036.8393534051011</v>
      </c>
      <c r="CH89" s="1244">
        <f t="shared" si="240"/>
        <v>9036.8393534051011</v>
      </c>
      <c r="CI89" s="1244">
        <f t="shared" si="240"/>
        <v>9036.8393534051011</v>
      </c>
      <c r="CJ89" s="1244">
        <f t="shared" si="240"/>
        <v>9036.8393534051011</v>
      </c>
      <c r="CK89" s="1135"/>
      <c r="CL89" s="1135"/>
      <c r="CM89" s="1135"/>
      <c r="CN89" s="1135"/>
      <c r="CO89" s="1135"/>
      <c r="CP89" s="1135"/>
      <c r="CQ89" s="1135"/>
      <c r="CR89" s="1135"/>
      <c r="CS89" s="1135"/>
      <c r="CT89" s="1135"/>
      <c r="CU89" s="1135"/>
      <c r="CV89" s="1135"/>
      <c r="CW89" s="1135"/>
      <c r="CX89" s="1135"/>
      <c r="CY89" s="1135"/>
      <c r="CZ89" s="1135"/>
      <c r="DA89" s="1135"/>
      <c r="DB89" s="1135"/>
      <c r="DC89" s="1135"/>
      <c r="DD89" s="1135"/>
      <c r="DE89" s="1135"/>
      <c r="DF89" s="1135"/>
      <c r="DG89" s="1135"/>
      <c r="DH89" s="1135"/>
      <c r="DI89" s="1135"/>
      <c r="DJ89" s="1135"/>
      <c r="DK89" s="1135"/>
      <c r="DL89" s="1135"/>
      <c r="DM89" s="1135"/>
      <c r="DN89" s="1135"/>
      <c r="DO89" s="1135"/>
      <c r="DP89" s="1135"/>
      <c r="DQ89" s="1135"/>
      <c r="DR89" s="1135"/>
      <c r="DS89" s="1135"/>
      <c r="DT89" s="1135"/>
      <c r="DU89" s="1135"/>
      <c r="DV89" s="1135"/>
      <c r="DW89" s="1135"/>
      <c r="DX89" s="1135"/>
      <c r="DY89" s="1135"/>
      <c r="DZ89" s="1135"/>
      <c r="EA89" s="1135"/>
      <c r="EB89" s="1135"/>
      <c r="EC89" s="1135"/>
      <c r="ED89" s="1135"/>
      <c r="EE89" s="1135"/>
      <c r="EF89" s="1135"/>
      <c r="EG89" s="1135"/>
      <c r="EH89" s="1135"/>
      <c r="EI89" s="1135"/>
      <c r="EJ89" s="1135"/>
      <c r="EK89" s="1135"/>
      <c r="EL89" s="1135"/>
      <c r="EM89" s="1135"/>
      <c r="EN89" s="1135"/>
      <c r="EO89" s="1135"/>
      <c r="EP89" s="1135"/>
      <c r="EQ89" s="1135"/>
      <c r="ER89" s="1135"/>
      <c r="ES89" s="1"/>
      <c r="ET89" s="1"/>
      <c r="EU89" s="1"/>
      <c r="EV89" s="1"/>
      <c r="EW89" s="1"/>
      <c r="EX89" s="1"/>
      <c r="EY89" s="1"/>
      <c r="EZ89" s="1"/>
      <c r="FA89" s="1"/>
      <c r="FB89" s="1"/>
      <c r="FC89" s="1"/>
      <c r="FD89" s="1"/>
      <c r="FE89" s="1"/>
      <c r="FF89" s="1"/>
      <c r="FG89" s="1"/>
      <c r="FH89" s="1"/>
      <c r="FI89" s="1"/>
      <c r="FJ89" s="1"/>
      <c r="FK89" s="1"/>
      <c r="FL89" s="1"/>
      <c r="FM89" s="1"/>
      <c r="FN89" s="1"/>
      <c r="FO89" s="1"/>
      <c r="FP89" s="1"/>
      <c r="FQ89" s="1"/>
      <c r="FR89" s="1"/>
      <c r="FS89" s="1"/>
      <c r="FT89" s="1"/>
      <c r="FU89" s="1"/>
      <c r="FV89" s="1"/>
      <c r="FW89" s="1"/>
      <c r="FX89" s="1"/>
      <c r="FY89" s="1"/>
      <c r="FZ89" s="1"/>
      <c r="GA89" s="1"/>
      <c r="GB89" s="1"/>
      <c r="GC89" s="1"/>
      <c r="GD89" s="1"/>
      <c r="GE89" s="1"/>
      <c r="GF89" s="1"/>
      <c r="GG89" s="1"/>
      <c r="GH89" s="1"/>
      <c r="GI89" s="1"/>
      <c r="GJ89" s="1"/>
      <c r="GK89" s="1"/>
      <c r="GL89" s="1"/>
      <c r="GM89" s="1"/>
      <c r="GN89" s="1"/>
      <c r="GO89" s="1"/>
      <c r="GP89" s="1"/>
      <c r="GQ89" s="1"/>
      <c r="GR89" s="1"/>
      <c r="GS89" s="1"/>
      <c r="GT89" s="1"/>
      <c r="GU89" s="1"/>
      <c r="GV89" s="1"/>
      <c r="GW89" s="1"/>
      <c r="GX89" s="1"/>
      <c r="GY89" s="1"/>
      <c r="GZ89" s="1"/>
      <c r="HA89" s="1"/>
      <c r="HB89" s="1"/>
      <c r="HC89" s="1"/>
      <c r="HD89" s="1"/>
      <c r="HE89" s="1"/>
      <c r="HF89" s="1"/>
      <c r="HG89" s="1"/>
      <c r="HH89" s="1"/>
      <c r="HI89" s="1"/>
      <c r="HJ89" s="1"/>
      <c r="HK89" s="1"/>
      <c r="HL89" s="1"/>
      <c r="HM89" s="1"/>
      <c r="HN89" s="1"/>
      <c r="HO89" s="1"/>
      <c r="HP89" s="1"/>
      <c r="HQ89" s="1"/>
      <c r="HR89" s="1"/>
      <c r="HS89" s="1"/>
      <c r="HT89" s="1"/>
      <c r="HU89" s="1"/>
      <c r="HV89" s="1"/>
      <c r="HW89" s="1"/>
      <c r="HX89" s="1"/>
      <c r="HY89" s="1"/>
      <c r="HZ89" s="1"/>
      <c r="IA89" s="1"/>
      <c r="IB89" s="1"/>
      <c r="IC89" s="1"/>
      <c r="ID89" s="1"/>
      <c r="IE89" s="1"/>
      <c r="IF89" s="1"/>
      <c r="IG89" s="1"/>
      <c r="IH89" s="1"/>
      <c r="II89" s="1"/>
      <c r="IJ89" s="1"/>
      <c r="IK89" s="1"/>
      <c r="IL89" s="1"/>
      <c r="IM89" s="1"/>
      <c r="IN89" s="1"/>
      <c r="IO89" s="1"/>
      <c r="IP89" s="1"/>
      <c r="IQ89" s="1"/>
      <c r="IR89" s="1"/>
      <c r="IS89" s="1"/>
      <c r="IT89" s="1"/>
      <c r="IU89" s="1"/>
      <c r="IV89" s="1"/>
      <c r="IW89" s="1"/>
      <c r="IX89" s="1"/>
      <c r="IY89" s="1"/>
      <c r="IZ89" s="1"/>
      <c r="JA89" s="1"/>
      <c r="JB89" s="1"/>
      <c r="JC89" s="1"/>
      <c r="JD89" s="1"/>
    </row>
    <row r="90" spans="2:264" s="1044" customFormat="1" x14ac:dyDescent="0.2">
      <c r="B90" s="350"/>
      <c r="C90" s="1213"/>
      <c r="D90" s="1213"/>
      <c r="F90" s="1200"/>
      <c r="G90" s="1043"/>
      <c r="H90" s="1043"/>
      <c r="P90" s="1046"/>
      <c r="Q90" s="1047" t="s">
        <v>361</v>
      </c>
      <c r="R90" s="1074"/>
      <c r="S90" s="1074"/>
      <c r="T90" s="1074"/>
      <c r="U90" s="1074"/>
      <c r="V90" s="1074"/>
      <c r="W90" s="1074"/>
      <c r="X90" s="1074"/>
      <c r="Y90" s="1282"/>
      <c r="Z90" s="1282"/>
      <c r="AA90" s="1282"/>
      <c r="AB90" s="1282"/>
      <c r="AC90" s="1282"/>
      <c r="AD90" s="1495">
        <f>AD87-AD89</f>
        <v>58216</v>
      </c>
      <c r="AE90" s="1495">
        <f t="shared" ref="AE90:CJ90" si="241">AE87-AE89</f>
        <v>61628.999999999985</v>
      </c>
      <c r="AF90" s="1495">
        <f t="shared" si="241"/>
        <v>65041.999999999985</v>
      </c>
      <c r="AG90" s="1495">
        <f t="shared" si="241"/>
        <v>71741</v>
      </c>
      <c r="AH90" s="1495">
        <f t="shared" si="241"/>
        <v>65934</v>
      </c>
      <c r="AI90" s="1495">
        <f t="shared" si="241"/>
        <v>64235</v>
      </c>
      <c r="AJ90" s="1495">
        <f t="shared" si="241"/>
        <v>65482</v>
      </c>
      <c r="AK90" s="1495">
        <f t="shared" si="241"/>
        <v>70688</v>
      </c>
      <c r="AL90" s="1495">
        <f t="shared" si="241"/>
        <v>70425.46195484139</v>
      </c>
      <c r="AM90" s="1495">
        <f t="shared" ca="1" si="241"/>
        <v>72858.075424281153</v>
      </c>
      <c r="AN90" s="1495">
        <f t="shared" ca="1" si="241"/>
        <v>75388.820573716177</v>
      </c>
      <c r="AO90" s="1495">
        <f t="shared" ca="1" si="241"/>
        <v>79719.270710039447</v>
      </c>
      <c r="AP90" s="1495">
        <f t="shared" ca="1" si="241"/>
        <v>83957.723528961433</v>
      </c>
      <c r="AQ90" s="1495">
        <f t="shared" ca="1" si="241"/>
        <v>87971.667505617064</v>
      </c>
      <c r="AR90" s="1495">
        <f t="shared" ca="1" si="241"/>
        <v>92075.983828538941</v>
      </c>
      <c r="AS90" s="1495">
        <f t="shared" ca="1" si="241"/>
        <v>95865.389870123006</v>
      </c>
      <c r="AT90" s="1495">
        <f t="shared" ca="1" si="241"/>
        <v>100190.55025524882</v>
      </c>
      <c r="AU90" s="1495">
        <f t="shared" ca="1" si="241"/>
        <v>105288.36071838846</v>
      </c>
      <c r="AV90" s="1495">
        <f t="shared" ca="1" si="241"/>
        <v>110824.59602108512</v>
      </c>
      <c r="AW90" s="1495">
        <f t="shared" ca="1" si="241"/>
        <v>114946.8167810048</v>
      </c>
      <c r="AX90" s="1495">
        <f t="shared" ca="1" si="241"/>
        <v>118797.86038592656</v>
      </c>
      <c r="AY90" s="1495">
        <f t="shared" ca="1" si="241"/>
        <v>122665.76973933792</v>
      </c>
      <c r="AZ90" s="1495">
        <f t="shared" ca="1" si="241"/>
        <v>126625.06132441819</v>
      </c>
      <c r="BA90" s="1495">
        <f t="shared" ca="1" si="241"/>
        <v>131444.20438377481</v>
      </c>
      <c r="BB90" s="1495">
        <f t="shared" ca="1" si="241"/>
        <v>135739.2013301737</v>
      </c>
      <c r="BC90" s="1495">
        <f t="shared" ca="1" si="241"/>
        <v>139988.81060855027</v>
      </c>
      <c r="BD90" s="1495">
        <f t="shared" ca="1" si="241"/>
        <v>144318.2687366099</v>
      </c>
      <c r="BE90" s="1495">
        <f t="shared" ca="1" si="241"/>
        <v>148762.21579721404</v>
      </c>
      <c r="BF90" s="1495">
        <f t="shared" ca="1" si="241"/>
        <v>153332.20463586142</v>
      </c>
      <c r="BG90" s="1495">
        <f t="shared" ca="1" si="241"/>
        <v>158033.98269364826</v>
      </c>
      <c r="BH90" s="1495">
        <f t="shared" ca="1" si="241"/>
        <v>162871.90403006904</v>
      </c>
      <c r="BI90" s="1495">
        <f t="shared" ca="1" si="241"/>
        <v>167850.05398903508</v>
      </c>
      <c r="BJ90" s="1495">
        <f t="shared" ca="1" si="241"/>
        <v>172972.53683697118</v>
      </c>
      <c r="BK90" s="1495">
        <f t="shared" ca="1" si="241"/>
        <v>178243.55099606898</v>
      </c>
      <c r="BL90" s="1495">
        <f t="shared" ca="1" si="241"/>
        <v>183667.41060184455</v>
      </c>
      <c r="BM90" s="1495">
        <f t="shared" ca="1" si="241"/>
        <v>189248.55359640604</v>
      </c>
      <c r="BN90" s="1495">
        <f t="shared" ca="1" si="241"/>
        <v>194991.54651395945</v>
      </c>
      <c r="BO90" s="1495">
        <f t="shared" ca="1" si="241"/>
        <v>200901.08851749299</v>
      </c>
      <c r="BP90" s="1495">
        <f t="shared" ca="1" si="241"/>
        <v>206982.01533109933</v>
      </c>
      <c r="BQ90" s="1495">
        <f t="shared" ca="1" si="241"/>
        <v>213239.3032315454</v>
      </c>
      <c r="BR90" s="1495">
        <f t="shared" ca="1" si="241"/>
        <v>219678.07314236817</v>
      </c>
      <c r="BS90" s="1495">
        <f t="shared" ca="1" si="241"/>
        <v>226303.59484381319</v>
      </c>
      <c r="BT90" s="1495">
        <f t="shared" ca="1" si="241"/>
        <v>233121.29130454938</v>
      </c>
      <c r="BU90" s="1495">
        <f t="shared" ca="1" si="241"/>
        <v>240136.74313934275</v>
      </c>
      <c r="BV90" s="1495">
        <f t="shared" ca="1" si="241"/>
        <v>247355.69319651613</v>
      </c>
      <c r="BW90" s="1495">
        <f t="shared" ca="1" si="241"/>
        <v>254784.051279017</v>
      </c>
      <c r="BX90" s="1495">
        <f t="shared" ca="1" si="241"/>
        <v>262427.89900299732</v>
      </c>
      <c r="BY90" s="1495">
        <f t="shared" ca="1" si="241"/>
        <v>270293.49479791673</v>
      </c>
      <c r="BZ90" s="1495">
        <f t="shared" ca="1" si="241"/>
        <v>278387.27905229601</v>
      </c>
      <c r="CA90" s="1495">
        <f t="shared" ca="1" si="241"/>
        <v>286715.87940936768</v>
      </c>
      <c r="CB90" s="1495">
        <f t="shared" ca="1" si="241"/>
        <v>295286.11621699331</v>
      </c>
      <c r="CC90" s="1495">
        <f t="shared" ca="1" si="241"/>
        <v>304105.00813634548</v>
      </c>
      <c r="CD90" s="1495">
        <f t="shared" ca="1" si="241"/>
        <v>313179.77791398525</v>
      </c>
      <c r="CE90" s="1495">
        <f t="shared" ca="1" si="241"/>
        <v>322517.85832209658</v>
      </c>
      <c r="CF90" s="1495">
        <f t="shared" ca="1" si="241"/>
        <v>332126.89827178355</v>
      </c>
      <c r="CG90" s="1495">
        <f t="shared" ca="1" si="241"/>
        <v>342014.7691044751</v>
      </c>
      <c r="CH90" s="1495">
        <f t="shared" ca="1" si="241"/>
        <v>352189.57106663176</v>
      </c>
      <c r="CI90" s="1495">
        <f t="shared" ca="1" si="241"/>
        <v>362659.63997309946</v>
      </c>
      <c r="CJ90" s="1495">
        <f t="shared" ca="1" si="241"/>
        <v>373726.70965374296</v>
      </c>
      <c r="CK90" s="1135"/>
      <c r="CL90" s="1135"/>
      <c r="CM90" s="1135"/>
      <c r="CN90" s="1135"/>
      <c r="CO90" s="1135"/>
      <c r="CP90" s="1135"/>
      <c r="CQ90" s="1135"/>
      <c r="CR90" s="1135"/>
      <c r="CS90" s="1135"/>
      <c r="CT90" s="1135"/>
      <c r="CU90" s="1135"/>
      <c r="CV90" s="1135"/>
      <c r="CW90" s="1135"/>
      <c r="CX90" s="1135"/>
      <c r="CY90" s="1135"/>
      <c r="CZ90" s="1135"/>
      <c r="DA90" s="1135"/>
      <c r="DB90" s="1135"/>
      <c r="DC90" s="1135"/>
      <c r="DD90" s="1135"/>
      <c r="DE90" s="1135"/>
      <c r="DF90" s="1135"/>
      <c r="DG90" s="1135"/>
      <c r="DH90" s="1135"/>
      <c r="DI90" s="1135"/>
      <c r="DJ90" s="1135"/>
      <c r="DK90" s="1135"/>
      <c r="DL90" s="1135"/>
      <c r="DM90" s="1135"/>
      <c r="DN90" s="1135"/>
      <c r="DO90" s="1135"/>
      <c r="DP90" s="1135"/>
      <c r="DQ90" s="1135"/>
      <c r="DR90" s="1135"/>
      <c r="DS90" s="1135"/>
      <c r="DT90" s="1135"/>
      <c r="DU90" s="1135"/>
      <c r="DV90" s="1135"/>
      <c r="DW90" s="1135"/>
      <c r="DX90" s="1135"/>
      <c r="DY90" s="1135"/>
      <c r="DZ90" s="1135"/>
      <c r="EA90" s="1135"/>
      <c r="EB90" s="1135"/>
      <c r="EC90" s="1135"/>
      <c r="ED90" s="1135"/>
      <c r="EE90" s="1135"/>
      <c r="EF90" s="1135"/>
      <c r="EG90" s="1135"/>
      <c r="EH90" s="1135"/>
      <c r="EI90" s="1135"/>
      <c r="EJ90" s="1135"/>
      <c r="EK90" s="1135"/>
      <c r="EL90" s="1135"/>
      <c r="EM90" s="1135"/>
      <c r="EN90" s="1135"/>
      <c r="EO90" s="1135"/>
      <c r="EP90" s="1135"/>
      <c r="EQ90" s="1135"/>
      <c r="ER90" s="1135"/>
      <c r="ES90" s="1"/>
      <c r="ET90" s="1"/>
      <c r="EU90" s="1"/>
      <c r="EV90" s="1"/>
      <c r="EW90" s="1"/>
      <c r="EX90" s="1"/>
      <c r="EY90" s="1"/>
      <c r="EZ90" s="1"/>
      <c r="FA90" s="1"/>
      <c r="FB90" s="1"/>
      <c r="FC90" s="1"/>
      <c r="FD90" s="1"/>
      <c r="FE90" s="1"/>
      <c r="FF90" s="1"/>
      <c r="FG90" s="1"/>
      <c r="FH90" s="1"/>
      <c r="FI90" s="1"/>
      <c r="FJ90" s="1"/>
      <c r="FK90" s="1"/>
      <c r="FL90" s="1"/>
      <c r="FM90" s="1"/>
      <c r="FN90" s="1"/>
      <c r="FO90" s="1"/>
      <c r="FP90" s="1"/>
      <c r="FQ90" s="1"/>
      <c r="FR90" s="1"/>
      <c r="FS90" s="1"/>
      <c r="FT90" s="1"/>
      <c r="FU90" s="1"/>
      <c r="FV90" s="1"/>
      <c r="FW90" s="1"/>
      <c r="FX90" s="1"/>
      <c r="FY90" s="1"/>
      <c r="FZ90" s="1"/>
      <c r="GA90" s="1"/>
      <c r="GB90" s="1"/>
      <c r="GC90" s="1"/>
      <c r="GD90" s="1"/>
      <c r="GE90" s="1"/>
      <c r="GF90" s="1"/>
      <c r="GG90" s="1"/>
      <c r="GH90" s="1"/>
      <c r="GI90" s="1"/>
      <c r="GJ90" s="1"/>
      <c r="GK90" s="1"/>
      <c r="GL90" s="1"/>
      <c r="GM90" s="1"/>
      <c r="GN90" s="1"/>
      <c r="GO90" s="1"/>
      <c r="GP90" s="1"/>
      <c r="GQ90" s="1"/>
      <c r="GR90" s="1"/>
      <c r="GS90" s="1"/>
      <c r="GT90" s="1"/>
      <c r="GU90" s="1"/>
      <c r="GV90" s="1"/>
      <c r="GW90" s="1"/>
      <c r="GX90" s="1"/>
      <c r="GY90" s="1"/>
      <c r="GZ90" s="1"/>
      <c r="HA90" s="1"/>
      <c r="HB90" s="1"/>
      <c r="HC90" s="1"/>
      <c r="HD90" s="1"/>
      <c r="HE90" s="1"/>
      <c r="HF90" s="1"/>
      <c r="HG90" s="1"/>
      <c r="HH90" s="1"/>
      <c r="HI90" s="1"/>
      <c r="HJ90" s="1"/>
      <c r="HK90" s="1"/>
      <c r="HL90" s="1"/>
      <c r="HM90" s="1"/>
      <c r="HN90" s="1"/>
      <c r="HO90" s="1"/>
      <c r="HP90" s="1"/>
      <c r="HQ90" s="1"/>
      <c r="HR90" s="1"/>
      <c r="HS90" s="1"/>
      <c r="HT90" s="1"/>
      <c r="HU90" s="1"/>
      <c r="HV90" s="1"/>
      <c r="HW90" s="1"/>
      <c r="HX90" s="1"/>
      <c r="HY90" s="1"/>
      <c r="HZ90" s="1"/>
      <c r="IA90" s="1"/>
      <c r="IB90" s="1"/>
      <c r="IC90" s="1"/>
      <c r="ID90" s="1"/>
      <c r="IE90" s="1"/>
      <c r="IF90" s="1"/>
      <c r="IG90" s="1"/>
      <c r="IH90" s="1"/>
      <c r="II90" s="1"/>
      <c r="IJ90" s="1"/>
      <c r="IK90" s="1"/>
      <c r="IL90" s="1"/>
      <c r="IM90" s="1"/>
      <c r="IN90" s="1"/>
      <c r="IO90" s="1"/>
      <c r="IP90" s="1"/>
      <c r="IQ90" s="1"/>
      <c r="IR90" s="1"/>
      <c r="IS90" s="1"/>
      <c r="IT90" s="1"/>
      <c r="IU90" s="1"/>
      <c r="IV90" s="1"/>
      <c r="IW90" s="1"/>
      <c r="IX90" s="1"/>
      <c r="IY90" s="1"/>
      <c r="IZ90" s="1"/>
      <c r="JA90" s="1"/>
      <c r="JB90" s="1"/>
      <c r="JC90" s="1"/>
      <c r="JD90" s="1"/>
    </row>
    <row r="91" spans="2:264" s="1044" customFormat="1" x14ac:dyDescent="0.2">
      <c r="B91" s="350"/>
      <c r="C91" s="1213"/>
      <c r="D91" s="1219"/>
      <c r="F91" s="1200"/>
      <c r="G91" s="1043"/>
      <c r="H91" s="1043"/>
      <c r="P91" s="1046"/>
      <c r="Q91" s="1047"/>
      <c r="R91" s="1074"/>
      <c r="S91" s="1074"/>
      <c r="T91" s="1074"/>
      <c r="U91" s="1074"/>
      <c r="V91" s="1074"/>
      <c r="W91" s="1074"/>
      <c r="X91" s="1074"/>
      <c r="Y91" s="1074"/>
      <c r="Z91" s="1074"/>
      <c r="AA91" s="1074"/>
      <c r="AB91" s="1074"/>
      <c r="AC91" s="1074"/>
      <c r="AD91" s="1074"/>
      <c r="AE91" s="1279"/>
      <c r="AF91" s="1074"/>
      <c r="AG91" s="1074"/>
      <c r="AH91" s="1074"/>
      <c r="AI91" s="1074"/>
      <c r="AJ91" s="1074"/>
      <c r="AK91" s="1364"/>
      <c r="AL91" s="1074"/>
      <c r="AM91" s="1074"/>
      <c r="AN91" s="1074"/>
      <c r="AO91" s="1074"/>
      <c r="AP91" s="1074"/>
      <c r="AQ91" s="1074"/>
      <c r="AR91" s="1074"/>
      <c r="AS91" s="1074"/>
      <c r="AT91" s="1074"/>
      <c r="AU91" s="1074"/>
      <c r="AV91" s="1074"/>
      <c r="AW91" s="1074"/>
      <c r="AX91" s="1074"/>
      <c r="AY91" s="1074"/>
      <c r="AZ91" s="1074"/>
      <c r="BA91" s="1074"/>
      <c r="BB91" s="1074"/>
      <c r="BC91" s="1074"/>
      <c r="BD91" s="1074"/>
      <c r="BE91" s="1074"/>
      <c r="BF91" s="1074"/>
      <c r="BG91" s="1074"/>
      <c r="BH91" s="1074"/>
      <c r="BI91" s="1074"/>
      <c r="BJ91" s="1074"/>
      <c r="BK91" s="1074"/>
      <c r="BL91" s="1074"/>
      <c r="BM91" s="1074"/>
      <c r="BN91" s="1074"/>
      <c r="BO91" s="1074"/>
      <c r="BP91" s="1074"/>
      <c r="BQ91" s="1074"/>
      <c r="BR91" s="1074"/>
      <c r="BS91" s="1074"/>
      <c r="BT91" s="1074"/>
      <c r="BU91" s="1074"/>
      <c r="BV91" s="1074"/>
      <c r="BW91" s="1074"/>
      <c r="BX91" s="1074"/>
      <c r="BY91" s="1074"/>
      <c r="BZ91" s="1074"/>
      <c r="CA91" s="1074"/>
      <c r="CB91" s="1074"/>
      <c r="CC91" s="1074"/>
      <c r="CD91" s="1074"/>
      <c r="CE91" s="1074"/>
      <c r="CF91" s="1074"/>
      <c r="CG91" s="1074"/>
      <c r="CH91" s="1074"/>
      <c r="CI91" s="1074"/>
      <c r="CJ91" s="1074"/>
      <c r="CK91" s="1135"/>
      <c r="CL91" s="1135"/>
      <c r="CM91" s="1135"/>
      <c r="CN91" s="1135"/>
      <c r="CO91" s="1135"/>
      <c r="CP91" s="1135"/>
      <c r="CQ91" s="1135"/>
      <c r="CR91" s="1135"/>
      <c r="CS91" s="1135"/>
      <c r="CT91" s="1135"/>
      <c r="CU91" s="1135"/>
      <c r="CV91" s="1135"/>
      <c r="CW91" s="1135"/>
      <c r="CX91" s="1135"/>
      <c r="CY91" s="1135"/>
      <c r="CZ91" s="1135"/>
      <c r="DA91" s="1135"/>
      <c r="DB91" s="1135"/>
      <c r="DC91" s="1135"/>
      <c r="DD91" s="1135"/>
      <c r="DE91" s="1135"/>
      <c r="DF91" s="1135"/>
      <c r="DG91" s="1135"/>
      <c r="DH91" s="1135"/>
      <c r="DI91" s="1135"/>
      <c r="DJ91" s="1135"/>
      <c r="DK91" s="1135"/>
      <c r="DL91" s="1135"/>
      <c r="DM91" s="1135"/>
      <c r="DN91" s="1135"/>
      <c r="DO91" s="1135"/>
      <c r="DP91" s="1135"/>
      <c r="DQ91" s="1135"/>
      <c r="DR91" s="1135"/>
      <c r="DS91" s="1135"/>
      <c r="DT91" s="1135"/>
      <c r="DU91" s="1135"/>
      <c r="DV91" s="1135"/>
      <c r="DW91" s="1135"/>
      <c r="DX91" s="1135"/>
      <c r="DY91" s="1135"/>
      <c r="DZ91" s="1135"/>
      <c r="EA91" s="1135"/>
      <c r="EB91" s="1135"/>
      <c r="EC91" s="1135"/>
      <c r="ED91" s="1135"/>
      <c r="EE91" s="1135"/>
      <c r="EF91" s="1135"/>
      <c r="EG91" s="1135"/>
      <c r="EH91" s="1135"/>
      <c r="EI91" s="1135"/>
      <c r="EJ91" s="1135"/>
      <c r="EK91" s="1135"/>
      <c r="EL91" s="1135"/>
      <c r="EM91" s="1135"/>
      <c r="EN91" s="1135"/>
      <c r="EO91" s="1135"/>
      <c r="EP91" s="1135"/>
      <c r="EQ91" s="1135"/>
      <c r="ER91" s="1135"/>
      <c r="ES91" s="1"/>
      <c r="ET91" s="1"/>
      <c r="EU91" s="1"/>
      <c r="EV91" s="1"/>
      <c r="EW91" s="1"/>
      <c r="EX91" s="1"/>
      <c r="EY91" s="1"/>
      <c r="EZ91" s="1"/>
      <c r="FA91" s="1"/>
      <c r="FB91" s="1"/>
      <c r="FC91" s="1"/>
      <c r="FD91" s="1"/>
      <c r="FE91" s="1"/>
      <c r="FF91" s="1"/>
      <c r="FG91" s="1"/>
      <c r="FH91" s="1"/>
      <c r="FI91" s="1"/>
      <c r="FJ91" s="1"/>
      <c r="FK91" s="1"/>
      <c r="FL91" s="1"/>
      <c r="FM91" s="1"/>
      <c r="FN91" s="1"/>
      <c r="FO91" s="1"/>
      <c r="FP91" s="1"/>
      <c r="FQ91" s="1"/>
      <c r="FR91" s="1"/>
      <c r="FS91" s="1"/>
      <c r="FT91" s="1"/>
      <c r="FU91" s="1"/>
      <c r="FV91" s="1"/>
      <c r="FW91" s="1"/>
      <c r="FX91" s="1"/>
      <c r="FY91" s="1"/>
      <c r="FZ91" s="1"/>
      <c r="GA91" s="1"/>
      <c r="GB91" s="1"/>
      <c r="GC91" s="1"/>
      <c r="GD91" s="1"/>
      <c r="GE91" s="1"/>
      <c r="GF91" s="1"/>
      <c r="GG91" s="1"/>
      <c r="GH91" s="1"/>
      <c r="GI91" s="1"/>
      <c r="GJ91" s="1"/>
      <c r="GK91" s="1"/>
      <c r="GL91" s="1"/>
      <c r="GM91" s="1"/>
      <c r="GN91" s="1"/>
      <c r="GO91" s="1"/>
      <c r="GP91" s="1"/>
      <c r="GQ91" s="1"/>
      <c r="GR91" s="1"/>
      <c r="GS91" s="1"/>
      <c r="GT91" s="1"/>
      <c r="GU91" s="1"/>
      <c r="GV91" s="1"/>
      <c r="GW91" s="1"/>
      <c r="GX91" s="1"/>
      <c r="GY91" s="1"/>
      <c r="GZ91" s="1"/>
      <c r="HA91" s="1"/>
      <c r="HB91" s="1"/>
      <c r="HC91" s="1"/>
      <c r="HD91" s="1"/>
      <c r="HE91" s="1"/>
      <c r="HF91" s="1"/>
      <c r="HG91" s="1"/>
      <c r="HH91" s="1"/>
      <c r="HI91" s="1"/>
      <c r="HJ91" s="1"/>
      <c r="HK91" s="1"/>
      <c r="HL91" s="1"/>
      <c r="HM91" s="1"/>
      <c r="HN91" s="1"/>
      <c r="HO91" s="1"/>
      <c r="HP91" s="1"/>
      <c r="HQ91" s="1"/>
      <c r="HR91" s="1"/>
      <c r="HS91" s="1"/>
      <c r="HT91" s="1"/>
      <c r="HU91" s="1"/>
      <c r="HV91" s="1"/>
      <c r="HW91" s="1"/>
      <c r="HX91" s="1"/>
      <c r="HY91" s="1"/>
      <c r="HZ91" s="1"/>
      <c r="IA91" s="1"/>
      <c r="IB91" s="1"/>
      <c r="IC91" s="1"/>
      <c r="ID91" s="1"/>
      <c r="IE91" s="1"/>
      <c r="IF91" s="1"/>
      <c r="IG91" s="1"/>
      <c r="IH91" s="1"/>
      <c r="II91" s="1"/>
      <c r="IJ91" s="1"/>
      <c r="IK91" s="1"/>
      <c r="IL91" s="1"/>
      <c r="IM91" s="1"/>
      <c r="IN91" s="1"/>
      <c r="IO91" s="1"/>
      <c r="IP91" s="1"/>
      <c r="IQ91" s="1"/>
      <c r="IR91" s="1"/>
      <c r="IS91" s="1"/>
      <c r="IT91" s="1"/>
      <c r="IU91" s="1"/>
      <c r="IV91" s="1"/>
      <c r="IW91" s="1"/>
      <c r="IX91" s="1"/>
      <c r="IY91" s="1"/>
      <c r="IZ91" s="1"/>
      <c r="JA91" s="1"/>
      <c r="JB91" s="1"/>
      <c r="JC91" s="1"/>
      <c r="JD91" s="1"/>
    </row>
    <row r="92" spans="2:264" s="1044" customFormat="1" x14ac:dyDescent="0.2">
      <c r="B92" s="350"/>
      <c r="C92" s="1213"/>
      <c r="D92" s="1219"/>
      <c r="F92" s="1200"/>
      <c r="G92" s="1234"/>
      <c r="H92" s="1234"/>
      <c r="I92" s="1090"/>
      <c r="J92" s="1090"/>
      <c r="K92" s="1090"/>
      <c r="L92" s="1090"/>
      <c r="M92" s="1090"/>
      <c r="N92" s="1090"/>
      <c r="O92" s="1090"/>
      <c r="P92" s="1046"/>
      <c r="Q92" s="1299" t="s">
        <v>933</v>
      </c>
      <c r="R92" s="1074" t="s">
        <v>1010</v>
      </c>
      <c r="S92" s="1145">
        <f>AVERAGE(AL92:AU92)</f>
        <v>0.78207601601291821</v>
      </c>
      <c r="T92" s="1287"/>
      <c r="U92" s="1287"/>
      <c r="V92" s="1287"/>
      <c r="W92" s="1287"/>
      <c r="X92" s="1287"/>
      <c r="Y92" s="1304">
        <f t="shared" ref="Y92:AL92" si="242">-Y82/Y56</f>
        <v>0.74432989690721651</v>
      </c>
      <c r="Z92" s="1304">
        <f t="shared" si="242"/>
        <v>0.71129032258064517</v>
      </c>
      <c r="AA92" s="1304">
        <f t="shared" si="242"/>
        <v>0.73809784393126843</v>
      </c>
      <c r="AB92" s="1304">
        <f t="shared" si="242"/>
        <v>0.74049761778718903</v>
      </c>
      <c r="AC92" s="1304">
        <f t="shared" si="242"/>
        <v>0.74639026402640263</v>
      </c>
      <c r="AD92" s="1304">
        <f t="shared" si="242"/>
        <v>0.83948401570386988</v>
      </c>
      <c r="AE92" s="1305">
        <f t="shared" si="242"/>
        <v>0.92519158253253864</v>
      </c>
      <c r="AF92" s="1304">
        <f t="shared" si="242"/>
        <v>1.0559169550173011</v>
      </c>
      <c r="AG92" s="1304">
        <f t="shared" si="242"/>
        <v>0.50803189645209756</v>
      </c>
      <c r="AH92" s="1304">
        <f t="shared" si="242"/>
        <v>0.68108389786347057</v>
      </c>
      <c r="AI92" s="1304">
        <f t="shared" si="242"/>
        <v>0.70661239078633842</v>
      </c>
      <c r="AJ92" s="1304">
        <f t="shared" si="242"/>
        <v>0.77501016673444489</v>
      </c>
      <c r="AK92" s="1384">
        <f t="shared" si="242"/>
        <v>0.7753609051892314</v>
      </c>
      <c r="AL92" s="1304">
        <f t="shared" si="242"/>
        <v>0.7483194142398033</v>
      </c>
      <c r="AM92" s="1304">
        <f t="shared" ref="AM92" si="243">-AM82/AM56</f>
        <v>0.76510278318233382</v>
      </c>
      <c r="AN92" s="1304">
        <f t="shared" ref="AN92" si="244">-AN82/AN56</f>
        <v>0.77733796270704436</v>
      </c>
      <c r="AO92" s="1306">
        <v>0.79</v>
      </c>
      <c r="AP92" s="1306">
        <v>0.79</v>
      </c>
      <c r="AQ92" s="1306">
        <v>0.79</v>
      </c>
      <c r="AR92" s="1306">
        <v>0.79</v>
      </c>
      <c r="AS92" s="1306">
        <v>0.79</v>
      </c>
      <c r="AT92" s="1306">
        <v>0.79</v>
      </c>
      <c r="AU92" s="1306">
        <v>0.79</v>
      </c>
      <c r="AV92" s="1307">
        <v>0.75</v>
      </c>
      <c r="AW92" s="1307">
        <v>0.75</v>
      </c>
      <c r="AX92" s="1307">
        <v>0.75</v>
      </c>
      <c r="AY92" s="1307">
        <v>0.75</v>
      </c>
      <c r="AZ92" s="1307">
        <v>0.75</v>
      </c>
      <c r="BA92" s="1308">
        <v>0.7</v>
      </c>
      <c r="BB92" s="1308">
        <v>0.7</v>
      </c>
      <c r="BC92" s="1308">
        <v>0.7</v>
      </c>
      <c r="BD92" s="1308">
        <v>0.7</v>
      </c>
      <c r="BE92" s="1308">
        <v>0.7</v>
      </c>
      <c r="BF92" s="1308">
        <v>0.7</v>
      </c>
      <c r="BG92" s="1308">
        <v>0.7</v>
      </c>
      <c r="BH92" s="1308">
        <v>0.7</v>
      </c>
      <c r="BI92" s="1308">
        <v>0.7</v>
      </c>
      <c r="BJ92" s="1308">
        <v>0.7</v>
      </c>
      <c r="BK92" s="1308">
        <v>0.7</v>
      </c>
      <c r="BL92" s="1308">
        <v>0.7</v>
      </c>
      <c r="BM92" s="1308">
        <v>0.7</v>
      </c>
      <c r="BN92" s="1308">
        <v>0.7</v>
      </c>
      <c r="BO92" s="1308">
        <v>0.7</v>
      </c>
      <c r="BP92" s="1308">
        <v>0.7</v>
      </c>
      <c r="BQ92" s="1308">
        <v>0.7</v>
      </c>
      <c r="BR92" s="1308">
        <v>0.7</v>
      </c>
      <c r="BS92" s="1308">
        <v>0.7</v>
      </c>
      <c r="BT92" s="1308">
        <v>0.7</v>
      </c>
      <c r="BU92" s="1308">
        <v>0.7</v>
      </c>
      <c r="BV92" s="1308">
        <v>0.7</v>
      </c>
      <c r="BW92" s="1308">
        <v>0.7</v>
      </c>
      <c r="BX92" s="1308">
        <v>0.7</v>
      </c>
      <c r="BY92" s="1308">
        <v>0.7</v>
      </c>
      <c r="BZ92" s="1308">
        <v>0.7</v>
      </c>
      <c r="CA92" s="1308">
        <v>0.7</v>
      </c>
      <c r="CB92" s="1308">
        <v>0.7</v>
      </c>
      <c r="CC92" s="1308">
        <v>0.7</v>
      </c>
      <c r="CD92" s="1308">
        <v>0.7</v>
      </c>
      <c r="CE92" s="1308">
        <v>0.7</v>
      </c>
      <c r="CF92" s="1308">
        <v>0.7</v>
      </c>
      <c r="CG92" s="1308">
        <v>0.7</v>
      </c>
      <c r="CH92" s="1308">
        <v>0.7</v>
      </c>
      <c r="CI92" s="1308">
        <v>0.7</v>
      </c>
      <c r="CJ92" s="1308">
        <v>0.7</v>
      </c>
      <c r="CK92" s="1083"/>
      <c r="CL92" s="1083"/>
      <c r="CM92" s="1083"/>
      <c r="CN92" s="1083"/>
      <c r="CO92" s="1083"/>
      <c r="CP92" s="1083"/>
      <c r="CQ92" s="1083"/>
      <c r="CR92" s="1083"/>
      <c r="CS92" s="1083"/>
      <c r="CT92" s="1083"/>
      <c r="CU92" s="1083"/>
      <c r="CV92" s="1083"/>
      <c r="CW92" s="1083"/>
      <c r="CX92" s="1083"/>
      <c r="CY92" s="1083"/>
      <c r="CZ92" s="1083"/>
      <c r="DA92" s="1083"/>
      <c r="DB92" s="1083"/>
      <c r="DC92" s="1083"/>
      <c r="DD92" s="1083"/>
      <c r="DE92" s="1083"/>
      <c r="DF92" s="1083"/>
      <c r="DG92" s="1083"/>
      <c r="DH92" s="1083"/>
      <c r="DI92" s="1083"/>
      <c r="DJ92" s="1083"/>
      <c r="DK92" s="1083"/>
      <c r="DL92" s="1083"/>
      <c r="DM92" s="1083"/>
      <c r="DN92" s="1083"/>
      <c r="DO92" s="1083"/>
      <c r="DP92" s="1083"/>
      <c r="DQ92" s="1083"/>
      <c r="DR92" s="1083"/>
      <c r="DS92" s="1083"/>
      <c r="DT92" s="1083"/>
      <c r="DU92" s="1083"/>
      <c r="DV92" s="1083"/>
      <c r="DW92" s="1083"/>
      <c r="DX92" s="1083"/>
      <c r="DY92" s="1083"/>
      <c r="DZ92" s="1083"/>
      <c r="EA92" s="1083"/>
      <c r="EB92" s="1083"/>
      <c r="EC92" s="1083"/>
      <c r="ED92" s="1083"/>
      <c r="EE92" s="1083"/>
      <c r="EF92" s="1083"/>
      <c r="EG92" s="1083"/>
      <c r="EH92" s="1083"/>
      <c r="EI92" s="1083"/>
      <c r="EJ92" s="1083"/>
      <c r="EK92" s="1083"/>
      <c r="EL92" s="1083"/>
      <c r="EM92" s="1083"/>
      <c r="EN92" s="1083"/>
      <c r="EO92" s="1083"/>
      <c r="EP92" s="1083"/>
      <c r="EQ92" s="1083"/>
      <c r="ER92" s="1083"/>
      <c r="ES92" s="1"/>
      <c r="ET92" s="1"/>
      <c r="EU92" s="1"/>
      <c r="EV92" s="1"/>
      <c r="EW92" s="1"/>
      <c r="EX92" s="1"/>
      <c r="EY92" s="1"/>
      <c r="EZ92" s="1"/>
      <c r="FA92" s="1"/>
      <c r="FB92" s="1"/>
      <c r="FC92" s="1"/>
      <c r="FD92" s="1"/>
      <c r="FE92" s="1"/>
      <c r="FF92" s="1"/>
      <c r="FG92" s="1"/>
      <c r="FH92" s="1"/>
      <c r="FI92" s="1"/>
      <c r="FJ92" s="1"/>
      <c r="FK92" s="1"/>
      <c r="FL92" s="1"/>
      <c r="FM92" s="1"/>
      <c r="FN92" s="1"/>
      <c r="FO92" s="1"/>
      <c r="FP92" s="1"/>
      <c r="FQ92" s="1"/>
      <c r="FR92" s="1"/>
      <c r="FS92" s="1"/>
      <c r="FT92" s="1"/>
      <c r="FU92" s="1"/>
      <c r="FV92" s="1"/>
      <c r="FW92" s="1"/>
      <c r="FX92" s="1"/>
      <c r="FY92" s="1"/>
      <c r="FZ92" s="1"/>
      <c r="GA92" s="1"/>
      <c r="GB92" s="1"/>
      <c r="GC92" s="1"/>
      <c r="GD92" s="1"/>
      <c r="GE92" s="1"/>
      <c r="GF92" s="1"/>
      <c r="GG92" s="1"/>
      <c r="GH92" s="1"/>
      <c r="GI92" s="1"/>
      <c r="GJ92" s="1"/>
      <c r="GK92" s="1"/>
      <c r="GL92" s="1"/>
      <c r="GM92" s="1"/>
      <c r="GN92" s="1"/>
      <c r="GO92" s="1"/>
      <c r="GP92" s="1"/>
      <c r="GQ92" s="1"/>
      <c r="GR92" s="1"/>
      <c r="GS92" s="1"/>
      <c r="GT92" s="1"/>
      <c r="GU92" s="1"/>
      <c r="GV92" s="1"/>
      <c r="GW92" s="1"/>
      <c r="GX92" s="1"/>
      <c r="GY92" s="1"/>
      <c r="GZ92" s="1"/>
      <c r="HA92" s="1"/>
      <c r="HB92" s="1"/>
      <c r="HC92" s="1"/>
      <c r="HD92" s="1"/>
      <c r="HE92" s="1"/>
      <c r="HF92" s="1"/>
      <c r="HG92" s="1"/>
      <c r="HH92" s="1"/>
      <c r="HI92" s="1"/>
      <c r="HJ92" s="1"/>
      <c r="HK92" s="1"/>
      <c r="HL92" s="1"/>
      <c r="HM92" s="1"/>
      <c r="HN92" s="1"/>
      <c r="HO92" s="1"/>
      <c r="HP92" s="1"/>
      <c r="HQ92" s="1"/>
      <c r="HR92" s="1"/>
      <c r="HS92" s="1"/>
      <c r="HT92" s="1"/>
      <c r="HU92" s="1"/>
      <c r="HV92" s="1"/>
      <c r="HW92" s="1"/>
      <c r="HX92" s="1"/>
      <c r="HY92" s="1"/>
      <c r="HZ92" s="1"/>
      <c r="IA92" s="1"/>
      <c r="IB92" s="1"/>
      <c r="IC92" s="1"/>
      <c r="ID92" s="1"/>
      <c r="IE92" s="1"/>
      <c r="IF92" s="1"/>
      <c r="IG92" s="1"/>
      <c r="IH92" s="1"/>
      <c r="II92" s="1"/>
      <c r="IJ92" s="1"/>
      <c r="IK92" s="1"/>
      <c r="IL92" s="1"/>
      <c r="IM92" s="1"/>
      <c r="IN92" s="1"/>
      <c r="IO92" s="1"/>
      <c r="IP92" s="1"/>
      <c r="IQ92" s="1"/>
      <c r="IR92" s="1"/>
      <c r="IS92" s="1"/>
      <c r="IT92" s="1"/>
      <c r="IU92" s="1"/>
      <c r="IV92" s="1"/>
      <c r="IW92" s="1"/>
      <c r="IX92" s="1"/>
      <c r="IY92" s="1"/>
      <c r="IZ92" s="1"/>
      <c r="JA92" s="1"/>
      <c r="JB92" s="1"/>
      <c r="JC92" s="1"/>
      <c r="JD92" s="1"/>
    </row>
    <row r="93" spans="2:264" s="1044" customFormat="1" x14ac:dyDescent="0.2">
      <c r="B93" s="350"/>
      <c r="C93" s="1213"/>
      <c r="D93" s="1219"/>
      <c r="F93" s="1298"/>
      <c r="G93" s="1048"/>
      <c r="H93" s="1048"/>
      <c r="I93" s="1162"/>
      <c r="J93" s="1162"/>
      <c r="K93" s="1162"/>
      <c r="L93" s="1162"/>
      <c r="M93" s="1162"/>
      <c r="N93" s="1162"/>
      <c r="O93" s="1162"/>
      <c r="P93" s="1046"/>
      <c r="Q93" s="1299" t="s">
        <v>1092</v>
      </c>
      <c r="R93" s="1287"/>
      <c r="S93" s="1287"/>
      <c r="T93" s="1287"/>
      <c r="U93" s="1287"/>
      <c r="V93" s="1287"/>
      <c r="W93" s="1287"/>
      <c r="X93" s="1287"/>
      <c r="Y93" s="1304">
        <f t="shared" ref="Y93:AL93" si="245">-Y83/Y82</f>
        <v>0.26395877209833796</v>
      </c>
      <c r="Z93" s="1304">
        <f t="shared" si="245"/>
        <v>0.2314712120666019</v>
      </c>
      <c r="AA93" s="1304">
        <f t="shared" si="245"/>
        <v>0.18934495543208124</v>
      </c>
      <c r="AB93" s="1304">
        <f t="shared" si="245"/>
        <v>0.17287844602516439</v>
      </c>
      <c r="AC93" s="1304">
        <f t="shared" si="245"/>
        <v>0.15797297490672932</v>
      </c>
      <c r="AD93" s="1304">
        <f t="shared" si="245"/>
        <v>0.28141319496125067</v>
      </c>
      <c r="AE93" s="1305">
        <f t="shared" si="245"/>
        <v>0.1763428479069156</v>
      </c>
      <c r="AF93" s="1304">
        <f t="shared" si="245"/>
        <v>0.14857160009961989</v>
      </c>
      <c r="AG93" s="1304">
        <f t="shared" si="245"/>
        <v>0.15456093291401274</v>
      </c>
      <c r="AH93" s="1304">
        <f t="shared" si="245"/>
        <v>0.16395487110166412</v>
      </c>
      <c r="AI93" s="1304">
        <f t="shared" si="245"/>
        <v>0.16754279019353663</v>
      </c>
      <c r="AJ93" s="1304">
        <f t="shared" si="245"/>
        <v>0.1584677948314312</v>
      </c>
      <c r="AK93" s="1384">
        <f t="shared" si="245"/>
        <v>0.18115486224682351</v>
      </c>
      <c r="AL93" s="1304">
        <f t="shared" si="245"/>
        <v>0.14883505270277278</v>
      </c>
      <c r="AM93" s="1304">
        <f t="shared" ref="AM93" si="246">-AM83/AM82</f>
        <v>0.14999999999999997</v>
      </c>
      <c r="AN93" s="1304">
        <f t="shared" ref="AN93" si="247">-AN83/AN82</f>
        <v>0.15</v>
      </c>
      <c r="AO93" s="1306">
        <v>0.15</v>
      </c>
      <c r="AP93" s="1306">
        <v>0.15</v>
      </c>
      <c r="AQ93" s="1306">
        <v>0.15</v>
      </c>
      <c r="AR93" s="1306">
        <v>0.15</v>
      </c>
      <c r="AS93" s="1306">
        <v>0.15</v>
      </c>
      <c r="AT93" s="1306">
        <v>0.15</v>
      </c>
      <c r="AU93" s="1306">
        <v>0.15</v>
      </c>
      <c r="AV93" s="1307">
        <v>0.15</v>
      </c>
      <c r="AW93" s="1307">
        <v>0.15</v>
      </c>
      <c r="AX93" s="1307">
        <v>0.15</v>
      </c>
      <c r="AY93" s="1307">
        <v>0.15</v>
      </c>
      <c r="AZ93" s="1307">
        <v>0.15</v>
      </c>
      <c r="BA93" s="1308">
        <f t="shared" ref="BA93:CJ93" si="248">AZ93</f>
        <v>0.15</v>
      </c>
      <c r="BB93" s="1308">
        <f t="shared" si="248"/>
        <v>0.15</v>
      </c>
      <c r="BC93" s="1308">
        <f t="shared" si="248"/>
        <v>0.15</v>
      </c>
      <c r="BD93" s="1308">
        <f t="shared" si="248"/>
        <v>0.15</v>
      </c>
      <c r="BE93" s="1308">
        <f t="shared" si="248"/>
        <v>0.15</v>
      </c>
      <c r="BF93" s="1308">
        <f t="shared" si="248"/>
        <v>0.15</v>
      </c>
      <c r="BG93" s="1308">
        <f t="shared" si="248"/>
        <v>0.15</v>
      </c>
      <c r="BH93" s="1308">
        <f t="shared" si="248"/>
        <v>0.15</v>
      </c>
      <c r="BI93" s="1308">
        <f t="shared" si="248"/>
        <v>0.15</v>
      </c>
      <c r="BJ93" s="1308">
        <f t="shared" si="248"/>
        <v>0.15</v>
      </c>
      <c r="BK93" s="1308">
        <f t="shared" si="248"/>
        <v>0.15</v>
      </c>
      <c r="BL93" s="1308">
        <f t="shared" si="248"/>
        <v>0.15</v>
      </c>
      <c r="BM93" s="1308">
        <f t="shared" si="248"/>
        <v>0.15</v>
      </c>
      <c r="BN93" s="1308">
        <f t="shared" si="248"/>
        <v>0.15</v>
      </c>
      <c r="BO93" s="1308">
        <f t="shared" si="248"/>
        <v>0.15</v>
      </c>
      <c r="BP93" s="1308">
        <f t="shared" si="248"/>
        <v>0.15</v>
      </c>
      <c r="BQ93" s="1308">
        <f t="shared" si="248"/>
        <v>0.15</v>
      </c>
      <c r="BR93" s="1308">
        <f t="shared" si="248"/>
        <v>0.15</v>
      </c>
      <c r="BS93" s="1308">
        <f t="shared" si="248"/>
        <v>0.15</v>
      </c>
      <c r="BT93" s="1308">
        <f t="shared" si="248"/>
        <v>0.15</v>
      </c>
      <c r="BU93" s="1308">
        <f t="shared" si="248"/>
        <v>0.15</v>
      </c>
      <c r="BV93" s="1308">
        <f t="shared" si="248"/>
        <v>0.15</v>
      </c>
      <c r="BW93" s="1308">
        <f t="shared" si="248"/>
        <v>0.15</v>
      </c>
      <c r="BX93" s="1308">
        <f t="shared" si="248"/>
        <v>0.15</v>
      </c>
      <c r="BY93" s="1308">
        <f t="shared" si="248"/>
        <v>0.15</v>
      </c>
      <c r="BZ93" s="1308">
        <f t="shared" si="248"/>
        <v>0.15</v>
      </c>
      <c r="CA93" s="1308">
        <f t="shared" si="248"/>
        <v>0.15</v>
      </c>
      <c r="CB93" s="1308">
        <f t="shared" si="248"/>
        <v>0.15</v>
      </c>
      <c r="CC93" s="1308">
        <f t="shared" si="248"/>
        <v>0.15</v>
      </c>
      <c r="CD93" s="1308">
        <f t="shared" si="248"/>
        <v>0.15</v>
      </c>
      <c r="CE93" s="1308">
        <f t="shared" si="248"/>
        <v>0.15</v>
      </c>
      <c r="CF93" s="1308">
        <f t="shared" si="248"/>
        <v>0.15</v>
      </c>
      <c r="CG93" s="1308">
        <f t="shared" si="248"/>
        <v>0.15</v>
      </c>
      <c r="CH93" s="1308">
        <f t="shared" si="248"/>
        <v>0.15</v>
      </c>
      <c r="CI93" s="1308">
        <f t="shared" si="248"/>
        <v>0.15</v>
      </c>
      <c r="CJ93" s="1308">
        <f t="shared" si="248"/>
        <v>0.15</v>
      </c>
      <c r="CK93" s="1083"/>
      <c r="CL93" s="1083"/>
      <c r="CM93" s="1083"/>
      <c r="CN93" s="1083"/>
      <c r="CO93" s="1083"/>
      <c r="CP93" s="1083"/>
      <c r="CQ93" s="1083"/>
      <c r="CR93" s="1083"/>
      <c r="CS93" s="1083"/>
      <c r="CT93" s="1083"/>
      <c r="CU93" s="1083"/>
      <c r="CV93" s="1083"/>
      <c r="CW93" s="1083"/>
      <c r="CX93" s="1083"/>
      <c r="CY93" s="1083"/>
      <c r="CZ93" s="1083"/>
      <c r="DA93" s="1083"/>
      <c r="DB93" s="1083"/>
      <c r="DC93" s="1083"/>
      <c r="DD93" s="1083"/>
      <c r="DE93" s="1083"/>
      <c r="DF93" s="1083"/>
      <c r="DG93" s="1083"/>
      <c r="DH93" s="1083"/>
      <c r="DI93" s="1083"/>
      <c r="DJ93" s="1083"/>
      <c r="DK93" s="1083"/>
      <c r="DL93" s="1083"/>
      <c r="DM93" s="1083"/>
      <c r="DN93" s="1083"/>
      <c r="DO93" s="1083"/>
      <c r="DP93" s="1083"/>
      <c r="DQ93" s="1083"/>
      <c r="DR93" s="1083"/>
      <c r="DS93" s="1083"/>
      <c r="DT93" s="1083"/>
      <c r="DU93" s="1083"/>
      <c r="DV93" s="1083"/>
      <c r="DW93" s="1083"/>
      <c r="DX93" s="1083"/>
      <c r="DY93" s="1083"/>
      <c r="DZ93" s="1083"/>
      <c r="EA93" s="1083"/>
      <c r="EB93" s="1083"/>
      <c r="EC93" s="1083"/>
      <c r="ED93" s="1083"/>
      <c r="EE93" s="1083"/>
      <c r="EF93" s="1083"/>
      <c r="EG93" s="1083"/>
      <c r="EH93" s="1083"/>
      <c r="EI93" s="1083"/>
      <c r="EJ93" s="1083"/>
      <c r="EK93" s="1083"/>
      <c r="EL93" s="1083"/>
      <c r="EM93" s="1083"/>
      <c r="EN93" s="1083"/>
      <c r="EO93" s="1083"/>
      <c r="EP93" s="1083"/>
      <c r="EQ93" s="1083"/>
      <c r="ER93" s="1083"/>
      <c r="ES93" s="1"/>
      <c r="ET93" s="1"/>
      <c r="EU93" s="1"/>
      <c r="EV93" s="1"/>
      <c r="EW93" s="1"/>
      <c r="EX93" s="1"/>
      <c r="EY93" s="1"/>
      <c r="EZ93" s="1"/>
      <c r="FA93" s="1"/>
      <c r="FB93" s="1"/>
      <c r="FC93" s="1"/>
      <c r="FD93" s="1"/>
      <c r="FE93" s="1"/>
      <c r="FF93" s="1"/>
      <c r="FG93" s="1"/>
      <c r="FH93" s="1"/>
      <c r="FI93" s="1"/>
      <c r="FJ93" s="1"/>
      <c r="FK93" s="1"/>
      <c r="FL93" s="1"/>
      <c r="FM93" s="1"/>
      <c r="FN93" s="1"/>
      <c r="FO93" s="1"/>
      <c r="FP93" s="1"/>
      <c r="FQ93" s="1"/>
      <c r="FR93" s="1"/>
      <c r="FS93" s="1"/>
      <c r="FT93" s="1"/>
      <c r="FU93" s="1"/>
      <c r="FV93" s="1"/>
      <c r="FW93" s="1"/>
      <c r="FX93" s="1"/>
      <c r="FY93" s="1"/>
      <c r="FZ93" s="1"/>
      <c r="GA93" s="1"/>
      <c r="GB93" s="1"/>
      <c r="GC93" s="1"/>
      <c r="GD93" s="1"/>
      <c r="GE93" s="1"/>
      <c r="GF93" s="1"/>
      <c r="GG93" s="1"/>
      <c r="GH93" s="1"/>
      <c r="GI93" s="1"/>
      <c r="GJ93" s="1"/>
      <c r="GK93" s="1"/>
      <c r="GL93" s="1"/>
      <c r="GM93" s="1"/>
      <c r="GN93" s="1"/>
      <c r="GO93" s="1"/>
      <c r="GP93" s="1"/>
      <c r="GQ93" s="1"/>
      <c r="GR93" s="1"/>
      <c r="GS93" s="1"/>
      <c r="GT93" s="1"/>
      <c r="GU93" s="1"/>
      <c r="GV93" s="1"/>
      <c r="GW93" s="1"/>
      <c r="GX93" s="1"/>
      <c r="GY93" s="1"/>
      <c r="GZ93" s="1"/>
      <c r="HA93" s="1"/>
      <c r="HB93" s="1"/>
      <c r="HC93" s="1"/>
      <c r="HD93" s="1"/>
      <c r="HE93" s="1"/>
      <c r="HF93" s="1"/>
      <c r="HG93" s="1"/>
      <c r="HH93" s="1"/>
      <c r="HI93" s="1"/>
      <c r="HJ93" s="1"/>
      <c r="HK93" s="1"/>
      <c r="HL93" s="1"/>
      <c r="HM93" s="1"/>
      <c r="HN93" s="1"/>
      <c r="HO93" s="1"/>
      <c r="HP93" s="1"/>
      <c r="HQ93" s="1"/>
      <c r="HR93" s="1"/>
      <c r="HS93" s="1"/>
      <c r="HT93" s="1"/>
      <c r="HU93" s="1"/>
      <c r="HV93" s="1"/>
      <c r="HW93" s="1"/>
      <c r="HX93" s="1"/>
      <c r="HY93" s="1"/>
      <c r="HZ93" s="1"/>
      <c r="IA93" s="1"/>
      <c r="IB93" s="1"/>
      <c r="IC93" s="1"/>
      <c r="ID93" s="1"/>
      <c r="IE93" s="1"/>
      <c r="IF93" s="1"/>
      <c r="IG93" s="1"/>
      <c r="IH93" s="1"/>
      <c r="II93" s="1"/>
      <c r="IJ93" s="1"/>
      <c r="IK93" s="1"/>
      <c r="IL93" s="1"/>
      <c r="IM93" s="1"/>
      <c r="IN93" s="1"/>
      <c r="IO93" s="1"/>
      <c r="IP93" s="1"/>
      <c r="IQ93" s="1"/>
      <c r="IR93" s="1"/>
      <c r="IS93" s="1"/>
      <c r="IT93" s="1"/>
      <c r="IU93" s="1"/>
      <c r="IV93" s="1"/>
      <c r="IW93" s="1"/>
      <c r="IX93" s="1"/>
      <c r="IY93" s="1"/>
      <c r="IZ93" s="1"/>
      <c r="JA93" s="1"/>
      <c r="JB93" s="1"/>
      <c r="JC93" s="1"/>
      <c r="JD93" s="1"/>
    </row>
    <row r="94" spans="2:264" s="1044" customFormat="1" x14ac:dyDescent="0.2">
      <c r="B94" s="350"/>
      <c r="C94" s="1213"/>
      <c r="D94" s="1219"/>
      <c r="G94" s="1234"/>
      <c r="H94" s="1234"/>
      <c r="I94" s="1090"/>
      <c r="J94" s="1090"/>
      <c r="K94" s="1090"/>
      <c r="L94" s="1090"/>
      <c r="M94" s="1090"/>
      <c r="N94" s="1090"/>
      <c r="O94" s="1090"/>
      <c r="P94" s="1046"/>
      <c r="Q94" s="1046" t="s">
        <v>752</v>
      </c>
      <c r="R94" s="1309"/>
      <c r="S94" s="1309"/>
      <c r="T94" s="1309"/>
      <c r="U94" s="1309"/>
      <c r="V94" s="1309"/>
      <c r="W94" s="1309"/>
      <c r="X94" s="1309"/>
      <c r="Y94" s="1129">
        <f t="shared" ref="Y94:AL94" si="249">Y84/Y80</f>
        <v>5.4610742606353794E-3</v>
      </c>
      <c r="Z94" s="1129">
        <f t="shared" si="249"/>
        <v>1.3710209093754217E-4</v>
      </c>
      <c r="AA94" s="1129">
        <f t="shared" si="249"/>
        <v>6.9054187345512249E-4</v>
      </c>
      <c r="AB94" s="1129">
        <f t="shared" si="249"/>
        <v>9.7430438679794965E-2</v>
      </c>
      <c r="AC94" s="1129">
        <f t="shared" si="249"/>
        <v>-2.8770838587009864E-4</v>
      </c>
      <c r="AD94" s="1129">
        <f t="shared" si="249"/>
        <v>3.0564319946445521E-3</v>
      </c>
      <c r="AE94" s="1130">
        <f t="shared" si="249"/>
        <v>1.010311116394216E-5</v>
      </c>
      <c r="AF94" s="1129">
        <f t="shared" si="249"/>
        <v>1.6241845008190005E-3</v>
      </c>
      <c r="AG94" s="1129">
        <f t="shared" si="249"/>
        <v>3.4318654039170994E-4</v>
      </c>
      <c r="AH94" s="1129">
        <f t="shared" si="249"/>
        <v>-2.0334761003012086E-4</v>
      </c>
      <c r="AI94" s="1129">
        <f t="shared" si="249"/>
        <v>-2.8833083904274159E-4</v>
      </c>
      <c r="AJ94" s="1129">
        <f t="shared" si="249"/>
        <v>5.5844083319372312E-5</v>
      </c>
      <c r="AK94" s="1369">
        <f t="shared" si="249"/>
        <v>-7.7988178633975477E-4</v>
      </c>
      <c r="AL94" s="1129">
        <f t="shared" si="249"/>
        <v>2.5388443180664161E-4</v>
      </c>
      <c r="AM94" s="1129">
        <f t="shared" ref="AM94" ca="1" si="250">AM84/AM80</f>
        <v>0</v>
      </c>
      <c r="AN94" s="1129">
        <f t="shared" ref="AN94" ca="1" si="251">AN84/AN80</f>
        <v>0</v>
      </c>
      <c r="AO94" s="1291">
        <v>0</v>
      </c>
      <c r="AP94" s="1291">
        <v>0</v>
      </c>
      <c r="AQ94" s="1291">
        <v>0</v>
      </c>
      <c r="AR94" s="1291">
        <v>0</v>
      </c>
      <c r="AS94" s="1291">
        <v>0</v>
      </c>
      <c r="AT94" s="1291">
        <v>0</v>
      </c>
      <c r="AU94" s="1291">
        <v>0</v>
      </c>
      <c r="AV94" s="1310">
        <v>0</v>
      </c>
      <c r="AW94" s="1310">
        <v>0</v>
      </c>
      <c r="AX94" s="1310">
        <v>0</v>
      </c>
      <c r="AY94" s="1310">
        <v>0</v>
      </c>
      <c r="AZ94" s="1310">
        <v>0</v>
      </c>
      <c r="BA94" s="1310">
        <v>0</v>
      </c>
      <c r="BB94" s="1310">
        <v>0</v>
      </c>
      <c r="BC94" s="1310">
        <v>0</v>
      </c>
      <c r="BD94" s="1310">
        <v>0</v>
      </c>
      <c r="BE94" s="1310">
        <v>0</v>
      </c>
      <c r="BF94" s="1310">
        <v>0</v>
      </c>
      <c r="BG94" s="1310">
        <v>0</v>
      </c>
      <c r="BH94" s="1310">
        <v>0</v>
      </c>
      <c r="BI94" s="1310">
        <v>0</v>
      </c>
      <c r="BJ94" s="1310">
        <v>0</v>
      </c>
      <c r="BK94" s="1310">
        <v>0</v>
      </c>
      <c r="BL94" s="1310">
        <v>0</v>
      </c>
      <c r="BM94" s="1310">
        <v>0</v>
      </c>
      <c r="BN94" s="1310">
        <v>0</v>
      </c>
      <c r="BO94" s="1310">
        <v>0</v>
      </c>
      <c r="BP94" s="1310">
        <v>0</v>
      </c>
      <c r="BQ94" s="1310">
        <v>0</v>
      </c>
      <c r="BR94" s="1310">
        <v>0</v>
      </c>
      <c r="BS94" s="1310">
        <v>0</v>
      </c>
      <c r="BT94" s="1310">
        <v>0</v>
      </c>
      <c r="BU94" s="1310">
        <v>0</v>
      </c>
      <c r="BV94" s="1310">
        <v>0</v>
      </c>
      <c r="BW94" s="1310">
        <v>0</v>
      </c>
      <c r="BX94" s="1310">
        <v>0</v>
      </c>
      <c r="BY94" s="1310">
        <v>0</v>
      </c>
      <c r="BZ94" s="1310">
        <v>0</v>
      </c>
      <c r="CA94" s="1310">
        <v>0</v>
      </c>
      <c r="CB94" s="1310">
        <v>0</v>
      </c>
      <c r="CC94" s="1310">
        <v>0</v>
      </c>
      <c r="CD94" s="1310">
        <v>0</v>
      </c>
      <c r="CE94" s="1310">
        <v>0</v>
      </c>
      <c r="CF94" s="1310">
        <v>0</v>
      </c>
      <c r="CG94" s="1310">
        <v>0</v>
      </c>
      <c r="CH94" s="1310">
        <v>0</v>
      </c>
      <c r="CI94" s="1310">
        <v>0</v>
      </c>
      <c r="CJ94" s="1310">
        <v>0</v>
      </c>
      <c r="CK94" s="1083"/>
      <c r="CL94" s="1083"/>
      <c r="CM94" s="1083"/>
      <c r="CN94" s="1083"/>
      <c r="CO94" s="1083"/>
      <c r="CP94" s="1083"/>
      <c r="CQ94" s="1083"/>
      <c r="CR94" s="1083"/>
      <c r="CS94" s="1083"/>
      <c r="CT94" s="1083"/>
      <c r="CU94" s="1083"/>
      <c r="CV94" s="1083"/>
      <c r="CW94" s="1083"/>
      <c r="CX94" s="1083"/>
      <c r="CY94" s="1083"/>
      <c r="CZ94" s="1083"/>
      <c r="DA94" s="1083"/>
      <c r="DB94" s="1083"/>
      <c r="DC94" s="1083"/>
      <c r="DD94" s="1083"/>
      <c r="DE94" s="1083"/>
      <c r="DF94" s="1083"/>
      <c r="DG94" s="1083"/>
      <c r="DH94" s="1083"/>
      <c r="DI94" s="1083"/>
      <c r="DJ94" s="1083"/>
      <c r="DK94" s="1083"/>
      <c r="DL94" s="1083"/>
      <c r="DM94" s="1083"/>
      <c r="DN94" s="1083"/>
      <c r="DO94" s="1083"/>
      <c r="DP94" s="1083"/>
      <c r="DQ94" s="1083"/>
      <c r="DR94" s="1083"/>
      <c r="DS94" s="1083"/>
      <c r="DT94" s="1083"/>
      <c r="DU94" s="1083"/>
      <c r="DV94" s="1083"/>
      <c r="DW94" s="1083"/>
      <c r="DX94" s="1083"/>
      <c r="DY94" s="1083"/>
      <c r="DZ94" s="1083"/>
      <c r="EA94" s="1083"/>
      <c r="EB94" s="1083"/>
      <c r="EC94" s="1083"/>
      <c r="ED94" s="1083"/>
      <c r="EE94" s="1083"/>
      <c r="EF94" s="1083"/>
      <c r="EG94" s="1083"/>
      <c r="EH94" s="1083"/>
      <c r="EI94" s="1083"/>
      <c r="EJ94" s="1083"/>
      <c r="EK94" s="1083"/>
      <c r="EL94" s="1083"/>
      <c r="EM94" s="1083"/>
      <c r="EN94" s="1083"/>
      <c r="EO94" s="1083"/>
      <c r="EP94" s="1083"/>
      <c r="EQ94" s="1083"/>
      <c r="ER94" s="1083"/>
      <c r="ES94" s="1"/>
      <c r="ET94" s="1"/>
      <c r="EU94" s="1"/>
      <c r="EV94" s="1"/>
      <c r="EW94" s="1"/>
      <c r="EX94" s="1"/>
      <c r="EY94" s="1"/>
      <c r="EZ94" s="1"/>
      <c r="FA94" s="1"/>
      <c r="FB94" s="1"/>
      <c r="FC94" s="1"/>
      <c r="FD94" s="1"/>
      <c r="FE94" s="1"/>
      <c r="FF94" s="1"/>
      <c r="FG94" s="1"/>
      <c r="FH94" s="1"/>
      <c r="FI94" s="1"/>
      <c r="FJ94" s="1"/>
      <c r="FK94" s="1"/>
      <c r="FL94" s="1"/>
      <c r="FM94" s="1"/>
      <c r="FN94" s="1"/>
      <c r="FO94" s="1"/>
      <c r="FP94" s="1"/>
      <c r="FQ94" s="1"/>
      <c r="FR94" s="1"/>
      <c r="FS94" s="1"/>
      <c r="FT94" s="1"/>
      <c r="FU94" s="1"/>
      <c r="FV94" s="1"/>
      <c r="FW94" s="1"/>
      <c r="FX94" s="1"/>
      <c r="FY94" s="1"/>
      <c r="FZ94" s="1"/>
      <c r="GA94" s="1"/>
      <c r="GB94" s="1"/>
      <c r="GC94" s="1"/>
      <c r="GD94" s="1"/>
      <c r="GE94" s="1"/>
      <c r="GF94" s="1"/>
      <c r="GG94" s="1"/>
      <c r="GH94" s="1"/>
      <c r="GI94" s="1"/>
      <c r="GJ94" s="1"/>
      <c r="GK94" s="1"/>
      <c r="GL94" s="1"/>
      <c r="GM94" s="1"/>
      <c r="GN94" s="1"/>
      <c r="GO94" s="1"/>
      <c r="GP94" s="1"/>
      <c r="GQ94" s="1"/>
      <c r="GR94" s="1"/>
      <c r="GS94" s="1"/>
      <c r="GT94" s="1"/>
      <c r="GU94" s="1"/>
      <c r="GV94" s="1"/>
      <c r="GW94" s="1"/>
      <c r="GX94" s="1"/>
      <c r="GY94" s="1"/>
      <c r="GZ94" s="1"/>
      <c r="HA94" s="1"/>
      <c r="HB94" s="1"/>
      <c r="HC94" s="1"/>
      <c r="HD94" s="1"/>
      <c r="HE94" s="1"/>
      <c r="HF94" s="1"/>
      <c r="HG94" s="1"/>
      <c r="HH94" s="1"/>
      <c r="HI94" s="1"/>
      <c r="HJ94" s="1"/>
      <c r="HK94" s="1"/>
      <c r="HL94" s="1"/>
      <c r="HM94" s="1"/>
      <c r="HN94" s="1"/>
      <c r="HO94" s="1"/>
      <c r="HP94" s="1"/>
      <c r="HQ94" s="1"/>
      <c r="HR94" s="1"/>
      <c r="HS94" s="1"/>
      <c r="HT94" s="1"/>
      <c r="HU94" s="1"/>
      <c r="HV94" s="1"/>
      <c r="HW94" s="1"/>
      <c r="HX94" s="1"/>
      <c r="HY94" s="1"/>
      <c r="HZ94" s="1"/>
      <c r="IA94" s="1"/>
      <c r="IB94" s="1"/>
      <c r="IC94" s="1"/>
      <c r="ID94" s="1"/>
      <c r="IE94" s="1"/>
      <c r="IF94" s="1"/>
      <c r="IG94" s="1"/>
      <c r="IH94" s="1"/>
      <c r="II94" s="1"/>
      <c r="IJ94" s="1"/>
      <c r="IK94" s="1"/>
      <c r="IL94" s="1"/>
      <c r="IM94" s="1"/>
      <c r="IN94" s="1"/>
      <c r="IO94" s="1"/>
      <c r="IP94" s="1"/>
      <c r="IQ94" s="1"/>
      <c r="IR94" s="1"/>
      <c r="IS94" s="1"/>
      <c r="IT94" s="1"/>
      <c r="IU94" s="1"/>
      <c r="IV94" s="1"/>
      <c r="IW94" s="1"/>
      <c r="IX94" s="1"/>
      <c r="IY94" s="1"/>
      <c r="IZ94" s="1"/>
      <c r="JA94" s="1"/>
      <c r="JB94" s="1"/>
      <c r="JC94" s="1"/>
      <c r="JD94" s="1"/>
    </row>
    <row r="95" spans="2:264" s="1044" customFormat="1" x14ac:dyDescent="0.2">
      <c r="B95" s="350"/>
      <c r="C95" s="1213"/>
      <c r="D95" s="1219"/>
      <c r="F95" s="1298"/>
      <c r="G95" s="1048"/>
      <c r="H95" s="1048"/>
      <c r="I95" s="1162"/>
      <c r="J95" s="1162"/>
      <c r="K95" s="1162"/>
      <c r="L95" s="1162"/>
      <c r="M95" s="1162"/>
      <c r="N95" s="1162"/>
      <c r="O95" s="1162"/>
      <c r="P95" s="1046"/>
      <c r="Q95" s="1046" t="s">
        <v>1089</v>
      </c>
      <c r="R95" s="1309"/>
      <c r="S95" s="1309"/>
      <c r="T95" s="1309"/>
      <c r="U95" s="1309"/>
      <c r="V95" s="1309"/>
      <c r="W95" s="1309"/>
      <c r="X95" s="1309"/>
      <c r="Y95" s="1129">
        <f t="shared" ref="Y95:CE95" si="252">Y85/Y80</f>
        <v>-1.4852772122088674E-2</v>
      </c>
      <c r="Z95" s="1129">
        <f t="shared" si="252"/>
        <v>-1.6389644323279093E-2</v>
      </c>
      <c r="AA95" s="1129">
        <f t="shared" si="252"/>
        <v>-1.5186330213903743E-2</v>
      </c>
      <c r="AB95" s="1129">
        <f t="shared" si="252"/>
        <v>0</v>
      </c>
      <c r="AC95" s="1129">
        <f t="shared" si="252"/>
        <v>0</v>
      </c>
      <c r="AD95" s="1129">
        <f t="shared" si="252"/>
        <v>0</v>
      </c>
      <c r="AE95" s="1130">
        <f t="shared" si="252"/>
        <v>-8.7948132585505007E-3</v>
      </c>
      <c r="AF95" s="1129">
        <f t="shared" si="252"/>
        <v>-1.6315863915136362E-2</v>
      </c>
      <c r="AG95" s="1129">
        <f t="shared" si="252"/>
        <v>-5.7711523014471796E-3</v>
      </c>
      <c r="AH95" s="1129">
        <f t="shared" si="252"/>
        <v>-3.8235007341476238E-2</v>
      </c>
      <c r="AI95" s="1129">
        <f>AI85/AI80</f>
        <v>-5.1149918825359388E-2</v>
      </c>
      <c r="AJ95" s="1129">
        <f>AJ85/AJ80</f>
        <v>-2.0801921036466185E-2</v>
      </c>
      <c r="AK95" s="1369">
        <f>AK85/AK80</f>
        <v>-1.9948555166374782E-2</v>
      </c>
      <c r="AL95" s="1129">
        <f>AL85/AL80</f>
        <v>-1.565064843600843E-2</v>
      </c>
      <c r="AM95" s="1129">
        <f t="shared" ref="AM95" si="253">AM85/AM80</f>
        <v>-1.7160581971847548E-2</v>
      </c>
      <c r="AN95" s="1129">
        <f t="shared" ref="AN95" ca="1" si="254">AN85/AN80</f>
        <v>-1.7496227205047895E-2</v>
      </c>
      <c r="AO95" s="1129">
        <f t="shared" ref="AO95:AU95" ca="1" si="255">AO85/AO80</f>
        <v>0</v>
      </c>
      <c r="AP95" s="1129">
        <f t="shared" ca="1" si="255"/>
        <v>-2.9183165041385775E-3</v>
      </c>
      <c r="AQ95" s="1129">
        <f t="shared" ca="1" si="255"/>
        <v>-7.0588290451324646E-3</v>
      </c>
      <c r="AR95" s="1129">
        <f t="shared" ca="1" si="255"/>
        <v>-7.6789934145898801E-3</v>
      </c>
      <c r="AS95" s="1129">
        <f t="shared" ca="1" si="255"/>
        <v>-7.6394477617529096E-3</v>
      </c>
      <c r="AT95" s="1129">
        <f t="shared" ca="1" si="255"/>
        <v>-3.8806757909477622E-3</v>
      </c>
      <c r="AU95" s="1129">
        <f t="shared" ca="1" si="255"/>
        <v>-2.9986680816643727E-3</v>
      </c>
      <c r="AV95" s="1129">
        <f t="shared" ca="1" si="252"/>
        <v>-6.2822835376430044E-3</v>
      </c>
      <c r="AW95" s="1129">
        <f ca="1">AW85/AW80</f>
        <v>-2.0316059684927893E-2</v>
      </c>
      <c r="AX95" s="1129">
        <f ca="1">AX85/AX80</f>
        <v>-2.3646714196541796E-2</v>
      </c>
      <c r="AY95" s="1129">
        <f ca="1">AY85/AY80</f>
        <v>-2.4450495341021963E-2</v>
      </c>
      <c r="AZ95" s="1129">
        <f ca="1">AZ85/AZ80</f>
        <v>-2.4645248891710204E-2</v>
      </c>
      <c r="BA95" s="1129">
        <f t="shared" ca="1" si="252"/>
        <v>-2.4692482785912174E-2</v>
      </c>
      <c r="BB95" s="1129">
        <f t="shared" ca="1" si="252"/>
        <v>-2.8853475303269992E-2</v>
      </c>
      <c r="BC95" s="1129">
        <f t="shared" ca="1" si="252"/>
        <v>-2.9285290131224925E-2</v>
      </c>
      <c r="BD95" s="1129">
        <f t="shared" ca="1" si="252"/>
        <v>-2.8797816452533809E-2</v>
      </c>
      <c r="BE95" s="1129">
        <f t="shared" ca="1" si="252"/>
        <v>-2.8082736785734044E-2</v>
      </c>
      <c r="BF95" s="1129">
        <f t="shared" ca="1" si="252"/>
        <v>-2.73113764547286E-2</v>
      </c>
      <c r="BG95" s="1129">
        <f t="shared" ca="1" si="252"/>
        <v>-2.6526137659720041E-2</v>
      </c>
      <c r="BH95" s="1129">
        <f t="shared" ca="1" si="252"/>
        <v>-2.5737488046246839E-2</v>
      </c>
      <c r="BI95" s="1129">
        <f t="shared" ca="1" si="252"/>
        <v>-2.4948004006844826E-2</v>
      </c>
      <c r="BJ95" s="1129">
        <f t="shared" ca="1" si="252"/>
        <v>-2.415831769885286E-2</v>
      </c>
      <c r="BK95" s="1129">
        <f t="shared" ca="1" si="252"/>
        <v>-2.3368583742005202E-2</v>
      </c>
      <c r="BL95" s="1129">
        <f t="shared" ca="1" si="252"/>
        <v>-2.2578839831991878E-2</v>
      </c>
      <c r="BM95" s="1129">
        <f t="shared" ca="1" si="252"/>
        <v>-2.1789095126103487E-2</v>
      </c>
      <c r="BN95" s="1129">
        <f t="shared" ca="1" si="252"/>
        <v>-2.0999351838118921E-2</v>
      </c>
      <c r="BO95" s="1129">
        <f t="shared" ca="1" si="252"/>
        <v>-2.0209610497810258E-2</v>
      </c>
      <c r="BP95" s="1129">
        <f t="shared" ca="1" si="252"/>
        <v>-1.9419871227838236E-2</v>
      </c>
      <c r="BQ95" s="1129">
        <f t="shared" ca="1" si="252"/>
        <v>-1.8630134052776432E-2</v>
      </c>
      <c r="BR95" s="1129">
        <f t="shared" ca="1" si="252"/>
        <v>-1.7840398973655684E-2</v>
      </c>
      <c r="BS95" s="1129">
        <f t="shared" ca="1" si="252"/>
        <v>-1.7050665985887708E-2</v>
      </c>
      <c r="BT95" s="1129">
        <f t="shared" ca="1" si="252"/>
        <v>-1.6260935083564347E-2</v>
      </c>
      <c r="BU95" s="1129">
        <f t="shared" ca="1" si="252"/>
        <v>-1.5471206260482054E-2</v>
      </c>
      <c r="BV95" s="1129">
        <f t="shared" ca="1" si="252"/>
        <v>-1.4681479510387143E-2</v>
      </c>
      <c r="BW95" s="1129">
        <f t="shared" ca="1" si="252"/>
        <v>-1.389175482703232E-2</v>
      </c>
      <c r="BX95" s="1129">
        <f t="shared" ca="1" si="252"/>
        <v>-1.3102032204192E-2</v>
      </c>
      <c r="BY95" s="1129">
        <f t="shared" ca="1" si="252"/>
        <v>-1.2312311635664678E-2</v>
      </c>
      <c r="BZ95" s="1129">
        <f t="shared" ca="1" si="252"/>
        <v>-1.1522593115273601E-2</v>
      </c>
      <c r="CA95" s="1129">
        <f t="shared" ca="1" si="252"/>
        <v>-1.0732876636865972E-2</v>
      </c>
      <c r="CB95" s="1129">
        <f t="shared" ca="1" si="252"/>
        <v>-9.9431621943143235E-3</v>
      </c>
      <c r="CC95" s="1129">
        <f t="shared" ca="1" si="252"/>
        <v>-9.1534497815161965E-3</v>
      </c>
      <c r="CD95" s="1129">
        <f t="shared" ca="1" si="252"/>
        <v>-8.3637393923923185E-3</v>
      </c>
      <c r="CE95" s="1129">
        <f t="shared" ca="1" si="252"/>
        <v>-7.5740310208889565E-3</v>
      </c>
      <c r="CF95" s="1129">
        <f ca="1">CF85/CF80</f>
        <v>-6.7843246609756453E-3</v>
      </c>
      <c r="CG95" s="1129">
        <f ca="1">CG85/CG80</f>
        <v>-5.994620306646891E-3</v>
      </c>
      <c r="CH95" s="1129">
        <f ca="1">CH85/CH80</f>
        <v>-5.2049179519201615E-3</v>
      </c>
      <c r="CI95" s="1129">
        <f ca="1">CI85/CI80</f>
        <v>-4.4152175908371751E-3</v>
      </c>
      <c r="CJ95" s="1129">
        <f ca="1">CJ85/CJ80</f>
        <v>-3.6255192174634941E-3</v>
      </c>
      <c r="ES95" s="1"/>
      <c r="ET95" s="1"/>
      <c r="EU95" s="1"/>
      <c r="EV95" s="1"/>
      <c r="EW95" s="1"/>
      <c r="EX95" s="1"/>
      <c r="EY95" s="1"/>
      <c r="EZ95" s="1"/>
      <c r="FA95" s="1"/>
      <c r="FB95" s="1"/>
      <c r="FC95" s="1"/>
      <c r="FD95" s="1"/>
      <c r="FE95" s="1"/>
      <c r="FF95" s="1"/>
      <c r="FG95" s="1"/>
      <c r="FH95" s="1"/>
      <c r="FI95" s="1"/>
      <c r="FJ95" s="1"/>
      <c r="FK95" s="1"/>
      <c r="FL95" s="1"/>
      <c r="FM95" s="1"/>
      <c r="FN95" s="1"/>
      <c r="FO95" s="1"/>
      <c r="FP95" s="1"/>
      <c r="FQ95" s="1"/>
      <c r="FR95" s="1"/>
      <c r="FS95" s="1"/>
      <c r="FT95" s="1"/>
      <c r="FU95" s="1"/>
      <c r="FV95" s="1"/>
      <c r="FW95" s="1"/>
      <c r="FX95" s="1"/>
      <c r="FY95" s="1"/>
      <c r="FZ95" s="1"/>
      <c r="GA95" s="1"/>
      <c r="GB95" s="1"/>
      <c r="GC95" s="1"/>
      <c r="GD95" s="1"/>
      <c r="GE95" s="1"/>
      <c r="GF95" s="1"/>
      <c r="GG95" s="1"/>
      <c r="GH95" s="1"/>
      <c r="GI95" s="1"/>
      <c r="GJ95" s="1"/>
      <c r="GK95" s="1"/>
      <c r="GL95" s="1"/>
      <c r="GM95" s="1"/>
      <c r="GN95" s="1"/>
      <c r="GO95" s="1"/>
      <c r="GP95" s="1"/>
      <c r="GQ95" s="1"/>
      <c r="GR95" s="1"/>
      <c r="GS95" s="1"/>
      <c r="GT95" s="1"/>
      <c r="GU95" s="1"/>
      <c r="GV95" s="1"/>
      <c r="GW95" s="1"/>
      <c r="GX95" s="1"/>
      <c r="GY95" s="1"/>
      <c r="GZ95" s="1"/>
      <c r="HA95" s="1"/>
      <c r="HB95" s="1"/>
      <c r="HC95" s="1"/>
      <c r="HD95" s="1"/>
      <c r="HE95" s="1"/>
      <c r="HF95" s="1"/>
      <c r="HG95" s="1"/>
      <c r="HH95" s="1"/>
      <c r="HI95" s="1"/>
      <c r="HJ95" s="1"/>
      <c r="HK95" s="1"/>
      <c r="HL95" s="1"/>
      <c r="HM95" s="1"/>
      <c r="HN95" s="1"/>
      <c r="HO95" s="1"/>
      <c r="HP95" s="1"/>
      <c r="HQ95" s="1"/>
      <c r="HR95" s="1"/>
      <c r="HS95" s="1"/>
      <c r="HT95" s="1"/>
      <c r="HU95" s="1"/>
      <c r="HV95" s="1"/>
      <c r="HW95" s="1"/>
      <c r="HX95" s="1"/>
      <c r="HY95" s="1"/>
      <c r="HZ95" s="1"/>
      <c r="IA95" s="1"/>
      <c r="IB95" s="1"/>
      <c r="IC95" s="1"/>
      <c r="ID95" s="1"/>
      <c r="IE95" s="1"/>
      <c r="IF95" s="1"/>
      <c r="IG95" s="1"/>
      <c r="IH95" s="1"/>
      <c r="II95" s="1"/>
      <c r="IJ95" s="1"/>
      <c r="IK95" s="1"/>
      <c r="IL95" s="1"/>
      <c r="IM95" s="1"/>
      <c r="IN95" s="1"/>
      <c r="IO95" s="1"/>
      <c r="IP95" s="1"/>
      <c r="IQ95" s="1"/>
      <c r="IR95" s="1"/>
      <c r="IS95" s="1"/>
      <c r="IT95" s="1"/>
      <c r="IU95" s="1"/>
      <c r="IV95" s="1"/>
      <c r="IW95" s="1"/>
      <c r="IX95" s="1"/>
      <c r="IY95" s="1"/>
      <c r="IZ95" s="1"/>
      <c r="JA95" s="1"/>
      <c r="JB95" s="1"/>
      <c r="JC95" s="1"/>
      <c r="JD95" s="1"/>
    </row>
    <row r="96" spans="2:264" s="1044" customFormat="1" x14ac:dyDescent="0.2">
      <c r="B96" s="350"/>
      <c r="C96" s="1213"/>
      <c r="D96" s="1219"/>
      <c r="F96" s="1200"/>
      <c r="G96" s="1234"/>
      <c r="H96" s="1234"/>
      <c r="I96" s="1090"/>
      <c r="J96" s="1090"/>
      <c r="K96" s="1090"/>
      <c r="L96" s="1090"/>
      <c r="M96" s="1090"/>
      <c r="N96" s="1090"/>
      <c r="O96" s="1090"/>
      <c r="P96" s="1046"/>
      <c r="Q96" s="1046" t="s">
        <v>817</v>
      </c>
      <c r="R96" s="1309"/>
      <c r="S96" s="1309"/>
      <c r="T96" s="1309"/>
      <c r="U96" s="1309"/>
      <c r="V96" s="1309"/>
      <c r="W96" s="1309"/>
      <c r="X96" s="1309"/>
      <c r="Y96" s="1129">
        <f t="shared" ref="Y96:AL96" si="256">Y86/Y80</f>
        <v>2.5160839858361178E-2</v>
      </c>
      <c r="Z96" s="1129">
        <f t="shared" si="256"/>
        <v>1.5569324345793332E-2</v>
      </c>
      <c r="AA96" s="1129">
        <f t="shared" si="256"/>
        <v>1.608455882352941E-2</v>
      </c>
      <c r="AB96" s="1129">
        <f t="shared" si="256"/>
        <v>2.2721976229317176E-3</v>
      </c>
      <c r="AC96" s="1129">
        <f t="shared" si="256"/>
        <v>-1.1958370859601721E-2</v>
      </c>
      <c r="AD96" s="1129">
        <f t="shared" si="256"/>
        <v>7.6052856735431122E-4</v>
      </c>
      <c r="AE96" s="1130">
        <f t="shared" si="256"/>
        <v>8.5133569072593819E-3</v>
      </c>
      <c r="AF96" s="1129">
        <f t="shared" si="256"/>
        <v>3.8077995229473804E-3</v>
      </c>
      <c r="AG96" s="1129">
        <f t="shared" si="256"/>
        <v>9.3976339093322959E-3</v>
      </c>
      <c r="AH96" s="1129">
        <f t="shared" si="256"/>
        <v>-0.10336413202343581</v>
      </c>
      <c r="AI96" s="1129">
        <f t="shared" si="256"/>
        <v>-2.1034421210165723E-2</v>
      </c>
      <c r="AJ96" s="1129">
        <f t="shared" si="256"/>
        <v>-5.4447981236388E-4</v>
      </c>
      <c r="AK96" s="1369">
        <f t="shared" si="256"/>
        <v>4.9118870402802099E-2</v>
      </c>
      <c r="AL96" s="1129">
        <f t="shared" si="256"/>
        <v>-3.2751091703056769E-2</v>
      </c>
      <c r="AM96" s="1129">
        <f t="shared" ref="AM96" si="257">AM86/AM80</f>
        <v>0</v>
      </c>
      <c r="AN96" s="1129">
        <f t="shared" ref="AN96" ca="1" si="258">AN86/AN80</f>
        <v>0</v>
      </c>
      <c r="AO96" s="1291">
        <v>1E-3</v>
      </c>
      <c r="AP96" s="1291">
        <v>1E-3</v>
      </c>
      <c r="AQ96" s="1291">
        <v>1E-3</v>
      </c>
      <c r="AR96" s="1291">
        <v>1E-3</v>
      </c>
      <c r="AS96" s="1291">
        <v>1E-3</v>
      </c>
      <c r="AT96" s="1291">
        <v>1E-3</v>
      </c>
      <c r="AU96" s="1291">
        <v>1E-3</v>
      </c>
      <c r="AV96" s="1310">
        <v>1E-3</v>
      </c>
      <c r="AW96" s="1310">
        <v>1E-3</v>
      </c>
      <c r="AX96" s="1310">
        <v>1E-3</v>
      </c>
      <c r="AY96" s="1310">
        <v>1E-3</v>
      </c>
      <c r="AZ96" s="1310">
        <v>1E-3</v>
      </c>
      <c r="BA96" s="1310">
        <v>1E-3</v>
      </c>
      <c r="BB96" s="1310">
        <v>1E-3</v>
      </c>
      <c r="BC96" s="1310">
        <v>1E-3</v>
      </c>
      <c r="BD96" s="1310">
        <v>1E-3</v>
      </c>
      <c r="BE96" s="1310">
        <v>1E-3</v>
      </c>
      <c r="BF96" s="1310">
        <v>1E-3</v>
      </c>
      <c r="BG96" s="1310">
        <v>1E-3</v>
      </c>
      <c r="BH96" s="1310">
        <v>1E-3</v>
      </c>
      <c r="BI96" s="1310">
        <v>1E-3</v>
      </c>
      <c r="BJ96" s="1310">
        <v>1E-3</v>
      </c>
      <c r="BK96" s="1310">
        <v>1E-3</v>
      </c>
      <c r="BL96" s="1310">
        <v>1E-3</v>
      </c>
      <c r="BM96" s="1310">
        <v>1E-3</v>
      </c>
      <c r="BN96" s="1310">
        <v>1E-3</v>
      </c>
      <c r="BO96" s="1310">
        <v>1E-3</v>
      </c>
      <c r="BP96" s="1310">
        <v>1E-3</v>
      </c>
      <c r="BQ96" s="1310">
        <v>1E-3</v>
      </c>
      <c r="BR96" s="1310">
        <v>1E-3</v>
      </c>
      <c r="BS96" s="1310">
        <v>1E-3</v>
      </c>
      <c r="BT96" s="1310">
        <v>1E-3</v>
      </c>
      <c r="BU96" s="1310">
        <v>1E-3</v>
      </c>
      <c r="BV96" s="1310">
        <v>1E-3</v>
      </c>
      <c r="BW96" s="1310">
        <v>1E-3</v>
      </c>
      <c r="BX96" s="1310">
        <v>1E-3</v>
      </c>
      <c r="BY96" s="1310">
        <v>1E-3</v>
      </c>
      <c r="BZ96" s="1310">
        <v>1E-3</v>
      </c>
      <c r="CA96" s="1310">
        <v>1E-3</v>
      </c>
      <c r="CB96" s="1310">
        <v>1E-3</v>
      </c>
      <c r="CC96" s="1310">
        <v>1E-3</v>
      </c>
      <c r="CD96" s="1310">
        <v>1E-3</v>
      </c>
      <c r="CE96" s="1310">
        <v>1E-3</v>
      </c>
      <c r="CF96" s="1310">
        <v>1E-3</v>
      </c>
      <c r="CG96" s="1310">
        <v>1E-3</v>
      </c>
      <c r="CH96" s="1310">
        <v>1E-3</v>
      </c>
      <c r="CI96" s="1310">
        <v>1E-3</v>
      </c>
      <c r="CJ96" s="1310">
        <v>1E-3</v>
      </c>
      <c r="ES96" s="1"/>
      <c r="ET96" s="1"/>
      <c r="EU96" s="1"/>
      <c r="EV96" s="1"/>
      <c r="EW96" s="1"/>
      <c r="EX96" s="1"/>
      <c r="EY96" s="1"/>
      <c r="EZ96" s="1"/>
      <c r="FA96" s="1"/>
      <c r="FB96" s="1"/>
      <c r="FC96" s="1"/>
      <c r="FD96" s="1"/>
      <c r="FE96" s="1"/>
      <c r="FF96" s="1"/>
      <c r="FG96" s="1"/>
      <c r="FH96" s="1"/>
      <c r="FI96" s="1"/>
      <c r="FJ96" s="1"/>
      <c r="FK96" s="1"/>
      <c r="FL96" s="1"/>
      <c r="FM96" s="1"/>
      <c r="FN96" s="1"/>
      <c r="FO96" s="1"/>
      <c r="FP96" s="1"/>
      <c r="FQ96" s="1"/>
      <c r="FR96" s="1"/>
      <c r="FS96" s="1"/>
      <c r="FT96" s="1"/>
      <c r="FU96" s="1"/>
      <c r="FV96" s="1"/>
      <c r="FW96" s="1"/>
      <c r="FX96" s="1"/>
      <c r="FY96" s="1"/>
      <c r="FZ96" s="1"/>
      <c r="GA96" s="1"/>
      <c r="GB96" s="1"/>
      <c r="GC96" s="1"/>
      <c r="GD96" s="1"/>
      <c r="GE96" s="1"/>
      <c r="GF96" s="1"/>
      <c r="GG96" s="1"/>
      <c r="GH96" s="1"/>
      <c r="GI96" s="1"/>
      <c r="GJ96" s="1"/>
      <c r="GK96" s="1"/>
      <c r="GL96" s="1"/>
      <c r="GM96" s="1"/>
      <c r="GN96" s="1"/>
      <c r="GO96" s="1"/>
      <c r="GP96" s="1"/>
      <c r="GQ96" s="1"/>
      <c r="GR96" s="1"/>
      <c r="GS96" s="1"/>
      <c r="GT96" s="1"/>
      <c r="GU96" s="1"/>
      <c r="GV96" s="1"/>
      <c r="GW96" s="1"/>
      <c r="GX96" s="1"/>
      <c r="GY96" s="1"/>
      <c r="GZ96" s="1"/>
      <c r="HA96" s="1"/>
      <c r="HB96" s="1"/>
      <c r="HC96" s="1"/>
      <c r="HD96" s="1"/>
      <c r="HE96" s="1"/>
      <c r="HF96" s="1"/>
      <c r="HG96" s="1"/>
      <c r="HH96" s="1"/>
      <c r="HI96" s="1"/>
      <c r="HJ96" s="1"/>
      <c r="HK96" s="1"/>
      <c r="HL96" s="1"/>
      <c r="HM96" s="1"/>
      <c r="HN96" s="1"/>
      <c r="HO96" s="1"/>
      <c r="HP96" s="1"/>
      <c r="HQ96" s="1"/>
      <c r="HR96" s="1"/>
      <c r="HS96" s="1"/>
      <c r="HT96" s="1"/>
      <c r="HU96" s="1"/>
      <c r="HV96" s="1"/>
      <c r="HW96" s="1"/>
      <c r="HX96" s="1"/>
      <c r="HY96" s="1"/>
      <c r="HZ96" s="1"/>
      <c r="IA96" s="1"/>
      <c r="IB96" s="1"/>
      <c r="IC96" s="1"/>
      <c r="ID96" s="1"/>
      <c r="IE96" s="1"/>
      <c r="IF96" s="1"/>
      <c r="IG96" s="1"/>
      <c r="IH96" s="1"/>
      <c r="II96" s="1"/>
      <c r="IJ96" s="1"/>
      <c r="IK96" s="1"/>
      <c r="IL96" s="1"/>
      <c r="IM96" s="1"/>
      <c r="IN96" s="1"/>
      <c r="IO96" s="1"/>
      <c r="IP96" s="1"/>
      <c r="IQ96" s="1"/>
      <c r="IR96" s="1"/>
      <c r="IS96" s="1"/>
      <c r="IT96" s="1"/>
      <c r="IU96" s="1"/>
      <c r="IV96" s="1"/>
      <c r="IW96" s="1"/>
      <c r="IX96" s="1"/>
      <c r="IY96" s="1"/>
      <c r="IZ96" s="1"/>
      <c r="JA96" s="1"/>
      <c r="JB96" s="1"/>
      <c r="JC96" s="1"/>
      <c r="JD96" s="1"/>
    </row>
    <row r="97" spans="2:264" s="1044" customFormat="1" x14ac:dyDescent="0.2">
      <c r="B97" s="350"/>
      <c r="C97" s="1213"/>
      <c r="D97" s="1219"/>
      <c r="F97" s="1200"/>
      <c r="G97" s="1209"/>
      <c r="H97" s="1209"/>
      <c r="I97" s="1171"/>
      <c r="J97" s="1171"/>
      <c r="K97" s="1171"/>
      <c r="L97" s="1171"/>
      <c r="M97" s="1171"/>
      <c r="N97" s="1171"/>
      <c r="O97" s="1171"/>
      <c r="P97" s="1046"/>
      <c r="Q97" s="1047"/>
      <c r="R97" s="1074"/>
      <c r="S97" s="1074"/>
      <c r="T97" s="1074"/>
      <c r="U97" s="1074"/>
      <c r="V97" s="1074"/>
      <c r="W97" s="1074"/>
      <c r="X97" s="1074"/>
      <c r="Y97" s="1074"/>
      <c r="Z97" s="1074"/>
      <c r="AA97" s="1074"/>
      <c r="AB97" s="1074"/>
      <c r="AC97" s="1074"/>
      <c r="AD97" s="1074"/>
      <c r="AE97" s="1279"/>
      <c r="AF97" s="1074"/>
      <c r="AG97" s="1074"/>
      <c r="AH97" s="1074"/>
      <c r="AI97" s="1074"/>
      <c r="AJ97" s="1074"/>
      <c r="AK97" s="1364"/>
      <c r="AL97" s="1074"/>
      <c r="AM97" s="1074"/>
      <c r="AN97" s="1074"/>
      <c r="AO97" s="1074"/>
      <c r="AP97" s="1074"/>
      <c r="AQ97" s="1074"/>
      <c r="AR97" s="1074"/>
      <c r="AS97" s="1074"/>
      <c r="AT97" s="1074"/>
      <c r="AU97" s="1074"/>
      <c r="AV97" s="1074"/>
      <c r="AW97" s="1074"/>
      <c r="AX97" s="1074"/>
      <c r="AY97" s="1074"/>
      <c r="AZ97" s="1074"/>
      <c r="BA97" s="1074"/>
      <c r="BB97" s="1074"/>
      <c r="BC97" s="1074"/>
      <c r="BD97" s="1074"/>
      <c r="BE97" s="1074"/>
      <c r="BF97" s="1074"/>
      <c r="BG97" s="1074"/>
      <c r="BH97" s="1074"/>
      <c r="BI97" s="1074"/>
      <c r="BJ97" s="1074"/>
      <c r="BK97" s="1074"/>
      <c r="BL97" s="1074"/>
      <c r="BM97" s="1074"/>
      <c r="BN97" s="1074"/>
      <c r="BO97" s="1074"/>
      <c r="BP97" s="1074"/>
      <c r="BQ97" s="1074"/>
      <c r="BR97" s="1074"/>
      <c r="BS97" s="1074"/>
      <c r="BT97" s="1074"/>
      <c r="BU97" s="1074"/>
      <c r="BV97" s="1074"/>
      <c r="BW97" s="1074"/>
      <c r="BX97" s="1074"/>
      <c r="BY97" s="1074"/>
      <c r="BZ97" s="1074"/>
      <c r="CA97" s="1074"/>
      <c r="CB97" s="1074"/>
      <c r="CC97" s="1074"/>
      <c r="CD97" s="1074"/>
      <c r="CE97" s="1074"/>
      <c r="CF97" s="1074"/>
      <c r="CG97" s="1074"/>
      <c r="CH97" s="1074"/>
      <c r="CI97" s="1074"/>
      <c r="CJ97" s="1074"/>
      <c r="ES97" s="1"/>
      <c r="ET97" s="1"/>
      <c r="EU97" s="1"/>
      <c r="EV97" s="1"/>
      <c r="EW97" s="1"/>
      <c r="EX97" s="1"/>
      <c r="EY97" s="1"/>
      <c r="EZ97" s="1"/>
      <c r="FA97" s="1"/>
      <c r="FB97" s="1"/>
      <c r="FC97" s="1"/>
      <c r="FD97" s="1"/>
      <c r="FE97" s="1"/>
      <c r="FF97" s="1"/>
      <c r="FG97" s="1"/>
      <c r="FH97" s="1"/>
      <c r="FI97" s="1"/>
      <c r="FJ97" s="1"/>
      <c r="FK97" s="1"/>
      <c r="FL97" s="1"/>
      <c r="FM97" s="1"/>
      <c r="FN97" s="1"/>
      <c r="FO97" s="1"/>
      <c r="FP97" s="1"/>
      <c r="FQ97" s="1"/>
      <c r="FR97" s="1"/>
      <c r="FS97" s="1"/>
      <c r="FT97" s="1"/>
      <c r="FU97" s="1"/>
      <c r="FV97" s="1"/>
      <c r="FW97" s="1"/>
      <c r="FX97" s="1"/>
      <c r="FY97" s="1"/>
      <c r="FZ97" s="1"/>
      <c r="GA97" s="1"/>
      <c r="GB97" s="1"/>
      <c r="GC97" s="1"/>
      <c r="GD97" s="1"/>
      <c r="GE97" s="1"/>
      <c r="GF97" s="1"/>
      <c r="GG97" s="1"/>
      <c r="GH97" s="1"/>
      <c r="GI97" s="1"/>
      <c r="GJ97" s="1"/>
      <c r="GK97" s="1"/>
      <c r="GL97" s="1"/>
      <c r="GM97" s="1"/>
      <c r="GN97" s="1"/>
      <c r="GO97" s="1"/>
      <c r="GP97" s="1"/>
      <c r="GQ97" s="1"/>
      <c r="GR97" s="1"/>
      <c r="GS97" s="1"/>
      <c r="GT97" s="1"/>
      <c r="GU97" s="1"/>
      <c r="GV97" s="1"/>
      <c r="GW97" s="1"/>
      <c r="GX97" s="1"/>
      <c r="GY97" s="1"/>
      <c r="GZ97" s="1"/>
      <c r="HA97" s="1"/>
      <c r="HB97" s="1"/>
      <c r="HC97" s="1"/>
      <c r="HD97" s="1"/>
      <c r="HE97" s="1"/>
      <c r="HF97" s="1"/>
      <c r="HG97" s="1"/>
      <c r="HH97" s="1"/>
      <c r="HI97" s="1"/>
      <c r="HJ97" s="1"/>
      <c r="HK97" s="1"/>
      <c r="HL97" s="1"/>
      <c r="HM97" s="1"/>
      <c r="HN97" s="1"/>
      <c r="HO97" s="1"/>
      <c r="HP97" s="1"/>
      <c r="HQ97" s="1"/>
      <c r="HR97" s="1"/>
      <c r="HS97" s="1"/>
      <c r="HT97" s="1"/>
      <c r="HU97" s="1"/>
      <c r="HV97" s="1"/>
      <c r="HW97" s="1"/>
      <c r="HX97" s="1"/>
      <c r="HY97" s="1"/>
      <c r="HZ97" s="1"/>
      <c r="IA97" s="1"/>
      <c r="IB97" s="1"/>
      <c r="IC97" s="1"/>
      <c r="ID97" s="1"/>
      <c r="IE97" s="1"/>
      <c r="IF97" s="1"/>
      <c r="IG97" s="1"/>
      <c r="IH97" s="1"/>
      <c r="II97" s="1"/>
      <c r="IJ97" s="1"/>
      <c r="IK97" s="1"/>
      <c r="IL97" s="1"/>
      <c r="IM97" s="1"/>
      <c r="IN97" s="1"/>
      <c r="IO97" s="1"/>
      <c r="IP97" s="1"/>
      <c r="IQ97" s="1"/>
      <c r="IR97" s="1"/>
      <c r="IS97" s="1"/>
      <c r="IT97" s="1"/>
      <c r="IU97" s="1"/>
      <c r="IV97" s="1"/>
      <c r="IW97" s="1"/>
      <c r="IX97" s="1"/>
      <c r="IY97" s="1"/>
      <c r="IZ97" s="1"/>
      <c r="JA97" s="1"/>
      <c r="JB97" s="1"/>
      <c r="JC97" s="1"/>
      <c r="JD97" s="1"/>
    </row>
    <row r="98" spans="2:264" s="1044" customFormat="1" ht="13.5" thickBot="1" x14ac:dyDescent="0.25">
      <c r="B98" s="350"/>
      <c r="C98" s="1213"/>
      <c r="D98" s="1219"/>
      <c r="G98" s="1043"/>
      <c r="H98" s="1043"/>
      <c r="P98" s="1046"/>
      <c r="Q98" s="1044" t="s">
        <v>738</v>
      </c>
      <c r="R98" s="1074"/>
      <c r="S98" s="1074"/>
      <c r="T98" s="1074"/>
      <c r="U98" s="1074"/>
      <c r="V98" s="1074"/>
      <c r="W98" s="1074"/>
      <c r="X98" s="1074"/>
      <c r="Y98" s="1254">
        <f t="shared" ref="Y98:CJ98" si="259">Y38</f>
        <v>8.2118617806646046E-2</v>
      </c>
      <c r="Z98" s="1254">
        <f t="shared" si="259"/>
        <v>9.3013339650296845E-2</v>
      </c>
      <c r="AA98" s="1254">
        <f t="shared" si="259"/>
        <v>9.0577970877709704E-2</v>
      </c>
      <c r="AB98" s="1254">
        <f t="shared" si="259"/>
        <v>0.10556494462420217</v>
      </c>
      <c r="AC98" s="1254">
        <f t="shared" si="259"/>
        <v>0.10103577745084805</v>
      </c>
      <c r="AD98" s="1254">
        <f t="shared" si="259"/>
        <v>0.10132748379894116</v>
      </c>
      <c r="AE98" s="1255">
        <f t="shared" si="259"/>
        <v>0.10682654463051228</v>
      </c>
      <c r="AF98" s="1254">
        <f t="shared" si="259"/>
        <v>0.115509904428638</v>
      </c>
      <c r="AG98" s="1254">
        <f t="shared" si="259"/>
        <v>0.1305493920298216</v>
      </c>
      <c r="AH98" s="1254">
        <f t="shared" si="259"/>
        <v>0.11452885364697565</v>
      </c>
      <c r="AI98" s="1254">
        <f>AI38</f>
        <v>0.12160250602574403</v>
      </c>
      <c r="AJ98" s="1254">
        <f>AJ38</f>
        <v>0.12338974785638358</v>
      </c>
      <c r="AK98" s="1380">
        <f>AK38</f>
        <v>0.12288141571516391</v>
      </c>
      <c r="AL98" s="1254">
        <f ca="1">AL38</f>
        <v>0.12137499376977245</v>
      </c>
      <c r="AM98" s="1254">
        <f t="shared" ref="AM98" ca="1" si="260">AM38</f>
        <v>0.1184715426814056</v>
      </c>
      <c r="AN98" s="1254">
        <f t="shared" ref="AN98" ca="1" si="261">AN38</f>
        <v>0.11696142567081413</v>
      </c>
      <c r="AO98" s="1254">
        <f t="shared" ref="AO98" ca="1" si="262">AO38</f>
        <v>0.11792760989744636</v>
      </c>
      <c r="AP98" s="1254">
        <f t="shared" ca="1" si="259"/>
        <v>0.11853967175454821</v>
      </c>
      <c r="AQ98" s="1254">
        <f t="shared" ca="1" si="259"/>
        <v>0.11863189363818494</v>
      </c>
      <c r="AR98" s="1254">
        <f t="shared" ca="1" si="259"/>
        <v>0.11862600869702411</v>
      </c>
      <c r="AS98" s="1254">
        <f t="shared" ca="1" si="259"/>
        <v>0.11806930398722364</v>
      </c>
      <c r="AT98" s="1254">
        <f t="shared" ca="1" si="259"/>
        <v>0.11793942754174741</v>
      </c>
      <c r="AU98" s="1254">
        <f t="shared" ca="1" si="259"/>
        <v>0.11842439710549654</v>
      </c>
      <c r="AV98" s="1254">
        <f t="shared" ca="1" si="259"/>
        <v>0.12054285181431865</v>
      </c>
      <c r="AW98" s="1254">
        <f t="shared" ca="1" si="259"/>
        <v>0.12105680343981133</v>
      </c>
      <c r="AX98" s="1254">
        <f t="shared" ca="1" si="259"/>
        <v>0.1211814916251412</v>
      </c>
      <c r="AY98" s="1254">
        <f t="shared" ca="1" si="259"/>
        <v>0.12121174183311738</v>
      </c>
      <c r="AZ98" s="1254">
        <f t="shared" ca="1" si="259"/>
        <v>0.12121908074081088</v>
      </c>
      <c r="BA98" s="1254">
        <f t="shared" ca="1" si="259"/>
        <v>0.12186909592961545</v>
      </c>
      <c r="BB98" s="1254">
        <f t="shared" ca="1" si="259"/>
        <v>0.12193695196319063</v>
      </c>
      <c r="BC98" s="1254">
        <f t="shared" ca="1" si="259"/>
        <v>0.12186035510798733</v>
      </c>
      <c r="BD98" s="1254">
        <f t="shared" ca="1" si="259"/>
        <v>0.12174816842710671</v>
      </c>
      <c r="BE98" s="1254">
        <f t="shared" ca="1" si="259"/>
        <v>0.12162738340166378</v>
      </c>
      <c r="BF98" s="1254">
        <f t="shared" ca="1" si="259"/>
        <v>0.1215046711061427</v>
      </c>
      <c r="BG98" s="1254">
        <f t="shared" ca="1" si="259"/>
        <v>0.12138167476600878</v>
      </c>
      <c r="BH98" s="1254">
        <f t="shared" ca="1" si="259"/>
        <v>0.12125879744584635</v>
      </c>
      <c r="BI98" s="1254">
        <f t="shared" ca="1" si="259"/>
        <v>0.1211361372707333</v>
      </c>
      <c r="BJ98" s="1254">
        <f t="shared" ca="1" si="259"/>
        <v>0.12101371762158189</v>
      </c>
      <c r="BK98" s="1254">
        <f t="shared" ca="1" si="259"/>
        <v>0.12089154361794091</v>
      </c>
      <c r="BL98" s="1254">
        <f t="shared" ca="1" si="259"/>
        <v>0.12076961593357388</v>
      </c>
      <c r="BM98" s="1254">
        <f t="shared" ca="1" si="259"/>
        <v>0.12064793416506195</v>
      </c>
      <c r="BN98" s="1254">
        <f t="shared" ca="1" si="259"/>
        <v>0.12052649765055366</v>
      </c>
      <c r="BO98" s="1254">
        <f t="shared" ca="1" si="259"/>
        <v>0.12040530566812352</v>
      </c>
      <c r="BP98" s="1254">
        <f t="shared" ca="1" si="259"/>
        <v>0.12028435748366795</v>
      </c>
      <c r="BQ98" s="1254">
        <f t="shared" ca="1" si="259"/>
        <v>0.12016365236242413</v>
      </c>
      <c r="BR98" s="1254">
        <f t="shared" ca="1" si="259"/>
        <v>0.12004318957172261</v>
      </c>
      <c r="BS98" s="1254">
        <f t="shared" ca="1" si="259"/>
        <v>0.11992296838163491</v>
      </c>
      <c r="BT98" s="1254">
        <f t="shared" ca="1" si="259"/>
        <v>0.11980298806511627</v>
      </c>
      <c r="BU98" s="1254">
        <f t="shared" ca="1" si="259"/>
        <v>0.11968324789802859</v>
      </c>
      <c r="BV98" s="1254">
        <f t="shared" ca="1" si="259"/>
        <v>0.11956374715913443</v>
      </c>
      <c r="BW98" s="1254">
        <f t="shared" ca="1" si="259"/>
        <v>0.11944448513008483</v>
      </c>
      <c r="BX98" s="1254">
        <f t="shared" ca="1" si="259"/>
        <v>0.11932546109540526</v>
      </c>
      <c r="BY98" s="1254">
        <f t="shared" ca="1" si="259"/>
        <v>0.11920667434248128</v>
      </c>
      <c r="BZ98" s="1254">
        <f t="shared" ca="1" si="259"/>
        <v>0.1190881241615442</v>
      </c>
      <c r="CA98" s="1254">
        <f t="shared" ca="1" si="259"/>
        <v>0.11896980984565708</v>
      </c>
      <c r="CB98" s="1254">
        <f t="shared" ca="1" si="259"/>
        <v>0.11885173069070058</v>
      </c>
      <c r="CC98" s="1254">
        <f t="shared" ca="1" si="259"/>
        <v>0.11873388599535865</v>
      </c>
      <c r="CD98" s="1254">
        <f t="shared" ca="1" si="259"/>
        <v>0.11861627506110496</v>
      </c>
      <c r="CE98" s="1254">
        <f t="shared" ca="1" si="259"/>
        <v>0.11849889719218869</v>
      </c>
      <c r="CF98" s="1254">
        <f t="shared" ca="1" si="259"/>
        <v>0.11838175169562101</v>
      </c>
      <c r="CG98" s="1254">
        <f t="shared" ca="1" si="259"/>
        <v>0.11826483788116113</v>
      </c>
      <c r="CH98" s="1254">
        <f t="shared" ca="1" si="259"/>
        <v>0.11814815506130281</v>
      </c>
      <c r="CI98" s="1254">
        <f t="shared" ca="1" si="259"/>
        <v>0.11803170255126086</v>
      </c>
      <c r="CJ98" s="1254">
        <f t="shared" ca="1" si="259"/>
        <v>0.11800585942777032</v>
      </c>
      <c r="CK98" s="1264"/>
      <c r="CL98" s="1264"/>
      <c r="CM98" s="1264"/>
      <c r="CN98" s="1264"/>
      <c r="CO98" s="1264"/>
      <c r="CP98" s="1264"/>
      <c r="CQ98" s="1264"/>
      <c r="CR98" s="1264"/>
      <c r="CS98" s="1264"/>
      <c r="CT98" s="1264"/>
      <c r="CU98" s="1264"/>
      <c r="CV98" s="1264"/>
      <c r="CW98" s="1264"/>
      <c r="CX98" s="1264"/>
      <c r="CY98" s="1264"/>
      <c r="CZ98" s="1264"/>
      <c r="DA98" s="1264"/>
      <c r="DB98" s="1264"/>
      <c r="DC98" s="1264"/>
      <c r="DD98" s="1264"/>
      <c r="DE98" s="1264"/>
      <c r="DF98" s="1264"/>
      <c r="DG98" s="1264"/>
      <c r="DH98" s="1264"/>
      <c r="DI98" s="1264"/>
      <c r="DJ98" s="1264"/>
      <c r="DK98" s="1264"/>
      <c r="DL98" s="1264"/>
      <c r="DM98" s="1264"/>
      <c r="DN98" s="1264"/>
      <c r="DO98" s="1264"/>
      <c r="DP98" s="1264"/>
      <c r="DQ98" s="1264"/>
      <c r="DR98" s="1264"/>
      <c r="DS98" s="1264"/>
      <c r="DT98" s="1264"/>
      <c r="DU98" s="1264"/>
      <c r="DV98" s="1264"/>
      <c r="DW98" s="1264"/>
      <c r="DX98" s="1264"/>
      <c r="DY98" s="1264"/>
      <c r="DZ98" s="1264"/>
      <c r="EA98" s="1264"/>
      <c r="EB98" s="1264"/>
      <c r="EC98" s="1264"/>
      <c r="ED98" s="1264"/>
      <c r="EE98" s="1264"/>
      <c r="EF98" s="1264"/>
      <c r="EG98" s="1264"/>
      <c r="EH98" s="1264"/>
      <c r="EI98" s="1264"/>
      <c r="EJ98" s="1264"/>
      <c r="EK98" s="1264"/>
      <c r="EL98" s="1264"/>
      <c r="EM98" s="1264"/>
      <c r="EN98" s="1264"/>
      <c r="EO98" s="1264"/>
      <c r="EP98" s="1264"/>
      <c r="EQ98" s="1264"/>
      <c r="ER98" s="1264"/>
      <c r="ES98" s="1"/>
      <c r="ET98" s="1"/>
      <c r="EU98" s="1"/>
      <c r="EV98" s="1"/>
      <c r="EW98" s="1"/>
      <c r="EX98" s="1"/>
      <c r="EY98" s="1"/>
      <c r="EZ98" s="1"/>
      <c r="FA98" s="1"/>
      <c r="FB98" s="1"/>
      <c r="FC98" s="1"/>
      <c r="FD98" s="1"/>
      <c r="FE98" s="1"/>
      <c r="FF98" s="1"/>
      <c r="FG98" s="1"/>
      <c r="FH98" s="1"/>
      <c r="FI98" s="1"/>
      <c r="FJ98" s="1"/>
      <c r="FK98" s="1"/>
      <c r="FL98" s="1"/>
      <c r="FM98" s="1"/>
      <c r="FN98" s="1"/>
      <c r="FO98" s="1"/>
      <c r="FP98" s="1"/>
      <c r="FQ98" s="1"/>
      <c r="FR98" s="1"/>
      <c r="FS98" s="1"/>
      <c r="FT98" s="1"/>
      <c r="FU98" s="1"/>
      <c r="FV98" s="1"/>
      <c r="FW98" s="1"/>
      <c r="FX98" s="1"/>
      <c r="FY98" s="1"/>
      <c r="FZ98" s="1"/>
      <c r="GA98" s="1"/>
      <c r="GB98" s="1"/>
      <c r="GC98" s="1"/>
      <c r="GD98" s="1"/>
      <c r="GE98" s="1"/>
      <c r="GF98" s="1"/>
      <c r="GG98" s="1"/>
      <c r="GH98" s="1"/>
      <c r="GI98" s="1"/>
      <c r="GJ98" s="1"/>
      <c r="GK98" s="1"/>
      <c r="GL98" s="1"/>
      <c r="GM98" s="1"/>
      <c r="GN98" s="1"/>
      <c r="GO98" s="1"/>
      <c r="GP98" s="1"/>
      <c r="GQ98" s="1"/>
      <c r="GR98" s="1"/>
      <c r="GS98" s="1"/>
      <c r="GT98" s="1"/>
      <c r="GU98" s="1"/>
      <c r="GV98" s="1"/>
      <c r="GW98" s="1"/>
      <c r="GX98" s="1"/>
      <c r="GY98" s="1"/>
      <c r="GZ98" s="1"/>
      <c r="HA98" s="1"/>
      <c r="HB98" s="1"/>
      <c r="HC98" s="1"/>
      <c r="HD98" s="1"/>
      <c r="HE98" s="1"/>
      <c r="HF98" s="1"/>
      <c r="HG98" s="1"/>
      <c r="HH98" s="1"/>
      <c r="HI98" s="1"/>
      <c r="HJ98" s="1"/>
      <c r="HK98" s="1"/>
      <c r="HL98" s="1"/>
      <c r="HM98" s="1"/>
      <c r="HN98" s="1"/>
      <c r="HO98" s="1"/>
      <c r="HP98" s="1"/>
      <c r="HQ98" s="1"/>
      <c r="HR98" s="1"/>
      <c r="HS98" s="1"/>
      <c r="HT98" s="1"/>
      <c r="HU98" s="1"/>
      <c r="HV98" s="1"/>
      <c r="HW98" s="1"/>
      <c r="HX98" s="1"/>
      <c r="HY98" s="1"/>
      <c r="HZ98" s="1"/>
      <c r="IA98" s="1"/>
      <c r="IB98" s="1"/>
      <c r="IC98" s="1"/>
      <c r="ID98" s="1"/>
      <c r="IE98" s="1"/>
      <c r="IF98" s="1"/>
      <c r="IG98" s="1"/>
      <c r="IH98" s="1"/>
      <c r="II98" s="1"/>
      <c r="IJ98" s="1"/>
      <c r="IK98" s="1"/>
      <c r="IL98" s="1"/>
      <c r="IM98" s="1"/>
      <c r="IN98" s="1"/>
      <c r="IO98" s="1"/>
      <c r="IP98" s="1"/>
      <c r="IQ98" s="1"/>
      <c r="IR98" s="1"/>
      <c r="IS98" s="1"/>
      <c r="IT98" s="1"/>
      <c r="IU98" s="1"/>
      <c r="IV98" s="1"/>
      <c r="IW98" s="1"/>
      <c r="IX98" s="1"/>
      <c r="IY98" s="1"/>
      <c r="IZ98" s="1"/>
      <c r="JA98" s="1"/>
      <c r="JB98" s="1"/>
      <c r="JC98" s="1"/>
      <c r="JD98" s="1"/>
    </row>
    <row r="99" spans="2:264" s="1044" customFormat="1" ht="13.5" thickBot="1" x14ac:dyDescent="0.25">
      <c r="B99" s="350"/>
      <c r="C99" s="1213"/>
      <c r="D99" s="1219"/>
      <c r="G99" s="1043"/>
      <c r="H99" s="1043"/>
      <c r="P99" s="1046"/>
      <c r="Q99" s="1044" t="s">
        <v>1093</v>
      </c>
      <c r="R99" s="1074"/>
      <c r="S99" s="1074"/>
      <c r="T99" s="1074"/>
      <c r="U99" s="1074"/>
      <c r="V99" s="1074"/>
      <c r="W99" s="1074"/>
      <c r="X99" s="1074"/>
      <c r="Y99" s="1254"/>
      <c r="Z99" s="1254"/>
      <c r="AA99" s="1254"/>
      <c r="AB99" s="1254"/>
      <c r="AC99" s="1254"/>
      <c r="AD99" s="1254"/>
      <c r="AE99" s="1255"/>
      <c r="AF99" s="1254"/>
      <c r="AG99" s="1254"/>
      <c r="AH99" s="1311">
        <v>0.11749999999999999</v>
      </c>
      <c r="AI99" s="1311">
        <v>0.11749999999999999</v>
      </c>
      <c r="AJ99" s="1311">
        <v>0.11749999999999999</v>
      </c>
      <c r="AK99" s="1385">
        <v>0.11749999999999999</v>
      </c>
      <c r="AL99" s="1360">
        <v>0.11749999999999999</v>
      </c>
      <c r="AM99" s="1311">
        <v>0.11749999999999999</v>
      </c>
      <c r="AN99" s="1311">
        <v>0.11749999999999999</v>
      </c>
      <c r="AO99" s="1312">
        <f t="shared" ref="AO99:CE99" si="263">AN99</f>
        <v>0.11749999999999999</v>
      </c>
      <c r="AP99" s="1312">
        <f t="shared" si="263"/>
        <v>0.11749999999999999</v>
      </c>
      <c r="AQ99" s="1312">
        <f t="shared" si="263"/>
        <v>0.11749999999999999</v>
      </c>
      <c r="AR99" s="1312">
        <f t="shared" si="263"/>
        <v>0.11749999999999999</v>
      </c>
      <c r="AS99" s="1312">
        <f t="shared" si="263"/>
        <v>0.11749999999999999</v>
      </c>
      <c r="AT99" s="1312">
        <f t="shared" si="263"/>
        <v>0.11749999999999999</v>
      </c>
      <c r="AU99" s="1312">
        <f t="shared" si="263"/>
        <v>0.11749999999999999</v>
      </c>
      <c r="AV99" s="1313">
        <f t="shared" si="263"/>
        <v>0.11749999999999999</v>
      </c>
      <c r="AW99" s="1313">
        <f t="shared" si="263"/>
        <v>0.11749999999999999</v>
      </c>
      <c r="AX99" s="1313">
        <f t="shared" si="263"/>
        <v>0.11749999999999999</v>
      </c>
      <c r="AY99" s="1313">
        <f t="shared" si="263"/>
        <v>0.11749999999999999</v>
      </c>
      <c r="AZ99" s="1313">
        <f t="shared" si="263"/>
        <v>0.11749999999999999</v>
      </c>
      <c r="BA99" s="1313">
        <f t="shared" si="263"/>
        <v>0.11749999999999999</v>
      </c>
      <c r="BB99" s="1313">
        <f t="shared" si="263"/>
        <v>0.11749999999999999</v>
      </c>
      <c r="BC99" s="1313">
        <f t="shared" si="263"/>
        <v>0.11749999999999999</v>
      </c>
      <c r="BD99" s="1313">
        <f t="shared" si="263"/>
        <v>0.11749999999999999</v>
      </c>
      <c r="BE99" s="1313">
        <f t="shared" si="263"/>
        <v>0.11749999999999999</v>
      </c>
      <c r="BF99" s="1313">
        <f t="shared" si="263"/>
        <v>0.11749999999999999</v>
      </c>
      <c r="BG99" s="1313">
        <f t="shared" si="263"/>
        <v>0.11749999999999999</v>
      </c>
      <c r="BH99" s="1313">
        <f t="shared" si="263"/>
        <v>0.11749999999999999</v>
      </c>
      <c r="BI99" s="1313">
        <f t="shared" si="263"/>
        <v>0.11749999999999999</v>
      </c>
      <c r="BJ99" s="1313">
        <f t="shared" si="263"/>
        <v>0.11749999999999999</v>
      </c>
      <c r="BK99" s="1313">
        <f t="shared" si="263"/>
        <v>0.11749999999999999</v>
      </c>
      <c r="BL99" s="1313">
        <f t="shared" si="263"/>
        <v>0.11749999999999999</v>
      </c>
      <c r="BM99" s="1313">
        <f t="shared" si="263"/>
        <v>0.11749999999999999</v>
      </c>
      <c r="BN99" s="1313">
        <f t="shared" si="263"/>
        <v>0.11749999999999999</v>
      </c>
      <c r="BO99" s="1313">
        <f t="shared" si="263"/>
        <v>0.11749999999999999</v>
      </c>
      <c r="BP99" s="1313">
        <f t="shared" si="263"/>
        <v>0.11749999999999999</v>
      </c>
      <c r="BQ99" s="1313">
        <f t="shared" si="263"/>
        <v>0.11749999999999999</v>
      </c>
      <c r="BR99" s="1313">
        <f t="shared" si="263"/>
        <v>0.11749999999999999</v>
      </c>
      <c r="BS99" s="1313">
        <f t="shared" si="263"/>
        <v>0.11749999999999999</v>
      </c>
      <c r="BT99" s="1313">
        <f t="shared" si="263"/>
        <v>0.11749999999999999</v>
      </c>
      <c r="BU99" s="1313">
        <f t="shared" si="263"/>
        <v>0.11749999999999999</v>
      </c>
      <c r="BV99" s="1313">
        <f t="shared" si="263"/>
        <v>0.11749999999999999</v>
      </c>
      <c r="BW99" s="1313">
        <f t="shared" si="263"/>
        <v>0.11749999999999999</v>
      </c>
      <c r="BX99" s="1313">
        <f t="shared" si="263"/>
        <v>0.11749999999999999</v>
      </c>
      <c r="BY99" s="1313">
        <f t="shared" si="263"/>
        <v>0.11749999999999999</v>
      </c>
      <c r="BZ99" s="1313">
        <f t="shared" si="263"/>
        <v>0.11749999999999999</v>
      </c>
      <c r="CA99" s="1313">
        <f t="shared" si="263"/>
        <v>0.11749999999999999</v>
      </c>
      <c r="CB99" s="1313">
        <f t="shared" si="263"/>
        <v>0.11749999999999999</v>
      </c>
      <c r="CC99" s="1313">
        <f t="shared" si="263"/>
        <v>0.11749999999999999</v>
      </c>
      <c r="CD99" s="1313">
        <f t="shared" si="263"/>
        <v>0.11749999999999999</v>
      </c>
      <c r="CE99" s="1313">
        <f t="shared" si="263"/>
        <v>0.11749999999999999</v>
      </c>
      <c r="CF99" s="1313">
        <f>CE99</f>
        <v>0.11749999999999999</v>
      </c>
      <c r="CG99" s="1313">
        <f>CF99</f>
        <v>0.11749999999999999</v>
      </c>
      <c r="CH99" s="1313">
        <f>CG99</f>
        <v>0.11749999999999999</v>
      </c>
      <c r="CI99" s="1313">
        <f>CH99</f>
        <v>0.11749999999999999</v>
      </c>
      <c r="CJ99" s="1313">
        <f>CI99</f>
        <v>0.11749999999999999</v>
      </c>
      <c r="ES99" s="1"/>
      <c r="ET99" s="1"/>
      <c r="EU99" s="1"/>
      <c r="EV99" s="1"/>
      <c r="EW99" s="1"/>
      <c r="EX99" s="1"/>
      <c r="EY99" s="1"/>
      <c r="EZ99" s="1"/>
      <c r="FA99" s="1"/>
      <c r="FB99" s="1"/>
      <c r="FC99" s="1"/>
      <c r="FD99" s="1"/>
      <c r="FE99" s="1"/>
      <c r="FF99" s="1"/>
      <c r="FG99" s="1"/>
      <c r="FH99" s="1"/>
      <c r="FI99" s="1"/>
      <c r="FJ99" s="1"/>
      <c r="FK99" s="1"/>
      <c r="FL99" s="1"/>
      <c r="FM99" s="1"/>
      <c r="FN99" s="1"/>
      <c r="FO99" s="1"/>
      <c r="FP99" s="1"/>
      <c r="FQ99" s="1"/>
      <c r="FR99" s="1"/>
      <c r="FS99" s="1"/>
      <c r="FT99" s="1"/>
      <c r="FU99" s="1"/>
      <c r="FV99" s="1"/>
      <c r="FW99" s="1"/>
      <c r="FX99" s="1"/>
      <c r="FY99" s="1"/>
      <c r="FZ99" s="1"/>
      <c r="GA99" s="1"/>
      <c r="GB99" s="1"/>
      <c r="GC99" s="1"/>
      <c r="GD99" s="1"/>
      <c r="GE99" s="1"/>
      <c r="GF99" s="1"/>
      <c r="GG99" s="1"/>
      <c r="GH99" s="1"/>
      <c r="GI99" s="1"/>
      <c r="GJ99" s="1"/>
      <c r="GK99" s="1"/>
      <c r="GL99" s="1"/>
      <c r="GM99" s="1"/>
      <c r="GN99" s="1"/>
      <c r="GO99" s="1"/>
      <c r="GP99" s="1"/>
      <c r="GQ99" s="1"/>
      <c r="GR99" s="1"/>
      <c r="GS99" s="1"/>
      <c r="GT99" s="1"/>
      <c r="GU99" s="1"/>
      <c r="GV99" s="1"/>
      <c r="GW99" s="1"/>
      <c r="GX99" s="1"/>
      <c r="GY99" s="1"/>
      <c r="GZ99" s="1"/>
      <c r="HA99" s="1"/>
      <c r="HB99" s="1"/>
      <c r="HC99" s="1"/>
      <c r="HD99" s="1"/>
      <c r="HE99" s="1"/>
      <c r="HF99" s="1"/>
      <c r="HG99" s="1"/>
      <c r="HH99" s="1"/>
      <c r="HI99" s="1"/>
      <c r="HJ99" s="1"/>
      <c r="HK99" s="1"/>
      <c r="HL99" s="1"/>
      <c r="HM99" s="1"/>
      <c r="HN99" s="1"/>
      <c r="HO99" s="1"/>
      <c r="HP99" s="1"/>
      <c r="HQ99" s="1"/>
      <c r="HR99" s="1"/>
      <c r="HS99" s="1"/>
      <c r="HT99" s="1"/>
      <c r="HU99" s="1"/>
      <c r="HV99" s="1"/>
      <c r="HW99" s="1"/>
      <c r="HX99" s="1"/>
      <c r="HY99" s="1"/>
      <c r="HZ99" s="1"/>
      <c r="IA99" s="1"/>
      <c r="IB99" s="1"/>
      <c r="IC99" s="1"/>
      <c r="ID99" s="1"/>
      <c r="IE99" s="1"/>
      <c r="IF99" s="1"/>
      <c r="IG99" s="1"/>
      <c r="IH99" s="1"/>
      <c r="II99" s="1"/>
      <c r="IJ99" s="1"/>
      <c r="IK99" s="1"/>
      <c r="IL99" s="1"/>
      <c r="IM99" s="1"/>
      <c r="IN99" s="1"/>
      <c r="IO99" s="1"/>
      <c r="IP99" s="1"/>
      <c r="IQ99" s="1"/>
      <c r="IR99" s="1"/>
      <c r="IS99" s="1"/>
      <c r="IT99" s="1"/>
      <c r="IU99" s="1"/>
      <c r="IV99" s="1"/>
      <c r="IW99" s="1"/>
      <c r="IX99" s="1"/>
      <c r="IY99" s="1"/>
      <c r="IZ99" s="1"/>
      <c r="JA99" s="1"/>
      <c r="JB99" s="1"/>
      <c r="JC99" s="1"/>
      <c r="JD99" s="1"/>
    </row>
    <row r="100" spans="2:264" s="1044" customFormat="1" x14ac:dyDescent="0.2">
      <c r="B100" s="350"/>
      <c r="C100" s="1314"/>
      <c r="D100" s="1219"/>
      <c r="G100" s="1043"/>
      <c r="H100" s="1043"/>
      <c r="P100" s="1046"/>
      <c r="Q100" s="1044" t="s">
        <v>1094</v>
      </c>
      <c r="AE100" s="1221"/>
      <c r="AH100" s="1295">
        <f t="shared" ref="AH100:CF100" si="264">IF(AH98&gt;AH99,(AH98-AH99),0)</f>
        <v>0</v>
      </c>
      <c r="AI100" s="1295">
        <f t="shared" si="264"/>
        <v>4.1025060257440377E-3</v>
      </c>
      <c r="AJ100" s="1295">
        <f t="shared" si="264"/>
        <v>5.8897478563835898E-3</v>
      </c>
      <c r="AK100" s="1386">
        <f t="shared" si="264"/>
        <v>5.3814157151639147E-3</v>
      </c>
      <c r="AL100" s="1295">
        <f t="shared" ca="1" si="264"/>
        <v>3.8749937697724612E-3</v>
      </c>
      <c r="AM100" s="1295">
        <f t="shared" ref="AM100" ca="1" si="265">IF(AM98&gt;AM99,(AM98-AM99),0)</f>
        <v>9.715426814056044E-4</v>
      </c>
      <c r="AN100" s="1295">
        <f t="shared" ref="AN100" ca="1" si="266">IF(AN98&gt;AN99,(AN98-AN99),0)</f>
        <v>0</v>
      </c>
      <c r="AO100" s="1295">
        <f t="shared" ca="1" si="264"/>
        <v>4.2760989744636269E-4</v>
      </c>
      <c r="AP100" s="1295">
        <f t="shared" ca="1" si="264"/>
        <v>1.0396717545482215E-3</v>
      </c>
      <c r="AQ100" s="1295">
        <f t="shared" ca="1" si="264"/>
        <v>1.1318936381849443E-3</v>
      </c>
      <c r="AR100" s="1295">
        <f t="shared" ca="1" si="264"/>
        <v>1.1260086970241168E-3</v>
      </c>
      <c r="AS100" s="1295">
        <f t="shared" ca="1" si="264"/>
        <v>5.6930398722364328E-4</v>
      </c>
      <c r="AT100" s="1295">
        <f t="shared" ca="1" si="264"/>
        <v>4.3942754174741694E-4</v>
      </c>
      <c r="AU100" s="1295">
        <f t="shared" ca="1" si="264"/>
        <v>9.2439710549654941E-4</v>
      </c>
      <c r="AV100" s="1295">
        <f t="shared" ca="1" si="264"/>
        <v>3.0428518143186534E-3</v>
      </c>
      <c r="AW100" s="1295">
        <f t="shared" ca="1" si="264"/>
        <v>3.5568034398113374E-3</v>
      </c>
      <c r="AX100" s="1295">
        <f ca="1">IF(AX98&gt;AX99,(AX98-AX99),0)</f>
        <v>3.6814916251412116E-3</v>
      </c>
      <c r="AY100" s="1295">
        <f ca="1">IF(AY98&gt;AY99,(AY98-AY99),0)</f>
        <v>3.7117418331173851E-3</v>
      </c>
      <c r="AZ100" s="1295">
        <f ca="1">IF(AZ98&gt;AZ99,(AZ98-AZ99),0)</f>
        <v>3.7190807408108845E-3</v>
      </c>
      <c r="BA100" s="1295">
        <f t="shared" ca="1" si="264"/>
        <v>4.3690959296154575E-3</v>
      </c>
      <c r="BB100" s="1295">
        <f t="shared" ca="1" si="264"/>
        <v>4.4369519631906329E-3</v>
      </c>
      <c r="BC100" s="1295">
        <f t="shared" ca="1" si="264"/>
        <v>4.3603551079873376E-3</v>
      </c>
      <c r="BD100" s="1295">
        <f t="shared" ca="1" si="264"/>
        <v>4.2481684271067216E-3</v>
      </c>
      <c r="BE100" s="1295">
        <f t="shared" ca="1" si="264"/>
        <v>4.1273834016637839E-3</v>
      </c>
      <c r="BF100" s="1295">
        <f t="shared" ca="1" si="264"/>
        <v>4.004671106142707E-3</v>
      </c>
      <c r="BG100" s="1295">
        <f t="shared" ca="1" si="264"/>
        <v>3.8816747660087858E-3</v>
      </c>
      <c r="BH100" s="1295">
        <f t="shared" ca="1" si="264"/>
        <v>3.7587974458463541E-3</v>
      </c>
      <c r="BI100" s="1295">
        <f t="shared" ca="1" si="264"/>
        <v>3.6361372707333084E-3</v>
      </c>
      <c r="BJ100" s="1295">
        <f t="shared" ca="1" si="264"/>
        <v>3.5137176215818966E-3</v>
      </c>
      <c r="BK100" s="1295">
        <f t="shared" ca="1" si="264"/>
        <v>3.3915436179409175E-3</v>
      </c>
      <c r="BL100" s="1295">
        <f t="shared" ca="1" si="264"/>
        <v>3.2696159335738884E-3</v>
      </c>
      <c r="BM100" s="1295">
        <f t="shared" ca="1" si="264"/>
        <v>3.1479341650619552E-3</v>
      </c>
      <c r="BN100" s="1295">
        <f t="shared" ca="1" si="264"/>
        <v>3.0264976505536695E-3</v>
      </c>
      <c r="BO100" s="1295">
        <f t="shared" ca="1" si="264"/>
        <v>2.9053056681235256E-3</v>
      </c>
      <c r="BP100" s="1295">
        <f t="shared" ca="1" si="264"/>
        <v>2.7843574836679541E-3</v>
      </c>
      <c r="BQ100" s="1295">
        <f t="shared" ca="1" si="264"/>
        <v>2.6636523624241348E-3</v>
      </c>
      <c r="BR100" s="1295">
        <f t="shared" ca="1" si="264"/>
        <v>2.543189571722615E-3</v>
      </c>
      <c r="BS100" s="1295">
        <f t="shared" ca="1" si="264"/>
        <v>2.4229683816349157E-3</v>
      </c>
      <c r="BT100" s="1295">
        <f t="shared" ca="1" si="264"/>
        <v>2.3029880651162793E-3</v>
      </c>
      <c r="BU100" s="1295">
        <f t="shared" ca="1" si="264"/>
        <v>2.1832478980285952E-3</v>
      </c>
      <c r="BV100" s="1295">
        <f t="shared" ca="1" si="264"/>
        <v>2.0637471591344325E-3</v>
      </c>
      <c r="BW100" s="1295">
        <f t="shared" ca="1" si="264"/>
        <v>1.9444851300848415E-3</v>
      </c>
      <c r="BX100" s="1295">
        <f t="shared" ca="1" si="264"/>
        <v>1.8254610954052675E-3</v>
      </c>
      <c r="BY100" s="1295">
        <f t="shared" ca="1" si="264"/>
        <v>1.7066743424812847E-3</v>
      </c>
      <c r="BZ100" s="1295">
        <f t="shared" ca="1" si="264"/>
        <v>1.5881241615442049E-3</v>
      </c>
      <c r="CA100" s="1295">
        <f t="shared" ca="1" si="264"/>
        <v>1.4698098456570885E-3</v>
      </c>
      <c r="CB100" s="1295">
        <f t="shared" ca="1" si="264"/>
        <v>1.3517306907005894E-3</v>
      </c>
      <c r="CC100" s="1295">
        <f t="shared" ca="1" si="264"/>
        <v>1.2338859953586606E-3</v>
      </c>
      <c r="CD100" s="1295">
        <f t="shared" ca="1" si="264"/>
        <v>1.1162750611049682E-3</v>
      </c>
      <c r="CE100" s="1295">
        <f t="shared" ca="1" si="264"/>
        <v>9.9889719218869411E-4</v>
      </c>
      <c r="CF100" s="1295">
        <f t="shared" ca="1" si="264"/>
        <v>8.8175169562101918E-4</v>
      </c>
      <c r="CG100" s="1295">
        <f ca="1">IF(CG98&gt;CG99,(CG98-CG99),0)</f>
        <v>7.6483788116113449E-4</v>
      </c>
      <c r="CH100" s="1295">
        <f ca="1">IF(CH98&gt;CH99,(CH98-CH99),0)</f>
        <v>6.4815506130282141E-4</v>
      </c>
      <c r="CI100" s="1295">
        <f ca="1">IF(CI98&gt;CI99,(CI98-CI99),0)</f>
        <v>5.317025512608653E-4</v>
      </c>
      <c r="CJ100" s="1295">
        <f ca="1">IF(CJ98&gt;CJ99,(CJ98-CJ99),0)</f>
        <v>5.0585942777033044E-4</v>
      </c>
      <c r="ES100" s="1"/>
      <c r="ET100" s="1"/>
      <c r="EU100" s="1"/>
      <c r="EV100" s="1"/>
      <c r="EW100" s="1"/>
      <c r="EX100" s="1"/>
      <c r="EY100" s="1"/>
      <c r="EZ100" s="1"/>
      <c r="FA100" s="1"/>
      <c r="FB100" s="1"/>
      <c r="FC100" s="1"/>
      <c r="FD100" s="1"/>
      <c r="FE100" s="1"/>
      <c r="FF100" s="1"/>
      <c r="FG100" s="1"/>
      <c r="FH100" s="1"/>
      <c r="FI100" s="1"/>
      <c r="FJ100" s="1"/>
      <c r="FK100" s="1"/>
      <c r="FL100" s="1"/>
      <c r="FM100" s="1"/>
      <c r="FN100" s="1"/>
      <c r="FO100" s="1"/>
      <c r="FP100" s="1"/>
      <c r="FQ100" s="1"/>
      <c r="FR100" s="1"/>
      <c r="FS100" s="1"/>
      <c r="FT100" s="1"/>
      <c r="FU100" s="1"/>
      <c r="FV100" s="1"/>
      <c r="FW100" s="1"/>
      <c r="FX100" s="1"/>
      <c r="FY100" s="1"/>
      <c r="FZ100" s="1"/>
      <c r="GA100" s="1"/>
      <c r="GB100" s="1"/>
      <c r="GC100" s="1"/>
      <c r="GD100" s="1"/>
      <c r="GE100" s="1"/>
      <c r="GF100" s="1"/>
      <c r="GG100" s="1"/>
      <c r="GH100" s="1"/>
      <c r="GI100" s="1"/>
      <c r="GJ100" s="1"/>
      <c r="GK100" s="1"/>
      <c r="GL100" s="1"/>
      <c r="GM100" s="1"/>
      <c r="GN100" s="1"/>
      <c r="GO100" s="1"/>
      <c r="GP100" s="1"/>
      <c r="GQ100" s="1"/>
      <c r="GR100" s="1"/>
      <c r="GS100" s="1"/>
      <c r="GT100" s="1"/>
      <c r="GU100" s="1"/>
      <c r="GV100" s="1"/>
      <c r="GW100" s="1"/>
      <c r="GX100" s="1"/>
      <c r="GY100" s="1"/>
      <c r="GZ100" s="1"/>
      <c r="HA100" s="1"/>
      <c r="HB100" s="1"/>
      <c r="HC100" s="1"/>
      <c r="HD100" s="1"/>
      <c r="HE100" s="1"/>
      <c r="HF100" s="1"/>
      <c r="HG100" s="1"/>
      <c r="HH100" s="1"/>
      <c r="HI100" s="1"/>
      <c r="HJ100" s="1"/>
      <c r="HK100" s="1"/>
      <c r="HL100" s="1"/>
      <c r="HM100" s="1"/>
      <c r="HN100" s="1"/>
      <c r="HO100" s="1"/>
      <c r="HP100" s="1"/>
      <c r="HQ100" s="1"/>
      <c r="HR100" s="1"/>
      <c r="HS100" s="1"/>
      <c r="HT100" s="1"/>
      <c r="HU100" s="1"/>
      <c r="HV100" s="1"/>
      <c r="HW100" s="1"/>
      <c r="HX100" s="1"/>
      <c r="HY100" s="1"/>
      <c r="HZ100" s="1"/>
      <c r="IA100" s="1"/>
      <c r="IB100" s="1"/>
      <c r="IC100" s="1"/>
      <c r="ID100" s="1"/>
      <c r="IE100" s="1"/>
      <c r="IF100" s="1"/>
      <c r="IG100" s="1"/>
      <c r="IH100" s="1"/>
      <c r="II100" s="1"/>
      <c r="IJ100" s="1"/>
      <c r="IK100" s="1"/>
      <c r="IL100" s="1"/>
      <c r="IM100" s="1"/>
      <c r="IN100" s="1"/>
      <c r="IO100" s="1"/>
      <c r="IP100" s="1"/>
      <c r="IQ100" s="1"/>
      <c r="IR100" s="1"/>
      <c r="IS100" s="1"/>
      <c r="IT100" s="1"/>
      <c r="IU100" s="1"/>
      <c r="IV100" s="1"/>
      <c r="IW100" s="1"/>
      <c r="IX100" s="1"/>
      <c r="IY100" s="1"/>
      <c r="IZ100" s="1"/>
      <c r="JA100" s="1"/>
      <c r="JB100" s="1"/>
      <c r="JC100" s="1"/>
      <c r="JD100" s="1"/>
    </row>
    <row r="101" spans="2:264" s="1044" customFormat="1" x14ac:dyDescent="0.2">
      <c r="B101" s="350"/>
      <c r="C101" s="1315"/>
      <c r="D101" s="1219"/>
      <c r="G101" s="1043"/>
      <c r="H101" s="1043"/>
      <c r="P101" s="1046"/>
      <c r="Q101" s="1044" t="s">
        <v>750</v>
      </c>
      <c r="R101" s="1074"/>
      <c r="S101" s="1074"/>
      <c r="T101" s="1074"/>
      <c r="U101" s="1074"/>
      <c r="V101" s="1074"/>
      <c r="W101" s="1074"/>
      <c r="X101" s="1074"/>
      <c r="Y101" s="1254"/>
      <c r="Z101" s="1254"/>
      <c r="AA101" s="1254"/>
      <c r="AB101" s="1254"/>
      <c r="AC101" s="1254"/>
      <c r="AD101" s="1254"/>
      <c r="AE101" s="1255"/>
      <c r="AF101" s="1254"/>
      <c r="AG101" s="1254"/>
      <c r="AH101" s="1254">
        <f t="shared" ref="AH101:CF101" si="267">AH100</f>
        <v>0</v>
      </c>
      <c r="AI101" s="1254">
        <f t="shared" si="267"/>
        <v>4.1025060257440377E-3</v>
      </c>
      <c r="AJ101" s="1254">
        <f t="shared" si="267"/>
        <v>5.8897478563835898E-3</v>
      </c>
      <c r="AK101" s="1380">
        <f t="shared" si="267"/>
        <v>5.3814157151639147E-3</v>
      </c>
      <c r="AL101" s="1254">
        <f t="shared" ca="1" si="267"/>
        <v>3.8749937697724612E-3</v>
      </c>
      <c r="AM101" s="1254">
        <f t="shared" ref="AM101" ca="1" si="268">AM100</f>
        <v>9.715426814056044E-4</v>
      </c>
      <c r="AN101" s="1254">
        <f t="shared" ref="AN101" ca="1" si="269">AN100</f>
        <v>0</v>
      </c>
      <c r="AO101" s="1254">
        <f t="shared" ca="1" si="267"/>
        <v>4.2760989744636269E-4</v>
      </c>
      <c r="AP101" s="1254">
        <f t="shared" ca="1" si="267"/>
        <v>1.0396717545482215E-3</v>
      </c>
      <c r="AQ101" s="1254">
        <f t="shared" ca="1" si="267"/>
        <v>1.1318936381849443E-3</v>
      </c>
      <c r="AR101" s="1254">
        <f t="shared" ca="1" si="267"/>
        <v>1.1260086970241168E-3</v>
      </c>
      <c r="AS101" s="1254">
        <f t="shared" ca="1" si="267"/>
        <v>5.6930398722364328E-4</v>
      </c>
      <c r="AT101" s="1254">
        <f t="shared" ca="1" si="267"/>
        <v>4.3942754174741694E-4</v>
      </c>
      <c r="AU101" s="1254">
        <f t="shared" ca="1" si="267"/>
        <v>9.2439710549654941E-4</v>
      </c>
      <c r="AV101" s="1254">
        <f t="shared" ca="1" si="267"/>
        <v>3.0428518143186534E-3</v>
      </c>
      <c r="AW101" s="1254">
        <f t="shared" ca="1" si="267"/>
        <v>3.5568034398113374E-3</v>
      </c>
      <c r="AX101" s="1254">
        <f ca="1">AX100</f>
        <v>3.6814916251412116E-3</v>
      </c>
      <c r="AY101" s="1254">
        <f ca="1">AY100</f>
        <v>3.7117418331173851E-3</v>
      </c>
      <c r="AZ101" s="1254">
        <f ca="1">AZ100</f>
        <v>3.7190807408108845E-3</v>
      </c>
      <c r="BA101" s="1254">
        <f t="shared" ca="1" si="267"/>
        <v>4.3690959296154575E-3</v>
      </c>
      <c r="BB101" s="1254">
        <f t="shared" ca="1" si="267"/>
        <v>4.4369519631906329E-3</v>
      </c>
      <c r="BC101" s="1254">
        <f t="shared" ca="1" si="267"/>
        <v>4.3603551079873376E-3</v>
      </c>
      <c r="BD101" s="1254">
        <f t="shared" ca="1" si="267"/>
        <v>4.2481684271067216E-3</v>
      </c>
      <c r="BE101" s="1254">
        <f t="shared" ca="1" si="267"/>
        <v>4.1273834016637839E-3</v>
      </c>
      <c r="BF101" s="1254">
        <f t="shared" ca="1" si="267"/>
        <v>4.004671106142707E-3</v>
      </c>
      <c r="BG101" s="1254">
        <f t="shared" ca="1" si="267"/>
        <v>3.8816747660087858E-3</v>
      </c>
      <c r="BH101" s="1254">
        <f t="shared" ca="1" si="267"/>
        <v>3.7587974458463541E-3</v>
      </c>
      <c r="BI101" s="1254">
        <f t="shared" ca="1" si="267"/>
        <v>3.6361372707333084E-3</v>
      </c>
      <c r="BJ101" s="1254">
        <f t="shared" ca="1" si="267"/>
        <v>3.5137176215818966E-3</v>
      </c>
      <c r="BK101" s="1254">
        <f t="shared" ca="1" si="267"/>
        <v>3.3915436179409175E-3</v>
      </c>
      <c r="BL101" s="1254">
        <f t="shared" ca="1" si="267"/>
        <v>3.2696159335738884E-3</v>
      </c>
      <c r="BM101" s="1254">
        <f t="shared" ca="1" si="267"/>
        <v>3.1479341650619552E-3</v>
      </c>
      <c r="BN101" s="1254">
        <f t="shared" ca="1" si="267"/>
        <v>3.0264976505536695E-3</v>
      </c>
      <c r="BO101" s="1254">
        <f t="shared" ca="1" si="267"/>
        <v>2.9053056681235256E-3</v>
      </c>
      <c r="BP101" s="1254">
        <f t="shared" ca="1" si="267"/>
        <v>2.7843574836679541E-3</v>
      </c>
      <c r="BQ101" s="1254">
        <f t="shared" ca="1" si="267"/>
        <v>2.6636523624241348E-3</v>
      </c>
      <c r="BR101" s="1254">
        <f t="shared" ca="1" si="267"/>
        <v>2.543189571722615E-3</v>
      </c>
      <c r="BS101" s="1254">
        <f t="shared" ca="1" si="267"/>
        <v>2.4229683816349157E-3</v>
      </c>
      <c r="BT101" s="1254">
        <f t="shared" ca="1" si="267"/>
        <v>2.3029880651162793E-3</v>
      </c>
      <c r="BU101" s="1254">
        <f t="shared" ca="1" si="267"/>
        <v>2.1832478980285952E-3</v>
      </c>
      <c r="BV101" s="1254">
        <f t="shared" ca="1" si="267"/>
        <v>2.0637471591344325E-3</v>
      </c>
      <c r="BW101" s="1254">
        <f t="shared" ca="1" si="267"/>
        <v>1.9444851300848415E-3</v>
      </c>
      <c r="BX101" s="1254">
        <f t="shared" ca="1" si="267"/>
        <v>1.8254610954052675E-3</v>
      </c>
      <c r="BY101" s="1254">
        <f t="shared" ca="1" si="267"/>
        <v>1.7066743424812847E-3</v>
      </c>
      <c r="BZ101" s="1254">
        <f t="shared" ca="1" si="267"/>
        <v>1.5881241615442049E-3</v>
      </c>
      <c r="CA101" s="1254">
        <f t="shared" ca="1" si="267"/>
        <v>1.4698098456570885E-3</v>
      </c>
      <c r="CB101" s="1254">
        <f t="shared" ca="1" si="267"/>
        <v>1.3517306907005894E-3</v>
      </c>
      <c r="CC101" s="1254">
        <f t="shared" ca="1" si="267"/>
        <v>1.2338859953586606E-3</v>
      </c>
      <c r="CD101" s="1254">
        <f t="shared" ca="1" si="267"/>
        <v>1.1162750611049682E-3</v>
      </c>
      <c r="CE101" s="1254">
        <f t="shared" ca="1" si="267"/>
        <v>9.9889719218869411E-4</v>
      </c>
      <c r="CF101" s="1254">
        <f t="shared" ca="1" si="267"/>
        <v>8.8175169562101918E-4</v>
      </c>
      <c r="CG101" s="1254">
        <f ca="1">CG100</f>
        <v>7.6483788116113449E-4</v>
      </c>
      <c r="CH101" s="1254">
        <f ca="1">CH100</f>
        <v>6.4815506130282141E-4</v>
      </c>
      <c r="CI101" s="1254">
        <f ca="1">CI100</f>
        <v>5.317025512608653E-4</v>
      </c>
      <c r="CJ101" s="1254">
        <f ca="1">CJ100</f>
        <v>5.0585942777033044E-4</v>
      </c>
      <c r="ES101" s="1"/>
      <c r="ET101" s="1"/>
      <c r="EU101" s="1"/>
      <c r="EV101" s="1"/>
      <c r="EW101" s="1"/>
      <c r="EX101" s="1"/>
      <c r="EY101" s="1"/>
      <c r="EZ101" s="1"/>
      <c r="FA101" s="1"/>
      <c r="FB101" s="1"/>
      <c r="FC101" s="1"/>
      <c r="FD101" s="1"/>
      <c r="FE101" s="1"/>
      <c r="FF101" s="1"/>
      <c r="FG101" s="1"/>
      <c r="FH101" s="1"/>
      <c r="FI101" s="1"/>
      <c r="FJ101" s="1"/>
      <c r="FK101" s="1"/>
      <c r="FL101" s="1"/>
      <c r="FM101" s="1"/>
      <c r="FN101" s="1"/>
      <c r="FO101" s="1"/>
      <c r="FP101" s="1"/>
      <c r="FQ101" s="1"/>
      <c r="FR101" s="1"/>
      <c r="FS101" s="1"/>
      <c r="FT101" s="1"/>
      <c r="FU101" s="1"/>
      <c r="FV101" s="1"/>
      <c r="FW101" s="1"/>
      <c r="FX101" s="1"/>
      <c r="FY101" s="1"/>
      <c r="FZ101" s="1"/>
      <c r="GA101" s="1"/>
      <c r="GB101" s="1"/>
      <c r="GC101" s="1"/>
      <c r="GD101" s="1"/>
      <c r="GE101" s="1"/>
      <c r="GF101" s="1"/>
      <c r="GG101" s="1"/>
      <c r="GH101" s="1"/>
      <c r="GI101" s="1"/>
      <c r="GJ101" s="1"/>
      <c r="GK101" s="1"/>
      <c r="GL101" s="1"/>
      <c r="GM101" s="1"/>
      <c r="GN101" s="1"/>
      <c r="GO101" s="1"/>
      <c r="GP101" s="1"/>
      <c r="GQ101" s="1"/>
      <c r="GR101" s="1"/>
      <c r="GS101" s="1"/>
      <c r="GT101" s="1"/>
      <c r="GU101" s="1"/>
      <c r="GV101" s="1"/>
      <c r="GW101" s="1"/>
      <c r="GX101" s="1"/>
      <c r="GY101" s="1"/>
      <c r="GZ101" s="1"/>
      <c r="HA101" s="1"/>
      <c r="HB101" s="1"/>
      <c r="HC101" s="1"/>
      <c r="HD101" s="1"/>
      <c r="HE101" s="1"/>
      <c r="HF101" s="1"/>
      <c r="HG101" s="1"/>
      <c r="HH101" s="1"/>
      <c r="HI101" s="1"/>
      <c r="HJ101" s="1"/>
      <c r="HK101" s="1"/>
      <c r="HL101" s="1"/>
      <c r="HM101" s="1"/>
      <c r="HN101" s="1"/>
      <c r="HO101" s="1"/>
      <c r="HP101" s="1"/>
      <c r="HQ101" s="1"/>
      <c r="HR101" s="1"/>
      <c r="HS101" s="1"/>
      <c r="HT101" s="1"/>
      <c r="HU101" s="1"/>
      <c r="HV101" s="1"/>
      <c r="HW101" s="1"/>
      <c r="HX101" s="1"/>
      <c r="HY101" s="1"/>
      <c r="HZ101" s="1"/>
      <c r="IA101" s="1"/>
      <c r="IB101" s="1"/>
      <c r="IC101" s="1"/>
      <c r="ID101" s="1"/>
      <c r="IE101" s="1"/>
      <c r="IF101" s="1"/>
      <c r="IG101" s="1"/>
      <c r="IH101" s="1"/>
      <c r="II101" s="1"/>
      <c r="IJ101" s="1"/>
      <c r="IK101" s="1"/>
      <c r="IL101" s="1"/>
      <c r="IM101" s="1"/>
      <c r="IN101" s="1"/>
      <c r="IO101" s="1"/>
      <c r="IP101" s="1"/>
      <c r="IQ101" s="1"/>
      <c r="IR101" s="1"/>
      <c r="IS101" s="1"/>
      <c r="IT101" s="1"/>
      <c r="IU101" s="1"/>
      <c r="IV101" s="1"/>
      <c r="IW101" s="1"/>
      <c r="IX101" s="1"/>
      <c r="IY101" s="1"/>
      <c r="IZ101" s="1"/>
      <c r="JA101" s="1"/>
      <c r="JB101" s="1"/>
      <c r="JC101" s="1"/>
      <c r="JD101" s="1"/>
    </row>
    <row r="102" spans="2:264" s="1044" customFormat="1" x14ac:dyDescent="0.2">
      <c r="B102" s="350"/>
      <c r="C102" s="1316"/>
      <c r="D102" s="1219"/>
      <c r="G102" s="1043"/>
      <c r="H102" s="1043"/>
      <c r="P102" s="1046"/>
      <c r="Q102" s="1044" t="s">
        <v>750</v>
      </c>
      <c r="R102" s="1074"/>
      <c r="S102" s="1074"/>
      <c r="T102" s="1074"/>
      <c r="U102" s="1074"/>
      <c r="V102" s="1074"/>
      <c r="W102" s="1074"/>
      <c r="X102" s="1074"/>
      <c r="Y102" s="1254"/>
      <c r="Z102" s="1254"/>
      <c r="AA102" s="1254"/>
      <c r="AB102" s="1254"/>
      <c r="AC102" s="1254"/>
      <c r="AD102" s="1254"/>
      <c r="AE102" s="1255"/>
      <c r="AF102" s="1254"/>
      <c r="AG102" s="1254"/>
      <c r="AH102" s="1300">
        <f t="shared" ref="AH102:CJ102" si="270">+AH101*AH36</f>
        <v>0</v>
      </c>
      <c r="AI102" s="1300">
        <f t="shared" si="270"/>
        <v>1919.9400000000037</v>
      </c>
      <c r="AJ102" s="1300">
        <f t="shared" si="270"/>
        <v>2753.7575000000038</v>
      </c>
      <c r="AK102" s="1387">
        <f t="shared" si="270"/>
        <v>2669.9625000000005</v>
      </c>
      <c r="AL102" s="1300">
        <f t="shared" ca="1" si="270"/>
        <v>2021.7444438686059</v>
      </c>
      <c r="AM102" s="1300">
        <f t="shared" ref="AM102" ca="1" si="271">+AM101*AM36</f>
        <v>537.85863828083586</v>
      </c>
      <c r="AN102" s="1300">
        <f t="shared" ref="AN102" ca="1" si="272">+AN101*AN36</f>
        <v>0</v>
      </c>
      <c r="AO102" s="1300">
        <f t="shared" ca="1" si="270"/>
        <v>259.01842084129032</v>
      </c>
      <c r="AP102" s="1300">
        <f t="shared" ca="1" si="270"/>
        <v>656.43272151344627</v>
      </c>
      <c r="AQ102" s="1300">
        <f t="shared" ca="1" si="270"/>
        <v>744.92768532962839</v>
      </c>
      <c r="AR102" s="1300">
        <f t="shared" ca="1" si="270"/>
        <v>772.44613074182007</v>
      </c>
      <c r="AS102" s="1300">
        <f t="shared" ca="1" si="270"/>
        <v>407.09154136419841</v>
      </c>
      <c r="AT102" s="1300">
        <f t="shared" ca="1" si="270"/>
        <v>327.53668686298926</v>
      </c>
      <c r="AU102" s="1300">
        <f t="shared" ca="1" si="270"/>
        <v>718.22332234877149</v>
      </c>
      <c r="AV102" s="1300">
        <f t="shared" ca="1" si="270"/>
        <v>2435.1120749892707</v>
      </c>
      <c r="AW102" s="1300">
        <f t="shared" ca="1" si="270"/>
        <v>2931.8060816527068</v>
      </c>
      <c r="AX102" s="1300">
        <f t="shared" ca="1" si="270"/>
        <v>3125.6217303974704</v>
      </c>
      <c r="AY102" s="1300">
        <f t="shared" ca="1" si="270"/>
        <v>3245.8435807782671</v>
      </c>
      <c r="AZ102" s="1300">
        <f t="shared" ca="1" si="270"/>
        <v>3349.8291471912785</v>
      </c>
      <c r="BA102" s="1300">
        <f t="shared" ca="1" si="270"/>
        <v>4053.3663260483127</v>
      </c>
      <c r="BB102" s="1300">
        <f t="shared" ca="1" si="270"/>
        <v>4239.8083554686291</v>
      </c>
      <c r="BC102" s="1300">
        <f t="shared" ca="1" si="270"/>
        <v>4291.6133143239431</v>
      </c>
      <c r="BD102" s="1300">
        <f t="shared" ca="1" si="270"/>
        <v>4306.6311352396851</v>
      </c>
      <c r="BE102" s="1300">
        <f t="shared" ca="1" si="270"/>
        <v>4309.70939941904</v>
      </c>
      <c r="BF102" s="1300">
        <f t="shared" ca="1" si="270"/>
        <v>4307.0236125364227</v>
      </c>
      <c r="BG102" s="1300">
        <f t="shared" ca="1" si="270"/>
        <v>4299.9832853126691</v>
      </c>
      <c r="BH102" s="1300">
        <f t="shared" ca="1" si="270"/>
        <v>4288.7800187425719</v>
      </c>
      <c r="BI102" s="1300">
        <f t="shared" ca="1" si="270"/>
        <v>4273.2897661297711</v>
      </c>
      <c r="BJ102" s="1300">
        <f t="shared" ca="1" si="270"/>
        <v>4253.3013493349363</v>
      </c>
      <c r="BK102" s="1300">
        <f t="shared" ca="1" si="270"/>
        <v>4228.5739373736933</v>
      </c>
      <c r="BL102" s="1300">
        <f t="shared" ca="1" si="270"/>
        <v>4198.8512334793586</v>
      </c>
      <c r="BM102" s="1300">
        <f t="shared" ca="1" si="270"/>
        <v>4163.8647309127491</v>
      </c>
      <c r="BN102" s="1300">
        <f t="shared" ca="1" si="270"/>
        <v>4123.3342088763729</v>
      </c>
      <c r="BO102" s="1300">
        <f t="shared" ca="1" si="270"/>
        <v>4076.9675250920327</v>
      </c>
      <c r="BP102" s="1300">
        <f t="shared" ca="1" si="270"/>
        <v>4024.4602206995501</v>
      </c>
      <c r="BQ102" s="1300">
        <f t="shared" ca="1" si="270"/>
        <v>3965.4950660406957</v>
      </c>
      <c r="BR102" s="1300">
        <f t="shared" ca="1" si="270"/>
        <v>3899.741578956965</v>
      </c>
      <c r="BS102" s="1300">
        <f t="shared" ca="1" si="270"/>
        <v>3826.855523018814</v>
      </c>
      <c r="BT102" s="1300">
        <f t="shared" ca="1" si="270"/>
        <v>3746.4783870619767</v>
      </c>
      <c r="BU102" s="1300">
        <f t="shared" ca="1" si="270"/>
        <v>3658.2368458970382</v>
      </c>
      <c r="BV102" s="1300">
        <f t="shared" ca="1" si="270"/>
        <v>3561.74220166541</v>
      </c>
      <c r="BW102" s="1300">
        <f t="shared" ca="1" si="270"/>
        <v>3456.58980520461</v>
      </c>
      <c r="BX102" s="1300">
        <f t="shared" ca="1" si="270"/>
        <v>3342.3584567382013</v>
      </c>
      <c r="BY102" s="1300">
        <f t="shared" ca="1" si="270"/>
        <v>3218.6097851790955</v>
      </c>
      <c r="BZ102" s="1300">
        <f t="shared" ca="1" si="270"/>
        <v>3084.8876053083486</v>
      </c>
      <c r="CA102" s="1300">
        <f t="shared" ca="1" si="270"/>
        <v>2940.7172520676791</v>
      </c>
      <c r="CB102" s="1300">
        <f t="shared" ca="1" si="270"/>
        <v>2785.6048911762268</v>
      </c>
      <c r="CC102" s="1300">
        <f t="shared" ca="1" si="270"/>
        <v>2619.0368052565345</v>
      </c>
      <c r="CD102" s="1300">
        <f t="shared" ca="1" si="270"/>
        <v>2440.4786546291189</v>
      </c>
      <c r="CE102" s="1300">
        <f t="shared" ca="1" si="270"/>
        <v>2249.3747119022305</v>
      </c>
      <c r="CF102" s="1300">
        <f t="shared" ca="1" si="270"/>
        <v>2045.147069459508</v>
      </c>
      <c r="CG102" s="1300">
        <f t="shared" ca="1" si="270"/>
        <v>1827.1948189128682</v>
      </c>
      <c r="CH102" s="1300">
        <f t="shared" ca="1" si="270"/>
        <v>1594.8932015615158</v>
      </c>
      <c r="CI102" s="1300">
        <f t="shared" ca="1" si="270"/>
        <v>1347.5927288617647</v>
      </c>
      <c r="CJ102" s="1300">
        <f t="shared" ca="1" si="270"/>
        <v>1320.556502174215</v>
      </c>
      <c r="ES102" s="1"/>
      <c r="ET102" s="1"/>
      <c r="EU102" s="1"/>
      <c r="EV102" s="1"/>
      <c r="EW102" s="1"/>
      <c r="EX102" s="1"/>
      <c r="EY102" s="1"/>
      <c r="EZ102" s="1"/>
      <c r="FA102" s="1"/>
      <c r="FB102" s="1"/>
      <c r="FC102" s="1"/>
      <c r="FD102" s="1"/>
      <c r="FE102" s="1"/>
      <c r="FF102" s="1"/>
      <c r="FG102" s="1"/>
      <c r="FH102" s="1"/>
      <c r="FI102" s="1"/>
      <c r="FJ102" s="1"/>
      <c r="FK102" s="1"/>
      <c r="FL102" s="1"/>
      <c r="FM102" s="1"/>
      <c r="FN102" s="1"/>
      <c r="FO102" s="1"/>
      <c r="FP102" s="1"/>
      <c r="FQ102" s="1"/>
      <c r="FR102" s="1"/>
      <c r="FS102" s="1"/>
      <c r="FT102" s="1"/>
      <c r="FU102" s="1"/>
      <c r="FV102" s="1"/>
      <c r="FW102" s="1"/>
      <c r="FX102" s="1"/>
      <c r="FY102" s="1"/>
      <c r="FZ102" s="1"/>
      <c r="GA102" s="1"/>
      <c r="GB102" s="1"/>
      <c r="GC102" s="1"/>
      <c r="GD102" s="1"/>
      <c r="GE102" s="1"/>
      <c r="GF102" s="1"/>
      <c r="GG102" s="1"/>
      <c r="GH102" s="1"/>
      <c r="GI102" s="1"/>
      <c r="GJ102" s="1"/>
      <c r="GK102" s="1"/>
      <c r="GL102" s="1"/>
      <c r="GM102" s="1"/>
      <c r="GN102" s="1"/>
      <c r="GO102" s="1"/>
      <c r="GP102" s="1"/>
      <c r="GQ102" s="1"/>
      <c r="GR102" s="1"/>
      <c r="GS102" s="1"/>
      <c r="GT102" s="1"/>
      <c r="GU102" s="1"/>
      <c r="GV102" s="1"/>
      <c r="GW102" s="1"/>
      <c r="GX102" s="1"/>
      <c r="GY102" s="1"/>
      <c r="GZ102" s="1"/>
      <c r="HA102" s="1"/>
      <c r="HB102" s="1"/>
      <c r="HC102" s="1"/>
      <c r="HD102" s="1"/>
      <c r="HE102" s="1"/>
      <c r="HF102" s="1"/>
      <c r="HG102" s="1"/>
      <c r="HH102" s="1"/>
      <c r="HI102" s="1"/>
      <c r="HJ102" s="1"/>
      <c r="HK102" s="1"/>
      <c r="HL102" s="1"/>
      <c r="HM102" s="1"/>
      <c r="HN102" s="1"/>
      <c r="HO102" s="1"/>
      <c r="HP102" s="1"/>
      <c r="HQ102" s="1"/>
      <c r="HR102" s="1"/>
      <c r="HS102" s="1"/>
      <c r="HT102" s="1"/>
      <c r="HU102" s="1"/>
      <c r="HV102" s="1"/>
      <c r="HW102" s="1"/>
      <c r="HX102" s="1"/>
      <c r="HY102" s="1"/>
      <c r="HZ102" s="1"/>
      <c r="IA102" s="1"/>
      <c r="IB102" s="1"/>
      <c r="IC102" s="1"/>
      <c r="ID102" s="1"/>
      <c r="IE102" s="1"/>
      <c r="IF102" s="1"/>
      <c r="IG102" s="1"/>
      <c r="IH102" s="1"/>
      <c r="II102" s="1"/>
      <c r="IJ102" s="1"/>
      <c r="IK102" s="1"/>
      <c r="IL102" s="1"/>
      <c r="IM102" s="1"/>
      <c r="IN102" s="1"/>
      <c r="IO102" s="1"/>
      <c r="IP102" s="1"/>
      <c r="IQ102" s="1"/>
      <c r="IR102" s="1"/>
      <c r="IS102" s="1"/>
      <c r="IT102" s="1"/>
      <c r="IU102" s="1"/>
      <c r="IV102" s="1"/>
      <c r="IW102" s="1"/>
      <c r="IX102" s="1"/>
      <c r="IY102" s="1"/>
      <c r="IZ102" s="1"/>
      <c r="JA102" s="1"/>
      <c r="JB102" s="1"/>
      <c r="JC102" s="1"/>
      <c r="JD102" s="1"/>
    </row>
    <row r="103" spans="2:264" s="1044" customFormat="1" x14ac:dyDescent="0.2">
      <c r="B103" s="350"/>
      <c r="C103" s="1317"/>
      <c r="D103" s="1315"/>
      <c r="G103" s="1043"/>
      <c r="H103" s="1043"/>
      <c r="P103" s="1046"/>
      <c r="Q103" s="1047"/>
      <c r="R103" s="1074"/>
      <c r="S103" s="1074"/>
      <c r="T103" s="1074"/>
      <c r="U103" s="1074"/>
      <c r="V103" s="1074"/>
      <c r="W103" s="1074"/>
      <c r="X103" s="1074"/>
      <c r="Y103" s="1074"/>
      <c r="Z103" s="1074"/>
      <c r="AA103" s="1074"/>
      <c r="AB103" s="1074"/>
      <c r="AC103" s="1074"/>
      <c r="AD103" s="1074"/>
      <c r="AE103" s="1279"/>
      <c r="AF103" s="1074"/>
      <c r="AG103" s="1074"/>
      <c r="AH103" s="1074"/>
      <c r="AI103" s="1074"/>
      <c r="AJ103" s="1074"/>
      <c r="AK103" s="1364"/>
      <c r="AL103" s="1074"/>
      <c r="AM103" s="1074"/>
      <c r="AN103" s="1074"/>
      <c r="AO103" s="1074"/>
      <c r="AP103" s="1074"/>
      <c r="AQ103" s="1074"/>
      <c r="AR103" s="1074"/>
      <c r="AS103" s="1074"/>
      <c r="AT103" s="1074"/>
      <c r="AU103" s="1074"/>
      <c r="AV103" s="1074"/>
      <c r="AW103" s="1074"/>
      <c r="AX103" s="1074"/>
      <c r="AY103" s="1074"/>
      <c r="AZ103" s="1074"/>
      <c r="BA103" s="1074"/>
      <c r="BB103" s="1074"/>
      <c r="BC103" s="1074"/>
      <c r="BD103" s="1074"/>
      <c r="BE103" s="1074"/>
      <c r="BF103" s="1074"/>
      <c r="BG103" s="1074"/>
      <c r="BH103" s="1074"/>
      <c r="BI103" s="1074"/>
      <c r="BJ103" s="1074"/>
      <c r="BK103" s="1074"/>
      <c r="BL103" s="1074"/>
      <c r="BM103" s="1074"/>
      <c r="BN103" s="1074"/>
      <c r="BO103" s="1074"/>
      <c r="BP103" s="1074"/>
      <c r="BQ103" s="1074"/>
      <c r="BR103" s="1074"/>
      <c r="BS103" s="1074"/>
      <c r="BT103" s="1074"/>
      <c r="BU103" s="1074"/>
      <c r="BV103" s="1074"/>
      <c r="BW103" s="1074"/>
      <c r="BX103" s="1074"/>
      <c r="BY103" s="1074"/>
      <c r="BZ103" s="1074"/>
      <c r="CA103" s="1074"/>
      <c r="CB103" s="1074"/>
      <c r="CC103" s="1074"/>
      <c r="CD103" s="1074"/>
      <c r="CE103" s="1074"/>
      <c r="CF103" s="1074"/>
      <c r="CG103" s="1074"/>
      <c r="CH103" s="1074"/>
      <c r="CI103" s="1074"/>
      <c r="CJ103" s="1074"/>
      <c r="ES103" s="1"/>
      <c r="ET103" s="1"/>
      <c r="EU103" s="1"/>
      <c r="EV103" s="1"/>
      <c r="EW103" s="1"/>
      <c r="EX103" s="1"/>
      <c r="EY103" s="1"/>
      <c r="EZ103" s="1"/>
      <c r="FA103" s="1"/>
      <c r="FB103" s="1"/>
      <c r="FC103" s="1"/>
      <c r="FD103" s="1"/>
      <c r="FE103" s="1"/>
      <c r="FF103" s="1"/>
      <c r="FG103" s="1"/>
      <c r="FH103" s="1"/>
      <c r="FI103" s="1"/>
      <c r="FJ103" s="1"/>
      <c r="FK103" s="1"/>
      <c r="FL103" s="1"/>
      <c r="FM103" s="1"/>
      <c r="FN103" s="1"/>
      <c r="FO103" s="1"/>
      <c r="FP103" s="1"/>
      <c r="FQ103" s="1"/>
      <c r="FR103" s="1"/>
      <c r="FS103" s="1"/>
      <c r="FT103" s="1"/>
      <c r="FU103" s="1"/>
      <c r="FV103" s="1"/>
      <c r="FW103" s="1"/>
      <c r="FX103" s="1"/>
      <c r="FY103" s="1"/>
      <c r="FZ103" s="1"/>
      <c r="GA103" s="1"/>
      <c r="GB103" s="1"/>
      <c r="GC103" s="1"/>
      <c r="GD103" s="1"/>
      <c r="GE103" s="1"/>
      <c r="GF103" s="1"/>
      <c r="GG103" s="1"/>
      <c r="GH103" s="1"/>
      <c r="GI103" s="1"/>
      <c r="GJ103" s="1"/>
      <c r="GK103" s="1"/>
      <c r="GL103" s="1"/>
      <c r="GM103" s="1"/>
      <c r="GN103" s="1"/>
      <c r="GO103" s="1"/>
      <c r="GP103" s="1"/>
      <c r="GQ103" s="1"/>
      <c r="GR103" s="1"/>
      <c r="GS103" s="1"/>
      <c r="GT103" s="1"/>
      <c r="GU103" s="1"/>
      <c r="GV103" s="1"/>
      <c r="GW103" s="1"/>
      <c r="GX103" s="1"/>
      <c r="GY103" s="1"/>
      <c r="GZ103" s="1"/>
      <c r="HA103" s="1"/>
      <c r="HB103" s="1"/>
      <c r="HC103" s="1"/>
      <c r="HD103" s="1"/>
      <c r="HE103" s="1"/>
      <c r="HF103" s="1"/>
      <c r="HG103" s="1"/>
      <c r="HH103" s="1"/>
      <c r="HI103" s="1"/>
      <c r="HJ103" s="1"/>
      <c r="HK103" s="1"/>
      <c r="HL103" s="1"/>
      <c r="HM103" s="1"/>
      <c r="HN103" s="1"/>
      <c r="HO103" s="1"/>
      <c r="HP103" s="1"/>
      <c r="HQ103" s="1"/>
      <c r="HR103" s="1"/>
      <c r="HS103" s="1"/>
      <c r="HT103" s="1"/>
      <c r="HU103" s="1"/>
      <c r="HV103" s="1"/>
      <c r="HW103" s="1"/>
      <c r="HX103" s="1"/>
      <c r="HY103" s="1"/>
      <c r="HZ103" s="1"/>
      <c r="IA103" s="1"/>
      <c r="IB103" s="1"/>
      <c r="IC103" s="1"/>
      <c r="ID103" s="1"/>
      <c r="IE103" s="1"/>
      <c r="IF103" s="1"/>
      <c r="IG103" s="1"/>
      <c r="IH103" s="1"/>
      <c r="II103" s="1"/>
      <c r="IJ103" s="1"/>
      <c r="IK103" s="1"/>
      <c r="IL103" s="1"/>
      <c r="IM103" s="1"/>
      <c r="IN103" s="1"/>
      <c r="IO103" s="1"/>
      <c r="IP103" s="1"/>
      <c r="IQ103" s="1"/>
      <c r="IR103" s="1"/>
      <c r="IS103" s="1"/>
      <c r="IT103" s="1"/>
      <c r="IU103" s="1"/>
      <c r="IV103" s="1"/>
      <c r="IW103" s="1"/>
      <c r="IX103" s="1"/>
      <c r="IY103" s="1"/>
      <c r="IZ103" s="1"/>
      <c r="JA103" s="1"/>
      <c r="JB103" s="1"/>
      <c r="JC103" s="1"/>
      <c r="JD103" s="1"/>
    </row>
    <row r="104" spans="2:264" s="1044" customFormat="1" x14ac:dyDescent="0.2">
      <c r="B104" s="350"/>
      <c r="C104" s="1318"/>
      <c r="D104" s="1316"/>
      <c r="G104" s="1043"/>
      <c r="H104" s="1043"/>
      <c r="P104" s="1046"/>
      <c r="Q104" s="1047"/>
      <c r="R104" s="1074"/>
      <c r="S104" s="1074"/>
      <c r="T104" s="1074"/>
      <c r="U104" s="1074"/>
      <c r="V104" s="1074"/>
      <c r="W104" s="1074"/>
      <c r="X104" s="1074"/>
      <c r="Y104" s="1074"/>
      <c r="Z104" s="1074"/>
      <c r="AA104" s="1074"/>
      <c r="AB104" s="1074"/>
      <c r="AC104" s="1074"/>
      <c r="AD104" s="1074"/>
      <c r="AE104" s="1279"/>
      <c r="AF104" s="1074"/>
      <c r="AG104" s="1074"/>
      <c r="AH104" s="1074"/>
      <c r="AI104" s="1074"/>
      <c r="AJ104" s="1074"/>
      <c r="AK104" s="1364"/>
      <c r="AL104" s="1074"/>
      <c r="AM104" s="1074"/>
      <c r="AN104" s="1074"/>
      <c r="AO104" s="1074"/>
      <c r="AP104" s="1074"/>
      <c r="AQ104" s="1074"/>
      <c r="AR104" s="1074"/>
      <c r="AS104" s="1074"/>
      <c r="AT104" s="1074"/>
      <c r="AU104" s="1074"/>
      <c r="AV104" s="1074"/>
      <c r="AW104" s="1074"/>
      <c r="AX104" s="1074"/>
      <c r="AY104" s="1074"/>
      <c r="AZ104" s="1074"/>
      <c r="BA104" s="1074"/>
      <c r="BB104" s="1074"/>
      <c r="BC104" s="1074"/>
      <c r="BD104" s="1074"/>
      <c r="BE104" s="1074"/>
      <c r="BF104" s="1074"/>
      <c r="BG104" s="1074"/>
      <c r="BH104" s="1074"/>
      <c r="BI104" s="1074"/>
      <c r="BJ104" s="1074"/>
      <c r="BK104" s="1074"/>
      <c r="BL104" s="1074"/>
      <c r="BM104" s="1074"/>
      <c r="BN104" s="1074"/>
      <c r="BO104" s="1074"/>
      <c r="BP104" s="1074"/>
      <c r="BQ104" s="1074"/>
      <c r="BR104" s="1074"/>
      <c r="BS104" s="1074"/>
      <c r="BT104" s="1074"/>
      <c r="BU104" s="1074"/>
      <c r="BV104" s="1074"/>
      <c r="BW104" s="1074"/>
      <c r="BX104" s="1074"/>
      <c r="BY104" s="1074"/>
      <c r="BZ104" s="1074"/>
      <c r="CA104" s="1074"/>
      <c r="CB104" s="1074"/>
      <c r="CC104" s="1074"/>
      <c r="CD104" s="1074"/>
      <c r="CE104" s="1074"/>
      <c r="CF104" s="1074"/>
      <c r="CG104" s="1074"/>
      <c r="CH104" s="1074"/>
      <c r="CI104" s="1074"/>
      <c r="CJ104" s="1074"/>
      <c r="ES104" s="1"/>
      <c r="ET104" s="1"/>
      <c r="EU104" s="1"/>
      <c r="EV104" s="1"/>
      <c r="EW104" s="1"/>
      <c r="EX104" s="1"/>
      <c r="EY104" s="1"/>
      <c r="EZ104" s="1"/>
      <c r="FA104" s="1"/>
      <c r="FB104" s="1"/>
      <c r="FC104" s="1"/>
      <c r="FD104" s="1"/>
      <c r="FE104" s="1"/>
      <c r="FF104" s="1"/>
      <c r="FG104" s="1"/>
      <c r="FH104" s="1"/>
      <c r="FI104" s="1"/>
      <c r="FJ104" s="1"/>
      <c r="FK104" s="1"/>
      <c r="FL104" s="1"/>
      <c r="FM104" s="1"/>
      <c r="FN104" s="1"/>
      <c r="FO104" s="1"/>
      <c r="FP104" s="1"/>
      <c r="FQ104" s="1"/>
      <c r="FR104" s="1"/>
      <c r="FS104" s="1"/>
      <c r="FT104" s="1"/>
      <c r="FU104" s="1"/>
      <c r="FV104" s="1"/>
      <c r="FW104" s="1"/>
      <c r="FX104" s="1"/>
      <c r="FY104" s="1"/>
      <c r="FZ104" s="1"/>
      <c r="GA104" s="1"/>
      <c r="GB104" s="1"/>
      <c r="GC104" s="1"/>
      <c r="GD104" s="1"/>
      <c r="GE104" s="1"/>
      <c r="GF104" s="1"/>
      <c r="GG104" s="1"/>
      <c r="GH104" s="1"/>
      <c r="GI104" s="1"/>
      <c r="GJ104" s="1"/>
      <c r="GK104" s="1"/>
      <c r="GL104" s="1"/>
      <c r="GM104" s="1"/>
      <c r="GN104" s="1"/>
      <c r="GO104" s="1"/>
      <c r="GP104" s="1"/>
      <c r="GQ104" s="1"/>
      <c r="GR104" s="1"/>
      <c r="GS104" s="1"/>
      <c r="GT104" s="1"/>
      <c r="GU104" s="1"/>
      <c r="GV104" s="1"/>
      <c r="GW104" s="1"/>
      <c r="GX104" s="1"/>
      <c r="GY104" s="1"/>
      <c r="GZ104" s="1"/>
      <c r="HA104" s="1"/>
      <c r="HB104" s="1"/>
      <c r="HC104" s="1"/>
      <c r="HD104" s="1"/>
      <c r="HE104" s="1"/>
      <c r="HF104" s="1"/>
      <c r="HG104" s="1"/>
      <c r="HH104" s="1"/>
      <c r="HI104" s="1"/>
      <c r="HJ104" s="1"/>
      <c r="HK104" s="1"/>
      <c r="HL104" s="1"/>
      <c r="HM104" s="1"/>
      <c r="HN104" s="1"/>
      <c r="HO104" s="1"/>
      <c r="HP104" s="1"/>
      <c r="HQ104" s="1"/>
      <c r="HR104" s="1"/>
      <c r="HS104" s="1"/>
      <c r="HT104" s="1"/>
      <c r="HU104" s="1"/>
      <c r="HV104" s="1"/>
      <c r="HW104" s="1"/>
      <c r="HX104" s="1"/>
      <c r="HY104" s="1"/>
      <c r="HZ104" s="1"/>
      <c r="IA104" s="1"/>
      <c r="IB104" s="1"/>
      <c r="IC104" s="1"/>
      <c r="ID104" s="1"/>
      <c r="IE104" s="1"/>
      <c r="IF104" s="1"/>
      <c r="IG104" s="1"/>
      <c r="IH104" s="1"/>
      <c r="II104" s="1"/>
      <c r="IJ104" s="1"/>
      <c r="IK104" s="1"/>
      <c r="IL104" s="1"/>
      <c r="IM104" s="1"/>
      <c r="IN104" s="1"/>
      <c r="IO104" s="1"/>
      <c r="IP104" s="1"/>
      <c r="IQ104" s="1"/>
      <c r="IR104" s="1"/>
      <c r="IS104" s="1"/>
      <c r="IT104" s="1"/>
      <c r="IU104" s="1"/>
      <c r="IV104" s="1"/>
      <c r="IW104" s="1"/>
      <c r="IX104" s="1"/>
      <c r="IY104" s="1"/>
      <c r="IZ104" s="1"/>
      <c r="JA104" s="1"/>
      <c r="JB104" s="1"/>
      <c r="JC104" s="1"/>
      <c r="JD104" s="1"/>
    </row>
    <row r="105" spans="2:264" s="1044" customFormat="1" x14ac:dyDescent="0.2">
      <c r="B105" s="350"/>
      <c r="C105" s="1319"/>
      <c r="D105" s="1317"/>
      <c r="G105" s="1043"/>
      <c r="H105" s="1043"/>
      <c r="P105" s="1046"/>
      <c r="Q105" s="1044" t="s">
        <v>60</v>
      </c>
      <c r="R105" s="1074"/>
      <c r="S105" s="1074"/>
      <c r="T105" s="1074"/>
      <c r="U105" s="1074"/>
      <c r="V105" s="1074"/>
      <c r="W105" s="1074"/>
      <c r="X105" s="1074"/>
      <c r="Y105" s="1176"/>
      <c r="Z105" s="1176"/>
      <c r="AA105" s="1176"/>
      <c r="AB105" s="1176"/>
      <c r="AC105" s="1176"/>
      <c r="AD105" s="1176"/>
      <c r="AE105" s="1176"/>
      <c r="AF105" s="1176"/>
      <c r="AG105" s="1176">
        <f t="shared" ref="AG105:CE105" si="273">AG58</f>
        <v>10181</v>
      </c>
      <c r="AH105" s="1176">
        <f t="shared" si="273"/>
        <v>10771</v>
      </c>
      <c r="AI105" s="1176">
        <f t="shared" si="273"/>
        <v>9998</v>
      </c>
      <c r="AJ105" s="1176">
        <f t="shared" si="273"/>
        <v>9394</v>
      </c>
      <c r="AK105" s="1378">
        <f t="shared" si="273"/>
        <v>10116</v>
      </c>
      <c r="AL105" s="1176">
        <f t="shared" si="273"/>
        <v>10991.653390878699</v>
      </c>
      <c r="AM105" s="1176">
        <f t="shared" ref="AM105" si="274">AM58</f>
        <v>11801.308185560092</v>
      </c>
      <c r="AN105" s="1176">
        <f t="shared" ref="AN105" si="275">AN58</f>
        <v>12258.706796775259</v>
      </c>
      <c r="AO105" s="1176">
        <f t="shared" ca="1" si="273"/>
        <v>12925.493078831561</v>
      </c>
      <c r="AP105" s="1176">
        <f t="shared" ca="1" si="273"/>
        <v>13420.746209131936</v>
      </c>
      <c r="AQ105" s="1176">
        <f t="shared" ca="1" si="273"/>
        <v>13934.192192653638</v>
      </c>
      <c r="AR105" s="1176">
        <f t="shared" ca="1" si="273"/>
        <v>14466.470323873622</v>
      </c>
      <c r="AS105" s="1176">
        <f t="shared" ca="1" si="273"/>
        <v>13579.115218094181</v>
      </c>
      <c r="AT105" s="1176">
        <f t="shared" ca="1" si="273"/>
        <v>14086.300448299729</v>
      </c>
      <c r="AU105" s="1176">
        <f t="shared" ca="1" si="273"/>
        <v>16183.012969235842</v>
      </c>
      <c r="AV105" s="1176">
        <f t="shared" ca="1" si="273"/>
        <v>16938.299103375579</v>
      </c>
      <c r="AW105" s="1176">
        <f ca="1">AW58</f>
        <v>17758.541791819203</v>
      </c>
      <c r="AX105" s="1176">
        <f ca="1">AX58</f>
        <v>18369.285601213949</v>
      </c>
      <c r="AY105" s="1176">
        <f ca="1">AY58</f>
        <v>18939.852093984951</v>
      </c>
      <c r="AZ105" s="1176">
        <f ca="1">AZ58</f>
        <v>19512.917397974652</v>
      </c>
      <c r="BA105" s="1176">
        <f t="shared" ca="1" si="273"/>
        <v>19835.334088568117</v>
      </c>
      <c r="BB105" s="1176">
        <f t="shared" ca="1" si="273"/>
        <v>20266.375873358054</v>
      </c>
      <c r="BC105" s="1176">
        <f t="shared" ca="1" si="273"/>
        <v>20604.053316448404</v>
      </c>
      <c r="BD105" s="1176">
        <f t="shared" ca="1" si="273"/>
        <v>20918.631586226154</v>
      </c>
      <c r="BE105" s="1176">
        <f t="shared" ca="1" si="273"/>
        <v>21227.711327787136</v>
      </c>
      <c r="BF105" s="1176">
        <f t="shared" ca="1" si="273"/>
        <v>21535.553538063778</v>
      </c>
      <c r="BG105" s="1176">
        <f t="shared" ca="1" si="273"/>
        <v>21843.043521812382</v>
      </c>
      <c r="BH105" s="1176">
        <f t="shared" ca="1" si="273"/>
        <v>22150.20691280597</v>
      </c>
      <c r="BI105" s="1176">
        <f t="shared" ca="1" si="273"/>
        <v>22456.842553889219</v>
      </c>
      <c r="BJ105" s="1176">
        <f t="shared" ca="1" si="273"/>
        <v>22762.68079190969</v>
      </c>
      <c r="BK105" s="1176">
        <f t="shared" ca="1" si="273"/>
        <v>23067.422548746563</v>
      </c>
      <c r="BL105" s="1176">
        <f t="shared" ca="1" si="273"/>
        <v>23370.748525431518</v>
      </c>
      <c r="BM105" s="1176">
        <f t="shared" ca="1" si="273"/>
        <v>23672.320933544735</v>
      </c>
      <c r="BN105" s="1176">
        <f t="shared" ca="1" si="273"/>
        <v>23971.783346953958</v>
      </c>
      <c r="BO105" s="1176">
        <f t="shared" ca="1" si="273"/>
        <v>24268.760065537084</v>
      </c>
      <c r="BP105" s="1176">
        <f t="shared" ca="1" si="273"/>
        <v>24562.855335376586</v>
      </c>
      <c r="BQ105" s="1176">
        <f t="shared" ca="1" si="273"/>
        <v>24853.652509780524</v>
      </c>
      <c r="BR105" s="1176">
        <f t="shared" ca="1" si="273"/>
        <v>25140.713171058032</v>
      </c>
      <c r="BS105" s="1176">
        <f t="shared" ca="1" si="273"/>
        <v>25423.576217052381</v>
      </c>
      <c r="BT105" s="1176">
        <f t="shared" ca="1" si="273"/>
        <v>25701.756912488319</v>
      </c>
      <c r="BU105" s="1176">
        <f t="shared" ca="1" si="273"/>
        <v>25974.74590419103</v>
      </c>
      <c r="BV105" s="1176">
        <f t="shared" ca="1" si="273"/>
        <v>26242.00819895717</v>
      </c>
      <c r="BW105" s="1176">
        <f t="shared" ca="1" si="273"/>
        <v>26502.982102756527</v>
      </c>
      <c r="BX105" s="1176">
        <f t="shared" ca="1" si="273"/>
        <v>26757.078119882746</v>
      </c>
      <c r="BY105" s="1176">
        <f t="shared" ca="1" si="273"/>
        <v>27003.677810620145</v>
      </c>
      <c r="BZ105" s="1176">
        <f t="shared" ca="1" si="273"/>
        <v>27242.132605943254</v>
      </c>
      <c r="CA105" s="1176">
        <f t="shared" ca="1" si="273"/>
        <v>27471.762577714388</v>
      </c>
      <c r="CB105" s="1176">
        <f t="shared" ca="1" si="273"/>
        <v>27691.855162791355</v>
      </c>
      <c r="CC105" s="1176">
        <f t="shared" ca="1" si="273"/>
        <v>27901.663839402576</v>
      </c>
      <c r="CD105" s="1176">
        <f t="shared" ca="1" si="273"/>
        <v>28100.406754090327</v>
      </c>
      <c r="CE105" s="1176">
        <f t="shared" ca="1" si="273"/>
        <v>28287.26529746439</v>
      </c>
      <c r="CF105" s="1176">
        <f ca="1">CF58</f>
        <v>28461.382626947474</v>
      </c>
      <c r="CG105" s="1176">
        <f ca="1">CG58</f>
        <v>28621.862134631705</v>
      </c>
      <c r="CH105" s="1176">
        <f ca="1">CH58</f>
        <v>28767.765858300434</v>
      </c>
      <c r="CI105" s="1176">
        <f ca="1">CI58</f>
        <v>28898.112833602965</v>
      </c>
      <c r="CJ105" s="1176">
        <f ca="1">CJ58</f>
        <v>29735.718346120368</v>
      </c>
      <c r="ES105" s="1"/>
      <c r="ET105" s="1"/>
      <c r="EU105" s="1"/>
      <c r="EV105" s="1"/>
      <c r="EW105" s="1"/>
      <c r="EX105" s="1"/>
      <c r="EY105" s="1"/>
      <c r="EZ105" s="1"/>
      <c r="FA105" s="1"/>
      <c r="FB105" s="1"/>
      <c r="FC105" s="1"/>
      <c r="FD105" s="1"/>
      <c r="FE105" s="1"/>
      <c r="FF105" s="1"/>
      <c r="FG105" s="1"/>
      <c r="FH105" s="1"/>
      <c r="FI105" s="1"/>
      <c r="FJ105" s="1"/>
      <c r="FK105" s="1"/>
      <c r="FL105" s="1"/>
      <c r="FM105" s="1"/>
      <c r="FN105" s="1"/>
      <c r="FO105" s="1"/>
      <c r="FP105" s="1"/>
      <c r="FQ105" s="1"/>
      <c r="FR105" s="1"/>
      <c r="FS105" s="1"/>
      <c r="FT105" s="1"/>
      <c r="FU105" s="1"/>
      <c r="FV105" s="1"/>
      <c r="FW105" s="1"/>
      <c r="FX105" s="1"/>
      <c r="FY105" s="1"/>
      <c r="FZ105" s="1"/>
      <c r="GA105" s="1"/>
      <c r="GB105" s="1"/>
      <c r="GC105" s="1"/>
      <c r="GD105" s="1"/>
      <c r="GE105" s="1"/>
      <c r="GF105" s="1"/>
      <c r="GG105" s="1"/>
      <c r="GH105" s="1"/>
      <c r="GI105" s="1"/>
      <c r="GJ105" s="1"/>
      <c r="GK105" s="1"/>
      <c r="GL105" s="1"/>
      <c r="GM105" s="1"/>
      <c r="GN105" s="1"/>
      <c r="GO105" s="1"/>
      <c r="GP105" s="1"/>
      <c r="GQ105" s="1"/>
      <c r="GR105" s="1"/>
      <c r="GS105" s="1"/>
      <c r="GT105" s="1"/>
      <c r="GU105" s="1"/>
      <c r="GV105" s="1"/>
      <c r="GW105" s="1"/>
      <c r="GX105" s="1"/>
      <c r="GY105" s="1"/>
      <c r="GZ105" s="1"/>
      <c r="HA105" s="1"/>
      <c r="HB105" s="1"/>
      <c r="HC105" s="1"/>
      <c r="HD105" s="1"/>
      <c r="HE105" s="1"/>
      <c r="HF105" s="1"/>
      <c r="HG105" s="1"/>
      <c r="HH105" s="1"/>
      <c r="HI105" s="1"/>
      <c r="HJ105" s="1"/>
      <c r="HK105" s="1"/>
      <c r="HL105" s="1"/>
      <c r="HM105" s="1"/>
      <c r="HN105" s="1"/>
      <c r="HO105" s="1"/>
      <c r="HP105" s="1"/>
      <c r="HQ105" s="1"/>
      <c r="HR105" s="1"/>
      <c r="HS105" s="1"/>
      <c r="HT105" s="1"/>
      <c r="HU105" s="1"/>
      <c r="HV105" s="1"/>
      <c r="HW105" s="1"/>
      <c r="HX105" s="1"/>
      <c r="HY105" s="1"/>
      <c r="HZ105" s="1"/>
      <c r="IA105" s="1"/>
      <c r="IB105" s="1"/>
      <c r="IC105" s="1"/>
      <c r="ID105" s="1"/>
      <c r="IE105" s="1"/>
      <c r="IF105" s="1"/>
      <c r="IG105" s="1"/>
      <c r="IH105" s="1"/>
      <c r="II105" s="1"/>
      <c r="IJ105" s="1"/>
      <c r="IK105" s="1"/>
      <c r="IL105" s="1"/>
      <c r="IM105" s="1"/>
      <c r="IN105" s="1"/>
      <c r="IO105" s="1"/>
      <c r="IP105" s="1"/>
      <c r="IQ105" s="1"/>
      <c r="IR105" s="1"/>
      <c r="IS105" s="1"/>
      <c r="IT105" s="1"/>
      <c r="IU105" s="1"/>
      <c r="IV105" s="1"/>
      <c r="IW105" s="1"/>
      <c r="IX105" s="1"/>
      <c r="IY105" s="1"/>
      <c r="IZ105" s="1"/>
      <c r="JA105" s="1"/>
      <c r="JB105" s="1"/>
      <c r="JC105" s="1"/>
      <c r="JD105" s="1"/>
    </row>
    <row r="106" spans="2:264" s="1044" customFormat="1" x14ac:dyDescent="0.2">
      <c r="B106" s="350"/>
      <c r="C106" s="1320"/>
      <c r="D106" s="1318"/>
      <c r="G106" s="1043"/>
      <c r="H106" s="1043"/>
      <c r="P106" s="1046"/>
      <c r="Q106" s="1046" t="s">
        <v>930</v>
      </c>
      <c r="R106" s="1287"/>
      <c r="S106" s="1287"/>
      <c r="T106" s="1287"/>
      <c r="U106" s="1287"/>
      <c r="V106" s="1287"/>
      <c r="W106" s="1287"/>
      <c r="X106" s="1287"/>
      <c r="Y106" s="1301"/>
      <c r="Z106" s="1301"/>
      <c r="AA106" s="1301"/>
      <c r="AB106" s="1301"/>
      <c r="AC106" s="1301"/>
      <c r="AD106" s="1301"/>
      <c r="AE106" s="1301"/>
      <c r="AF106" s="1301"/>
      <c r="AG106" s="1301">
        <f t="shared" ref="AG106:CJ106" si="276">$C$15/100</f>
        <v>0.08</v>
      </c>
      <c r="AH106" s="1301">
        <f t="shared" si="276"/>
        <v>0.08</v>
      </c>
      <c r="AI106" s="1301">
        <f t="shared" si="276"/>
        <v>0.08</v>
      </c>
      <c r="AJ106" s="1301">
        <f t="shared" si="276"/>
        <v>0.08</v>
      </c>
      <c r="AK106" s="1388">
        <f t="shared" si="276"/>
        <v>0.08</v>
      </c>
      <c r="AL106" s="1301">
        <f t="shared" si="276"/>
        <v>0.08</v>
      </c>
      <c r="AM106" s="1301">
        <f t="shared" si="276"/>
        <v>0.08</v>
      </c>
      <c r="AN106" s="1301">
        <f t="shared" si="276"/>
        <v>0.08</v>
      </c>
      <c r="AO106" s="1301">
        <f t="shared" si="276"/>
        <v>0.08</v>
      </c>
      <c r="AP106" s="1301">
        <f t="shared" si="276"/>
        <v>0.08</v>
      </c>
      <c r="AQ106" s="1301">
        <f t="shared" si="276"/>
        <v>0.08</v>
      </c>
      <c r="AR106" s="1301">
        <f t="shared" si="276"/>
        <v>0.08</v>
      </c>
      <c r="AS106" s="1301">
        <f t="shared" si="276"/>
        <v>0.08</v>
      </c>
      <c r="AT106" s="1301">
        <f t="shared" si="276"/>
        <v>0.08</v>
      </c>
      <c r="AU106" s="1301">
        <f t="shared" si="276"/>
        <v>0.08</v>
      </c>
      <c r="AV106" s="1301">
        <f t="shared" si="276"/>
        <v>0.08</v>
      </c>
      <c r="AW106" s="1301">
        <f t="shared" si="276"/>
        <v>0.08</v>
      </c>
      <c r="AX106" s="1301">
        <f t="shared" si="276"/>
        <v>0.08</v>
      </c>
      <c r="AY106" s="1301">
        <f t="shared" si="276"/>
        <v>0.08</v>
      </c>
      <c r="AZ106" s="1301">
        <f t="shared" si="276"/>
        <v>0.08</v>
      </c>
      <c r="BA106" s="1301">
        <f t="shared" si="276"/>
        <v>0.08</v>
      </c>
      <c r="BB106" s="1301">
        <f t="shared" si="276"/>
        <v>0.08</v>
      </c>
      <c r="BC106" s="1301">
        <f t="shared" si="276"/>
        <v>0.08</v>
      </c>
      <c r="BD106" s="1301">
        <f t="shared" si="276"/>
        <v>0.08</v>
      </c>
      <c r="BE106" s="1301">
        <f t="shared" si="276"/>
        <v>0.08</v>
      </c>
      <c r="BF106" s="1301">
        <f t="shared" si="276"/>
        <v>0.08</v>
      </c>
      <c r="BG106" s="1301">
        <f t="shared" si="276"/>
        <v>0.08</v>
      </c>
      <c r="BH106" s="1301">
        <f t="shared" si="276"/>
        <v>0.08</v>
      </c>
      <c r="BI106" s="1301">
        <f t="shared" si="276"/>
        <v>0.08</v>
      </c>
      <c r="BJ106" s="1301">
        <f t="shared" si="276"/>
        <v>0.08</v>
      </c>
      <c r="BK106" s="1301">
        <f t="shared" si="276"/>
        <v>0.08</v>
      </c>
      <c r="BL106" s="1301">
        <f t="shared" si="276"/>
        <v>0.08</v>
      </c>
      <c r="BM106" s="1301">
        <f t="shared" si="276"/>
        <v>0.08</v>
      </c>
      <c r="BN106" s="1301">
        <f t="shared" si="276"/>
        <v>0.08</v>
      </c>
      <c r="BO106" s="1301">
        <f t="shared" si="276"/>
        <v>0.08</v>
      </c>
      <c r="BP106" s="1301">
        <f t="shared" si="276"/>
        <v>0.08</v>
      </c>
      <c r="BQ106" s="1301">
        <f t="shared" si="276"/>
        <v>0.08</v>
      </c>
      <c r="BR106" s="1301">
        <f t="shared" si="276"/>
        <v>0.08</v>
      </c>
      <c r="BS106" s="1301">
        <f t="shared" si="276"/>
        <v>0.08</v>
      </c>
      <c r="BT106" s="1301">
        <f t="shared" si="276"/>
        <v>0.08</v>
      </c>
      <c r="BU106" s="1301">
        <f t="shared" si="276"/>
        <v>0.08</v>
      </c>
      <c r="BV106" s="1301">
        <f t="shared" si="276"/>
        <v>0.08</v>
      </c>
      <c r="BW106" s="1301">
        <f t="shared" si="276"/>
        <v>0.08</v>
      </c>
      <c r="BX106" s="1301">
        <f t="shared" si="276"/>
        <v>0.08</v>
      </c>
      <c r="BY106" s="1301">
        <f t="shared" si="276"/>
        <v>0.08</v>
      </c>
      <c r="BZ106" s="1301">
        <f t="shared" si="276"/>
        <v>0.08</v>
      </c>
      <c r="CA106" s="1301">
        <f t="shared" si="276"/>
        <v>0.08</v>
      </c>
      <c r="CB106" s="1301">
        <f t="shared" si="276"/>
        <v>0.08</v>
      </c>
      <c r="CC106" s="1301">
        <f t="shared" si="276"/>
        <v>0.08</v>
      </c>
      <c r="CD106" s="1301">
        <f t="shared" si="276"/>
        <v>0.08</v>
      </c>
      <c r="CE106" s="1301">
        <f t="shared" si="276"/>
        <v>0.08</v>
      </c>
      <c r="CF106" s="1301">
        <f t="shared" si="276"/>
        <v>0.08</v>
      </c>
      <c r="CG106" s="1301">
        <f t="shared" si="276"/>
        <v>0.08</v>
      </c>
      <c r="CH106" s="1301">
        <f t="shared" si="276"/>
        <v>0.08</v>
      </c>
      <c r="CI106" s="1301">
        <f t="shared" si="276"/>
        <v>0.08</v>
      </c>
      <c r="CJ106" s="1301">
        <f t="shared" si="276"/>
        <v>0.08</v>
      </c>
      <c r="ES106" s="1"/>
      <c r="ET106" s="1"/>
      <c r="EU106" s="1"/>
      <c r="EV106" s="1"/>
      <c r="EW106" s="1"/>
      <c r="EX106" s="1"/>
      <c r="EY106" s="1"/>
      <c r="EZ106" s="1"/>
      <c r="FA106" s="1"/>
      <c r="FB106" s="1"/>
      <c r="FC106" s="1"/>
      <c r="FD106" s="1"/>
      <c r="FE106" s="1"/>
      <c r="FF106" s="1"/>
      <c r="FG106" s="1"/>
      <c r="FH106" s="1"/>
      <c r="FI106" s="1"/>
      <c r="FJ106" s="1"/>
      <c r="FK106" s="1"/>
      <c r="FL106" s="1"/>
      <c r="FM106" s="1"/>
      <c r="FN106" s="1"/>
      <c r="FO106" s="1"/>
      <c r="FP106" s="1"/>
      <c r="FQ106" s="1"/>
      <c r="FR106" s="1"/>
      <c r="FS106" s="1"/>
      <c r="FT106" s="1"/>
      <c r="FU106" s="1"/>
      <c r="FV106" s="1"/>
      <c r="FW106" s="1"/>
      <c r="FX106" s="1"/>
      <c r="FY106" s="1"/>
      <c r="FZ106" s="1"/>
      <c r="GA106" s="1"/>
      <c r="GB106" s="1"/>
      <c r="GC106" s="1"/>
      <c r="GD106" s="1"/>
      <c r="GE106" s="1"/>
      <c r="GF106" s="1"/>
      <c r="GG106" s="1"/>
      <c r="GH106" s="1"/>
      <c r="GI106" s="1"/>
      <c r="GJ106" s="1"/>
      <c r="GK106" s="1"/>
      <c r="GL106" s="1"/>
      <c r="GM106" s="1"/>
      <c r="GN106" s="1"/>
      <c r="GO106" s="1"/>
      <c r="GP106" s="1"/>
      <c r="GQ106" s="1"/>
      <c r="GR106" s="1"/>
      <c r="GS106" s="1"/>
      <c r="GT106" s="1"/>
      <c r="GU106" s="1"/>
      <c r="GV106" s="1"/>
      <c r="GW106" s="1"/>
      <c r="GX106" s="1"/>
      <c r="GY106" s="1"/>
      <c r="GZ106" s="1"/>
      <c r="HA106" s="1"/>
      <c r="HB106" s="1"/>
      <c r="HC106" s="1"/>
      <c r="HD106" s="1"/>
      <c r="HE106" s="1"/>
      <c r="HF106" s="1"/>
      <c r="HG106" s="1"/>
      <c r="HH106" s="1"/>
      <c r="HI106" s="1"/>
      <c r="HJ106" s="1"/>
      <c r="HK106" s="1"/>
      <c r="HL106" s="1"/>
      <c r="HM106" s="1"/>
      <c r="HN106" s="1"/>
      <c r="HO106" s="1"/>
      <c r="HP106" s="1"/>
      <c r="HQ106" s="1"/>
      <c r="HR106" s="1"/>
      <c r="HS106" s="1"/>
      <c r="HT106" s="1"/>
      <c r="HU106" s="1"/>
      <c r="HV106" s="1"/>
      <c r="HW106" s="1"/>
      <c r="HX106" s="1"/>
      <c r="HY106" s="1"/>
      <c r="HZ106" s="1"/>
      <c r="IA106" s="1"/>
      <c r="IB106" s="1"/>
      <c r="IC106" s="1"/>
      <c r="ID106" s="1"/>
      <c r="IE106" s="1"/>
      <c r="IF106" s="1"/>
      <c r="IG106" s="1"/>
      <c r="IH106" s="1"/>
      <c r="II106" s="1"/>
      <c r="IJ106" s="1"/>
      <c r="IK106" s="1"/>
      <c r="IL106" s="1"/>
      <c r="IM106" s="1"/>
      <c r="IN106" s="1"/>
      <c r="IO106" s="1"/>
      <c r="IP106" s="1"/>
      <c r="IQ106" s="1"/>
      <c r="IR106" s="1"/>
      <c r="IS106" s="1"/>
      <c r="IT106" s="1"/>
      <c r="IU106" s="1"/>
      <c r="IV106" s="1"/>
      <c r="IW106" s="1"/>
      <c r="IX106" s="1"/>
      <c r="IY106" s="1"/>
      <c r="IZ106" s="1"/>
      <c r="JA106" s="1"/>
      <c r="JB106" s="1"/>
      <c r="JC106" s="1"/>
      <c r="JD106" s="1"/>
    </row>
    <row r="107" spans="2:264" s="1044" customFormat="1" x14ac:dyDescent="0.2">
      <c r="B107" s="1299"/>
      <c r="C107" s="1321"/>
      <c r="D107" s="1319"/>
      <c r="G107" s="1043"/>
      <c r="H107" s="1043"/>
      <c r="P107" s="1046"/>
      <c r="Q107" s="1044" t="s">
        <v>1095</v>
      </c>
      <c r="R107" s="1074"/>
      <c r="S107" s="1302"/>
      <c r="T107" s="1302"/>
      <c r="U107" s="1302"/>
      <c r="V107" s="1302"/>
      <c r="W107" s="1302"/>
      <c r="X107" s="1302"/>
      <c r="Y107" s="1302"/>
      <c r="Z107" s="1302"/>
      <c r="AA107" s="1302"/>
      <c r="AB107" s="1302"/>
      <c r="AC107" s="1302"/>
      <c r="AD107" s="1302"/>
      <c r="AE107" s="1302"/>
      <c r="AF107" s="1302"/>
      <c r="AG107" s="1302">
        <f t="shared" ref="AG107:CF107" si="277">-AG106*AG87</f>
        <v>-6294.64</v>
      </c>
      <c r="AH107" s="1302">
        <f t="shared" si="277"/>
        <v>-5826.64</v>
      </c>
      <c r="AI107" s="1302">
        <f t="shared" si="277"/>
        <v>-5730.24</v>
      </c>
      <c r="AJ107" s="1302">
        <f t="shared" si="277"/>
        <v>-5846.56</v>
      </c>
      <c r="AK107" s="1389">
        <f t="shared" si="277"/>
        <v>-6301.6</v>
      </c>
      <c r="AL107" s="1302">
        <f t="shared" si="277"/>
        <v>-6313.9213479662958</v>
      </c>
      <c r="AM107" s="1302">
        <f t="shared" ref="AM107" ca="1" si="278">-AM106*AM87</f>
        <v>-6535.6889037739456</v>
      </c>
      <c r="AN107" s="1302">
        <f t="shared" ref="AN107" ca="1" si="279">-AN106*AN87</f>
        <v>-6754.0527941697019</v>
      </c>
      <c r="AO107" s="1302">
        <f t="shared" ca="1" si="277"/>
        <v>-7100.4888050755635</v>
      </c>
      <c r="AP107" s="1302">
        <f t="shared" ca="1" si="277"/>
        <v>-7439.5650305893223</v>
      </c>
      <c r="AQ107" s="1302">
        <f t="shared" ca="1" si="277"/>
        <v>-7760.6805487217734</v>
      </c>
      <c r="AR107" s="1302">
        <f t="shared" ca="1" si="277"/>
        <v>-8089.0258545555234</v>
      </c>
      <c r="AS107" s="1302">
        <f t="shared" ca="1" si="277"/>
        <v>-8392.1783378822493</v>
      </c>
      <c r="AT107" s="1302">
        <f t="shared" ca="1" si="277"/>
        <v>-8738.191168692314</v>
      </c>
      <c r="AU107" s="1302">
        <f t="shared" ca="1" si="277"/>
        <v>-9146.0160057434841</v>
      </c>
      <c r="AV107" s="1302">
        <f t="shared" ca="1" si="277"/>
        <v>-9588.914829959218</v>
      </c>
      <c r="AW107" s="1302">
        <f t="shared" ca="1" si="277"/>
        <v>-9918.6924907527919</v>
      </c>
      <c r="AX107" s="1302">
        <f ca="1">-AX106*AX87</f>
        <v>-10226.775979146532</v>
      </c>
      <c r="AY107" s="1302">
        <f ca="1">-AY106*AY87</f>
        <v>-10536.208727419442</v>
      </c>
      <c r="AZ107" s="1302">
        <f ca="1">-AZ106*AZ87</f>
        <v>-10852.952054225863</v>
      </c>
      <c r="BA107" s="1302">
        <f t="shared" ca="1" si="277"/>
        <v>-11238.483498974394</v>
      </c>
      <c r="BB107" s="1302">
        <f t="shared" ca="1" si="277"/>
        <v>-11582.083254686306</v>
      </c>
      <c r="BC107" s="1302">
        <f t="shared" ca="1" si="277"/>
        <v>-11922.05199695643</v>
      </c>
      <c r="BD107" s="1302">
        <f t="shared" ca="1" si="277"/>
        <v>-12268.4086472012</v>
      </c>
      <c r="BE107" s="1302">
        <f t="shared" ca="1" si="277"/>
        <v>-12623.924412049533</v>
      </c>
      <c r="BF107" s="1302">
        <f t="shared" ca="1" si="277"/>
        <v>-12989.523519141323</v>
      </c>
      <c r="BG107" s="1302">
        <f t="shared" ca="1" si="277"/>
        <v>-13365.665763764269</v>
      </c>
      <c r="BH107" s="1302">
        <f t="shared" ca="1" si="277"/>
        <v>-13752.699470677933</v>
      </c>
      <c r="BI107" s="1302">
        <f t="shared" ca="1" si="277"/>
        <v>-14150.951467395216</v>
      </c>
      <c r="BJ107" s="1302">
        <f t="shared" ca="1" si="277"/>
        <v>-14560.750095230103</v>
      </c>
      <c r="BK107" s="1302">
        <f t="shared" ca="1" si="277"/>
        <v>-14982.431227957928</v>
      </c>
      <c r="BL107" s="1302">
        <f t="shared" ca="1" si="277"/>
        <v>-15416.339996419973</v>
      </c>
      <c r="BM107" s="1302">
        <f t="shared" ca="1" si="277"/>
        <v>-15862.831435984892</v>
      </c>
      <c r="BN107" s="1302">
        <f t="shared" ca="1" si="277"/>
        <v>-16322.270869389165</v>
      </c>
      <c r="BO107" s="1302">
        <f t="shared" ca="1" si="277"/>
        <v>-16795.034229671848</v>
      </c>
      <c r="BP107" s="1302">
        <f t="shared" ca="1" si="277"/>
        <v>-17281.508374760357</v>
      </c>
      <c r="BQ107" s="1302">
        <f t="shared" ca="1" si="277"/>
        <v>-17782.09140679604</v>
      </c>
      <c r="BR107" s="1302">
        <f t="shared" ca="1" si="277"/>
        <v>-18297.192999661864</v>
      </c>
      <c r="BS107" s="1302">
        <f t="shared" ca="1" si="277"/>
        <v>-18827.234735777463</v>
      </c>
      <c r="BT107" s="1302">
        <f t="shared" ca="1" si="277"/>
        <v>-19372.650452636361</v>
      </c>
      <c r="BU107" s="1302">
        <f t="shared" ca="1" si="277"/>
        <v>-19933.886599419831</v>
      </c>
      <c r="BV107" s="1302">
        <f t="shared" ca="1" si="277"/>
        <v>-20511.402603993702</v>
      </c>
      <c r="BW107" s="1302">
        <f t="shared" ca="1" si="277"/>
        <v>-21105.671250593768</v>
      </c>
      <c r="BX107" s="1302">
        <f t="shared" ca="1" si="277"/>
        <v>-21717.179068512196</v>
      </c>
      <c r="BY107" s="1302">
        <f t="shared" ca="1" si="277"/>
        <v>-22346.426732105749</v>
      </c>
      <c r="BZ107" s="1302">
        <f t="shared" ca="1" si="277"/>
        <v>-22993.92947245609</v>
      </c>
      <c r="CA107" s="1302">
        <f t="shared" ca="1" si="277"/>
        <v>-23660.217501021823</v>
      </c>
      <c r="CB107" s="1302">
        <f t="shared" ca="1" si="277"/>
        <v>-24345.836445631874</v>
      </c>
      <c r="CC107" s="1302">
        <f t="shared" ca="1" si="277"/>
        <v>-25051.347799180046</v>
      </c>
      <c r="CD107" s="1302">
        <f t="shared" ca="1" si="277"/>
        <v>-25777.329381391231</v>
      </c>
      <c r="CE107" s="1302">
        <f t="shared" ca="1" si="277"/>
        <v>-26524.375814040137</v>
      </c>
      <c r="CF107" s="1302">
        <f t="shared" ca="1" si="277"/>
        <v>-27293.099010015092</v>
      </c>
      <c r="CG107" s="1302">
        <f ca="1">-CG106*CG87</f>
        <v>-28084.128676630418</v>
      </c>
      <c r="CH107" s="1302">
        <f ca="1">-CH106*CH87</f>
        <v>-28898.112833602951</v>
      </c>
      <c r="CI107" s="1302">
        <f ca="1">-CI106*CI87</f>
        <v>-29735.718346120368</v>
      </c>
      <c r="CJ107" s="1302">
        <f ca="1">-CJ106*CJ87</f>
        <v>-30621.083920571848</v>
      </c>
      <c r="ES107" s="1"/>
      <c r="ET107" s="1"/>
      <c r="EU107" s="1"/>
      <c r="EV107" s="1"/>
      <c r="EW107" s="1"/>
      <c r="EX107" s="1"/>
      <c r="EY107" s="1"/>
      <c r="EZ107" s="1"/>
      <c r="FA107" s="1"/>
      <c r="FB107" s="1"/>
      <c r="FC107" s="1"/>
      <c r="FD107" s="1"/>
      <c r="FE107" s="1"/>
      <c r="FF107" s="1"/>
      <c r="FG107" s="1"/>
      <c r="FH107" s="1"/>
      <c r="FI107" s="1"/>
      <c r="FJ107" s="1"/>
      <c r="FK107" s="1"/>
      <c r="FL107" s="1"/>
      <c r="FM107" s="1"/>
      <c r="FN107" s="1"/>
      <c r="FO107" s="1"/>
      <c r="FP107" s="1"/>
      <c r="FQ107" s="1"/>
      <c r="FR107" s="1"/>
      <c r="FS107" s="1"/>
      <c r="FT107" s="1"/>
      <c r="FU107" s="1"/>
      <c r="FV107" s="1"/>
      <c r="FW107" s="1"/>
      <c r="FX107" s="1"/>
      <c r="FY107" s="1"/>
      <c r="FZ107" s="1"/>
      <c r="GA107" s="1"/>
      <c r="GB107" s="1"/>
      <c r="GC107" s="1"/>
      <c r="GD107" s="1"/>
      <c r="GE107" s="1"/>
      <c r="GF107" s="1"/>
      <c r="GG107" s="1"/>
      <c r="GH107" s="1"/>
      <c r="GI107" s="1"/>
      <c r="GJ107" s="1"/>
      <c r="GK107" s="1"/>
      <c r="GL107" s="1"/>
      <c r="GM107" s="1"/>
      <c r="GN107" s="1"/>
      <c r="GO107" s="1"/>
      <c r="GP107" s="1"/>
      <c r="GQ107" s="1"/>
      <c r="GR107" s="1"/>
      <c r="GS107" s="1"/>
      <c r="GT107" s="1"/>
      <c r="GU107" s="1"/>
      <c r="GV107" s="1"/>
      <c r="GW107" s="1"/>
      <c r="GX107" s="1"/>
      <c r="GY107" s="1"/>
      <c r="GZ107" s="1"/>
      <c r="HA107" s="1"/>
      <c r="HB107" s="1"/>
      <c r="HC107" s="1"/>
      <c r="HD107" s="1"/>
      <c r="HE107" s="1"/>
      <c r="HF107" s="1"/>
      <c r="HG107" s="1"/>
      <c r="HH107" s="1"/>
      <c r="HI107" s="1"/>
      <c r="HJ107" s="1"/>
      <c r="HK107" s="1"/>
      <c r="HL107" s="1"/>
      <c r="HM107" s="1"/>
      <c r="HN107" s="1"/>
      <c r="HO107" s="1"/>
      <c r="HP107" s="1"/>
      <c r="HQ107" s="1"/>
      <c r="HR107" s="1"/>
      <c r="HS107" s="1"/>
      <c r="HT107" s="1"/>
      <c r="HU107" s="1"/>
      <c r="HV107" s="1"/>
      <c r="HW107" s="1"/>
      <c r="HX107" s="1"/>
      <c r="HY107" s="1"/>
      <c r="HZ107" s="1"/>
      <c r="IA107" s="1"/>
      <c r="IB107" s="1"/>
      <c r="IC107" s="1"/>
      <c r="ID107" s="1"/>
      <c r="IE107" s="1"/>
      <c r="IF107" s="1"/>
      <c r="IG107" s="1"/>
      <c r="IH107" s="1"/>
      <c r="II107" s="1"/>
      <c r="IJ107" s="1"/>
      <c r="IK107" s="1"/>
      <c r="IL107" s="1"/>
      <c r="IM107" s="1"/>
      <c r="IN107" s="1"/>
      <c r="IO107" s="1"/>
      <c r="IP107" s="1"/>
      <c r="IQ107" s="1"/>
      <c r="IR107" s="1"/>
      <c r="IS107" s="1"/>
      <c r="IT107" s="1"/>
      <c r="IU107" s="1"/>
      <c r="IV107" s="1"/>
      <c r="IW107" s="1"/>
      <c r="IX107" s="1"/>
      <c r="IY107" s="1"/>
      <c r="IZ107" s="1"/>
      <c r="JA107" s="1"/>
      <c r="JB107" s="1"/>
      <c r="JC107" s="1"/>
      <c r="JD107" s="1"/>
    </row>
    <row r="108" spans="2:264" s="1044" customFormat="1" ht="13.5" thickBot="1" x14ac:dyDescent="0.25">
      <c r="C108" s="1043"/>
      <c r="D108" s="1320"/>
      <c r="F108" s="1299"/>
      <c r="G108" s="1321"/>
      <c r="H108" s="1321"/>
      <c r="I108" s="1299"/>
      <c r="J108" s="1299"/>
      <c r="K108" s="1299"/>
      <c r="L108" s="1299"/>
      <c r="M108" s="1299"/>
      <c r="N108" s="1299"/>
      <c r="O108" s="1299"/>
      <c r="P108" s="1046"/>
      <c r="Q108" s="1047" t="s">
        <v>1096</v>
      </c>
      <c r="R108" s="1074"/>
      <c r="S108" s="1074"/>
      <c r="T108" s="1074"/>
      <c r="U108" s="1074"/>
      <c r="V108" s="1074"/>
      <c r="W108" s="1074"/>
      <c r="X108" s="1074"/>
      <c r="Y108" s="1135"/>
      <c r="Z108" s="1135"/>
      <c r="AA108" s="1135"/>
      <c r="AB108" s="1135"/>
      <c r="AC108" s="1135"/>
      <c r="AD108" s="1135"/>
      <c r="AE108" s="1135"/>
      <c r="AF108" s="1135"/>
      <c r="AG108" s="1135">
        <f t="shared" ref="AG108:CF108" si="280">+AG105+AG107</f>
        <v>3886.3599999999997</v>
      </c>
      <c r="AH108" s="1135">
        <f t="shared" si="280"/>
        <v>4944.3599999999997</v>
      </c>
      <c r="AI108" s="1135">
        <f t="shared" si="280"/>
        <v>4267.76</v>
      </c>
      <c r="AJ108" s="1135">
        <f t="shared" si="280"/>
        <v>3547.4399999999996</v>
      </c>
      <c r="AK108" s="1375">
        <f t="shared" si="280"/>
        <v>3814.3999999999996</v>
      </c>
      <c r="AL108" s="1135">
        <f t="shared" si="280"/>
        <v>4677.7320429124029</v>
      </c>
      <c r="AM108" s="1135">
        <f t="shared" ref="AM108" ca="1" si="281">+AM105+AM107</f>
        <v>5265.6192817861465</v>
      </c>
      <c r="AN108" s="1135">
        <f t="shared" ref="AN108" ca="1" si="282">+AN105+AN107</f>
        <v>5504.6540026055573</v>
      </c>
      <c r="AO108" s="1135">
        <f t="shared" ca="1" si="280"/>
        <v>5825.0042737559979</v>
      </c>
      <c r="AP108" s="1135">
        <f t="shared" ca="1" si="280"/>
        <v>5981.1811785426135</v>
      </c>
      <c r="AQ108" s="1135">
        <f t="shared" ca="1" si="280"/>
        <v>6173.5116439318645</v>
      </c>
      <c r="AR108" s="1135">
        <f t="shared" ca="1" si="280"/>
        <v>6377.4444693180985</v>
      </c>
      <c r="AS108" s="1135">
        <f t="shared" ca="1" si="280"/>
        <v>5186.9368802119316</v>
      </c>
      <c r="AT108" s="1135">
        <f t="shared" ca="1" si="280"/>
        <v>5348.1092796074154</v>
      </c>
      <c r="AU108" s="1135">
        <f t="shared" ca="1" si="280"/>
        <v>7036.9969634923582</v>
      </c>
      <c r="AV108" s="1135">
        <f t="shared" ca="1" si="280"/>
        <v>7349.3842734163609</v>
      </c>
      <c r="AW108" s="1135">
        <f t="shared" ca="1" si="280"/>
        <v>7839.8493010664115</v>
      </c>
      <c r="AX108" s="1135">
        <f ca="1">+AX105+AX107</f>
        <v>8142.5096220674168</v>
      </c>
      <c r="AY108" s="1135">
        <f ca="1">+AY105+AY107</f>
        <v>8403.6433665655095</v>
      </c>
      <c r="AZ108" s="1135">
        <f ca="1">+AZ105+AZ107</f>
        <v>8659.9653437487887</v>
      </c>
      <c r="BA108" s="1135">
        <f t="shared" ca="1" si="280"/>
        <v>8596.8505895937233</v>
      </c>
      <c r="BB108" s="1135">
        <f t="shared" ca="1" si="280"/>
        <v>8684.2926186717486</v>
      </c>
      <c r="BC108" s="1135">
        <f t="shared" ca="1" si="280"/>
        <v>8682.0013194919738</v>
      </c>
      <c r="BD108" s="1135">
        <f t="shared" ca="1" si="280"/>
        <v>8650.222939024954</v>
      </c>
      <c r="BE108" s="1135">
        <f t="shared" ca="1" si="280"/>
        <v>8603.7869157376026</v>
      </c>
      <c r="BF108" s="1135">
        <f t="shared" ca="1" si="280"/>
        <v>8546.0300189224545</v>
      </c>
      <c r="BG108" s="1135">
        <f t="shared" ca="1" si="280"/>
        <v>8477.3777580481128</v>
      </c>
      <c r="BH108" s="1135">
        <f t="shared" ca="1" si="280"/>
        <v>8397.5074421280369</v>
      </c>
      <c r="BI108" s="1135">
        <f t="shared" ca="1" si="280"/>
        <v>8305.8910864940026</v>
      </c>
      <c r="BJ108" s="1135">
        <f t="shared" ca="1" si="280"/>
        <v>8201.9306966795866</v>
      </c>
      <c r="BK108" s="1135">
        <f t="shared" ca="1" si="280"/>
        <v>8084.9913207886348</v>
      </c>
      <c r="BL108" s="1135">
        <f t="shared" ca="1" si="280"/>
        <v>7954.4085290115454</v>
      </c>
      <c r="BM108" s="1135">
        <f t="shared" ca="1" si="280"/>
        <v>7809.4894975598436</v>
      </c>
      <c r="BN108" s="1135">
        <f t="shared" ca="1" si="280"/>
        <v>7649.5124775647928</v>
      </c>
      <c r="BO108" s="1135">
        <f t="shared" ca="1" si="280"/>
        <v>7473.7258358652361</v>
      </c>
      <c r="BP108" s="1135">
        <f t="shared" ca="1" si="280"/>
        <v>7281.3469606162289</v>
      </c>
      <c r="BQ108" s="1135">
        <f t="shared" ca="1" si="280"/>
        <v>7071.561102984484</v>
      </c>
      <c r="BR108" s="1135">
        <f t="shared" ca="1" si="280"/>
        <v>6843.5201713961687</v>
      </c>
      <c r="BS108" s="1135">
        <f t="shared" ca="1" si="280"/>
        <v>6596.3414812749179</v>
      </c>
      <c r="BT108" s="1135">
        <f t="shared" ca="1" si="280"/>
        <v>6329.1064598519588</v>
      </c>
      <c r="BU108" s="1135">
        <f t="shared" ca="1" si="280"/>
        <v>6040.8593047711984</v>
      </c>
      <c r="BV108" s="1135">
        <f t="shared" ca="1" si="280"/>
        <v>5730.6055949634683</v>
      </c>
      <c r="BW108" s="1135">
        <f t="shared" ca="1" si="280"/>
        <v>5397.3108521627582</v>
      </c>
      <c r="BX108" s="1135">
        <f t="shared" ca="1" si="280"/>
        <v>5039.8990513705503</v>
      </c>
      <c r="BY108" s="1135">
        <f t="shared" ca="1" si="280"/>
        <v>4657.2510785143968</v>
      </c>
      <c r="BZ108" s="1135">
        <f t="shared" ca="1" si="280"/>
        <v>4248.2031334871645</v>
      </c>
      <c r="CA108" s="1135">
        <f t="shared" ca="1" si="280"/>
        <v>3811.5450766925642</v>
      </c>
      <c r="CB108" s="1135">
        <f t="shared" ca="1" si="280"/>
        <v>3346.0187171594807</v>
      </c>
      <c r="CC108" s="1135">
        <f t="shared" ca="1" si="280"/>
        <v>2850.3160402225294</v>
      </c>
      <c r="CD108" s="1135">
        <f t="shared" ca="1" si="280"/>
        <v>2323.0773726990956</v>
      </c>
      <c r="CE108" s="1135">
        <f t="shared" ca="1" si="280"/>
        <v>1762.8894834242528</v>
      </c>
      <c r="CF108" s="1135">
        <f t="shared" ca="1" si="280"/>
        <v>1168.2836169323818</v>
      </c>
      <c r="CG108" s="1135">
        <f ca="1">+CG105+CG107</f>
        <v>537.73345800128664</v>
      </c>
      <c r="CH108" s="1135">
        <f ca="1">+CH105+CH107</f>
        <v>-130.34697530251651</v>
      </c>
      <c r="CI108" s="1135">
        <f ca="1">+CI105+CI107</f>
        <v>-837.60551251740253</v>
      </c>
      <c r="CJ108" s="1135">
        <f ca="1">+CJ105+CJ107</f>
        <v>-885.36557445147992</v>
      </c>
      <c r="ES108" s="1"/>
      <c r="ET108" s="1"/>
      <c r="EU108" s="1"/>
      <c r="EV108" s="1"/>
      <c r="EW108" s="1"/>
      <c r="EX108" s="1"/>
      <c r="EY108" s="1"/>
      <c r="EZ108" s="1"/>
      <c r="FA108" s="1"/>
      <c r="FB108" s="1"/>
      <c r="FC108" s="1"/>
      <c r="FD108" s="1"/>
      <c r="FE108" s="1"/>
      <c r="FF108" s="1"/>
      <c r="FG108" s="1"/>
      <c r="FH108" s="1"/>
      <c r="FI108" s="1"/>
      <c r="FJ108" s="1"/>
      <c r="FK108" s="1"/>
      <c r="FL108" s="1"/>
      <c r="FM108" s="1"/>
      <c r="FN108" s="1"/>
      <c r="FO108" s="1"/>
      <c r="FP108" s="1"/>
      <c r="FQ108" s="1"/>
      <c r="FR108" s="1"/>
      <c r="FS108" s="1"/>
      <c r="FT108" s="1"/>
      <c r="FU108" s="1"/>
      <c r="FV108" s="1"/>
      <c r="FW108" s="1"/>
      <c r="FX108" s="1"/>
      <c r="FY108" s="1"/>
      <c r="FZ108" s="1"/>
      <c r="GA108" s="1"/>
      <c r="GB108" s="1"/>
      <c r="GC108" s="1"/>
      <c r="GD108" s="1"/>
      <c r="GE108" s="1"/>
      <c r="GF108" s="1"/>
      <c r="GG108" s="1"/>
      <c r="GH108" s="1"/>
      <c r="GI108" s="1"/>
      <c r="GJ108" s="1"/>
      <c r="GK108" s="1"/>
      <c r="GL108" s="1"/>
      <c r="GM108" s="1"/>
      <c r="GN108" s="1"/>
      <c r="GO108" s="1"/>
      <c r="GP108" s="1"/>
      <c r="GQ108" s="1"/>
      <c r="GR108" s="1"/>
      <c r="GS108" s="1"/>
      <c r="GT108" s="1"/>
      <c r="GU108" s="1"/>
      <c r="GV108" s="1"/>
      <c r="GW108" s="1"/>
      <c r="GX108" s="1"/>
      <c r="GY108" s="1"/>
      <c r="GZ108" s="1"/>
      <c r="HA108" s="1"/>
      <c r="HB108" s="1"/>
      <c r="HC108" s="1"/>
      <c r="HD108" s="1"/>
      <c r="HE108" s="1"/>
      <c r="HF108" s="1"/>
      <c r="HG108" s="1"/>
      <c r="HH108" s="1"/>
      <c r="HI108" s="1"/>
      <c r="HJ108" s="1"/>
      <c r="HK108" s="1"/>
      <c r="HL108" s="1"/>
      <c r="HM108" s="1"/>
      <c r="HN108" s="1"/>
      <c r="HO108" s="1"/>
      <c r="HP108" s="1"/>
      <c r="HQ108" s="1"/>
      <c r="HR108" s="1"/>
      <c r="HS108" s="1"/>
      <c r="HT108" s="1"/>
      <c r="HU108" s="1"/>
      <c r="HV108" s="1"/>
      <c r="HW108" s="1"/>
      <c r="HX108" s="1"/>
      <c r="HY108" s="1"/>
      <c r="HZ108" s="1"/>
      <c r="IA108" s="1"/>
      <c r="IB108" s="1"/>
      <c r="IC108" s="1"/>
      <c r="ID108" s="1"/>
      <c r="IE108" s="1"/>
      <c r="IF108" s="1"/>
      <c r="IG108" s="1"/>
      <c r="IH108" s="1"/>
      <c r="II108" s="1"/>
      <c r="IJ108" s="1"/>
      <c r="IK108" s="1"/>
      <c r="IL108" s="1"/>
      <c r="IM108" s="1"/>
      <c r="IN108" s="1"/>
      <c r="IO108" s="1"/>
      <c r="IP108" s="1"/>
      <c r="IQ108" s="1"/>
      <c r="IR108" s="1"/>
      <c r="IS108" s="1"/>
      <c r="IT108" s="1"/>
      <c r="IU108" s="1"/>
      <c r="IV108" s="1"/>
      <c r="IW108" s="1"/>
      <c r="IX108" s="1"/>
      <c r="IY108" s="1"/>
      <c r="IZ108" s="1"/>
      <c r="JA108" s="1"/>
      <c r="JB108" s="1"/>
      <c r="JC108" s="1"/>
      <c r="JD108" s="1"/>
    </row>
    <row r="109" spans="2:264" s="1044" customFormat="1" ht="13.5" thickBot="1" x14ac:dyDescent="0.25">
      <c r="C109" s="1043"/>
      <c r="G109" s="1043"/>
      <c r="H109" s="1043"/>
      <c r="P109" s="1046"/>
      <c r="Q109" s="1322" t="s">
        <v>1097</v>
      </c>
      <c r="R109" s="1323">
        <f ca="1">H13</f>
        <v>104.1</v>
      </c>
      <c r="S109" s="1324"/>
      <c r="T109" s="1324"/>
      <c r="U109" s="1324"/>
      <c r="V109" s="1324"/>
      <c r="W109" s="1324"/>
      <c r="X109" s="1324"/>
      <c r="Y109" s="1325"/>
      <c r="Z109" s="1325"/>
      <c r="AA109" s="1325"/>
      <c r="AB109" s="1325"/>
      <c r="AC109" s="1325"/>
      <c r="AD109" s="1325"/>
      <c r="AE109" s="1325"/>
      <c r="AF109" s="1325"/>
      <c r="AG109" s="1325">
        <f t="shared" ref="AG109:CJ109" si="283">AG108/((1+AG$106)^((+AG$2-$Q$4)/365))</f>
        <v>5566.4921520110356</v>
      </c>
      <c r="AH109" s="1325">
        <f t="shared" si="283"/>
        <v>6557.2977210125991</v>
      </c>
      <c r="AI109" s="1325">
        <f>AI108/((1+AI$106)^((+AI$2-$Q$4)/365))</f>
        <v>5240.7211377521517</v>
      </c>
      <c r="AJ109" s="1325">
        <f>AJ108/((1+AJ$106)^((+AJ$2-$Q$4)/365))</f>
        <v>4032.6524451334017</v>
      </c>
      <c r="AK109" s="1390">
        <f>AK108/((1+AK$106)^((+AK$2-$Q$4)/365))</f>
        <v>4014.9321781959106</v>
      </c>
      <c r="AL109" s="1325">
        <f>AL108/((1+AL$106)^((+AL$2-$Q$4)/365))</f>
        <v>4558.9367242037733</v>
      </c>
      <c r="AM109" s="1325">
        <f t="shared" ref="AM109:AN109" ca="1" si="284">AM108/((1+AM$106)^((+AM$2-$Q$4)/365))</f>
        <v>4751.7537264237308</v>
      </c>
      <c r="AN109" s="1325">
        <f t="shared" ca="1" si="284"/>
        <v>4598.5315204574554</v>
      </c>
      <c r="AO109" s="1325">
        <f t="shared" ref="AO109" ca="1" si="285">AO108/((1+AO$106)^((+AO$2-$Q$4)/365))</f>
        <v>4505.6933821930188</v>
      </c>
      <c r="AP109" s="1325">
        <f t="shared" ca="1" si="283"/>
        <v>4283.7940997194255</v>
      </c>
      <c r="AQ109" s="1325">
        <f t="shared" ca="1" si="283"/>
        <v>4094.0217581008505</v>
      </c>
      <c r="AR109" s="1325">
        <f t="shared" ca="1" si="283"/>
        <v>3915.1574593231276</v>
      </c>
      <c r="AS109" s="1325">
        <f t="shared" ca="1" si="283"/>
        <v>2948.4227599576757</v>
      </c>
      <c r="AT109" s="1325">
        <f t="shared" ca="1" si="283"/>
        <v>2814.8503397583686</v>
      </c>
      <c r="AU109" s="1325">
        <f t="shared" ca="1" si="283"/>
        <v>3429.4039565731714</v>
      </c>
      <c r="AV109" s="1325">
        <f t="shared" ca="1" si="283"/>
        <v>3315.6364796181865</v>
      </c>
      <c r="AW109" s="1325">
        <f t="shared" ca="1" si="283"/>
        <v>3274.9140973957356</v>
      </c>
      <c r="AX109" s="1325">
        <f t="shared" ca="1" si="283"/>
        <v>3149.3920219564552</v>
      </c>
      <c r="AY109" s="1325">
        <f t="shared" ca="1" si="283"/>
        <v>3009.6244099335913</v>
      </c>
      <c r="AZ109" s="1325">
        <f t="shared" ca="1" si="283"/>
        <v>2871.0814529772088</v>
      </c>
      <c r="BA109" s="1325">
        <f t="shared" ca="1" si="283"/>
        <v>2639.0339852819952</v>
      </c>
      <c r="BB109" s="1325">
        <f t="shared" ca="1" si="283"/>
        <v>2468.4043172385241</v>
      </c>
      <c r="BC109" s="1325">
        <f t="shared" ca="1" si="283"/>
        <v>2284.9565216454694</v>
      </c>
      <c r="BD109" s="1325">
        <f t="shared" ca="1" si="283"/>
        <v>2107.5120492297319</v>
      </c>
      <c r="BE109" s="1325">
        <f t="shared" ca="1" si="283"/>
        <v>1940.9245632055349</v>
      </c>
      <c r="BF109" s="1325">
        <f t="shared" ca="1" si="283"/>
        <v>1785.0881572898077</v>
      </c>
      <c r="BG109" s="1325">
        <f t="shared" ca="1" si="283"/>
        <v>1639.5815981499927</v>
      </c>
      <c r="BH109" s="1325">
        <f t="shared" ca="1" si="283"/>
        <v>1503.5108596009754</v>
      </c>
      <c r="BI109" s="1325">
        <f t="shared" ca="1" si="283"/>
        <v>1376.9515155481945</v>
      </c>
      <c r="BJ109" s="1325">
        <f t="shared" ca="1" si="283"/>
        <v>1258.9971768238163</v>
      </c>
      <c r="BK109" s="1325">
        <f t="shared" ca="1" si="283"/>
        <v>1149.1175657465915</v>
      </c>
      <c r="BL109" s="1325">
        <f t="shared" ca="1" si="283"/>
        <v>1046.5921430138878</v>
      </c>
      <c r="BM109" s="1325">
        <f t="shared" ca="1" si="283"/>
        <v>951.41165585114391</v>
      </c>
      <c r="BN109" s="1325">
        <f t="shared" ca="1" si="283"/>
        <v>862.89077170840017</v>
      </c>
      <c r="BO109" s="1325">
        <f t="shared" ca="1" si="283"/>
        <v>780.61245042558346</v>
      </c>
      <c r="BP109" s="1325">
        <f t="shared" ca="1" si="283"/>
        <v>704.03574588973208</v>
      </c>
      <c r="BQ109" s="1325">
        <f t="shared" ca="1" si="283"/>
        <v>633.1032266767362</v>
      </c>
      <c r="BR109" s="1325">
        <f t="shared" ca="1" si="283"/>
        <v>567.30292767840911</v>
      </c>
      <c r="BS109" s="1325">
        <f t="shared" ca="1" si="283"/>
        <v>506.30806798529039</v>
      </c>
      <c r="BT109" s="1325">
        <f t="shared" ca="1" si="283"/>
        <v>449.71646797653079</v>
      </c>
      <c r="BU109" s="1325">
        <f t="shared" ca="1" si="283"/>
        <v>397.43980000819431</v>
      </c>
      <c r="BV109" s="1325">
        <f t="shared" ca="1" si="283"/>
        <v>349.09963820894717</v>
      </c>
      <c r="BW109" s="1325">
        <f t="shared" ca="1" si="283"/>
        <v>304.4405902475703</v>
      </c>
      <c r="BX109" s="1325">
        <f t="shared" ca="1" si="283"/>
        <v>263.16712380463827</v>
      </c>
      <c r="BY109" s="1325">
        <f t="shared" ca="1" si="283"/>
        <v>225.17267793058639</v>
      </c>
      <c r="BZ109" s="1325">
        <f t="shared" ca="1" si="283"/>
        <v>190.18118990864693</v>
      </c>
      <c r="CA109" s="1325">
        <f t="shared" ca="1" si="283"/>
        <v>157.99363464594342</v>
      </c>
      <c r="CB109" s="1325">
        <f t="shared" ca="1" si="283"/>
        <v>128.39602199489886</v>
      </c>
      <c r="CC109" s="1325">
        <f t="shared" ca="1" si="283"/>
        <v>101.27271751018679</v>
      </c>
      <c r="CD109" s="1325">
        <f t="shared" ca="1" si="283"/>
        <v>76.425689616748741</v>
      </c>
      <c r="CE109" s="1325">
        <f t="shared" ca="1" si="283"/>
        <v>53.700338464578373</v>
      </c>
      <c r="CF109" s="1325">
        <f t="shared" ca="1" si="283"/>
        <v>32.944649781864229</v>
      </c>
      <c r="CG109" s="1325">
        <f t="shared" ca="1" si="283"/>
        <v>14.040413957680315</v>
      </c>
      <c r="CH109" s="1325">
        <f t="shared" ca="1" si="283"/>
        <v>-3.1513022203679952</v>
      </c>
      <c r="CI109" s="1325">
        <f t="shared" ca="1" si="283"/>
        <v>-18.75015529429243</v>
      </c>
      <c r="CJ109" s="1325">
        <f t="shared" ca="1" si="283"/>
        <v>-18.347320440047316</v>
      </c>
      <c r="ES109" s="1"/>
      <c r="ET109" s="1"/>
      <c r="EU109" s="1"/>
      <c r="EV109" s="1"/>
      <c r="EW109" s="1"/>
      <c r="EX109" s="1"/>
      <c r="EY109" s="1"/>
      <c r="EZ109" s="1"/>
      <c r="FA109" s="1"/>
      <c r="FB109" s="1"/>
      <c r="FC109" s="1"/>
      <c r="FD109" s="1"/>
      <c r="FE109" s="1"/>
      <c r="FF109" s="1"/>
      <c r="FG109" s="1"/>
      <c r="FH109" s="1"/>
      <c r="FI109" s="1"/>
      <c r="FJ109" s="1"/>
      <c r="FK109" s="1"/>
      <c r="FL109" s="1"/>
      <c r="FM109" s="1"/>
      <c r="FN109" s="1"/>
      <c r="FO109" s="1"/>
      <c r="FP109" s="1"/>
      <c r="FQ109" s="1"/>
      <c r="FR109" s="1"/>
      <c r="FS109" s="1"/>
      <c r="FT109" s="1"/>
      <c r="FU109" s="1"/>
      <c r="FV109" s="1"/>
      <c r="FW109" s="1"/>
      <c r="FX109" s="1"/>
      <c r="FY109" s="1"/>
      <c r="FZ109" s="1"/>
      <c r="GA109" s="1"/>
      <c r="GB109" s="1"/>
      <c r="GC109" s="1"/>
      <c r="GD109" s="1"/>
      <c r="GE109" s="1"/>
      <c r="GF109" s="1"/>
      <c r="GG109" s="1"/>
      <c r="GH109" s="1"/>
      <c r="GI109" s="1"/>
      <c r="GJ109" s="1"/>
      <c r="GK109" s="1"/>
      <c r="GL109" s="1"/>
      <c r="GM109" s="1"/>
      <c r="GN109" s="1"/>
      <c r="GO109" s="1"/>
      <c r="GP109" s="1"/>
      <c r="GQ109" s="1"/>
      <c r="GR109" s="1"/>
      <c r="GS109" s="1"/>
      <c r="GT109" s="1"/>
      <c r="GU109" s="1"/>
      <c r="GV109" s="1"/>
      <c r="GW109" s="1"/>
      <c r="GX109" s="1"/>
      <c r="GY109" s="1"/>
      <c r="GZ109" s="1"/>
      <c r="HA109" s="1"/>
      <c r="HB109" s="1"/>
      <c r="HC109" s="1"/>
      <c r="HD109" s="1"/>
      <c r="HE109" s="1"/>
      <c r="HF109" s="1"/>
      <c r="HG109" s="1"/>
      <c r="HH109" s="1"/>
      <c r="HI109" s="1"/>
      <c r="HJ109" s="1"/>
      <c r="HK109" s="1"/>
      <c r="HL109" s="1"/>
      <c r="HM109" s="1"/>
      <c r="HN109" s="1"/>
      <c r="HO109" s="1"/>
      <c r="HP109" s="1"/>
      <c r="HQ109" s="1"/>
      <c r="HR109" s="1"/>
      <c r="HS109" s="1"/>
      <c r="HT109" s="1"/>
      <c r="HU109" s="1"/>
      <c r="HV109" s="1"/>
      <c r="HW109" s="1"/>
      <c r="HX109" s="1"/>
      <c r="HY109" s="1"/>
      <c r="HZ109" s="1"/>
      <c r="IA109" s="1"/>
      <c r="IB109" s="1"/>
      <c r="IC109" s="1"/>
      <c r="ID109" s="1"/>
      <c r="IE109" s="1"/>
      <c r="IF109" s="1"/>
      <c r="IG109" s="1"/>
      <c r="IH109" s="1"/>
      <c r="II109" s="1"/>
      <c r="IJ109" s="1"/>
      <c r="IK109" s="1"/>
      <c r="IL109" s="1"/>
      <c r="IM109" s="1"/>
      <c r="IN109" s="1"/>
      <c r="IO109" s="1"/>
      <c r="IP109" s="1"/>
      <c r="IQ109" s="1"/>
      <c r="IR109" s="1"/>
      <c r="IS109" s="1"/>
      <c r="IT109" s="1"/>
      <c r="IU109" s="1"/>
      <c r="IV109" s="1"/>
      <c r="IW109" s="1"/>
      <c r="IX109" s="1"/>
      <c r="IY109" s="1"/>
      <c r="IZ109" s="1"/>
      <c r="JA109" s="1"/>
      <c r="JB109" s="1"/>
      <c r="JC109" s="1"/>
      <c r="JD109" s="1"/>
    </row>
    <row r="110" spans="2:264" s="1299" customFormat="1" x14ac:dyDescent="0.2">
      <c r="B110" s="1046"/>
      <c r="C110" s="1326"/>
      <c r="F110" s="1044"/>
      <c r="G110" s="1043"/>
      <c r="H110" s="1043"/>
      <c r="I110" s="1044"/>
      <c r="J110" s="1044"/>
      <c r="K110" s="1044"/>
      <c r="L110" s="1044"/>
      <c r="M110" s="1044"/>
      <c r="N110" s="1044"/>
      <c r="O110" s="1044"/>
      <c r="Q110" s="1047"/>
      <c r="R110" s="1074"/>
      <c r="S110" s="1074"/>
      <c r="T110" s="1074"/>
      <c r="U110" s="1074"/>
      <c r="V110" s="1074"/>
      <c r="W110" s="1074"/>
      <c r="X110" s="1074"/>
      <c r="Y110" s="1074"/>
      <c r="Z110" s="1074"/>
      <c r="AA110" s="1074"/>
      <c r="AB110" s="1074"/>
      <c r="AC110" s="1074"/>
      <c r="AD110" s="1074"/>
      <c r="AE110" s="1279"/>
      <c r="AF110" s="1074"/>
      <c r="AG110" s="1074"/>
      <c r="AH110" s="1074"/>
      <c r="AI110" s="1074"/>
      <c r="AJ110" s="1074"/>
      <c r="AK110" s="1364"/>
      <c r="AL110" s="1074"/>
      <c r="AM110" s="1074"/>
      <c r="AN110" s="1074"/>
      <c r="AO110" s="1074"/>
      <c r="AP110" s="1074"/>
      <c r="AQ110" s="1074"/>
      <c r="AR110" s="1074"/>
      <c r="AS110" s="1074"/>
      <c r="AT110" s="1074"/>
      <c r="AU110" s="1074"/>
      <c r="AV110" s="1083"/>
      <c r="AW110" s="1083"/>
      <c r="AX110" s="1083"/>
      <c r="AY110" s="1083"/>
      <c r="AZ110" s="1083"/>
      <c r="BA110" s="1083"/>
      <c r="BB110" s="1083"/>
      <c r="BC110" s="1083"/>
      <c r="BD110" s="1083"/>
      <c r="BE110" s="1083"/>
      <c r="BF110" s="1083"/>
      <c r="BG110" s="1083"/>
      <c r="BH110" s="1083"/>
      <c r="BI110" s="1083"/>
      <c r="BJ110" s="1083"/>
      <c r="BK110" s="1083"/>
      <c r="BL110" s="1083"/>
      <c r="BM110" s="1083"/>
      <c r="BN110" s="1083"/>
      <c r="BO110" s="1083"/>
      <c r="BP110" s="1083"/>
      <c r="BQ110" s="1083"/>
      <c r="BR110" s="1083"/>
      <c r="BS110" s="1083"/>
      <c r="BT110" s="1083"/>
      <c r="BU110" s="1083"/>
      <c r="BV110" s="1083"/>
      <c r="BW110" s="1083"/>
      <c r="BX110" s="1083"/>
      <c r="BY110" s="1083"/>
      <c r="BZ110" s="1083"/>
      <c r="CA110" s="1083"/>
      <c r="CB110" s="1083"/>
      <c r="CC110" s="1083"/>
      <c r="CD110" s="1083"/>
      <c r="CE110" s="1083"/>
      <c r="CF110" s="1264"/>
      <c r="CG110" s="1264"/>
      <c r="CH110" s="1264"/>
      <c r="CI110" s="1264"/>
      <c r="CJ110" s="1264"/>
      <c r="CK110" s="1044"/>
      <c r="CL110" s="1044"/>
      <c r="CM110" s="1044"/>
      <c r="CN110" s="1044"/>
      <c r="CO110" s="1044"/>
      <c r="CP110" s="1044"/>
      <c r="CQ110" s="1044"/>
      <c r="CR110" s="1044"/>
      <c r="CS110" s="1044"/>
      <c r="CT110" s="1044"/>
      <c r="CU110" s="1044"/>
      <c r="CV110" s="1044"/>
      <c r="CW110" s="1044"/>
      <c r="CX110" s="1044"/>
      <c r="CY110" s="1044"/>
      <c r="CZ110" s="1044"/>
      <c r="DA110" s="1044"/>
      <c r="DB110" s="1044"/>
      <c r="DC110" s="1044"/>
      <c r="DD110" s="1044"/>
      <c r="DE110" s="1044"/>
      <c r="DF110" s="1044"/>
      <c r="DG110" s="1044"/>
      <c r="DH110" s="1044"/>
      <c r="DI110" s="1044"/>
      <c r="DJ110" s="1044"/>
      <c r="DK110" s="1044"/>
      <c r="DL110" s="1044"/>
      <c r="DM110" s="1044"/>
      <c r="DN110" s="1044"/>
      <c r="DO110" s="1044"/>
      <c r="DP110" s="1044"/>
      <c r="DQ110" s="1044"/>
      <c r="DR110" s="1044"/>
      <c r="DS110" s="1044"/>
      <c r="DT110" s="1044"/>
      <c r="DU110" s="1044"/>
      <c r="DV110" s="1044"/>
      <c r="DW110" s="1044"/>
      <c r="DX110" s="1044"/>
      <c r="DY110" s="1044"/>
      <c r="DZ110" s="1044"/>
      <c r="EA110" s="1044"/>
      <c r="EB110" s="1044"/>
      <c r="EC110" s="1044"/>
      <c r="ED110" s="1044"/>
      <c r="EE110" s="1044"/>
      <c r="EF110" s="1044"/>
      <c r="EG110" s="1044"/>
      <c r="EH110" s="1044"/>
      <c r="EI110" s="1044"/>
      <c r="EJ110" s="1044"/>
      <c r="EK110" s="1044"/>
      <c r="EL110" s="1044"/>
      <c r="EM110" s="1044"/>
      <c r="EN110" s="1044"/>
      <c r="EO110" s="1044"/>
      <c r="EP110" s="1044"/>
      <c r="EQ110" s="1044"/>
      <c r="ER110" s="1044"/>
      <c r="ES110" s="1"/>
      <c r="ET110" s="1"/>
      <c r="EU110" s="1"/>
      <c r="EV110" s="1"/>
      <c r="EW110" s="1"/>
      <c r="EX110" s="1"/>
      <c r="EY110" s="1"/>
      <c r="EZ110" s="1"/>
      <c r="FA110" s="1"/>
      <c r="FB110" s="1"/>
      <c r="FC110" s="1"/>
      <c r="FD110" s="1"/>
      <c r="FE110" s="1"/>
      <c r="FF110" s="1"/>
      <c r="FG110" s="1"/>
      <c r="FH110" s="1"/>
      <c r="FI110" s="1"/>
      <c r="FJ110" s="1"/>
      <c r="FK110" s="1"/>
      <c r="FL110" s="1"/>
      <c r="FM110" s="1"/>
      <c r="FN110" s="1"/>
      <c r="FO110" s="1"/>
      <c r="FP110" s="1"/>
      <c r="FQ110" s="1"/>
      <c r="FR110" s="1"/>
      <c r="FS110" s="1"/>
      <c r="FT110" s="1"/>
      <c r="FU110" s="1"/>
      <c r="FV110" s="1"/>
      <c r="FW110" s="1"/>
      <c r="FX110" s="1"/>
      <c r="FY110" s="1"/>
      <c r="FZ110" s="1"/>
      <c r="GA110" s="1"/>
      <c r="GB110" s="1"/>
      <c r="GC110" s="1"/>
      <c r="GD110" s="1"/>
      <c r="GE110" s="1"/>
      <c r="GF110" s="1"/>
      <c r="GG110" s="1"/>
      <c r="GH110" s="1"/>
      <c r="GI110" s="1"/>
      <c r="GJ110" s="1"/>
      <c r="GK110" s="1"/>
      <c r="GL110" s="1"/>
      <c r="GM110" s="1"/>
      <c r="GN110" s="1"/>
      <c r="GO110" s="1"/>
      <c r="GP110" s="1"/>
      <c r="GQ110" s="1"/>
      <c r="GR110" s="1"/>
      <c r="GS110" s="1"/>
      <c r="GT110" s="1"/>
      <c r="GU110" s="1"/>
      <c r="GV110" s="1"/>
      <c r="GW110" s="1"/>
      <c r="GX110" s="1"/>
      <c r="GY110" s="1"/>
      <c r="GZ110" s="1"/>
      <c r="HA110" s="1"/>
      <c r="HB110" s="1"/>
      <c r="HC110" s="1"/>
      <c r="HD110" s="1"/>
      <c r="HE110" s="1"/>
      <c r="HF110" s="1"/>
      <c r="HG110" s="1"/>
      <c r="HH110" s="1"/>
      <c r="HI110" s="1"/>
      <c r="HJ110" s="1"/>
      <c r="HK110" s="1"/>
      <c r="HL110" s="1"/>
      <c r="HM110" s="1"/>
      <c r="HN110" s="1"/>
      <c r="HO110" s="1"/>
      <c r="HP110" s="1"/>
      <c r="HQ110" s="1"/>
      <c r="HR110" s="1"/>
      <c r="HS110" s="1"/>
      <c r="HT110" s="1"/>
      <c r="HU110" s="1"/>
      <c r="HV110" s="1"/>
      <c r="HW110" s="1"/>
      <c r="HX110" s="1"/>
      <c r="HY110" s="1"/>
      <c r="HZ110" s="1"/>
      <c r="IA110" s="1"/>
      <c r="IB110" s="1"/>
      <c r="IC110" s="1"/>
      <c r="ID110" s="1"/>
      <c r="IE110" s="1"/>
      <c r="IF110" s="1"/>
      <c r="IG110" s="1"/>
      <c r="IH110" s="1"/>
      <c r="II110" s="1"/>
      <c r="IJ110" s="1"/>
      <c r="IK110" s="1"/>
      <c r="IL110" s="1"/>
      <c r="IM110" s="1"/>
      <c r="IN110" s="1"/>
      <c r="IO110" s="1"/>
      <c r="IP110" s="1"/>
      <c r="IQ110" s="1"/>
      <c r="IR110" s="1"/>
      <c r="IS110" s="1"/>
      <c r="IT110" s="1"/>
      <c r="IU110" s="1"/>
      <c r="IV110" s="1"/>
      <c r="IW110" s="1"/>
      <c r="IX110" s="1"/>
      <c r="IY110" s="1"/>
      <c r="IZ110" s="1"/>
      <c r="JA110" s="1"/>
      <c r="JB110" s="1"/>
      <c r="JC110" s="1"/>
      <c r="JD110" s="1"/>
    </row>
    <row r="111" spans="2:264" s="1044" customFormat="1" x14ac:dyDescent="0.2">
      <c r="B111" s="350"/>
      <c r="C111" s="1319"/>
      <c r="D111" s="1317"/>
      <c r="G111" s="1043"/>
      <c r="H111" s="1043"/>
      <c r="P111" s="1046"/>
      <c r="Q111" s="1044" t="s">
        <v>60</v>
      </c>
      <c r="R111" s="1074"/>
      <c r="S111" s="1074"/>
      <c r="T111" s="1074"/>
      <c r="U111" s="1074"/>
      <c r="V111" s="1074"/>
      <c r="W111" s="1074"/>
      <c r="X111" s="1074"/>
      <c r="Y111" s="1176"/>
      <c r="Z111" s="1176"/>
      <c r="AA111" s="1176"/>
      <c r="AB111" s="1176"/>
      <c r="AC111" s="1176"/>
      <c r="AD111" s="1176"/>
      <c r="AE111" s="1176"/>
      <c r="AF111" s="1176"/>
      <c r="AG111" s="1176">
        <f>AG58</f>
        <v>10181</v>
      </c>
      <c r="AH111" s="1176">
        <f t="shared" ref="AH111:CJ111" si="286">AH58</f>
        <v>10771</v>
      </c>
      <c r="AI111" s="1176">
        <f t="shared" si="286"/>
        <v>9998</v>
      </c>
      <c r="AJ111" s="1176">
        <f t="shared" si="286"/>
        <v>9394</v>
      </c>
      <c r="AK111" s="1378">
        <f t="shared" si="286"/>
        <v>10116</v>
      </c>
      <c r="AL111" s="1176">
        <f t="shared" si="286"/>
        <v>10991.653390878699</v>
      </c>
      <c r="AM111" s="1176">
        <f t="shared" si="286"/>
        <v>11801.308185560092</v>
      </c>
      <c r="AN111" s="1176">
        <f t="shared" si="286"/>
        <v>12258.706796775259</v>
      </c>
      <c r="AO111" s="1176">
        <f t="shared" ca="1" si="286"/>
        <v>12925.493078831561</v>
      </c>
      <c r="AP111" s="1176">
        <f t="shared" ca="1" si="286"/>
        <v>13420.746209131936</v>
      </c>
      <c r="AQ111" s="1176">
        <f t="shared" ca="1" si="286"/>
        <v>13934.192192653638</v>
      </c>
      <c r="AR111" s="1176">
        <f t="shared" ca="1" si="286"/>
        <v>14466.470323873622</v>
      </c>
      <c r="AS111" s="1176">
        <f t="shared" ca="1" si="286"/>
        <v>13579.115218094181</v>
      </c>
      <c r="AT111" s="1176">
        <f t="shared" ca="1" si="286"/>
        <v>14086.300448299729</v>
      </c>
      <c r="AU111" s="1176">
        <f t="shared" ca="1" si="286"/>
        <v>16183.012969235842</v>
      </c>
      <c r="AV111" s="1176">
        <f t="shared" ca="1" si="286"/>
        <v>16938.299103375579</v>
      </c>
      <c r="AW111" s="1176">
        <f t="shared" ca="1" si="286"/>
        <v>17758.541791819203</v>
      </c>
      <c r="AX111" s="1176">
        <f t="shared" ca="1" si="286"/>
        <v>18369.285601213949</v>
      </c>
      <c r="AY111" s="1176">
        <f t="shared" ca="1" si="286"/>
        <v>18939.852093984951</v>
      </c>
      <c r="AZ111" s="1176">
        <f t="shared" ca="1" si="286"/>
        <v>19512.917397974652</v>
      </c>
      <c r="BA111" s="1176">
        <f t="shared" ca="1" si="286"/>
        <v>19835.334088568117</v>
      </c>
      <c r="BB111" s="1176">
        <f t="shared" ca="1" si="286"/>
        <v>20266.375873358054</v>
      </c>
      <c r="BC111" s="1176">
        <f t="shared" ca="1" si="286"/>
        <v>20604.053316448404</v>
      </c>
      <c r="BD111" s="1176">
        <f t="shared" ca="1" si="286"/>
        <v>20918.631586226154</v>
      </c>
      <c r="BE111" s="1176">
        <f t="shared" ca="1" si="286"/>
        <v>21227.711327787136</v>
      </c>
      <c r="BF111" s="1176">
        <f t="shared" ca="1" si="286"/>
        <v>21535.553538063778</v>
      </c>
      <c r="BG111" s="1176">
        <f t="shared" ca="1" si="286"/>
        <v>21843.043521812382</v>
      </c>
      <c r="BH111" s="1176">
        <f t="shared" ca="1" si="286"/>
        <v>22150.20691280597</v>
      </c>
      <c r="BI111" s="1176">
        <f t="shared" ca="1" si="286"/>
        <v>22456.842553889219</v>
      </c>
      <c r="BJ111" s="1176">
        <f t="shared" ca="1" si="286"/>
        <v>22762.68079190969</v>
      </c>
      <c r="BK111" s="1176">
        <f t="shared" ca="1" si="286"/>
        <v>23067.422548746563</v>
      </c>
      <c r="BL111" s="1176">
        <f t="shared" ca="1" si="286"/>
        <v>23370.748525431518</v>
      </c>
      <c r="BM111" s="1176">
        <f t="shared" ca="1" si="286"/>
        <v>23672.320933544735</v>
      </c>
      <c r="BN111" s="1176">
        <f t="shared" ca="1" si="286"/>
        <v>23971.783346953958</v>
      </c>
      <c r="BO111" s="1176">
        <f t="shared" ca="1" si="286"/>
        <v>24268.760065537084</v>
      </c>
      <c r="BP111" s="1176">
        <f t="shared" ca="1" si="286"/>
        <v>24562.855335376586</v>
      </c>
      <c r="BQ111" s="1176">
        <f t="shared" ca="1" si="286"/>
        <v>24853.652509780524</v>
      </c>
      <c r="BR111" s="1176">
        <f t="shared" ca="1" si="286"/>
        <v>25140.713171058032</v>
      </c>
      <c r="BS111" s="1176">
        <f t="shared" ca="1" si="286"/>
        <v>25423.576217052381</v>
      </c>
      <c r="BT111" s="1176">
        <f t="shared" ca="1" si="286"/>
        <v>25701.756912488319</v>
      </c>
      <c r="BU111" s="1176">
        <f t="shared" ca="1" si="286"/>
        <v>25974.74590419103</v>
      </c>
      <c r="BV111" s="1176">
        <f t="shared" ca="1" si="286"/>
        <v>26242.00819895717</v>
      </c>
      <c r="BW111" s="1176">
        <f t="shared" ca="1" si="286"/>
        <v>26502.982102756527</v>
      </c>
      <c r="BX111" s="1176">
        <f t="shared" ca="1" si="286"/>
        <v>26757.078119882746</v>
      </c>
      <c r="BY111" s="1176">
        <f t="shared" ca="1" si="286"/>
        <v>27003.677810620145</v>
      </c>
      <c r="BZ111" s="1176">
        <f t="shared" ca="1" si="286"/>
        <v>27242.132605943254</v>
      </c>
      <c r="CA111" s="1176">
        <f t="shared" ca="1" si="286"/>
        <v>27471.762577714388</v>
      </c>
      <c r="CB111" s="1176">
        <f t="shared" ca="1" si="286"/>
        <v>27691.855162791355</v>
      </c>
      <c r="CC111" s="1176">
        <f t="shared" ca="1" si="286"/>
        <v>27901.663839402576</v>
      </c>
      <c r="CD111" s="1176">
        <f t="shared" ca="1" si="286"/>
        <v>28100.406754090327</v>
      </c>
      <c r="CE111" s="1176">
        <f t="shared" ca="1" si="286"/>
        <v>28287.26529746439</v>
      </c>
      <c r="CF111" s="1176">
        <f t="shared" ca="1" si="286"/>
        <v>28461.382626947474</v>
      </c>
      <c r="CG111" s="1176">
        <f t="shared" ca="1" si="286"/>
        <v>28621.862134631705</v>
      </c>
      <c r="CH111" s="1176">
        <f t="shared" ca="1" si="286"/>
        <v>28767.765858300434</v>
      </c>
      <c r="CI111" s="1176">
        <f t="shared" ca="1" si="286"/>
        <v>28898.112833602965</v>
      </c>
      <c r="CJ111" s="1176">
        <f t="shared" ca="1" si="286"/>
        <v>29735.718346120368</v>
      </c>
      <c r="ES111" s="1"/>
      <c r="ET111" s="1"/>
      <c r="EU111" s="1"/>
      <c r="EV111" s="1"/>
      <c r="EW111" s="1"/>
      <c r="EX111" s="1"/>
      <c r="EY111" s="1"/>
      <c r="EZ111" s="1"/>
      <c r="FA111" s="1"/>
      <c r="FB111" s="1"/>
      <c r="FC111" s="1"/>
      <c r="FD111" s="1"/>
      <c r="FE111" s="1"/>
      <c r="FF111" s="1"/>
      <c r="FG111" s="1"/>
      <c r="FH111" s="1"/>
      <c r="FI111" s="1"/>
      <c r="FJ111" s="1"/>
      <c r="FK111" s="1"/>
      <c r="FL111" s="1"/>
      <c r="FM111" s="1"/>
      <c r="FN111" s="1"/>
      <c r="FO111" s="1"/>
      <c r="FP111" s="1"/>
      <c r="FQ111" s="1"/>
      <c r="FR111" s="1"/>
      <c r="FS111" s="1"/>
      <c r="FT111" s="1"/>
      <c r="FU111" s="1"/>
      <c r="FV111" s="1"/>
      <c r="FW111" s="1"/>
      <c r="FX111" s="1"/>
      <c r="FY111" s="1"/>
      <c r="FZ111" s="1"/>
      <c r="GA111" s="1"/>
      <c r="GB111" s="1"/>
      <c r="GC111" s="1"/>
      <c r="GD111" s="1"/>
      <c r="GE111" s="1"/>
      <c r="GF111" s="1"/>
      <c r="GG111" s="1"/>
      <c r="GH111" s="1"/>
      <c r="GI111" s="1"/>
      <c r="GJ111" s="1"/>
      <c r="GK111" s="1"/>
      <c r="GL111" s="1"/>
      <c r="GM111" s="1"/>
      <c r="GN111" s="1"/>
      <c r="GO111" s="1"/>
      <c r="GP111" s="1"/>
      <c r="GQ111" s="1"/>
      <c r="GR111" s="1"/>
      <c r="GS111" s="1"/>
      <c r="GT111" s="1"/>
      <c r="GU111" s="1"/>
      <c r="GV111" s="1"/>
      <c r="GW111" s="1"/>
      <c r="GX111" s="1"/>
      <c r="GY111" s="1"/>
      <c r="GZ111" s="1"/>
      <c r="HA111" s="1"/>
      <c r="HB111" s="1"/>
      <c r="HC111" s="1"/>
      <c r="HD111" s="1"/>
      <c r="HE111" s="1"/>
      <c r="HF111" s="1"/>
      <c r="HG111" s="1"/>
      <c r="HH111" s="1"/>
      <c r="HI111" s="1"/>
      <c r="HJ111" s="1"/>
      <c r="HK111" s="1"/>
      <c r="HL111" s="1"/>
      <c r="HM111" s="1"/>
      <c r="HN111" s="1"/>
      <c r="HO111" s="1"/>
      <c r="HP111" s="1"/>
      <c r="HQ111" s="1"/>
      <c r="HR111" s="1"/>
      <c r="HS111" s="1"/>
      <c r="HT111" s="1"/>
      <c r="HU111" s="1"/>
      <c r="HV111" s="1"/>
      <c r="HW111" s="1"/>
      <c r="HX111" s="1"/>
      <c r="HY111" s="1"/>
      <c r="HZ111" s="1"/>
      <c r="IA111" s="1"/>
      <c r="IB111" s="1"/>
      <c r="IC111" s="1"/>
      <c r="ID111" s="1"/>
      <c r="IE111" s="1"/>
      <c r="IF111" s="1"/>
      <c r="IG111" s="1"/>
      <c r="IH111" s="1"/>
      <c r="II111" s="1"/>
      <c r="IJ111" s="1"/>
      <c r="IK111" s="1"/>
      <c r="IL111" s="1"/>
      <c r="IM111" s="1"/>
      <c r="IN111" s="1"/>
      <c r="IO111" s="1"/>
      <c r="IP111" s="1"/>
      <c r="IQ111" s="1"/>
      <c r="IR111" s="1"/>
      <c r="IS111" s="1"/>
      <c r="IT111" s="1"/>
      <c r="IU111" s="1"/>
      <c r="IV111" s="1"/>
      <c r="IW111" s="1"/>
      <c r="IX111" s="1"/>
      <c r="IY111" s="1"/>
      <c r="IZ111" s="1"/>
      <c r="JA111" s="1"/>
      <c r="JB111" s="1"/>
      <c r="JC111" s="1"/>
      <c r="JD111" s="1"/>
    </row>
    <row r="112" spans="2:264" s="1044" customFormat="1" x14ac:dyDescent="0.2">
      <c r="B112" s="350"/>
      <c r="C112" s="1320"/>
      <c r="D112" s="1318"/>
      <c r="G112" s="1043"/>
      <c r="H112" s="1043"/>
      <c r="P112" s="1046"/>
      <c r="Q112" s="1046" t="s">
        <v>930</v>
      </c>
      <c r="R112" s="1287"/>
      <c r="S112" s="1287"/>
      <c r="T112" s="1287"/>
      <c r="U112" s="1287"/>
      <c r="V112" s="1287"/>
      <c r="W112" s="1287"/>
      <c r="X112" s="1287"/>
      <c r="Y112" s="1301"/>
      <c r="Z112" s="1301"/>
      <c r="AA112" s="1301"/>
      <c r="AB112" s="1301"/>
      <c r="AC112" s="1301"/>
      <c r="AD112" s="1301"/>
      <c r="AE112" s="1301"/>
      <c r="AF112" s="1301"/>
      <c r="AG112" s="1301">
        <f t="shared" ref="AG112:CJ112" si="287">$C$15/100</f>
        <v>0.08</v>
      </c>
      <c r="AH112" s="1301">
        <f t="shared" si="287"/>
        <v>0.08</v>
      </c>
      <c r="AI112" s="1301">
        <f t="shared" si="287"/>
        <v>0.08</v>
      </c>
      <c r="AJ112" s="1301">
        <f t="shared" si="287"/>
        <v>0.08</v>
      </c>
      <c r="AK112" s="1388">
        <f t="shared" si="287"/>
        <v>0.08</v>
      </c>
      <c r="AL112" s="1301">
        <f t="shared" si="287"/>
        <v>0.08</v>
      </c>
      <c r="AM112" s="1301">
        <f t="shared" si="287"/>
        <v>0.08</v>
      </c>
      <c r="AN112" s="1301">
        <f t="shared" si="287"/>
        <v>0.08</v>
      </c>
      <c r="AO112" s="1301">
        <f t="shared" si="287"/>
        <v>0.08</v>
      </c>
      <c r="AP112" s="1301">
        <f t="shared" si="287"/>
        <v>0.08</v>
      </c>
      <c r="AQ112" s="1301">
        <f t="shared" si="287"/>
        <v>0.08</v>
      </c>
      <c r="AR112" s="1301">
        <f t="shared" si="287"/>
        <v>0.08</v>
      </c>
      <c r="AS112" s="1301">
        <f t="shared" si="287"/>
        <v>0.08</v>
      </c>
      <c r="AT112" s="1301">
        <f t="shared" si="287"/>
        <v>0.08</v>
      </c>
      <c r="AU112" s="1301">
        <f t="shared" si="287"/>
        <v>0.08</v>
      </c>
      <c r="AV112" s="1301">
        <f t="shared" si="287"/>
        <v>0.08</v>
      </c>
      <c r="AW112" s="1301">
        <f t="shared" si="287"/>
        <v>0.08</v>
      </c>
      <c r="AX112" s="1301">
        <f t="shared" si="287"/>
        <v>0.08</v>
      </c>
      <c r="AY112" s="1301">
        <f t="shared" si="287"/>
        <v>0.08</v>
      </c>
      <c r="AZ112" s="1301">
        <f t="shared" si="287"/>
        <v>0.08</v>
      </c>
      <c r="BA112" s="1301">
        <f t="shared" si="287"/>
        <v>0.08</v>
      </c>
      <c r="BB112" s="1301">
        <f t="shared" si="287"/>
        <v>0.08</v>
      </c>
      <c r="BC112" s="1301">
        <f t="shared" si="287"/>
        <v>0.08</v>
      </c>
      <c r="BD112" s="1301">
        <f t="shared" si="287"/>
        <v>0.08</v>
      </c>
      <c r="BE112" s="1301">
        <f t="shared" si="287"/>
        <v>0.08</v>
      </c>
      <c r="BF112" s="1301">
        <f t="shared" si="287"/>
        <v>0.08</v>
      </c>
      <c r="BG112" s="1301">
        <f t="shared" si="287"/>
        <v>0.08</v>
      </c>
      <c r="BH112" s="1301">
        <f t="shared" si="287"/>
        <v>0.08</v>
      </c>
      <c r="BI112" s="1301">
        <f t="shared" si="287"/>
        <v>0.08</v>
      </c>
      <c r="BJ112" s="1301">
        <f t="shared" si="287"/>
        <v>0.08</v>
      </c>
      <c r="BK112" s="1301">
        <f t="shared" si="287"/>
        <v>0.08</v>
      </c>
      <c r="BL112" s="1301">
        <f t="shared" si="287"/>
        <v>0.08</v>
      </c>
      <c r="BM112" s="1301">
        <f t="shared" si="287"/>
        <v>0.08</v>
      </c>
      <c r="BN112" s="1301">
        <f t="shared" si="287"/>
        <v>0.08</v>
      </c>
      <c r="BO112" s="1301">
        <f t="shared" si="287"/>
        <v>0.08</v>
      </c>
      <c r="BP112" s="1301">
        <f t="shared" si="287"/>
        <v>0.08</v>
      </c>
      <c r="BQ112" s="1301">
        <f t="shared" si="287"/>
        <v>0.08</v>
      </c>
      <c r="BR112" s="1301">
        <f t="shared" si="287"/>
        <v>0.08</v>
      </c>
      <c r="BS112" s="1301">
        <f t="shared" si="287"/>
        <v>0.08</v>
      </c>
      <c r="BT112" s="1301">
        <f t="shared" si="287"/>
        <v>0.08</v>
      </c>
      <c r="BU112" s="1301">
        <f t="shared" si="287"/>
        <v>0.08</v>
      </c>
      <c r="BV112" s="1301">
        <f t="shared" si="287"/>
        <v>0.08</v>
      </c>
      <c r="BW112" s="1301">
        <f t="shared" si="287"/>
        <v>0.08</v>
      </c>
      <c r="BX112" s="1301">
        <f t="shared" si="287"/>
        <v>0.08</v>
      </c>
      <c r="BY112" s="1301">
        <f t="shared" si="287"/>
        <v>0.08</v>
      </c>
      <c r="BZ112" s="1301">
        <f t="shared" si="287"/>
        <v>0.08</v>
      </c>
      <c r="CA112" s="1301">
        <f t="shared" si="287"/>
        <v>0.08</v>
      </c>
      <c r="CB112" s="1301">
        <f t="shared" si="287"/>
        <v>0.08</v>
      </c>
      <c r="CC112" s="1301">
        <f t="shared" si="287"/>
        <v>0.08</v>
      </c>
      <c r="CD112" s="1301">
        <f t="shared" si="287"/>
        <v>0.08</v>
      </c>
      <c r="CE112" s="1301">
        <f t="shared" si="287"/>
        <v>0.08</v>
      </c>
      <c r="CF112" s="1301">
        <f t="shared" si="287"/>
        <v>0.08</v>
      </c>
      <c r="CG112" s="1301">
        <f t="shared" si="287"/>
        <v>0.08</v>
      </c>
      <c r="CH112" s="1301">
        <f t="shared" si="287"/>
        <v>0.08</v>
      </c>
      <c r="CI112" s="1301">
        <f t="shared" si="287"/>
        <v>0.08</v>
      </c>
      <c r="CJ112" s="1301">
        <f t="shared" si="287"/>
        <v>0.08</v>
      </c>
      <c r="ES112" s="1"/>
      <c r="ET112" s="1"/>
      <c r="EU112" s="1"/>
      <c r="EV112" s="1"/>
      <c r="EW112" s="1"/>
      <c r="EX112" s="1"/>
      <c r="EY112" s="1"/>
      <c r="EZ112" s="1"/>
      <c r="FA112" s="1"/>
      <c r="FB112" s="1"/>
      <c r="FC112" s="1"/>
      <c r="FD112" s="1"/>
      <c r="FE112" s="1"/>
      <c r="FF112" s="1"/>
      <c r="FG112" s="1"/>
      <c r="FH112" s="1"/>
      <c r="FI112" s="1"/>
      <c r="FJ112" s="1"/>
      <c r="FK112" s="1"/>
      <c r="FL112" s="1"/>
      <c r="FM112" s="1"/>
      <c r="FN112" s="1"/>
      <c r="FO112" s="1"/>
      <c r="FP112" s="1"/>
      <c r="FQ112" s="1"/>
      <c r="FR112" s="1"/>
      <c r="FS112" s="1"/>
      <c r="FT112" s="1"/>
      <c r="FU112" s="1"/>
      <c r="FV112" s="1"/>
      <c r="FW112" s="1"/>
      <c r="FX112" s="1"/>
      <c r="FY112" s="1"/>
      <c r="FZ112" s="1"/>
      <c r="GA112" s="1"/>
      <c r="GB112" s="1"/>
      <c r="GC112" s="1"/>
      <c r="GD112" s="1"/>
      <c r="GE112" s="1"/>
      <c r="GF112" s="1"/>
      <c r="GG112" s="1"/>
      <c r="GH112" s="1"/>
      <c r="GI112" s="1"/>
      <c r="GJ112" s="1"/>
      <c r="GK112" s="1"/>
      <c r="GL112" s="1"/>
      <c r="GM112" s="1"/>
      <c r="GN112" s="1"/>
      <c r="GO112" s="1"/>
      <c r="GP112" s="1"/>
      <c r="GQ112" s="1"/>
      <c r="GR112" s="1"/>
      <c r="GS112" s="1"/>
      <c r="GT112" s="1"/>
      <c r="GU112" s="1"/>
      <c r="GV112" s="1"/>
      <c r="GW112" s="1"/>
      <c r="GX112" s="1"/>
      <c r="GY112" s="1"/>
      <c r="GZ112" s="1"/>
      <c r="HA112" s="1"/>
      <c r="HB112" s="1"/>
      <c r="HC112" s="1"/>
      <c r="HD112" s="1"/>
      <c r="HE112" s="1"/>
      <c r="HF112" s="1"/>
      <c r="HG112" s="1"/>
      <c r="HH112" s="1"/>
      <c r="HI112" s="1"/>
      <c r="HJ112" s="1"/>
      <c r="HK112" s="1"/>
      <c r="HL112" s="1"/>
      <c r="HM112" s="1"/>
      <c r="HN112" s="1"/>
      <c r="HO112" s="1"/>
      <c r="HP112" s="1"/>
      <c r="HQ112" s="1"/>
      <c r="HR112" s="1"/>
      <c r="HS112" s="1"/>
      <c r="HT112" s="1"/>
      <c r="HU112" s="1"/>
      <c r="HV112" s="1"/>
      <c r="HW112" s="1"/>
      <c r="HX112" s="1"/>
      <c r="HY112" s="1"/>
      <c r="HZ112" s="1"/>
      <c r="IA112" s="1"/>
      <c r="IB112" s="1"/>
      <c r="IC112" s="1"/>
      <c r="ID112" s="1"/>
      <c r="IE112" s="1"/>
      <c r="IF112" s="1"/>
      <c r="IG112" s="1"/>
      <c r="IH112" s="1"/>
      <c r="II112" s="1"/>
      <c r="IJ112" s="1"/>
      <c r="IK112" s="1"/>
      <c r="IL112" s="1"/>
      <c r="IM112" s="1"/>
      <c r="IN112" s="1"/>
      <c r="IO112" s="1"/>
      <c r="IP112" s="1"/>
      <c r="IQ112" s="1"/>
      <c r="IR112" s="1"/>
      <c r="IS112" s="1"/>
      <c r="IT112" s="1"/>
      <c r="IU112" s="1"/>
      <c r="IV112" s="1"/>
      <c r="IW112" s="1"/>
      <c r="IX112" s="1"/>
      <c r="IY112" s="1"/>
      <c r="IZ112" s="1"/>
      <c r="JA112" s="1"/>
      <c r="JB112" s="1"/>
      <c r="JC112" s="1"/>
      <c r="JD112" s="1"/>
    </row>
    <row r="113" spans="2:264" s="1044" customFormat="1" x14ac:dyDescent="0.2">
      <c r="B113" s="1299"/>
      <c r="C113" s="1321"/>
      <c r="D113" s="1319"/>
      <c r="G113" s="1043"/>
      <c r="H113" s="1043"/>
      <c r="P113" s="1046"/>
      <c r="Q113" s="1044" t="s">
        <v>1095</v>
      </c>
      <c r="R113" s="1074"/>
      <c r="S113" s="1302"/>
      <c r="T113" s="1302"/>
      <c r="U113" s="1302"/>
      <c r="V113" s="1302"/>
      <c r="W113" s="1302"/>
      <c r="X113" s="1302"/>
      <c r="Y113" s="1302"/>
      <c r="Z113" s="1302"/>
      <c r="AA113" s="1302"/>
      <c r="AB113" s="1302"/>
      <c r="AC113" s="1302"/>
      <c r="AD113" s="1302"/>
      <c r="AE113" s="1302"/>
      <c r="AF113" s="1302"/>
      <c r="AG113" s="1302">
        <f>-AG112*AG90</f>
        <v>-5739.28</v>
      </c>
      <c r="AH113" s="1302">
        <f t="shared" ref="AH113:CJ113" si="288">-AH112*AH90</f>
        <v>-5274.72</v>
      </c>
      <c r="AI113" s="1302">
        <f t="shared" si="288"/>
        <v>-5138.8</v>
      </c>
      <c r="AJ113" s="1302">
        <f t="shared" si="288"/>
        <v>-5238.5600000000004</v>
      </c>
      <c r="AK113" s="1389">
        <f t="shared" si="288"/>
        <v>-5655.04</v>
      </c>
      <c r="AL113" s="1302">
        <f t="shared" si="288"/>
        <v>-5634.036956387311</v>
      </c>
      <c r="AM113" s="1302">
        <f t="shared" ca="1" si="288"/>
        <v>-5828.6460339424921</v>
      </c>
      <c r="AN113" s="1302">
        <f t="shared" ca="1" si="288"/>
        <v>-6031.1056458972944</v>
      </c>
      <c r="AO113" s="1302">
        <f t="shared" ca="1" si="288"/>
        <v>-6377.541656803156</v>
      </c>
      <c r="AP113" s="1302">
        <f t="shared" ca="1" si="288"/>
        <v>-6716.6178823169148</v>
      </c>
      <c r="AQ113" s="1302">
        <f t="shared" ca="1" si="288"/>
        <v>-7037.733400449365</v>
      </c>
      <c r="AR113" s="1302">
        <f t="shared" ca="1" si="288"/>
        <v>-7366.078706283115</v>
      </c>
      <c r="AS113" s="1302">
        <f t="shared" ca="1" si="288"/>
        <v>-7669.2311896098408</v>
      </c>
      <c r="AT113" s="1302">
        <f t="shared" ca="1" si="288"/>
        <v>-8015.2440204199056</v>
      </c>
      <c r="AU113" s="1302">
        <f t="shared" ca="1" si="288"/>
        <v>-8423.0688574710766</v>
      </c>
      <c r="AV113" s="1302">
        <f t="shared" ca="1" si="288"/>
        <v>-8865.9676816868105</v>
      </c>
      <c r="AW113" s="1302">
        <f t="shared" ca="1" si="288"/>
        <v>-9195.7453424803844</v>
      </c>
      <c r="AX113" s="1302">
        <f t="shared" ca="1" si="288"/>
        <v>-9503.8288308741248</v>
      </c>
      <c r="AY113" s="1302">
        <f t="shared" ca="1" si="288"/>
        <v>-9813.2615791470344</v>
      </c>
      <c r="AZ113" s="1302">
        <f t="shared" ca="1" si="288"/>
        <v>-10130.004905953456</v>
      </c>
      <c r="BA113" s="1302">
        <f t="shared" ca="1" si="288"/>
        <v>-10515.536350701985</v>
      </c>
      <c r="BB113" s="1302">
        <f t="shared" ca="1" si="288"/>
        <v>-10859.136106413896</v>
      </c>
      <c r="BC113" s="1302">
        <f t="shared" ca="1" si="288"/>
        <v>-11199.104848684021</v>
      </c>
      <c r="BD113" s="1302">
        <f t="shared" ca="1" si="288"/>
        <v>-11545.461498928793</v>
      </c>
      <c r="BE113" s="1302">
        <f t="shared" ca="1" si="288"/>
        <v>-11900.977263777124</v>
      </c>
      <c r="BF113" s="1302">
        <f t="shared" ca="1" si="288"/>
        <v>-12266.576370868914</v>
      </c>
      <c r="BG113" s="1302">
        <f t="shared" ca="1" si="288"/>
        <v>-12642.71861549186</v>
      </c>
      <c r="BH113" s="1302">
        <f t="shared" ca="1" si="288"/>
        <v>-13029.752322405524</v>
      </c>
      <c r="BI113" s="1302">
        <f t="shared" ca="1" si="288"/>
        <v>-13428.004319122807</v>
      </c>
      <c r="BJ113" s="1302">
        <f t="shared" ca="1" si="288"/>
        <v>-13837.802946957694</v>
      </c>
      <c r="BK113" s="1302">
        <f t="shared" ca="1" si="288"/>
        <v>-14259.484079685519</v>
      </c>
      <c r="BL113" s="1302">
        <f t="shared" ca="1" si="288"/>
        <v>-14693.392848147563</v>
      </c>
      <c r="BM113" s="1302">
        <f t="shared" ca="1" si="288"/>
        <v>-15139.884287712484</v>
      </c>
      <c r="BN113" s="1302">
        <f t="shared" ca="1" si="288"/>
        <v>-15599.323721116756</v>
      </c>
      <c r="BO113" s="1302">
        <f t="shared" ca="1" si="288"/>
        <v>-16072.087081399439</v>
      </c>
      <c r="BP113" s="1302">
        <f t="shared" ca="1" si="288"/>
        <v>-16558.561226487946</v>
      </c>
      <c r="BQ113" s="1302">
        <f t="shared" ca="1" si="288"/>
        <v>-17059.144258523633</v>
      </c>
      <c r="BR113" s="1302">
        <f t="shared" ca="1" si="288"/>
        <v>-17574.245851389453</v>
      </c>
      <c r="BS113" s="1302">
        <f t="shared" ca="1" si="288"/>
        <v>-18104.287587505056</v>
      </c>
      <c r="BT113" s="1302">
        <f t="shared" ca="1" si="288"/>
        <v>-18649.703304363949</v>
      </c>
      <c r="BU113" s="1302">
        <f t="shared" ca="1" si="288"/>
        <v>-19210.93945114742</v>
      </c>
      <c r="BV113" s="1302">
        <f t="shared" ca="1" si="288"/>
        <v>-19788.45545572129</v>
      </c>
      <c r="BW113" s="1302">
        <f t="shared" ca="1" si="288"/>
        <v>-20382.724102321361</v>
      </c>
      <c r="BX113" s="1302">
        <f t="shared" ca="1" si="288"/>
        <v>-20994.231920239785</v>
      </c>
      <c r="BY113" s="1302">
        <f t="shared" ca="1" si="288"/>
        <v>-21623.479583833338</v>
      </c>
      <c r="BZ113" s="1302">
        <f t="shared" ca="1" si="288"/>
        <v>-22270.982324183682</v>
      </c>
      <c r="CA113" s="1302">
        <f t="shared" ca="1" si="288"/>
        <v>-22937.270352749416</v>
      </c>
      <c r="CB113" s="1302">
        <f t="shared" ca="1" si="288"/>
        <v>-23622.889297359467</v>
      </c>
      <c r="CC113" s="1302">
        <f t="shared" ca="1" si="288"/>
        <v>-24328.400650907639</v>
      </c>
      <c r="CD113" s="1302">
        <f t="shared" ca="1" si="288"/>
        <v>-25054.38223311882</v>
      </c>
      <c r="CE113" s="1302">
        <f t="shared" ca="1" si="288"/>
        <v>-25801.428665767726</v>
      </c>
      <c r="CF113" s="1302">
        <f t="shared" ca="1" si="288"/>
        <v>-26570.151861742685</v>
      </c>
      <c r="CG113" s="1302">
        <f t="shared" ca="1" si="288"/>
        <v>-27361.181528358007</v>
      </c>
      <c r="CH113" s="1302">
        <f t="shared" ca="1" si="288"/>
        <v>-28175.165685330543</v>
      </c>
      <c r="CI113" s="1302">
        <f t="shared" ca="1" si="288"/>
        <v>-29012.771197847957</v>
      </c>
      <c r="CJ113" s="1302">
        <f t="shared" ca="1" si="288"/>
        <v>-29898.136772299436</v>
      </c>
      <c r="ES113" s="1"/>
      <c r="ET113" s="1"/>
      <c r="EU113" s="1"/>
      <c r="EV113" s="1"/>
      <c r="EW113" s="1"/>
      <c r="EX113" s="1"/>
      <c r="EY113" s="1"/>
      <c r="EZ113" s="1"/>
      <c r="FA113" s="1"/>
      <c r="FB113" s="1"/>
      <c r="FC113" s="1"/>
      <c r="FD113" s="1"/>
      <c r="FE113" s="1"/>
      <c r="FF113" s="1"/>
      <c r="FG113" s="1"/>
      <c r="FH113" s="1"/>
      <c r="FI113" s="1"/>
      <c r="FJ113" s="1"/>
      <c r="FK113" s="1"/>
      <c r="FL113" s="1"/>
      <c r="FM113" s="1"/>
      <c r="FN113" s="1"/>
      <c r="FO113" s="1"/>
      <c r="FP113" s="1"/>
      <c r="FQ113" s="1"/>
      <c r="FR113" s="1"/>
      <c r="FS113" s="1"/>
      <c r="FT113" s="1"/>
      <c r="FU113" s="1"/>
      <c r="FV113" s="1"/>
      <c r="FW113" s="1"/>
      <c r="FX113" s="1"/>
      <c r="FY113" s="1"/>
      <c r="FZ113" s="1"/>
      <c r="GA113" s="1"/>
      <c r="GB113" s="1"/>
      <c r="GC113" s="1"/>
      <c r="GD113" s="1"/>
      <c r="GE113" s="1"/>
      <c r="GF113" s="1"/>
      <c r="GG113" s="1"/>
      <c r="GH113" s="1"/>
      <c r="GI113" s="1"/>
      <c r="GJ113" s="1"/>
      <c r="GK113" s="1"/>
      <c r="GL113" s="1"/>
      <c r="GM113" s="1"/>
      <c r="GN113" s="1"/>
      <c r="GO113" s="1"/>
      <c r="GP113" s="1"/>
      <c r="GQ113" s="1"/>
      <c r="GR113" s="1"/>
      <c r="GS113" s="1"/>
      <c r="GT113" s="1"/>
      <c r="GU113" s="1"/>
      <c r="GV113" s="1"/>
      <c r="GW113" s="1"/>
      <c r="GX113" s="1"/>
      <c r="GY113" s="1"/>
      <c r="GZ113" s="1"/>
      <c r="HA113" s="1"/>
      <c r="HB113" s="1"/>
      <c r="HC113" s="1"/>
      <c r="HD113" s="1"/>
      <c r="HE113" s="1"/>
      <c r="HF113" s="1"/>
      <c r="HG113" s="1"/>
      <c r="HH113" s="1"/>
      <c r="HI113" s="1"/>
      <c r="HJ113" s="1"/>
      <c r="HK113" s="1"/>
      <c r="HL113" s="1"/>
      <c r="HM113" s="1"/>
      <c r="HN113" s="1"/>
      <c r="HO113" s="1"/>
      <c r="HP113" s="1"/>
      <c r="HQ113" s="1"/>
      <c r="HR113" s="1"/>
      <c r="HS113" s="1"/>
      <c r="HT113" s="1"/>
      <c r="HU113" s="1"/>
      <c r="HV113" s="1"/>
      <c r="HW113" s="1"/>
      <c r="HX113" s="1"/>
      <c r="HY113" s="1"/>
      <c r="HZ113" s="1"/>
      <c r="IA113" s="1"/>
      <c r="IB113" s="1"/>
      <c r="IC113" s="1"/>
      <c r="ID113" s="1"/>
      <c r="IE113" s="1"/>
      <c r="IF113" s="1"/>
      <c r="IG113" s="1"/>
      <c r="IH113" s="1"/>
      <c r="II113" s="1"/>
      <c r="IJ113" s="1"/>
      <c r="IK113" s="1"/>
      <c r="IL113" s="1"/>
      <c r="IM113" s="1"/>
      <c r="IN113" s="1"/>
      <c r="IO113" s="1"/>
      <c r="IP113" s="1"/>
      <c r="IQ113" s="1"/>
      <c r="IR113" s="1"/>
      <c r="IS113" s="1"/>
      <c r="IT113" s="1"/>
      <c r="IU113" s="1"/>
      <c r="IV113" s="1"/>
      <c r="IW113" s="1"/>
      <c r="IX113" s="1"/>
      <c r="IY113" s="1"/>
      <c r="IZ113" s="1"/>
      <c r="JA113" s="1"/>
      <c r="JB113" s="1"/>
      <c r="JC113" s="1"/>
      <c r="JD113" s="1"/>
    </row>
    <row r="114" spans="2:264" s="1044" customFormat="1" ht="13.5" thickBot="1" x14ac:dyDescent="0.25">
      <c r="C114" s="1043"/>
      <c r="D114" s="1320"/>
      <c r="F114" s="1299"/>
      <c r="G114" s="1321"/>
      <c r="H114" s="1321"/>
      <c r="I114" s="1299"/>
      <c r="J114" s="1299"/>
      <c r="K114" s="1299"/>
      <c r="L114" s="1299"/>
      <c r="M114" s="1299"/>
      <c r="N114" s="1299"/>
      <c r="O114" s="1299"/>
      <c r="P114" s="1046"/>
      <c r="Q114" s="1047" t="s">
        <v>1096</v>
      </c>
      <c r="R114" s="1074"/>
      <c r="S114" s="1074"/>
      <c r="T114" s="1074"/>
      <c r="U114" s="1074"/>
      <c r="V114" s="1074"/>
      <c r="W114" s="1074"/>
      <c r="X114" s="1074"/>
      <c r="Y114" s="1135"/>
      <c r="Z114" s="1135"/>
      <c r="AA114" s="1135"/>
      <c r="AB114" s="1135"/>
      <c r="AC114" s="1135"/>
      <c r="AD114" s="1135"/>
      <c r="AE114" s="1135"/>
      <c r="AF114" s="1135"/>
      <c r="AG114" s="1135">
        <f t="shared" ref="AG114" si="289">+AG111+AG113</f>
        <v>4441.72</v>
      </c>
      <c r="AH114" s="1135">
        <f t="shared" ref="AH114:CJ114" si="290">+AH111+AH113</f>
        <v>5496.28</v>
      </c>
      <c r="AI114" s="1135">
        <f t="shared" si="290"/>
        <v>4859.2</v>
      </c>
      <c r="AJ114" s="1135">
        <f t="shared" si="290"/>
        <v>4155.4399999999996</v>
      </c>
      <c r="AK114" s="1375">
        <f t="shared" si="290"/>
        <v>4460.96</v>
      </c>
      <c r="AL114" s="1135">
        <f t="shared" si="290"/>
        <v>5357.6164344913877</v>
      </c>
      <c r="AM114" s="1135">
        <f t="shared" ca="1" si="290"/>
        <v>5972.6621516176001</v>
      </c>
      <c r="AN114" s="1135">
        <f t="shared" ca="1" si="290"/>
        <v>6227.6011508779648</v>
      </c>
      <c r="AO114" s="1135">
        <f t="shared" ca="1" si="290"/>
        <v>6547.9514220284054</v>
      </c>
      <c r="AP114" s="1135">
        <f t="shared" ca="1" si="290"/>
        <v>6704.128326815021</v>
      </c>
      <c r="AQ114" s="1135">
        <f t="shared" ca="1" si="290"/>
        <v>6896.4587922042729</v>
      </c>
      <c r="AR114" s="1135">
        <f t="shared" ca="1" si="290"/>
        <v>7100.3916175905069</v>
      </c>
      <c r="AS114" s="1135">
        <f t="shared" ca="1" si="290"/>
        <v>5909.88402848434</v>
      </c>
      <c r="AT114" s="1135">
        <f t="shared" ca="1" si="290"/>
        <v>6071.0564278798238</v>
      </c>
      <c r="AU114" s="1135">
        <f t="shared" ca="1" si="290"/>
        <v>7759.9441117647657</v>
      </c>
      <c r="AV114" s="1135">
        <f t="shared" ca="1" si="290"/>
        <v>8072.3314216887684</v>
      </c>
      <c r="AW114" s="1135">
        <f t="shared" ca="1" si="290"/>
        <v>8562.796449338819</v>
      </c>
      <c r="AX114" s="1135">
        <f t="shared" ca="1" si="290"/>
        <v>8865.4567703398243</v>
      </c>
      <c r="AY114" s="1135">
        <f t="shared" ca="1" si="290"/>
        <v>9126.590514837917</v>
      </c>
      <c r="AZ114" s="1135">
        <f t="shared" ca="1" si="290"/>
        <v>9382.9124920211962</v>
      </c>
      <c r="BA114" s="1135">
        <f t="shared" ca="1" si="290"/>
        <v>9319.7977378661326</v>
      </c>
      <c r="BB114" s="1135">
        <f t="shared" ca="1" si="290"/>
        <v>9407.239766944158</v>
      </c>
      <c r="BC114" s="1135">
        <f t="shared" ca="1" si="290"/>
        <v>9404.9484677643832</v>
      </c>
      <c r="BD114" s="1135">
        <f t="shared" ca="1" si="290"/>
        <v>9373.1700872973615</v>
      </c>
      <c r="BE114" s="1135">
        <f t="shared" ca="1" si="290"/>
        <v>9326.7340640100119</v>
      </c>
      <c r="BF114" s="1135">
        <f t="shared" ca="1" si="290"/>
        <v>9268.9771671948638</v>
      </c>
      <c r="BG114" s="1135">
        <f t="shared" ca="1" si="290"/>
        <v>9200.3249063205221</v>
      </c>
      <c r="BH114" s="1135">
        <f t="shared" ca="1" si="290"/>
        <v>9120.4545904004462</v>
      </c>
      <c r="BI114" s="1135">
        <f t="shared" ca="1" si="290"/>
        <v>9028.8382347664119</v>
      </c>
      <c r="BJ114" s="1135">
        <f t="shared" ca="1" si="290"/>
        <v>8924.8778449519959</v>
      </c>
      <c r="BK114" s="1135">
        <f t="shared" ca="1" si="290"/>
        <v>8807.9384690610441</v>
      </c>
      <c r="BL114" s="1135">
        <f t="shared" ca="1" si="290"/>
        <v>8677.3556772839547</v>
      </c>
      <c r="BM114" s="1135">
        <f t="shared" ca="1" si="290"/>
        <v>8532.4366458322511</v>
      </c>
      <c r="BN114" s="1135">
        <f t="shared" ca="1" si="290"/>
        <v>8372.4596258372021</v>
      </c>
      <c r="BO114" s="1135">
        <f t="shared" ca="1" si="290"/>
        <v>8196.6729841376455</v>
      </c>
      <c r="BP114" s="1135">
        <f t="shared" ca="1" si="290"/>
        <v>8004.29410888864</v>
      </c>
      <c r="BQ114" s="1135">
        <f t="shared" ca="1" si="290"/>
        <v>7794.5082512568915</v>
      </c>
      <c r="BR114" s="1135">
        <f t="shared" ca="1" si="290"/>
        <v>7566.4673196685799</v>
      </c>
      <c r="BS114" s="1135">
        <f t="shared" ca="1" si="290"/>
        <v>7319.2886295473254</v>
      </c>
      <c r="BT114" s="1135">
        <f t="shared" ca="1" si="290"/>
        <v>7052.0536081243699</v>
      </c>
      <c r="BU114" s="1135">
        <f t="shared" ca="1" si="290"/>
        <v>6763.8064530436095</v>
      </c>
      <c r="BV114" s="1135">
        <f t="shared" ca="1" si="290"/>
        <v>6453.5527432358795</v>
      </c>
      <c r="BW114" s="1135">
        <f t="shared" ca="1" si="290"/>
        <v>6120.2580004351657</v>
      </c>
      <c r="BX114" s="1135">
        <f t="shared" ca="1" si="290"/>
        <v>5762.8461996429614</v>
      </c>
      <c r="BY114" s="1135">
        <f t="shared" ca="1" si="290"/>
        <v>5380.1982267868079</v>
      </c>
      <c r="BZ114" s="1135">
        <f t="shared" ca="1" si="290"/>
        <v>4971.150281759572</v>
      </c>
      <c r="CA114" s="1135">
        <f t="shared" ca="1" si="290"/>
        <v>4534.4922249649717</v>
      </c>
      <c r="CB114" s="1135">
        <f t="shared" ca="1" si="290"/>
        <v>4068.9658654318882</v>
      </c>
      <c r="CC114" s="1135">
        <f t="shared" ca="1" si="290"/>
        <v>3573.2631884949369</v>
      </c>
      <c r="CD114" s="1135">
        <f t="shared" ca="1" si="290"/>
        <v>3046.0245209715067</v>
      </c>
      <c r="CE114" s="1135">
        <f t="shared" ca="1" si="290"/>
        <v>2485.836631696664</v>
      </c>
      <c r="CF114" s="1135">
        <f t="shared" ca="1" si="290"/>
        <v>1891.2307652047893</v>
      </c>
      <c r="CG114" s="1135">
        <f t="shared" ca="1" si="290"/>
        <v>1260.6806062736978</v>
      </c>
      <c r="CH114" s="1135">
        <f t="shared" ca="1" si="290"/>
        <v>592.60017296989099</v>
      </c>
      <c r="CI114" s="1135">
        <f t="shared" ca="1" si="290"/>
        <v>-114.65836424499139</v>
      </c>
      <c r="CJ114" s="1135">
        <f t="shared" ca="1" si="290"/>
        <v>-162.41842617906877</v>
      </c>
      <c r="ES114" s="1"/>
      <c r="ET114" s="1"/>
      <c r="EU114" s="1"/>
      <c r="EV114" s="1"/>
      <c r="EW114" s="1"/>
      <c r="EX114" s="1"/>
      <c r="EY114" s="1"/>
      <c r="EZ114" s="1"/>
      <c r="FA114" s="1"/>
      <c r="FB114" s="1"/>
      <c r="FC114" s="1"/>
      <c r="FD114" s="1"/>
      <c r="FE114" s="1"/>
      <c r="FF114" s="1"/>
      <c r="FG114" s="1"/>
      <c r="FH114" s="1"/>
      <c r="FI114" s="1"/>
      <c r="FJ114" s="1"/>
      <c r="FK114" s="1"/>
      <c r="FL114" s="1"/>
      <c r="FM114" s="1"/>
      <c r="FN114" s="1"/>
      <c r="FO114" s="1"/>
      <c r="FP114" s="1"/>
      <c r="FQ114" s="1"/>
      <c r="FR114" s="1"/>
      <c r="FS114" s="1"/>
      <c r="FT114" s="1"/>
      <c r="FU114" s="1"/>
      <c r="FV114" s="1"/>
      <c r="FW114" s="1"/>
      <c r="FX114" s="1"/>
      <c r="FY114" s="1"/>
      <c r="FZ114" s="1"/>
      <c r="GA114" s="1"/>
      <c r="GB114" s="1"/>
      <c r="GC114" s="1"/>
      <c r="GD114" s="1"/>
      <c r="GE114" s="1"/>
      <c r="GF114" s="1"/>
      <c r="GG114" s="1"/>
      <c r="GH114" s="1"/>
      <c r="GI114" s="1"/>
      <c r="GJ114" s="1"/>
      <c r="GK114" s="1"/>
      <c r="GL114" s="1"/>
      <c r="GM114" s="1"/>
      <c r="GN114" s="1"/>
      <c r="GO114" s="1"/>
      <c r="GP114" s="1"/>
      <c r="GQ114" s="1"/>
      <c r="GR114" s="1"/>
      <c r="GS114" s="1"/>
      <c r="GT114" s="1"/>
      <c r="GU114" s="1"/>
      <c r="GV114" s="1"/>
      <c r="GW114" s="1"/>
      <c r="GX114" s="1"/>
      <c r="GY114" s="1"/>
      <c r="GZ114" s="1"/>
      <c r="HA114" s="1"/>
      <c r="HB114" s="1"/>
      <c r="HC114" s="1"/>
      <c r="HD114" s="1"/>
      <c r="HE114" s="1"/>
      <c r="HF114" s="1"/>
      <c r="HG114" s="1"/>
      <c r="HH114" s="1"/>
      <c r="HI114" s="1"/>
      <c r="HJ114" s="1"/>
      <c r="HK114" s="1"/>
      <c r="HL114" s="1"/>
      <c r="HM114" s="1"/>
      <c r="HN114" s="1"/>
      <c r="HO114" s="1"/>
      <c r="HP114" s="1"/>
      <c r="HQ114" s="1"/>
      <c r="HR114" s="1"/>
      <c r="HS114" s="1"/>
      <c r="HT114" s="1"/>
      <c r="HU114" s="1"/>
      <c r="HV114" s="1"/>
      <c r="HW114" s="1"/>
      <c r="HX114" s="1"/>
      <c r="HY114" s="1"/>
      <c r="HZ114" s="1"/>
      <c r="IA114" s="1"/>
      <c r="IB114" s="1"/>
      <c r="IC114" s="1"/>
      <c r="ID114" s="1"/>
      <c r="IE114" s="1"/>
      <c r="IF114" s="1"/>
      <c r="IG114" s="1"/>
      <c r="IH114" s="1"/>
      <c r="II114" s="1"/>
      <c r="IJ114" s="1"/>
      <c r="IK114" s="1"/>
      <c r="IL114" s="1"/>
      <c r="IM114" s="1"/>
      <c r="IN114" s="1"/>
      <c r="IO114" s="1"/>
      <c r="IP114" s="1"/>
      <c r="IQ114" s="1"/>
      <c r="IR114" s="1"/>
      <c r="IS114" s="1"/>
      <c r="IT114" s="1"/>
      <c r="IU114" s="1"/>
      <c r="IV114" s="1"/>
      <c r="IW114" s="1"/>
      <c r="IX114" s="1"/>
      <c r="IY114" s="1"/>
      <c r="IZ114" s="1"/>
      <c r="JA114" s="1"/>
      <c r="JB114" s="1"/>
      <c r="JC114" s="1"/>
      <c r="JD114" s="1"/>
    </row>
    <row r="115" spans="2:264" s="1044" customFormat="1" ht="13.5" thickBot="1" x14ac:dyDescent="0.25">
      <c r="C115" s="1043"/>
      <c r="G115" s="1043"/>
      <c r="H115" s="1043"/>
      <c r="P115" s="1046"/>
      <c r="Q115" s="1322" t="s">
        <v>1164</v>
      </c>
      <c r="R115" s="1323">
        <f>H31</f>
        <v>0</v>
      </c>
      <c r="S115" s="1324"/>
      <c r="T115" s="1324"/>
      <c r="U115" s="1324"/>
      <c r="V115" s="1324"/>
      <c r="W115" s="1324"/>
      <c r="X115" s="1324"/>
      <c r="Y115" s="1325"/>
      <c r="Z115" s="1325"/>
      <c r="AA115" s="1325"/>
      <c r="AB115" s="1325"/>
      <c r="AC115" s="1325"/>
      <c r="AD115" s="1325"/>
      <c r="AE115" s="1325"/>
      <c r="AF115" s="1325"/>
      <c r="AG115" s="1325">
        <f>AG114/((1+AG$112)^((+AG$2-$Q$4)/365))</f>
        <v>6361.9426716594608</v>
      </c>
      <c r="AH115" s="1325">
        <f t="shared" ref="AH115:CJ115" si="291">AH114/((1+AH$112)^((+AH$2-$Q$4)/365))</f>
        <v>7289.2637910765252</v>
      </c>
      <c r="AI115" s="1325">
        <f t="shared" si="291"/>
        <v>5966.9972427140365</v>
      </c>
      <c r="AJ115" s="1325">
        <f t="shared" si="291"/>
        <v>4723.8135885610873</v>
      </c>
      <c r="AK115" s="1390">
        <f t="shared" si="291"/>
        <v>4695.483391790277</v>
      </c>
      <c r="AL115" s="1325">
        <f t="shared" si="291"/>
        <v>5221.5548247165516</v>
      </c>
      <c r="AM115" s="1325">
        <f t="shared" ca="1" si="291"/>
        <v>5389.7971191703673</v>
      </c>
      <c r="AN115" s="1325">
        <f t="shared" ca="1" si="291"/>
        <v>5202.4741565217546</v>
      </c>
      <c r="AO115" s="1325">
        <f t="shared" ca="1" si="291"/>
        <v>5064.8995266969996</v>
      </c>
      <c r="AP115" s="1325">
        <f t="shared" ca="1" si="291"/>
        <v>4801.5775668527413</v>
      </c>
      <c r="AQ115" s="1325">
        <f t="shared" ca="1" si="291"/>
        <v>4573.4508943354022</v>
      </c>
      <c r="AR115" s="1325">
        <f t="shared" ca="1" si="291"/>
        <v>4358.9797354515067</v>
      </c>
      <c r="AS115" s="1325">
        <f t="shared" ca="1" si="291"/>
        <v>3359.3693119283976</v>
      </c>
      <c r="AT115" s="1325">
        <f t="shared" ca="1" si="291"/>
        <v>3195.3564063979256</v>
      </c>
      <c r="AU115" s="1325">
        <f t="shared" ca="1" si="291"/>
        <v>3781.724388646835</v>
      </c>
      <c r="AV115" s="1325">
        <f t="shared" ca="1" si="291"/>
        <v>3641.7903244128161</v>
      </c>
      <c r="AW115" s="1325">
        <f t="shared" ca="1" si="291"/>
        <v>3576.9083981315039</v>
      </c>
      <c r="AX115" s="1325">
        <f t="shared" ca="1" si="291"/>
        <v>3429.016374489574</v>
      </c>
      <c r="AY115" s="1325">
        <f t="shared" ca="1" si="291"/>
        <v>3268.5358474642571</v>
      </c>
      <c r="AZ115" s="1325">
        <f t="shared" ca="1" si="291"/>
        <v>3110.7637226511833</v>
      </c>
      <c r="BA115" s="1325">
        <f t="shared" ca="1" si="291"/>
        <v>2860.9620127578983</v>
      </c>
      <c r="BB115" s="1325">
        <f t="shared" ca="1" si="291"/>
        <v>2673.893231568064</v>
      </c>
      <c r="BC115" s="1325">
        <f t="shared" ca="1" si="291"/>
        <v>2475.2240349135618</v>
      </c>
      <c r="BD115" s="1325">
        <f t="shared" ca="1" si="291"/>
        <v>2283.648529951709</v>
      </c>
      <c r="BE115" s="1325">
        <f t="shared" ca="1" si="291"/>
        <v>2104.013897207366</v>
      </c>
      <c r="BF115" s="1325">
        <f t="shared" ca="1" si="291"/>
        <v>1936.0967998840956</v>
      </c>
      <c r="BG115" s="1325">
        <f t="shared" ca="1" si="291"/>
        <v>1779.4044153669261</v>
      </c>
      <c r="BH115" s="1325">
        <f t="shared" ca="1" si="291"/>
        <v>1632.9491358794987</v>
      </c>
      <c r="BI115" s="1325">
        <f t="shared" ca="1" si="291"/>
        <v>1496.8017713616418</v>
      </c>
      <c r="BJ115" s="1325">
        <f t="shared" ca="1" si="291"/>
        <v>1369.9696359103416</v>
      </c>
      <c r="BK115" s="1325">
        <f t="shared" ca="1" si="291"/>
        <v>1251.8698426785595</v>
      </c>
      <c r="BL115" s="1325">
        <f t="shared" ca="1" si="291"/>
        <v>1141.7130816024194</v>
      </c>
      <c r="BM115" s="1325">
        <f t="shared" ca="1" si="291"/>
        <v>1039.486598988673</v>
      </c>
      <c r="BN115" s="1325">
        <f t="shared" ca="1" si="291"/>
        <v>944.44164498389023</v>
      </c>
      <c r="BO115" s="1325">
        <f t="shared" ca="1" si="291"/>
        <v>856.1225182732594</v>
      </c>
      <c r="BP115" s="1325">
        <f t="shared" ca="1" si="291"/>
        <v>773.93773483845621</v>
      </c>
      <c r="BQ115" s="1325">
        <f t="shared" ca="1" si="291"/>
        <v>697.82729051814715</v>
      </c>
      <c r="BR115" s="1325">
        <f t="shared" ca="1" si="291"/>
        <v>627.23261642045657</v>
      </c>
      <c r="BS115" s="1325">
        <f t="shared" ca="1" si="291"/>
        <v>561.79852052422291</v>
      </c>
      <c r="BT115" s="1325">
        <f t="shared" ca="1" si="291"/>
        <v>501.08568417113065</v>
      </c>
      <c r="BU115" s="1325">
        <f t="shared" ca="1" si="291"/>
        <v>445.0038890772683</v>
      </c>
      <c r="BV115" s="1325">
        <f t="shared" ca="1" si="291"/>
        <v>393.14046142105263</v>
      </c>
      <c r="BW115" s="1325">
        <f t="shared" ca="1" si="291"/>
        <v>345.21913025877893</v>
      </c>
      <c r="BX115" s="1325">
        <f t="shared" ca="1" si="291"/>
        <v>300.91707072507859</v>
      </c>
      <c r="BY115" s="1325">
        <f t="shared" ca="1" si="291"/>
        <v>260.12633248654964</v>
      </c>
      <c r="BZ115" s="1325">
        <f t="shared" ca="1" si="291"/>
        <v>222.54568486787198</v>
      </c>
      <c r="CA115" s="1325">
        <f t="shared" ca="1" si="291"/>
        <v>187.96075960818882</v>
      </c>
      <c r="CB115" s="1325">
        <f t="shared" ca="1" si="291"/>
        <v>156.13750995332057</v>
      </c>
      <c r="CC115" s="1325">
        <f t="shared" ca="1" si="291"/>
        <v>126.95928043465135</v>
      </c>
      <c r="CD115" s="1325">
        <f t="shared" ca="1" si="291"/>
        <v>100.20954417643826</v>
      </c>
      <c r="CE115" s="1325">
        <f t="shared" ca="1" si="291"/>
        <v>75.722426019846438</v>
      </c>
      <c r="CF115" s="1325">
        <f t="shared" ca="1" si="291"/>
        <v>53.331172596563967</v>
      </c>
      <c r="CG115" s="1325">
        <f t="shared" ca="1" si="291"/>
        <v>32.916823971291286</v>
      </c>
      <c r="CH115" s="1325">
        <f t="shared" ca="1" si="291"/>
        <v>14.326855199642072</v>
      </c>
      <c r="CI115" s="1325">
        <f t="shared" ca="1" si="291"/>
        <v>-2.566676201690433</v>
      </c>
      <c r="CJ115" s="1325">
        <f t="shared" ca="1" si="291"/>
        <v>-3.3657768005286863</v>
      </c>
      <c r="ES115" s="1"/>
      <c r="ET115" s="1"/>
      <c r="EU115" s="1"/>
      <c r="EV115" s="1"/>
      <c r="EW115" s="1"/>
      <c r="EX115" s="1"/>
      <c r="EY115" s="1"/>
      <c r="EZ115" s="1"/>
      <c r="FA115" s="1"/>
      <c r="FB115" s="1"/>
      <c r="FC115" s="1"/>
      <c r="FD115" s="1"/>
      <c r="FE115" s="1"/>
      <c r="FF115" s="1"/>
      <c r="FG115" s="1"/>
      <c r="FH115" s="1"/>
      <c r="FI115" s="1"/>
      <c r="FJ115" s="1"/>
      <c r="FK115" s="1"/>
      <c r="FL115" s="1"/>
      <c r="FM115" s="1"/>
      <c r="FN115" s="1"/>
      <c r="FO115" s="1"/>
      <c r="FP115" s="1"/>
      <c r="FQ115" s="1"/>
      <c r="FR115" s="1"/>
      <c r="FS115" s="1"/>
      <c r="FT115" s="1"/>
      <c r="FU115" s="1"/>
      <c r="FV115" s="1"/>
      <c r="FW115" s="1"/>
      <c r="FX115" s="1"/>
      <c r="FY115" s="1"/>
      <c r="FZ115" s="1"/>
      <c r="GA115" s="1"/>
      <c r="GB115" s="1"/>
      <c r="GC115" s="1"/>
      <c r="GD115" s="1"/>
      <c r="GE115" s="1"/>
      <c r="GF115" s="1"/>
      <c r="GG115" s="1"/>
      <c r="GH115" s="1"/>
      <c r="GI115" s="1"/>
      <c r="GJ115" s="1"/>
      <c r="GK115" s="1"/>
      <c r="GL115" s="1"/>
      <c r="GM115" s="1"/>
      <c r="GN115" s="1"/>
      <c r="GO115" s="1"/>
      <c r="GP115" s="1"/>
      <c r="GQ115" s="1"/>
      <c r="GR115" s="1"/>
      <c r="GS115" s="1"/>
      <c r="GT115" s="1"/>
      <c r="GU115" s="1"/>
      <c r="GV115" s="1"/>
      <c r="GW115" s="1"/>
      <c r="GX115" s="1"/>
      <c r="GY115" s="1"/>
      <c r="GZ115" s="1"/>
      <c r="HA115" s="1"/>
      <c r="HB115" s="1"/>
      <c r="HC115" s="1"/>
      <c r="HD115" s="1"/>
      <c r="HE115" s="1"/>
      <c r="HF115" s="1"/>
      <c r="HG115" s="1"/>
      <c r="HH115" s="1"/>
      <c r="HI115" s="1"/>
      <c r="HJ115" s="1"/>
      <c r="HK115" s="1"/>
      <c r="HL115" s="1"/>
      <c r="HM115" s="1"/>
      <c r="HN115" s="1"/>
      <c r="HO115" s="1"/>
      <c r="HP115" s="1"/>
      <c r="HQ115" s="1"/>
      <c r="HR115" s="1"/>
      <c r="HS115" s="1"/>
      <c r="HT115" s="1"/>
      <c r="HU115" s="1"/>
      <c r="HV115" s="1"/>
      <c r="HW115" s="1"/>
      <c r="HX115" s="1"/>
      <c r="HY115" s="1"/>
      <c r="HZ115" s="1"/>
      <c r="IA115" s="1"/>
      <c r="IB115" s="1"/>
      <c r="IC115" s="1"/>
      <c r="ID115" s="1"/>
      <c r="IE115" s="1"/>
      <c r="IF115" s="1"/>
      <c r="IG115" s="1"/>
      <c r="IH115" s="1"/>
      <c r="II115" s="1"/>
      <c r="IJ115" s="1"/>
      <c r="IK115" s="1"/>
      <c r="IL115" s="1"/>
      <c r="IM115" s="1"/>
      <c r="IN115" s="1"/>
      <c r="IO115" s="1"/>
      <c r="IP115" s="1"/>
      <c r="IQ115" s="1"/>
      <c r="IR115" s="1"/>
      <c r="IS115" s="1"/>
      <c r="IT115" s="1"/>
      <c r="IU115" s="1"/>
      <c r="IV115" s="1"/>
      <c r="IW115" s="1"/>
      <c r="IX115" s="1"/>
      <c r="IY115" s="1"/>
      <c r="IZ115" s="1"/>
      <c r="JA115" s="1"/>
      <c r="JB115" s="1"/>
      <c r="JC115" s="1"/>
      <c r="JD115" s="1"/>
    </row>
    <row r="116" spans="2:264" s="1299" customFormat="1" x14ac:dyDescent="0.2">
      <c r="B116" s="1046"/>
      <c r="C116" s="1326"/>
      <c r="F116" s="1044"/>
      <c r="G116" s="1043"/>
      <c r="H116" s="1043"/>
      <c r="I116" s="1044"/>
      <c r="J116" s="1044"/>
      <c r="K116" s="1044"/>
      <c r="L116" s="1044"/>
      <c r="M116" s="1044"/>
      <c r="N116" s="1044"/>
      <c r="O116" s="1044"/>
      <c r="Q116" s="1047"/>
      <c r="R116" s="1074"/>
      <c r="S116" s="1074"/>
      <c r="T116" s="1074"/>
      <c r="U116" s="1074"/>
      <c r="V116" s="1074"/>
      <c r="W116" s="1074"/>
      <c r="X116" s="1074"/>
      <c r="Y116" s="1074"/>
      <c r="Z116" s="1074"/>
      <c r="AA116" s="1074"/>
      <c r="AB116" s="1074"/>
      <c r="AC116" s="1074"/>
      <c r="AD116" s="1074"/>
      <c r="AE116" s="1279"/>
      <c r="AF116" s="1074"/>
      <c r="AG116" s="1074"/>
      <c r="AH116" s="1074"/>
      <c r="AI116" s="1074"/>
      <c r="AJ116" s="1074"/>
      <c r="AK116" s="1364"/>
      <c r="AL116" s="1074"/>
      <c r="AM116" s="1074"/>
      <c r="AN116" s="1074"/>
      <c r="AO116" s="1074"/>
      <c r="AP116" s="1074"/>
      <c r="AQ116" s="1074"/>
      <c r="AR116" s="1074"/>
      <c r="AS116" s="1074"/>
      <c r="AT116" s="1074"/>
      <c r="AU116" s="1074"/>
      <c r="AV116" s="1083"/>
      <c r="AW116" s="1083"/>
      <c r="AX116" s="1083"/>
      <c r="AY116" s="1083"/>
      <c r="AZ116" s="1083"/>
      <c r="BA116" s="1083"/>
      <c r="BB116" s="1083"/>
      <c r="BC116" s="1083"/>
      <c r="BD116" s="1083"/>
      <c r="BE116" s="1083"/>
      <c r="BF116" s="1083"/>
      <c r="BG116" s="1083"/>
      <c r="BH116" s="1083"/>
      <c r="BI116" s="1083"/>
      <c r="BJ116" s="1083"/>
      <c r="BK116" s="1083"/>
      <c r="BL116" s="1083"/>
      <c r="BM116" s="1083"/>
      <c r="BN116" s="1083"/>
      <c r="BO116" s="1083"/>
      <c r="BP116" s="1083"/>
      <c r="BQ116" s="1083"/>
      <c r="BR116" s="1083"/>
      <c r="BS116" s="1083"/>
      <c r="BT116" s="1083"/>
      <c r="BU116" s="1083"/>
      <c r="BV116" s="1083"/>
      <c r="BW116" s="1083"/>
      <c r="BX116" s="1083"/>
      <c r="BY116" s="1083"/>
      <c r="BZ116" s="1083"/>
      <c r="CA116" s="1083"/>
      <c r="CB116" s="1083"/>
      <c r="CC116" s="1083"/>
      <c r="CD116" s="1083"/>
      <c r="CE116" s="1083"/>
      <c r="CF116" s="1264"/>
      <c r="CG116" s="1264"/>
      <c r="CH116" s="1264"/>
      <c r="CI116" s="1264"/>
      <c r="CJ116" s="1264"/>
      <c r="CK116" s="1044"/>
      <c r="CL116" s="1044"/>
      <c r="CM116" s="1044"/>
      <c r="CN116" s="1044"/>
      <c r="CO116" s="1044"/>
      <c r="CP116" s="1044"/>
      <c r="CQ116" s="1044"/>
      <c r="CR116" s="1044"/>
      <c r="CS116" s="1044"/>
      <c r="CT116" s="1044"/>
      <c r="CU116" s="1044"/>
      <c r="CV116" s="1044"/>
      <c r="CW116" s="1044"/>
      <c r="CX116" s="1044"/>
      <c r="CY116" s="1044"/>
      <c r="CZ116" s="1044"/>
      <c r="DA116" s="1044"/>
      <c r="DB116" s="1044"/>
      <c r="DC116" s="1044"/>
      <c r="DD116" s="1044"/>
      <c r="DE116" s="1044"/>
      <c r="DF116" s="1044"/>
      <c r="DG116" s="1044"/>
      <c r="DH116" s="1044"/>
      <c r="DI116" s="1044"/>
      <c r="DJ116" s="1044"/>
      <c r="DK116" s="1044"/>
      <c r="DL116" s="1044"/>
      <c r="DM116" s="1044"/>
      <c r="DN116" s="1044"/>
      <c r="DO116" s="1044"/>
      <c r="DP116" s="1044"/>
      <c r="DQ116" s="1044"/>
      <c r="DR116" s="1044"/>
      <c r="DS116" s="1044"/>
      <c r="DT116" s="1044"/>
      <c r="DU116" s="1044"/>
      <c r="DV116" s="1044"/>
      <c r="DW116" s="1044"/>
      <c r="DX116" s="1044"/>
      <c r="DY116" s="1044"/>
      <c r="DZ116" s="1044"/>
      <c r="EA116" s="1044"/>
      <c r="EB116" s="1044"/>
      <c r="EC116" s="1044"/>
      <c r="ED116" s="1044"/>
      <c r="EE116" s="1044"/>
      <c r="EF116" s="1044"/>
      <c r="EG116" s="1044"/>
      <c r="EH116" s="1044"/>
      <c r="EI116" s="1044"/>
      <c r="EJ116" s="1044"/>
      <c r="EK116" s="1044"/>
      <c r="EL116" s="1044"/>
      <c r="EM116" s="1044"/>
      <c r="EN116" s="1044"/>
      <c r="EO116" s="1044"/>
      <c r="EP116" s="1044"/>
      <c r="EQ116" s="1044"/>
      <c r="ER116" s="1044"/>
      <c r="ES116" s="1"/>
      <c r="ET116" s="1"/>
      <c r="EU116" s="1"/>
      <c r="EV116" s="1"/>
      <c r="EW116" s="1"/>
      <c r="EX116" s="1"/>
      <c r="EY116" s="1"/>
      <c r="EZ116" s="1"/>
      <c r="FA116" s="1"/>
      <c r="FB116" s="1"/>
      <c r="FC116" s="1"/>
      <c r="FD116" s="1"/>
      <c r="FE116" s="1"/>
      <c r="FF116" s="1"/>
      <c r="FG116" s="1"/>
      <c r="FH116" s="1"/>
      <c r="FI116" s="1"/>
      <c r="FJ116" s="1"/>
      <c r="FK116" s="1"/>
      <c r="FL116" s="1"/>
      <c r="FM116" s="1"/>
      <c r="FN116" s="1"/>
      <c r="FO116" s="1"/>
      <c r="FP116" s="1"/>
      <c r="FQ116" s="1"/>
      <c r="FR116" s="1"/>
      <c r="FS116" s="1"/>
      <c r="FT116" s="1"/>
      <c r="FU116" s="1"/>
      <c r="FV116" s="1"/>
      <c r="FW116" s="1"/>
      <c r="FX116" s="1"/>
      <c r="FY116" s="1"/>
      <c r="FZ116" s="1"/>
      <c r="GA116" s="1"/>
      <c r="GB116" s="1"/>
      <c r="GC116" s="1"/>
      <c r="GD116" s="1"/>
      <c r="GE116" s="1"/>
      <c r="GF116" s="1"/>
      <c r="GG116" s="1"/>
      <c r="GH116" s="1"/>
      <c r="GI116" s="1"/>
      <c r="GJ116" s="1"/>
      <c r="GK116" s="1"/>
      <c r="GL116" s="1"/>
      <c r="GM116" s="1"/>
      <c r="GN116" s="1"/>
      <c r="GO116" s="1"/>
      <c r="GP116" s="1"/>
      <c r="GQ116" s="1"/>
      <c r="GR116" s="1"/>
      <c r="GS116" s="1"/>
      <c r="GT116" s="1"/>
      <c r="GU116" s="1"/>
      <c r="GV116" s="1"/>
      <c r="GW116" s="1"/>
      <c r="GX116" s="1"/>
      <c r="GY116" s="1"/>
      <c r="GZ116" s="1"/>
      <c r="HA116" s="1"/>
      <c r="HB116" s="1"/>
      <c r="HC116" s="1"/>
      <c r="HD116" s="1"/>
      <c r="HE116" s="1"/>
      <c r="HF116" s="1"/>
      <c r="HG116" s="1"/>
      <c r="HH116" s="1"/>
      <c r="HI116" s="1"/>
      <c r="HJ116" s="1"/>
      <c r="HK116" s="1"/>
      <c r="HL116" s="1"/>
      <c r="HM116" s="1"/>
      <c r="HN116" s="1"/>
      <c r="HO116" s="1"/>
      <c r="HP116" s="1"/>
      <c r="HQ116" s="1"/>
      <c r="HR116" s="1"/>
      <c r="HS116" s="1"/>
      <c r="HT116" s="1"/>
      <c r="HU116" s="1"/>
      <c r="HV116" s="1"/>
      <c r="HW116" s="1"/>
      <c r="HX116" s="1"/>
      <c r="HY116" s="1"/>
      <c r="HZ116" s="1"/>
      <c r="IA116" s="1"/>
      <c r="IB116" s="1"/>
      <c r="IC116" s="1"/>
      <c r="ID116" s="1"/>
      <c r="IE116" s="1"/>
      <c r="IF116" s="1"/>
      <c r="IG116" s="1"/>
      <c r="IH116" s="1"/>
      <c r="II116" s="1"/>
      <c r="IJ116" s="1"/>
      <c r="IK116" s="1"/>
      <c r="IL116" s="1"/>
      <c r="IM116" s="1"/>
      <c r="IN116" s="1"/>
      <c r="IO116" s="1"/>
      <c r="IP116" s="1"/>
      <c r="IQ116" s="1"/>
      <c r="IR116" s="1"/>
      <c r="IS116" s="1"/>
      <c r="IT116" s="1"/>
      <c r="IU116" s="1"/>
      <c r="IV116" s="1"/>
      <c r="IW116" s="1"/>
      <c r="IX116" s="1"/>
      <c r="IY116" s="1"/>
      <c r="IZ116" s="1"/>
      <c r="JA116" s="1"/>
      <c r="JB116" s="1"/>
      <c r="JC116" s="1"/>
      <c r="JD116" s="1"/>
    </row>
    <row r="117" spans="2:264" s="1044" customFormat="1" x14ac:dyDescent="0.2">
      <c r="C117" s="1043"/>
      <c r="F117" s="1046"/>
      <c r="G117" s="1326"/>
      <c r="H117" s="1326"/>
      <c r="I117" s="1046"/>
      <c r="J117" s="1046"/>
      <c r="K117" s="1046"/>
      <c r="L117" s="1046"/>
      <c r="M117" s="1046"/>
      <c r="N117" s="1046"/>
      <c r="O117" s="1046"/>
      <c r="P117" s="1046"/>
      <c r="Q117" s="1047"/>
      <c r="S117" s="1074"/>
      <c r="T117" s="1074"/>
      <c r="U117" s="1074"/>
      <c r="V117" s="1074"/>
      <c r="W117" s="1074"/>
      <c r="X117" s="1074"/>
      <c r="Y117" s="1074"/>
      <c r="Z117" s="1074"/>
      <c r="AA117" s="1074"/>
      <c r="AB117" s="1074"/>
      <c r="AC117" s="1074"/>
      <c r="AD117" s="1074"/>
      <c r="AE117" s="1279"/>
      <c r="AF117" s="1074"/>
      <c r="AG117" s="1074"/>
      <c r="AH117" s="1074"/>
      <c r="AI117" s="1074"/>
      <c r="AJ117" s="1074"/>
      <c r="AK117" s="1364"/>
      <c r="AL117" s="1074"/>
      <c r="AM117" s="1074"/>
      <c r="AN117" s="1074"/>
      <c r="AO117" s="1074"/>
      <c r="AP117" s="1074"/>
      <c r="AQ117" s="1074"/>
      <c r="AR117" s="1074"/>
      <c r="AS117" s="1074"/>
      <c r="AT117" s="1074"/>
      <c r="AU117" s="1074"/>
      <c r="AV117" s="1083"/>
      <c r="AW117" s="1083"/>
      <c r="AX117" s="1083"/>
      <c r="AY117" s="1083"/>
      <c r="AZ117" s="1083"/>
      <c r="BA117" s="1083"/>
      <c r="BB117" s="1083"/>
      <c r="BC117" s="1083"/>
      <c r="BD117" s="1083"/>
      <c r="BE117" s="1083"/>
      <c r="BF117" s="1083"/>
      <c r="BG117" s="1083"/>
      <c r="BH117" s="1083"/>
      <c r="BI117" s="1083"/>
      <c r="BJ117" s="1083"/>
      <c r="BK117" s="1083"/>
      <c r="BL117" s="1083"/>
      <c r="BM117" s="1083"/>
      <c r="BN117" s="1083"/>
      <c r="BO117" s="1083"/>
      <c r="BP117" s="1083"/>
      <c r="BQ117" s="1083"/>
      <c r="BR117" s="1083"/>
      <c r="BS117" s="1083"/>
      <c r="BT117" s="1083"/>
      <c r="BU117" s="1083"/>
      <c r="BV117" s="1083"/>
      <c r="BW117" s="1083"/>
      <c r="BX117" s="1083"/>
      <c r="BY117" s="1083"/>
      <c r="BZ117" s="1083"/>
      <c r="CA117" s="1083"/>
      <c r="CB117" s="1083"/>
      <c r="CC117" s="1083"/>
      <c r="CD117" s="1083"/>
      <c r="CE117" s="1083"/>
      <c r="ES117" s="1"/>
      <c r="ET117" s="1"/>
      <c r="EU117" s="1"/>
      <c r="EV117" s="1"/>
      <c r="EW117" s="1"/>
      <c r="EX117" s="1"/>
      <c r="EY117" s="1"/>
      <c r="EZ117" s="1"/>
      <c r="FA117" s="1"/>
      <c r="FB117" s="1"/>
      <c r="FC117" s="1"/>
      <c r="FD117" s="1"/>
      <c r="FE117" s="1"/>
      <c r="FF117" s="1"/>
      <c r="FG117" s="1"/>
      <c r="FH117" s="1"/>
      <c r="FI117" s="1"/>
      <c r="FJ117" s="1"/>
      <c r="FK117" s="1"/>
      <c r="FL117" s="1"/>
      <c r="FM117" s="1"/>
      <c r="FN117" s="1"/>
      <c r="FO117" s="1"/>
      <c r="FP117" s="1"/>
      <c r="FQ117" s="1"/>
      <c r="FR117" s="1"/>
      <c r="FS117" s="1"/>
      <c r="FT117" s="1"/>
      <c r="FU117" s="1"/>
      <c r="FV117" s="1"/>
      <c r="FW117" s="1"/>
      <c r="FX117" s="1"/>
      <c r="FY117" s="1"/>
      <c r="FZ117" s="1"/>
      <c r="GA117" s="1"/>
      <c r="GB117" s="1"/>
      <c r="GC117" s="1"/>
      <c r="GD117" s="1"/>
      <c r="GE117" s="1"/>
      <c r="GF117" s="1"/>
      <c r="GG117" s="1"/>
      <c r="GH117" s="1"/>
      <c r="GI117" s="1"/>
      <c r="GJ117" s="1"/>
      <c r="GK117" s="1"/>
      <c r="GL117" s="1"/>
      <c r="GM117" s="1"/>
      <c r="GN117" s="1"/>
      <c r="GO117" s="1"/>
      <c r="GP117" s="1"/>
      <c r="GQ117" s="1"/>
      <c r="GR117" s="1"/>
      <c r="GS117" s="1"/>
      <c r="GT117" s="1"/>
      <c r="GU117" s="1"/>
      <c r="GV117" s="1"/>
      <c r="GW117" s="1"/>
      <c r="GX117" s="1"/>
      <c r="GY117" s="1"/>
      <c r="GZ117" s="1"/>
      <c r="HA117" s="1"/>
      <c r="HB117" s="1"/>
      <c r="HC117" s="1"/>
      <c r="HD117" s="1"/>
      <c r="HE117" s="1"/>
      <c r="HF117" s="1"/>
      <c r="HG117" s="1"/>
      <c r="HH117" s="1"/>
      <c r="HI117" s="1"/>
      <c r="HJ117" s="1"/>
      <c r="HK117" s="1"/>
      <c r="HL117" s="1"/>
      <c r="HM117" s="1"/>
      <c r="HN117" s="1"/>
      <c r="HO117" s="1"/>
      <c r="HP117" s="1"/>
      <c r="HQ117" s="1"/>
      <c r="HR117" s="1"/>
      <c r="HS117" s="1"/>
      <c r="HT117" s="1"/>
      <c r="HU117" s="1"/>
      <c r="HV117" s="1"/>
      <c r="HW117" s="1"/>
      <c r="HX117" s="1"/>
      <c r="HY117" s="1"/>
      <c r="HZ117" s="1"/>
      <c r="IA117" s="1"/>
      <c r="IB117" s="1"/>
      <c r="IC117" s="1"/>
      <c r="ID117" s="1"/>
      <c r="IE117" s="1"/>
      <c r="IF117" s="1"/>
      <c r="IG117" s="1"/>
      <c r="IH117" s="1"/>
      <c r="II117" s="1"/>
      <c r="IJ117" s="1"/>
      <c r="IK117" s="1"/>
      <c r="IL117" s="1"/>
      <c r="IM117" s="1"/>
      <c r="IN117" s="1"/>
      <c r="IO117" s="1"/>
      <c r="IP117" s="1"/>
      <c r="IQ117" s="1"/>
      <c r="IR117" s="1"/>
      <c r="IS117" s="1"/>
      <c r="IT117" s="1"/>
      <c r="IU117" s="1"/>
      <c r="IV117" s="1"/>
      <c r="IW117" s="1"/>
      <c r="IX117" s="1"/>
      <c r="IY117" s="1"/>
      <c r="IZ117" s="1"/>
      <c r="JA117" s="1"/>
      <c r="JB117" s="1"/>
      <c r="JC117" s="1"/>
      <c r="JD117" s="1"/>
    </row>
    <row r="118" spans="2:264" s="1044" customFormat="1" x14ac:dyDescent="0.2">
      <c r="C118" s="1043"/>
      <c r="G118" s="1043"/>
      <c r="H118" s="1043"/>
      <c r="P118" s="1046"/>
      <c r="Q118" s="1047"/>
      <c r="R118" s="1074"/>
      <c r="S118" s="1074"/>
      <c r="T118" s="1074"/>
      <c r="U118" s="1074"/>
      <c r="V118" s="1074"/>
      <c r="W118" s="1074"/>
      <c r="X118" s="1074"/>
      <c r="Y118" s="1074"/>
      <c r="Z118" s="1074"/>
      <c r="AA118" s="1074"/>
      <c r="AB118" s="1074"/>
      <c r="AC118" s="1074"/>
      <c r="AD118" s="1074"/>
      <c r="AE118" s="1279"/>
      <c r="AF118" s="1074"/>
      <c r="AG118" s="1074"/>
      <c r="AH118" s="1074"/>
      <c r="AI118" s="1074"/>
      <c r="AJ118" s="1074"/>
      <c r="AK118" s="1364"/>
      <c r="AL118" s="1074"/>
      <c r="AM118" s="1074"/>
      <c r="AN118" s="1074"/>
      <c r="AO118" s="1074"/>
      <c r="AP118" s="1074"/>
      <c r="AQ118" s="1074"/>
      <c r="AR118" s="1074"/>
      <c r="AS118" s="1074"/>
      <c r="AT118" s="1074"/>
      <c r="AU118" s="1074"/>
      <c r="AV118" s="1083"/>
      <c r="AW118" s="1083"/>
      <c r="AX118" s="1083"/>
      <c r="AY118" s="1083"/>
      <c r="AZ118" s="1083"/>
      <c r="BA118" s="1083"/>
      <c r="BB118" s="1083"/>
      <c r="BC118" s="1083"/>
      <c r="BD118" s="1083"/>
      <c r="BE118" s="1083"/>
      <c r="BF118" s="1083"/>
      <c r="BG118" s="1083"/>
      <c r="BH118" s="1083"/>
      <c r="BI118" s="1083"/>
      <c r="BJ118" s="1083"/>
      <c r="BK118" s="1083"/>
      <c r="BL118" s="1083"/>
      <c r="BM118" s="1083"/>
      <c r="BN118" s="1083"/>
      <c r="BO118" s="1083"/>
      <c r="BP118" s="1083"/>
      <c r="BQ118" s="1083"/>
      <c r="BR118" s="1083"/>
      <c r="BS118" s="1083"/>
      <c r="BT118" s="1083"/>
      <c r="BU118" s="1083"/>
      <c r="BV118" s="1083"/>
      <c r="BW118" s="1083"/>
      <c r="BX118" s="1083"/>
      <c r="BY118" s="1083"/>
      <c r="BZ118" s="1083"/>
      <c r="CA118" s="1083"/>
      <c r="CB118" s="1083"/>
      <c r="CC118" s="1083"/>
      <c r="CD118" s="1083"/>
      <c r="CE118" s="1083"/>
      <c r="ES118" s="1"/>
      <c r="ET118" s="1"/>
      <c r="EU118" s="1"/>
      <c r="EV118" s="1"/>
      <c r="EW118" s="1"/>
      <c r="EX118" s="1"/>
      <c r="EY118" s="1"/>
      <c r="EZ118" s="1"/>
      <c r="FA118" s="1"/>
      <c r="FB118" s="1"/>
      <c r="FC118" s="1"/>
      <c r="FD118" s="1"/>
      <c r="FE118" s="1"/>
      <c r="FF118" s="1"/>
      <c r="FG118" s="1"/>
      <c r="FH118" s="1"/>
      <c r="FI118" s="1"/>
      <c r="FJ118" s="1"/>
      <c r="FK118" s="1"/>
      <c r="FL118" s="1"/>
      <c r="FM118" s="1"/>
      <c r="FN118" s="1"/>
      <c r="FO118" s="1"/>
      <c r="FP118" s="1"/>
      <c r="FQ118" s="1"/>
      <c r="FR118" s="1"/>
      <c r="FS118" s="1"/>
      <c r="FT118" s="1"/>
      <c r="FU118" s="1"/>
      <c r="FV118" s="1"/>
      <c r="FW118" s="1"/>
      <c r="FX118" s="1"/>
      <c r="FY118" s="1"/>
      <c r="FZ118" s="1"/>
      <c r="GA118" s="1"/>
      <c r="GB118" s="1"/>
      <c r="GC118" s="1"/>
      <c r="GD118" s="1"/>
      <c r="GE118" s="1"/>
      <c r="GF118" s="1"/>
      <c r="GG118" s="1"/>
      <c r="GH118" s="1"/>
      <c r="GI118" s="1"/>
      <c r="GJ118" s="1"/>
      <c r="GK118" s="1"/>
      <c r="GL118" s="1"/>
      <c r="GM118" s="1"/>
      <c r="GN118" s="1"/>
      <c r="GO118" s="1"/>
      <c r="GP118" s="1"/>
      <c r="GQ118" s="1"/>
      <c r="GR118" s="1"/>
      <c r="GS118" s="1"/>
      <c r="GT118" s="1"/>
      <c r="GU118" s="1"/>
      <c r="GV118" s="1"/>
      <c r="GW118" s="1"/>
      <c r="GX118" s="1"/>
      <c r="GY118" s="1"/>
      <c r="GZ118" s="1"/>
      <c r="HA118" s="1"/>
      <c r="HB118" s="1"/>
      <c r="HC118" s="1"/>
      <c r="HD118" s="1"/>
      <c r="HE118" s="1"/>
      <c r="HF118" s="1"/>
      <c r="HG118" s="1"/>
      <c r="HH118" s="1"/>
      <c r="HI118" s="1"/>
      <c r="HJ118" s="1"/>
      <c r="HK118" s="1"/>
      <c r="HL118" s="1"/>
      <c r="HM118" s="1"/>
      <c r="HN118" s="1"/>
      <c r="HO118" s="1"/>
      <c r="HP118" s="1"/>
      <c r="HQ118" s="1"/>
      <c r="HR118" s="1"/>
      <c r="HS118" s="1"/>
      <c r="HT118" s="1"/>
      <c r="HU118" s="1"/>
      <c r="HV118" s="1"/>
      <c r="HW118" s="1"/>
      <c r="HX118" s="1"/>
      <c r="HY118" s="1"/>
      <c r="HZ118" s="1"/>
      <c r="IA118" s="1"/>
      <c r="IB118" s="1"/>
      <c r="IC118" s="1"/>
      <c r="ID118" s="1"/>
      <c r="IE118" s="1"/>
      <c r="IF118" s="1"/>
      <c r="IG118" s="1"/>
      <c r="IH118" s="1"/>
      <c r="II118" s="1"/>
      <c r="IJ118" s="1"/>
      <c r="IK118" s="1"/>
      <c r="IL118" s="1"/>
      <c r="IM118" s="1"/>
      <c r="IN118" s="1"/>
      <c r="IO118" s="1"/>
      <c r="IP118" s="1"/>
      <c r="IQ118" s="1"/>
      <c r="IR118" s="1"/>
      <c r="IS118" s="1"/>
      <c r="IT118" s="1"/>
      <c r="IU118" s="1"/>
      <c r="IV118" s="1"/>
      <c r="IW118" s="1"/>
      <c r="IX118" s="1"/>
      <c r="IY118" s="1"/>
      <c r="IZ118" s="1"/>
      <c r="JA118" s="1"/>
      <c r="JB118" s="1"/>
      <c r="JC118" s="1"/>
      <c r="JD118" s="1"/>
    </row>
    <row r="119" spans="2:264" s="1046" customFormat="1" x14ac:dyDescent="0.2">
      <c r="B119" s="1044"/>
      <c r="C119" s="1043"/>
      <c r="F119" s="1044"/>
      <c r="G119" s="1043"/>
      <c r="H119" s="1043"/>
      <c r="I119" s="1044"/>
      <c r="J119" s="1044"/>
      <c r="K119" s="1044"/>
      <c r="L119" s="1044"/>
      <c r="M119" s="1044"/>
      <c r="N119" s="1044"/>
      <c r="O119" s="1044"/>
      <c r="Q119" s="1044"/>
      <c r="R119" s="1327"/>
      <c r="S119" s="1327"/>
      <c r="T119" s="1327"/>
      <c r="U119" s="1327"/>
      <c r="V119" s="1327"/>
      <c r="W119" s="1327"/>
      <c r="X119" s="1327"/>
      <c r="Y119" s="1327"/>
      <c r="Z119" s="1327"/>
      <c r="AA119" s="1327"/>
      <c r="AB119" s="1044"/>
      <c r="AC119" s="1044"/>
      <c r="AD119" s="1044"/>
      <c r="AE119" s="1221"/>
      <c r="AF119" s="1044"/>
      <c r="AG119" s="1044"/>
      <c r="AH119" s="1044"/>
      <c r="AI119" s="1044"/>
      <c r="AJ119" s="1044"/>
      <c r="AK119" s="1361"/>
      <c r="AL119" s="1044"/>
      <c r="AM119" s="1044"/>
      <c r="AN119" s="1044"/>
      <c r="AO119" s="1044"/>
      <c r="AP119" s="1044"/>
      <c r="AQ119" s="1044"/>
      <c r="AR119" s="1044"/>
      <c r="AS119" s="1044"/>
      <c r="AT119" s="1044"/>
      <c r="AU119" s="1044"/>
      <c r="AV119" s="1044"/>
      <c r="AW119" s="1044"/>
      <c r="AX119" s="1044"/>
      <c r="AY119" s="1044"/>
      <c r="AZ119" s="1044"/>
      <c r="BA119" s="1044"/>
      <c r="BB119" s="1044"/>
      <c r="BC119" s="1044"/>
      <c r="BD119" s="1044"/>
      <c r="BE119" s="1044"/>
      <c r="BF119" s="1044"/>
      <c r="BG119" s="1044"/>
      <c r="BH119" s="1044"/>
      <c r="BI119" s="1044"/>
      <c r="BJ119" s="1044"/>
      <c r="BK119" s="1044"/>
      <c r="BL119" s="1044"/>
      <c r="BM119" s="1044"/>
      <c r="BN119" s="1044"/>
      <c r="BO119" s="1044"/>
      <c r="BP119" s="1044"/>
      <c r="BQ119" s="1044"/>
      <c r="BR119" s="1044"/>
      <c r="BS119" s="1044"/>
      <c r="BT119" s="1044"/>
      <c r="BU119" s="1044"/>
      <c r="BV119" s="1044"/>
      <c r="BW119" s="1044"/>
      <c r="BX119" s="1044"/>
      <c r="BY119" s="1044"/>
      <c r="BZ119" s="1044"/>
      <c r="CA119" s="1044"/>
      <c r="CB119" s="1044"/>
      <c r="CC119" s="1044"/>
      <c r="CD119" s="1044"/>
      <c r="CE119" s="1044"/>
      <c r="CF119" s="1044"/>
      <c r="CG119" s="1044"/>
      <c r="CH119" s="1044"/>
      <c r="CI119" s="1044"/>
      <c r="CJ119" s="1044"/>
      <c r="CK119" s="1044"/>
      <c r="CL119" s="1044"/>
      <c r="CM119" s="1044"/>
      <c r="CN119" s="1044"/>
      <c r="CO119" s="1044"/>
      <c r="CP119" s="1044"/>
      <c r="CQ119" s="1044"/>
      <c r="CR119" s="1044"/>
      <c r="CS119" s="1044"/>
      <c r="CT119" s="1044"/>
      <c r="CU119" s="1044"/>
      <c r="CV119" s="1044"/>
      <c r="CW119" s="1044"/>
      <c r="CX119" s="1044"/>
      <c r="CY119" s="1044"/>
      <c r="CZ119" s="1044"/>
      <c r="DA119" s="1044"/>
      <c r="DB119" s="1044"/>
      <c r="DC119" s="1044"/>
      <c r="DD119" s="1044"/>
      <c r="DE119" s="1044"/>
      <c r="DF119" s="1044"/>
      <c r="DG119" s="1044"/>
      <c r="DH119" s="1044"/>
      <c r="DI119" s="1044"/>
      <c r="DJ119" s="1044"/>
      <c r="DK119" s="1044"/>
      <c r="DL119" s="1044"/>
      <c r="DM119" s="1044"/>
      <c r="DN119" s="1044"/>
      <c r="DO119" s="1044"/>
      <c r="DP119" s="1044"/>
      <c r="DQ119" s="1044"/>
      <c r="DR119" s="1044"/>
      <c r="DS119" s="1044"/>
      <c r="DT119" s="1044"/>
      <c r="DU119" s="1044"/>
      <c r="DV119" s="1044"/>
      <c r="DW119" s="1044"/>
      <c r="DX119" s="1044"/>
      <c r="DY119" s="1044"/>
      <c r="DZ119" s="1044"/>
      <c r="EA119" s="1044"/>
      <c r="EB119" s="1044"/>
      <c r="EC119" s="1044"/>
      <c r="ED119" s="1044"/>
      <c r="EE119" s="1044"/>
      <c r="EF119" s="1044"/>
      <c r="EG119" s="1044"/>
      <c r="EH119" s="1044"/>
      <c r="EI119" s="1044"/>
      <c r="EJ119" s="1044"/>
      <c r="EK119" s="1044"/>
      <c r="EL119" s="1044"/>
      <c r="EM119" s="1044"/>
      <c r="EN119" s="1044"/>
      <c r="EO119" s="1044"/>
      <c r="EP119" s="1044"/>
      <c r="EQ119" s="1044"/>
      <c r="ER119" s="1044"/>
      <c r="ES119" s="1"/>
      <c r="ET119" s="1"/>
      <c r="EU119" s="1"/>
      <c r="EV119" s="1"/>
      <c r="EW119" s="1"/>
      <c r="EX119" s="1"/>
      <c r="EY119" s="1"/>
      <c r="EZ119" s="1"/>
      <c r="FA119" s="1"/>
      <c r="FB119" s="1"/>
      <c r="FC119" s="1"/>
      <c r="FD119" s="1"/>
      <c r="FE119" s="1"/>
      <c r="FF119" s="1"/>
      <c r="FG119" s="1"/>
      <c r="FH119" s="1"/>
      <c r="FI119" s="1"/>
      <c r="FJ119" s="1"/>
      <c r="FK119" s="1"/>
      <c r="FL119" s="1"/>
      <c r="FM119" s="1"/>
      <c r="FN119" s="1"/>
      <c r="FO119" s="1"/>
      <c r="FP119" s="1"/>
      <c r="FQ119" s="1"/>
      <c r="FR119" s="1"/>
      <c r="FS119" s="1"/>
      <c r="FT119" s="1"/>
      <c r="FU119" s="1"/>
      <c r="FV119" s="1"/>
      <c r="FW119" s="1"/>
      <c r="FX119" s="1"/>
      <c r="FY119" s="1"/>
      <c r="FZ119" s="1"/>
      <c r="GA119" s="1"/>
      <c r="GB119" s="1"/>
      <c r="GC119" s="1"/>
      <c r="GD119" s="1"/>
      <c r="GE119" s="1"/>
      <c r="GF119" s="1"/>
      <c r="GG119" s="1"/>
      <c r="GH119" s="1"/>
      <c r="GI119" s="1"/>
      <c r="GJ119" s="1"/>
      <c r="GK119" s="1"/>
      <c r="GL119" s="1"/>
      <c r="GM119" s="1"/>
      <c r="GN119" s="1"/>
      <c r="GO119" s="1"/>
      <c r="GP119" s="1"/>
      <c r="GQ119" s="1"/>
      <c r="GR119" s="1"/>
      <c r="GS119" s="1"/>
      <c r="GT119" s="1"/>
      <c r="GU119" s="1"/>
      <c r="GV119" s="1"/>
      <c r="GW119" s="1"/>
      <c r="GX119" s="1"/>
      <c r="GY119" s="1"/>
      <c r="GZ119" s="1"/>
      <c r="HA119" s="1"/>
      <c r="HB119" s="1"/>
      <c r="HC119" s="1"/>
      <c r="HD119" s="1"/>
      <c r="HE119" s="1"/>
      <c r="HF119" s="1"/>
      <c r="HG119" s="1"/>
      <c r="HH119" s="1"/>
      <c r="HI119" s="1"/>
      <c r="HJ119" s="1"/>
      <c r="HK119" s="1"/>
      <c r="HL119" s="1"/>
      <c r="HM119" s="1"/>
      <c r="HN119" s="1"/>
      <c r="HO119" s="1"/>
      <c r="HP119" s="1"/>
      <c r="HQ119" s="1"/>
      <c r="HR119" s="1"/>
      <c r="HS119" s="1"/>
      <c r="HT119" s="1"/>
      <c r="HU119" s="1"/>
      <c r="HV119" s="1"/>
      <c r="HW119" s="1"/>
      <c r="HX119" s="1"/>
      <c r="HY119" s="1"/>
      <c r="HZ119" s="1"/>
      <c r="IA119" s="1"/>
      <c r="IB119" s="1"/>
      <c r="IC119" s="1"/>
      <c r="ID119" s="1"/>
      <c r="IE119" s="1"/>
      <c r="IF119" s="1"/>
      <c r="IG119" s="1"/>
      <c r="IH119" s="1"/>
      <c r="II119" s="1"/>
      <c r="IJ119" s="1"/>
      <c r="IK119" s="1"/>
      <c r="IL119" s="1"/>
      <c r="IM119" s="1"/>
      <c r="IN119" s="1"/>
      <c r="IO119" s="1"/>
      <c r="IP119" s="1"/>
      <c r="IQ119" s="1"/>
      <c r="IR119" s="1"/>
      <c r="IS119" s="1"/>
      <c r="IT119" s="1"/>
      <c r="IU119" s="1"/>
      <c r="IV119" s="1"/>
      <c r="IW119" s="1"/>
      <c r="IX119" s="1"/>
      <c r="IY119" s="1"/>
      <c r="IZ119" s="1"/>
      <c r="JA119" s="1"/>
      <c r="JB119" s="1"/>
      <c r="JC119" s="1"/>
      <c r="JD119" s="1"/>
    </row>
    <row r="120" spans="2:264" s="1044" customFormat="1" x14ac:dyDescent="0.2">
      <c r="C120" s="1043"/>
      <c r="G120" s="1043"/>
      <c r="H120" s="1043"/>
      <c r="P120" s="1046"/>
      <c r="Q120" s="1047" t="s">
        <v>1098</v>
      </c>
      <c r="R120" s="1328"/>
      <c r="S120" s="1328"/>
      <c r="T120" s="1328"/>
      <c r="U120" s="1328"/>
      <c r="V120" s="1328"/>
      <c r="W120" s="1328"/>
      <c r="X120" s="1328"/>
      <c r="Y120" s="1328"/>
      <c r="Z120" s="1328"/>
      <c r="AA120" s="1328"/>
      <c r="AE120" s="1221"/>
      <c r="AK120" s="1361"/>
      <c r="ES120" s="1"/>
      <c r="ET120" s="1"/>
      <c r="EU120" s="1"/>
      <c r="EV120" s="1"/>
      <c r="EW120" s="1"/>
      <c r="EX120" s="1"/>
      <c r="EY120" s="1"/>
      <c r="EZ120" s="1"/>
      <c r="FA120" s="1"/>
      <c r="FB120" s="1"/>
      <c r="FC120" s="1"/>
      <c r="FD120" s="1"/>
      <c r="FE120" s="1"/>
      <c r="FF120" s="1"/>
      <c r="FG120" s="1"/>
      <c r="FH120" s="1"/>
      <c r="FI120" s="1"/>
      <c r="FJ120" s="1"/>
      <c r="FK120" s="1"/>
      <c r="FL120" s="1"/>
      <c r="FM120" s="1"/>
      <c r="FN120" s="1"/>
      <c r="FO120" s="1"/>
      <c r="FP120" s="1"/>
      <c r="FQ120" s="1"/>
      <c r="FR120" s="1"/>
      <c r="FS120" s="1"/>
      <c r="FT120" s="1"/>
      <c r="FU120" s="1"/>
      <c r="FV120" s="1"/>
      <c r="FW120" s="1"/>
      <c r="FX120" s="1"/>
      <c r="FY120" s="1"/>
      <c r="FZ120" s="1"/>
      <c r="GA120" s="1"/>
      <c r="GB120" s="1"/>
      <c r="GC120" s="1"/>
      <c r="GD120" s="1"/>
      <c r="GE120" s="1"/>
      <c r="GF120" s="1"/>
      <c r="GG120" s="1"/>
      <c r="GH120" s="1"/>
      <c r="GI120" s="1"/>
      <c r="GJ120" s="1"/>
      <c r="GK120" s="1"/>
      <c r="GL120" s="1"/>
      <c r="GM120" s="1"/>
      <c r="GN120" s="1"/>
      <c r="GO120" s="1"/>
      <c r="GP120" s="1"/>
      <c r="GQ120" s="1"/>
      <c r="GR120" s="1"/>
      <c r="GS120" s="1"/>
      <c r="GT120" s="1"/>
      <c r="GU120" s="1"/>
      <c r="GV120" s="1"/>
      <c r="GW120" s="1"/>
      <c r="GX120" s="1"/>
      <c r="GY120" s="1"/>
      <c r="GZ120" s="1"/>
      <c r="HA120" s="1"/>
      <c r="HB120" s="1"/>
      <c r="HC120" s="1"/>
      <c r="HD120" s="1"/>
      <c r="HE120" s="1"/>
      <c r="HF120" s="1"/>
      <c r="HG120" s="1"/>
      <c r="HH120" s="1"/>
      <c r="HI120" s="1"/>
      <c r="HJ120" s="1"/>
      <c r="HK120" s="1"/>
      <c r="HL120" s="1"/>
      <c r="HM120" s="1"/>
      <c r="HN120" s="1"/>
      <c r="HO120" s="1"/>
      <c r="HP120" s="1"/>
      <c r="HQ120" s="1"/>
      <c r="HR120" s="1"/>
      <c r="HS120" s="1"/>
      <c r="HT120" s="1"/>
      <c r="HU120" s="1"/>
      <c r="HV120" s="1"/>
      <c r="HW120" s="1"/>
      <c r="HX120" s="1"/>
      <c r="HY120" s="1"/>
      <c r="HZ120" s="1"/>
      <c r="IA120" s="1"/>
      <c r="IB120" s="1"/>
      <c r="IC120" s="1"/>
      <c r="ID120" s="1"/>
      <c r="IE120" s="1"/>
      <c r="IF120" s="1"/>
      <c r="IG120" s="1"/>
      <c r="IH120" s="1"/>
      <c r="II120" s="1"/>
      <c r="IJ120" s="1"/>
      <c r="IK120" s="1"/>
      <c r="IL120" s="1"/>
      <c r="IM120" s="1"/>
      <c r="IN120" s="1"/>
      <c r="IO120" s="1"/>
      <c r="IP120" s="1"/>
      <c r="IQ120" s="1"/>
      <c r="IR120" s="1"/>
      <c r="IS120" s="1"/>
      <c r="IT120" s="1"/>
      <c r="IU120" s="1"/>
      <c r="IV120" s="1"/>
      <c r="IW120" s="1"/>
      <c r="IX120" s="1"/>
      <c r="IY120" s="1"/>
      <c r="IZ120" s="1"/>
      <c r="JA120" s="1"/>
      <c r="JB120" s="1"/>
      <c r="JC120" s="1"/>
      <c r="JD120" s="1"/>
    </row>
    <row r="121" spans="2:264" s="1044" customFormat="1" x14ac:dyDescent="0.2">
      <c r="C121" s="1043"/>
      <c r="G121" s="1043"/>
      <c r="H121" s="1043"/>
      <c r="P121" s="1046"/>
      <c r="Q121" s="1044" t="s">
        <v>1099</v>
      </c>
      <c r="R121" s="1302"/>
      <c r="S121" s="1302"/>
      <c r="T121" s="1302"/>
      <c r="U121" s="1302"/>
      <c r="V121" s="1302"/>
      <c r="W121" s="1302"/>
      <c r="X121" s="1302"/>
      <c r="Y121" s="1302"/>
      <c r="Z121" s="1302"/>
      <c r="AA121" s="1302"/>
      <c r="AB121" s="1302"/>
      <c r="AC121" s="1302"/>
      <c r="AD121" s="1302"/>
      <c r="AE121" s="1302"/>
      <c r="AF121" s="1302"/>
      <c r="AG121" s="1302">
        <f t="shared" ref="AG121:AU121" si="292">AG105</f>
        <v>10181</v>
      </c>
      <c r="AH121" s="1302">
        <f t="shared" si="292"/>
        <v>10771</v>
      </c>
      <c r="AI121" s="1302">
        <f t="shared" si="292"/>
        <v>9998</v>
      </c>
      <c r="AJ121" s="1302">
        <f t="shared" si="292"/>
        <v>9394</v>
      </c>
      <c r="AK121" s="1389">
        <f t="shared" si="292"/>
        <v>10116</v>
      </c>
      <c r="AL121" s="1302">
        <f t="shared" si="292"/>
        <v>10991.653390878699</v>
      </c>
      <c r="AM121" s="1302">
        <f t="shared" ref="AM121" si="293">AM105</f>
        <v>11801.308185560092</v>
      </c>
      <c r="AN121" s="1302">
        <f t="shared" ref="AN121" si="294">AN105</f>
        <v>12258.706796775259</v>
      </c>
      <c r="AO121" s="1302">
        <f t="shared" ca="1" si="292"/>
        <v>12925.493078831561</v>
      </c>
      <c r="AP121" s="1302">
        <f t="shared" ca="1" si="292"/>
        <v>13420.746209131936</v>
      </c>
      <c r="AQ121" s="1302">
        <f t="shared" ca="1" si="292"/>
        <v>13934.192192653638</v>
      </c>
      <c r="AR121" s="1302">
        <f t="shared" ca="1" si="292"/>
        <v>14466.470323873622</v>
      </c>
      <c r="AS121" s="1302">
        <f t="shared" ca="1" si="292"/>
        <v>13579.115218094181</v>
      </c>
      <c r="AT121" s="1302">
        <f t="shared" ca="1" si="292"/>
        <v>14086.300448299729</v>
      </c>
      <c r="AU121" s="1302">
        <f t="shared" ca="1" si="292"/>
        <v>16183.012969235842</v>
      </c>
      <c r="AV121" s="1302"/>
      <c r="AW121" s="1302"/>
      <c r="ES121" s="1"/>
      <c r="ET121" s="1"/>
      <c r="EU121" s="1"/>
      <c r="EV121" s="1"/>
      <c r="EW121" s="1"/>
      <c r="EX121" s="1"/>
      <c r="EY121" s="1"/>
      <c r="EZ121" s="1"/>
      <c r="FA121" s="1"/>
      <c r="FB121" s="1"/>
      <c r="FC121" s="1"/>
      <c r="FD121" s="1"/>
      <c r="FE121" s="1"/>
      <c r="FF121" s="1"/>
      <c r="FG121" s="1"/>
      <c r="FH121" s="1"/>
      <c r="FI121" s="1"/>
      <c r="FJ121" s="1"/>
      <c r="FK121" s="1"/>
      <c r="FL121" s="1"/>
      <c r="FM121" s="1"/>
      <c r="FN121" s="1"/>
      <c r="FO121" s="1"/>
      <c r="FP121" s="1"/>
      <c r="FQ121" s="1"/>
      <c r="FR121" s="1"/>
      <c r="FS121" s="1"/>
      <c r="FT121" s="1"/>
      <c r="FU121" s="1"/>
      <c r="FV121" s="1"/>
      <c r="FW121" s="1"/>
      <c r="FX121" s="1"/>
      <c r="FY121" s="1"/>
      <c r="FZ121" s="1"/>
      <c r="GA121" s="1"/>
      <c r="GB121" s="1"/>
      <c r="GC121" s="1"/>
      <c r="GD121" s="1"/>
      <c r="GE121" s="1"/>
      <c r="GF121" s="1"/>
      <c r="GG121" s="1"/>
      <c r="GH121" s="1"/>
      <c r="GI121" s="1"/>
      <c r="GJ121" s="1"/>
      <c r="GK121" s="1"/>
      <c r="GL121" s="1"/>
      <c r="GM121" s="1"/>
      <c r="GN121" s="1"/>
      <c r="GO121" s="1"/>
      <c r="GP121" s="1"/>
      <c r="GQ121" s="1"/>
      <c r="GR121" s="1"/>
      <c r="GS121" s="1"/>
      <c r="GT121" s="1"/>
      <c r="GU121" s="1"/>
      <c r="GV121" s="1"/>
      <c r="GW121" s="1"/>
      <c r="GX121" s="1"/>
      <c r="GY121" s="1"/>
      <c r="GZ121" s="1"/>
      <c r="HA121" s="1"/>
      <c r="HB121" s="1"/>
      <c r="HC121" s="1"/>
      <c r="HD121" s="1"/>
      <c r="HE121" s="1"/>
      <c r="HF121" s="1"/>
      <c r="HG121" s="1"/>
      <c r="HH121" s="1"/>
      <c r="HI121" s="1"/>
      <c r="HJ121" s="1"/>
      <c r="HK121" s="1"/>
      <c r="HL121" s="1"/>
      <c r="HM121" s="1"/>
      <c r="HN121" s="1"/>
      <c r="HO121" s="1"/>
      <c r="HP121" s="1"/>
      <c r="HQ121" s="1"/>
      <c r="HR121" s="1"/>
      <c r="HS121" s="1"/>
      <c r="HT121" s="1"/>
      <c r="HU121" s="1"/>
      <c r="HV121" s="1"/>
      <c r="HW121" s="1"/>
      <c r="HX121" s="1"/>
      <c r="HY121" s="1"/>
      <c r="HZ121" s="1"/>
      <c r="IA121" s="1"/>
      <c r="IB121" s="1"/>
      <c r="IC121" s="1"/>
      <c r="ID121" s="1"/>
      <c r="IE121" s="1"/>
      <c r="IF121" s="1"/>
      <c r="IG121" s="1"/>
      <c r="IH121" s="1"/>
      <c r="II121" s="1"/>
      <c r="IJ121" s="1"/>
      <c r="IK121" s="1"/>
      <c r="IL121" s="1"/>
      <c r="IM121" s="1"/>
      <c r="IN121" s="1"/>
      <c r="IO121" s="1"/>
      <c r="IP121" s="1"/>
      <c r="IQ121" s="1"/>
      <c r="IR121" s="1"/>
      <c r="IS121" s="1"/>
      <c r="IT121" s="1"/>
      <c r="IU121" s="1"/>
      <c r="IV121" s="1"/>
      <c r="IW121" s="1"/>
      <c r="IX121" s="1"/>
      <c r="IY121" s="1"/>
      <c r="IZ121" s="1"/>
      <c r="JA121" s="1"/>
      <c r="JB121" s="1"/>
      <c r="JC121" s="1"/>
      <c r="JD121" s="1"/>
    </row>
    <row r="122" spans="2:264" s="1044" customFormat="1" x14ac:dyDescent="0.2">
      <c r="C122" s="1043"/>
      <c r="G122" s="1043"/>
      <c r="H122" s="1043"/>
      <c r="P122" s="1046"/>
      <c r="Q122" s="1044" t="s">
        <v>1100</v>
      </c>
      <c r="AK122" s="1361"/>
      <c r="ES122" s="1"/>
      <c r="ET122" s="1"/>
      <c r="EU122" s="1"/>
      <c r="EV122" s="1"/>
      <c r="EW122" s="1"/>
      <c r="EX122" s="1"/>
      <c r="EY122" s="1"/>
      <c r="EZ122" s="1"/>
      <c r="FA122" s="1"/>
      <c r="FB122" s="1"/>
      <c r="FC122" s="1"/>
      <c r="FD122" s="1"/>
      <c r="FE122" s="1"/>
      <c r="FF122" s="1"/>
      <c r="FG122" s="1"/>
      <c r="FH122" s="1"/>
      <c r="FI122" s="1"/>
      <c r="FJ122" s="1"/>
      <c r="FK122" s="1"/>
      <c r="FL122" s="1"/>
      <c r="FM122" s="1"/>
      <c r="FN122" s="1"/>
      <c r="FO122" s="1"/>
      <c r="FP122" s="1"/>
      <c r="FQ122" s="1"/>
      <c r="FR122" s="1"/>
      <c r="FS122" s="1"/>
      <c r="FT122" s="1"/>
      <c r="FU122" s="1"/>
      <c r="FV122" s="1"/>
      <c r="FW122" s="1"/>
      <c r="FX122" s="1"/>
      <c r="FY122" s="1"/>
      <c r="FZ122" s="1"/>
      <c r="GA122" s="1"/>
      <c r="GB122" s="1"/>
      <c r="GC122" s="1"/>
      <c r="GD122" s="1"/>
      <c r="GE122" s="1"/>
      <c r="GF122" s="1"/>
      <c r="GG122" s="1"/>
      <c r="GH122" s="1"/>
      <c r="GI122" s="1"/>
      <c r="GJ122" s="1"/>
      <c r="GK122" s="1"/>
      <c r="GL122" s="1"/>
      <c r="GM122" s="1"/>
      <c r="GN122" s="1"/>
      <c r="GO122" s="1"/>
      <c r="GP122" s="1"/>
      <c r="GQ122" s="1"/>
      <c r="GR122" s="1"/>
      <c r="GS122" s="1"/>
      <c r="GT122" s="1"/>
      <c r="GU122" s="1"/>
      <c r="GV122" s="1"/>
      <c r="GW122" s="1"/>
      <c r="GX122" s="1"/>
      <c r="GY122" s="1"/>
      <c r="GZ122" s="1"/>
      <c r="HA122" s="1"/>
      <c r="HB122" s="1"/>
      <c r="HC122" s="1"/>
      <c r="HD122" s="1"/>
      <c r="HE122" s="1"/>
      <c r="HF122" s="1"/>
      <c r="HG122" s="1"/>
      <c r="HH122" s="1"/>
      <c r="HI122" s="1"/>
      <c r="HJ122" s="1"/>
      <c r="HK122" s="1"/>
      <c r="HL122" s="1"/>
      <c r="HM122" s="1"/>
      <c r="HN122" s="1"/>
      <c r="HO122" s="1"/>
      <c r="HP122" s="1"/>
      <c r="HQ122" s="1"/>
      <c r="HR122" s="1"/>
      <c r="HS122" s="1"/>
      <c r="HT122" s="1"/>
      <c r="HU122" s="1"/>
      <c r="HV122" s="1"/>
      <c r="HW122" s="1"/>
      <c r="HX122" s="1"/>
      <c r="HY122" s="1"/>
      <c r="HZ122" s="1"/>
      <c r="IA122" s="1"/>
      <c r="IB122" s="1"/>
      <c r="IC122" s="1"/>
      <c r="ID122" s="1"/>
      <c r="IE122" s="1"/>
      <c r="IF122" s="1"/>
      <c r="IG122" s="1"/>
      <c r="IH122" s="1"/>
      <c r="II122" s="1"/>
      <c r="IJ122" s="1"/>
      <c r="IK122" s="1"/>
      <c r="IL122" s="1"/>
      <c r="IM122" s="1"/>
      <c r="IN122" s="1"/>
      <c r="IO122" s="1"/>
      <c r="IP122" s="1"/>
      <c r="IQ122" s="1"/>
      <c r="IR122" s="1"/>
      <c r="IS122" s="1"/>
      <c r="IT122" s="1"/>
      <c r="IU122" s="1"/>
      <c r="IV122" s="1"/>
      <c r="IW122" s="1"/>
      <c r="IX122" s="1"/>
      <c r="IY122" s="1"/>
      <c r="IZ122" s="1"/>
      <c r="JA122" s="1"/>
      <c r="JB122" s="1"/>
      <c r="JC122" s="1"/>
      <c r="JD122" s="1"/>
    </row>
    <row r="123" spans="2:264" s="1044" customFormat="1" x14ac:dyDescent="0.2">
      <c r="C123" s="1043"/>
      <c r="G123" s="1043"/>
      <c r="H123" s="1043"/>
      <c r="P123" s="1046"/>
      <c r="Q123" s="1044" t="s">
        <v>1101</v>
      </c>
      <c r="R123" s="1329">
        <v>8.5000000000000006E-2</v>
      </c>
      <c r="S123" s="1302"/>
      <c r="T123" s="1302"/>
      <c r="U123" s="1302"/>
      <c r="V123" s="1302"/>
      <c r="W123" s="1302"/>
      <c r="X123" s="1302"/>
      <c r="Y123" s="1302"/>
      <c r="Z123" s="1302"/>
      <c r="AA123" s="1302"/>
      <c r="AB123" s="1302"/>
      <c r="AC123" s="1302"/>
      <c r="AD123" s="1302"/>
      <c r="AE123" s="1302"/>
      <c r="AF123" s="1302"/>
      <c r="AG123" s="1302">
        <f t="shared" ref="AG123:AQ123" si="295">+(AG36-AF36)*$R$123</f>
        <v>-362.78000000000003</v>
      </c>
      <c r="AH123" s="1302">
        <f t="shared" si="295"/>
        <v>4013.0200000000004</v>
      </c>
      <c r="AI123" s="1302">
        <f t="shared" si="295"/>
        <v>-2541.5</v>
      </c>
      <c r="AJ123" s="1302">
        <f t="shared" si="295"/>
        <v>-37.484999999999999</v>
      </c>
      <c r="AK123" s="1389">
        <f t="shared" si="295"/>
        <v>2430.4900000000002</v>
      </c>
      <c r="AL123" s="1302">
        <f t="shared" ca="1" si="295"/>
        <v>2175.6889424643218</v>
      </c>
      <c r="AM123" s="1302">
        <f t="shared" ref="AM123:AN123" ca="1" si="296">+(AM36-AL36)*$R$123</f>
        <v>2709.0892902288397</v>
      </c>
      <c r="AN123" s="1302">
        <f t="shared" ca="1" si="296"/>
        <v>2322.8728645082278</v>
      </c>
      <c r="AO123" s="1302">
        <f t="shared" ca="1" si="295"/>
        <v>2107.5266546995467</v>
      </c>
      <c r="AP123" s="1302">
        <f t="shared" ca="1" si="295"/>
        <v>2180.1871555630241</v>
      </c>
      <c r="AQ123" s="1302">
        <f t="shared" ca="1" si="295"/>
        <v>2272.9489625925894</v>
      </c>
      <c r="AR123" s="1302">
        <f ca="1">+(AR36-AQ36)*$R$123</f>
        <v>2369.6755054712703</v>
      </c>
      <c r="AS123" s="1302">
        <f ca="1">+(AS36-AR36)*$R$123</f>
        <v>2470.5369666631791</v>
      </c>
      <c r="AT123" s="1302">
        <f t="shared" ref="AT123:AU123" ca="1" si="297">+(AT36-AS36)*$R$123</f>
        <v>2575.710862908295</v>
      </c>
      <c r="AU123" s="1302">
        <f t="shared" ca="1" si="297"/>
        <v>2685.3823624926672</v>
      </c>
      <c r="AV123" s="1302"/>
      <c r="AW123" s="1302"/>
      <c r="ES123" s="1"/>
      <c r="ET123" s="1"/>
      <c r="EU123" s="1"/>
      <c r="EV123" s="1"/>
      <c r="EW123" s="1"/>
      <c r="EX123" s="1"/>
      <c r="EY123" s="1"/>
      <c r="EZ123" s="1"/>
      <c r="FA123" s="1"/>
      <c r="FB123" s="1"/>
      <c r="FC123" s="1"/>
      <c r="FD123" s="1"/>
      <c r="FE123" s="1"/>
      <c r="FF123" s="1"/>
      <c r="FG123" s="1"/>
      <c r="FH123" s="1"/>
      <c r="FI123" s="1"/>
      <c r="FJ123" s="1"/>
      <c r="FK123" s="1"/>
      <c r="FL123" s="1"/>
      <c r="FM123" s="1"/>
      <c r="FN123" s="1"/>
      <c r="FO123" s="1"/>
      <c r="FP123" s="1"/>
      <c r="FQ123" s="1"/>
      <c r="FR123" s="1"/>
      <c r="FS123" s="1"/>
      <c r="FT123" s="1"/>
      <c r="FU123" s="1"/>
      <c r="FV123" s="1"/>
      <c r="FW123" s="1"/>
      <c r="FX123" s="1"/>
      <c r="FY123" s="1"/>
      <c r="FZ123" s="1"/>
      <c r="GA123" s="1"/>
      <c r="GB123" s="1"/>
      <c r="GC123" s="1"/>
      <c r="GD123" s="1"/>
      <c r="GE123" s="1"/>
      <c r="GF123" s="1"/>
      <c r="GG123" s="1"/>
      <c r="GH123" s="1"/>
      <c r="GI123" s="1"/>
      <c r="GJ123" s="1"/>
      <c r="GK123" s="1"/>
      <c r="GL123" s="1"/>
      <c r="GM123" s="1"/>
      <c r="GN123" s="1"/>
      <c r="GO123" s="1"/>
      <c r="GP123" s="1"/>
      <c r="GQ123" s="1"/>
      <c r="GR123" s="1"/>
      <c r="GS123" s="1"/>
      <c r="GT123" s="1"/>
      <c r="GU123" s="1"/>
      <c r="GV123" s="1"/>
      <c r="GW123" s="1"/>
      <c r="GX123" s="1"/>
      <c r="GY123" s="1"/>
      <c r="GZ123" s="1"/>
      <c r="HA123" s="1"/>
      <c r="HB123" s="1"/>
      <c r="HC123" s="1"/>
      <c r="HD123" s="1"/>
      <c r="HE123" s="1"/>
      <c r="HF123" s="1"/>
      <c r="HG123" s="1"/>
      <c r="HH123" s="1"/>
      <c r="HI123" s="1"/>
      <c r="HJ123" s="1"/>
      <c r="HK123" s="1"/>
      <c r="HL123" s="1"/>
      <c r="HM123" s="1"/>
      <c r="HN123" s="1"/>
      <c r="HO123" s="1"/>
      <c r="HP123" s="1"/>
      <c r="HQ123" s="1"/>
      <c r="HR123" s="1"/>
      <c r="HS123" s="1"/>
      <c r="HT123" s="1"/>
      <c r="HU123" s="1"/>
      <c r="HV123" s="1"/>
      <c r="HW123" s="1"/>
      <c r="HX123" s="1"/>
      <c r="HY123" s="1"/>
      <c r="HZ123" s="1"/>
      <c r="IA123" s="1"/>
      <c r="IB123" s="1"/>
      <c r="IC123" s="1"/>
      <c r="ID123" s="1"/>
      <c r="IE123" s="1"/>
      <c r="IF123" s="1"/>
      <c r="IG123" s="1"/>
      <c r="IH123" s="1"/>
      <c r="II123" s="1"/>
      <c r="IJ123" s="1"/>
      <c r="IK123" s="1"/>
      <c r="IL123" s="1"/>
      <c r="IM123" s="1"/>
      <c r="IN123" s="1"/>
      <c r="IO123" s="1"/>
      <c r="IP123" s="1"/>
      <c r="IQ123" s="1"/>
      <c r="IR123" s="1"/>
      <c r="IS123" s="1"/>
      <c r="IT123" s="1"/>
      <c r="IU123" s="1"/>
      <c r="IV123" s="1"/>
      <c r="IW123" s="1"/>
      <c r="IX123" s="1"/>
      <c r="IY123" s="1"/>
      <c r="IZ123" s="1"/>
      <c r="JA123" s="1"/>
      <c r="JB123" s="1"/>
      <c r="JC123" s="1"/>
      <c r="JD123" s="1"/>
    </row>
    <row r="124" spans="2:264" s="1044" customFormat="1" x14ac:dyDescent="0.2">
      <c r="C124" s="1043"/>
      <c r="G124" s="1043"/>
      <c r="H124" s="1043"/>
      <c r="P124" s="1046"/>
      <c r="Q124" s="1044" t="s">
        <v>377</v>
      </c>
      <c r="R124" s="1330"/>
      <c r="S124" s="1330"/>
      <c r="T124" s="1330"/>
      <c r="U124" s="1330"/>
      <c r="V124" s="1330"/>
      <c r="W124" s="1330"/>
      <c r="X124" s="1330"/>
      <c r="Y124" s="1330"/>
      <c r="Z124" s="1330"/>
      <c r="AA124" s="1330"/>
      <c r="AB124" s="1330"/>
      <c r="AC124" s="1330"/>
      <c r="AD124" s="1330"/>
      <c r="AE124" s="1330"/>
      <c r="AF124" s="1330"/>
      <c r="AG124" s="1330"/>
      <c r="AH124" s="1330"/>
      <c r="AI124" s="1330"/>
      <c r="AJ124" s="1330"/>
      <c r="AK124" s="1391"/>
      <c r="AL124" s="1330"/>
      <c r="AM124" s="1330"/>
      <c r="AN124" s="1330"/>
      <c r="AO124" s="1330"/>
      <c r="AP124" s="1330"/>
      <c r="AQ124" s="1330"/>
      <c r="AR124" s="1330"/>
      <c r="AS124" s="1330"/>
      <c r="AT124" s="1330"/>
      <c r="AU124" s="1330"/>
      <c r="AV124" s="1330"/>
      <c r="AW124" s="1330"/>
      <c r="ES124" s="1"/>
      <c r="ET124" s="1"/>
      <c r="EU124" s="1"/>
      <c r="EV124" s="1"/>
      <c r="EW124" s="1"/>
      <c r="EX124" s="1"/>
      <c r="EY124" s="1"/>
      <c r="EZ124" s="1"/>
      <c r="FA124" s="1"/>
      <c r="FB124" s="1"/>
      <c r="FC124" s="1"/>
      <c r="FD124" s="1"/>
      <c r="FE124" s="1"/>
      <c r="FF124" s="1"/>
      <c r="FG124" s="1"/>
      <c r="FH124" s="1"/>
      <c r="FI124" s="1"/>
      <c r="FJ124" s="1"/>
      <c r="FK124" s="1"/>
      <c r="FL124" s="1"/>
      <c r="FM124" s="1"/>
      <c r="FN124" s="1"/>
      <c r="FO124" s="1"/>
      <c r="FP124" s="1"/>
      <c r="FQ124" s="1"/>
      <c r="FR124" s="1"/>
      <c r="FS124" s="1"/>
      <c r="FT124" s="1"/>
      <c r="FU124" s="1"/>
      <c r="FV124" s="1"/>
      <c r="FW124" s="1"/>
      <c r="FX124" s="1"/>
      <c r="FY124" s="1"/>
      <c r="FZ124" s="1"/>
      <c r="GA124" s="1"/>
      <c r="GB124" s="1"/>
      <c r="GC124" s="1"/>
      <c r="GD124" s="1"/>
      <c r="GE124" s="1"/>
      <c r="GF124" s="1"/>
      <c r="GG124" s="1"/>
      <c r="GH124" s="1"/>
      <c r="GI124" s="1"/>
      <c r="GJ124" s="1"/>
      <c r="GK124" s="1"/>
      <c r="GL124" s="1"/>
      <c r="GM124" s="1"/>
      <c r="GN124" s="1"/>
      <c r="GO124" s="1"/>
      <c r="GP124" s="1"/>
      <c r="GQ124" s="1"/>
      <c r="GR124" s="1"/>
      <c r="GS124" s="1"/>
      <c r="GT124" s="1"/>
      <c r="GU124" s="1"/>
      <c r="GV124" s="1"/>
      <c r="GW124" s="1"/>
      <c r="GX124" s="1"/>
      <c r="GY124" s="1"/>
      <c r="GZ124" s="1"/>
      <c r="HA124" s="1"/>
      <c r="HB124" s="1"/>
      <c r="HC124" s="1"/>
      <c r="HD124" s="1"/>
      <c r="HE124" s="1"/>
      <c r="HF124" s="1"/>
      <c r="HG124" s="1"/>
      <c r="HH124" s="1"/>
      <c r="HI124" s="1"/>
      <c r="HJ124" s="1"/>
      <c r="HK124" s="1"/>
      <c r="HL124" s="1"/>
      <c r="HM124" s="1"/>
      <c r="HN124" s="1"/>
      <c r="HO124" s="1"/>
      <c r="HP124" s="1"/>
      <c r="HQ124" s="1"/>
      <c r="HR124" s="1"/>
      <c r="HS124" s="1"/>
      <c r="HT124" s="1"/>
      <c r="HU124" s="1"/>
      <c r="HV124" s="1"/>
      <c r="HW124" s="1"/>
      <c r="HX124" s="1"/>
      <c r="HY124" s="1"/>
      <c r="HZ124" s="1"/>
      <c r="IA124" s="1"/>
      <c r="IB124" s="1"/>
      <c r="IC124" s="1"/>
      <c r="ID124" s="1"/>
      <c r="IE124" s="1"/>
      <c r="IF124" s="1"/>
      <c r="IG124" s="1"/>
      <c r="IH124" s="1"/>
      <c r="II124" s="1"/>
      <c r="IJ124" s="1"/>
      <c r="IK124" s="1"/>
      <c r="IL124" s="1"/>
      <c r="IM124" s="1"/>
      <c r="IN124" s="1"/>
      <c r="IO124" s="1"/>
      <c r="IP124" s="1"/>
      <c r="IQ124" s="1"/>
      <c r="IR124" s="1"/>
      <c r="IS124" s="1"/>
      <c r="IT124" s="1"/>
      <c r="IU124" s="1"/>
      <c r="IV124" s="1"/>
      <c r="IW124" s="1"/>
      <c r="IX124" s="1"/>
      <c r="IY124" s="1"/>
      <c r="IZ124" s="1"/>
      <c r="JA124" s="1"/>
      <c r="JB124" s="1"/>
      <c r="JC124" s="1"/>
      <c r="JD124" s="1"/>
    </row>
    <row r="125" spans="2:264" s="1044" customFormat="1" x14ac:dyDescent="0.2">
      <c r="C125" s="1043"/>
      <c r="G125" s="1043"/>
      <c r="H125" s="1043"/>
      <c r="P125" s="1046"/>
      <c r="Q125" s="1044" t="s">
        <v>377</v>
      </c>
      <c r="R125" s="1327"/>
      <c r="S125" s="1327"/>
      <c r="T125" s="1327"/>
      <c r="U125" s="1327"/>
      <c r="V125" s="1327"/>
      <c r="W125" s="1327"/>
      <c r="X125" s="1327"/>
      <c r="Y125" s="1327"/>
      <c r="Z125" s="1327"/>
      <c r="AA125" s="1327"/>
      <c r="AB125" s="1327"/>
      <c r="AC125" s="1327"/>
      <c r="AD125" s="1327"/>
      <c r="AE125" s="1327"/>
      <c r="AF125" s="1327"/>
      <c r="AG125" s="1327"/>
      <c r="AH125" s="1327"/>
      <c r="AI125" s="1327"/>
      <c r="AJ125" s="1327"/>
      <c r="AK125" s="1392"/>
      <c r="AL125" s="1327"/>
      <c r="AM125" s="1327"/>
      <c r="AN125" s="1327"/>
      <c r="AO125" s="1327"/>
      <c r="AP125" s="1327"/>
      <c r="AQ125" s="1327"/>
      <c r="AR125" s="1327"/>
      <c r="AS125" s="1327"/>
      <c r="AT125" s="1327"/>
      <c r="AU125" s="1327"/>
      <c r="AV125" s="1327"/>
      <c r="AW125" s="1327"/>
      <c r="ES125" s="1"/>
      <c r="ET125" s="1"/>
      <c r="EU125" s="1"/>
      <c r="EV125" s="1"/>
      <c r="EW125" s="1"/>
      <c r="EX125" s="1"/>
      <c r="EY125" s="1"/>
      <c r="EZ125" s="1"/>
      <c r="FA125" s="1"/>
      <c r="FB125" s="1"/>
      <c r="FC125" s="1"/>
      <c r="FD125" s="1"/>
      <c r="FE125" s="1"/>
      <c r="FF125" s="1"/>
      <c r="FG125" s="1"/>
      <c r="FH125" s="1"/>
      <c r="FI125" s="1"/>
      <c r="FJ125" s="1"/>
      <c r="FK125" s="1"/>
      <c r="FL125" s="1"/>
      <c r="FM125" s="1"/>
      <c r="FN125" s="1"/>
      <c r="FO125" s="1"/>
      <c r="FP125" s="1"/>
      <c r="FQ125" s="1"/>
      <c r="FR125" s="1"/>
      <c r="FS125" s="1"/>
      <c r="FT125" s="1"/>
      <c r="FU125" s="1"/>
      <c r="FV125" s="1"/>
      <c r="FW125" s="1"/>
      <c r="FX125" s="1"/>
      <c r="FY125" s="1"/>
      <c r="FZ125" s="1"/>
      <c r="GA125" s="1"/>
      <c r="GB125" s="1"/>
      <c r="GC125" s="1"/>
      <c r="GD125" s="1"/>
      <c r="GE125" s="1"/>
      <c r="GF125" s="1"/>
      <c r="GG125" s="1"/>
      <c r="GH125" s="1"/>
      <c r="GI125" s="1"/>
      <c r="GJ125" s="1"/>
      <c r="GK125" s="1"/>
      <c r="GL125" s="1"/>
      <c r="GM125" s="1"/>
      <c r="GN125" s="1"/>
      <c r="GO125" s="1"/>
      <c r="GP125" s="1"/>
      <c r="GQ125" s="1"/>
      <c r="GR125" s="1"/>
      <c r="GS125" s="1"/>
      <c r="GT125" s="1"/>
      <c r="GU125" s="1"/>
      <c r="GV125" s="1"/>
      <c r="GW125" s="1"/>
      <c r="GX125" s="1"/>
      <c r="GY125" s="1"/>
      <c r="GZ125" s="1"/>
      <c r="HA125" s="1"/>
      <c r="HB125" s="1"/>
      <c r="HC125" s="1"/>
      <c r="HD125" s="1"/>
      <c r="HE125" s="1"/>
      <c r="HF125" s="1"/>
      <c r="HG125" s="1"/>
      <c r="HH125" s="1"/>
      <c r="HI125" s="1"/>
      <c r="HJ125" s="1"/>
      <c r="HK125" s="1"/>
      <c r="HL125" s="1"/>
      <c r="HM125" s="1"/>
      <c r="HN125" s="1"/>
      <c r="HO125" s="1"/>
      <c r="HP125" s="1"/>
      <c r="HQ125" s="1"/>
      <c r="HR125" s="1"/>
      <c r="HS125" s="1"/>
      <c r="HT125" s="1"/>
      <c r="HU125" s="1"/>
      <c r="HV125" s="1"/>
      <c r="HW125" s="1"/>
      <c r="HX125" s="1"/>
      <c r="HY125" s="1"/>
      <c r="HZ125" s="1"/>
      <c r="IA125" s="1"/>
      <c r="IB125" s="1"/>
      <c r="IC125" s="1"/>
      <c r="ID125" s="1"/>
      <c r="IE125" s="1"/>
      <c r="IF125" s="1"/>
      <c r="IG125" s="1"/>
      <c r="IH125" s="1"/>
      <c r="II125" s="1"/>
      <c r="IJ125" s="1"/>
      <c r="IK125" s="1"/>
      <c r="IL125" s="1"/>
      <c r="IM125" s="1"/>
      <c r="IN125" s="1"/>
      <c r="IO125" s="1"/>
      <c r="IP125" s="1"/>
      <c r="IQ125" s="1"/>
      <c r="IR125" s="1"/>
      <c r="IS125" s="1"/>
      <c r="IT125" s="1"/>
      <c r="IU125" s="1"/>
      <c r="IV125" s="1"/>
      <c r="IW125" s="1"/>
      <c r="IX125" s="1"/>
      <c r="IY125" s="1"/>
      <c r="IZ125" s="1"/>
      <c r="JA125" s="1"/>
      <c r="JB125" s="1"/>
      <c r="JC125" s="1"/>
      <c r="JD125" s="1"/>
    </row>
    <row r="126" spans="2:264" s="1044" customFormat="1" x14ac:dyDescent="0.2">
      <c r="C126" s="1043"/>
      <c r="G126" s="1043"/>
      <c r="H126" s="1043"/>
      <c r="P126" s="1046"/>
      <c r="Q126" s="1044" t="s">
        <v>377</v>
      </c>
      <c r="R126" s="1327"/>
      <c r="S126" s="1327"/>
      <c r="T126" s="1327"/>
      <c r="U126" s="1327"/>
      <c r="V126" s="1327"/>
      <c r="W126" s="1327"/>
      <c r="X126" s="1327"/>
      <c r="Y126" s="1327"/>
      <c r="Z126" s="1327"/>
      <c r="AA126" s="1327"/>
      <c r="AB126" s="1327"/>
      <c r="AC126" s="1327"/>
      <c r="AD126" s="1327"/>
      <c r="AE126" s="1327"/>
      <c r="AF126" s="1327"/>
      <c r="AG126" s="1327"/>
      <c r="AH126" s="1327"/>
      <c r="AI126" s="1327"/>
      <c r="AJ126" s="1327"/>
      <c r="AK126" s="1392"/>
      <c r="AL126" s="1327"/>
      <c r="AM126" s="1327"/>
      <c r="AN126" s="1327"/>
      <c r="AO126" s="1327"/>
      <c r="AP126" s="1327"/>
      <c r="AQ126" s="1327"/>
      <c r="AR126" s="1327"/>
      <c r="AS126" s="1327"/>
      <c r="AT126" s="1327"/>
      <c r="AU126" s="1327"/>
      <c r="AV126" s="1327"/>
      <c r="ES126" s="1"/>
      <c r="ET126" s="1"/>
      <c r="EU126" s="1"/>
      <c r="EV126" s="1"/>
      <c r="EW126" s="1"/>
      <c r="EX126" s="1"/>
      <c r="EY126" s="1"/>
      <c r="EZ126" s="1"/>
      <c r="FA126" s="1"/>
      <c r="FB126" s="1"/>
      <c r="FC126" s="1"/>
      <c r="FD126" s="1"/>
      <c r="FE126" s="1"/>
      <c r="FF126" s="1"/>
      <c r="FG126" s="1"/>
      <c r="FH126" s="1"/>
      <c r="FI126" s="1"/>
      <c r="FJ126" s="1"/>
      <c r="FK126" s="1"/>
      <c r="FL126" s="1"/>
      <c r="FM126" s="1"/>
      <c r="FN126" s="1"/>
      <c r="FO126" s="1"/>
      <c r="FP126" s="1"/>
      <c r="FQ126" s="1"/>
      <c r="FR126" s="1"/>
      <c r="FS126" s="1"/>
      <c r="FT126" s="1"/>
      <c r="FU126" s="1"/>
      <c r="FV126" s="1"/>
      <c r="FW126" s="1"/>
      <c r="FX126" s="1"/>
      <c r="FY126" s="1"/>
      <c r="FZ126" s="1"/>
      <c r="GA126" s="1"/>
      <c r="GB126" s="1"/>
      <c r="GC126" s="1"/>
      <c r="GD126" s="1"/>
      <c r="GE126" s="1"/>
      <c r="GF126" s="1"/>
      <c r="GG126" s="1"/>
      <c r="GH126" s="1"/>
      <c r="GI126" s="1"/>
      <c r="GJ126" s="1"/>
      <c r="GK126" s="1"/>
      <c r="GL126" s="1"/>
      <c r="GM126" s="1"/>
      <c r="GN126" s="1"/>
      <c r="GO126" s="1"/>
      <c r="GP126" s="1"/>
      <c r="GQ126" s="1"/>
      <c r="GR126" s="1"/>
      <c r="GS126" s="1"/>
      <c r="GT126" s="1"/>
      <c r="GU126" s="1"/>
      <c r="GV126" s="1"/>
      <c r="GW126" s="1"/>
      <c r="GX126" s="1"/>
      <c r="GY126" s="1"/>
      <c r="GZ126" s="1"/>
      <c r="HA126" s="1"/>
      <c r="HB126" s="1"/>
      <c r="HC126" s="1"/>
      <c r="HD126" s="1"/>
      <c r="HE126" s="1"/>
      <c r="HF126" s="1"/>
      <c r="HG126" s="1"/>
      <c r="HH126" s="1"/>
      <c r="HI126" s="1"/>
      <c r="HJ126" s="1"/>
      <c r="HK126" s="1"/>
      <c r="HL126" s="1"/>
      <c r="HM126" s="1"/>
      <c r="HN126" s="1"/>
      <c r="HO126" s="1"/>
      <c r="HP126" s="1"/>
      <c r="HQ126" s="1"/>
      <c r="HR126" s="1"/>
      <c r="HS126" s="1"/>
      <c r="HT126" s="1"/>
      <c r="HU126" s="1"/>
      <c r="HV126" s="1"/>
      <c r="HW126" s="1"/>
      <c r="HX126" s="1"/>
      <c r="HY126" s="1"/>
      <c r="HZ126" s="1"/>
      <c r="IA126" s="1"/>
      <c r="IB126" s="1"/>
      <c r="IC126" s="1"/>
      <c r="ID126" s="1"/>
      <c r="IE126" s="1"/>
      <c r="IF126" s="1"/>
      <c r="IG126" s="1"/>
      <c r="IH126" s="1"/>
      <c r="II126" s="1"/>
      <c r="IJ126" s="1"/>
      <c r="IK126" s="1"/>
      <c r="IL126" s="1"/>
      <c r="IM126" s="1"/>
      <c r="IN126" s="1"/>
      <c r="IO126" s="1"/>
      <c r="IP126" s="1"/>
      <c r="IQ126" s="1"/>
      <c r="IR126" s="1"/>
      <c r="IS126" s="1"/>
      <c r="IT126" s="1"/>
      <c r="IU126" s="1"/>
      <c r="IV126" s="1"/>
      <c r="IW126" s="1"/>
      <c r="IX126" s="1"/>
      <c r="IY126" s="1"/>
      <c r="IZ126" s="1"/>
      <c r="JA126" s="1"/>
      <c r="JB126" s="1"/>
      <c r="JC126" s="1"/>
      <c r="JD126" s="1"/>
    </row>
    <row r="127" spans="2:264" s="1044" customFormat="1" x14ac:dyDescent="0.2">
      <c r="C127" s="1043"/>
      <c r="G127" s="1043"/>
      <c r="H127" s="1043"/>
      <c r="P127" s="1046"/>
      <c r="Q127" s="1047" t="s">
        <v>1102</v>
      </c>
      <c r="R127" s="1331"/>
      <c r="S127" s="1331"/>
      <c r="T127" s="1331"/>
      <c r="U127" s="1331"/>
      <c r="V127" s="1331">
        <f>+V121-V123-V124-V125-V126</f>
        <v>0</v>
      </c>
      <c r="W127" s="1331">
        <f>+W121-W123-W124-W125-W126</f>
        <v>0</v>
      </c>
      <c r="X127" s="1331"/>
      <c r="Y127" s="1331"/>
      <c r="Z127" s="1331"/>
      <c r="AA127" s="1331"/>
      <c r="AB127" s="1331"/>
      <c r="AC127" s="1331"/>
      <c r="AD127" s="1331"/>
      <c r="AE127" s="1331"/>
      <c r="AF127" s="1331"/>
      <c r="AG127" s="1331">
        <f t="shared" ref="AG127:AQ127" si="298">+AG121-AG123-AG124-AG125-AG126</f>
        <v>10543.78</v>
      </c>
      <c r="AH127" s="1331">
        <f t="shared" si="298"/>
        <v>6757.98</v>
      </c>
      <c r="AI127" s="1331">
        <f t="shared" si="298"/>
        <v>12539.5</v>
      </c>
      <c r="AJ127" s="1331">
        <f t="shared" si="298"/>
        <v>9431.4850000000006</v>
      </c>
      <c r="AK127" s="1393">
        <f t="shared" si="298"/>
        <v>7685.51</v>
      </c>
      <c r="AL127" s="1331">
        <f t="shared" ca="1" si="298"/>
        <v>8815.9644484143773</v>
      </c>
      <c r="AM127" s="1331">
        <f t="shared" ref="AM127" ca="1" si="299">+AM121-AM123-AM124-AM125-AM126</f>
        <v>9092.2188953312525</v>
      </c>
      <c r="AN127" s="1331">
        <f t="shared" ref="AN127" ca="1" si="300">+AN121-AN123-AN124-AN125-AN126</f>
        <v>9935.8339322670308</v>
      </c>
      <c r="AO127" s="1331">
        <f t="shared" ca="1" si="298"/>
        <v>10817.966424132015</v>
      </c>
      <c r="AP127" s="1331">
        <f t="shared" ca="1" si="298"/>
        <v>11240.559053568912</v>
      </c>
      <c r="AQ127" s="1331">
        <f t="shared" ca="1" si="298"/>
        <v>11661.243230061049</v>
      </c>
      <c r="AR127" s="1331">
        <f ca="1">+AR121-AR123-AR124-AR125-AR126</f>
        <v>12096.794818402352</v>
      </c>
      <c r="AS127" s="1331">
        <f ca="1">+AS121-AS123-AS124-AS125-AS126</f>
        <v>11108.578251431001</v>
      </c>
      <c r="AT127" s="1331">
        <f t="shared" ref="AT127:AU127" ca="1" si="301">+AT121-AT123-AT124-AT125-AT126</f>
        <v>11510.589585391434</v>
      </c>
      <c r="AU127" s="1331">
        <f t="shared" ca="1" si="301"/>
        <v>13497.630606743176</v>
      </c>
      <c r="AV127" s="1331"/>
      <c r="AX127" s="1332"/>
      <c r="AY127" s="1332"/>
      <c r="AZ127" s="1332"/>
      <c r="BA127" s="1332"/>
      <c r="BB127" s="1332"/>
      <c r="BC127" s="1332"/>
      <c r="BD127" s="1332"/>
      <c r="BE127" s="1332"/>
      <c r="BF127" s="1332"/>
      <c r="BG127" s="1332"/>
      <c r="BH127" s="1332"/>
      <c r="BI127" s="1332"/>
      <c r="BJ127" s="1332"/>
      <c r="BK127" s="1332"/>
      <c r="BL127" s="1332"/>
      <c r="BM127" s="1332"/>
      <c r="BN127" s="1332"/>
      <c r="BO127" s="1332"/>
      <c r="BP127" s="1332"/>
      <c r="BQ127" s="1332"/>
      <c r="BR127" s="1332"/>
      <c r="BS127" s="1332"/>
      <c r="BT127" s="1332"/>
      <c r="BU127" s="1332"/>
      <c r="BV127" s="1332"/>
      <c r="BW127" s="1332"/>
      <c r="BX127" s="1332"/>
      <c r="BY127" s="1332"/>
      <c r="BZ127" s="1332"/>
      <c r="CA127" s="1332"/>
      <c r="CB127" s="1332"/>
      <c r="CC127" s="1332"/>
      <c r="CD127" s="1332"/>
      <c r="CE127" s="1332"/>
      <c r="CF127" s="1332"/>
      <c r="CG127" s="1332"/>
      <c r="ES127" s="1"/>
      <c r="ET127" s="1"/>
      <c r="EU127" s="1"/>
      <c r="EV127" s="1"/>
      <c r="EW127" s="1"/>
      <c r="EX127" s="1"/>
      <c r="EY127" s="1"/>
      <c r="EZ127" s="1"/>
      <c r="FA127" s="1"/>
      <c r="FB127" s="1"/>
      <c r="FC127" s="1"/>
      <c r="FD127" s="1"/>
      <c r="FE127" s="1"/>
      <c r="FF127" s="1"/>
      <c r="FG127" s="1"/>
      <c r="FH127" s="1"/>
      <c r="FI127" s="1"/>
      <c r="FJ127" s="1"/>
      <c r="FK127" s="1"/>
      <c r="FL127" s="1"/>
      <c r="FM127" s="1"/>
      <c r="FN127" s="1"/>
      <c r="FO127" s="1"/>
      <c r="FP127" s="1"/>
      <c r="FQ127" s="1"/>
      <c r="FR127" s="1"/>
      <c r="FS127" s="1"/>
      <c r="FT127" s="1"/>
      <c r="FU127" s="1"/>
      <c r="FV127" s="1"/>
      <c r="FW127" s="1"/>
      <c r="FX127" s="1"/>
      <c r="FY127" s="1"/>
      <c r="FZ127" s="1"/>
      <c r="GA127" s="1"/>
      <c r="GB127" s="1"/>
      <c r="GC127" s="1"/>
      <c r="GD127" s="1"/>
      <c r="GE127" s="1"/>
      <c r="GF127" s="1"/>
      <c r="GG127" s="1"/>
      <c r="GH127" s="1"/>
      <c r="GI127" s="1"/>
      <c r="GJ127" s="1"/>
      <c r="GK127" s="1"/>
      <c r="GL127" s="1"/>
      <c r="GM127" s="1"/>
      <c r="GN127" s="1"/>
      <c r="GO127" s="1"/>
      <c r="GP127" s="1"/>
      <c r="GQ127" s="1"/>
      <c r="GR127" s="1"/>
      <c r="GS127" s="1"/>
      <c r="GT127" s="1"/>
      <c r="GU127" s="1"/>
      <c r="GV127" s="1"/>
      <c r="GW127" s="1"/>
      <c r="GX127" s="1"/>
      <c r="GY127" s="1"/>
      <c r="GZ127" s="1"/>
      <c r="HA127" s="1"/>
      <c r="HB127" s="1"/>
      <c r="HC127" s="1"/>
      <c r="HD127" s="1"/>
      <c r="HE127" s="1"/>
      <c r="HF127" s="1"/>
      <c r="HG127" s="1"/>
      <c r="HH127" s="1"/>
      <c r="HI127" s="1"/>
      <c r="HJ127" s="1"/>
      <c r="HK127" s="1"/>
      <c r="HL127" s="1"/>
      <c r="HM127" s="1"/>
      <c r="HN127" s="1"/>
      <c r="HO127" s="1"/>
      <c r="HP127" s="1"/>
      <c r="HQ127" s="1"/>
      <c r="HR127" s="1"/>
      <c r="HS127" s="1"/>
      <c r="HT127" s="1"/>
      <c r="HU127" s="1"/>
      <c r="HV127" s="1"/>
      <c r="HW127" s="1"/>
      <c r="HX127" s="1"/>
      <c r="HY127" s="1"/>
      <c r="HZ127" s="1"/>
      <c r="IA127" s="1"/>
      <c r="IB127" s="1"/>
      <c r="IC127" s="1"/>
      <c r="ID127" s="1"/>
      <c r="IE127" s="1"/>
      <c r="IF127" s="1"/>
      <c r="IG127" s="1"/>
      <c r="IH127" s="1"/>
      <c r="II127" s="1"/>
      <c r="IJ127" s="1"/>
      <c r="IK127" s="1"/>
      <c r="IL127" s="1"/>
      <c r="IM127" s="1"/>
      <c r="IN127" s="1"/>
      <c r="IO127" s="1"/>
      <c r="IP127" s="1"/>
      <c r="IQ127" s="1"/>
      <c r="IR127" s="1"/>
      <c r="IS127" s="1"/>
      <c r="IT127" s="1"/>
      <c r="IU127" s="1"/>
      <c r="IV127" s="1"/>
      <c r="IW127" s="1"/>
      <c r="IX127" s="1"/>
      <c r="IY127" s="1"/>
      <c r="IZ127" s="1"/>
      <c r="JA127" s="1"/>
      <c r="JB127" s="1"/>
      <c r="JC127" s="1"/>
      <c r="JD127" s="1"/>
    </row>
    <row r="128" spans="2:264" s="1044" customFormat="1" x14ac:dyDescent="0.2">
      <c r="C128" s="1043"/>
      <c r="G128" s="1043"/>
      <c r="H128" s="1043"/>
      <c r="P128" s="1046"/>
      <c r="Q128" s="1322" t="s">
        <v>1103</v>
      </c>
      <c r="R128" s="1333"/>
      <c r="S128" s="1333"/>
      <c r="T128" s="1333"/>
      <c r="U128" s="1333"/>
      <c r="V128" s="1333" t="e">
        <f>+V127/((1+#REF!)^((+V$2-$Q$4)/365))</f>
        <v>#REF!</v>
      </c>
      <c r="W128" s="1333" t="e">
        <f>+W127/((1+#REF!)^((+W$2-$Q$4)/365))</f>
        <v>#REF!</v>
      </c>
      <c r="X128" s="1333"/>
      <c r="Y128" s="1333"/>
      <c r="Z128" s="1333"/>
      <c r="AA128" s="1333"/>
      <c r="AB128" s="1333"/>
      <c r="AC128" s="1333"/>
      <c r="AD128" s="1333"/>
      <c r="AE128" s="1333"/>
      <c r="AF128" s="1333"/>
      <c r="AG128" s="1333">
        <f t="shared" ref="AG128:AQ128" si="302">+AG127/((1+AG106)^((+AG$2-$Q$4)/365))</f>
        <v>15102.015413531153</v>
      </c>
      <c r="AH128" s="1333">
        <f t="shared" si="302"/>
        <v>8962.5526564911797</v>
      </c>
      <c r="AI128" s="1333">
        <f t="shared" si="302"/>
        <v>15398.247021117191</v>
      </c>
      <c r="AJ128" s="1333">
        <f t="shared" si="302"/>
        <v>10721.506507929382</v>
      </c>
      <c r="AK128" s="1394">
        <f t="shared" si="302"/>
        <v>8089.5557374282871</v>
      </c>
      <c r="AL128" s="1333">
        <f t="shared" ca="1" si="302"/>
        <v>8592.0749017781673</v>
      </c>
      <c r="AM128" s="1333">
        <f t="shared" ref="AM128" ca="1" si="303">+AM127/((1+AM106)^((+AM$2-$Q$4)/365))</f>
        <v>8204.9200113638581</v>
      </c>
      <c r="AN128" s="1333">
        <f t="shared" ref="AN128" ca="1" si="304">+AN127/((1+AN106)^((+AN$2-$Q$4)/365))</f>
        <v>8300.2938055568611</v>
      </c>
      <c r="AO128" s="1333">
        <f t="shared" ca="1" si="302"/>
        <v>8367.7946719459615</v>
      </c>
      <c r="AP128" s="1333">
        <f t="shared" ca="1" si="302"/>
        <v>8050.6239677158792</v>
      </c>
      <c r="AQ128" s="1333">
        <f t="shared" ca="1" si="302"/>
        <v>7733.2620822547015</v>
      </c>
      <c r="AR128" s="1333">
        <f ca="1">+AR127/((1+AR106)^((+AR$2-$Q$4)/365))</f>
        <v>7426.3063669189951</v>
      </c>
      <c r="AS128" s="1333">
        <f ca="1">+AS127/((1+AS106)^((+AS$2-$Q$4)/365))</f>
        <v>6314.4753259368308</v>
      </c>
      <c r="AT128" s="1333">
        <f t="shared" ref="AT128:AU128" ca="1" si="305">+AT127/((1+AT106)^((+AT$2-$Q$4)/365))</f>
        <v>6058.3255336242164</v>
      </c>
      <c r="AU128" s="1333">
        <f t="shared" ca="1" si="305"/>
        <v>6577.92351585096</v>
      </c>
      <c r="AV128" s="1302"/>
      <c r="AX128" s="1334"/>
      <c r="AY128" s="1334"/>
      <c r="AZ128" s="1334"/>
      <c r="BA128" s="1334"/>
      <c r="BB128" s="1334"/>
      <c r="BC128" s="1334"/>
      <c r="BD128" s="1334"/>
      <c r="BE128" s="1334"/>
      <c r="BF128" s="1334"/>
      <c r="BG128" s="1334"/>
      <c r="BH128" s="1334"/>
      <c r="BI128" s="1334"/>
      <c r="BJ128" s="1334"/>
      <c r="BK128" s="1334"/>
      <c r="BL128" s="1334"/>
      <c r="BM128" s="1334"/>
      <c r="BN128" s="1334"/>
      <c r="BO128" s="1334"/>
      <c r="BP128" s="1334"/>
      <c r="BQ128" s="1334"/>
      <c r="BR128" s="1334"/>
      <c r="BS128" s="1334"/>
      <c r="BT128" s="1334"/>
      <c r="BU128" s="1334"/>
      <c r="BV128" s="1334"/>
      <c r="BW128" s="1334"/>
      <c r="BX128" s="1334"/>
      <c r="BY128" s="1334"/>
      <c r="BZ128" s="1334"/>
      <c r="CA128" s="1334"/>
      <c r="CB128" s="1334"/>
      <c r="CC128" s="1334"/>
      <c r="CD128" s="1334"/>
      <c r="CE128" s="1334"/>
      <c r="CF128" s="1334"/>
      <c r="CG128" s="1334"/>
      <c r="ES128" s="1"/>
      <c r="ET128" s="1"/>
      <c r="EU128" s="1"/>
      <c r="EV128" s="1"/>
      <c r="EW128" s="1"/>
      <c r="EX128" s="1"/>
      <c r="EY128" s="1"/>
      <c r="EZ128" s="1"/>
      <c r="FA128" s="1"/>
      <c r="FB128" s="1"/>
      <c r="FC128" s="1"/>
      <c r="FD128" s="1"/>
      <c r="FE128" s="1"/>
      <c r="FF128" s="1"/>
      <c r="FG128" s="1"/>
      <c r="FH128" s="1"/>
      <c r="FI128" s="1"/>
      <c r="FJ128" s="1"/>
      <c r="FK128" s="1"/>
      <c r="FL128" s="1"/>
      <c r="FM128" s="1"/>
      <c r="FN128" s="1"/>
      <c r="FO128" s="1"/>
      <c r="FP128" s="1"/>
      <c r="FQ128" s="1"/>
      <c r="FR128" s="1"/>
      <c r="FS128" s="1"/>
      <c r="FT128" s="1"/>
      <c r="FU128" s="1"/>
      <c r="FV128" s="1"/>
      <c r="FW128" s="1"/>
      <c r="FX128" s="1"/>
      <c r="FY128" s="1"/>
      <c r="FZ128" s="1"/>
      <c r="GA128" s="1"/>
      <c r="GB128" s="1"/>
      <c r="GC128" s="1"/>
      <c r="GD128" s="1"/>
      <c r="GE128" s="1"/>
      <c r="GF128" s="1"/>
      <c r="GG128" s="1"/>
      <c r="GH128" s="1"/>
      <c r="GI128" s="1"/>
      <c r="GJ128" s="1"/>
      <c r="GK128" s="1"/>
      <c r="GL128" s="1"/>
      <c r="GM128" s="1"/>
      <c r="GN128" s="1"/>
      <c r="GO128" s="1"/>
      <c r="GP128" s="1"/>
      <c r="GQ128" s="1"/>
      <c r="GR128" s="1"/>
      <c r="GS128" s="1"/>
      <c r="GT128" s="1"/>
      <c r="GU128" s="1"/>
      <c r="GV128" s="1"/>
      <c r="GW128" s="1"/>
      <c r="GX128" s="1"/>
      <c r="GY128" s="1"/>
      <c r="GZ128" s="1"/>
      <c r="HA128" s="1"/>
      <c r="HB128" s="1"/>
      <c r="HC128" s="1"/>
      <c r="HD128" s="1"/>
      <c r="HE128" s="1"/>
      <c r="HF128" s="1"/>
      <c r="HG128" s="1"/>
      <c r="HH128" s="1"/>
      <c r="HI128" s="1"/>
      <c r="HJ128" s="1"/>
      <c r="HK128" s="1"/>
      <c r="HL128" s="1"/>
      <c r="HM128" s="1"/>
      <c r="HN128" s="1"/>
      <c r="HO128" s="1"/>
      <c r="HP128" s="1"/>
      <c r="HQ128" s="1"/>
      <c r="HR128" s="1"/>
      <c r="HS128" s="1"/>
      <c r="HT128" s="1"/>
      <c r="HU128" s="1"/>
      <c r="HV128" s="1"/>
      <c r="HW128" s="1"/>
      <c r="HX128" s="1"/>
      <c r="HY128" s="1"/>
      <c r="HZ128" s="1"/>
      <c r="IA128" s="1"/>
      <c r="IB128" s="1"/>
      <c r="IC128" s="1"/>
      <c r="ID128" s="1"/>
      <c r="IE128" s="1"/>
      <c r="IF128" s="1"/>
      <c r="IG128" s="1"/>
      <c r="IH128" s="1"/>
      <c r="II128" s="1"/>
      <c r="IJ128" s="1"/>
      <c r="IK128" s="1"/>
      <c r="IL128" s="1"/>
      <c r="IM128" s="1"/>
      <c r="IN128" s="1"/>
      <c r="IO128" s="1"/>
      <c r="IP128" s="1"/>
      <c r="IQ128" s="1"/>
      <c r="IR128" s="1"/>
      <c r="IS128" s="1"/>
      <c r="IT128" s="1"/>
      <c r="IU128" s="1"/>
      <c r="IV128" s="1"/>
      <c r="IW128" s="1"/>
      <c r="IX128" s="1"/>
      <c r="IY128" s="1"/>
      <c r="IZ128" s="1"/>
      <c r="JA128" s="1"/>
      <c r="JB128" s="1"/>
      <c r="JC128" s="1"/>
      <c r="JD128" s="1"/>
    </row>
    <row r="129" spans="3:264" s="1044" customFormat="1" ht="13.5" thickBot="1" x14ac:dyDescent="0.25">
      <c r="C129" s="1043"/>
      <c r="G129" s="1043"/>
      <c r="H129" s="1043"/>
      <c r="P129" s="1046"/>
      <c r="R129" s="1302"/>
      <c r="S129" s="1302"/>
      <c r="T129" s="1302"/>
      <c r="U129" s="1302"/>
      <c r="V129" s="1302"/>
      <c r="W129" s="1302"/>
      <c r="X129" s="1302"/>
      <c r="Y129" s="1302"/>
      <c r="Z129" s="1302"/>
      <c r="AA129" s="1302"/>
      <c r="AB129" s="1302"/>
      <c r="AC129" s="1302"/>
      <c r="AD129" s="1302"/>
      <c r="AE129" s="1302"/>
      <c r="AF129" s="1302"/>
      <c r="AG129" s="1302"/>
      <c r="AH129" s="1302"/>
      <c r="AI129" s="1302"/>
      <c r="AJ129" s="1302"/>
      <c r="AK129" s="1389"/>
      <c r="AL129" s="1302"/>
      <c r="AM129" s="1302"/>
      <c r="AN129" s="1302"/>
      <c r="AO129" s="1302"/>
      <c r="AP129" s="1302"/>
      <c r="AQ129" s="1302"/>
      <c r="AR129" s="1302"/>
      <c r="AS129" s="1302"/>
      <c r="AT129" s="1302"/>
      <c r="AU129" s="1302"/>
      <c r="AV129" s="1302"/>
      <c r="ES129" s="1"/>
      <c r="ET129" s="1"/>
      <c r="EU129" s="1"/>
      <c r="EV129" s="1"/>
      <c r="EW129" s="1"/>
      <c r="EX129" s="1"/>
      <c r="EY129" s="1"/>
      <c r="EZ129" s="1"/>
      <c r="FA129" s="1"/>
      <c r="FB129" s="1"/>
      <c r="FC129" s="1"/>
      <c r="FD129" s="1"/>
      <c r="FE129" s="1"/>
      <c r="FF129" s="1"/>
      <c r="FG129" s="1"/>
      <c r="FH129" s="1"/>
      <c r="FI129" s="1"/>
      <c r="FJ129" s="1"/>
      <c r="FK129" s="1"/>
      <c r="FL129" s="1"/>
      <c r="FM129" s="1"/>
      <c r="FN129" s="1"/>
      <c r="FO129" s="1"/>
      <c r="FP129" s="1"/>
      <c r="FQ129" s="1"/>
      <c r="FR129" s="1"/>
      <c r="FS129" s="1"/>
      <c r="FT129" s="1"/>
      <c r="FU129" s="1"/>
      <c r="FV129" s="1"/>
      <c r="FW129" s="1"/>
      <c r="FX129" s="1"/>
      <c r="FY129" s="1"/>
      <c r="FZ129" s="1"/>
      <c r="GA129" s="1"/>
      <c r="GB129" s="1"/>
      <c r="GC129" s="1"/>
      <c r="GD129" s="1"/>
      <c r="GE129" s="1"/>
      <c r="GF129" s="1"/>
      <c r="GG129" s="1"/>
      <c r="GH129" s="1"/>
      <c r="GI129" s="1"/>
      <c r="GJ129" s="1"/>
      <c r="GK129" s="1"/>
      <c r="GL129" s="1"/>
      <c r="GM129" s="1"/>
      <c r="GN129" s="1"/>
      <c r="GO129" s="1"/>
      <c r="GP129" s="1"/>
      <c r="GQ129" s="1"/>
      <c r="GR129" s="1"/>
      <c r="GS129" s="1"/>
      <c r="GT129" s="1"/>
      <c r="GU129" s="1"/>
      <c r="GV129" s="1"/>
      <c r="GW129" s="1"/>
      <c r="GX129" s="1"/>
      <c r="GY129" s="1"/>
      <c r="GZ129" s="1"/>
      <c r="HA129" s="1"/>
      <c r="HB129" s="1"/>
      <c r="HC129" s="1"/>
      <c r="HD129" s="1"/>
      <c r="HE129" s="1"/>
      <c r="HF129" s="1"/>
      <c r="HG129" s="1"/>
      <c r="HH129" s="1"/>
      <c r="HI129" s="1"/>
      <c r="HJ129" s="1"/>
      <c r="HK129" s="1"/>
      <c r="HL129" s="1"/>
      <c r="HM129" s="1"/>
      <c r="HN129" s="1"/>
      <c r="HO129" s="1"/>
      <c r="HP129" s="1"/>
      <c r="HQ129" s="1"/>
      <c r="HR129" s="1"/>
      <c r="HS129" s="1"/>
      <c r="HT129" s="1"/>
      <c r="HU129" s="1"/>
      <c r="HV129" s="1"/>
      <c r="HW129" s="1"/>
      <c r="HX129" s="1"/>
      <c r="HY129" s="1"/>
      <c r="HZ129" s="1"/>
      <c r="IA129" s="1"/>
      <c r="IB129" s="1"/>
      <c r="IC129" s="1"/>
      <c r="ID129" s="1"/>
      <c r="IE129" s="1"/>
      <c r="IF129" s="1"/>
      <c r="IG129" s="1"/>
      <c r="IH129" s="1"/>
      <c r="II129" s="1"/>
      <c r="IJ129" s="1"/>
      <c r="IK129" s="1"/>
      <c r="IL129" s="1"/>
      <c r="IM129" s="1"/>
      <c r="IN129" s="1"/>
      <c r="IO129" s="1"/>
      <c r="IP129" s="1"/>
      <c r="IQ129" s="1"/>
      <c r="IR129" s="1"/>
      <c r="IS129" s="1"/>
      <c r="IT129" s="1"/>
      <c r="IU129" s="1"/>
      <c r="IV129" s="1"/>
      <c r="IW129" s="1"/>
      <c r="IX129" s="1"/>
      <c r="IY129" s="1"/>
      <c r="IZ129" s="1"/>
      <c r="JA129" s="1"/>
      <c r="JB129" s="1"/>
      <c r="JC129" s="1"/>
      <c r="JD129" s="1"/>
    </row>
    <row r="130" spans="3:264" s="1044" customFormat="1" ht="13.5" thickBot="1" x14ac:dyDescent="0.25">
      <c r="C130" s="1043"/>
      <c r="G130" s="1043"/>
      <c r="H130" s="1043"/>
      <c r="P130" s="1046"/>
      <c r="Q130" s="1044" t="s">
        <v>1104</v>
      </c>
      <c r="R130" s="1335">
        <f ca="1">SUM(AK128:AU128)</f>
        <v>83715.555920374711</v>
      </c>
      <c r="S130" s="1302" t="s">
        <v>1105</v>
      </c>
      <c r="T130" s="1302"/>
      <c r="U130" s="1302"/>
      <c r="V130" s="1302"/>
      <c r="W130" s="1302"/>
      <c r="X130" s="1302"/>
      <c r="Y130" s="1302"/>
      <c r="Z130" s="1302"/>
      <c r="AA130" s="1302"/>
      <c r="AB130" s="1302"/>
      <c r="AC130" s="1302"/>
      <c r="AD130" s="1302"/>
      <c r="AE130" s="1302"/>
      <c r="AF130" s="1302"/>
      <c r="AG130" s="1302"/>
      <c r="AH130" s="1302"/>
      <c r="AI130" s="1302"/>
      <c r="AJ130" s="1302"/>
      <c r="AK130" s="1389"/>
      <c r="AL130" s="1302"/>
      <c r="AM130" s="1302"/>
      <c r="AN130" s="1302"/>
      <c r="AO130" s="1302"/>
      <c r="AP130" s="1302"/>
      <c r="AQ130" s="1302"/>
      <c r="AR130" s="1302"/>
      <c r="AS130" s="1302"/>
      <c r="AT130" s="1302"/>
      <c r="AU130" s="1302"/>
      <c r="AV130" s="1302"/>
      <c r="ES130" s="1"/>
      <c r="ET130" s="1"/>
      <c r="EU130" s="1"/>
      <c r="EV130" s="1"/>
      <c r="EW130" s="1"/>
      <c r="EX130" s="1"/>
      <c r="EY130" s="1"/>
      <c r="EZ130" s="1"/>
      <c r="FA130" s="1"/>
      <c r="FB130" s="1"/>
      <c r="FC130" s="1"/>
      <c r="FD130" s="1"/>
      <c r="FE130" s="1"/>
      <c r="FF130" s="1"/>
      <c r="FG130" s="1"/>
      <c r="FH130" s="1"/>
      <c r="FI130" s="1"/>
      <c r="FJ130" s="1"/>
      <c r="FK130" s="1"/>
      <c r="FL130" s="1"/>
      <c r="FM130" s="1"/>
      <c r="FN130" s="1"/>
      <c r="FO130" s="1"/>
      <c r="FP130" s="1"/>
      <c r="FQ130" s="1"/>
      <c r="FR130" s="1"/>
      <c r="FS130" s="1"/>
      <c r="FT130" s="1"/>
      <c r="FU130" s="1"/>
      <c r="FV130" s="1"/>
      <c r="FW130" s="1"/>
      <c r="FX130" s="1"/>
      <c r="FY130" s="1"/>
      <c r="FZ130" s="1"/>
      <c r="GA130" s="1"/>
      <c r="GB130" s="1"/>
      <c r="GC130" s="1"/>
      <c r="GD130" s="1"/>
      <c r="GE130" s="1"/>
      <c r="GF130" s="1"/>
      <c r="GG130" s="1"/>
      <c r="GH130" s="1"/>
      <c r="GI130" s="1"/>
      <c r="GJ130" s="1"/>
      <c r="GK130" s="1"/>
      <c r="GL130" s="1"/>
      <c r="GM130" s="1"/>
      <c r="GN130" s="1"/>
      <c r="GO130" s="1"/>
      <c r="GP130" s="1"/>
      <c r="GQ130" s="1"/>
      <c r="GR130" s="1"/>
      <c r="GS130" s="1"/>
      <c r="GT130" s="1"/>
      <c r="GU130" s="1"/>
      <c r="GV130" s="1"/>
      <c r="GW130" s="1"/>
      <c r="GX130" s="1"/>
      <c r="GY130" s="1"/>
      <c r="GZ130" s="1"/>
      <c r="HA130" s="1"/>
      <c r="HB130" s="1"/>
      <c r="HC130" s="1"/>
      <c r="HD130" s="1"/>
      <c r="HE130" s="1"/>
      <c r="HF130" s="1"/>
      <c r="HG130" s="1"/>
      <c r="HH130" s="1"/>
      <c r="HI130" s="1"/>
      <c r="HJ130" s="1"/>
      <c r="HK130" s="1"/>
      <c r="HL130" s="1"/>
      <c r="HM130" s="1"/>
      <c r="HN130" s="1"/>
      <c r="HO130" s="1"/>
      <c r="HP130" s="1"/>
      <c r="HQ130" s="1"/>
      <c r="HR130" s="1"/>
      <c r="HS130" s="1"/>
      <c r="HT130" s="1"/>
      <c r="HU130" s="1"/>
      <c r="HV130" s="1"/>
      <c r="HW130" s="1"/>
      <c r="HX130" s="1"/>
      <c r="HY130" s="1"/>
      <c r="HZ130" s="1"/>
      <c r="IA130" s="1"/>
      <c r="IB130" s="1"/>
      <c r="IC130" s="1"/>
      <c r="ID130" s="1"/>
      <c r="IE130" s="1"/>
      <c r="IF130" s="1"/>
      <c r="IG130" s="1"/>
      <c r="IH130" s="1"/>
      <c r="II130" s="1"/>
      <c r="IJ130" s="1"/>
      <c r="IK130" s="1"/>
      <c r="IL130" s="1"/>
      <c r="IM130" s="1"/>
      <c r="IN130" s="1"/>
      <c r="IO130" s="1"/>
      <c r="IP130" s="1"/>
      <c r="IQ130" s="1"/>
      <c r="IR130" s="1"/>
      <c r="IS130" s="1"/>
      <c r="IT130" s="1"/>
      <c r="IU130" s="1"/>
      <c r="IV130" s="1"/>
      <c r="IW130" s="1"/>
      <c r="IX130" s="1"/>
      <c r="IY130" s="1"/>
      <c r="IZ130" s="1"/>
      <c r="JA130" s="1"/>
      <c r="JB130" s="1"/>
      <c r="JC130" s="1"/>
      <c r="JD130" s="1"/>
    </row>
    <row r="131" spans="3:264" s="1044" customFormat="1" x14ac:dyDescent="0.2">
      <c r="C131" s="1043"/>
      <c r="G131" s="1043"/>
      <c r="H131" s="1043"/>
      <c r="P131" s="1046"/>
      <c r="AK131" s="1361"/>
      <c r="ES131" s="1"/>
      <c r="ET131" s="1"/>
      <c r="EU131" s="1"/>
      <c r="EV131" s="1"/>
      <c r="EW131" s="1"/>
      <c r="EX131" s="1"/>
      <c r="EY131" s="1"/>
      <c r="EZ131" s="1"/>
      <c r="FA131" s="1"/>
      <c r="FB131" s="1"/>
      <c r="FC131" s="1"/>
      <c r="FD131" s="1"/>
      <c r="FE131" s="1"/>
      <c r="FF131" s="1"/>
      <c r="FG131" s="1"/>
      <c r="FH131" s="1"/>
      <c r="FI131" s="1"/>
      <c r="FJ131" s="1"/>
      <c r="FK131" s="1"/>
      <c r="FL131" s="1"/>
      <c r="FM131" s="1"/>
      <c r="FN131" s="1"/>
      <c r="FO131" s="1"/>
      <c r="FP131" s="1"/>
      <c r="FQ131" s="1"/>
      <c r="FR131" s="1"/>
      <c r="FS131" s="1"/>
      <c r="FT131" s="1"/>
      <c r="FU131" s="1"/>
      <c r="FV131" s="1"/>
      <c r="FW131" s="1"/>
      <c r="FX131" s="1"/>
      <c r="FY131" s="1"/>
      <c r="FZ131" s="1"/>
      <c r="GA131" s="1"/>
      <c r="GB131" s="1"/>
      <c r="GC131" s="1"/>
      <c r="GD131" s="1"/>
      <c r="GE131" s="1"/>
      <c r="GF131" s="1"/>
      <c r="GG131" s="1"/>
      <c r="GH131" s="1"/>
      <c r="GI131" s="1"/>
      <c r="GJ131" s="1"/>
      <c r="GK131" s="1"/>
      <c r="GL131" s="1"/>
      <c r="GM131" s="1"/>
      <c r="GN131" s="1"/>
      <c r="GO131" s="1"/>
      <c r="GP131" s="1"/>
      <c r="GQ131" s="1"/>
      <c r="GR131" s="1"/>
      <c r="GS131" s="1"/>
      <c r="GT131" s="1"/>
      <c r="GU131" s="1"/>
      <c r="GV131" s="1"/>
      <c r="GW131" s="1"/>
      <c r="GX131" s="1"/>
      <c r="GY131" s="1"/>
      <c r="GZ131" s="1"/>
      <c r="HA131" s="1"/>
      <c r="HB131" s="1"/>
      <c r="HC131" s="1"/>
      <c r="HD131" s="1"/>
      <c r="HE131" s="1"/>
      <c r="HF131" s="1"/>
      <c r="HG131" s="1"/>
      <c r="HH131" s="1"/>
      <c r="HI131" s="1"/>
      <c r="HJ131" s="1"/>
      <c r="HK131" s="1"/>
      <c r="HL131" s="1"/>
      <c r="HM131" s="1"/>
      <c r="HN131" s="1"/>
      <c r="HO131" s="1"/>
      <c r="HP131" s="1"/>
      <c r="HQ131" s="1"/>
      <c r="HR131" s="1"/>
      <c r="HS131" s="1"/>
      <c r="HT131" s="1"/>
      <c r="HU131" s="1"/>
      <c r="HV131" s="1"/>
      <c r="HW131" s="1"/>
      <c r="HX131" s="1"/>
      <c r="HY131" s="1"/>
      <c r="HZ131" s="1"/>
      <c r="IA131" s="1"/>
      <c r="IB131" s="1"/>
      <c r="IC131" s="1"/>
      <c r="ID131" s="1"/>
      <c r="IE131" s="1"/>
      <c r="IF131" s="1"/>
      <c r="IG131" s="1"/>
      <c r="IH131" s="1"/>
      <c r="II131" s="1"/>
      <c r="IJ131" s="1"/>
      <c r="IK131" s="1"/>
      <c r="IL131" s="1"/>
      <c r="IM131" s="1"/>
      <c r="IN131" s="1"/>
      <c r="IO131" s="1"/>
      <c r="IP131" s="1"/>
      <c r="IQ131" s="1"/>
      <c r="IR131" s="1"/>
      <c r="IS131" s="1"/>
      <c r="IT131" s="1"/>
      <c r="IU131" s="1"/>
      <c r="IV131" s="1"/>
      <c r="IW131" s="1"/>
      <c r="IX131" s="1"/>
      <c r="IY131" s="1"/>
      <c r="IZ131" s="1"/>
      <c r="JA131" s="1"/>
      <c r="JB131" s="1"/>
      <c r="JC131" s="1"/>
      <c r="JD131" s="1"/>
    </row>
    <row r="132" spans="3:264" s="1044" customFormat="1" x14ac:dyDescent="0.2">
      <c r="C132" s="1043"/>
      <c r="G132" s="1043"/>
      <c r="H132" s="1043"/>
      <c r="P132" s="1046"/>
      <c r="AK132" s="1361"/>
      <c r="ES132" s="1"/>
      <c r="ET132" s="1"/>
      <c r="EU132" s="1"/>
      <c r="EV132" s="1"/>
      <c r="EW132" s="1"/>
      <c r="EX132" s="1"/>
      <c r="EY132" s="1"/>
      <c r="EZ132" s="1"/>
      <c r="FA132" s="1"/>
      <c r="FB132" s="1"/>
      <c r="FC132" s="1"/>
      <c r="FD132" s="1"/>
      <c r="FE132" s="1"/>
      <c r="FF132" s="1"/>
      <c r="FG132" s="1"/>
      <c r="FH132" s="1"/>
      <c r="FI132" s="1"/>
      <c r="FJ132" s="1"/>
      <c r="FK132" s="1"/>
      <c r="FL132" s="1"/>
      <c r="FM132" s="1"/>
      <c r="FN132" s="1"/>
      <c r="FO132" s="1"/>
      <c r="FP132" s="1"/>
      <c r="FQ132" s="1"/>
      <c r="FR132" s="1"/>
      <c r="FS132" s="1"/>
      <c r="FT132" s="1"/>
      <c r="FU132" s="1"/>
      <c r="FV132" s="1"/>
      <c r="FW132" s="1"/>
      <c r="FX132" s="1"/>
      <c r="FY132" s="1"/>
      <c r="FZ132" s="1"/>
      <c r="GA132" s="1"/>
      <c r="GB132" s="1"/>
      <c r="GC132" s="1"/>
      <c r="GD132" s="1"/>
      <c r="GE132" s="1"/>
      <c r="GF132" s="1"/>
      <c r="GG132" s="1"/>
      <c r="GH132" s="1"/>
      <c r="GI132" s="1"/>
      <c r="GJ132" s="1"/>
      <c r="GK132" s="1"/>
      <c r="GL132" s="1"/>
      <c r="GM132" s="1"/>
      <c r="GN132" s="1"/>
      <c r="GO132" s="1"/>
      <c r="GP132" s="1"/>
      <c r="GQ132" s="1"/>
      <c r="GR132" s="1"/>
      <c r="GS132" s="1"/>
      <c r="GT132" s="1"/>
      <c r="GU132" s="1"/>
      <c r="GV132" s="1"/>
      <c r="GW132" s="1"/>
      <c r="GX132" s="1"/>
      <c r="GY132" s="1"/>
      <c r="GZ132" s="1"/>
      <c r="HA132" s="1"/>
      <c r="HB132" s="1"/>
      <c r="HC132" s="1"/>
      <c r="HD132" s="1"/>
      <c r="HE132" s="1"/>
      <c r="HF132" s="1"/>
      <c r="HG132" s="1"/>
      <c r="HH132" s="1"/>
      <c r="HI132" s="1"/>
      <c r="HJ132" s="1"/>
      <c r="HK132" s="1"/>
      <c r="HL132" s="1"/>
      <c r="HM132" s="1"/>
      <c r="HN132" s="1"/>
      <c r="HO132" s="1"/>
      <c r="HP132" s="1"/>
      <c r="HQ132" s="1"/>
      <c r="HR132" s="1"/>
      <c r="HS132" s="1"/>
      <c r="HT132" s="1"/>
      <c r="HU132" s="1"/>
      <c r="HV132" s="1"/>
      <c r="HW132" s="1"/>
      <c r="HX132" s="1"/>
      <c r="HY132" s="1"/>
      <c r="HZ132" s="1"/>
      <c r="IA132" s="1"/>
      <c r="IB132" s="1"/>
      <c r="IC132" s="1"/>
      <c r="ID132" s="1"/>
      <c r="IE132" s="1"/>
      <c r="IF132" s="1"/>
      <c r="IG132" s="1"/>
      <c r="IH132" s="1"/>
      <c r="II132" s="1"/>
      <c r="IJ132" s="1"/>
      <c r="IK132" s="1"/>
      <c r="IL132" s="1"/>
      <c r="IM132" s="1"/>
      <c r="IN132" s="1"/>
      <c r="IO132" s="1"/>
      <c r="IP132" s="1"/>
      <c r="IQ132" s="1"/>
      <c r="IR132" s="1"/>
      <c r="IS132" s="1"/>
      <c r="IT132" s="1"/>
      <c r="IU132" s="1"/>
      <c r="IV132" s="1"/>
      <c r="IW132" s="1"/>
      <c r="IX132" s="1"/>
      <c r="IY132" s="1"/>
      <c r="IZ132" s="1"/>
      <c r="JA132" s="1"/>
      <c r="JB132" s="1"/>
      <c r="JC132" s="1"/>
      <c r="JD132" s="1"/>
    </row>
    <row r="133" spans="3:264" s="1044" customFormat="1" x14ac:dyDescent="0.2">
      <c r="C133" s="1043"/>
      <c r="G133" s="1043"/>
      <c r="H133" s="1043"/>
      <c r="P133" s="1046"/>
      <c r="Q133" s="1047" t="s">
        <v>1106</v>
      </c>
      <c r="AK133" s="1361"/>
      <c r="ES133" s="1"/>
      <c r="ET133" s="1"/>
      <c r="EU133" s="1"/>
      <c r="EV133" s="1"/>
      <c r="EW133" s="1"/>
      <c r="EX133" s="1"/>
      <c r="EY133" s="1"/>
      <c r="EZ133" s="1"/>
      <c r="FA133" s="1"/>
      <c r="FB133" s="1"/>
      <c r="FC133" s="1"/>
      <c r="FD133" s="1"/>
      <c r="FE133" s="1"/>
      <c r="FF133" s="1"/>
      <c r="FG133" s="1"/>
      <c r="FH133" s="1"/>
      <c r="FI133" s="1"/>
      <c r="FJ133" s="1"/>
      <c r="FK133" s="1"/>
      <c r="FL133" s="1"/>
      <c r="FM133" s="1"/>
      <c r="FN133" s="1"/>
      <c r="FO133" s="1"/>
      <c r="FP133" s="1"/>
      <c r="FQ133" s="1"/>
      <c r="FR133" s="1"/>
      <c r="FS133" s="1"/>
      <c r="FT133" s="1"/>
      <c r="FU133" s="1"/>
      <c r="FV133" s="1"/>
      <c r="FW133" s="1"/>
      <c r="FX133" s="1"/>
      <c r="FY133" s="1"/>
      <c r="FZ133" s="1"/>
      <c r="GA133" s="1"/>
      <c r="GB133" s="1"/>
      <c r="GC133" s="1"/>
      <c r="GD133" s="1"/>
      <c r="GE133" s="1"/>
      <c r="GF133" s="1"/>
      <c r="GG133" s="1"/>
      <c r="GH133" s="1"/>
      <c r="GI133" s="1"/>
      <c r="GJ133" s="1"/>
      <c r="GK133" s="1"/>
      <c r="GL133" s="1"/>
      <c r="GM133" s="1"/>
      <c r="GN133" s="1"/>
      <c r="GO133" s="1"/>
      <c r="GP133" s="1"/>
      <c r="GQ133" s="1"/>
      <c r="GR133" s="1"/>
      <c r="GS133" s="1"/>
      <c r="GT133" s="1"/>
      <c r="GU133" s="1"/>
      <c r="GV133" s="1"/>
      <c r="GW133" s="1"/>
      <c r="GX133" s="1"/>
      <c r="GY133" s="1"/>
      <c r="GZ133" s="1"/>
      <c r="HA133" s="1"/>
      <c r="HB133" s="1"/>
      <c r="HC133" s="1"/>
      <c r="HD133" s="1"/>
      <c r="HE133" s="1"/>
      <c r="HF133" s="1"/>
      <c r="HG133" s="1"/>
      <c r="HH133" s="1"/>
      <c r="HI133" s="1"/>
      <c r="HJ133" s="1"/>
      <c r="HK133" s="1"/>
      <c r="HL133" s="1"/>
      <c r="HM133" s="1"/>
      <c r="HN133" s="1"/>
      <c r="HO133" s="1"/>
      <c r="HP133" s="1"/>
      <c r="HQ133" s="1"/>
      <c r="HR133" s="1"/>
      <c r="HS133" s="1"/>
      <c r="HT133" s="1"/>
      <c r="HU133" s="1"/>
      <c r="HV133" s="1"/>
      <c r="HW133" s="1"/>
      <c r="HX133" s="1"/>
      <c r="HY133" s="1"/>
      <c r="HZ133" s="1"/>
      <c r="IA133" s="1"/>
      <c r="IB133" s="1"/>
      <c r="IC133" s="1"/>
      <c r="ID133" s="1"/>
      <c r="IE133" s="1"/>
      <c r="IF133" s="1"/>
      <c r="IG133" s="1"/>
      <c r="IH133" s="1"/>
      <c r="II133" s="1"/>
      <c r="IJ133" s="1"/>
      <c r="IK133" s="1"/>
      <c r="IL133" s="1"/>
      <c r="IM133" s="1"/>
      <c r="IN133" s="1"/>
      <c r="IO133" s="1"/>
      <c r="IP133" s="1"/>
      <c r="IQ133" s="1"/>
      <c r="IR133" s="1"/>
      <c r="IS133" s="1"/>
      <c r="IT133" s="1"/>
      <c r="IU133" s="1"/>
      <c r="IV133" s="1"/>
      <c r="IW133" s="1"/>
      <c r="IX133" s="1"/>
      <c r="IY133" s="1"/>
      <c r="IZ133" s="1"/>
      <c r="JA133" s="1"/>
      <c r="JB133" s="1"/>
      <c r="JC133" s="1"/>
      <c r="JD133" s="1"/>
    </row>
    <row r="134" spans="3:264" s="1044" customFormat="1" x14ac:dyDescent="0.2">
      <c r="C134" s="1043"/>
      <c r="G134" s="1043"/>
      <c r="H134" s="1043"/>
      <c r="P134" s="1046"/>
      <c r="Q134" s="1044" t="s">
        <v>1107</v>
      </c>
      <c r="R134" s="1302"/>
      <c r="S134" s="1302"/>
      <c r="T134" s="1302"/>
      <c r="U134" s="1302"/>
      <c r="V134" s="1302" t="e">
        <f>-#REF!</f>
        <v>#REF!</v>
      </c>
      <c r="W134" s="1302" t="e">
        <f>-#REF!</f>
        <v>#REF!</v>
      </c>
      <c r="X134" s="1302"/>
      <c r="Y134" s="1302"/>
      <c r="Z134" s="1302"/>
      <c r="AA134" s="1302"/>
      <c r="AB134" s="1302"/>
      <c r="AC134" s="1302"/>
      <c r="AD134" s="1302"/>
      <c r="AE134" s="1302"/>
      <c r="AF134" s="1302"/>
      <c r="AG134" s="1302">
        <f t="shared" ref="AG134:AU134" si="306">-AG82</f>
        <v>4396</v>
      </c>
      <c r="AH134" s="1302">
        <f t="shared" si="306"/>
        <v>6535</v>
      </c>
      <c r="AI134" s="1302">
        <f t="shared" si="306"/>
        <v>7117</v>
      </c>
      <c r="AJ134" s="1302">
        <f t="shared" si="306"/>
        <v>7623</v>
      </c>
      <c r="AK134" s="1389">
        <f t="shared" si="306"/>
        <v>7949</v>
      </c>
      <c r="AL134" s="1302">
        <f t="shared" si="306"/>
        <v>8283.6365413000003</v>
      </c>
      <c r="AM134" s="1302">
        <f t="shared" ref="AM134" si="307">-AM82</f>
        <v>9029.2137379644846</v>
      </c>
      <c r="AN134" s="1302">
        <f t="shared" ref="AN134" si="308">-AN82</f>
        <v>9529.1581668282779</v>
      </c>
      <c r="AO134" s="1302">
        <f t="shared" ca="1" si="306"/>
        <v>10211.139532276933</v>
      </c>
      <c r="AP134" s="1302">
        <f t="shared" ca="1" si="306"/>
        <v>10602.389505214229</v>
      </c>
      <c r="AQ134" s="1302">
        <f t="shared" ca="1" si="306"/>
        <v>11008.011832196375</v>
      </c>
      <c r="AR134" s="1302">
        <f t="shared" ca="1" si="306"/>
        <v>11428.511555860161</v>
      </c>
      <c r="AS134" s="1302">
        <f t="shared" ca="1" si="306"/>
        <v>10727.501022294404</v>
      </c>
      <c r="AT134" s="1302">
        <f t="shared" ca="1" si="306"/>
        <v>11128.177354156787</v>
      </c>
      <c r="AU134" s="1302">
        <f t="shared" ca="1" si="306"/>
        <v>12784.580245696316</v>
      </c>
      <c r="AV134" s="1302"/>
      <c r="ES134" s="1"/>
      <c r="ET134" s="1"/>
      <c r="EU134" s="1"/>
      <c r="EV134" s="1"/>
      <c r="EW134" s="1"/>
      <c r="EX134" s="1"/>
      <c r="EY134" s="1"/>
      <c r="EZ134" s="1"/>
      <c r="FA134" s="1"/>
      <c r="FB134" s="1"/>
      <c r="FC134" s="1"/>
      <c r="FD134" s="1"/>
      <c r="FE134" s="1"/>
      <c r="FF134" s="1"/>
      <c r="FG134" s="1"/>
      <c r="FH134" s="1"/>
      <c r="FI134" s="1"/>
      <c r="FJ134" s="1"/>
      <c r="FK134" s="1"/>
      <c r="FL134" s="1"/>
      <c r="FM134" s="1"/>
      <c r="FN134" s="1"/>
      <c r="FO134" s="1"/>
      <c r="FP134" s="1"/>
      <c r="FQ134" s="1"/>
      <c r="FR134" s="1"/>
      <c r="FS134" s="1"/>
      <c r="FT134" s="1"/>
      <c r="FU134" s="1"/>
      <c r="FV134" s="1"/>
      <c r="FW134" s="1"/>
      <c r="FX134" s="1"/>
      <c r="FY134" s="1"/>
      <c r="FZ134" s="1"/>
      <c r="GA134" s="1"/>
      <c r="GB134" s="1"/>
      <c r="GC134" s="1"/>
      <c r="GD134" s="1"/>
      <c r="GE134" s="1"/>
      <c r="GF134" s="1"/>
      <c r="GG134" s="1"/>
      <c r="GH134" s="1"/>
      <c r="GI134" s="1"/>
      <c r="GJ134" s="1"/>
      <c r="GK134" s="1"/>
      <c r="GL134" s="1"/>
      <c r="GM134" s="1"/>
      <c r="GN134" s="1"/>
      <c r="GO134" s="1"/>
      <c r="GP134" s="1"/>
      <c r="GQ134" s="1"/>
      <c r="GR134" s="1"/>
      <c r="GS134" s="1"/>
      <c r="GT134" s="1"/>
      <c r="GU134" s="1"/>
      <c r="GV134" s="1"/>
      <c r="GW134" s="1"/>
      <c r="GX134" s="1"/>
      <c r="GY134" s="1"/>
      <c r="GZ134" s="1"/>
      <c r="HA134" s="1"/>
      <c r="HB134" s="1"/>
      <c r="HC134" s="1"/>
      <c r="HD134" s="1"/>
      <c r="HE134" s="1"/>
      <c r="HF134" s="1"/>
      <c r="HG134" s="1"/>
      <c r="HH134" s="1"/>
      <c r="HI134" s="1"/>
      <c r="HJ134" s="1"/>
      <c r="HK134" s="1"/>
      <c r="HL134" s="1"/>
      <c r="HM134" s="1"/>
      <c r="HN134" s="1"/>
      <c r="HO134" s="1"/>
      <c r="HP134" s="1"/>
      <c r="HQ134" s="1"/>
      <c r="HR134" s="1"/>
      <c r="HS134" s="1"/>
      <c r="HT134" s="1"/>
      <c r="HU134" s="1"/>
      <c r="HV134" s="1"/>
      <c r="HW134" s="1"/>
      <c r="HX134" s="1"/>
      <c r="HY134" s="1"/>
      <c r="HZ134" s="1"/>
      <c r="IA134" s="1"/>
      <c r="IB134" s="1"/>
      <c r="IC134" s="1"/>
      <c r="ID134" s="1"/>
      <c r="IE134" s="1"/>
      <c r="IF134" s="1"/>
      <c r="IG134" s="1"/>
      <c r="IH134" s="1"/>
      <c r="II134" s="1"/>
      <c r="IJ134" s="1"/>
      <c r="IK134" s="1"/>
      <c r="IL134" s="1"/>
      <c r="IM134" s="1"/>
      <c r="IN134" s="1"/>
      <c r="IO134" s="1"/>
      <c r="IP134" s="1"/>
      <c r="IQ134" s="1"/>
      <c r="IR134" s="1"/>
      <c r="IS134" s="1"/>
      <c r="IT134" s="1"/>
      <c r="IU134" s="1"/>
      <c r="IV134" s="1"/>
      <c r="IW134" s="1"/>
      <c r="IX134" s="1"/>
      <c r="IY134" s="1"/>
      <c r="IZ134" s="1"/>
      <c r="JA134" s="1"/>
      <c r="JB134" s="1"/>
      <c r="JC134" s="1"/>
      <c r="JD134" s="1"/>
    </row>
    <row r="135" spans="3:264" s="1044" customFormat="1" x14ac:dyDescent="0.2">
      <c r="C135" s="1043"/>
      <c r="G135" s="1043"/>
      <c r="H135" s="1043"/>
      <c r="P135" s="1046"/>
      <c r="Q135" s="1047" t="s">
        <v>1103</v>
      </c>
      <c r="R135" s="1331"/>
      <c r="S135" s="1331"/>
      <c r="T135" s="1331"/>
      <c r="U135" s="1331"/>
      <c r="V135" s="1331" t="e">
        <f>+V134/((1+#REF!)^((+V$2-$Q$4)/365))</f>
        <v>#REF!</v>
      </c>
      <c r="W135" s="1331" t="e">
        <f>+W134/((1+#REF!)^((+W$2-$Q$4)/365))</f>
        <v>#REF!</v>
      </c>
      <c r="X135" s="1331"/>
      <c r="Y135" s="1331"/>
      <c r="Z135" s="1331"/>
      <c r="AA135" s="1331"/>
      <c r="AB135" s="1331"/>
      <c r="AC135" s="1331"/>
      <c r="AD135" s="1331"/>
      <c r="AE135" s="1331"/>
      <c r="AF135" s="1331"/>
      <c r="AG135" s="1331">
        <f t="shared" ref="AG135:AQ135" si="309">+AG134/((1+AG106)^((+AG$2-$Q$4)/365))</f>
        <v>6296.4572248171853</v>
      </c>
      <c r="AH135" s="1331">
        <f t="shared" si="309"/>
        <v>8666.8326349249128</v>
      </c>
      <c r="AI135" s="1331">
        <f t="shared" si="309"/>
        <v>8739.5290122645292</v>
      </c>
      <c r="AJ135" s="1331">
        <f t="shared" si="309"/>
        <v>8665.6601913638915</v>
      </c>
      <c r="AK135" s="1393">
        <f t="shared" si="309"/>
        <v>8366.8980401843801</v>
      </c>
      <c r="AL135" s="1331">
        <f t="shared" si="309"/>
        <v>8073.2659527406995</v>
      </c>
      <c r="AM135" s="1331">
        <f t="shared" ref="AM135" si="310">+AM134/((1+AM106)^((+AM$2-$Q$4)/365))</f>
        <v>8148.0634527560169</v>
      </c>
      <c r="AN135" s="1331">
        <f t="shared" ref="AN135" si="311">+AN134/((1+AN106)^((+AN$2-$Q$4)/365))</f>
        <v>7960.5610403201945</v>
      </c>
      <c r="AO135" s="1331">
        <f t="shared" ca="1" si="309"/>
        <v>7898.4085938813032</v>
      </c>
      <c r="AP135" s="1331">
        <f t="shared" ca="1" si="309"/>
        <v>7593.559240155073</v>
      </c>
      <c r="AQ135" s="1331">
        <f t="shared" ca="1" si="309"/>
        <v>7300.0655953635969</v>
      </c>
      <c r="AR135" s="1331">
        <f ca="1">+AR134/((1+AR106)^((+AR$2-$Q$4)/365))</f>
        <v>7016.0426299518567</v>
      </c>
      <c r="AS135" s="1331">
        <f ca="1">+AS134/((1+AS106)^((+AS$2-$Q$4)/365))</f>
        <v>6097.8586981204453</v>
      </c>
      <c r="AT135" s="1331">
        <f t="shared" ref="AT135:AU135" ca="1" si="312">+AT134/((1+AT106)^((+AT$2-$Q$4)/365))</f>
        <v>5857.051935284876</v>
      </c>
      <c r="AU135" s="1331">
        <f t="shared" ca="1" si="312"/>
        <v>6230.426175423454</v>
      </c>
      <c r="ES135" s="1"/>
      <c r="ET135" s="1"/>
      <c r="EU135" s="1"/>
      <c r="EV135" s="1"/>
      <c r="EW135" s="1"/>
      <c r="EX135" s="1"/>
      <c r="EY135" s="1"/>
      <c r="EZ135" s="1"/>
      <c r="FA135" s="1"/>
      <c r="FB135" s="1"/>
      <c r="FC135" s="1"/>
      <c r="FD135" s="1"/>
      <c r="FE135" s="1"/>
      <c r="FF135" s="1"/>
      <c r="FG135" s="1"/>
      <c r="FH135" s="1"/>
      <c r="FI135" s="1"/>
      <c r="FJ135" s="1"/>
      <c r="FK135" s="1"/>
      <c r="FL135" s="1"/>
      <c r="FM135" s="1"/>
      <c r="FN135" s="1"/>
      <c r="FO135" s="1"/>
      <c r="FP135" s="1"/>
      <c r="FQ135" s="1"/>
      <c r="FR135" s="1"/>
      <c r="FS135" s="1"/>
      <c r="FT135" s="1"/>
      <c r="FU135" s="1"/>
      <c r="FV135" s="1"/>
      <c r="FW135" s="1"/>
      <c r="FX135" s="1"/>
      <c r="FY135" s="1"/>
      <c r="FZ135" s="1"/>
      <c r="GA135" s="1"/>
      <c r="GB135" s="1"/>
      <c r="GC135" s="1"/>
      <c r="GD135" s="1"/>
      <c r="GE135" s="1"/>
      <c r="GF135" s="1"/>
      <c r="GG135" s="1"/>
      <c r="GH135" s="1"/>
      <c r="GI135" s="1"/>
      <c r="GJ135" s="1"/>
      <c r="GK135" s="1"/>
      <c r="GL135" s="1"/>
      <c r="GM135" s="1"/>
      <c r="GN135" s="1"/>
      <c r="GO135" s="1"/>
      <c r="GP135" s="1"/>
      <c r="GQ135" s="1"/>
      <c r="GR135" s="1"/>
      <c r="GS135" s="1"/>
      <c r="GT135" s="1"/>
      <c r="GU135" s="1"/>
      <c r="GV135" s="1"/>
      <c r="GW135" s="1"/>
      <c r="GX135" s="1"/>
      <c r="GY135" s="1"/>
      <c r="GZ135" s="1"/>
      <c r="HA135" s="1"/>
      <c r="HB135" s="1"/>
      <c r="HC135" s="1"/>
      <c r="HD135" s="1"/>
      <c r="HE135" s="1"/>
      <c r="HF135" s="1"/>
      <c r="HG135" s="1"/>
      <c r="HH135" s="1"/>
      <c r="HI135" s="1"/>
      <c r="HJ135" s="1"/>
      <c r="HK135" s="1"/>
      <c r="HL135" s="1"/>
      <c r="HM135" s="1"/>
      <c r="HN135" s="1"/>
      <c r="HO135" s="1"/>
      <c r="HP135" s="1"/>
      <c r="HQ135" s="1"/>
      <c r="HR135" s="1"/>
      <c r="HS135" s="1"/>
      <c r="HT135" s="1"/>
      <c r="HU135" s="1"/>
      <c r="HV135" s="1"/>
      <c r="HW135" s="1"/>
      <c r="HX135" s="1"/>
      <c r="HY135" s="1"/>
      <c r="HZ135" s="1"/>
      <c r="IA135" s="1"/>
      <c r="IB135" s="1"/>
      <c r="IC135" s="1"/>
      <c r="ID135" s="1"/>
      <c r="IE135" s="1"/>
      <c r="IF135" s="1"/>
      <c r="IG135" s="1"/>
      <c r="IH135" s="1"/>
      <c r="II135" s="1"/>
      <c r="IJ135" s="1"/>
      <c r="IK135" s="1"/>
      <c r="IL135" s="1"/>
      <c r="IM135" s="1"/>
      <c r="IN135" s="1"/>
      <c r="IO135" s="1"/>
      <c r="IP135" s="1"/>
      <c r="IQ135" s="1"/>
      <c r="IR135" s="1"/>
      <c r="IS135" s="1"/>
      <c r="IT135" s="1"/>
      <c r="IU135" s="1"/>
      <c r="IV135" s="1"/>
      <c r="IW135" s="1"/>
      <c r="IX135" s="1"/>
      <c r="IY135" s="1"/>
      <c r="IZ135" s="1"/>
      <c r="JA135" s="1"/>
      <c r="JB135" s="1"/>
      <c r="JC135" s="1"/>
      <c r="JD135" s="1"/>
    </row>
    <row r="136" spans="3:264" ht="13.5" thickBot="1" x14ac:dyDescent="0.25">
      <c r="Q136" s="1044"/>
      <c r="R136" s="1044"/>
      <c r="S136" s="1044"/>
      <c r="T136" s="1044"/>
      <c r="U136" s="1044"/>
      <c r="V136" s="1044"/>
      <c r="W136" s="1044"/>
      <c r="X136" s="1044"/>
      <c r="Y136" s="1044"/>
      <c r="Z136" s="1044"/>
      <c r="AA136" s="1044"/>
      <c r="AB136" s="1044"/>
      <c r="AC136" s="1044"/>
      <c r="AD136" s="1044"/>
      <c r="AE136" s="1044"/>
      <c r="AF136" s="1044"/>
      <c r="AG136" s="1044"/>
      <c r="AH136" s="1044"/>
      <c r="AI136" s="1044"/>
      <c r="AJ136" s="1044"/>
      <c r="AK136" s="1361"/>
      <c r="AL136" s="1044"/>
      <c r="AM136" s="1044"/>
      <c r="AN136" s="1044"/>
      <c r="AO136" s="1044"/>
      <c r="AP136" s="1044"/>
      <c r="AQ136" s="1044"/>
      <c r="AR136" s="1044"/>
      <c r="AS136" s="1044"/>
      <c r="AT136" s="1044"/>
      <c r="AU136" s="1044"/>
      <c r="AV136" s="1044"/>
      <c r="AW136" s="1044"/>
      <c r="AX136" s="1044"/>
      <c r="AY136" s="1044"/>
      <c r="AZ136" s="1044"/>
      <c r="BA136" s="1044"/>
      <c r="BB136" s="1044"/>
      <c r="BC136" s="1044"/>
      <c r="BD136" s="1044"/>
      <c r="BE136" s="1044"/>
      <c r="BF136" s="1044"/>
      <c r="BG136" s="1044"/>
      <c r="BH136" s="1044"/>
      <c r="BI136" s="1044"/>
      <c r="BJ136" s="1044"/>
      <c r="BK136" s="1044"/>
      <c r="BL136" s="1044"/>
      <c r="BM136" s="1044"/>
      <c r="BN136" s="1044"/>
      <c r="BO136" s="1044"/>
      <c r="BP136" s="1044"/>
      <c r="BQ136" s="1044"/>
      <c r="BR136" s="1044"/>
      <c r="BS136" s="1044"/>
      <c r="BT136" s="1044"/>
      <c r="BU136" s="1044"/>
      <c r="BV136" s="1044"/>
      <c r="BW136" s="1044"/>
      <c r="BX136" s="1044"/>
      <c r="BY136" s="1044"/>
      <c r="BZ136" s="1044"/>
      <c r="CA136" s="1044"/>
      <c r="CB136" s="1044"/>
      <c r="CC136" s="1044"/>
      <c r="CD136" s="1044"/>
      <c r="CE136" s="1044"/>
      <c r="CF136" s="1044"/>
      <c r="CG136" s="1044"/>
      <c r="CH136" s="1044"/>
      <c r="CI136" s="1044"/>
      <c r="CJ136" s="1044"/>
      <c r="CK136" s="1044"/>
      <c r="CL136" s="1044"/>
      <c r="CM136" s="1044"/>
      <c r="CN136" s="1044"/>
      <c r="CO136" s="1044"/>
      <c r="CP136" s="1044"/>
      <c r="CQ136" s="1044"/>
      <c r="CR136" s="1044"/>
      <c r="CS136" s="1044"/>
      <c r="CT136" s="1044"/>
      <c r="CU136" s="1044"/>
      <c r="CV136" s="1044"/>
      <c r="CW136" s="1044"/>
      <c r="CX136" s="1044"/>
      <c r="CY136" s="1044"/>
      <c r="CZ136" s="1044"/>
      <c r="DA136" s="1044"/>
      <c r="DB136" s="1044"/>
      <c r="DC136" s="1044"/>
      <c r="DD136" s="1044"/>
      <c r="DE136" s="1044"/>
      <c r="DF136" s="1044"/>
      <c r="DG136" s="1044"/>
      <c r="DH136" s="1044"/>
      <c r="DI136" s="1044"/>
      <c r="DJ136" s="1044"/>
      <c r="DK136" s="1044"/>
      <c r="DL136" s="1044"/>
      <c r="DM136" s="1044"/>
      <c r="DN136" s="1044"/>
      <c r="DO136" s="1044"/>
      <c r="DP136" s="1044"/>
      <c r="DQ136" s="1044"/>
      <c r="DR136" s="1044"/>
      <c r="DS136" s="1044"/>
      <c r="DT136" s="1044"/>
      <c r="DU136" s="1044"/>
      <c r="DV136" s="1044"/>
      <c r="DW136" s="1044"/>
      <c r="DX136" s="1044"/>
      <c r="DY136" s="1044"/>
      <c r="DZ136" s="1044"/>
      <c r="EA136" s="1044"/>
      <c r="EB136" s="1044"/>
      <c r="EC136" s="1044"/>
      <c r="ED136" s="1044"/>
      <c r="EE136" s="1044"/>
      <c r="EF136" s="1044"/>
      <c r="EG136" s="1044"/>
      <c r="EH136" s="1044"/>
      <c r="EI136" s="1044"/>
      <c r="EJ136" s="1044"/>
      <c r="EK136" s="1044"/>
      <c r="EL136" s="1044"/>
      <c r="EM136" s="1044"/>
      <c r="EN136" s="1044"/>
      <c r="EO136" s="1044"/>
      <c r="EP136" s="1044"/>
      <c r="EQ136" s="1044"/>
      <c r="ER136" s="1044"/>
    </row>
    <row r="137" spans="3:264" ht="13.5" thickBot="1" x14ac:dyDescent="0.25">
      <c r="Q137" s="1044" t="s">
        <v>1104</v>
      </c>
      <c r="R137" s="1335">
        <f ca="1">SUM(AL135:AU135)</f>
        <v>72175.303313997516</v>
      </c>
      <c r="S137" s="1302" t="s">
        <v>1105</v>
      </c>
      <c r="T137" s="1302"/>
      <c r="U137" s="1044"/>
      <c r="V137" s="1044"/>
      <c r="W137" s="1044"/>
      <c r="X137" s="1044"/>
      <c r="Y137" s="1044"/>
      <c r="Z137" s="1044"/>
      <c r="AA137" s="1044"/>
      <c r="AB137" s="1044"/>
      <c r="AC137" s="1044"/>
      <c r="AD137" s="1044"/>
      <c r="AE137" s="1044"/>
      <c r="AF137" s="1044"/>
      <c r="AG137" s="1044"/>
      <c r="AH137" s="1044"/>
      <c r="AI137" s="1044"/>
      <c r="AJ137" s="1044"/>
      <c r="AK137" s="1361"/>
      <c r="AL137" s="1044"/>
      <c r="AM137" s="1044"/>
      <c r="AN137" s="1044"/>
      <c r="AO137" s="1044"/>
      <c r="AP137" s="1044"/>
      <c r="AQ137" s="1044"/>
      <c r="AR137" s="1044"/>
      <c r="AS137" s="1044"/>
      <c r="AT137" s="1044"/>
      <c r="AU137" s="1044"/>
      <c r="AV137" s="1044"/>
      <c r="AW137" s="1044"/>
      <c r="AX137" s="1044"/>
      <c r="AY137" s="1044"/>
      <c r="AZ137" s="1044"/>
      <c r="BA137" s="1044"/>
      <c r="BB137" s="1044"/>
      <c r="BC137" s="1044"/>
      <c r="BD137" s="1044"/>
      <c r="BE137" s="1044"/>
      <c r="BF137" s="1044"/>
      <c r="BG137" s="1044"/>
      <c r="BH137" s="1044"/>
      <c r="BI137" s="1044"/>
      <c r="BJ137" s="1044"/>
      <c r="BK137" s="1044"/>
      <c r="BL137" s="1044"/>
      <c r="BM137" s="1044"/>
      <c r="BN137" s="1044"/>
      <c r="BO137" s="1044"/>
      <c r="BP137" s="1044"/>
      <c r="BQ137" s="1044"/>
      <c r="BR137" s="1044"/>
      <c r="BS137" s="1044"/>
      <c r="BT137" s="1044"/>
      <c r="BU137" s="1044"/>
      <c r="BV137" s="1044"/>
      <c r="BW137" s="1044"/>
      <c r="BX137" s="1044"/>
      <c r="BY137" s="1044"/>
      <c r="BZ137" s="1044"/>
      <c r="CA137" s="1044"/>
      <c r="CB137" s="1044"/>
      <c r="CC137" s="1044"/>
      <c r="CD137" s="1044"/>
      <c r="CE137" s="1044"/>
      <c r="CF137" s="1044"/>
      <c r="CG137" s="1044"/>
      <c r="CH137" s="1044"/>
      <c r="CI137" s="1044"/>
      <c r="CJ137" s="1044"/>
      <c r="CK137" s="1044"/>
      <c r="CL137" s="1044"/>
      <c r="CM137" s="1044"/>
      <c r="CN137" s="1044"/>
      <c r="CO137" s="1044"/>
      <c r="CP137" s="1044"/>
      <c r="CQ137" s="1044"/>
      <c r="CR137" s="1044"/>
      <c r="CS137" s="1044"/>
      <c r="CT137" s="1044"/>
      <c r="CU137" s="1044"/>
      <c r="CV137" s="1044"/>
      <c r="CW137" s="1044"/>
      <c r="CX137" s="1044"/>
      <c r="CY137" s="1044"/>
      <c r="CZ137" s="1044"/>
      <c r="DA137" s="1044"/>
      <c r="DB137" s="1044"/>
      <c r="DC137" s="1044"/>
      <c r="DD137" s="1044"/>
      <c r="DE137" s="1044"/>
      <c r="DF137" s="1044"/>
      <c r="DG137" s="1044"/>
      <c r="DH137" s="1044"/>
      <c r="DI137" s="1044"/>
      <c r="DJ137" s="1044"/>
      <c r="DK137" s="1044"/>
      <c r="DL137" s="1044"/>
      <c r="DM137" s="1044"/>
      <c r="DN137" s="1044"/>
      <c r="DO137" s="1044"/>
      <c r="DP137" s="1044"/>
      <c r="DQ137" s="1044"/>
      <c r="DR137" s="1044"/>
      <c r="DS137" s="1044"/>
      <c r="DT137" s="1044"/>
      <c r="DU137" s="1044"/>
      <c r="DV137" s="1044"/>
      <c r="DW137" s="1044"/>
      <c r="DX137" s="1044"/>
      <c r="DY137" s="1044"/>
      <c r="DZ137" s="1044"/>
      <c r="EA137" s="1044"/>
      <c r="EB137" s="1044"/>
      <c r="EC137" s="1044"/>
      <c r="ED137" s="1044"/>
      <c r="EE137" s="1044"/>
      <c r="EF137" s="1044"/>
      <c r="EG137" s="1044"/>
      <c r="EH137" s="1044"/>
      <c r="EI137" s="1044"/>
      <c r="EJ137" s="1044"/>
      <c r="EK137" s="1044"/>
      <c r="EL137" s="1044"/>
      <c r="EM137" s="1044"/>
      <c r="EN137" s="1044"/>
      <c r="EO137" s="1044"/>
      <c r="EP137" s="1044"/>
      <c r="EQ137" s="1044"/>
      <c r="ER137" s="1044"/>
    </row>
    <row r="138" spans="3:264" x14ac:dyDescent="0.2">
      <c r="Q138" s="1044" t="s">
        <v>1012</v>
      </c>
      <c r="R138" s="1124">
        <f>+G40</f>
        <v>0.03</v>
      </c>
      <c r="S138" s="1044"/>
      <c r="T138" s="1044"/>
      <c r="U138" s="1044"/>
      <c r="V138" s="1044"/>
      <c r="W138" s="1044"/>
      <c r="X138" s="1044"/>
      <c r="Y138" s="1044"/>
      <c r="Z138" s="1044"/>
      <c r="AA138" s="1044"/>
      <c r="AB138" s="1044"/>
      <c r="AC138" s="1044"/>
      <c r="AD138" s="1044"/>
      <c r="AE138" s="1044"/>
      <c r="AF138" s="1044"/>
      <c r="AG138" s="1044"/>
      <c r="AH138" s="1044"/>
      <c r="AI138" s="1044"/>
      <c r="AJ138" s="1044"/>
      <c r="AK138" s="1361"/>
      <c r="AL138" s="1044"/>
      <c r="AM138" s="1044"/>
      <c r="AN138" s="1044"/>
      <c r="AO138" s="1044"/>
      <c r="AP138" s="1044"/>
      <c r="AQ138" s="1044"/>
      <c r="AR138" s="1044"/>
      <c r="AS138" s="1044"/>
      <c r="AT138" s="1044"/>
      <c r="AU138" s="1044"/>
      <c r="AV138" s="1044"/>
      <c r="AW138" s="1044"/>
      <c r="AX138" s="1044"/>
      <c r="AY138" s="1044"/>
      <c r="AZ138" s="1044"/>
      <c r="BA138" s="1044"/>
      <c r="BB138" s="1044"/>
      <c r="BC138" s="1044"/>
      <c r="BD138" s="1044"/>
      <c r="BE138" s="1044"/>
      <c r="BF138" s="1044"/>
      <c r="BG138" s="1044"/>
      <c r="BH138" s="1044"/>
      <c r="BI138" s="1044"/>
      <c r="BJ138" s="1044"/>
      <c r="BK138" s="1044"/>
      <c r="BL138" s="1044"/>
      <c r="BM138" s="1044"/>
      <c r="BN138" s="1044"/>
      <c r="BO138" s="1044"/>
      <c r="BP138" s="1044"/>
      <c r="BQ138" s="1044"/>
      <c r="BR138" s="1044"/>
      <c r="BS138" s="1044"/>
      <c r="BT138" s="1044"/>
      <c r="BU138" s="1044"/>
      <c r="BV138" s="1044"/>
      <c r="BW138" s="1044"/>
      <c r="BX138" s="1044"/>
      <c r="BY138" s="1044"/>
      <c r="BZ138" s="1044"/>
      <c r="CA138" s="1044"/>
      <c r="CB138" s="1044"/>
      <c r="CC138" s="1044"/>
      <c r="CD138" s="1044"/>
      <c r="CE138" s="1044"/>
      <c r="CF138" s="1044"/>
      <c r="CG138" s="1044"/>
      <c r="CH138" s="1044"/>
      <c r="CI138" s="1044"/>
    </row>
    <row r="139" spans="3:264" x14ac:dyDescent="0.2">
      <c r="Q139" s="1044" t="s">
        <v>1014</v>
      </c>
      <c r="R139" s="1336">
        <f>1/($C$15/100-R138)*((1+$C$15/100)^-10)</f>
        <v>9.2638697616936856</v>
      </c>
      <c r="S139" s="1044"/>
      <c r="T139" s="1044"/>
      <c r="U139" s="1044"/>
      <c r="V139" s="1044"/>
      <c r="W139" s="1044"/>
      <c r="X139" s="1044"/>
      <c r="Y139" s="1044"/>
      <c r="Z139" s="1044"/>
      <c r="AA139" s="1044"/>
      <c r="AB139" s="1044"/>
      <c r="AC139" s="1044"/>
      <c r="AD139" s="1044"/>
      <c r="AE139" s="1044"/>
      <c r="AF139" s="1044"/>
      <c r="AG139" s="1044"/>
      <c r="AH139" s="1044"/>
      <c r="AI139" s="1044"/>
      <c r="AJ139" s="1044"/>
      <c r="AK139" s="1361"/>
      <c r="AL139" s="1044"/>
      <c r="AM139" s="1044"/>
      <c r="AN139" s="1044"/>
      <c r="AO139" s="1044"/>
      <c r="AP139" s="1044"/>
      <c r="AQ139" s="1044"/>
      <c r="AR139" s="1044"/>
      <c r="AS139" s="1044"/>
      <c r="AT139" s="1044"/>
      <c r="AU139" s="1044"/>
      <c r="AV139" s="1044"/>
      <c r="AW139" s="1044"/>
      <c r="AX139" s="1044"/>
      <c r="AY139" s="1044"/>
      <c r="AZ139" s="1044"/>
      <c r="BA139" s="1044"/>
      <c r="BB139" s="1044"/>
      <c r="BC139" s="1044"/>
      <c r="BD139" s="1044"/>
      <c r="BE139" s="1044"/>
      <c r="BF139" s="1044"/>
      <c r="BG139" s="1044"/>
      <c r="BH139" s="1044"/>
      <c r="BI139" s="1044"/>
      <c r="BJ139" s="1044"/>
      <c r="BK139" s="1044"/>
      <c r="BL139" s="1044"/>
      <c r="BM139" s="1044"/>
      <c r="BN139" s="1044"/>
      <c r="BO139" s="1044"/>
      <c r="BP139" s="1044"/>
      <c r="BQ139" s="1044"/>
      <c r="BR139" s="1044"/>
      <c r="BS139" s="1044"/>
      <c r="BT139" s="1044"/>
      <c r="BU139" s="1044"/>
      <c r="BV139" s="1044"/>
      <c r="BW139" s="1044"/>
      <c r="BX139" s="1044"/>
      <c r="BY139" s="1044"/>
      <c r="BZ139" s="1044"/>
      <c r="CA139" s="1044"/>
      <c r="CB139" s="1044"/>
      <c r="CC139" s="1044"/>
      <c r="CD139" s="1044"/>
      <c r="CE139" s="1044"/>
      <c r="CF139" s="1044"/>
      <c r="CG139" s="1044"/>
      <c r="CH139" s="1044"/>
      <c r="CI139" s="1044"/>
    </row>
    <row r="140" spans="3:264" x14ac:dyDescent="0.2">
      <c r="Q140" s="1044" t="s">
        <v>1108</v>
      </c>
      <c r="R140" s="1302">
        <f ca="1">+R139*AR134</f>
        <v>105872.2426234998</v>
      </c>
      <c r="S140" s="1044"/>
      <c r="T140" s="1044"/>
      <c r="U140" s="1044"/>
      <c r="V140" s="1044"/>
      <c r="W140" s="1044"/>
      <c r="X140" s="1044"/>
      <c r="Y140" s="1044"/>
      <c r="Z140" s="1044"/>
      <c r="AA140" s="1044"/>
      <c r="AB140" s="1044"/>
      <c r="AC140" s="1044"/>
      <c r="AD140" s="1044"/>
      <c r="AE140" s="1044"/>
      <c r="AF140" s="1044"/>
      <c r="AG140" s="1044"/>
      <c r="AH140" s="1044"/>
      <c r="AI140" s="1044"/>
      <c r="AJ140" s="1044"/>
      <c r="AK140" s="1361"/>
      <c r="AL140" s="1044"/>
      <c r="AM140" s="1044"/>
      <c r="AN140" s="1044"/>
      <c r="AO140" s="1044"/>
      <c r="AP140" s="1044"/>
      <c r="AQ140" s="1044"/>
      <c r="AR140" s="1044"/>
      <c r="AS140" s="1044"/>
      <c r="AT140" s="1044"/>
      <c r="AU140" s="1044"/>
      <c r="AV140" s="1044"/>
      <c r="AW140" s="1044"/>
      <c r="AX140" s="1044"/>
      <c r="AY140" s="1044"/>
      <c r="AZ140" s="1044"/>
      <c r="BA140" s="1044"/>
      <c r="BB140" s="1044"/>
      <c r="BC140" s="1044"/>
      <c r="BD140" s="1044"/>
      <c r="BE140" s="1044"/>
      <c r="BF140" s="1044"/>
      <c r="BG140" s="1044"/>
      <c r="BH140" s="1044"/>
      <c r="BI140" s="1044"/>
      <c r="BJ140" s="1044"/>
      <c r="BK140" s="1044"/>
      <c r="BL140" s="1044"/>
      <c r="BM140" s="1044"/>
      <c r="BN140" s="1044"/>
      <c r="BO140" s="1044"/>
      <c r="BP140" s="1044"/>
      <c r="BQ140" s="1044"/>
      <c r="BR140" s="1044"/>
      <c r="BS140" s="1044"/>
      <c r="BT140" s="1044"/>
      <c r="BU140" s="1044"/>
      <c r="BV140" s="1044"/>
      <c r="BW140" s="1044"/>
      <c r="BX140" s="1044"/>
      <c r="BY140" s="1044"/>
      <c r="BZ140" s="1044"/>
      <c r="CA140" s="1044"/>
      <c r="CB140" s="1044"/>
      <c r="CC140" s="1044"/>
      <c r="CD140" s="1044"/>
      <c r="CE140" s="1044"/>
      <c r="CF140" s="1044"/>
      <c r="CG140" s="1044"/>
      <c r="CH140" s="1044"/>
      <c r="CI140" s="1044"/>
    </row>
    <row r="141" spans="3:264" x14ac:dyDescent="0.2">
      <c r="Q141" s="1044"/>
      <c r="R141" s="1044"/>
      <c r="S141" s="1044"/>
      <c r="T141" s="1044"/>
      <c r="U141" s="1044"/>
      <c r="V141" s="1044"/>
      <c r="W141" s="1044"/>
      <c r="X141" s="1044"/>
      <c r="Y141" s="1044"/>
      <c r="Z141" s="1044"/>
      <c r="AA141" s="1044"/>
      <c r="AB141" s="1337"/>
      <c r="AC141" s="1337"/>
      <c r="AD141" s="1337"/>
      <c r="AE141" s="1337"/>
      <c r="AF141" s="1337"/>
      <c r="AG141" s="1337"/>
      <c r="AH141" s="1337"/>
      <c r="AI141" s="1337"/>
      <c r="AJ141" s="1337"/>
      <c r="AK141" s="1395"/>
      <c r="AL141" s="1337"/>
      <c r="AM141" s="1337"/>
      <c r="AN141" s="1337"/>
      <c r="AO141" s="1337"/>
      <c r="AP141" s="1337"/>
      <c r="AQ141" s="1337"/>
      <c r="AR141" s="1337"/>
      <c r="AS141" s="1337"/>
      <c r="AT141" s="1337"/>
      <c r="AU141" s="1337"/>
      <c r="AV141" s="1337"/>
      <c r="AW141" s="1337"/>
      <c r="AX141" s="1337"/>
      <c r="AY141" s="1337"/>
      <c r="AZ141" s="1337"/>
      <c r="BA141" s="1337"/>
      <c r="BB141" s="1337"/>
      <c r="BC141" s="1337"/>
      <c r="BD141" s="1337"/>
      <c r="BE141" s="1337"/>
      <c r="BF141" s="1337"/>
      <c r="BG141" s="1337"/>
      <c r="BH141" s="1337"/>
      <c r="BI141" s="1337"/>
      <c r="BJ141" s="1337"/>
      <c r="BK141" s="1337"/>
      <c r="BL141" s="1337"/>
      <c r="BM141" s="1337"/>
      <c r="BN141" s="1337"/>
      <c r="BO141" s="1337"/>
      <c r="BP141" s="1337"/>
      <c r="BQ141" s="1337"/>
      <c r="BR141" s="1337"/>
      <c r="BS141" s="1337"/>
      <c r="BT141" s="1337"/>
      <c r="BU141" s="1337"/>
      <c r="BV141" s="1337"/>
      <c r="BW141" s="1337"/>
      <c r="BX141" s="1337"/>
      <c r="BY141" s="1337"/>
      <c r="BZ141" s="1337"/>
      <c r="CA141" s="1337"/>
      <c r="CB141" s="1337"/>
      <c r="CC141" s="1337"/>
      <c r="CD141" s="1337"/>
      <c r="CE141" s="1337"/>
      <c r="CF141" s="1044"/>
      <c r="CG141" s="1044"/>
      <c r="CH141" s="1044"/>
      <c r="CI141" s="1044"/>
    </row>
    <row r="142" spans="3:264" x14ac:dyDescent="0.2">
      <c r="Q142" s="1044" t="s">
        <v>1109</v>
      </c>
      <c r="R142" s="1302">
        <f ca="1">+R140+R137</f>
        <v>178047.54593749731</v>
      </c>
      <c r="S142" s="1338"/>
      <c r="T142" s="1338"/>
      <c r="U142" s="1044"/>
      <c r="V142" s="1044"/>
      <c r="W142" s="1044"/>
      <c r="X142" s="1044"/>
      <c r="Y142" s="1044"/>
      <c r="Z142" s="1044"/>
      <c r="AA142" s="1044"/>
      <c r="AB142" s="1044"/>
      <c r="AC142" s="1044"/>
      <c r="AD142" s="1044"/>
      <c r="AE142" s="1044"/>
      <c r="AF142" s="1044"/>
      <c r="AG142" s="1044"/>
      <c r="AH142" s="1044"/>
      <c r="AI142" s="1044"/>
      <c r="AJ142" s="1044"/>
      <c r="AK142" s="1361"/>
      <c r="AL142" s="1044"/>
      <c r="AM142" s="1044"/>
      <c r="AN142" s="1044"/>
      <c r="AO142" s="1044"/>
      <c r="AP142" s="1044"/>
      <c r="AQ142" s="1044"/>
      <c r="AR142" s="1044"/>
      <c r="AS142" s="1044"/>
      <c r="AT142" s="1044"/>
      <c r="AU142" s="1044"/>
      <c r="AV142" s="1044"/>
      <c r="AW142" s="1044"/>
      <c r="AX142" s="1044"/>
      <c r="AY142" s="1044"/>
      <c r="AZ142" s="1044"/>
      <c r="BA142" s="1044"/>
      <c r="BB142" s="1044"/>
      <c r="BC142" s="1044"/>
      <c r="BD142" s="1044"/>
      <c r="BE142" s="1044"/>
      <c r="BF142" s="1044"/>
      <c r="BG142" s="1044"/>
      <c r="BH142" s="1044"/>
      <c r="BI142" s="1044"/>
      <c r="BJ142" s="1044"/>
      <c r="BK142" s="1044"/>
      <c r="BL142" s="1044"/>
      <c r="BM142" s="1044"/>
      <c r="BN142" s="1044"/>
      <c r="BO142" s="1044"/>
      <c r="BP142" s="1044"/>
      <c r="BQ142" s="1044"/>
      <c r="BR142" s="1044"/>
      <c r="BS142" s="1044"/>
      <c r="BT142" s="1044"/>
      <c r="BU142" s="1044"/>
      <c r="BV142" s="1044"/>
      <c r="BW142" s="1044"/>
      <c r="BX142" s="1044"/>
      <c r="BY142" s="1044"/>
      <c r="BZ142" s="1044"/>
      <c r="CA142" s="1044"/>
      <c r="CB142" s="1044"/>
      <c r="CC142" s="1044"/>
      <c r="CD142" s="1044"/>
      <c r="CE142" s="1044"/>
      <c r="CF142" s="1044"/>
      <c r="CG142" s="1044"/>
      <c r="CH142" s="1044"/>
      <c r="CI142" s="1044"/>
    </row>
    <row r="143" spans="3:264" ht="13.5" thickBot="1" x14ac:dyDescent="0.25">
      <c r="Q143" s="1044"/>
      <c r="R143" s="1044"/>
      <c r="S143" s="1044"/>
      <c r="T143" s="1044"/>
      <c r="U143" s="1044"/>
      <c r="V143" s="1044"/>
      <c r="W143" s="1044"/>
      <c r="X143" s="1044"/>
      <c r="Y143" s="1044"/>
      <c r="Z143" s="1044"/>
      <c r="AA143" s="1044"/>
      <c r="AB143" s="1044"/>
      <c r="AC143" s="1044"/>
      <c r="AD143" s="1044"/>
      <c r="AE143" s="1044"/>
      <c r="AF143" s="1044"/>
      <c r="AG143" s="1044"/>
      <c r="AH143" s="1044"/>
      <c r="AI143" s="1044"/>
      <c r="AJ143" s="1044"/>
      <c r="AK143" s="1361"/>
      <c r="AL143" s="1044"/>
      <c r="AM143" s="1044"/>
      <c r="AN143" s="1044"/>
      <c r="AO143" s="1044"/>
      <c r="AP143" s="1044"/>
      <c r="AQ143" s="1044"/>
      <c r="AR143" s="1044"/>
      <c r="AS143" s="1044"/>
      <c r="AT143" s="1044"/>
      <c r="AU143" s="1044"/>
      <c r="AV143" s="1044"/>
      <c r="AW143" s="1044"/>
      <c r="AX143" s="1044"/>
      <c r="AY143" s="1044"/>
      <c r="AZ143" s="1044"/>
      <c r="BA143" s="1044"/>
      <c r="BB143" s="1044"/>
      <c r="BC143" s="1044"/>
      <c r="BD143" s="1044"/>
      <c r="BE143" s="1044"/>
      <c r="BF143" s="1044"/>
      <c r="BG143" s="1044"/>
      <c r="BH143" s="1044"/>
      <c r="BI143" s="1044"/>
      <c r="BJ143" s="1044"/>
      <c r="BK143" s="1044"/>
      <c r="BL143" s="1044"/>
      <c r="BM143" s="1044"/>
      <c r="BN143" s="1044"/>
      <c r="BO143" s="1044"/>
      <c r="BP143" s="1044"/>
      <c r="BQ143" s="1044"/>
      <c r="BR143" s="1044"/>
      <c r="BS143" s="1044"/>
      <c r="BT143" s="1044"/>
      <c r="BU143" s="1044"/>
      <c r="BV143" s="1044"/>
      <c r="BW143" s="1044"/>
      <c r="BX143" s="1044"/>
      <c r="BY143" s="1044"/>
      <c r="BZ143" s="1044"/>
      <c r="CA143" s="1044"/>
      <c r="CB143" s="1044"/>
      <c r="CC143" s="1044"/>
      <c r="CD143" s="1044"/>
      <c r="CE143" s="1044"/>
      <c r="CF143" s="1044"/>
      <c r="CG143" s="1044"/>
      <c r="CH143" s="1044"/>
      <c r="CI143" s="1044"/>
    </row>
    <row r="144" spans="3:264" ht="13.5" thickBot="1" x14ac:dyDescent="0.25">
      <c r="Q144" s="1044" t="s">
        <v>1110</v>
      </c>
      <c r="R144" s="1044"/>
      <c r="S144" s="1044"/>
      <c r="T144" s="1044"/>
      <c r="U144" s="1044"/>
      <c r="V144" s="1044"/>
      <c r="W144" s="1044"/>
      <c r="X144" s="1044"/>
      <c r="Y144" s="1044"/>
      <c r="Z144" s="1152"/>
      <c r="AA144" s="1152"/>
      <c r="AB144" s="1097"/>
      <c r="AC144" s="1152"/>
      <c r="AD144" s="1152"/>
      <c r="AE144" s="1339"/>
      <c r="AF144" s="1044"/>
      <c r="AG144" s="1340">
        <v>0.3</v>
      </c>
      <c r="AH144" s="1181">
        <f t="shared" ref="AH144:AU145" si="313">AG144</f>
        <v>0.3</v>
      </c>
      <c r="AI144" s="1181">
        <f t="shared" si="313"/>
        <v>0.3</v>
      </c>
      <c r="AJ144" s="1181">
        <f t="shared" si="313"/>
        <v>0.3</v>
      </c>
      <c r="AK144" s="1373">
        <f t="shared" si="313"/>
        <v>0.3</v>
      </c>
      <c r="AL144" s="1181">
        <f t="shared" si="313"/>
        <v>0.3</v>
      </c>
      <c r="AM144" s="1181">
        <f t="shared" ref="AM144:AN145" si="314">AL144</f>
        <v>0.3</v>
      </c>
      <c r="AN144" s="1181">
        <f t="shared" si="314"/>
        <v>0.3</v>
      </c>
      <c r="AO144" s="1181">
        <f t="shared" si="313"/>
        <v>0.3</v>
      </c>
      <c r="AP144" s="1181">
        <f t="shared" si="313"/>
        <v>0.3</v>
      </c>
      <c r="AQ144" s="1181">
        <f t="shared" si="313"/>
        <v>0.3</v>
      </c>
      <c r="AR144" s="1181">
        <f t="shared" si="313"/>
        <v>0.3</v>
      </c>
      <c r="AS144" s="1181">
        <f t="shared" si="313"/>
        <v>0.3</v>
      </c>
      <c r="AT144" s="1181">
        <f t="shared" si="313"/>
        <v>0.3</v>
      </c>
      <c r="AU144" s="1181">
        <f t="shared" si="313"/>
        <v>0.3</v>
      </c>
      <c r="AV144" s="1044"/>
      <c r="AW144" s="1044"/>
      <c r="AX144" s="1044"/>
      <c r="AY144" s="1044"/>
      <c r="AZ144" s="1044"/>
      <c r="BA144" s="1044"/>
      <c r="BB144" s="1044"/>
      <c r="BC144" s="1044"/>
      <c r="BD144" s="1044"/>
      <c r="BE144" s="1044"/>
      <c r="BF144" s="1044"/>
      <c r="BG144" s="1044"/>
      <c r="BH144" s="1044"/>
      <c r="BI144" s="1044"/>
      <c r="BJ144" s="1044"/>
      <c r="BK144" s="1044"/>
      <c r="BL144" s="1044"/>
      <c r="BM144" s="1044"/>
      <c r="BN144" s="1044"/>
      <c r="BO144" s="1044"/>
      <c r="BP144" s="1044"/>
      <c r="BQ144" s="1044"/>
      <c r="BR144" s="1044"/>
      <c r="BS144" s="1044"/>
      <c r="BT144" s="1044"/>
      <c r="BU144" s="1044"/>
      <c r="BV144" s="1044"/>
      <c r="BW144" s="1044"/>
      <c r="BX144" s="1044"/>
      <c r="BY144" s="1044"/>
      <c r="BZ144" s="1044"/>
      <c r="CA144" s="1044"/>
      <c r="CB144" s="1044"/>
      <c r="CC144" s="1044"/>
      <c r="CD144" s="1044"/>
      <c r="CE144" s="1044"/>
      <c r="CF144" s="1044"/>
      <c r="CG144" s="1044"/>
      <c r="CH144" s="1044"/>
      <c r="CI144" s="1044"/>
    </row>
    <row r="145" spans="17:87" x14ac:dyDescent="0.2">
      <c r="Q145" s="1044" t="s">
        <v>1111</v>
      </c>
      <c r="R145" s="1044"/>
      <c r="S145" s="1044"/>
      <c r="T145" s="1044"/>
      <c r="U145" s="1044"/>
      <c r="V145" s="1044"/>
      <c r="W145" s="1044"/>
      <c r="X145" s="1044"/>
      <c r="Y145" s="1044"/>
      <c r="Z145" s="1330"/>
      <c r="AA145" s="1330"/>
      <c r="AB145" s="1330"/>
      <c r="AC145" s="1341"/>
      <c r="AD145" s="1341"/>
      <c r="AE145" s="1341"/>
      <c r="AF145" s="1044"/>
      <c r="AG145" s="1341">
        <v>1</v>
      </c>
      <c r="AH145" s="1341">
        <f t="shared" si="313"/>
        <v>1</v>
      </c>
      <c r="AI145" s="1341">
        <f t="shared" si="313"/>
        <v>1</v>
      </c>
      <c r="AJ145" s="1341">
        <f t="shared" si="313"/>
        <v>1</v>
      </c>
      <c r="AK145" s="1396">
        <f t="shared" si="313"/>
        <v>1</v>
      </c>
      <c r="AL145" s="1341">
        <f t="shared" si="313"/>
        <v>1</v>
      </c>
      <c r="AM145" s="1341">
        <f t="shared" si="314"/>
        <v>1</v>
      </c>
      <c r="AN145" s="1341">
        <f t="shared" si="314"/>
        <v>1</v>
      </c>
      <c r="AO145" s="1341">
        <f t="shared" si="313"/>
        <v>1</v>
      </c>
      <c r="AP145" s="1341">
        <f t="shared" si="313"/>
        <v>1</v>
      </c>
      <c r="AQ145" s="1341">
        <f t="shared" si="313"/>
        <v>1</v>
      </c>
      <c r="AR145" s="1341">
        <f t="shared" si="313"/>
        <v>1</v>
      </c>
      <c r="AS145" s="1341">
        <f t="shared" si="313"/>
        <v>1</v>
      </c>
      <c r="AT145" s="1341">
        <f t="shared" si="313"/>
        <v>1</v>
      </c>
      <c r="AU145" s="1341">
        <f t="shared" si="313"/>
        <v>1</v>
      </c>
      <c r="AV145" s="1044"/>
      <c r="AW145" s="1044"/>
      <c r="AX145" s="1044"/>
      <c r="AY145" s="1044"/>
      <c r="AZ145" s="1044"/>
      <c r="BA145" s="1044"/>
      <c r="BB145" s="1044"/>
      <c r="BC145" s="1044"/>
      <c r="BD145" s="1044"/>
      <c r="BE145" s="1044"/>
      <c r="BF145" s="1044"/>
      <c r="BG145" s="1044"/>
      <c r="BH145" s="1044"/>
      <c r="BI145" s="1044"/>
      <c r="BJ145" s="1044"/>
      <c r="BK145" s="1044"/>
      <c r="BL145" s="1044"/>
      <c r="BM145" s="1044"/>
      <c r="BN145" s="1044"/>
      <c r="BO145" s="1044"/>
      <c r="BP145" s="1044"/>
      <c r="BQ145" s="1044"/>
      <c r="BR145" s="1044"/>
      <c r="BS145" s="1044"/>
      <c r="BT145" s="1044"/>
      <c r="BU145" s="1044"/>
      <c r="BV145" s="1044"/>
      <c r="BW145" s="1044"/>
      <c r="BX145" s="1044"/>
      <c r="BY145" s="1044"/>
      <c r="BZ145" s="1044"/>
      <c r="CA145" s="1044"/>
      <c r="CB145" s="1044"/>
      <c r="CC145" s="1044"/>
      <c r="CD145" s="1044"/>
      <c r="CE145" s="1044"/>
      <c r="CF145" s="1044"/>
      <c r="CG145" s="1044"/>
      <c r="CH145" s="1044"/>
      <c r="CI145" s="1044"/>
    </row>
    <row r="146" spans="17:87" x14ac:dyDescent="0.2">
      <c r="Q146" s="1044" t="s">
        <v>1112</v>
      </c>
      <c r="R146" s="1044"/>
      <c r="S146" s="1085"/>
      <c r="T146" s="1085"/>
      <c r="U146" s="1044"/>
      <c r="V146" s="1044"/>
      <c r="W146" s="1044"/>
      <c r="X146" s="1044"/>
      <c r="Y146" s="1044"/>
      <c r="Z146" s="1086"/>
      <c r="AA146" s="1086"/>
      <c r="AB146" s="1086"/>
      <c r="AC146" s="1086"/>
      <c r="AD146" s="1086"/>
      <c r="AE146" s="1086"/>
      <c r="AF146" s="1044"/>
      <c r="AG146" s="1086">
        <f t="shared" ref="AG146:AQ146" si="315">+AG134*AG144/(1-AG144)*AG145</f>
        <v>1884</v>
      </c>
      <c r="AH146" s="1086">
        <f t="shared" si="315"/>
        <v>2800.7142857142858</v>
      </c>
      <c r="AI146" s="1086">
        <f t="shared" si="315"/>
        <v>3050.1428571428573</v>
      </c>
      <c r="AJ146" s="1086">
        <f t="shared" si="315"/>
        <v>3267.0000000000005</v>
      </c>
      <c r="AK146" s="1366">
        <f t="shared" si="315"/>
        <v>3406.7142857142858</v>
      </c>
      <c r="AL146" s="1086">
        <f t="shared" si="315"/>
        <v>3550.1299462714292</v>
      </c>
      <c r="AM146" s="1086">
        <f t="shared" ref="AM146" si="316">+AM134*AM144/(1-AM144)*AM145</f>
        <v>3869.663030556208</v>
      </c>
      <c r="AN146" s="1086">
        <f t="shared" ref="AN146" si="317">+AN134*AN144/(1-AN144)*AN145</f>
        <v>4083.9249286406907</v>
      </c>
      <c r="AO146" s="1086">
        <f t="shared" ca="1" si="315"/>
        <v>4376.2026566901141</v>
      </c>
      <c r="AP146" s="1086">
        <f t="shared" ca="1" si="315"/>
        <v>4543.8812165203835</v>
      </c>
      <c r="AQ146" s="1086">
        <f t="shared" ca="1" si="315"/>
        <v>4717.7193566555889</v>
      </c>
      <c r="AR146" s="1086">
        <f ca="1">+AR134*AR144/(1-AR144)*AR145</f>
        <v>4897.9335239400689</v>
      </c>
      <c r="AS146" s="1086">
        <f ca="1">+AS134*AS144/(1-AS144)*AS145</f>
        <v>4597.5004381261733</v>
      </c>
      <c r="AT146" s="1086">
        <f t="shared" ref="AT146:AU146" ca="1" si="318">+AT134*AT144/(1-AT144)*AT145</f>
        <v>4769.2188660671945</v>
      </c>
      <c r="AU146" s="1086">
        <f t="shared" ca="1" si="318"/>
        <v>5479.105819584136</v>
      </c>
      <c r="AV146" s="1044"/>
      <c r="AW146" s="1044"/>
      <c r="AX146" s="1044"/>
      <c r="AY146" s="1044"/>
      <c r="AZ146" s="1044"/>
      <c r="BA146" s="1044"/>
      <c r="BB146" s="1044"/>
      <c r="BC146" s="1044"/>
      <c r="BD146" s="1044"/>
      <c r="BE146" s="1044"/>
      <c r="BF146" s="1044"/>
      <c r="BG146" s="1044"/>
      <c r="BH146" s="1044"/>
      <c r="BI146" s="1044"/>
      <c r="BJ146" s="1044"/>
      <c r="BK146" s="1044"/>
      <c r="BL146" s="1044"/>
      <c r="BM146" s="1044"/>
      <c r="BN146" s="1044"/>
      <c r="BO146" s="1044"/>
      <c r="BP146" s="1044"/>
      <c r="BQ146" s="1044"/>
      <c r="BR146" s="1044"/>
      <c r="BS146" s="1044"/>
      <c r="BT146" s="1044"/>
      <c r="BU146" s="1044"/>
      <c r="BV146" s="1044"/>
      <c r="BW146" s="1044"/>
      <c r="BX146" s="1044"/>
      <c r="BY146" s="1044"/>
      <c r="BZ146" s="1044"/>
      <c r="CA146" s="1044"/>
      <c r="CB146" s="1044"/>
      <c r="CC146" s="1044"/>
      <c r="CD146" s="1044"/>
      <c r="CE146" s="1044"/>
      <c r="CF146" s="1044"/>
      <c r="CG146" s="1044"/>
      <c r="CH146" s="1044"/>
      <c r="CI146" s="1044"/>
    </row>
    <row r="147" spans="17:87" x14ac:dyDescent="0.2">
      <c r="Q147" s="1044" t="s">
        <v>1113</v>
      </c>
      <c r="R147" s="1044"/>
      <c r="S147" s="1085"/>
      <c r="T147" s="1085"/>
      <c r="U147" s="1044"/>
      <c r="V147" s="1044"/>
      <c r="W147" s="1044"/>
      <c r="X147" s="1044"/>
      <c r="Y147" s="1044"/>
      <c r="Z147" s="1342"/>
      <c r="AA147" s="1342"/>
      <c r="AB147" s="1342"/>
      <c r="AC147" s="1342"/>
      <c r="AD147" s="1342"/>
      <c r="AE147" s="1342"/>
      <c r="AF147" s="1044"/>
      <c r="AG147" s="1342">
        <v>0.7</v>
      </c>
      <c r="AH147" s="1330">
        <f t="shared" ref="AH147:AQ147" si="319">AG147</f>
        <v>0.7</v>
      </c>
      <c r="AI147" s="1330">
        <f t="shared" si="319"/>
        <v>0.7</v>
      </c>
      <c r="AJ147" s="1330">
        <f t="shared" si="319"/>
        <v>0.7</v>
      </c>
      <c r="AK147" s="1391">
        <f>AJ147</f>
        <v>0.7</v>
      </c>
      <c r="AL147" s="1330">
        <f>AK147</f>
        <v>0.7</v>
      </c>
      <c r="AM147" s="1330">
        <f t="shared" ref="AM147" si="320">AL147</f>
        <v>0.7</v>
      </c>
      <c r="AN147" s="1330">
        <f t="shared" ref="AN147" si="321">AM147</f>
        <v>0.7</v>
      </c>
      <c r="AO147" s="1330">
        <f t="shared" si="319"/>
        <v>0.7</v>
      </c>
      <c r="AP147" s="1330">
        <f t="shared" si="319"/>
        <v>0.7</v>
      </c>
      <c r="AQ147" s="1330">
        <f t="shared" si="319"/>
        <v>0.7</v>
      </c>
      <c r="AR147" s="1330">
        <f>AQ147</f>
        <v>0.7</v>
      </c>
      <c r="AS147" s="1330">
        <f>AR147</f>
        <v>0.7</v>
      </c>
      <c r="AT147" s="1330">
        <f t="shared" ref="AT147:AU147" si="322">AS147</f>
        <v>0.7</v>
      </c>
      <c r="AU147" s="1330">
        <f t="shared" si="322"/>
        <v>0.7</v>
      </c>
      <c r="AV147" s="1044"/>
      <c r="AW147" s="1044"/>
      <c r="AX147" s="1044"/>
      <c r="AY147" s="1044"/>
      <c r="AZ147" s="1044"/>
      <c r="BA147" s="1044"/>
      <c r="BB147" s="1044"/>
      <c r="BC147" s="1044"/>
      <c r="BD147" s="1044"/>
      <c r="BE147" s="1044"/>
      <c r="BF147" s="1044"/>
      <c r="BG147" s="1044"/>
      <c r="BH147" s="1044"/>
      <c r="BI147" s="1044"/>
      <c r="BJ147" s="1044"/>
      <c r="BK147" s="1044"/>
      <c r="BL147" s="1044"/>
      <c r="BM147" s="1044"/>
      <c r="BN147" s="1044"/>
      <c r="BO147" s="1044"/>
      <c r="BP147" s="1044"/>
      <c r="BQ147" s="1044"/>
      <c r="BR147" s="1044"/>
      <c r="BS147" s="1044"/>
      <c r="BT147" s="1044"/>
      <c r="BU147" s="1044"/>
      <c r="BV147" s="1044"/>
      <c r="BW147" s="1044"/>
      <c r="BX147" s="1044"/>
      <c r="BY147" s="1044"/>
      <c r="BZ147" s="1044"/>
      <c r="CA147" s="1044"/>
      <c r="CB147" s="1044"/>
      <c r="CC147" s="1044"/>
      <c r="CD147" s="1044"/>
      <c r="CE147" s="1044"/>
      <c r="CF147" s="1044"/>
      <c r="CG147" s="1044"/>
      <c r="CH147" s="1044"/>
      <c r="CI147" s="1044"/>
    </row>
    <row r="148" spans="17:87" ht="13.5" thickBot="1" x14ac:dyDescent="0.25">
      <c r="Q148" s="1044" t="s">
        <v>1036</v>
      </c>
      <c r="R148" s="1044"/>
      <c r="S148" s="1085"/>
      <c r="T148" s="1085"/>
      <c r="U148" s="1044"/>
      <c r="V148" s="1044"/>
      <c r="W148" s="1044"/>
      <c r="X148" s="1044"/>
      <c r="Y148" s="1044"/>
      <c r="Z148" s="1086"/>
      <c r="AA148" s="1086"/>
      <c r="AB148" s="1086"/>
      <c r="AC148" s="1086"/>
      <c r="AD148" s="1086"/>
      <c r="AE148" s="1086"/>
      <c r="AF148" s="1044"/>
      <c r="AG148" s="1086">
        <f t="shared" ref="AG148:AQ148" si="323">+AG146*AG147</f>
        <v>1318.8</v>
      </c>
      <c r="AH148" s="1086">
        <f t="shared" si="323"/>
        <v>1960.5</v>
      </c>
      <c r="AI148" s="1086">
        <f t="shared" si="323"/>
        <v>2135.1</v>
      </c>
      <c r="AJ148" s="1086">
        <f t="shared" si="323"/>
        <v>2286.9</v>
      </c>
      <c r="AK148" s="1366">
        <f t="shared" si="323"/>
        <v>2384.6999999999998</v>
      </c>
      <c r="AL148" s="1086">
        <f t="shared" si="323"/>
        <v>2485.0909623900002</v>
      </c>
      <c r="AM148" s="1086">
        <f t="shared" ref="AM148" si="324">+AM146*AM147</f>
        <v>2708.7641213893453</v>
      </c>
      <c r="AN148" s="1086">
        <f t="shared" ref="AN148" si="325">+AN146*AN147</f>
        <v>2858.7474500484832</v>
      </c>
      <c r="AO148" s="1086">
        <f t="shared" ca="1" si="323"/>
        <v>3063.3418596830797</v>
      </c>
      <c r="AP148" s="1086">
        <f t="shared" ca="1" si="323"/>
        <v>3180.7168515642684</v>
      </c>
      <c r="AQ148" s="1086">
        <f t="shared" ca="1" si="323"/>
        <v>3302.4035496589122</v>
      </c>
      <c r="AR148" s="1086">
        <f ca="1">+AR146*AR147</f>
        <v>3428.5534667580482</v>
      </c>
      <c r="AS148" s="1086">
        <f ca="1">+AS146*AS147</f>
        <v>3218.250306688321</v>
      </c>
      <c r="AT148" s="1086">
        <f t="shared" ref="AT148:AU148" ca="1" si="326">+AT146*AT147</f>
        <v>3338.4532062470362</v>
      </c>
      <c r="AU148" s="1086">
        <f t="shared" ca="1" si="326"/>
        <v>3835.3740737088951</v>
      </c>
      <c r="AV148" s="1044"/>
      <c r="AW148" s="1044"/>
      <c r="AX148" s="1044"/>
      <c r="AY148" s="1044"/>
      <c r="AZ148" s="1044"/>
      <c r="BA148" s="1044"/>
      <c r="BB148" s="1044"/>
      <c r="BC148" s="1044"/>
      <c r="BD148" s="1044"/>
      <c r="BE148" s="1044"/>
      <c r="BF148" s="1044"/>
      <c r="BG148" s="1044"/>
      <c r="BH148" s="1044"/>
      <c r="BI148" s="1044"/>
      <c r="BJ148" s="1044"/>
      <c r="BK148" s="1044"/>
      <c r="BL148" s="1044"/>
      <c r="BM148" s="1044"/>
      <c r="BN148" s="1044"/>
      <c r="BO148" s="1044"/>
      <c r="BP148" s="1044"/>
      <c r="BQ148" s="1044"/>
      <c r="BR148" s="1044"/>
      <c r="BS148" s="1044"/>
      <c r="BT148" s="1044"/>
      <c r="BU148" s="1044"/>
      <c r="BV148" s="1044"/>
      <c r="BW148" s="1044"/>
      <c r="BX148" s="1044"/>
      <c r="BY148" s="1044"/>
      <c r="BZ148" s="1044"/>
      <c r="CA148" s="1044"/>
      <c r="CB148" s="1044"/>
      <c r="CC148" s="1044"/>
      <c r="CD148" s="1044"/>
      <c r="CE148" s="1044"/>
      <c r="CF148" s="1044"/>
      <c r="CG148" s="1044"/>
      <c r="CH148" s="1044"/>
      <c r="CI148" s="1044"/>
    </row>
    <row r="149" spans="17:87" ht="13.5" thickBot="1" x14ac:dyDescent="0.25">
      <c r="Q149" s="1047" t="s">
        <v>1097</v>
      </c>
      <c r="R149" s="1335">
        <f ca="1">SUM(AL149:AU149)</f>
        <v>21652.590994199254</v>
      </c>
      <c r="S149" s="1302" t="s">
        <v>1105</v>
      </c>
      <c r="T149" s="1044"/>
      <c r="U149" s="1044"/>
      <c r="V149" s="1044"/>
      <c r="W149" s="1044"/>
      <c r="X149" s="1044"/>
      <c r="Y149" s="1044"/>
      <c r="Z149" s="1097"/>
      <c r="AA149" s="1097"/>
      <c r="AB149" s="1097"/>
      <c r="AC149" s="1097"/>
      <c r="AD149" s="1097"/>
      <c r="AE149" s="1097"/>
      <c r="AF149" s="1044"/>
      <c r="AG149" s="1097">
        <f t="shared" ref="AG149:AQ149" si="327">+AG148/((1+AG106)^((+AG$2-$Q$4)/365))</f>
        <v>1888.9371674451556</v>
      </c>
      <c r="AH149" s="1097">
        <f t="shared" si="327"/>
        <v>2600.0497904774738</v>
      </c>
      <c r="AI149" s="1097">
        <f t="shared" si="327"/>
        <v>2621.8587036793583</v>
      </c>
      <c r="AJ149" s="1097">
        <f t="shared" si="327"/>
        <v>2599.6980574091676</v>
      </c>
      <c r="AK149" s="1372">
        <f t="shared" si="327"/>
        <v>2510.0694120553139</v>
      </c>
      <c r="AL149" s="1097">
        <f t="shared" si="327"/>
        <v>2421.97978582221</v>
      </c>
      <c r="AM149" s="1097">
        <f t="shared" ref="AM149" si="328">+AM148/((1+AM106)^((+AM$2-$Q$4)/365))</f>
        <v>2444.4190358268047</v>
      </c>
      <c r="AN149" s="1097">
        <f t="shared" ref="AN149" si="329">+AN148/((1+AN106)^((+AN$2-$Q$4)/365))</f>
        <v>2388.1683120960583</v>
      </c>
      <c r="AO149" s="1097">
        <f t="shared" ca="1" si="327"/>
        <v>2369.5225781643908</v>
      </c>
      <c r="AP149" s="1097">
        <f t="shared" ca="1" si="327"/>
        <v>2278.0677720465219</v>
      </c>
      <c r="AQ149" s="1097">
        <f t="shared" ca="1" si="327"/>
        <v>2190.0196786090792</v>
      </c>
      <c r="AR149" s="1097">
        <f ca="1">+AR148/((1+AR106)^((+AR$2-$Q$4)/365))</f>
        <v>2104.8127889855568</v>
      </c>
      <c r="AS149" s="1097">
        <f ca="1">+AS148/((1+AS106)^((+AS$2-$Q$4)/365))</f>
        <v>1829.3576094361335</v>
      </c>
      <c r="AT149" s="1097">
        <f t="shared" ref="AT149:AU149" ca="1" si="330">+AT148/((1+AT106)^((+AT$2-$Q$4)/365))</f>
        <v>1757.1155805854628</v>
      </c>
      <c r="AU149" s="1097">
        <f t="shared" ca="1" si="330"/>
        <v>1869.1278526270364</v>
      </c>
      <c r="AV149" s="1044"/>
      <c r="AW149" s="1044"/>
      <c r="AX149" s="1044"/>
      <c r="AY149" s="1044"/>
      <c r="AZ149" s="1044"/>
      <c r="BA149" s="1044"/>
      <c r="BB149" s="1044"/>
      <c r="BC149" s="1044"/>
      <c r="BD149" s="1044"/>
      <c r="BE149" s="1044"/>
      <c r="BF149" s="1044"/>
      <c r="BG149" s="1044"/>
      <c r="BH149" s="1044"/>
      <c r="BI149" s="1044"/>
      <c r="BJ149" s="1044"/>
      <c r="BK149" s="1044"/>
      <c r="BL149" s="1044"/>
      <c r="BM149" s="1044"/>
      <c r="BN149" s="1044"/>
      <c r="BO149" s="1044"/>
      <c r="BP149" s="1044"/>
      <c r="BQ149" s="1044"/>
      <c r="BR149" s="1044"/>
      <c r="BS149" s="1044"/>
      <c r="BT149" s="1044"/>
      <c r="BU149" s="1044"/>
      <c r="BV149" s="1044"/>
      <c r="BW149" s="1044"/>
      <c r="BX149" s="1044"/>
      <c r="BY149" s="1044"/>
      <c r="BZ149" s="1044"/>
      <c r="CA149" s="1044"/>
      <c r="CB149" s="1044"/>
      <c r="CC149" s="1044"/>
      <c r="CD149" s="1044"/>
      <c r="CE149" s="1044"/>
      <c r="CF149" s="1044"/>
      <c r="CG149" s="1044"/>
      <c r="CH149" s="1044"/>
      <c r="CI149" s="1044"/>
    </row>
    <row r="150" spans="17:87" x14ac:dyDescent="0.2">
      <c r="AF150" s="1044"/>
    </row>
  </sheetData>
  <dataValidations disablePrompts="1" count="1">
    <dataValidation showInputMessage="1" errorTitle="INCORRECT STABLE PHASE" error="The DECLINE Phase must be greater than 0. If you wish to exent the STABLE Phase, first increase the CAP then extend the STABLE Phase to the desired length." sqref="C45 C33 C52" xr:uid="{E59EDAAD-045F-440A-9A27-A33F10481B18}"/>
  </dataValidations>
  <pageMargins left="0.75" right="0.75" top="1" bottom="1" header="0.5" footer="0.5"/>
  <pageSetup paperSize="9" orientation="portrait" horizontalDpi="300" verticalDpi="300" r:id="rId1"/>
  <headerFooter alignWithMargins="0"/>
  <drawing r:id="rId2"/>
  <legacyDrawing r:id="rId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E373B40-F14B-4083-A752-20AC6C594987}">
  <dimension ref="A1:B44"/>
  <sheetViews>
    <sheetView workbookViewId="0"/>
  </sheetViews>
  <sheetFormatPr defaultRowHeight="15" x14ac:dyDescent="0.25"/>
  <cols>
    <col min="1" max="1" width="29.140625" customWidth="1"/>
  </cols>
  <sheetData>
    <row r="1" spans="1:2" x14ac:dyDescent="0.25">
      <c r="A1" s="1528" t="s">
        <v>1540</v>
      </c>
      <c r="B1" s="1536" t="s">
        <v>1541</v>
      </c>
    </row>
    <row r="2" spans="1:2" x14ac:dyDescent="0.25">
      <c r="A2" s="1528" t="s">
        <v>1542</v>
      </c>
      <c r="B2" s="1528" t="s">
        <v>1543</v>
      </c>
    </row>
    <row r="3" spans="1:2" x14ac:dyDescent="0.25">
      <c r="A3" s="1528" t="s">
        <v>1544</v>
      </c>
      <c r="B3" s="1528" t="s">
        <v>1545</v>
      </c>
    </row>
    <row r="4" spans="1:2" x14ac:dyDescent="0.25">
      <c r="A4" s="1528" t="s">
        <v>1546</v>
      </c>
      <c r="B4" s="1528" t="s">
        <v>1547</v>
      </c>
    </row>
    <row r="5" spans="1:2" x14ac:dyDescent="0.25">
      <c r="A5" s="1528" t="s">
        <v>1548</v>
      </c>
      <c r="B5" s="1528" t="s">
        <v>1549</v>
      </c>
    </row>
    <row r="6" spans="1:2" x14ac:dyDescent="0.25">
      <c r="A6" s="1528" t="s">
        <v>1550</v>
      </c>
      <c r="B6" s="1528"/>
    </row>
    <row r="7" spans="1:2" x14ac:dyDescent="0.25">
      <c r="A7" s="1528" t="s">
        <v>1551</v>
      </c>
      <c r="B7" s="1528" t="s">
        <v>1552</v>
      </c>
    </row>
    <row r="8" spans="1:2" x14ac:dyDescent="0.25">
      <c r="A8" s="1528" t="s">
        <v>1553</v>
      </c>
      <c r="B8" s="1528" t="s">
        <v>1554</v>
      </c>
    </row>
    <row r="9" spans="1:2" x14ac:dyDescent="0.25">
      <c r="A9" s="1528" t="s">
        <v>1555</v>
      </c>
      <c r="B9" s="1528" t="s">
        <v>1556</v>
      </c>
    </row>
    <row r="10" spans="1:2" x14ac:dyDescent="0.25">
      <c r="A10" s="1528" t="s">
        <v>1557</v>
      </c>
      <c r="B10" s="1528"/>
    </row>
    <row r="11" spans="1:2" x14ac:dyDescent="0.25">
      <c r="A11" s="1528" t="s">
        <v>1558</v>
      </c>
      <c r="B11" s="1528"/>
    </row>
    <row r="12" spans="1:2" x14ac:dyDescent="0.25">
      <c r="A12" s="1528" t="s">
        <v>1559</v>
      </c>
      <c r="B12" s="1528"/>
    </row>
    <row r="13" spans="1:2" x14ac:dyDescent="0.25">
      <c r="A13" s="1528" t="s">
        <v>1560</v>
      </c>
      <c r="B13" s="1528"/>
    </row>
    <row r="14" spans="1:2" x14ac:dyDescent="0.25">
      <c r="A14" s="1528" t="s">
        <v>1561</v>
      </c>
      <c r="B14" s="1528"/>
    </row>
    <row r="15" spans="1:2" x14ac:dyDescent="0.25">
      <c r="A15" s="1528" t="s">
        <v>1562</v>
      </c>
      <c r="B15" s="1528"/>
    </row>
    <row r="16" spans="1:2" x14ac:dyDescent="0.25">
      <c r="A16" s="1528" t="s">
        <v>1563</v>
      </c>
      <c r="B16" s="1528"/>
    </row>
    <row r="17" spans="1:2" x14ac:dyDescent="0.25">
      <c r="A17" s="1528" t="s">
        <v>1564</v>
      </c>
      <c r="B17" s="1528" t="s">
        <v>1565</v>
      </c>
    </row>
    <row r="18" spans="1:2" x14ac:dyDescent="0.25">
      <c r="A18" s="1528" t="s">
        <v>1566</v>
      </c>
      <c r="B18" s="1528" t="s">
        <v>1567</v>
      </c>
    </row>
    <row r="19" spans="1:2" x14ac:dyDescent="0.25">
      <c r="A19" s="1528" t="s">
        <v>1568</v>
      </c>
      <c r="B19" s="1528" t="s">
        <v>1116</v>
      </c>
    </row>
    <row r="20" spans="1:2" x14ac:dyDescent="0.25">
      <c r="A20" s="1528" t="s">
        <v>1569</v>
      </c>
      <c r="B20" s="1528" t="s">
        <v>1570</v>
      </c>
    </row>
    <row r="21" spans="1:2" x14ac:dyDescent="0.25">
      <c r="A21" s="1528" t="s">
        <v>1571</v>
      </c>
      <c r="B21" s="1528" t="s">
        <v>1116</v>
      </c>
    </row>
    <row r="22" spans="1:2" x14ac:dyDescent="0.25">
      <c r="A22" s="1528" t="s">
        <v>1572</v>
      </c>
      <c r="B22" s="1528" t="s">
        <v>1573</v>
      </c>
    </row>
    <row r="23" spans="1:2" x14ac:dyDescent="0.25">
      <c r="A23" s="1528" t="s">
        <v>1574</v>
      </c>
      <c r="B23" s="1536" t="s">
        <v>1575</v>
      </c>
    </row>
    <row r="24" spans="1:2" x14ac:dyDescent="0.25">
      <c r="A24" s="1528" t="s">
        <v>1576</v>
      </c>
      <c r="B24" s="1528" t="s">
        <v>1115</v>
      </c>
    </row>
    <row r="25" spans="1:2" x14ac:dyDescent="0.25">
      <c r="A25" s="1528" t="s">
        <v>1577</v>
      </c>
      <c r="B25" s="1528" t="s">
        <v>1578</v>
      </c>
    </row>
    <row r="26" spans="1:2" x14ac:dyDescent="0.25">
      <c r="A26" s="1528" t="s">
        <v>1579</v>
      </c>
      <c r="B26" s="1528" t="s">
        <v>1580</v>
      </c>
    </row>
    <row r="27" spans="1:2" x14ac:dyDescent="0.25">
      <c r="A27" s="1528" t="s">
        <v>1581</v>
      </c>
      <c r="B27" s="1528" t="s">
        <v>1582</v>
      </c>
    </row>
    <row r="28" spans="1:2" x14ac:dyDescent="0.25">
      <c r="A28" s="1528" t="s">
        <v>1583</v>
      </c>
      <c r="B28" s="1528" t="s">
        <v>1584</v>
      </c>
    </row>
    <row r="29" spans="1:2" x14ac:dyDescent="0.25">
      <c r="A29" s="1528" t="s">
        <v>1585</v>
      </c>
      <c r="B29" s="1528"/>
    </row>
    <row r="30" spans="1:2" x14ac:dyDescent="0.25">
      <c r="A30" s="1528" t="s">
        <v>1586</v>
      </c>
      <c r="B30" s="1528"/>
    </row>
    <row r="31" spans="1:2" x14ac:dyDescent="0.25">
      <c r="A31" s="1528" t="s">
        <v>1587</v>
      </c>
      <c r="B31" s="1528"/>
    </row>
    <row r="32" spans="1:2" x14ac:dyDescent="0.25">
      <c r="A32" s="1528" t="s">
        <v>1588</v>
      </c>
      <c r="B32" s="1528"/>
    </row>
    <row r="33" spans="1:2" x14ac:dyDescent="0.25">
      <c r="A33" s="1528" t="s">
        <v>1589</v>
      </c>
      <c r="B33" s="1528"/>
    </row>
    <row r="34" spans="1:2" x14ac:dyDescent="0.25">
      <c r="A34" s="1528" t="s">
        <v>1590</v>
      </c>
      <c r="B34" s="1528"/>
    </row>
    <row r="35" spans="1:2" x14ac:dyDescent="0.25">
      <c r="A35" s="1528" t="s">
        <v>1591</v>
      </c>
      <c r="B35" s="1528" t="s">
        <v>1592</v>
      </c>
    </row>
    <row r="36" spans="1:2" x14ac:dyDescent="0.25">
      <c r="A36" s="1528" t="s">
        <v>1593</v>
      </c>
      <c r="B36" s="1528" t="s">
        <v>1594</v>
      </c>
    </row>
    <row r="37" spans="1:2" x14ac:dyDescent="0.25">
      <c r="A37" s="1528" t="s">
        <v>1595</v>
      </c>
      <c r="B37" s="1528" t="s">
        <v>1596</v>
      </c>
    </row>
    <row r="38" spans="1:2" x14ac:dyDescent="0.25">
      <c r="A38" s="1528" t="s">
        <v>1597</v>
      </c>
      <c r="B38" s="1528" t="s">
        <v>1598</v>
      </c>
    </row>
    <row r="39" spans="1:2" x14ac:dyDescent="0.25">
      <c r="A39" s="1528" t="s">
        <v>1599</v>
      </c>
      <c r="B39" s="1528" t="s">
        <v>1600</v>
      </c>
    </row>
    <row r="40" spans="1:2" x14ac:dyDescent="0.25">
      <c r="A40" s="1528" t="s">
        <v>1601</v>
      </c>
      <c r="B40" s="1528" t="s">
        <v>1602</v>
      </c>
    </row>
    <row r="41" spans="1:2" x14ac:dyDescent="0.25">
      <c r="A41" s="1528" t="s">
        <v>1603</v>
      </c>
      <c r="B41" s="1528" t="s">
        <v>1604</v>
      </c>
    </row>
    <row r="42" spans="1:2" x14ac:dyDescent="0.25">
      <c r="A42" s="1528" t="s">
        <v>1605</v>
      </c>
      <c r="B42" s="1528"/>
    </row>
    <row r="43" spans="1:2" x14ac:dyDescent="0.25">
      <c r="A43" s="1528" t="s">
        <v>1606</v>
      </c>
      <c r="B43" s="1528"/>
    </row>
    <row r="44" spans="1:2" x14ac:dyDescent="0.25">
      <c r="A44" s="1528" t="s">
        <v>1607</v>
      </c>
      <c r="B44" s="1528" t="s">
        <v>1608</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29A372-9F2A-4D23-86EB-30ABAF15024C}">
  <dimension ref="A1:A13"/>
  <sheetViews>
    <sheetView workbookViewId="0"/>
  </sheetViews>
  <sheetFormatPr defaultRowHeight="15" x14ac:dyDescent="0.25"/>
  <cols>
    <col min="1" max="1" width="28.7109375" customWidth="1"/>
  </cols>
  <sheetData>
    <row r="1" spans="1:1" x14ac:dyDescent="0.25">
      <c r="A1" s="1528" t="s">
        <v>1609</v>
      </c>
    </row>
    <row r="2" spans="1:1" x14ac:dyDescent="0.25">
      <c r="A2" s="1528" t="s">
        <v>1610</v>
      </c>
    </row>
    <row r="3" spans="1:1" x14ac:dyDescent="0.25">
      <c r="A3" s="1528" t="s">
        <v>1611</v>
      </c>
    </row>
    <row r="4" spans="1:1" x14ac:dyDescent="0.25">
      <c r="A4" s="1528" t="s">
        <v>1612</v>
      </c>
    </row>
    <row r="5" spans="1:1" x14ac:dyDescent="0.25">
      <c r="A5" s="1528" t="s">
        <v>1613</v>
      </c>
    </row>
    <row r="6" spans="1:1" x14ac:dyDescent="0.25">
      <c r="A6" s="1528" t="s">
        <v>1614</v>
      </c>
    </row>
    <row r="7" spans="1:1" x14ac:dyDescent="0.25">
      <c r="A7" s="1528" t="s">
        <v>1615</v>
      </c>
    </row>
    <row r="8" spans="1:1" x14ac:dyDescent="0.25">
      <c r="A8" s="1528" t="s">
        <v>1616</v>
      </c>
    </row>
    <row r="9" spans="1:1" x14ac:dyDescent="0.25">
      <c r="A9" s="1528" t="s">
        <v>1617</v>
      </c>
    </row>
    <row r="10" spans="1:1" x14ac:dyDescent="0.25">
      <c r="A10" s="1528" t="s">
        <v>1618</v>
      </c>
    </row>
    <row r="11" spans="1:1" x14ac:dyDescent="0.25">
      <c r="A11" s="1528" t="s">
        <v>1619</v>
      </c>
    </row>
    <row r="12" spans="1:1" x14ac:dyDescent="0.25">
      <c r="A12" s="1528" t="s">
        <v>1620</v>
      </c>
    </row>
    <row r="13" spans="1:1" x14ac:dyDescent="0.25">
      <c r="A13" s="1528" t="s">
        <v>1621</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9</vt:i4>
      </vt:variant>
      <vt:variant>
        <vt:lpstr>Named Ranges</vt:lpstr>
      </vt:variant>
      <vt:variant>
        <vt:i4>39</vt:i4>
      </vt:variant>
    </vt:vector>
  </HeadingPairs>
  <TitlesOfParts>
    <vt:vector size="48" baseType="lpstr">
      <vt:lpstr>CircularReferenceAlert</vt:lpstr>
      <vt:lpstr>ImportantDisclosures</vt:lpstr>
      <vt:lpstr>SUMMARY</vt:lpstr>
      <vt:lpstr>MODEL</vt:lpstr>
      <vt:lpstr>Bull Bear</vt:lpstr>
      <vt:lpstr>Price Target</vt:lpstr>
      <vt:lpstr>Valuation</vt:lpstr>
      <vt:lpstr>IndexInformation</vt:lpstr>
      <vt:lpstr>ModPubIndex</vt:lpstr>
      <vt:lpstr>'Price Target'!Linking_1</vt:lpstr>
      <vt:lpstr>Linking_10</vt:lpstr>
      <vt:lpstr>Linking_12</vt:lpstr>
      <vt:lpstr>Linking_13</vt:lpstr>
      <vt:lpstr>Linking_14</vt:lpstr>
      <vt:lpstr>Linking_19</vt:lpstr>
      <vt:lpstr>Linking_20</vt:lpstr>
      <vt:lpstr>Linking_21</vt:lpstr>
      <vt:lpstr>Linking_22</vt:lpstr>
      <vt:lpstr>Linking_23</vt:lpstr>
      <vt:lpstr>Linking_24</vt:lpstr>
      <vt:lpstr>Linking_27</vt:lpstr>
      <vt:lpstr>Linking_28</vt:lpstr>
      <vt:lpstr>Linking_3</vt:lpstr>
      <vt:lpstr>Linking_31</vt:lpstr>
      <vt:lpstr>Linking_35</vt:lpstr>
      <vt:lpstr>Linking_36</vt:lpstr>
      <vt:lpstr>Linking_4</vt:lpstr>
      <vt:lpstr>Linking_43</vt:lpstr>
      <vt:lpstr>Linking_45</vt:lpstr>
      <vt:lpstr>Linking_48</vt:lpstr>
      <vt:lpstr>Linking_59</vt:lpstr>
      <vt:lpstr>Linking_65</vt:lpstr>
      <vt:lpstr>Linking_66</vt:lpstr>
      <vt:lpstr>Linking_69</vt:lpstr>
      <vt:lpstr>Linking_7</vt:lpstr>
      <vt:lpstr>Linking_8</vt:lpstr>
      <vt:lpstr>'Price Target'!Linking_Range_11</vt:lpstr>
      <vt:lpstr>'Price Target'!Linking_Range_12</vt:lpstr>
      <vt:lpstr>'Price Target'!Linking_Range_15</vt:lpstr>
      <vt:lpstr>Linking_Range_17</vt:lpstr>
      <vt:lpstr>Linking_Range_18</vt:lpstr>
      <vt:lpstr>Linking_Range_19</vt:lpstr>
      <vt:lpstr>Linking_Range_20</vt:lpstr>
      <vt:lpstr>'Price Target'!Linking_Range_21</vt:lpstr>
      <vt:lpstr>'Price Target'!Linking_Range_23</vt:lpstr>
      <vt:lpstr>Linking_Range_24</vt:lpstr>
      <vt:lpstr>Linking_Range_26</vt:lpstr>
      <vt:lpstr>SUMMARY!Print_Area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Tiwari, Ayush (Research)</dc:creator>
  <cp:lastModifiedBy>O'Donnell, Patricia A (Research)</cp:lastModifiedBy>
  <cp:lastPrinted>2026-02-11T08:46:32Z</cp:lastPrinted>
  <dcterms:created xsi:type="dcterms:W3CDTF">2024-10-08T08:19:03Z</dcterms:created>
  <dcterms:modified xsi:type="dcterms:W3CDTF">2026-02-11T20:51:32Z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SIP_Label_07f119e6-c6cd-44b0-a5ee-ac1aff68c56e_Enabled">
    <vt:lpwstr>true</vt:lpwstr>
  </property>
  <property fmtid="{D5CDD505-2E9C-101B-9397-08002B2CF9AE}" pid="3" name="MSIP_Label_07f119e6-c6cd-44b0-a5ee-ac1aff68c56e_SetDate">
    <vt:lpwstr>2024-10-08T08:20:14Z</vt:lpwstr>
  </property>
  <property fmtid="{D5CDD505-2E9C-101B-9397-08002B2CF9AE}" pid="4" name="MSIP_Label_07f119e6-c6cd-44b0-a5ee-ac1aff68c56e_Method">
    <vt:lpwstr>Standard</vt:lpwstr>
  </property>
  <property fmtid="{D5CDD505-2E9C-101B-9397-08002B2CF9AE}" pid="5" name="MSIP_Label_07f119e6-c6cd-44b0-a5ee-ac1aff68c56e_Name">
    <vt:lpwstr>Confidential v1</vt:lpwstr>
  </property>
  <property fmtid="{D5CDD505-2E9C-101B-9397-08002B2CF9AE}" pid="6" name="MSIP_Label_07f119e6-c6cd-44b0-a5ee-ac1aff68c56e_SiteId">
    <vt:lpwstr>e29b8111-49f8-418d-ac2a-935335a52614</vt:lpwstr>
  </property>
  <property fmtid="{D5CDD505-2E9C-101B-9397-08002B2CF9AE}" pid="7" name="MSIP_Label_07f119e6-c6cd-44b0-a5ee-ac1aff68c56e_ActionId">
    <vt:lpwstr>a49f6f39-d8c3-4323-b602-aebc6a00e042</vt:lpwstr>
  </property>
  <property fmtid="{D5CDD505-2E9C-101B-9397-08002B2CF9AE}" pid="8" name="MSIP_Label_07f119e6-c6cd-44b0-a5ee-ac1aff68c56e_ContentBits">
    <vt:lpwstr>0</vt:lpwstr>
  </property>
  <property fmtid="{D5CDD505-2E9C-101B-9397-08002B2CF9AE}" pid="9" name="=fdsSearchOrder">
    <vt:i4>0</vt:i4>
  </property>
  <property fmtid="{D5CDD505-2E9C-101B-9397-08002B2CF9AE}" pid="10" name="PowerlinkCOMAddIn.COMAddIn.WebAddinBridge.Options">
    <vt:lpwstr>{"port":50153,"version":"1.24.159"}</vt:lpwstr>
  </property>
  <property fmtid="{D5CDD505-2E9C-101B-9397-08002B2CF9AE}" pid="11" name="ERModPubTicket">
    <vt:lpwstr>NA</vt:lpwstr>
  </property>
  <property fmtid="{D5CDD505-2E9C-101B-9397-08002B2CF9AE}" pid="12" name="ERModPubConfirmEmail">
    <vt:bool>false</vt:bool>
  </property>
  <property fmtid="{D5CDD505-2E9C-101B-9397-08002B2CF9AE}" pid="13" name="ERModPubUserEmail">
    <vt:lpwstr>hongsal@ms.com</vt:lpwstr>
  </property>
  <property fmtid="{D5CDD505-2E9C-101B-9397-08002B2CF9AE}" pid="14" name="ERModPubGCIMTagged">
    <vt:bool>true</vt:bool>
  </property>
  <property fmtid="{D5CDD505-2E9C-101B-9397-08002B2CF9AE}" pid="15" name="ERCompanyUploadState">
    <vt:lpwstr>P</vt:lpwstr>
  </property>
  <property fmtid="{D5CDD505-2E9C-101B-9397-08002B2CF9AE}" pid="16" name="ERModPubCurrentYear">
    <vt:i4>2026</vt:i4>
  </property>
  <property fmtid="{D5CDD505-2E9C-101B-9397-08002B2CF9AE}" pid="17" name="ModelId">
    <vt:lpwstr>9784943</vt:lpwstr>
  </property>
  <property fmtid="{D5CDD505-2E9C-101B-9397-08002B2CF9AE}" pid="18" name="ERModPubCompanyName">
    <vt:lpwstr>Commonwealth Bank of Australia</vt:lpwstr>
  </property>
</Properties>
</file>